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7.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worksheets/sheet10.xml" ContentType="application/vnd.openxmlformats-officedocument.spreadsheetml.worksheet+xml"/>
  <Override PartName="/xl/tables/table31.xml" ContentType="application/vnd.openxmlformats-officedocument.spreadsheetml.table+xml"/>
  <Override PartName="/xl/tables/table32.xml" ContentType="application/vnd.openxmlformats-officedocument.spreadsheetml.table+xml"/>
  <Override PartName="/xl/worksheets/sheet11.xml" ContentType="application/vnd.openxmlformats-officedocument.spreadsheetml.worksheet+xml"/>
  <Override PartName="/xl/tables/table33.xml" ContentType="application/vnd.openxmlformats-officedocument.spreadsheetml.table+xml"/>
  <Override PartName="/xl/worksheets/sheet12.xml" ContentType="application/vnd.openxmlformats-officedocument.spreadsheetml.worksheet+xml"/>
  <Override PartName="/xl/tables/table34.xml" ContentType="application/vnd.openxmlformats-officedocument.spreadsheetml.table+xml"/>
  <Override PartName="/xl/worksheets/sheet13.xml" ContentType="application/vnd.openxmlformats-officedocument.spreadsheetml.worksheet+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worksheets/sheet14.xml" ContentType="application/vnd.openxmlformats-officedocument.spreadsheetml.worksheet+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44.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OT Tables INT" sheetId="1" state="visible" r:id="rId1"/>
    <sheet name="MOT Tables 25" sheetId="2" state="visible" r:id="rId2"/>
    <sheet name="MOT Tables 21" sheetId="3" state="visible" r:id="rId3"/>
    <sheet name="Canada On Track Table, SEA MEda" sheetId="4" state="visible" r:id="rId4"/>
    <sheet name="Canada On Track and Perforamanc" sheetId="5" state="visible" r:id="rId5"/>
    <sheet name="SEA Games Medal Data w25 Input" sheetId="6" state="visible" r:id="rId6"/>
    <sheet name="SEA Medal Data 19 22 23" sheetId="7" state="visible" r:id="rId7"/>
    <sheet name="Event Age Ranges and Event Deve" sheetId="8" state="visible" r:id="rId8"/>
    <sheet name="50 Free Female " sheetId="9" state="visible" r:id="rId9"/>
    <sheet name="MIAG" sheetId="10" state="visible" r:id="rId10"/>
    <sheet name="Pelapis Athlete Evaluation" sheetId="11" state="visible" r:id="rId11"/>
    <sheet name="Longitudinal Data USA" sheetId="12" state="visible" r:id="rId12"/>
    <sheet name="Bakat Base Times" sheetId="13" state="visible" r:id="rId13"/>
    <sheet name="Age Points Applied to SEA AgeAY" sheetId="14" state="visible" r:id="rId14"/>
    <sheet name="Age Point Clusters" sheetId="15" state="visible" r:id="rId15"/>
    <sheet name="Podium Target Times" sheetId="16" state="visible" r:id="rId16"/>
    <sheet name="AQUA POINTS" sheetId="17" state="visible" r:id="rId17"/>
    <sheet name="Sheet19" sheetId="18" state="visible" r:id="rId18"/>
    <sheet name="Sheet20" sheetId="19" state="visible" r:id="rId19"/>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M/d/yyyy"/>
    <numFmt numFmtId="167" formatCode="dd&quot;-&quot;mm&quot;-&quot;yyyy"/>
  </numFmts>
  <fonts count="23">
    <font>
      <name val="Arial"/>
      <color rgb="FF000000"/>
      <sz val="10"/>
      <scheme val="minor"/>
    </font>
    <font>
      <name val="Calibri"/>
      <color theme="1"/>
      <sz val="11"/>
    </font>
    <font>
      <name val="Calibri"/>
      <strike val="1"/>
      <color theme="1"/>
      <sz val="11"/>
    </font>
    <font>
      <name val="Calibri"/>
      <color rgb="FF434343"/>
      <sz val="11"/>
    </font>
    <font>
      <name val="Arial"/>
      <color theme="1"/>
      <scheme val="minor"/>
    </font>
    <font>
      <name val="Arial"/>
      <b val="1"/>
      <color theme="1"/>
      <scheme val="minor"/>
    </font>
    <font>
      <name val="Arial"/>
      <color theme="1"/>
    </font>
    <font/>
    <font>
      <name val="Calibri"/>
      <b val="1"/>
      <color theme="1"/>
      <sz val="11"/>
    </font>
    <font>
      <name val="Arial"/>
      <color theme="1"/>
      <sz val="8"/>
      <scheme val="minor"/>
    </font>
    <font>
      <name val="Calibri"/>
      <color theme="1"/>
      <sz val="8"/>
    </font>
    <font>
      <name val="Arial"/>
      <color theme="1"/>
      <sz val="8"/>
    </font>
    <font>
      <name val="&quot;Google Sans&quot;"/>
      <b val="1"/>
      <color rgb="FF000000"/>
    </font>
    <font>
      <name val="Roboto"/>
      <color rgb="FF434343"/>
    </font>
    <font>
      <name val="Arial"/>
      <b val="1"/>
      <color rgb="FFFFFFFF"/>
      <scheme val="minor"/>
    </font>
    <font>
      <name val="Arial"/>
      <b val="1"/>
      <color rgb="FFBF9000"/>
      <scheme val="minor"/>
    </font>
    <font>
      <name val="Roboto"/>
      <b val="1"/>
      <color rgb="FFFFFFFF"/>
    </font>
    <font>
      <name val="&quot;Google Sans Mono&quot;"/>
      <color rgb="FF1F1F1F"/>
    </font>
    <font>
      <name val="Arial"/>
      <color theme="1"/>
      <sz val="9"/>
    </font>
    <font>
      <name val="Calibri"/>
      <color theme="1"/>
    </font>
    <font>
      <name val="Arial"/>
      <b val="1"/>
      <color theme="1"/>
    </font>
    <font>
      <name val="Arial"/>
      <b val="1"/>
      <color theme="1"/>
      <sz val="11"/>
    </font>
    <font>
      <name val="Arial"/>
      <color theme="1"/>
      <sz val="11"/>
    </font>
  </fonts>
  <fills count="11">
    <fill>
      <patternFill/>
    </fill>
    <fill>
      <patternFill patternType="lightGray"/>
    </fill>
    <fill>
      <patternFill patternType="solid">
        <fgColor rgb="FFFFFF00"/>
        <bgColor rgb="FFFFFF00"/>
      </patternFill>
    </fill>
    <fill>
      <patternFill patternType="solid">
        <fgColor rgb="FFFFFFFF"/>
        <bgColor rgb="FFFFFFFF"/>
      </patternFill>
    </fill>
    <fill>
      <patternFill patternType="solid">
        <fgColor rgb="FFF6F8F9"/>
        <bgColor rgb="FFF6F8F9"/>
      </patternFill>
    </fill>
    <fill>
      <patternFill patternType="solid">
        <fgColor rgb="FFF1C232"/>
        <bgColor rgb="FFF1C232"/>
      </patternFill>
    </fill>
    <fill>
      <patternFill patternType="solid">
        <fgColor rgb="FFD9D9D9"/>
        <bgColor rgb="FFD9D9D9"/>
      </patternFill>
    </fill>
    <fill>
      <patternFill patternType="solid">
        <fgColor rgb="FFBF9000"/>
        <bgColor rgb="FFBF9000"/>
      </patternFill>
    </fill>
    <fill>
      <patternFill patternType="solid">
        <fgColor rgb="FFF0F4F9"/>
        <bgColor rgb="FFF0F4F9"/>
      </patternFill>
    </fill>
    <fill>
      <patternFill patternType="solid">
        <fgColor rgb="FF00FF00"/>
        <bgColor rgb="FF00FF00"/>
      </patternFill>
    </fill>
    <fill>
      <patternFill patternType="solid">
        <fgColor rgb="FFD9EAD3"/>
        <bgColor rgb="FFD9EAD3"/>
      </patternFill>
    </fill>
  </fills>
  <borders count="111">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3E4791"/>
      </left>
      <right style="thin">
        <color rgb="FF535FC1"/>
      </right>
      <top style="thin">
        <color rgb="FF3E4791"/>
      </top>
      <bottom style="thin">
        <color rgb="FF3E4791"/>
      </bottom>
    </border>
    <border>
      <left style="thin">
        <color rgb="FF535FC1"/>
      </left>
      <right style="thin">
        <color rgb="FF535FC1"/>
      </right>
      <top style="thin">
        <color rgb="FF3E4791"/>
      </top>
      <bottom style="thin">
        <color rgb="FF3E4791"/>
      </bottom>
    </border>
    <border>
      <left style="thin">
        <color rgb="FF535FC1"/>
      </left>
      <right style="thin">
        <color rgb="FF3E4791"/>
      </right>
      <top style="thin">
        <color rgb="FF3E4791"/>
      </top>
      <bottom style="thin">
        <color rgb="FF3E4791"/>
      </bottom>
    </border>
    <border>
      <left style="thin">
        <color rgb="FF3E4791"/>
      </left>
      <right style="thin">
        <color rgb="FFFFFFFF"/>
      </right>
      <top style="thin">
        <color rgb="FFFFFFFF"/>
      </top>
      <bottom style="thin">
        <color rgb="FFFFFFFF"/>
      </bottom>
    </border>
    <border>
      <left style="thin">
        <color rgb="FFFFFFFF"/>
      </left>
      <right style="thin">
        <color rgb="FF3E4791"/>
      </right>
      <top style="thin">
        <color rgb="FFFFFFFF"/>
      </top>
      <bottom style="thin">
        <color rgb="FFFFFFFF"/>
      </bottom>
    </border>
    <border>
      <left style="thin">
        <color rgb="FF3E4791"/>
      </left>
      <right style="thin">
        <color rgb="FFF6F8F9"/>
      </right>
      <top style="thin">
        <color rgb="FFF6F8F9"/>
      </top>
      <bottom style="thin">
        <color rgb="FFF6F8F9"/>
      </bottom>
    </border>
    <border>
      <left style="thin">
        <color rgb="FFF6F8F9"/>
      </left>
      <right style="thin">
        <color rgb="FF3E4791"/>
      </right>
      <top style="thin">
        <color rgb="FFF6F8F9"/>
      </top>
      <bottom style="thin">
        <color rgb="FFF6F8F9"/>
      </bottom>
    </border>
    <border>
      <left style="thin">
        <color rgb="FF3E4791"/>
      </left>
      <right style="thin">
        <color rgb="FFF6F8F9"/>
      </right>
      <top style="thin">
        <color rgb="FFF6F8F9"/>
      </top>
      <bottom style="thin">
        <color rgb="FF3E4791"/>
      </bottom>
    </border>
    <border>
      <left style="thin">
        <color rgb="FFF6F8F9"/>
      </left>
      <right style="thin">
        <color rgb="FFF6F8F9"/>
      </right>
      <top style="thin">
        <color rgb="FFF6F8F9"/>
      </top>
      <bottom style="thin">
        <color rgb="FF3E4791"/>
      </bottom>
    </border>
    <border>
      <left style="thin">
        <color rgb="FFF6F8F9"/>
      </left>
      <right style="thin">
        <color rgb="FF3E4791"/>
      </right>
      <top style="thin">
        <color rgb="FFF6F8F9"/>
      </top>
      <bottom style="thin">
        <color rgb="FF3E4791"/>
      </bottom>
    </border>
    <border>
      <left style="thick">
        <color rgb="FF000000"/>
      </left>
      <right style="thick">
        <color rgb="FF000000"/>
      </right>
      <top style="thick">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292F50"/>
      </left>
      <right style="thin">
        <color rgb="FFBF9000"/>
      </right>
      <top style="thin">
        <color rgb="FF292F50"/>
      </top>
      <bottom style="thin">
        <color rgb="FF292F50"/>
      </bottom>
    </border>
    <border>
      <left style="thin">
        <color rgb="FFBF9000"/>
      </left>
      <right style="thin">
        <color rgb="FFBF9000"/>
      </right>
      <top style="thin">
        <color rgb="FF292F50"/>
      </top>
      <bottom style="thin">
        <color rgb="FF292F50"/>
      </bottom>
    </border>
    <border>
      <left style="thin">
        <color rgb="FFBF9000"/>
      </left>
      <right style="thin">
        <color rgb="FF292F50"/>
      </right>
      <top style="thin">
        <color rgb="FF292F50"/>
      </top>
      <bottom style="thin">
        <color rgb="FF292F50"/>
      </bottom>
    </border>
    <border>
      <left style="thin">
        <color rgb="FF292F50"/>
      </left>
      <right style="thin">
        <color rgb="FFFFFFFF"/>
      </right>
      <top style="thin">
        <color rgb="FFFFFFFF"/>
      </top>
      <bottom style="thin">
        <color rgb="FFFFFFFF"/>
      </bottom>
    </border>
    <border>
      <left style="thin">
        <color rgb="FFFFFFFF"/>
      </left>
      <right style="thin">
        <color rgb="FF292F50"/>
      </right>
      <top style="thin">
        <color rgb="FFFFFFFF"/>
      </top>
      <bottom style="thin">
        <color rgb="FFFFFFFF"/>
      </bottom>
    </border>
    <border>
      <left style="thin">
        <color rgb="FF292F50"/>
      </left>
      <right style="thin">
        <color rgb="FFF6F8F9"/>
      </right>
      <top style="thin">
        <color rgb="FFF6F8F9"/>
      </top>
      <bottom style="thin">
        <color rgb="FFF6F8F9"/>
      </bottom>
    </border>
    <border>
      <left style="thin">
        <color rgb="FFF6F8F9"/>
      </left>
      <right style="thin">
        <color rgb="FF292F50"/>
      </right>
      <top style="thin">
        <color rgb="FFF6F8F9"/>
      </top>
      <bottom style="thin">
        <color rgb="FFF6F8F9"/>
      </bottom>
    </border>
    <border>
      <left style="thin">
        <color rgb="FF292F50"/>
      </left>
      <right style="thin">
        <color rgb="FFF6F8F9"/>
      </right>
      <top style="thin">
        <color rgb="FFF6F8F9"/>
      </top>
      <bottom style="thin">
        <color rgb="FF292F50"/>
      </bottom>
    </border>
    <border>
      <left style="thin">
        <color rgb="FFF6F8F9"/>
      </left>
      <right style="thin">
        <color rgb="FFF6F8F9"/>
      </right>
      <top style="thin">
        <color rgb="FFF6F8F9"/>
      </top>
      <bottom style="thin">
        <color rgb="FF292F50"/>
      </bottom>
    </border>
    <border>
      <left style="thin">
        <color rgb="FFF6F8F9"/>
      </left>
      <right style="thin">
        <color rgb="FF292F50"/>
      </right>
      <top style="thin">
        <color rgb="FFF6F8F9"/>
      </top>
      <bottom style="thin">
        <color rgb="FF292F50"/>
      </bottom>
    </border>
    <border>
      <left style="thin">
        <color rgb="FF000000"/>
      </left>
      <right style="thin">
        <color rgb="FFBF9000"/>
      </right>
      <top style="thin">
        <color rgb="FF000000"/>
      </top>
      <bottom style="thin">
        <color rgb="FF292F50"/>
      </bottom>
    </border>
    <border>
      <left style="thin">
        <color rgb="FFBF9000"/>
      </left>
      <right style="thin">
        <color rgb="FFBF9000"/>
      </right>
      <top style="thin">
        <color rgb="FF000000"/>
      </top>
      <bottom style="thin">
        <color rgb="FF292F50"/>
      </bottom>
    </border>
    <border>
      <left style="thin">
        <color rgb="FFBF9000"/>
      </left>
      <right style="thin">
        <color rgb="FF000000"/>
      </right>
      <top style="thin">
        <color rgb="FF000000"/>
      </top>
      <bottom style="thin">
        <color rgb="FF292F50"/>
      </bottom>
    </border>
    <border>
      <left style="thin">
        <color rgb="FF284E3F"/>
      </left>
      <right style="thin">
        <color rgb="FFBF9000"/>
      </right>
      <top style="thin">
        <color rgb="FF284E3F"/>
      </top>
      <bottom style="thin">
        <color rgb="FF284E3F"/>
      </bottom>
    </border>
    <border>
      <left style="thin">
        <color rgb="FFBF9000"/>
      </left>
      <right style="thin">
        <color rgb="FFBF9000"/>
      </right>
      <top style="thin">
        <color rgb="FF284E3F"/>
      </top>
      <bottom style="thin">
        <color rgb="FF284E3F"/>
      </bottom>
    </border>
    <border>
      <left style="thick">
        <color rgb="FF000000"/>
      </left>
      <right style="thin">
        <color rgb="FFBF9000"/>
      </right>
      <top style="thick">
        <color rgb="FF000000"/>
      </top>
      <bottom style="thin">
        <color rgb="FF284E3F"/>
      </bottom>
    </border>
    <border>
      <left style="thin">
        <color rgb="FFBF9000"/>
      </left>
      <right style="thin">
        <color rgb="FFBF9000"/>
      </right>
      <top style="thick">
        <color rgb="FF000000"/>
      </top>
      <bottom style="thin">
        <color rgb="FF284E3F"/>
      </bottom>
    </border>
    <border>
      <left style="thin">
        <color rgb="FFBF9000"/>
      </left>
      <right style="thick">
        <color rgb="FF000000"/>
      </right>
      <top style="thick">
        <color rgb="FF000000"/>
      </top>
      <bottom style="thin">
        <color rgb="FF284E3F"/>
      </bottom>
    </border>
    <border>
      <left style="thick">
        <color rgb="FF000000"/>
      </left>
      <right style="thin">
        <color rgb="FFBF9000"/>
      </right>
      <top style="thick">
        <color rgb="FF000000"/>
      </top>
      <bottom style="thick">
        <color rgb="FF000000"/>
      </bottom>
    </border>
    <border>
      <left style="thin">
        <color rgb="FFBF9000"/>
      </left>
      <right style="thin">
        <color rgb="FFBF9000"/>
      </right>
      <top style="thick">
        <color rgb="FF000000"/>
      </top>
      <bottom style="thick">
        <color rgb="FF000000"/>
      </bottom>
    </border>
    <border>
      <left style="thin">
        <color rgb="FFBF9000"/>
      </left>
      <right style="thick">
        <color rgb="FF000000"/>
      </right>
      <top style="thick">
        <color rgb="FF000000"/>
      </top>
      <bottom style="thick">
        <color rgb="FF000000"/>
      </bottom>
    </border>
    <border>
      <left style="thin">
        <color rgb="FFBF9000"/>
      </left>
      <right style="thin">
        <color rgb="FF284E3F"/>
      </right>
      <top style="thin">
        <color rgb="FF284E3F"/>
      </top>
      <bottom style="thin">
        <color rgb="FF284E3F"/>
      </bottom>
    </border>
    <border>
      <left style="thick">
        <color rgb="FF000000"/>
      </left>
      <right style="thick">
        <color rgb="FF000000"/>
      </right>
      <top style="thick">
        <color rgb="FF000000"/>
      </top>
      <bottom style="thin">
        <color rgb="FFFFFFFF"/>
      </bottom>
    </border>
    <border>
      <left style="thin">
        <color rgb="FFFFFFFF"/>
      </left>
      <right style="thin">
        <color rgb="FFFFFFFF"/>
      </right>
      <top style="thick">
        <color rgb="FF000000"/>
      </top>
      <bottom style="thin">
        <color rgb="FFFFFFFF"/>
      </bottom>
    </border>
    <border>
      <left style="thick">
        <color rgb="FF000000"/>
      </left>
      <right style="thick">
        <color rgb="FF000000"/>
      </right>
      <top style="thin">
        <color rgb="FFFFFFFF"/>
      </top>
      <bottom style="thick">
        <color rgb="FF000000"/>
      </bottom>
    </border>
    <border>
      <left style="thin">
        <color rgb="FFFFFFFF"/>
      </left>
      <right style="thick">
        <color rgb="FF000000"/>
      </right>
      <top style="thin">
        <color rgb="FFFFFFFF"/>
      </top>
      <bottom style="thick">
        <color rgb="FF000000"/>
      </bottom>
    </border>
    <border>
      <left style="thin">
        <color rgb="FFFFFFFF"/>
      </left>
      <right style="thin">
        <color rgb="FF284E3F"/>
      </right>
      <top style="thin">
        <color rgb="FFFFFFFF"/>
      </top>
      <bottom style="thin">
        <color rgb="FF284E3F"/>
      </bottom>
    </border>
    <border>
      <left style="thin">
        <color rgb="FF284E3F"/>
      </left>
      <right style="thin">
        <color rgb="FFFFFFFF"/>
      </right>
      <top style="thin">
        <color rgb="FFFFFFFF"/>
      </top>
      <bottom style="thin">
        <color rgb="FF284E3F"/>
      </bottom>
    </border>
    <border>
      <left style="thick">
        <color rgb="FF000000"/>
      </left>
      <right style="thick">
        <color rgb="FF000000"/>
      </right>
      <top style="thin">
        <color rgb="FFF6F8F9"/>
      </top>
      <bottom style="thin">
        <color rgb="FFF6F8F9"/>
      </bottom>
    </border>
    <border>
      <left style="thick">
        <color rgb="FF000000"/>
      </left>
      <right style="thick">
        <color rgb="FF000000"/>
      </right>
      <top style="thin">
        <color rgb="FFFFFFFF"/>
      </top>
      <bottom style="thin">
        <color rgb="FFFFFFFF"/>
      </bottom>
    </border>
    <border>
      <left style="thin">
        <color rgb="FF292F50"/>
      </left>
      <right style="thin">
        <color rgb="FFFFFFFF"/>
      </right>
      <top style="thin">
        <color rgb="FFFFFFFF"/>
      </top>
      <bottom style="thin">
        <color rgb="FF292F50"/>
      </bottom>
    </border>
    <border>
      <left style="thin">
        <color rgb="FFFFFFFF"/>
      </left>
      <right style="thin">
        <color rgb="FFFFFFFF"/>
      </right>
      <top style="thin">
        <color rgb="FFFFFFFF"/>
      </top>
      <bottom style="thin">
        <color rgb="FF292F50"/>
      </bottom>
    </border>
    <border>
      <left style="thin">
        <color rgb="FFFFFFFF"/>
      </left>
      <right style="thin">
        <color rgb="FF292F50"/>
      </right>
      <top style="thin">
        <color rgb="FFFFFFFF"/>
      </top>
      <bottom style="thin">
        <color rgb="FF292F50"/>
      </bottom>
    </border>
    <border>
      <left style="thin">
        <color rgb="FF3E4791"/>
      </left>
      <right style="thin">
        <color rgb="FFFFFFFF"/>
      </right>
      <top style="thin">
        <color rgb="FFFFFFFF"/>
      </top>
      <bottom style="thin">
        <color rgb="FF3E4791"/>
      </bottom>
    </border>
    <border>
      <left style="thin">
        <color rgb="FFFFFFFF"/>
      </left>
      <right style="thin">
        <color rgb="FFFFFFFF"/>
      </right>
      <top style="thin">
        <color rgb="FFFFFFFF"/>
      </top>
      <bottom style="thin">
        <color rgb="FF3E4791"/>
      </bottom>
    </border>
    <border>
      <left style="thin">
        <color rgb="FFFFFFFF"/>
      </left>
      <right style="thin">
        <color rgb="FF3E4791"/>
      </right>
      <top style="thin">
        <color rgb="FFFFFFFF"/>
      </top>
      <bottom style="thin">
        <color rgb="FF3E4791"/>
      </bottom>
    </border>
    <border>
      <left style="thin">
        <color rgb="FFFFFFFF"/>
      </left>
      <right style="thick">
        <color rgb="FF000000"/>
      </right>
      <top style="thick">
        <color rgb="FF000000"/>
      </top>
      <bottom style="thick">
        <color rgb="FF000000"/>
      </bottom>
    </border>
    <border>
      <left style="thick">
        <color rgb="FF000000"/>
      </left>
      <right style="thick">
        <color rgb="FF000000"/>
      </right>
      <top style="thin">
        <color rgb="FFF6F8F9"/>
      </top>
      <bottom style="thick">
        <color rgb="FF000000"/>
      </bottom>
    </border>
    <border>
      <left style="thin">
        <color rgb="FFF6F8F9"/>
      </left>
      <right style="thin">
        <color rgb="FFF6F8F9"/>
      </right>
      <top style="thin">
        <color rgb="FFF6F8F9"/>
      </top>
      <bottom style="thick">
        <color rgb="FF000000"/>
      </bottom>
    </border>
    <border>
      <left style="thin">
        <color rgb="FFFFFFFF"/>
      </left>
      <right style="thin">
        <color rgb="FFFFFFFF"/>
      </right>
      <top style="thin">
        <color rgb="FFFFFFFF"/>
      </top>
      <bottom style="thin">
        <color rgb="FF284E3F"/>
      </bottom>
    </border>
    <border>
      <left style="thin">
        <color rgb="FF284E3F"/>
      </left>
      <right style="thin">
        <color rgb="FFF0F4F9"/>
      </right>
      <top style="thin">
        <color rgb="FFF0F4F9"/>
      </top>
      <bottom style="thin">
        <color rgb="FFF0F4F9"/>
      </bottom>
    </border>
    <border>
      <left style="thin">
        <color rgb="FFF0F4F9"/>
      </left>
      <right style="thin">
        <color rgb="FFF0F4F9"/>
      </right>
      <top style="thin">
        <color rgb="FFF0F4F9"/>
      </top>
      <bottom style="thin">
        <color rgb="FFF0F4F9"/>
      </bottom>
    </border>
    <border>
      <left style="thin">
        <color rgb="FFF0F4F9"/>
      </left>
      <right style="thin">
        <color rgb="FFF0F4F9"/>
      </right>
      <top style="thin">
        <color rgb="FFF0F4F9"/>
      </top>
      <bottom style="thin">
        <color rgb="FF284E3F"/>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ck">
        <color rgb="FF000000"/>
      </left>
      <right style="thin">
        <color rgb="FFFFFFFF"/>
      </right>
      <bottom style="thin">
        <color rgb="FFFFFFFF"/>
      </bottom>
    </border>
    <border>
      <left style="thick">
        <color rgb="FF000000"/>
      </left>
      <right style="thin">
        <color rgb="FFF6F8F9"/>
      </right>
      <top style="thin">
        <color rgb="FFF6F8F9"/>
      </top>
      <bottom style="thin">
        <color rgb="FFF6F8F9"/>
      </bottom>
    </border>
    <border>
      <left style="thick">
        <color rgb="FF000000"/>
      </left>
      <right style="thin">
        <color rgb="FFFFFFFF"/>
      </right>
      <top style="thin">
        <color rgb="FFFFFFFF"/>
      </top>
      <bottom style="thin">
        <color rgb="FFFFFFFF"/>
      </bottom>
    </border>
    <border>
      <left style="thick">
        <color rgb="FF000000"/>
      </left>
      <right style="thin">
        <color rgb="FFFFFFFF"/>
      </right>
      <top style="thin">
        <color rgb="FFFFFFFF"/>
      </top>
      <bottom style="thick">
        <color rgb="FF000000"/>
      </bottom>
    </border>
    <border>
      <left style="thin">
        <color rgb="FFFFFFFF"/>
      </left>
      <right style="thick">
        <color rgb="FF000000"/>
      </right>
      <top style="thin">
        <color rgb="FFFFFFFF"/>
      </top>
      <bottom style="thin">
        <color rgb="FFFFFFFF"/>
      </bottom>
    </border>
    <border>
      <left style="thin">
        <color rgb="FFF6F8F9"/>
      </left>
      <right style="thick">
        <color rgb="FF000000"/>
      </right>
      <top style="thin">
        <color rgb="FFF6F8F9"/>
      </top>
      <bottom style="thin">
        <color rgb="FFF6F8F9"/>
      </bottom>
    </border>
    <border>
      <left style="thin">
        <color rgb="FFBF9000"/>
      </left>
      <right style="thin">
        <color rgb="FFBF9000"/>
      </right>
      <top style="thin">
        <color rgb="FFBF9000"/>
      </top>
      <bottom style="thin">
        <color rgb="FFBF9000"/>
      </bottom>
    </border>
    <border>
      <left style="thin">
        <color rgb="FF284E3F"/>
      </left>
      <right style="thin">
        <color rgb="FF00FF00"/>
      </right>
      <top style="thin">
        <color rgb="FF00FF00"/>
      </top>
      <bottom style="thin">
        <color rgb="FF00FF00"/>
      </bottom>
    </border>
    <border>
      <left style="thin">
        <color rgb="FF00FF00"/>
      </left>
      <right style="thin">
        <color rgb="FF00FF00"/>
      </right>
      <top style="thin">
        <color rgb="FF00FF00"/>
      </top>
      <bottom style="thin">
        <color rgb="FF00FF00"/>
      </bottom>
    </border>
    <border>
      <left style="thin">
        <color rgb="FF00FF00"/>
      </left>
      <right style="thin">
        <color rgb="FF284E3F"/>
      </right>
      <top style="thin">
        <color rgb="FF00FF00"/>
      </top>
      <bottom style="thin">
        <color rgb="FF00FF00"/>
      </bottom>
    </border>
    <border>
      <left style="thin">
        <color rgb="FFFFFFFF"/>
      </left>
      <right style="thin">
        <color rgb="FFFFFFFF"/>
      </right>
      <top style="thin">
        <color rgb="FFFFFFFF"/>
      </top>
      <bottom style="thick">
        <color rgb="FF000000"/>
      </bottom>
    </border>
    <border>
      <left style="thin">
        <color rgb="FFBF9000"/>
      </left>
      <right style="thin">
        <color rgb="FFBF9000"/>
      </right>
      <top style="thin">
        <color rgb="FFBF9000"/>
      </top>
      <bottom style="thick">
        <color rgb="FF000000"/>
      </bottom>
    </border>
  </borders>
  <cellStyleXfs count="1">
    <xf numFmtId="0" fontId="0" fillId="0" borderId="0"/>
  </cellStyleXfs>
  <cellXfs count="771">
    <xf numFmtId="0" fontId="0" fillId="0" borderId="0" applyAlignment="1" pivotButton="0" quotePrefix="0" xfId="0">
      <alignment vertical="bottom"/>
    </xf>
    <xf numFmtId="0" fontId="1" fillId="0" borderId="1" applyAlignment="1" pivotButton="0" quotePrefix="0" xfId="0">
      <alignment horizontal="center" vertical="center" wrapText="1"/>
    </xf>
    <xf numFmtId="0" fontId="1" fillId="0" borderId="2" applyAlignment="1" pivotButton="0" quotePrefix="0" xfId="0">
      <alignment horizontal="center" vertical="center" wrapText="1"/>
    </xf>
    <xf numFmtId="49" fontId="1" fillId="0" borderId="2"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0" pivotButton="0" quotePrefix="0" xfId="0"/>
    <xf numFmtId="0" fontId="1" fillId="0" borderId="0" applyAlignment="1" pivotButton="0" quotePrefix="0" xfId="0">
      <alignment horizontal="center" wrapText="1"/>
    </xf>
    <xf numFmtId="0" fontId="1" fillId="0" borderId="4" applyAlignment="1" pivotButton="0" quotePrefix="0" xfId="0">
      <alignment horizontal="center" vertical="center"/>
    </xf>
    <xf numFmtId="0" fontId="1" fillId="0" borderId="5" applyAlignment="1" pivotButton="0" quotePrefix="0" xfId="0">
      <alignment horizontal="center" vertical="center"/>
    </xf>
    <xf numFmtId="49" fontId="1" fillId="0" borderId="5" applyAlignment="1" pivotButton="0" quotePrefix="0" xfId="0">
      <alignment vertical="bottom"/>
    </xf>
    <xf numFmtId="2" fontId="1" fillId="0" borderId="5" applyAlignment="1" pivotButton="0" quotePrefix="0" xfId="0">
      <alignment vertical="bottom"/>
    </xf>
    <xf numFmtId="2" fontId="1" fillId="0" borderId="5" applyAlignment="1" pivotButton="0" quotePrefix="0" xfId="0">
      <alignment vertical="center"/>
    </xf>
    <xf numFmtId="0" fontId="1" fillId="0" borderId="5" applyAlignment="1" pivotButton="0" quotePrefix="0" xfId="0">
      <alignment vertical="center"/>
    </xf>
    <xf numFmtId="0" fontId="1" fillId="0" borderId="6" applyAlignment="1" pivotButton="0" quotePrefix="0" xfId="0">
      <alignment vertical="center"/>
    </xf>
    <xf numFmtId="0" fontId="1" fillId="0" borderId="0" applyAlignment="1" pivotButton="0" quotePrefix="0" xfId="0">
      <alignment horizontal="center"/>
    </xf>
    <xf numFmtId="0" fontId="1" fillId="0" borderId="0" applyAlignment="1" pivotButton="0" quotePrefix="0" xfId="0">
      <alignment horizontal="right"/>
    </xf>
    <xf numFmtId="0" fontId="1" fillId="0" borderId="7" applyAlignment="1" pivotButton="0" quotePrefix="0" xfId="0">
      <alignment horizontal="center" vertical="center"/>
    </xf>
    <xf numFmtId="0" fontId="1" fillId="0" borderId="8" applyAlignment="1" pivotButton="0" quotePrefix="0" xfId="0">
      <alignment horizontal="center" vertical="center"/>
    </xf>
    <xf numFmtId="49" fontId="1" fillId="0" borderId="8" applyAlignment="1" pivotButton="0" quotePrefix="0" xfId="0">
      <alignment vertical="bottom"/>
    </xf>
    <xf numFmtId="2" fontId="1" fillId="0" borderId="8" applyAlignment="1" pivotButton="0" quotePrefix="0" xfId="0">
      <alignment vertical="bottom"/>
    </xf>
    <xf numFmtId="2" fontId="1" fillId="0" borderId="8" applyAlignment="1" pivotButton="0" quotePrefix="0" xfId="0">
      <alignment vertical="bottom"/>
    </xf>
    <xf numFmtId="0" fontId="1" fillId="0" borderId="8" applyAlignment="1" pivotButton="0" quotePrefix="0" xfId="0">
      <alignment vertical="bottom"/>
    </xf>
    <xf numFmtId="0" fontId="1" fillId="0" borderId="8" applyAlignment="1" pivotButton="0" quotePrefix="0" xfId="0">
      <alignment vertical="center"/>
    </xf>
    <xf numFmtId="2" fontId="1" fillId="0" borderId="8" applyAlignment="1" pivotButton="0" quotePrefix="0" xfId="0">
      <alignment vertical="center"/>
    </xf>
    <xf numFmtId="0" fontId="1" fillId="0" borderId="9" applyAlignment="1" pivotButton="0" quotePrefix="0" xfId="0">
      <alignment vertical="center"/>
    </xf>
    <xf numFmtId="0" fontId="1" fillId="0" borderId="5" applyAlignment="1" pivotButton="0" quotePrefix="0" xfId="0">
      <alignment horizontal="center" vertical="bottom"/>
    </xf>
    <xf numFmtId="0" fontId="1" fillId="0" borderId="5" applyAlignment="1" pivotButton="0" quotePrefix="0" xfId="0">
      <alignment vertical="bottom"/>
    </xf>
    <xf numFmtId="0" fontId="1" fillId="0" borderId="8" applyAlignment="1" pivotButton="0" quotePrefix="0" xfId="0">
      <alignment vertical="bottom"/>
    </xf>
    <xf numFmtId="0" fontId="1" fillId="0" borderId="5" applyAlignment="1" pivotButton="0" quotePrefix="0" xfId="0">
      <alignment vertical="bottom"/>
    </xf>
    <xf numFmtId="0" fontId="1" fillId="0" borderId="8" applyAlignment="1" pivotButton="0" quotePrefix="0" xfId="0">
      <alignment horizontal="center" vertical="bottom"/>
    </xf>
    <xf numFmtId="0" fontId="1" fillId="0" borderId="8" applyAlignment="1" pivotButton="0" quotePrefix="0" xfId="0">
      <alignment vertical="bottom"/>
    </xf>
    <xf numFmtId="0" fontId="1" fillId="0" borderId="0" applyAlignment="1" pivotButton="0" quotePrefix="0" xfId="0">
      <alignment horizontal="center"/>
    </xf>
    <xf numFmtId="0" fontId="1" fillId="0" borderId="5" applyAlignment="1" pivotButton="0" quotePrefix="0" xfId="0">
      <alignment vertical="bottom"/>
    </xf>
    <xf numFmtId="0" fontId="1" fillId="0" borderId="8" applyAlignment="1" pivotButton="0" quotePrefix="0" xfId="0">
      <alignment vertical="bottom"/>
    </xf>
    <xf numFmtId="2" fontId="1" fillId="0" borderId="5" applyAlignment="1" pivotButton="0" quotePrefix="0" xfId="0">
      <alignment vertical="bottom"/>
    </xf>
    <xf numFmtId="0" fontId="1" fillId="0" borderId="5" applyAlignment="1" pivotButton="0" quotePrefix="0" xfId="0">
      <alignment vertical="bottom"/>
    </xf>
    <xf numFmtId="49" fontId="1" fillId="0" borderId="5" applyAlignment="1" pivotButton="0" quotePrefix="0" xfId="0">
      <alignment vertical="bottom"/>
    </xf>
    <xf numFmtId="49" fontId="1" fillId="0" borderId="5" applyAlignment="1" pivotButton="0" quotePrefix="0" xfId="0">
      <alignment vertical="center"/>
    </xf>
    <xf numFmtId="49" fontId="1" fillId="0" borderId="8" applyAlignment="1" pivotButton="0" quotePrefix="0" xfId="0">
      <alignment vertical="center"/>
    </xf>
    <xf numFmtId="49" fontId="1" fillId="0" borderId="8" applyAlignment="1" pivotButton="0" quotePrefix="0" xfId="0">
      <alignment vertical="center"/>
    </xf>
    <xf numFmtId="49" fontId="1" fillId="0" borderId="5" applyAlignment="1" pivotButton="0" quotePrefix="0" xfId="0">
      <alignment vertical="bottom"/>
    </xf>
    <xf numFmtId="49" fontId="1" fillId="0" borderId="8" applyAlignment="1" pivotButton="0" quotePrefix="0" xfId="0">
      <alignment vertical="bottom"/>
    </xf>
    <xf numFmtId="0" fontId="1" fillId="0" borderId="5" applyAlignment="1" pivotButton="0" quotePrefix="0" xfId="0">
      <alignment vertical="center"/>
    </xf>
    <xf numFmtId="0" fontId="1" fillId="0" borderId="8" applyAlignment="1" pivotButton="0" quotePrefix="0" xfId="0">
      <alignment vertical="center"/>
    </xf>
    <xf numFmtId="49" fontId="1" fillId="0" borderId="5" applyAlignment="1" pivotButton="0" quotePrefix="0" xfId="0">
      <alignment vertical="center"/>
    </xf>
    <xf numFmtId="49" fontId="1" fillId="0" borderId="8" applyAlignment="1" pivotButton="0" quotePrefix="0" xfId="0">
      <alignment vertical="bottom"/>
    </xf>
    <xf numFmtId="0" fontId="1" fillId="0" borderId="5" applyAlignment="1" pivotButton="0" quotePrefix="0" xfId="0">
      <alignment vertical="bottom"/>
    </xf>
    <xf numFmtId="0" fontId="1" fillId="0" borderId="8" applyAlignment="1" pivotButton="0" quotePrefix="0" xfId="0">
      <alignment vertical="bottom"/>
    </xf>
    <xf numFmtId="0" fontId="1" fillId="0" borderId="10" applyAlignment="1" pivotButton="0" quotePrefix="0" xfId="0">
      <alignment horizontal="center" vertical="center"/>
    </xf>
    <xf numFmtId="0" fontId="1" fillId="0" borderId="11" applyAlignment="1" pivotButton="0" quotePrefix="0" xfId="0">
      <alignment horizontal="center" vertical="center"/>
    </xf>
    <xf numFmtId="49" fontId="1" fillId="0" borderId="11" applyAlignment="1" pivotButton="0" quotePrefix="0" xfId="0">
      <alignment vertical="bottom"/>
    </xf>
    <xf numFmtId="2" fontId="1" fillId="0" borderId="11" applyAlignment="1" pivotButton="0" quotePrefix="0" xfId="0">
      <alignment vertical="bottom"/>
    </xf>
    <xf numFmtId="2" fontId="1" fillId="0" borderId="11" applyAlignment="1" pivotButton="0" quotePrefix="0" xfId="0">
      <alignment vertical="bottom"/>
    </xf>
    <xf numFmtId="0" fontId="1" fillId="0" borderId="11" applyAlignment="1" pivotButton="0" quotePrefix="0" xfId="0">
      <alignment vertical="bottom"/>
    </xf>
    <xf numFmtId="0" fontId="1" fillId="0" borderId="11" applyAlignment="1" pivotButton="0" quotePrefix="0" xfId="0">
      <alignment vertical="center"/>
    </xf>
    <xf numFmtId="0" fontId="1" fillId="0" borderId="12" applyAlignment="1" pivotButton="0" quotePrefix="0" xfId="0">
      <alignment vertical="center"/>
    </xf>
    <xf numFmtId="0" fontId="1" fillId="0" borderId="0" pivotButton="0" quotePrefix="0" xfId="0"/>
    <xf numFmtId="0" fontId="1" fillId="0" borderId="0" applyAlignment="1" pivotButton="0" quotePrefix="0" xfId="0">
      <alignment horizontal="right"/>
    </xf>
    <xf numFmtId="0" fontId="1" fillId="0" borderId="0" pivotButton="0" quotePrefix="0" xfId="0"/>
    <xf numFmtId="0" fontId="1" fillId="0" borderId="8" applyAlignment="1" pivotButton="0" quotePrefix="0" xfId="0">
      <alignment vertical="center"/>
    </xf>
    <xf numFmtId="0" fontId="2" fillId="2" borderId="0" applyAlignment="1" pivotButton="0" quotePrefix="0" xfId="0">
      <alignment horizontal="center"/>
    </xf>
    <xf numFmtId="0" fontId="2" fillId="2" borderId="0" pivotButton="0" quotePrefix="0" xfId="0"/>
    <xf numFmtId="0" fontId="2" fillId="2" borderId="0" applyAlignment="1" pivotButton="0" quotePrefix="0" xfId="0">
      <alignment horizontal="right"/>
    </xf>
    <xf numFmtId="2" fontId="3" fillId="3" borderId="5" applyAlignment="1" pivotButton="0" quotePrefix="0" xfId="0">
      <alignment horizontal="right" vertical="center"/>
    </xf>
    <xf numFmtId="0" fontId="1" fillId="0" borderId="0" pivotButton="0" quotePrefix="0" xfId="0"/>
    <xf numFmtId="2" fontId="3" fillId="4" borderId="8" applyAlignment="1" pivotButton="0" quotePrefix="0" xfId="0">
      <alignment horizontal="right" vertical="center"/>
    </xf>
    <xf numFmtId="0" fontId="1" fillId="0" borderId="0" applyAlignment="1" pivotButton="0" quotePrefix="0" xfId="0">
      <alignment horizontal="left"/>
    </xf>
    <xf numFmtId="2" fontId="1" fillId="0" borderId="0" applyAlignment="1" pivotButton="0" quotePrefix="0" xfId="0">
      <alignment horizontal="right"/>
    </xf>
    <xf numFmtId="0" fontId="1" fillId="0" borderId="0" applyAlignment="1" pivotButton="0" quotePrefix="0" xfId="0">
      <alignment horizontal="center"/>
    </xf>
    <xf numFmtId="0" fontId="1" fillId="0" borderId="13" applyAlignment="1" pivotButton="0" quotePrefix="0" xfId="0">
      <alignment horizontal="center"/>
    </xf>
    <xf numFmtId="2" fontId="1" fillId="0" borderId="14" applyAlignment="1" pivotButton="0" quotePrefix="0" xfId="0">
      <alignment horizontal="right"/>
    </xf>
    <xf numFmtId="0" fontId="1" fillId="0" borderId="15" applyAlignment="1" pivotButton="0" quotePrefix="0" xfId="0">
      <alignment horizontal="center"/>
    </xf>
    <xf numFmtId="0" fontId="1" fillId="0" borderId="16" applyAlignment="1" pivotButton="0" quotePrefix="0" xfId="0">
      <alignment horizontal="center"/>
    </xf>
    <xf numFmtId="0" fontId="1" fillId="0" borderId="17" applyAlignment="1" pivotButton="0" quotePrefix="0" xfId="0">
      <alignment horizontal="center"/>
    </xf>
    <xf numFmtId="0" fontId="1" fillId="0" borderId="18" applyAlignment="1" pivotButton="0" quotePrefix="0" xfId="0">
      <alignment horizontal="center"/>
    </xf>
    <xf numFmtId="0" fontId="1" fillId="0" borderId="19" applyAlignment="1" pivotButton="0" quotePrefix="0" xfId="0">
      <alignment horizontal="right"/>
    </xf>
    <xf numFmtId="0" fontId="1" fillId="0" borderId="20" applyAlignment="1" pivotButton="0" quotePrefix="0" xfId="0">
      <alignment horizontal="center"/>
    </xf>
    <xf numFmtId="2" fontId="4" fillId="0" borderId="0" pivotButton="0" quotePrefix="0" xfId="0"/>
    <xf numFmtId="0" fontId="4" fillId="0" borderId="1"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0" borderId="0" applyAlignment="1" pivotButton="0" quotePrefix="0" xfId="0">
      <alignment horizont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4" fillId="0" borderId="21" applyAlignment="1" pivotButton="0" quotePrefix="0" xfId="0">
      <alignment horizontal="left" vertical="center"/>
    </xf>
    <xf numFmtId="0" fontId="4" fillId="0" borderId="22"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center" wrapText="1"/>
    </xf>
    <xf numFmtId="0" fontId="4" fillId="0" borderId="23" applyAlignment="1" pivotButton="0" quotePrefix="0" xfId="0">
      <alignment horizontal="center" vertical="center" wrapText="1"/>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0" borderId="0" applyAlignment="1" pivotButton="0" quotePrefix="0" xfId="0">
      <alignment horizontal="center"/>
    </xf>
    <xf numFmtId="0" fontId="4" fillId="0" borderId="5" applyAlignment="1" pivotButton="0" quotePrefix="0" xfId="0">
      <alignment vertical="center"/>
    </xf>
    <xf numFmtId="0" fontId="4" fillId="0" borderId="6" applyAlignment="1" pivotButton="0" quotePrefix="0" xfId="0">
      <alignment vertical="center"/>
    </xf>
    <xf numFmtId="0" fontId="4" fillId="0" borderId="0" pivotButton="0" quotePrefix="0" xfId="0"/>
    <xf numFmtId="0" fontId="4" fillId="0" borderId="24" applyAlignment="1" pivotButton="0" quotePrefix="0" xfId="0">
      <alignment horizontal="center" vertical="center"/>
    </xf>
    <xf numFmtId="0" fontId="4" fillId="0" borderId="5" applyAlignment="1" pivotButton="0" quotePrefix="0" xfId="0">
      <alignment vertical="center"/>
    </xf>
    <xf numFmtId="164" fontId="4" fillId="0" borderId="25" applyAlignment="1" pivotButton="0" quotePrefix="0" xfId="0">
      <alignment vertical="center"/>
    </xf>
    <xf numFmtId="0" fontId="4" fillId="0" borderId="0" applyAlignment="1" pivotButton="0" quotePrefix="0" xfId="0">
      <alignment horizontal="center"/>
    </xf>
    <xf numFmtId="164" fontId="4" fillId="0" borderId="25" applyAlignment="1" pivotButton="0" quotePrefix="0" xfId="0">
      <alignment vertical="center"/>
    </xf>
    <xf numFmtId="0" fontId="4" fillId="0" borderId="7" applyAlignment="1" pivotButton="0" quotePrefix="0" xfId="0">
      <alignment horizontal="center" vertical="center"/>
    </xf>
    <xf numFmtId="0" fontId="4" fillId="0" borderId="8" applyAlignment="1" pivotButton="0" quotePrefix="0" xfId="0">
      <alignment horizontal="center" vertical="center"/>
    </xf>
    <xf numFmtId="2" fontId="1" fillId="0" borderId="9" applyAlignment="1" pivotButton="0" quotePrefix="0" xfId="0">
      <alignment horizontal="center" vertical="bottom"/>
    </xf>
    <xf numFmtId="0" fontId="4" fillId="0" borderId="8" applyAlignment="1" pivotButton="0" quotePrefix="0" xfId="0">
      <alignment vertical="center"/>
    </xf>
    <xf numFmtId="0" fontId="4" fillId="0" borderId="9" applyAlignment="1" pivotButton="0" quotePrefix="0" xfId="0">
      <alignment vertical="center"/>
    </xf>
    <xf numFmtId="0" fontId="4" fillId="0" borderId="26" applyAlignment="1" pivotButton="0" quotePrefix="0" xfId="0">
      <alignment horizontal="center" vertical="center"/>
    </xf>
    <xf numFmtId="0" fontId="4" fillId="0" borderId="8" applyAlignment="1" pivotButton="0" quotePrefix="0" xfId="0">
      <alignment vertical="center"/>
    </xf>
    <xf numFmtId="164" fontId="4" fillId="0" borderId="27" applyAlignment="1" pivotButton="0" quotePrefix="0" xfId="0">
      <alignment vertical="center"/>
    </xf>
    <xf numFmtId="164" fontId="4" fillId="0" borderId="27" applyAlignment="1" pivotButton="0" quotePrefix="0" xfId="0">
      <alignment vertical="center"/>
    </xf>
    <xf numFmtId="0" fontId="1" fillId="0" borderId="6" applyAlignment="1" pivotButton="0" quotePrefix="0" xfId="0">
      <alignment horizontal="center" vertical="bottom"/>
    </xf>
    <xf numFmtId="49" fontId="1" fillId="0" borderId="9" applyAlignment="1" pivotButton="0" quotePrefix="0" xfId="0">
      <alignment horizontal="center" vertical="bottom"/>
    </xf>
    <xf numFmtId="0" fontId="4" fillId="0" borderId="9" applyAlignment="1" pivotButton="0" quotePrefix="0" xfId="0">
      <alignment horizontal="center" vertical="center"/>
    </xf>
    <xf numFmtId="0" fontId="4" fillId="0" borderId="9" applyAlignment="1" pivotButton="0" quotePrefix="0" xfId="0">
      <alignment horizontal="center" vertical="center"/>
    </xf>
    <xf numFmtId="49" fontId="1" fillId="0" borderId="6" applyAlignment="1" pivotButton="0" quotePrefix="0" xfId="0">
      <alignment horizontal="center" vertical="bottom"/>
    </xf>
    <xf numFmtId="0" fontId="1" fillId="0" borderId="9" applyAlignment="1" pivotButton="0" quotePrefix="0" xfId="0">
      <alignment horizontal="center" vertical="bottom"/>
    </xf>
    <xf numFmtId="0" fontId="4" fillId="0" borderId="6" applyAlignment="1" pivotButton="0" quotePrefix="0" xfId="0">
      <alignment horizontal="center" vertical="center"/>
    </xf>
    <xf numFmtId="0" fontId="4" fillId="0" borderId="28" applyAlignment="1" pivotButton="0" quotePrefix="0" xfId="0">
      <alignment horizontal="center" vertical="center"/>
    </xf>
    <xf numFmtId="0" fontId="4" fillId="0" borderId="29" applyAlignment="1" pivotButton="0" quotePrefix="0" xfId="0">
      <alignment vertical="center"/>
    </xf>
    <xf numFmtId="164" fontId="4" fillId="0" borderId="30" applyAlignment="1" pivotButton="0" quotePrefix="0" xfId="0">
      <alignment vertical="center"/>
    </xf>
    <xf numFmtId="0" fontId="4" fillId="0" borderId="29" applyAlignment="1" pivotButton="0" quotePrefix="0" xfId="0">
      <alignment vertical="center"/>
    </xf>
    <xf numFmtId="164" fontId="4" fillId="0" borderId="30" applyAlignment="1" pivotButton="0" quotePrefix="0" xfId="0">
      <alignment vertical="center"/>
    </xf>
    <xf numFmtId="0" fontId="1" fillId="0" borderId="6" applyAlignment="1" pivotButton="0" quotePrefix="0" xfId="0">
      <alignment horizontal="center" vertical="bottom"/>
    </xf>
    <xf numFmtId="49" fontId="1" fillId="0" borderId="0" applyAlignment="1" pivotButton="0" quotePrefix="0" xfId="0">
      <alignment horizontal="center" vertical="bottom"/>
    </xf>
    <xf numFmtId="0" fontId="1" fillId="0" borderId="0" applyAlignment="1" pivotButton="0" quotePrefix="0" xfId="0">
      <alignment horizontal="center" vertical="bottom"/>
    </xf>
    <xf numFmtId="0" fontId="1" fillId="0" borderId="9" applyAlignment="1" pivotButton="0" quotePrefix="0" xfId="0">
      <alignment horizontal="center" vertical="bottom"/>
    </xf>
    <xf numFmtId="0" fontId="1" fillId="0" borderId="6" applyAlignment="1" pivotButton="0" quotePrefix="0" xfId="0">
      <alignment horizontal="center" vertical="bottom"/>
    </xf>
    <xf numFmtId="0" fontId="6" fillId="0" borderId="0" applyAlignment="1" pivotButton="0" quotePrefix="0" xfId="0">
      <alignment vertical="bottom"/>
    </xf>
    <xf numFmtId="0" fontId="6" fillId="0" borderId="0" applyAlignment="1" pivotButton="0" quotePrefix="0" xfId="0">
      <alignment horizontal="center" vertical="bottom"/>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1" fillId="0" borderId="12" applyAlignment="1" pivotButton="0" quotePrefix="0" xfId="0">
      <alignment horizontal="center" vertical="bottom"/>
    </xf>
    <xf numFmtId="0" fontId="4" fillId="0" borderId="31" applyAlignment="1" pivotButton="0" quotePrefix="0" xfId="0">
      <alignment horizontal="center"/>
    </xf>
    <xf numFmtId="0" fontId="4" fillId="0" borderId="32" applyAlignment="1" pivotButton="0" quotePrefix="0" xfId="0">
      <alignment horizontal="center"/>
    </xf>
    <xf numFmtId="0" fontId="7" fillId="0" borderId="33" pivotButton="0" quotePrefix="0" xfId="0"/>
    <xf numFmtId="0" fontId="7" fillId="0" borderId="34" pivotButton="0" quotePrefix="0" xfId="0"/>
    <xf numFmtId="0" fontId="7" fillId="0" borderId="35" pivotButton="0" quotePrefix="0" xfId="0"/>
    <xf numFmtId="0" fontId="4" fillId="5" borderId="36" applyAlignment="1" pivotButton="0" quotePrefix="0" xfId="0">
      <alignment horizontal="center"/>
    </xf>
    <xf numFmtId="0" fontId="4" fillId="6" borderId="36" applyAlignment="1" pivotButton="0" quotePrefix="0" xfId="0">
      <alignment horizontal="center"/>
    </xf>
    <xf numFmtId="0" fontId="4" fillId="7" borderId="36" applyAlignment="1" pivotButton="0" quotePrefix="0" xfId="0">
      <alignment horizontal="center"/>
    </xf>
    <xf numFmtId="0" fontId="4" fillId="0" borderId="36" applyAlignment="1" pivotButton="0" quotePrefix="0" xfId="0">
      <alignment horizontal="center"/>
    </xf>
    <xf numFmtId="0" fontId="4" fillId="0" borderId="31" applyAlignment="1" pivotButton="0" quotePrefix="0" xfId="0">
      <alignment horizontal="left"/>
    </xf>
    <xf numFmtId="0" fontId="4" fillId="0" borderId="37" applyAlignment="1" pivotButton="0" quotePrefix="0" xfId="0">
      <alignment horizontal="center"/>
    </xf>
    <xf numFmtId="0" fontId="4" fillId="0" borderId="38" applyAlignment="1" pivotButton="0" quotePrefix="0" xfId="0">
      <alignment horizontal="center"/>
    </xf>
    <xf numFmtId="0" fontId="4" fillId="0" borderId="39" applyAlignment="1" pivotButton="0" quotePrefix="0" xfId="0">
      <alignment horizontal="center"/>
    </xf>
    <xf numFmtId="0" fontId="4" fillId="0" borderId="40" applyAlignment="1" pivotButton="0" quotePrefix="0" xfId="0">
      <alignment horizontal="left"/>
    </xf>
    <xf numFmtId="0" fontId="4" fillId="0" borderId="41" applyAlignment="1" pivotButton="0" quotePrefix="0" xfId="0">
      <alignment horizontal="center"/>
    </xf>
    <xf numFmtId="0" fontId="4" fillId="0" borderId="42" applyAlignment="1" pivotButton="0" quotePrefix="0" xfId="0">
      <alignment horizontal="center"/>
    </xf>
    <xf numFmtId="2" fontId="1" fillId="0" borderId="0" applyAlignment="1" pivotButton="0" quotePrefix="0" xfId="0">
      <alignment horizontal="center" vertical="bottom"/>
    </xf>
    <xf numFmtId="0" fontId="1" fillId="0" borderId="0" applyAlignment="1" pivotButton="0" quotePrefix="0" xfId="0">
      <alignment horizontal="center" vertical="bottom"/>
    </xf>
    <xf numFmtId="0" fontId="4" fillId="0" borderId="35" applyAlignment="1" pivotButton="0" quotePrefix="0" xfId="0">
      <alignment horizontal="left"/>
    </xf>
    <xf numFmtId="0" fontId="4" fillId="0" borderId="43" applyAlignment="1" pivotButton="0" quotePrefix="0" xfId="0">
      <alignment horizontal="center"/>
    </xf>
    <xf numFmtId="0" fontId="4" fillId="0" borderId="44" applyAlignment="1" pivotButton="0" quotePrefix="0" xfId="0">
      <alignment horizontal="center"/>
    </xf>
    <xf numFmtId="0" fontId="4" fillId="0" borderId="45" applyAlignment="1" pivotButton="0" quotePrefix="0" xfId="0">
      <alignment horizontal="center"/>
    </xf>
    <xf numFmtId="0" fontId="4" fillId="0" borderId="0" applyAlignment="1" pivotButton="0" quotePrefix="0" xfId="0">
      <alignment horizontal="left"/>
    </xf>
    <xf numFmtId="0" fontId="4" fillId="0" borderId="0" applyAlignment="1" pivotButton="0" quotePrefix="0" xfId="0">
      <alignment horizontal="left"/>
    </xf>
    <xf numFmtId="0" fontId="1" fillId="0" borderId="0" applyAlignment="1" pivotButton="0" quotePrefix="0" xfId="0">
      <alignment horizontal="center" vertical="bottom"/>
    </xf>
    <xf numFmtId="0" fontId="6" fillId="0" borderId="0" applyAlignment="1" pivotButton="0" quotePrefix="0" xfId="0">
      <alignment horizontal="center" vertical="bottom"/>
    </xf>
    <xf numFmtId="0" fontId="8" fillId="0" borderId="1" applyAlignment="1" pivotButton="0" quotePrefix="0" xfId="0">
      <alignment horizontal="center" vertical="top" wrapText="1"/>
    </xf>
    <xf numFmtId="0" fontId="8" fillId="0" borderId="2" applyAlignment="1" pivotButton="0" quotePrefix="0" xfId="0">
      <alignment horizontal="center" vertical="top" wrapText="1"/>
    </xf>
    <xf numFmtId="49" fontId="8" fillId="0" borderId="2" applyAlignment="1" pivotButton="0" quotePrefix="0" xfId="0">
      <alignment horizontal="center" vertical="top" wrapText="1"/>
    </xf>
    <xf numFmtId="0" fontId="8" fillId="0" borderId="2" applyAlignment="1" pivotButton="0" quotePrefix="0" xfId="0">
      <alignment horizontal="center" vertical="top" wrapText="1"/>
    </xf>
    <xf numFmtId="49" fontId="8" fillId="0" borderId="2" applyAlignment="1" pivotButton="0" quotePrefix="0" xfId="0">
      <alignment horizontal="center" vertical="top" wrapText="1"/>
    </xf>
    <xf numFmtId="0" fontId="8" fillId="0" borderId="3" applyAlignment="1" pivotButton="0" quotePrefix="0" xfId="0">
      <alignment horizontal="center" vertical="top" wrapText="1"/>
    </xf>
    <xf numFmtId="0" fontId="4" fillId="0" borderId="0" applyAlignment="1" pivotButton="0" quotePrefix="0" xfId="0">
      <alignment wrapText="1"/>
    </xf>
    <xf numFmtId="0" fontId="5" fillId="7" borderId="46" applyAlignment="1" pivotButton="0" quotePrefix="0" xfId="0">
      <alignment horizontal="center" vertical="center" wrapText="1"/>
    </xf>
    <xf numFmtId="0" fontId="5" fillId="7" borderId="47" applyAlignment="1" pivotButton="0" quotePrefix="0" xfId="0">
      <alignment horizontal="center" vertical="center" wrapText="1"/>
    </xf>
    <xf numFmtId="49" fontId="5" fillId="7" borderId="47" applyAlignment="1" pivotButton="0" quotePrefix="0" xfId="0">
      <alignment horizontal="center" vertical="center" wrapText="1"/>
    </xf>
    <xf numFmtId="0" fontId="5" fillId="7" borderId="48" applyAlignment="1" pivotButton="0" quotePrefix="0" xfId="0">
      <alignment horizontal="center" vertical="center" wrapText="1"/>
    </xf>
    <xf numFmtId="0" fontId="1" fillId="0" borderId="4" applyAlignment="1" pivotButton="0" quotePrefix="0" xfId="0">
      <alignment vertical="bottom"/>
    </xf>
    <xf numFmtId="0" fontId="1" fillId="0" borderId="5" applyAlignment="1" pivotButton="0" quotePrefix="0" xfId="0">
      <alignment horizontal="right" vertical="bottom"/>
    </xf>
    <xf numFmtId="0" fontId="1" fillId="0" borderId="5" applyAlignment="1" pivotButton="0" quotePrefix="0" xfId="0">
      <alignment horizontal="center" vertical="bottom"/>
    </xf>
    <xf numFmtId="0" fontId="1" fillId="0" borderId="5" applyAlignment="1" pivotButton="0" quotePrefix="0" xfId="0">
      <alignment vertical="bottom"/>
    </xf>
    <xf numFmtId="0" fontId="1" fillId="0" borderId="6" applyAlignment="1" pivotButton="0" quotePrefix="0" xfId="0">
      <alignment vertical="bottom"/>
    </xf>
    <xf numFmtId="0" fontId="4" fillId="0" borderId="49" applyAlignment="1" pivotButton="0" quotePrefix="0" xfId="0">
      <alignment horizontal="center" vertical="center"/>
    </xf>
    <xf numFmtId="0" fontId="4" fillId="0" borderId="50" applyAlignment="1" pivotButton="0" quotePrefix="0" xfId="0">
      <alignment vertical="center"/>
    </xf>
    <xf numFmtId="0" fontId="1" fillId="0" borderId="7" applyAlignment="1" pivotButton="0" quotePrefix="0" xfId="0">
      <alignment vertical="bottom"/>
    </xf>
    <xf numFmtId="0" fontId="1" fillId="0" borderId="8" applyAlignment="1" pivotButton="0" quotePrefix="0" xfId="0">
      <alignment horizontal="right" vertical="bottom"/>
    </xf>
    <xf numFmtId="0" fontId="1" fillId="0" borderId="8" applyAlignment="1" pivotButton="0" quotePrefix="0" xfId="0">
      <alignment horizontal="center" vertical="bottom"/>
    </xf>
    <xf numFmtId="0" fontId="1" fillId="0" borderId="8" applyAlignment="1" pivotButton="0" quotePrefix="0" xfId="0">
      <alignment vertical="bottom"/>
    </xf>
    <xf numFmtId="0" fontId="1" fillId="0" borderId="9" applyAlignment="1" pivotButton="0" quotePrefix="0" xfId="0">
      <alignment vertical="bottom"/>
    </xf>
    <xf numFmtId="0" fontId="4" fillId="0" borderId="0" applyAlignment="1" pivotButton="0" quotePrefix="0" xfId="0">
      <alignment vertical="top" wrapText="1"/>
    </xf>
    <xf numFmtId="0" fontId="4" fillId="0" borderId="51" applyAlignment="1" pivotButton="0" quotePrefix="0" xfId="0">
      <alignment horizontal="center" vertical="center"/>
    </xf>
    <xf numFmtId="0" fontId="4" fillId="0" borderId="52" applyAlignment="1" pivotButton="0" quotePrefix="0" xfId="0">
      <alignment vertical="center"/>
    </xf>
    <xf numFmtId="0" fontId="4" fillId="0" borderId="53" applyAlignment="1" pivotButton="0" quotePrefix="0" xfId="0">
      <alignment horizontal="center" vertical="center"/>
    </xf>
    <xf numFmtId="0" fontId="4" fillId="0" borderId="54" applyAlignment="1" pivotButton="0" quotePrefix="0" xfId="0">
      <alignment vertical="center"/>
    </xf>
    <xf numFmtId="0" fontId="4" fillId="0" borderId="55" applyAlignment="1" pivotButton="0" quotePrefix="0" xfId="0">
      <alignment vertical="center"/>
    </xf>
    <xf numFmtId="0" fontId="1" fillId="0" borderId="5" applyAlignment="1" pivotButton="0" quotePrefix="0" xfId="0">
      <alignment horizontal="right" vertical="bottom"/>
    </xf>
    <xf numFmtId="0" fontId="1" fillId="0" borderId="8" applyAlignment="1" pivotButton="0" quotePrefix="0" xfId="0">
      <alignment horizontal="right" vertical="bottom"/>
    </xf>
    <xf numFmtId="0" fontId="1" fillId="0" borderId="9" applyAlignment="1" pivotButton="0" quotePrefix="0" xfId="0">
      <alignment vertical="bottom"/>
    </xf>
    <xf numFmtId="0" fontId="1" fillId="0" borderId="6" applyAlignment="1" pivotButton="0" quotePrefix="0" xfId="0">
      <alignment vertical="bottom"/>
    </xf>
    <xf numFmtId="0" fontId="4" fillId="0" borderId="8" applyAlignment="1" pivotButton="0" quotePrefix="0" xfId="0">
      <alignment vertical="center"/>
    </xf>
    <xf numFmtId="0" fontId="4" fillId="0" borderId="9" applyAlignment="1" pivotButton="0" quotePrefix="0" xfId="0">
      <alignment vertical="center"/>
    </xf>
    <xf numFmtId="0" fontId="3" fillId="4" borderId="5" applyAlignment="1" pivotButton="0" quotePrefix="0" xfId="0">
      <alignment horizontal="right" vertical="bottom"/>
    </xf>
    <xf numFmtId="0" fontId="3" fillId="4" borderId="8" applyAlignment="1" pivotButton="0" quotePrefix="0" xfId="0">
      <alignment horizontal="right" vertical="bottom"/>
    </xf>
    <xf numFmtId="0" fontId="3" fillId="3" borderId="8" applyAlignment="1" pivotButton="0" quotePrefix="0" xfId="0">
      <alignment horizontal="right" vertical="bottom"/>
    </xf>
    <xf numFmtId="0" fontId="3" fillId="4" borderId="8" applyAlignment="1" pivotButton="0" quotePrefix="0" xfId="0">
      <alignment vertical="bottom"/>
    </xf>
    <xf numFmtId="0" fontId="3" fillId="4" borderId="9" applyAlignment="1" pivotButton="0" quotePrefix="0" xfId="0">
      <alignment vertical="bottom"/>
    </xf>
    <xf numFmtId="0" fontId="3" fillId="4" borderId="5" applyAlignment="1" pivotButton="0" quotePrefix="0" xfId="0">
      <alignment vertical="bottom"/>
    </xf>
    <xf numFmtId="0" fontId="3" fillId="3" borderId="8" applyAlignment="1" pivotButton="0" quotePrefix="0" xfId="0">
      <alignment vertical="bottom"/>
    </xf>
    <xf numFmtId="0" fontId="3" fillId="3" borderId="5" applyAlignment="1" pivotButton="0" quotePrefix="0" xfId="0">
      <alignment horizontal="right" vertical="bottom"/>
    </xf>
    <xf numFmtId="0" fontId="3" fillId="3" borderId="9" applyAlignment="1" pivotButton="0" quotePrefix="0" xfId="0">
      <alignment vertical="bottom"/>
    </xf>
    <xf numFmtId="0" fontId="3" fillId="3" borderId="5" applyAlignment="1" pivotButton="0" quotePrefix="0" xfId="0">
      <alignment vertical="bottom"/>
    </xf>
    <xf numFmtId="0" fontId="3" fillId="3" borderId="6" applyAlignment="1" pivotButton="0" quotePrefix="0" xfId="0">
      <alignment vertical="bottom"/>
    </xf>
    <xf numFmtId="0" fontId="3" fillId="3" borderId="5" applyAlignment="1" pivotButton="0" quotePrefix="0" xfId="0">
      <alignment vertical="bottom"/>
    </xf>
    <xf numFmtId="0" fontId="3" fillId="4" borderId="6" applyAlignment="1" pivotButton="0" quotePrefix="0" xfId="0">
      <alignment vertical="bottom"/>
    </xf>
    <xf numFmtId="0" fontId="1" fillId="0" borderId="4" applyAlignment="1" pivotButton="0" quotePrefix="0" xfId="0">
      <alignment vertical="bottom"/>
    </xf>
    <xf numFmtId="0" fontId="1" fillId="0" borderId="7" applyAlignment="1" pivotButton="0" quotePrefix="0" xfId="0">
      <alignment vertical="bottom"/>
    </xf>
    <xf numFmtId="0" fontId="1" fillId="0" borderId="7" applyAlignment="1" pivotButton="0" quotePrefix="0" xfId="0">
      <alignment vertical="bottom"/>
    </xf>
    <xf numFmtId="0" fontId="1" fillId="0" borderId="8" applyAlignment="1" pivotButton="0" quotePrefix="0" xfId="0">
      <alignment vertical="bottom"/>
    </xf>
    <xf numFmtId="0" fontId="1" fillId="0" borderId="8" applyAlignment="1" pivotButton="0" quotePrefix="0" xfId="0">
      <alignment horizontal="center" vertical="bottom"/>
    </xf>
    <xf numFmtId="0" fontId="1" fillId="0" borderId="9" applyAlignment="1" pivotButton="0" quotePrefix="0" xfId="0">
      <alignment vertical="bottom"/>
    </xf>
    <xf numFmtId="0" fontId="1" fillId="0" borderId="4" applyAlignment="1" pivotButton="0" quotePrefix="0" xfId="0">
      <alignment vertical="bottom"/>
    </xf>
    <xf numFmtId="0" fontId="1" fillId="0" borderId="5" applyAlignment="1" pivotButton="0" quotePrefix="0" xfId="0">
      <alignment vertical="bottom"/>
    </xf>
    <xf numFmtId="0" fontId="1" fillId="0" borderId="5" applyAlignment="1" pivotButton="0" quotePrefix="0" xfId="0">
      <alignment horizontal="center" vertical="bottom"/>
    </xf>
    <xf numFmtId="0" fontId="1" fillId="0" borderId="6" applyAlignment="1" pivotButton="0" quotePrefix="0" xfId="0">
      <alignment vertical="bottom"/>
    </xf>
    <xf numFmtId="0" fontId="1" fillId="0" borderId="4" applyAlignment="1" pivotButton="0" quotePrefix="0" xfId="0">
      <alignment vertical="bottom"/>
    </xf>
    <xf numFmtId="0" fontId="1" fillId="0" borderId="5" applyAlignment="1" pivotButton="0" quotePrefix="0" xfId="0">
      <alignment horizontal="center" vertical="bottom"/>
    </xf>
    <xf numFmtId="0" fontId="1" fillId="0" borderId="7" applyAlignment="1" pivotButton="0" quotePrefix="0" xfId="0">
      <alignment vertical="bottom"/>
    </xf>
    <xf numFmtId="0" fontId="1" fillId="0" borderId="8" applyAlignment="1" pivotButton="0" quotePrefix="0" xfId="0">
      <alignment horizontal="center" vertical="bottom"/>
    </xf>
    <xf numFmtId="0" fontId="1" fillId="0" borderId="10" applyAlignment="1" pivotButton="0" quotePrefix="0" xfId="0">
      <alignment vertical="bottom"/>
    </xf>
    <xf numFmtId="0" fontId="1" fillId="0" borderId="11" applyAlignment="1" pivotButton="0" quotePrefix="0" xfId="0">
      <alignment vertical="bottom"/>
    </xf>
    <xf numFmtId="0" fontId="1" fillId="0" borderId="11" applyAlignment="1" pivotButton="0" quotePrefix="0" xfId="0">
      <alignment horizontal="center" vertical="bottom"/>
    </xf>
    <xf numFmtId="0" fontId="1" fillId="0" borderId="12" applyAlignment="1" pivotButton="0" quotePrefix="0" xfId="0">
      <alignment vertical="bottom"/>
    </xf>
    <xf numFmtId="0" fontId="4" fillId="0" borderId="0" applyAlignment="1" pivotButton="0" quotePrefix="0" xfId="0">
      <alignment wrapText="1"/>
    </xf>
    <xf numFmtId="164" fontId="4" fillId="0" borderId="0" pivotButton="0" quotePrefix="0" xfId="0"/>
    <xf numFmtId="0" fontId="4" fillId="0" borderId="0" applyAlignment="1" pivotButton="0" quotePrefix="0" xfId="0">
      <alignment wrapText="1"/>
    </xf>
    <xf numFmtId="0" fontId="4" fillId="0" borderId="0" pivotButton="0" quotePrefix="0" xfId="0"/>
    <xf numFmtId="0" fontId="4" fillId="0" borderId="24" applyAlignment="1" pivotButton="0" quotePrefix="0" xfId="0">
      <alignment vertical="center"/>
    </xf>
    <xf numFmtId="0" fontId="4" fillId="0" borderId="26" applyAlignment="1" pivotButton="0" quotePrefix="0" xfId="0">
      <alignment vertical="center"/>
    </xf>
    <xf numFmtId="0" fontId="4" fillId="0" borderId="28" applyAlignment="1" pivotButton="0" quotePrefix="0" xfId="0">
      <alignment vertical="center"/>
    </xf>
    <xf numFmtId="0" fontId="9" fillId="0" borderId="0" pivotButton="0" quotePrefix="0" xfId="0"/>
    <xf numFmtId="0" fontId="10" fillId="0" borderId="0" applyAlignment="1" pivotButton="0" quotePrefix="0" xfId="0">
      <alignment horizontal="center" vertical="bottom"/>
    </xf>
    <xf numFmtId="0" fontId="9" fillId="0" borderId="0" applyAlignment="1" pivotButton="0" quotePrefix="0" xfId="0">
      <alignment horizontal="center"/>
    </xf>
    <xf numFmtId="0" fontId="9" fillId="0" borderId="0" applyAlignment="1" pivotButton="0" quotePrefix="0" xfId="0">
      <alignment horizontal="center"/>
    </xf>
    <xf numFmtId="0" fontId="11" fillId="0" borderId="0" applyAlignment="1" pivotButton="0" quotePrefix="0" xfId="0">
      <alignment vertical="bottom"/>
    </xf>
    <xf numFmtId="164" fontId="4" fillId="0" borderId="0" applyAlignment="1" pivotButton="0" quotePrefix="0" xfId="0">
      <alignment horizontal="center"/>
    </xf>
    <xf numFmtId="0" fontId="12" fillId="3" borderId="0" applyAlignment="1" pivotButton="0" quotePrefix="0" xfId="0">
      <alignment horizontal="center"/>
    </xf>
    <xf numFmtId="0" fontId="5" fillId="7" borderId="47" applyAlignment="1" pivotButton="0" quotePrefix="0" xfId="0">
      <alignment horizontal="center" vertical="center" wrapText="1"/>
    </xf>
    <xf numFmtId="0" fontId="4" fillId="0" borderId="49" applyAlignment="1" pivotButton="0" quotePrefix="0" xfId="0">
      <alignment vertical="center"/>
    </xf>
    <xf numFmtId="164" fontId="4" fillId="0" borderId="5" applyAlignment="1" pivotButton="0" quotePrefix="0" xfId="0">
      <alignment horizontal="center" vertical="center"/>
    </xf>
    <xf numFmtId="164" fontId="4" fillId="0" borderId="50" applyAlignment="1" pivotButton="0" quotePrefix="0" xfId="0">
      <alignment horizontal="center" vertical="center"/>
    </xf>
    <xf numFmtId="164" fontId="4" fillId="0" borderId="5" applyAlignment="1" pivotButton="0" quotePrefix="0" xfId="0">
      <alignment horizontal="center" vertical="center"/>
    </xf>
    <xf numFmtId="164" fontId="4" fillId="0" borderId="50" applyAlignment="1" pivotButton="0" quotePrefix="0" xfId="0">
      <alignment horizontal="center" vertical="center"/>
    </xf>
    <xf numFmtId="0" fontId="4" fillId="0" borderId="51" applyAlignment="1" pivotButton="0" quotePrefix="0" xfId="0">
      <alignment vertical="center"/>
    </xf>
    <xf numFmtId="164" fontId="4" fillId="0" borderId="8" applyAlignment="1" pivotButton="0" quotePrefix="0" xfId="0">
      <alignment horizontal="center" vertical="center"/>
    </xf>
    <xf numFmtId="164" fontId="4" fillId="0" borderId="52" applyAlignment="1" pivotButton="0" quotePrefix="0" xfId="0">
      <alignment horizontal="center" vertical="center"/>
    </xf>
    <xf numFmtId="164" fontId="4" fillId="0" borderId="8" applyAlignment="1" pivotButton="0" quotePrefix="0" xfId="0">
      <alignment horizontal="center" vertical="center"/>
    </xf>
    <xf numFmtId="164" fontId="4" fillId="0" borderId="52" applyAlignment="1" pivotButton="0" quotePrefix="0" xfId="0">
      <alignment horizontal="center" vertical="center"/>
    </xf>
    <xf numFmtId="0" fontId="4" fillId="0" borderId="53" applyAlignment="1" pivotButton="0" quotePrefix="0" xfId="0">
      <alignment vertical="center"/>
    </xf>
    <xf numFmtId="0" fontId="4" fillId="0" borderId="54" applyAlignment="1" pivotButton="0" quotePrefix="0" xfId="0">
      <alignment horizontal="center" vertical="center"/>
    </xf>
    <xf numFmtId="164" fontId="4" fillId="0" borderId="54" applyAlignment="1" pivotButton="0" quotePrefix="0" xfId="0">
      <alignment horizontal="center" vertical="center"/>
    </xf>
    <xf numFmtId="164" fontId="4" fillId="0" borderId="55" applyAlignment="1" pivotButton="0" quotePrefix="0" xfId="0">
      <alignment horizontal="center" vertical="center"/>
    </xf>
    <xf numFmtId="164" fontId="4" fillId="0" borderId="54" applyAlignment="1" pivotButton="0" quotePrefix="0" xfId="0">
      <alignment horizontal="center" vertical="center"/>
    </xf>
    <xf numFmtId="164" fontId="4" fillId="0" borderId="55" applyAlignment="1" pivotButton="0" quotePrefix="0" xfId="0">
      <alignment horizontal="center" vertical="center"/>
    </xf>
    <xf numFmtId="0" fontId="5" fillId="7" borderId="56" applyAlignment="1" pivotButton="0" quotePrefix="0" xfId="0">
      <alignment horizontal="center" vertical="center" wrapText="1"/>
    </xf>
    <xf numFmtId="0" fontId="5" fillId="7" borderId="57" applyAlignment="1" pivotButton="0" quotePrefix="0" xfId="0">
      <alignment horizontal="center" vertical="center" wrapText="1"/>
    </xf>
    <xf numFmtId="0" fontId="5" fillId="7" borderId="58" applyAlignment="1" pivotButton="0" quotePrefix="0" xfId="0">
      <alignment horizontal="center" vertical="center" wrapText="1"/>
    </xf>
    <xf numFmtId="0" fontId="6" fillId="3" borderId="16" applyAlignment="1" pivotButton="0" quotePrefix="0" xfId="0">
      <alignment vertical="bottom"/>
    </xf>
    <xf numFmtId="164" fontId="4" fillId="0" borderId="0" applyAlignment="1" pivotButton="0" quotePrefix="0" xfId="0">
      <alignment horizontal="center"/>
    </xf>
    <xf numFmtId="165" fontId="13" fillId="3" borderId="17" applyAlignment="1" pivotButton="0" quotePrefix="0" xfId="0">
      <alignment horizontal="center"/>
    </xf>
    <xf numFmtId="0" fontId="6" fillId="4" borderId="16" applyAlignment="1" pivotButton="0" quotePrefix="0" xfId="0">
      <alignment vertical="bottom"/>
    </xf>
    <xf numFmtId="0" fontId="6" fillId="3" borderId="18" applyAlignment="1" pivotButton="0" quotePrefix="0" xfId="0">
      <alignment vertical="bottom"/>
    </xf>
    <xf numFmtId="164" fontId="4" fillId="0" borderId="19" applyAlignment="1" pivotButton="0" quotePrefix="0" xfId="0">
      <alignment horizontal="center"/>
    </xf>
    <xf numFmtId="0" fontId="4" fillId="7" borderId="46" applyAlignment="1" pivotButton="0" quotePrefix="0" xfId="0">
      <alignment horizontal="center" vertical="center"/>
    </xf>
    <xf numFmtId="0" fontId="4" fillId="7" borderId="47" applyAlignment="1" pivotButton="0" quotePrefix="0" xfId="0">
      <alignment horizontal="center" vertical="center"/>
    </xf>
    <xf numFmtId="0" fontId="4" fillId="7" borderId="48" applyAlignment="1" pivotButton="0" quotePrefix="0" xfId="0">
      <alignment horizontal="center" vertical="center"/>
    </xf>
    <xf numFmtId="0" fontId="4" fillId="0" borderId="23" applyAlignment="1" pivotButton="0" quotePrefix="0" xfId="0">
      <alignment horizontal="left" vertical="center"/>
    </xf>
    <xf numFmtId="0" fontId="4" fillId="0" borderId="49" applyAlignment="1" pivotButton="0" quotePrefix="0" xfId="0">
      <alignment horizontal="center" vertical="center"/>
    </xf>
    <xf numFmtId="2" fontId="4" fillId="0" borderId="5" applyAlignment="1" pivotButton="0" quotePrefix="0" xfId="0">
      <alignment horizontal="center" vertical="center"/>
    </xf>
    <xf numFmtId="2" fontId="4" fillId="0" borderId="50" applyAlignment="1" pivotButton="0" quotePrefix="0" xfId="0">
      <alignment horizontal="center" vertical="center"/>
    </xf>
    <xf numFmtId="0" fontId="4" fillId="0" borderId="24" applyAlignment="1" pivotButton="0" quotePrefix="0" xfId="0">
      <alignment vertical="center"/>
    </xf>
    <xf numFmtId="2" fontId="4" fillId="0" borderId="5" applyAlignment="1" pivotButton="0" quotePrefix="0" xfId="0">
      <alignment vertical="center"/>
    </xf>
    <xf numFmtId="1" fontId="4" fillId="0" borderId="5" applyAlignment="1" pivotButton="0" quotePrefix="0" xfId="0">
      <alignment vertical="center"/>
    </xf>
    <xf numFmtId="1" fontId="4" fillId="0" borderId="25" applyAlignment="1" pivotButton="0" quotePrefix="0" xfId="0">
      <alignment vertical="center"/>
    </xf>
    <xf numFmtId="0" fontId="4" fillId="0" borderId="51" applyAlignment="1" pivotButton="0" quotePrefix="0" xfId="0">
      <alignment horizontal="center" vertical="center"/>
    </xf>
    <xf numFmtId="2" fontId="4" fillId="0" borderId="8" applyAlignment="1" pivotButton="0" quotePrefix="0" xfId="0">
      <alignment horizontal="center" vertical="center"/>
    </xf>
    <xf numFmtId="2" fontId="4" fillId="0" borderId="8" applyAlignment="1" pivotButton="0" quotePrefix="0" xfId="0">
      <alignment horizontal="center" vertical="center"/>
    </xf>
    <xf numFmtId="2" fontId="4" fillId="0" borderId="52" applyAlignment="1" pivotButton="0" quotePrefix="0" xfId="0">
      <alignment horizontal="center" vertical="center"/>
    </xf>
    <xf numFmtId="0" fontId="4" fillId="0" borderId="26" applyAlignment="1" pivotButton="0" quotePrefix="0" xfId="0">
      <alignment vertical="center"/>
    </xf>
    <xf numFmtId="2" fontId="4" fillId="0" borderId="8" applyAlignment="1" pivotButton="0" quotePrefix="0" xfId="0">
      <alignment vertical="center"/>
    </xf>
    <xf numFmtId="1" fontId="4" fillId="0" borderId="8" applyAlignment="1" pivotButton="0" quotePrefix="0" xfId="0">
      <alignment vertical="center"/>
    </xf>
    <xf numFmtId="2" fontId="4" fillId="0" borderId="8" applyAlignment="1" pivotButton="0" quotePrefix="0" xfId="0">
      <alignment vertical="center"/>
    </xf>
    <xf numFmtId="1" fontId="4" fillId="0" borderId="27" applyAlignment="1" pivotButton="0" quotePrefix="0" xfId="0">
      <alignment vertical="center"/>
    </xf>
    <xf numFmtId="2" fontId="4" fillId="0" borderId="5" applyAlignment="1" pivotButton="0" quotePrefix="0" xfId="0">
      <alignment horizontal="center" vertical="center"/>
    </xf>
    <xf numFmtId="2" fontId="4" fillId="0" borderId="5" applyAlignment="1" pivotButton="0" quotePrefix="0" xfId="0">
      <alignment vertical="center"/>
    </xf>
    <xf numFmtId="0" fontId="14" fillId="7" borderId="32" applyAlignment="1" pivotButton="0" quotePrefix="0" xfId="0">
      <alignment horizontal="center"/>
    </xf>
    <xf numFmtId="0" fontId="5" fillId="0" borderId="0" applyAlignment="1" pivotButton="0" quotePrefix="0" xfId="0">
      <alignment horizontal="center"/>
    </xf>
    <xf numFmtId="0" fontId="14" fillId="7" borderId="0" applyAlignment="1" pivotButton="0" quotePrefix="0" xfId="0">
      <alignment horizontal="center"/>
    </xf>
    <xf numFmtId="0" fontId="14" fillId="7" borderId="36" applyAlignment="1" pivotButton="0" quotePrefix="0" xfId="0">
      <alignment horizontal="center"/>
    </xf>
    <xf numFmtId="0" fontId="5" fillId="7" borderId="59" applyAlignment="1" pivotButton="0" quotePrefix="0" xfId="0">
      <alignment horizontal="center" vertical="center"/>
    </xf>
    <xf numFmtId="0" fontId="5" fillId="7" borderId="60" applyAlignment="1" pivotButton="0" quotePrefix="0" xfId="0">
      <alignment horizontal="center" vertical="center"/>
    </xf>
    <xf numFmtId="0" fontId="5" fillId="7" borderId="61" applyAlignment="1" pivotButton="0" quotePrefix="0" xfId="0">
      <alignment horizontal="center" vertical="center"/>
    </xf>
    <xf numFmtId="0" fontId="5" fillId="7" borderId="62" applyAlignment="1" pivotButton="0" quotePrefix="0" xfId="0">
      <alignment horizontal="center" vertical="center"/>
    </xf>
    <xf numFmtId="0" fontId="5" fillId="7" borderId="63" applyAlignment="1" pivotButton="0" quotePrefix="0" xfId="0">
      <alignment horizontal="center" vertical="center"/>
    </xf>
    <xf numFmtId="0" fontId="5" fillId="7" borderId="64" applyAlignment="1" pivotButton="0" quotePrefix="0" xfId="0">
      <alignment horizontal="center" vertical="center"/>
    </xf>
    <xf numFmtId="0" fontId="5" fillId="7" borderId="65" applyAlignment="1" pivotButton="0" quotePrefix="0" xfId="0">
      <alignment horizontal="center" vertical="center"/>
    </xf>
    <xf numFmtId="0" fontId="5" fillId="7" borderId="66" applyAlignment="1" pivotButton="0" quotePrefix="0" xfId="0">
      <alignment horizontal="center" vertical="center"/>
    </xf>
    <xf numFmtId="0" fontId="5" fillId="7" borderId="67" applyAlignment="1" pivotButton="0" quotePrefix="0" xfId="0">
      <alignment horizontal="center" vertical="center"/>
    </xf>
    <xf numFmtId="0" fontId="5" fillId="7" borderId="61" applyAlignment="1" pivotButton="0" quotePrefix="0" xfId="0">
      <alignment horizontal="center" vertical="center" wrapText="1"/>
    </xf>
    <xf numFmtId="0" fontId="5" fillId="7" borderId="62" applyAlignment="1" pivotButton="0" quotePrefix="0" xfId="0">
      <alignment horizontal="center" vertical="center" wrapText="1"/>
    </xf>
    <xf numFmtId="0" fontId="5" fillId="7" borderId="63" applyAlignment="1" pivotButton="0" quotePrefix="0" xfId="0">
      <alignment horizontal="center" vertical="center" wrapText="1"/>
    </xf>
    <xf numFmtId="49" fontId="5" fillId="7" borderId="62" applyAlignment="1" pivotButton="0" quotePrefix="0" xfId="0">
      <alignment horizontal="center" vertical="center" wrapText="1"/>
    </xf>
    <xf numFmtId="0" fontId="15" fillId="0" borderId="31" applyAlignment="1" pivotButton="0" quotePrefix="0" xfId="0">
      <alignment horizontal="center"/>
    </xf>
    <xf numFmtId="2" fontId="4" fillId="0" borderId="39" applyAlignment="1" pivotButton="0" quotePrefix="0" xfId="0">
      <alignment horizontal="center"/>
    </xf>
    <xf numFmtId="0" fontId="4" fillId="0" borderId="4" applyAlignment="1" pivotButton="0" quotePrefix="0" xfId="0">
      <alignment vertical="center"/>
    </xf>
    <xf numFmtId="0" fontId="15" fillId="0" borderId="68" applyAlignment="1" pivotButton="0" quotePrefix="0" xfId="0">
      <alignment horizontal="center" vertical="center"/>
    </xf>
    <xf numFmtId="2" fontId="4" fillId="0" borderId="69" applyAlignment="1" pivotButton="0" quotePrefix="0" xfId="0">
      <alignment horizontal="center" vertical="center"/>
    </xf>
    <xf numFmtId="0" fontId="6" fillId="0" borderId="68" applyAlignment="1" pivotButton="0" quotePrefix="0" xfId="0">
      <alignment horizontal="center" vertical="bottom"/>
    </xf>
    <xf numFmtId="0" fontId="4" fillId="0" borderId="70" applyAlignment="1" pivotButton="0" quotePrefix="0" xfId="0">
      <alignment horizontal="center" vertical="center"/>
    </xf>
    <xf numFmtId="2" fontId="4" fillId="0" borderId="71" applyAlignment="1" pivotButton="0" quotePrefix="0" xfId="0">
      <alignment horizontal="center" vertical="center"/>
    </xf>
    <xf numFmtId="0" fontId="6" fillId="0" borderId="71" applyAlignment="1" pivotButton="0" quotePrefix="0" xfId="0">
      <alignment horizontal="center" vertical="bottom"/>
    </xf>
    <xf numFmtId="0" fontId="4" fillId="0" borderId="72" applyAlignment="1" pivotButton="0" quotePrefix="0" xfId="0">
      <alignment vertical="center"/>
    </xf>
    <xf numFmtId="0" fontId="4" fillId="0" borderId="73" applyAlignment="1" pivotButton="0" quotePrefix="0" xfId="0">
      <alignment vertical="center"/>
    </xf>
    <xf numFmtId="0" fontId="4" fillId="0" borderId="36" applyAlignment="1" pivotButton="0" quotePrefix="0" xfId="0">
      <alignment horizontal="center" vertical="center"/>
    </xf>
    <xf numFmtId="2" fontId="4" fillId="0" borderId="36" applyAlignment="1" pivotButton="0" quotePrefix="0" xfId="0">
      <alignment horizontal="center" vertical="center"/>
    </xf>
    <xf numFmtId="0" fontId="6" fillId="0" borderId="36" applyAlignment="1" pivotButton="0" quotePrefix="0" xfId="0">
      <alignment horizontal="center" vertical="center"/>
    </xf>
    <xf numFmtId="0" fontId="4" fillId="0" borderId="40" applyAlignment="1" pivotButton="0" quotePrefix="0" xfId="0">
      <alignment horizontal="center"/>
    </xf>
    <xf numFmtId="2" fontId="4" fillId="0" borderId="42" applyAlignment="1" pivotButton="0" quotePrefix="0" xfId="0">
      <alignment horizontal="center"/>
    </xf>
    <xf numFmtId="0" fontId="4" fillId="0" borderId="7" applyAlignment="1" pivotButton="0" quotePrefix="0" xfId="0">
      <alignment vertical="center"/>
    </xf>
    <xf numFmtId="0" fontId="4" fillId="0" borderId="74" applyAlignment="1" pivotButton="0" quotePrefix="0" xfId="0">
      <alignment horizontal="center" vertical="center"/>
    </xf>
    <xf numFmtId="2" fontId="4" fillId="0" borderId="8" applyAlignment="1" pivotButton="0" quotePrefix="0" xfId="0">
      <alignment horizontal="center" vertical="center"/>
    </xf>
    <xf numFmtId="0" fontId="6" fillId="0" borderId="74" applyAlignment="1" pivotButton="0" quotePrefix="0" xfId="0">
      <alignment horizontal="center" vertical="bottom"/>
    </xf>
    <xf numFmtId="0" fontId="4" fillId="0" borderId="75" applyAlignment="1" pivotButton="0" quotePrefix="0" xfId="0">
      <alignment horizontal="center" vertical="center"/>
    </xf>
    <xf numFmtId="2" fontId="4" fillId="0" borderId="5" applyAlignment="1" pivotButton="0" quotePrefix="0" xfId="0">
      <alignment horizontal="center" vertical="center"/>
    </xf>
    <xf numFmtId="0" fontId="6" fillId="0" borderId="75" applyAlignment="1" pivotButton="0" quotePrefix="0" xfId="0">
      <alignment horizontal="center" vertical="bottom"/>
    </xf>
    <xf numFmtId="0" fontId="4" fillId="0" borderId="76" applyAlignment="1" pivotButton="0" quotePrefix="0" xfId="0">
      <alignment horizontal="center" vertical="center"/>
    </xf>
    <xf numFmtId="2" fontId="4" fillId="0" borderId="77" applyAlignment="1" pivotButton="0" quotePrefix="0" xfId="0">
      <alignment horizontal="center" vertical="center"/>
    </xf>
    <xf numFmtId="2" fontId="4" fillId="0" borderId="78" applyAlignment="1" pivotButton="0" quotePrefix="0" xfId="0">
      <alignment horizontal="center" vertical="center"/>
    </xf>
    <xf numFmtId="0" fontId="4" fillId="0" borderId="79" applyAlignment="1" pivotButton="0" quotePrefix="0" xfId="0">
      <alignment vertical="center"/>
    </xf>
    <xf numFmtId="2" fontId="4" fillId="0" borderId="80" applyAlignment="1" pivotButton="0" quotePrefix="0" xfId="0">
      <alignment vertical="center"/>
    </xf>
    <xf numFmtId="1" fontId="4" fillId="0" borderId="80" applyAlignment="1" pivotButton="0" quotePrefix="0" xfId="0">
      <alignment vertical="center"/>
    </xf>
    <xf numFmtId="1" fontId="4" fillId="0" borderId="81" applyAlignment="1" pivotButton="0" quotePrefix="0" xfId="0">
      <alignment vertical="center"/>
    </xf>
    <xf numFmtId="0" fontId="5" fillId="7" borderId="64" applyAlignment="1" pivotButton="0" quotePrefix="0" xfId="0">
      <alignment horizontal="center" vertical="center" wrapText="1"/>
    </xf>
    <xf numFmtId="0" fontId="5" fillId="7" borderId="65" applyAlignment="1" pivotButton="0" quotePrefix="0" xfId="0">
      <alignment horizontal="center" vertical="center" wrapText="1"/>
    </xf>
    <xf numFmtId="49" fontId="16" fillId="7" borderId="65" applyAlignment="1" pivotButton="0" quotePrefix="0" xfId="0">
      <alignment horizontal="center" vertical="center" wrapText="1"/>
    </xf>
    <xf numFmtId="0" fontId="5" fillId="7" borderId="66" applyAlignment="1" pivotButton="0" quotePrefix="0" xfId="0">
      <alignment horizontal="center" vertical="center" wrapText="1"/>
    </xf>
    <xf numFmtId="2" fontId="4" fillId="0" borderId="82" applyAlignment="1" pivotButton="0" quotePrefix="0" xfId="0">
      <alignment horizontal="center" vertical="center"/>
    </xf>
    <xf numFmtId="0" fontId="6" fillId="0" borderId="82" applyAlignment="1" pivotButton="0" quotePrefix="0" xfId="0">
      <alignment horizontal="center" vertical="bottom"/>
    </xf>
    <xf numFmtId="0" fontId="4" fillId="0" borderId="39" applyAlignment="1" pivotButton="0" quotePrefix="0" xfId="0">
      <alignment horizontal="center"/>
    </xf>
    <xf numFmtId="0" fontId="4" fillId="0" borderId="42" applyAlignment="1" pivotButton="0" quotePrefix="0" xfId="0">
      <alignment horizontal="center"/>
    </xf>
    <xf numFmtId="0" fontId="4" fillId="0" borderId="5" applyAlignment="1" pivotButton="0" quotePrefix="0" xfId="0">
      <alignment horizontal="center" vertical="center"/>
    </xf>
    <xf numFmtId="0" fontId="15" fillId="0" borderId="35" applyAlignment="1" pivotButton="0" quotePrefix="0" xfId="0">
      <alignment horizontal="center"/>
    </xf>
    <xf numFmtId="0" fontId="15" fillId="0" borderId="45" applyAlignment="1" pivotButton="0" quotePrefix="0" xfId="0">
      <alignment horizontal="center"/>
    </xf>
    <xf numFmtId="0" fontId="4" fillId="0" borderId="10" applyAlignment="1" pivotButton="0" quotePrefix="0" xfId="0">
      <alignment vertical="center"/>
    </xf>
    <xf numFmtId="0" fontId="4" fillId="0" borderId="11" applyAlignment="1" pivotButton="0" quotePrefix="0" xfId="0">
      <alignment vertical="center"/>
    </xf>
    <xf numFmtId="0" fontId="15" fillId="0" borderId="83" applyAlignment="1" pivotButton="0" quotePrefix="0" xfId="0">
      <alignment horizontal="center" vertical="center"/>
    </xf>
    <xf numFmtId="0" fontId="15" fillId="0" borderId="84" applyAlignment="1" pivotButton="0" quotePrefix="0" xfId="0">
      <alignment horizontal="center" vertical="center"/>
    </xf>
    <xf numFmtId="0" fontId="6" fillId="0" borderId="83" applyAlignment="1" pivotButton="0" quotePrefix="0" xfId="0">
      <alignment horizontal="center" vertical="bottom"/>
    </xf>
    <xf numFmtId="0" fontId="4" fillId="0" borderId="42" pivotButton="0" quotePrefix="0" xfId="0"/>
    <xf numFmtId="0" fontId="5"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3" applyAlignment="1" pivotButton="0" quotePrefix="0" xfId="0">
      <alignment horizontal="center" vertical="center"/>
    </xf>
    <xf numFmtId="0" fontId="4" fillId="0" borderId="42" pivotButton="0" quotePrefix="0" xfId="0"/>
    <xf numFmtId="0" fontId="4" fillId="0" borderId="4" applyAlignment="1" pivotButton="0" quotePrefix="0" xfId="0">
      <alignment vertical="center"/>
    </xf>
    <xf numFmtId="0" fontId="4" fillId="0" borderId="5" applyAlignment="1" pivotButton="0" quotePrefix="0" xfId="0">
      <alignment vertical="center"/>
    </xf>
    <xf numFmtId="0" fontId="6" fillId="0" borderId="5" applyAlignment="1" pivotButton="0" quotePrefix="0" xfId="0">
      <alignment horizontal="center" vertical="bottom"/>
    </xf>
    <xf numFmtId="0" fontId="6" fillId="0" borderId="6" applyAlignment="1" pivotButton="0" quotePrefix="0" xfId="0">
      <alignment horizontal="center" vertical="bottom"/>
    </xf>
    <xf numFmtId="0" fontId="4" fillId="0" borderId="10" applyAlignment="1" pivotButton="0" quotePrefix="0" xfId="0">
      <alignment vertical="center"/>
    </xf>
    <xf numFmtId="0" fontId="4" fillId="0" borderId="11" applyAlignment="1" pivotButton="0" quotePrefix="0" xfId="0">
      <alignment vertical="center"/>
    </xf>
    <xf numFmtId="0" fontId="6" fillId="0" borderId="11" applyAlignment="1" pivotButton="0" quotePrefix="0" xfId="0">
      <alignment horizontal="center" vertical="bottom"/>
    </xf>
    <xf numFmtId="0" fontId="6" fillId="0" borderId="12" applyAlignment="1" pivotButton="0" quotePrefix="0" xfId="0">
      <alignment horizontal="center" vertical="bottom"/>
    </xf>
    <xf numFmtId="0" fontId="5" fillId="7" borderId="59" applyAlignment="1" pivotButton="0" quotePrefix="0" xfId="0">
      <alignment horizontal="left" vertical="center"/>
    </xf>
    <xf numFmtId="0" fontId="5" fillId="7" borderId="60" applyAlignment="1" pivotButton="0" quotePrefix="0" xfId="0">
      <alignment horizontal="left" vertical="center"/>
    </xf>
    <xf numFmtId="0" fontId="5" fillId="7" borderId="60" applyAlignment="1" pivotButton="0" quotePrefix="0" xfId="0">
      <alignment horizontal="center" vertical="center" wrapText="1"/>
    </xf>
    <xf numFmtId="0" fontId="5" fillId="7" borderId="60" applyAlignment="1" pivotButton="0" quotePrefix="0" xfId="0">
      <alignment horizontal="right" vertical="center" wrapText="1"/>
    </xf>
    <xf numFmtId="49" fontId="5" fillId="7" borderId="60" applyAlignment="1" pivotButton="0" quotePrefix="0" xfId="0">
      <alignment horizontal="center" vertical="center" wrapText="1"/>
    </xf>
    <xf numFmtId="0" fontId="5" fillId="7" borderId="67" applyAlignment="1" pivotButton="0" quotePrefix="0" xfId="0">
      <alignment horizontal="center" vertical="center" wrapText="1"/>
    </xf>
    <xf numFmtId="0" fontId="5" fillId="0" borderId="0" applyAlignment="1" pivotButton="0" quotePrefix="0" xfId="0">
      <alignment horizontal="center" wrapText="1"/>
    </xf>
    <xf numFmtId="0" fontId="14" fillId="7" borderId="32" applyAlignment="1" pivotButton="0" quotePrefix="0" xfId="0">
      <alignment horizontal="center" vertical="center"/>
    </xf>
    <xf numFmtId="0" fontId="14" fillId="0" borderId="0"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right" vertical="center"/>
    </xf>
    <xf numFmtId="0" fontId="4" fillId="0" borderId="5" applyAlignment="1" pivotButton="0" quotePrefix="0" xfId="0">
      <alignment horizontal="center" vertical="center"/>
    </xf>
    <xf numFmtId="0" fontId="4" fillId="0" borderId="5" applyAlignment="1" pivotButton="0" quotePrefix="0" xfId="0">
      <alignment vertical="center"/>
    </xf>
    <xf numFmtId="0" fontId="4" fillId="0" borderId="6" applyAlignment="1" pivotButton="0" quotePrefix="0" xfId="0">
      <alignment vertical="center"/>
    </xf>
    <xf numFmtId="0" fontId="14" fillId="7" borderId="36" applyAlignment="1" pivotButton="0" quotePrefix="0" xfId="0">
      <alignment horizontal="center" vertical="center"/>
    </xf>
    <xf numFmtId="0" fontId="14" fillId="7" borderId="36" applyAlignment="1" pivotButton="0" quotePrefix="0" xfId="0">
      <alignment horizontal="center" vertical="center" wrapText="1"/>
    </xf>
    <xf numFmtId="49" fontId="14" fillId="7" borderId="36" applyAlignment="1" pivotButton="0" quotePrefix="0" xfId="0">
      <alignment horizontal="right" vertical="center" wrapText="1"/>
    </xf>
    <xf numFmtId="0" fontId="14"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4" fillId="0" borderId="8" applyAlignment="1" pivotButton="0" quotePrefix="0" xfId="0">
      <alignment horizontal="right" vertical="center"/>
    </xf>
    <xf numFmtId="0" fontId="4" fillId="0" borderId="8" applyAlignment="1" pivotButton="0" quotePrefix="0" xfId="0">
      <alignment horizontal="center" vertical="center"/>
    </xf>
    <xf numFmtId="0" fontId="4" fillId="0" borderId="8" applyAlignment="1" pivotButton="0" quotePrefix="0" xfId="0">
      <alignment vertical="center"/>
    </xf>
    <xf numFmtId="0" fontId="4" fillId="0" borderId="41" applyAlignment="1" pivotButton="0" quotePrefix="0" xfId="0">
      <alignment horizontal="center"/>
    </xf>
    <xf numFmtId="0" fontId="4" fillId="0" borderId="0" pivotButton="0" quotePrefix="0" xfId="0"/>
    <xf numFmtId="0" fontId="4" fillId="0" borderId="0" applyAlignment="1" pivotButton="0" quotePrefix="0" xfId="0">
      <alignment horizontal="center"/>
    </xf>
    <xf numFmtId="0" fontId="4" fillId="0" borderId="0" applyAlignment="1" pivotButton="0" quotePrefix="0" xfId="0">
      <alignment horizontal="right"/>
    </xf>
    <xf numFmtId="0" fontId="4" fillId="0" borderId="0" applyAlignment="1" pivotButton="0" quotePrefix="0" xfId="0">
      <alignment horizontal="right"/>
    </xf>
    <xf numFmtId="0" fontId="4" fillId="0" borderId="42" applyAlignment="1" pivotButton="0" quotePrefix="0" xfId="0">
      <alignment horizontal="center"/>
    </xf>
    <xf numFmtId="0" fontId="4" fillId="0" borderId="0" pivotButton="0" quotePrefix="0" xfId="0"/>
    <xf numFmtId="0" fontId="4" fillId="0" borderId="37" applyAlignment="1" pivotButton="0" quotePrefix="0" xfId="0">
      <alignment horizontal="center"/>
    </xf>
    <xf numFmtId="0" fontId="4" fillId="0" borderId="38" pivotButton="0" quotePrefix="0" xfId="0"/>
    <xf numFmtId="0" fontId="4" fillId="0" borderId="38" applyAlignment="1" pivotButton="0" quotePrefix="0" xfId="0">
      <alignment horizontal="center"/>
    </xf>
    <xf numFmtId="0" fontId="4" fillId="0" borderId="38" applyAlignment="1" pivotButton="0" quotePrefix="0" xfId="0">
      <alignment horizontal="right"/>
    </xf>
    <xf numFmtId="0" fontId="4" fillId="0" borderId="38" applyAlignment="1" pivotButton="0" quotePrefix="0" xfId="0">
      <alignment horizontal="right"/>
    </xf>
    <xf numFmtId="0" fontId="4" fillId="0" borderId="39" applyAlignment="1" pivotButton="0" quotePrefix="0" xfId="0">
      <alignment horizontal="center"/>
    </xf>
    <xf numFmtId="0" fontId="4" fillId="0" borderId="43" applyAlignment="1" pivotButton="0" quotePrefix="0" xfId="0">
      <alignment horizontal="center"/>
    </xf>
    <xf numFmtId="0" fontId="4" fillId="0" borderId="44" pivotButton="0" quotePrefix="0" xfId="0"/>
    <xf numFmtId="0" fontId="4" fillId="0" borderId="44" applyAlignment="1" pivotButton="0" quotePrefix="0" xfId="0">
      <alignment horizontal="center"/>
    </xf>
    <xf numFmtId="0" fontId="4" fillId="0" borderId="44" applyAlignment="1" pivotButton="0" quotePrefix="0" xfId="0">
      <alignment horizontal="right"/>
    </xf>
    <xf numFmtId="0" fontId="4" fillId="0" borderId="44" applyAlignment="1" pivotButton="0" quotePrefix="0" xfId="0">
      <alignment horizontal="right"/>
    </xf>
    <xf numFmtId="0" fontId="4" fillId="0" borderId="45" applyAlignment="1" pivotButton="0" quotePrefix="0" xfId="0">
      <alignment horizontal="center"/>
    </xf>
    <xf numFmtId="0" fontId="4" fillId="0" borderId="0" applyAlignment="1" pivotButton="0" quotePrefix="0" xfId="0">
      <alignment horizontal="center"/>
    </xf>
    <xf numFmtId="0" fontId="4" fillId="0" borderId="0" applyAlignment="1" pivotButton="0" quotePrefix="0" xfId="0">
      <alignment horizontal="right"/>
    </xf>
    <xf numFmtId="0" fontId="4" fillId="0" borderId="11" applyAlignment="1" pivotButton="0" quotePrefix="0" xfId="0">
      <alignment horizontal="center" vertical="center"/>
    </xf>
    <xf numFmtId="0" fontId="4" fillId="0" borderId="11" applyAlignment="1" pivotButton="0" quotePrefix="0" xfId="0">
      <alignment horizontal="right" vertical="center"/>
    </xf>
    <xf numFmtId="0" fontId="4" fillId="0" borderId="11" applyAlignment="1" pivotButton="0" quotePrefix="0" xfId="0">
      <alignment horizontal="center"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0" applyAlignment="1" pivotButton="0" quotePrefix="0" xfId="0">
      <alignment horizontal="center"/>
    </xf>
    <xf numFmtId="0" fontId="4" fillId="0" borderId="0" pivotButton="0" quotePrefix="0" xfId="0"/>
    <xf numFmtId="0" fontId="4" fillId="0" borderId="0" applyAlignment="1" pivotButton="0" quotePrefix="0" xfId="0">
      <alignment horizontal="right"/>
    </xf>
    <xf numFmtId="0" fontId="5" fillId="7" borderId="59" applyAlignment="1" pivotButton="0" quotePrefix="0" xfId="0">
      <alignment horizontal="center" vertical="center" wrapText="1"/>
    </xf>
    <xf numFmtId="0" fontId="5" fillId="7" borderId="60" applyAlignment="1" pivotButton="0" quotePrefix="0" xfId="0">
      <alignment horizontal="left" vertical="center" wrapText="1"/>
    </xf>
    <xf numFmtId="49" fontId="5" fillId="7" borderId="60" applyAlignment="1" pivotButton="0" quotePrefix="0" xfId="0">
      <alignment horizontal="left" vertical="center" wrapText="1"/>
    </xf>
    <xf numFmtId="0" fontId="5" fillId="7" borderId="67" applyAlignment="1" pivotButton="0" quotePrefix="0" xfId="0">
      <alignment horizontal="left" vertical="center" wrapText="1"/>
    </xf>
    <xf numFmtId="0" fontId="4" fillId="0" borderId="4" applyAlignment="1" pivotButton="0" quotePrefix="0" xfId="0">
      <alignment horizontal="center" vertical="center"/>
    </xf>
    <xf numFmtId="166" fontId="6" fillId="0" borderId="5" applyAlignment="1" pivotButton="0" quotePrefix="0" xfId="0">
      <alignment horizontal="center" vertical="center"/>
    </xf>
    <xf numFmtId="166" fontId="4" fillId="0" borderId="5" applyAlignment="1" pivotButton="0" quotePrefix="0" xfId="0">
      <alignment vertical="center"/>
    </xf>
    <xf numFmtId="164" fontId="4" fillId="0" borderId="5" applyAlignment="1" pivotButton="0" quotePrefix="0" xfId="0">
      <alignment vertical="center"/>
    </xf>
    <xf numFmtId="0" fontId="4" fillId="0" borderId="5" applyAlignment="1" pivotButton="0" quotePrefix="0" xfId="0">
      <alignment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0" borderId="7" applyAlignment="1" pivotButton="0" quotePrefix="0" xfId="0">
      <alignment horizontal="center" vertical="center"/>
    </xf>
    <xf numFmtId="166" fontId="6" fillId="0" borderId="8" applyAlignment="1" pivotButton="0" quotePrefix="0" xfId="0">
      <alignment horizontal="center" vertical="center"/>
    </xf>
    <xf numFmtId="166" fontId="4" fillId="0" borderId="8" applyAlignment="1" pivotButton="0" quotePrefix="0" xfId="0">
      <alignment vertical="center"/>
    </xf>
    <xf numFmtId="164" fontId="4" fillId="0" borderId="8" applyAlignment="1" pivotButton="0" quotePrefix="0" xfId="0">
      <alignment vertical="center"/>
    </xf>
    <xf numFmtId="0" fontId="4" fillId="0" borderId="8" applyAlignment="1" pivotButton="0" quotePrefix="0" xfId="0">
      <alignment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13" fillId="3" borderId="5" applyAlignment="1" pivotButton="0" quotePrefix="0" xfId="0">
      <alignment horizontal="center" vertical="center"/>
    </xf>
    <xf numFmtId="0" fontId="6" fillId="4" borderId="8" applyAlignment="1" pivotButton="0" quotePrefix="0" xfId="0">
      <alignment horizontal="center" vertical="center"/>
    </xf>
    <xf numFmtId="0" fontId="6" fillId="3" borderId="5" applyAlignment="1" pivotButton="0" quotePrefix="0" xfId="0">
      <alignment horizontal="center" vertical="center"/>
    </xf>
    <xf numFmtId="0" fontId="4" fillId="2" borderId="0" pivotButton="0" quotePrefix="0" xfId="0"/>
    <xf numFmtId="0" fontId="4" fillId="0" borderId="73" applyAlignment="1" pivotButton="0" quotePrefix="0" xfId="0">
      <alignment horizontal="center" vertical="center"/>
    </xf>
    <xf numFmtId="0" fontId="4" fillId="0" borderId="85" applyAlignment="1" pivotButton="0" quotePrefix="0" xfId="0">
      <alignment vertical="center"/>
    </xf>
    <xf numFmtId="166" fontId="6" fillId="0" borderId="85" applyAlignment="1" pivotButton="0" quotePrefix="0" xfId="0">
      <alignment horizontal="center" vertical="center"/>
    </xf>
    <xf numFmtId="0" fontId="4" fillId="0" borderId="85" applyAlignment="1" pivotButton="0" quotePrefix="0" xfId="0">
      <alignment horizontal="center" vertical="center"/>
    </xf>
    <xf numFmtId="166" fontId="4" fillId="0" borderId="85" applyAlignment="1" pivotButton="0" quotePrefix="0" xfId="0">
      <alignment vertical="center"/>
    </xf>
    <xf numFmtId="164" fontId="4" fillId="0" borderId="85" applyAlignment="1" pivotButton="0" quotePrefix="0" xfId="0">
      <alignment vertical="center"/>
    </xf>
    <xf numFmtId="0" fontId="4" fillId="0" borderId="85" applyAlignment="1" pivotButton="0" quotePrefix="0" xfId="0">
      <alignment horizontal="right" vertical="center"/>
    </xf>
    <xf numFmtId="0" fontId="4" fillId="0" borderId="85" applyAlignment="1" pivotButton="0" quotePrefix="0" xfId="0">
      <alignment vertical="center"/>
    </xf>
    <xf numFmtId="0" fontId="4" fillId="0" borderId="72" applyAlignment="1" pivotButton="0" quotePrefix="0" xfId="0">
      <alignment horizontal="center" vertical="center"/>
    </xf>
    <xf numFmtId="164" fontId="4" fillId="0" borderId="0" applyAlignment="1" pivotButton="0" quotePrefix="0" xfId="0">
      <alignment horizontal="right"/>
    </xf>
    <xf numFmtId="0" fontId="4" fillId="0" borderId="1" applyAlignment="1" pivotButton="0" quotePrefix="0" xfId="0">
      <alignment horizontal="left" vertical="center" wrapText="1"/>
    </xf>
    <xf numFmtId="0" fontId="4" fillId="0" borderId="2" applyAlignment="1" pivotButton="0" quotePrefix="0" xfId="0">
      <alignment horizontal="left" vertical="center" wrapText="1"/>
    </xf>
    <xf numFmtId="49" fontId="4" fillId="0" borderId="2" applyAlignment="1" pivotButton="0" quotePrefix="0" xfId="0">
      <alignment horizontal="left" vertical="center" wrapText="1"/>
    </xf>
    <xf numFmtId="4" fontId="4" fillId="0" borderId="2" applyAlignment="1" pivotButton="0" quotePrefix="0" xfId="0">
      <alignment horizontal="left" vertical="center" wrapText="1"/>
    </xf>
    <xf numFmtId="10" fontId="4" fillId="0" borderId="2" applyAlignment="1" pivotButton="0" quotePrefix="0" xfId="0">
      <alignment horizontal="left" vertical="center" wrapText="1"/>
    </xf>
    <xf numFmtId="0" fontId="4" fillId="0" borderId="3" applyAlignment="1" pivotButton="0" quotePrefix="0" xfId="0">
      <alignment horizontal="left" vertical="center" wrapText="1"/>
    </xf>
    <xf numFmtId="0" fontId="17" fillId="8" borderId="86" applyAlignment="1" pivotButton="0" quotePrefix="0" xfId="0">
      <alignment vertical="center"/>
    </xf>
    <xf numFmtId="0" fontId="4" fillId="0" borderId="5" applyAlignment="1" pivotButton="0" quotePrefix="0" xfId="0">
      <alignment vertical="center"/>
    </xf>
    <xf numFmtId="2" fontId="4" fillId="0" borderId="5" applyAlignment="1" pivotButton="0" quotePrefix="0" xfId="0">
      <alignment vertical="center"/>
    </xf>
    <xf numFmtId="0" fontId="17" fillId="8" borderId="87" applyAlignment="1" pivotButton="0" quotePrefix="0" xfId="0">
      <alignment vertical="center"/>
    </xf>
    <xf numFmtId="2" fontId="17" fillId="8" borderId="87" applyAlignment="1" pivotButton="0" quotePrefix="0" xfId="0">
      <alignment vertical="center"/>
    </xf>
    <xf numFmtId="3" fontId="4" fillId="0" borderId="5" applyAlignment="1" pivotButton="0" quotePrefix="0" xfId="0">
      <alignment vertical="center"/>
    </xf>
    <xf numFmtId="10" fontId="4" fillId="0" borderId="5" applyAlignment="1" pivotButton="0" quotePrefix="0" xfId="0">
      <alignment vertical="center"/>
    </xf>
    <xf numFmtId="0" fontId="4" fillId="0" borderId="8" applyAlignment="1" pivotButton="0" quotePrefix="0" xfId="0">
      <alignment vertical="center"/>
    </xf>
    <xf numFmtId="2" fontId="4" fillId="0" borderId="8" applyAlignment="1" pivotButton="0" quotePrefix="0" xfId="0">
      <alignment vertical="center"/>
    </xf>
    <xf numFmtId="3" fontId="4" fillId="0" borderId="8" applyAlignment="1" pivotButton="0" quotePrefix="0" xfId="0">
      <alignment vertical="center"/>
    </xf>
    <xf numFmtId="10" fontId="4" fillId="0" borderId="8" applyAlignment="1" pivotButton="0" quotePrefix="0" xfId="0">
      <alignment vertical="center"/>
    </xf>
    <xf numFmtId="2" fontId="4" fillId="0" borderId="5" applyAlignment="1" pivotButton="0" quotePrefix="0" xfId="0">
      <alignment vertical="center"/>
    </xf>
    <xf numFmtId="2" fontId="4" fillId="0" borderId="8" applyAlignment="1" pivotButton="0" quotePrefix="0" xfId="0">
      <alignment vertical="center"/>
    </xf>
    <xf numFmtId="2" fontId="4" fillId="0" borderId="85" applyAlignment="1" pivotButton="0" quotePrefix="0" xfId="0">
      <alignment vertical="center"/>
    </xf>
    <xf numFmtId="0" fontId="4" fillId="0" borderId="85" applyAlignment="1" pivotButton="0" quotePrefix="0" xfId="0">
      <alignment vertical="center"/>
    </xf>
    <xf numFmtId="3" fontId="4" fillId="0" borderId="85" applyAlignment="1" pivotButton="0" quotePrefix="0" xfId="0">
      <alignment vertical="center"/>
    </xf>
    <xf numFmtId="10" fontId="4" fillId="0" borderId="85" applyAlignment="1" pivotButton="0" quotePrefix="0" xfId="0">
      <alignment vertical="center"/>
    </xf>
    <xf numFmtId="0" fontId="17" fillId="8" borderId="88" applyAlignment="1" pivotButton="0" quotePrefix="0" xfId="0">
      <alignment vertical="center"/>
    </xf>
    <xf numFmtId="0" fontId="4" fillId="0" borderId="85" applyAlignment="1" pivotButton="0" quotePrefix="0" xfId="0">
      <alignment vertical="center"/>
    </xf>
    <xf numFmtId="3" fontId="4" fillId="0" borderId="0" pivotButton="0" quotePrefix="0" xfId="0"/>
    <xf numFmtId="10" fontId="4" fillId="0" borderId="0" pivotButton="0" quotePrefix="0" xfId="0"/>
    <xf numFmtId="49" fontId="8" fillId="0" borderId="1" applyAlignment="1" pivotButton="0" quotePrefix="0" xfId="0">
      <alignment horizontal="center" vertical="center" wrapText="1"/>
    </xf>
    <xf numFmtId="49" fontId="8" fillId="0" borderId="2" applyAlignment="1" pivotButton="0" quotePrefix="0" xfId="0">
      <alignment horizontal="center" vertical="center" wrapText="1"/>
    </xf>
    <xf numFmtId="4" fontId="8" fillId="0" borderId="2" applyAlignment="1" pivotButton="0" quotePrefix="0" xfId="0">
      <alignment horizontal="center" vertical="center" wrapText="1"/>
    </xf>
    <xf numFmtId="0" fontId="8" fillId="0" borderId="2" applyAlignment="1" pivotButton="0" quotePrefix="0" xfId="0">
      <alignment horizontal="right" vertical="center" wrapText="1"/>
    </xf>
    <xf numFmtId="0" fontId="8" fillId="0" borderId="2" applyAlignment="1" pivotButton="0" quotePrefix="0" xfId="0">
      <alignment horizontal="right" vertical="center" wrapText="1"/>
    </xf>
    <xf numFmtId="0" fontId="4" fillId="0" borderId="2" applyAlignment="1" pivotButton="0" quotePrefix="0" xfId="0">
      <alignment horizontal="left" vertical="center" wrapText="1"/>
    </xf>
    <xf numFmtId="0" fontId="8" fillId="0" borderId="3" applyAlignment="1" pivotButton="0" quotePrefix="0" xfId="0">
      <alignment horizontal="right" vertical="center" wrapText="1"/>
    </xf>
    <xf numFmtId="49" fontId="1" fillId="0" borderId="4" applyAlignment="1" pivotButton="0" quotePrefix="0" xfId="0">
      <alignment vertical="center"/>
    </xf>
    <xf numFmtId="49" fontId="1" fillId="0" borderId="5" applyAlignment="1" pivotButton="0" quotePrefix="0" xfId="0">
      <alignment vertical="center"/>
    </xf>
    <xf numFmtId="3" fontId="1" fillId="0" borderId="5" applyAlignment="1" pivotButton="0" quotePrefix="0" xfId="0">
      <alignment vertical="center"/>
    </xf>
    <xf numFmtId="0" fontId="1" fillId="0" borderId="5" applyAlignment="1" pivotButton="0" quotePrefix="0" xfId="0">
      <alignment horizontal="right" vertical="center"/>
    </xf>
    <xf numFmtId="0" fontId="5" fillId="0" borderId="0" pivotButton="0" quotePrefix="0" xfId="0"/>
    <xf numFmtId="0" fontId="5" fillId="0" borderId="36" applyAlignment="1" pivotButton="0" quotePrefix="0" xfId="0">
      <alignment wrapText="1"/>
    </xf>
    <xf numFmtId="0" fontId="5" fillId="0" borderId="36" applyAlignment="1" pivotButton="0" quotePrefix="0" xfId="0">
      <alignment horizontal="center" wrapText="1"/>
    </xf>
    <xf numFmtId="0" fontId="4" fillId="0" borderId="0" applyAlignment="1" pivotButton="0" quotePrefix="0" xfId="0">
      <alignment vertical="center"/>
    </xf>
    <xf numFmtId="49" fontId="1" fillId="0" borderId="7" applyAlignment="1" pivotButton="0" quotePrefix="0" xfId="0">
      <alignment vertical="center"/>
    </xf>
    <xf numFmtId="49" fontId="1" fillId="0" borderId="8" applyAlignment="1" pivotButton="0" quotePrefix="0" xfId="0">
      <alignment vertical="center"/>
    </xf>
    <xf numFmtId="3" fontId="1" fillId="0" borderId="8" applyAlignment="1" pivotButton="0" quotePrefix="0" xfId="0">
      <alignment vertical="center"/>
    </xf>
    <xf numFmtId="0" fontId="1" fillId="0" borderId="8" applyAlignment="1" pivotButton="0" quotePrefix="0" xfId="0">
      <alignment horizontal="right" vertical="center"/>
    </xf>
    <xf numFmtId="2" fontId="4" fillId="0" borderId="8" applyAlignment="1" pivotButton="0" quotePrefix="0" xfId="0">
      <alignment vertical="center"/>
    </xf>
    <xf numFmtId="0" fontId="5" fillId="0" borderId="36" applyAlignment="1" pivotButton="0" quotePrefix="0" xfId="0">
      <alignment horizontal="center"/>
    </xf>
    <xf numFmtId="1" fontId="4" fillId="0" borderId="36" applyAlignment="1" pivotButton="0" quotePrefix="0" xfId="0">
      <alignment horizontal="center"/>
    </xf>
    <xf numFmtId="49" fontId="4" fillId="0" borderId="4" applyAlignment="1" pivotButton="0" quotePrefix="0" xfId="0">
      <alignment vertical="center"/>
    </xf>
    <xf numFmtId="49" fontId="4" fillId="0" borderId="5" applyAlignment="1" pivotButton="0" quotePrefix="0" xfId="0">
      <alignment vertical="center"/>
    </xf>
    <xf numFmtId="3" fontId="4" fillId="0" borderId="5" applyAlignment="1" pivotButton="0" quotePrefix="0" xfId="0">
      <alignment vertical="center"/>
    </xf>
    <xf numFmtId="2" fontId="4" fillId="0" borderId="5" applyAlignment="1" pivotButton="0" quotePrefix="0" xfId="0">
      <alignment vertical="center"/>
    </xf>
    <xf numFmtId="0" fontId="14" fillId="7" borderId="36" pivotButton="0" quotePrefix="0" xfId="0"/>
    <xf numFmtId="49" fontId="4" fillId="0" borderId="7" applyAlignment="1" pivotButton="0" quotePrefix="0" xfId="0">
      <alignment vertical="center"/>
    </xf>
    <xf numFmtId="49" fontId="4" fillId="0" borderId="8" applyAlignment="1" pivotButton="0" quotePrefix="0" xfId="0">
      <alignment vertical="center"/>
    </xf>
    <xf numFmtId="3" fontId="4" fillId="0" borderId="8" applyAlignment="1" pivotButton="0" quotePrefix="0" xfId="0">
      <alignment vertical="center"/>
    </xf>
    <xf numFmtId="2" fontId="4" fillId="0" borderId="8" applyAlignment="1" pivotButton="0" quotePrefix="0" xfId="0">
      <alignment vertical="center"/>
    </xf>
    <xf numFmtId="0" fontId="4" fillId="0" borderId="89" applyAlignment="1" pivotButton="0" quotePrefix="0" xfId="0">
      <alignment horizontal="center"/>
    </xf>
    <xf numFmtId="2" fontId="4" fillId="0" borderId="90" applyAlignment="1" pivotButton="0" quotePrefix="0" xfId="0">
      <alignment horizontal="right"/>
    </xf>
    <xf numFmtId="0" fontId="4" fillId="0" borderId="91" applyAlignment="1" pivotButton="0" quotePrefix="0" xfId="0">
      <alignment horizontal="center"/>
    </xf>
    <xf numFmtId="0" fontId="4" fillId="0" borderId="92" applyAlignment="1" pivotButton="0" quotePrefix="0" xfId="0">
      <alignment horizontal="center"/>
    </xf>
    <xf numFmtId="0" fontId="4" fillId="0" borderId="93" applyAlignment="1" pivotButton="0" quotePrefix="0" xfId="0">
      <alignment horizontal="right"/>
    </xf>
    <xf numFmtId="0" fontId="4" fillId="0" borderId="94" applyAlignment="1" pivotButton="0" quotePrefix="0" xfId="0">
      <alignment horizontal="center"/>
    </xf>
    <xf numFmtId="0" fontId="4" fillId="0" borderId="6" applyAlignment="1" pivotButton="0" quotePrefix="0" xfId="0">
      <alignment vertical="center"/>
    </xf>
    <xf numFmtId="0" fontId="4" fillId="0" borderId="9" applyAlignment="1" pivotButton="0" quotePrefix="0" xfId="0">
      <alignment vertical="center"/>
    </xf>
    <xf numFmtId="0" fontId="4" fillId="0" borderId="36" pivotButton="0" quotePrefix="0" xfId="0"/>
    <xf numFmtId="0" fontId="5" fillId="0" borderId="34" applyAlignment="1" pivotButton="0" quotePrefix="0" xfId="0">
      <alignment horizontal="center"/>
    </xf>
    <xf numFmtId="1" fontId="5" fillId="0" borderId="36" applyAlignment="1" pivotButton="0" quotePrefix="0" xfId="0">
      <alignment horizontal="center"/>
    </xf>
    <xf numFmtId="2" fontId="4" fillId="0" borderId="5" applyAlignment="1" pivotButton="0" quotePrefix="0" xfId="0">
      <alignment vertical="center"/>
    </xf>
    <xf numFmtId="0" fontId="4" fillId="0" borderId="43" pivotButton="0" quotePrefix="0" xfId="0"/>
    <xf numFmtId="0" fontId="4" fillId="0" borderId="45" pivotButton="0" quotePrefix="0" xfId="0"/>
    <xf numFmtId="3" fontId="3" fillId="3" borderId="5" applyAlignment="1" pivotButton="0" quotePrefix="0" xfId="0">
      <alignment vertical="center"/>
    </xf>
    <xf numFmtId="0" fontId="6" fillId="3" borderId="5" applyAlignment="1" pivotButton="0" quotePrefix="0" xfId="0">
      <alignment vertical="center"/>
    </xf>
    <xf numFmtId="0" fontId="4" fillId="0" borderId="90" applyAlignment="1" pivotButton="0" quotePrefix="0" xfId="0">
      <alignment horizontal="right"/>
    </xf>
    <xf numFmtId="3" fontId="3" fillId="4" borderId="8" applyAlignment="1" pivotButton="0" quotePrefix="0" xfId="0">
      <alignment vertical="center"/>
    </xf>
    <xf numFmtId="2" fontId="13" fillId="4" borderId="8" applyAlignment="1" pivotButton="0" quotePrefix="0" xfId="0">
      <alignment horizontal="right" vertical="center"/>
    </xf>
    <xf numFmtId="3" fontId="13" fillId="3" borderId="5" applyAlignment="1" pivotButton="0" quotePrefix="0" xfId="0">
      <alignment vertical="center"/>
    </xf>
    <xf numFmtId="2" fontId="13" fillId="3" borderId="5" applyAlignment="1" pivotButton="0" quotePrefix="0" xfId="0">
      <alignment horizontal="right" vertical="center"/>
    </xf>
    <xf numFmtId="3" fontId="13" fillId="4" borderId="8" applyAlignment="1" pivotButton="0" quotePrefix="0" xfId="0">
      <alignment vertical="center"/>
    </xf>
    <xf numFmtId="0" fontId="4" fillId="0" borderId="95" applyAlignment="1" pivotButton="0" quotePrefix="0" xfId="0">
      <alignment horizontal="center"/>
    </xf>
    <xf numFmtId="0" fontId="4" fillId="0" borderId="96" applyAlignment="1" pivotButton="0" quotePrefix="0" xfId="0">
      <alignment horizontal="right"/>
    </xf>
    <xf numFmtId="0" fontId="4" fillId="0" borderId="97" applyAlignment="1" pivotButton="0" quotePrefix="0" xfId="0">
      <alignment horizontal="center"/>
    </xf>
    <xf numFmtId="0" fontId="4" fillId="0" borderId="98" applyAlignment="1" pivotButton="0" quotePrefix="0" xfId="0">
      <alignment horizontal="center"/>
    </xf>
    <xf numFmtId="0" fontId="3" fillId="3" borderId="99" applyAlignment="1" pivotButton="0" quotePrefix="0" xfId="0">
      <alignment horizontal="center"/>
    </xf>
    <xf numFmtId="0" fontId="3" fillId="3" borderId="42" applyAlignment="1" pivotButton="0" quotePrefix="0" xfId="0">
      <alignment horizontal="center"/>
    </xf>
    <xf numFmtId="0" fontId="3" fillId="4" borderId="100" applyAlignment="1" pivotButton="0" quotePrefix="0" xfId="0">
      <alignment horizontal="center"/>
    </xf>
    <xf numFmtId="0" fontId="3" fillId="4" borderId="42" applyAlignment="1" pivotButton="0" quotePrefix="0" xfId="0">
      <alignment horizontal="center"/>
    </xf>
    <xf numFmtId="0" fontId="13" fillId="3" borderId="101" applyAlignment="1" pivotButton="0" quotePrefix="0" xfId="0">
      <alignment horizontal="center"/>
    </xf>
    <xf numFmtId="0" fontId="13" fillId="3" borderId="42" applyAlignment="1" pivotButton="0" quotePrefix="0" xfId="0">
      <alignment horizontal="center"/>
    </xf>
    <xf numFmtId="0" fontId="13" fillId="4" borderId="100" applyAlignment="1" pivotButton="0" quotePrefix="0" xfId="0">
      <alignment horizontal="center"/>
    </xf>
    <xf numFmtId="0" fontId="13" fillId="4" borderId="42" applyAlignment="1" pivotButton="0" quotePrefix="0" xfId="0">
      <alignment horizontal="center"/>
    </xf>
    <xf numFmtId="0" fontId="13" fillId="3" borderId="102" applyAlignment="1" pivotButton="0" quotePrefix="0" xfId="0">
      <alignment horizontal="center"/>
    </xf>
    <xf numFmtId="0" fontId="13" fillId="3" borderId="45" applyAlignment="1" pivotButton="0" quotePrefix="0" xfId="0">
      <alignment horizontal="center"/>
    </xf>
    <xf numFmtId="49" fontId="4" fillId="0" borderId="10" applyAlignment="1" pivotButton="0" quotePrefix="0" xfId="0">
      <alignment vertical="center"/>
    </xf>
    <xf numFmtId="49" fontId="4" fillId="0" borderId="11" applyAlignment="1" pivotButton="0" quotePrefix="0" xfId="0">
      <alignment vertical="center"/>
    </xf>
    <xf numFmtId="0" fontId="4" fillId="0" borderId="12" applyAlignment="1" pivotButton="0" quotePrefix="0" xfId="0">
      <alignment vertical="center"/>
    </xf>
    <xf numFmtId="49" fontId="1" fillId="0" borderId="0" pivotButton="0" quotePrefix="0" xfId="0"/>
    <xf numFmtId="3" fontId="1" fillId="0" borderId="0" pivotButton="0" quotePrefix="0" xfId="0"/>
    <xf numFmtId="49" fontId="5" fillId="7" borderId="61" applyAlignment="1" pivotButton="0" quotePrefix="0" xfId="0">
      <alignment horizontal="center" vertical="center"/>
    </xf>
    <xf numFmtId="49" fontId="5" fillId="7" borderId="62" applyAlignment="1" pivotButton="0" quotePrefix="0" xfId="0">
      <alignment horizontal="center" vertical="center"/>
    </xf>
    <xf numFmtId="49" fontId="5" fillId="7" borderId="62" applyAlignment="1" pivotButton="0" quotePrefix="0" xfId="0">
      <alignment horizontal="left" vertical="center"/>
    </xf>
    <xf numFmtId="0" fontId="5" fillId="7" borderId="62" applyAlignment="1" pivotButton="0" quotePrefix="0" xfId="0">
      <alignment horizontal="center" vertical="center"/>
    </xf>
    <xf numFmtId="49" fontId="5" fillId="7" borderId="62" applyAlignment="1" pivotButton="0" quotePrefix="0" xfId="0">
      <alignment horizontal="right" vertical="center"/>
    </xf>
    <xf numFmtId="0" fontId="5" fillId="7" borderId="62" applyAlignment="1" pivotButton="0" quotePrefix="0" xfId="0">
      <alignment horizontal="left" vertical="center"/>
    </xf>
    <xf numFmtId="3" fontId="5" fillId="7" borderId="62" applyAlignment="1" pivotButton="0" quotePrefix="0" xfId="0">
      <alignment horizontal="left" vertical="center"/>
    </xf>
    <xf numFmtId="3" fontId="5" fillId="7" borderId="62" applyAlignment="1" pivotButton="0" quotePrefix="0" xfId="0">
      <alignment horizontal="center" vertical="center"/>
    </xf>
    <xf numFmtId="3" fontId="5" fillId="7" borderId="63" applyAlignment="1" pivotButton="0" quotePrefix="0" xfId="0">
      <alignment horizontal="center" vertical="center"/>
    </xf>
    <xf numFmtId="49" fontId="5" fillId="7" borderId="67" applyAlignment="1" pivotButton="0" quotePrefix="0" xfId="0">
      <alignment horizontal="left" vertical="center"/>
    </xf>
    <xf numFmtId="3" fontId="4" fillId="0" borderId="0" applyAlignment="1" pivotButton="0" quotePrefix="0" xfId="0">
      <alignment wrapText="1"/>
    </xf>
    <xf numFmtId="3" fontId="4" fillId="0" borderId="1" applyAlignment="1" pivotButton="0" quotePrefix="0" xfId="0">
      <alignment horizontal="left" vertical="center" wrapText="1"/>
    </xf>
    <xf numFmtId="3" fontId="4" fillId="0" borderId="2" applyAlignment="1" pivotButton="0" quotePrefix="0" xfId="0">
      <alignment horizontal="left" vertical="center" wrapText="1"/>
    </xf>
    <xf numFmtId="3" fontId="4" fillId="0" borderId="3" applyAlignment="1" pivotButton="0" quotePrefix="0" xfId="0">
      <alignment horizontal="left" vertical="center" wrapText="1"/>
    </xf>
    <xf numFmtId="49" fontId="4" fillId="0" borderId="1" applyAlignment="1" pivotButton="0" quotePrefix="0" xfId="0">
      <alignment horizontal="left" vertical="center" wrapText="1"/>
    </xf>
    <xf numFmtId="49" fontId="4" fillId="0" borderId="2" applyAlignment="1" pivotButton="0" quotePrefix="0" xfId="0">
      <alignment horizontal="left" vertical="center" wrapText="1"/>
    </xf>
    <xf numFmtId="3" fontId="4" fillId="0" borderId="2" applyAlignment="1" pivotButton="0" quotePrefix="0" xfId="0">
      <alignment horizontal="center" vertical="center" wrapText="1"/>
    </xf>
    <xf numFmtId="49" fontId="4" fillId="0" borderId="2" applyAlignment="1" pivotButton="0" quotePrefix="0" xfId="0">
      <alignment horizontal="right" vertical="center" wrapText="1"/>
    </xf>
    <xf numFmtId="49" fontId="4" fillId="0" borderId="2" applyAlignment="1" pivotButton="0" quotePrefix="0" xfId="0">
      <alignment horizontal="right" vertical="center" wrapText="1"/>
    </xf>
    <xf numFmtId="3" fontId="4" fillId="0" borderId="3" applyAlignment="1" pivotButton="0" quotePrefix="0" xfId="0">
      <alignment horizontal="center" vertical="center" wrapText="1"/>
    </xf>
    <xf numFmtId="3" fontId="4" fillId="0" borderId="0" applyAlignment="1" pivotButton="0" quotePrefix="0" xfId="0">
      <alignment horizontal="center" wrapText="1"/>
    </xf>
    <xf numFmtId="49" fontId="4" fillId="0" borderId="1" applyAlignment="1" pivotButton="0" quotePrefix="0" xfId="0">
      <alignment horizontal="left" vertical="center" wrapText="1"/>
    </xf>
    <xf numFmtId="49" fontId="4" fillId="0" borderId="2" applyAlignment="1" pivotButton="0" quotePrefix="0" xfId="0">
      <alignment horizontal="left" vertical="center" wrapText="1"/>
    </xf>
    <xf numFmtId="3" fontId="4" fillId="0" borderId="2" applyAlignment="1" pivotButton="0" quotePrefix="0" xfId="0">
      <alignment horizontal="center" vertical="center" wrapText="1"/>
    </xf>
    <xf numFmtId="49" fontId="4" fillId="0" borderId="2" applyAlignment="1" pivotButton="0" quotePrefix="0" xfId="0">
      <alignment horizontal="right" vertical="center" wrapText="1"/>
    </xf>
    <xf numFmtId="49" fontId="4" fillId="0" borderId="2" applyAlignment="1" pivotButton="0" quotePrefix="0" xfId="0">
      <alignment horizontal="right" vertical="center" wrapText="1"/>
    </xf>
    <xf numFmtId="0" fontId="4" fillId="0" borderId="3" applyAlignment="1" pivotButton="0" quotePrefix="0" xfId="0">
      <alignment horizontal="center" vertical="center"/>
    </xf>
    <xf numFmtId="0" fontId="5" fillId="0" borderId="32" applyAlignment="1" pivotButton="0" quotePrefix="0" xfId="0">
      <alignment horizontal="center" vertical="center" wrapText="1"/>
    </xf>
    <xf numFmtId="3" fontId="4" fillId="0" borderId="101" applyAlignment="1" pivotButton="0" quotePrefix="0" xfId="0">
      <alignment horizontal="center" vertical="center"/>
    </xf>
    <xf numFmtId="3" fontId="4" fillId="0" borderId="5" applyAlignment="1" pivotButton="0" quotePrefix="0" xfId="0">
      <alignment horizontal="center" vertical="center"/>
    </xf>
    <xf numFmtId="0" fontId="4" fillId="0" borderId="5" applyAlignment="1" pivotButton="0" quotePrefix="0" xfId="0">
      <alignment vertical="center"/>
    </xf>
    <xf numFmtId="49" fontId="4" fillId="0" borderId="5" applyAlignment="1" pivotButton="0" quotePrefix="0" xfId="0">
      <alignment vertical="center"/>
    </xf>
    <xf numFmtId="49" fontId="4" fillId="0" borderId="5" applyAlignment="1" pivotButton="0" quotePrefix="0" xfId="0">
      <alignment horizontal="right" vertical="center"/>
    </xf>
    <xf numFmtId="0" fontId="4" fillId="0" borderId="5" applyAlignment="1" pivotButton="0" quotePrefix="0" xfId="0">
      <alignment horizontal="center" vertical="center"/>
    </xf>
    <xf numFmtId="1" fontId="4" fillId="0" borderId="103" applyAlignment="1" pivotButton="0" quotePrefix="0" xfId="0">
      <alignment horizontal="center" vertical="center"/>
    </xf>
    <xf numFmtId="2" fontId="4" fillId="0" borderId="6" applyAlignment="1" pivotButton="0" quotePrefix="0" xfId="0">
      <alignment vertical="center"/>
    </xf>
    <xf numFmtId="0" fontId="18" fillId="0" borderId="0" applyAlignment="1" pivotButton="0" quotePrefix="0" xfId="0">
      <alignment vertical="bottom"/>
    </xf>
    <xf numFmtId="0" fontId="18" fillId="0" borderId="0" applyAlignment="1" pivotButton="0" quotePrefix="0" xfId="0">
      <alignment horizontal="center" vertical="bottom"/>
    </xf>
    <xf numFmtId="167" fontId="18" fillId="0" borderId="0" applyAlignment="1" pivotButton="0" quotePrefix="0" xfId="0">
      <alignment horizontal="center" vertical="bottom"/>
    </xf>
    <xf numFmtId="0" fontId="4" fillId="0" borderId="0" pivotButton="0" quotePrefix="0" xfId="0"/>
    <xf numFmtId="3" fontId="4" fillId="0" borderId="4" applyAlignment="1" pivotButton="0" quotePrefix="0" xfId="0">
      <alignment vertical="center" wrapText="1"/>
    </xf>
    <xf numFmtId="3" fontId="4" fillId="0" borderId="5" applyAlignment="1" pivotButton="0" quotePrefix="0" xfId="0">
      <alignment vertical="center" wrapText="1"/>
    </xf>
    <xf numFmtId="3" fontId="4" fillId="0" borderId="5" applyAlignment="1" pivotButton="0" quotePrefix="0" xfId="0">
      <alignment horizontal="center" vertical="center" wrapText="1"/>
    </xf>
    <xf numFmtId="0" fontId="4" fillId="0" borderId="5" applyAlignment="1" pivotButton="0" quotePrefix="0" xfId="0">
      <alignment vertical="center"/>
    </xf>
    <xf numFmtId="49" fontId="4" fillId="0" borderId="5" applyAlignment="1" pivotButton="0" quotePrefix="0" xfId="0">
      <alignment horizontal="right" vertical="center"/>
    </xf>
    <xf numFmtId="2" fontId="4" fillId="0" borderId="5" applyAlignment="1" pivotButton="0" quotePrefix="0" xfId="0">
      <alignment horizontal="right" vertical="center"/>
    </xf>
    <xf numFmtId="0" fontId="4" fillId="0" borderId="5" applyAlignment="1" pivotButton="0" quotePrefix="0" xfId="0">
      <alignment horizontal="center" vertical="center"/>
    </xf>
    <xf numFmtId="1" fontId="4" fillId="0" borderId="6" applyAlignment="1" pivotButton="0" quotePrefix="0" xfId="0">
      <alignment horizontal="center" vertical="center"/>
    </xf>
    <xf numFmtId="1" fontId="4" fillId="0" borderId="0" applyAlignment="1" pivotButton="0" quotePrefix="0" xfId="0">
      <alignment horizontal="center"/>
    </xf>
    <xf numFmtId="3" fontId="4" fillId="0" borderId="4" applyAlignment="1" pivotButton="0" quotePrefix="0" xfId="0">
      <alignment vertical="center" wrapText="1"/>
    </xf>
    <xf numFmtId="3" fontId="4" fillId="0" borderId="5" applyAlignment="1" pivotButton="0" quotePrefix="0" xfId="0">
      <alignment vertical="center" wrapText="1"/>
    </xf>
    <xf numFmtId="0" fontId="4" fillId="0" borderId="5" applyAlignment="1" pivotButton="0" quotePrefix="0" xfId="0">
      <alignment horizontal="right" vertical="center"/>
    </xf>
    <xf numFmtId="1" fontId="4" fillId="0" borderId="5" applyAlignment="1" pivotButton="0" quotePrefix="0" xfId="0">
      <alignment vertical="center"/>
    </xf>
    <xf numFmtId="49" fontId="4" fillId="0" borderId="6" applyAlignment="1" pivotButton="0" quotePrefix="0" xfId="0">
      <alignment horizontal="center" vertical="center"/>
    </xf>
    <xf numFmtId="0" fontId="5" fillId="0" borderId="36" applyAlignment="1" pivotButton="0" quotePrefix="0" xfId="0">
      <alignment horizontal="center" vertical="center" wrapText="1"/>
    </xf>
    <xf numFmtId="3" fontId="4" fillId="0" borderId="100" applyAlignment="1" pivotButton="0" quotePrefix="0" xfId="0">
      <alignment horizontal="center" vertical="center"/>
    </xf>
    <xf numFmtId="3" fontId="4" fillId="0" borderId="8" applyAlignment="1" pivotButton="0" quotePrefix="0" xfId="0">
      <alignment horizontal="center" vertical="center"/>
    </xf>
    <xf numFmtId="0" fontId="4" fillId="0" borderId="8" applyAlignment="1" pivotButton="0" quotePrefix="0" xfId="0">
      <alignment vertical="center"/>
    </xf>
    <xf numFmtId="49" fontId="4" fillId="0" borderId="8" applyAlignment="1" pivotButton="0" quotePrefix="0" xfId="0">
      <alignment vertical="center"/>
    </xf>
    <xf numFmtId="49" fontId="4" fillId="0" borderId="8" applyAlignment="1" pivotButton="0" quotePrefix="0" xfId="0">
      <alignment horizontal="right" vertical="center"/>
    </xf>
    <xf numFmtId="0" fontId="4" fillId="0" borderId="8" applyAlignment="1" pivotButton="0" quotePrefix="0" xfId="0">
      <alignment horizontal="center" vertical="center"/>
    </xf>
    <xf numFmtId="1" fontId="4" fillId="0" borderId="104" applyAlignment="1" pivotButton="0" quotePrefix="0" xfId="0">
      <alignment horizontal="center" vertical="center"/>
    </xf>
    <xf numFmtId="2" fontId="4" fillId="0" borderId="9" applyAlignment="1" pivotButton="0" quotePrefix="0" xfId="0">
      <alignment vertical="center"/>
    </xf>
    <xf numFmtId="3" fontId="4" fillId="0" borderId="7" applyAlignment="1" pivotButton="0" quotePrefix="0" xfId="0">
      <alignment vertical="center" wrapText="1"/>
    </xf>
    <xf numFmtId="3" fontId="4" fillId="0" borderId="8" applyAlignment="1" pivotButton="0" quotePrefix="0" xfId="0">
      <alignment vertical="center" wrapText="1"/>
    </xf>
    <xf numFmtId="3" fontId="4" fillId="0" borderId="8" applyAlignment="1" pivotButton="0" quotePrefix="0" xfId="0">
      <alignment horizontal="center" vertical="center" wrapText="1"/>
    </xf>
    <xf numFmtId="0" fontId="4" fillId="0" borderId="8" applyAlignment="1" pivotButton="0" quotePrefix="0" xfId="0">
      <alignment vertical="center"/>
    </xf>
    <xf numFmtId="49" fontId="4" fillId="0" borderId="8" applyAlignment="1" pivotButton="0" quotePrefix="0" xfId="0">
      <alignment horizontal="right" vertical="center"/>
    </xf>
    <xf numFmtId="2" fontId="4" fillId="0" borderId="8" applyAlignment="1" pivotButton="0" quotePrefix="0" xfId="0">
      <alignment horizontal="right" vertical="center"/>
    </xf>
    <xf numFmtId="0" fontId="4" fillId="0" borderId="8" applyAlignment="1" pivotButton="0" quotePrefix="0" xfId="0">
      <alignment horizontal="center" vertical="center"/>
    </xf>
    <xf numFmtId="1" fontId="4" fillId="0" borderId="9" applyAlignment="1" pivotButton="0" quotePrefix="0" xfId="0">
      <alignment horizontal="center" vertical="center"/>
    </xf>
    <xf numFmtId="3" fontId="4" fillId="0" borderId="7" applyAlignment="1" pivotButton="0" quotePrefix="0" xfId="0">
      <alignment vertical="center" wrapText="1"/>
    </xf>
    <xf numFmtId="3" fontId="4" fillId="0" borderId="8" applyAlignment="1" pivotButton="0" quotePrefix="0" xfId="0">
      <alignment vertical="center" wrapText="1"/>
    </xf>
    <xf numFmtId="1" fontId="4" fillId="0" borderId="8" applyAlignment="1" pivotButton="0" quotePrefix="0" xfId="0">
      <alignment vertical="center"/>
    </xf>
    <xf numFmtId="49" fontId="4" fillId="0" borderId="9" applyAlignment="1" pivotButton="0" quotePrefix="0" xfId="0">
      <alignment horizontal="center" vertical="center"/>
    </xf>
    <xf numFmtId="0" fontId="4" fillId="9" borderId="41" pivotButton="0" quotePrefix="0" xfId="0"/>
    <xf numFmtId="1" fontId="4" fillId="9" borderId="0" applyAlignment="1" pivotButton="0" quotePrefix="0" xfId="0">
      <alignment horizontal="center"/>
    </xf>
    <xf numFmtId="1" fontId="4" fillId="9" borderId="42" applyAlignment="1" pivotButton="0" quotePrefix="0" xfId="0">
      <alignment horizontal="center"/>
    </xf>
    <xf numFmtId="1" fontId="4" fillId="0" borderId="41" applyAlignment="1" pivotButton="0" quotePrefix="0" xfId="0">
      <alignment horizontal="left"/>
    </xf>
    <xf numFmtId="1" fontId="4" fillId="0" borderId="42" applyAlignment="1" pivotButton="0" quotePrefix="0" xfId="0">
      <alignment horizontal="center"/>
    </xf>
    <xf numFmtId="4" fontId="4" fillId="0" borderId="8" applyAlignment="1" pivotButton="0" quotePrefix="0" xfId="0">
      <alignment vertical="center"/>
    </xf>
    <xf numFmtId="2" fontId="4" fillId="0" borderId="8" applyAlignment="1" pivotButton="0" quotePrefix="0" xfId="0">
      <alignment horizontal="right" vertical="center"/>
    </xf>
    <xf numFmtId="4" fontId="4" fillId="0" borderId="5" applyAlignment="1" pivotButton="0" quotePrefix="0" xfId="0">
      <alignment vertical="center"/>
    </xf>
    <xf numFmtId="0" fontId="4" fillId="7" borderId="105" applyAlignment="1" pivotButton="0" quotePrefix="0" xfId="0">
      <alignment horizontal="center" vertical="center"/>
    </xf>
    <xf numFmtId="49" fontId="4" fillId="9" borderId="41" pivotButton="0" quotePrefix="0" xfId="0"/>
    <xf numFmtId="3" fontId="4" fillId="9" borderId="106" applyAlignment="1" pivotButton="0" quotePrefix="0" xfId="0">
      <alignment vertical="center" wrapText="1"/>
    </xf>
    <xf numFmtId="3" fontId="4" fillId="9" borderId="107" applyAlignment="1" pivotButton="0" quotePrefix="0" xfId="0">
      <alignment vertical="center" wrapText="1"/>
    </xf>
    <xf numFmtId="0" fontId="4" fillId="9" borderId="107" applyAlignment="1" pivotButton="0" quotePrefix="0" xfId="0">
      <alignment vertical="center"/>
    </xf>
    <xf numFmtId="49" fontId="4" fillId="9" borderId="107" applyAlignment="1" pivotButton="0" quotePrefix="0" xfId="0">
      <alignment horizontal="right" vertical="center"/>
    </xf>
    <xf numFmtId="2" fontId="4" fillId="9" borderId="107" applyAlignment="1" pivotButton="0" quotePrefix="0" xfId="0">
      <alignment vertical="center"/>
    </xf>
    <xf numFmtId="1" fontId="4" fillId="9" borderId="107" applyAlignment="1" pivotButton="0" quotePrefix="0" xfId="0">
      <alignment vertical="center"/>
    </xf>
    <xf numFmtId="1" fontId="4" fillId="9" borderId="108" applyAlignment="1" pivotButton="0" quotePrefix="0" xfId="0">
      <alignment horizontal="center" vertical="center"/>
    </xf>
    <xf numFmtId="1" fontId="4" fillId="9" borderId="0" applyAlignment="1" pivotButton="0" quotePrefix="0" xfId="0">
      <alignment horizontal="center"/>
    </xf>
    <xf numFmtId="0" fontId="18" fillId="10" borderId="0" applyAlignment="1" pivotButton="0" quotePrefix="0" xfId="0">
      <alignment vertical="bottom"/>
    </xf>
    <xf numFmtId="3" fontId="4" fillId="0" borderId="102" applyAlignment="1" pivotButton="0" quotePrefix="0" xfId="0">
      <alignment horizontal="center" vertical="center"/>
    </xf>
    <xf numFmtId="3" fontId="4" fillId="0" borderId="109" applyAlignment="1" pivotButton="0" quotePrefix="0" xfId="0">
      <alignment horizontal="center" vertical="center"/>
    </xf>
    <xf numFmtId="3" fontId="4" fillId="0" borderId="109" applyAlignment="1" pivotButton="0" quotePrefix="0" xfId="0">
      <alignment vertical="center"/>
    </xf>
    <xf numFmtId="0" fontId="4" fillId="0" borderId="109" applyAlignment="1" pivotButton="0" quotePrefix="0" xfId="0">
      <alignment vertical="center"/>
    </xf>
    <xf numFmtId="4" fontId="4" fillId="0" borderId="109" applyAlignment="1" pivotButton="0" quotePrefix="0" xfId="0">
      <alignment vertical="center"/>
    </xf>
    <xf numFmtId="49" fontId="4" fillId="0" borderId="109" applyAlignment="1" pivotButton="0" quotePrefix="0" xfId="0">
      <alignment vertical="center"/>
    </xf>
    <xf numFmtId="10" fontId="4" fillId="0" borderId="109" applyAlignment="1" pivotButton="0" quotePrefix="0" xfId="0">
      <alignment vertical="center"/>
    </xf>
    <xf numFmtId="49" fontId="4" fillId="0" borderId="109" applyAlignment="1" pivotButton="0" quotePrefix="0" xfId="0">
      <alignment horizontal="right" vertical="center"/>
    </xf>
    <xf numFmtId="0" fontId="4" fillId="7" borderId="110" applyAlignment="1" pivotButton="0" quotePrefix="0" xfId="0">
      <alignment horizontal="center" vertical="center"/>
    </xf>
    <xf numFmtId="1" fontId="4" fillId="0" borderId="71" applyAlignment="1" pivotButton="0" quotePrefix="0" xfId="0">
      <alignment horizontal="center" vertical="center"/>
    </xf>
    <xf numFmtId="3" fontId="4" fillId="0" borderId="7" applyAlignment="1" pivotButton="0" quotePrefix="0" xfId="0">
      <alignment horizontal="center" vertical="center"/>
    </xf>
    <xf numFmtId="1" fontId="4" fillId="0" borderId="8" applyAlignment="1" pivotButton="0" quotePrefix="0" xfId="0">
      <alignment horizontal="center" vertical="center"/>
    </xf>
    <xf numFmtId="3" fontId="4" fillId="0" borderId="8" applyAlignment="1" pivotButton="0" quotePrefix="0" xfId="0">
      <alignment horizontal="right" vertical="center"/>
    </xf>
    <xf numFmtId="3" fontId="4" fillId="0" borderId="4" applyAlignment="1" pivotButton="0" quotePrefix="0" xfId="0">
      <alignment horizontal="center" vertical="center"/>
    </xf>
    <xf numFmtId="1" fontId="4" fillId="0" borderId="5" applyAlignment="1" pivotButton="0" quotePrefix="0" xfId="0">
      <alignment horizontal="center" vertical="center"/>
    </xf>
    <xf numFmtId="0" fontId="19" fillId="0" borderId="0" applyAlignment="1" pivotButton="0" quotePrefix="0" xfId="0">
      <alignment vertical="bottom"/>
    </xf>
    <xf numFmtId="0" fontId="4" fillId="0" borderId="8" applyAlignment="1" pivotButton="0" quotePrefix="0" xfId="0">
      <alignment horizontal="right" vertical="center"/>
    </xf>
    <xf numFmtId="49" fontId="4" fillId="0" borderId="5" applyAlignment="1" pivotButton="0" quotePrefix="0" xfId="0">
      <alignment vertical="center"/>
    </xf>
    <xf numFmtId="0" fontId="4" fillId="0" borderId="5" applyAlignment="1" pivotButton="0" quotePrefix="0" xfId="0">
      <alignment vertical="center" wrapText="1"/>
    </xf>
    <xf numFmtId="0" fontId="4" fillId="0" borderId="5" applyAlignment="1" pivotButton="0" quotePrefix="0" xfId="0">
      <alignment horizontal="right" vertical="center"/>
    </xf>
    <xf numFmtId="0" fontId="4" fillId="0" borderId="5" applyAlignment="1" pivotButton="0" quotePrefix="0" xfId="0">
      <alignment horizontal="right" vertical="center"/>
    </xf>
    <xf numFmtId="3" fontId="4" fillId="0" borderId="5" applyAlignment="1" pivotButton="0" quotePrefix="0" xfId="0">
      <alignment horizontal="right" vertical="center"/>
    </xf>
    <xf numFmtId="4" fontId="4" fillId="0" borderId="5" applyAlignment="1" pivotButton="0" quotePrefix="0" xfId="0">
      <alignment horizontal="right" vertical="center"/>
    </xf>
    <xf numFmtId="0" fontId="4" fillId="0" borderId="8" applyAlignment="1" pivotButton="0" quotePrefix="0" xfId="0">
      <alignment horizontal="right" vertical="center"/>
    </xf>
    <xf numFmtId="0" fontId="4" fillId="0" borderId="8" applyAlignment="1" pivotButton="0" quotePrefix="0" xfId="0">
      <alignment horizontal="right" vertical="center"/>
    </xf>
    <xf numFmtId="1" fontId="4" fillId="0" borderId="0" applyAlignment="1" pivotButton="0" quotePrefix="0" xfId="0">
      <alignment horizontal="left"/>
    </xf>
    <xf numFmtId="4" fontId="4" fillId="0" borderId="5" applyAlignment="1" pivotButton="0" quotePrefix="0" xfId="0">
      <alignment horizontal="right" vertical="center"/>
    </xf>
    <xf numFmtId="49" fontId="4" fillId="9" borderId="108" applyAlignment="1" pivotButton="0" quotePrefix="0" xfId="0">
      <alignment horizontal="center" vertical="center"/>
    </xf>
    <xf numFmtId="1" fontId="4" fillId="0" borderId="43" applyAlignment="1" pivotButton="0" quotePrefix="0" xfId="0">
      <alignment horizontal="left"/>
    </xf>
    <xf numFmtId="1" fontId="4" fillId="0" borderId="44" applyAlignment="1" pivotButton="0" quotePrefix="0" xfId="0">
      <alignment horizontal="center"/>
    </xf>
    <xf numFmtId="1" fontId="4" fillId="0" borderId="45" applyAlignment="1" pivotButton="0" quotePrefix="0" xfId="0">
      <alignment horizontal="center"/>
    </xf>
    <xf numFmtId="1" fontId="4" fillId="0" borderId="8" applyAlignment="1" pivotButton="0" quotePrefix="0" xfId="0">
      <alignment vertical="center"/>
    </xf>
    <xf numFmtId="4" fontId="4" fillId="0" borderId="8" applyAlignment="1" pivotButton="0" quotePrefix="0" xfId="0">
      <alignment horizontal="right" vertical="center"/>
    </xf>
    <xf numFmtId="0" fontId="4" fillId="9" borderId="107" applyAlignment="1" pivotButton="0" quotePrefix="0" xfId="0">
      <alignment horizontal="right" vertical="center"/>
    </xf>
    <xf numFmtId="2" fontId="4" fillId="9" borderId="107" applyAlignment="1" pivotButton="0" quotePrefix="0" xfId="0">
      <alignment horizontal="right" vertical="center"/>
    </xf>
    <xf numFmtId="0" fontId="4" fillId="0" borderId="8" applyAlignment="1" pivotButton="0" quotePrefix="0" xfId="0">
      <alignment vertical="center" wrapText="1"/>
    </xf>
    <xf numFmtId="49" fontId="4" fillId="9" borderId="107" applyAlignment="1" pivotButton="0" quotePrefix="0" xfId="0">
      <alignment vertical="center"/>
    </xf>
    <xf numFmtId="49" fontId="4" fillId="0" borderId="8" applyAlignment="1" pivotButton="0" quotePrefix="0" xfId="0">
      <alignment vertical="center"/>
    </xf>
    <xf numFmtId="3" fontId="4" fillId="0" borderId="10" applyAlignment="1" pivotButton="0" quotePrefix="0" xfId="0">
      <alignment vertical="center" wrapText="1"/>
    </xf>
    <xf numFmtId="3" fontId="4" fillId="0" borderId="11" applyAlignment="1" pivotButton="0" quotePrefix="0" xfId="0">
      <alignment vertical="center" wrapText="1"/>
    </xf>
    <xf numFmtId="0" fontId="4" fillId="0" borderId="11" applyAlignment="1" pivotButton="0" quotePrefix="0" xfId="0">
      <alignment vertical="center"/>
    </xf>
    <xf numFmtId="49" fontId="4" fillId="0" borderId="11" applyAlignment="1" pivotButton="0" quotePrefix="0" xfId="0">
      <alignment horizontal="right" vertical="center"/>
    </xf>
    <xf numFmtId="2" fontId="4" fillId="0" borderId="11" applyAlignment="1" pivotButton="0" quotePrefix="0" xfId="0">
      <alignment vertical="center"/>
    </xf>
    <xf numFmtId="1" fontId="4" fillId="0" borderId="11" applyAlignment="1" pivotButton="0" quotePrefix="0" xfId="0">
      <alignment vertical="center"/>
    </xf>
    <xf numFmtId="49" fontId="4" fillId="0" borderId="12" applyAlignment="1" pivotButton="0" quotePrefix="0" xfId="0">
      <alignment horizontal="center" vertical="center"/>
    </xf>
    <xf numFmtId="3" fontId="4" fillId="0" borderId="5" applyAlignment="1" pivotButton="0" quotePrefix="0" xfId="0">
      <alignment horizontal="center" vertical="center"/>
    </xf>
    <xf numFmtId="49" fontId="4" fillId="0" borderId="0" pivotButton="0" quotePrefix="0" xfId="0"/>
    <xf numFmtId="3" fontId="4" fillId="0" borderId="0" applyAlignment="1" pivotButton="0" quotePrefix="0" xfId="0">
      <alignment horizontal="center"/>
    </xf>
    <xf numFmtId="0" fontId="4" fillId="0" borderId="0" pivotButton="0" quotePrefix="0" xfId="0"/>
    <xf numFmtId="49" fontId="4" fillId="0" borderId="0" applyAlignment="1" pivotButton="0" quotePrefix="0" xfId="0">
      <alignment horizontal="right"/>
    </xf>
    <xf numFmtId="2" fontId="4" fillId="0" borderId="0" applyAlignment="1" pivotButton="0" quotePrefix="0" xfId="0">
      <alignment horizontal="right"/>
    </xf>
    <xf numFmtId="0" fontId="4" fillId="0" borderId="0" applyAlignment="1" pivotButton="0" quotePrefix="0" xfId="0">
      <alignment horizontal="center"/>
    </xf>
    <xf numFmtId="1" fontId="4" fillId="0" borderId="0" applyAlignment="1" pivotButton="0" quotePrefix="0" xfId="0">
      <alignment horizontal="center"/>
    </xf>
    <xf numFmtId="3" fontId="4" fillId="0" borderId="8" applyAlignment="1" pivotButton="0" quotePrefix="0" xfId="0">
      <alignment horizontal="center" vertical="center"/>
    </xf>
    <xf numFmtId="4" fontId="4" fillId="0" borderId="8" applyAlignment="1" pivotButton="0" quotePrefix="0" xfId="0">
      <alignment horizontal="right" vertical="center"/>
    </xf>
    <xf numFmtId="3" fontId="4" fillId="0" borderId="8" applyAlignment="1" pivotButton="0" quotePrefix="0" xfId="0">
      <alignment horizontal="right" vertical="center"/>
    </xf>
    <xf numFmtId="0" fontId="4" fillId="0" borderId="0" applyAlignment="1" pivotButton="0" quotePrefix="0" xfId="0">
      <alignment wrapText="1"/>
    </xf>
    <xf numFmtId="3" fontId="4" fillId="0" borderId="5" applyAlignment="1" pivotButton="0" quotePrefix="0" xfId="0">
      <alignment horizontal="right" vertical="center"/>
    </xf>
    <xf numFmtId="1" fontId="4" fillId="0" borderId="0" applyAlignment="1" pivotButton="0" quotePrefix="0" xfId="0">
      <alignment horizontal="left"/>
    </xf>
    <xf numFmtId="49" fontId="4" fillId="0" borderId="8" applyAlignment="1" pivotButton="0" quotePrefix="0" xfId="0">
      <alignment horizontal="center" vertical="center"/>
    </xf>
    <xf numFmtId="49" fontId="4" fillId="0" borderId="8" applyAlignment="1" pivotButton="0" quotePrefix="0" xfId="0">
      <alignment vertical="center"/>
    </xf>
    <xf numFmtId="49" fontId="6" fillId="0" borderId="0" applyAlignment="1" pivotButton="0" quotePrefix="0" xfId="0">
      <alignment vertical="bottom"/>
    </xf>
    <xf numFmtId="3" fontId="4" fillId="0" borderId="7" applyAlignment="1" pivotButton="0" quotePrefix="0" xfId="0">
      <alignment vertical="center"/>
    </xf>
    <xf numFmtId="3" fontId="4" fillId="0" borderId="8" applyAlignment="1" pivotButton="0" quotePrefix="0" xfId="0">
      <alignment vertical="center"/>
    </xf>
    <xf numFmtId="3" fontId="4" fillId="0" borderId="8" applyAlignment="1" pivotButton="0" quotePrefix="0" xfId="0">
      <alignment horizontal="center" vertical="center"/>
    </xf>
    <xf numFmtId="49" fontId="4" fillId="0" borderId="5" applyAlignment="1" pivotButton="0" quotePrefix="0" xfId="0">
      <alignment horizontal="center" vertical="center"/>
    </xf>
    <xf numFmtId="49" fontId="4" fillId="0" borderId="5" applyAlignment="1" pivotButton="0" quotePrefix="0" xfId="0">
      <alignment vertical="center"/>
    </xf>
    <xf numFmtId="3" fontId="4" fillId="0" borderId="4" applyAlignment="1" pivotButton="0" quotePrefix="0" xfId="0">
      <alignment vertical="center"/>
    </xf>
    <xf numFmtId="3" fontId="4" fillId="0" borderId="5" applyAlignment="1" pivotButton="0" quotePrefix="0" xfId="0">
      <alignment vertical="center"/>
    </xf>
    <xf numFmtId="3" fontId="4" fillId="0" borderId="5" applyAlignment="1" pivotButton="0" quotePrefix="0" xfId="0">
      <alignment horizontal="center" vertical="center"/>
    </xf>
    <xf numFmtId="3" fontId="4" fillId="0" borderId="10" applyAlignment="1" pivotButton="0" quotePrefix="0" xfId="0">
      <alignment horizontal="center" vertical="center"/>
    </xf>
    <xf numFmtId="49" fontId="4" fillId="0" borderId="11" applyAlignment="1" pivotButton="0" quotePrefix="0" xfId="0">
      <alignment horizontal="center" vertical="center"/>
    </xf>
    <xf numFmtId="49" fontId="4" fillId="0" borderId="11" applyAlignment="1" pivotButton="0" quotePrefix="0" xfId="0">
      <alignment vertical="center"/>
    </xf>
    <xf numFmtId="3" fontId="4" fillId="0" borderId="11" applyAlignment="1" pivotButton="0" quotePrefix="0" xfId="0">
      <alignment horizontal="center" vertical="center"/>
    </xf>
    <xf numFmtId="49" fontId="4" fillId="0" borderId="11" applyAlignment="1" pivotButton="0" quotePrefix="0" xfId="0">
      <alignment vertical="center"/>
    </xf>
    <xf numFmtId="3" fontId="4" fillId="0" borderId="11" applyAlignment="1" pivotButton="0" quotePrefix="0" xfId="0">
      <alignment vertical="center"/>
    </xf>
    <xf numFmtId="10" fontId="4" fillId="0" borderId="11" applyAlignment="1" pivotButton="0" quotePrefix="0" xfId="0">
      <alignment vertical="center"/>
    </xf>
    <xf numFmtId="0" fontId="4" fillId="0" borderId="11" applyAlignment="1" pivotButton="0" quotePrefix="0" xfId="0">
      <alignment horizontal="center" vertical="center"/>
    </xf>
    <xf numFmtId="1" fontId="4" fillId="0" borderId="11" applyAlignment="1" pivotButton="0" quotePrefix="0" xfId="0">
      <alignment horizontal="center" vertical="center"/>
    </xf>
    <xf numFmtId="2" fontId="4" fillId="0" borderId="12" applyAlignment="1" pivotButton="0" quotePrefix="0" xfId="0">
      <alignment vertical="center"/>
    </xf>
    <xf numFmtId="49" fontId="4" fillId="0" borderId="0" pivotButton="0" quotePrefix="0" xfId="0"/>
    <xf numFmtId="3" fontId="4" fillId="0" borderId="73" applyAlignment="1" pivotButton="0" quotePrefix="0" xfId="0">
      <alignment vertical="center"/>
    </xf>
    <xf numFmtId="3" fontId="4" fillId="0" borderId="85" applyAlignment="1" pivotButton="0" quotePrefix="0" xfId="0">
      <alignment vertical="center"/>
    </xf>
    <xf numFmtId="3" fontId="4" fillId="0" borderId="85" applyAlignment="1" pivotButton="0" quotePrefix="0" xfId="0">
      <alignment horizontal="center" vertical="center"/>
    </xf>
    <xf numFmtId="0" fontId="4" fillId="0" borderId="85" applyAlignment="1" pivotButton="0" quotePrefix="0" xfId="0">
      <alignment vertical="center"/>
    </xf>
    <xf numFmtId="49" fontId="4" fillId="0" borderId="85" applyAlignment="1" pivotButton="0" quotePrefix="0" xfId="0">
      <alignment horizontal="right" vertical="center"/>
    </xf>
    <xf numFmtId="2" fontId="4" fillId="0" borderId="85" applyAlignment="1" pivotButton="0" quotePrefix="0" xfId="0">
      <alignment horizontal="right" vertical="center"/>
    </xf>
    <xf numFmtId="0" fontId="4" fillId="0" borderId="85" applyAlignment="1" pivotButton="0" quotePrefix="0" xfId="0">
      <alignment horizontal="center" vertical="center"/>
    </xf>
    <xf numFmtId="1" fontId="4" fillId="0" borderId="72" applyAlignment="1" pivotButton="0" quotePrefix="0" xfId="0">
      <alignment horizontal="center" vertical="center"/>
    </xf>
    <xf numFmtId="0" fontId="4" fillId="0" borderId="31" pivotButton="0" quotePrefix="0" xfId="0"/>
    <xf numFmtId="0" fontId="4" fillId="0" borderId="40" pivotButton="0" quotePrefix="0" xfId="0"/>
    <xf numFmtId="0" fontId="4" fillId="0" borderId="35" pivotButton="0" quotePrefix="0" xfId="0"/>
    <xf numFmtId="0" fontId="5" fillId="0" borderId="35" applyAlignment="1" pivotButton="0" quotePrefix="0" xfId="0">
      <alignment horizontal="center"/>
    </xf>
    <xf numFmtId="0" fontId="4" fillId="0" borderId="37" pivotButton="0" quotePrefix="0" xfId="0"/>
    <xf numFmtId="0" fontId="7" fillId="0" borderId="39" pivotButton="0" quotePrefix="0" xfId="0"/>
    <xf numFmtId="0" fontId="4" fillId="0" borderId="31" applyAlignment="1" pivotButton="0" quotePrefix="0" xfId="0">
      <alignment vertical="center" wrapText="1"/>
    </xf>
    <xf numFmtId="0" fontId="7" fillId="0" borderId="43" pivotButton="0" quotePrefix="0" xfId="0"/>
    <xf numFmtId="0" fontId="7" fillId="0" borderId="45" pivotButton="0" quotePrefix="0" xfId="0"/>
    <xf numFmtId="0" fontId="8" fillId="0" borderId="1" applyAlignment="1" pivotButton="0" quotePrefix="0" xfId="0">
      <alignment horizontal="center" vertical="top"/>
    </xf>
    <xf numFmtId="0" fontId="8" fillId="0" borderId="2" applyAlignment="1" pivotButton="0" quotePrefix="0" xfId="0">
      <alignment horizontal="center" vertical="top"/>
    </xf>
    <xf numFmtId="0" fontId="20" fillId="0" borderId="2" applyAlignment="1" pivotButton="0" quotePrefix="0" xfId="0">
      <alignment horizontal="center" vertical="bottom"/>
    </xf>
    <xf numFmtId="0" fontId="20" fillId="0" borderId="3" applyAlignment="1" pivotButton="0" quotePrefix="0" xfId="0">
      <alignment horizontal="center" vertical="bottom"/>
    </xf>
    <xf numFmtId="0" fontId="6" fillId="0" borderId="4" applyAlignment="1" pivotButton="0" quotePrefix="0" xfId="0">
      <alignment horizontal="center" vertical="bottom"/>
    </xf>
    <xf numFmtId="0" fontId="6" fillId="0" borderId="5" applyAlignment="1" pivotButton="0" quotePrefix="0" xfId="0">
      <alignment horizontal="right" vertical="bottom"/>
    </xf>
    <xf numFmtId="0" fontId="6" fillId="0" borderId="6" applyAlignment="1" pivotButton="0" quotePrefix="0" xfId="0">
      <alignment horizontal="center" vertical="bottom"/>
    </xf>
    <xf numFmtId="0" fontId="6" fillId="0" borderId="7" applyAlignment="1" pivotButton="0" quotePrefix="0" xfId="0">
      <alignment horizontal="center" vertical="bottom"/>
    </xf>
    <xf numFmtId="0" fontId="6" fillId="0" borderId="8" applyAlignment="1" pivotButton="0" quotePrefix="0" xfId="0">
      <alignment horizontal="right" vertical="bottom"/>
    </xf>
    <xf numFmtId="0" fontId="6" fillId="0" borderId="9" applyAlignment="1" pivotButton="0" quotePrefix="0" xfId="0">
      <alignment horizontal="center" vertical="bottom"/>
    </xf>
    <xf numFmtId="0" fontId="6" fillId="0" borderId="5" applyAlignment="1" pivotButton="0" quotePrefix="0" xfId="0">
      <alignment vertical="bottom"/>
    </xf>
    <xf numFmtId="0" fontId="6" fillId="0" borderId="8" applyAlignment="1" pivotButton="0" quotePrefix="0" xfId="0">
      <alignment vertical="bottom"/>
    </xf>
    <xf numFmtId="0" fontId="6" fillId="0" borderId="5" applyAlignment="1" pivotButton="0" quotePrefix="0" xfId="0">
      <alignment horizontal="right" vertical="bottom"/>
    </xf>
    <xf numFmtId="0" fontId="6" fillId="0" borderId="8" applyAlignment="1" pivotButton="0" quotePrefix="0" xfId="0">
      <alignment horizontal="right" vertical="bottom"/>
    </xf>
    <xf numFmtId="0" fontId="6" fillId="0" borderId="9" applyAlignment="1" pivotButton="0" quotePrefix="0" xfId="0">
      <alignment horizontal="center" vertical="bottom"/>
    </xf>
    <xf numFmtId="0" fontId="6" fillId="0" borderId="10" applyAlignment="1" pivotButton="0" quotePrefix="0" xfId="0">
      <alignment horizontal="center" vertical="bottom"/>
    </xf>
    <xf numFmtId="0" fontId="1" fillId="0" borderId="11" applyAlignment="1" pivotButton="0" quotePrefix="0" xfId="0">
      <alignment vertical="bottom"/>
    </xf>
    <xf numFmtId="0" fontId="6" fillId="0" borderId="11" applyAlignment="1" pivotButton="0" quotePrefix="0" xfId="0">
      <alignment horizontal="right" vertical="bottom"/>
    </xf>
    <xf numFmtId="4" fontId="6" fillId="0" borderId="0" applyAlignment="1" pivotButton="0" quotePrefix="0" xfId="0">
      <alignment vertical="bottom"/>
    </xf>
    <xf numFmtId="4" fontId="21" fillId="0" borderId="36" applyAlignment="1" pivotButton="0" quotePrefix="0" xfId="0">
      <alignment horizontal="center" vertical="bottom"/>
    </xf>
    <xf numFmtId="4" fontId="6" fillId="0" borderId="36" applyAlignment="1" pivotButton="0" quotePrefix="0" xfId="0">
      <alignment vertical="bottom"/>
    </xf>
    <xf numFmtId="4" fontId="21" fillId="0" borderId="0" applyAlignment="1" pivotButton="0" quotePrefix="0" xfId="0">
      <alignment horizontal="center" vertical="bottom"/>
    </xf>
    <xf numFmtId="4" fontId="22" fillId="0" borderId="36" applyAlignment="1" pivotButton="0" quotePrefix="0" xfId="0">
      <alignment horizontal="center" vertical="bottom"/>
    </xf>
    <xf numFmtId="3" fontId="6" fillId="0" borderId="0" applyAlignment="1" pivotButton="0" quotePrefix="0" xfId="0">
      <alignment vertical="bottom"/>
    </xf>
    <xf numFmtId="0" fontId="0" fillId="0" borderId="0"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9" pivotButton="0" quotePrefix="0" xfId="0"/>
    <xf numFmtId="0" fontId="4" fillId="0" borderId="36" applyAlignment="1" pivotButton="0" quotePrefix="0" xfId="0">
      <alignment vertical="center" wrapText="1"/>
    </xf>
    <xf numFmtId="0" fontId="0" fillId="0" borderId="43" pivotButton="0" quotePrefix="0" xfId="0"/>
    <xf numFmtId="0" fontId="0" fillId="0" borderId="45" pivotButton="0" quotePrefix="0" xfId="0"/>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535FC1"/>
          <bgColor rgb="FF535FC1"/>
        </patternFill>
      </fill>
      <border/>
    </dxf>
    <dxf>
      <font/>
      <fill>
        <patternFill patternType="solid">
          <fgColor rgb="FF373F6B"/>
          <bgColor rgb="FF373F6B"/>
        </patternFill>
      </fill>
      <border/>
    </dxf>
  </dxfs>
  <tableStyles count="44" defaultTableStyle="TableStyleMedium9" defaultPivotStyle="PivotStyleLight16">
    <tableStyle name="MOT Tables International Develo-style" pivot="0" count="3">
      <tableStyleElement type="headerRow" dxfId="1"/>
      <tableStyleElement type="firstRowStripe" dxfId="2"/>
      <tableStyleElement type="secondRowStripe" dxfId="3"/>
    </tableStyle>
    <tableStyle name="MOT Tables 25-style" pivot="0" count="3">
      <tableStyleElement type="headerRow" dxfId="1"/>
      <tableStyleElement type="firstRowStripe" dxfId="2"/>
      <tableStyleElement type="secondRowStripe" dxfId="3"/>
    </tableStyle>
    <tableStyle name="Malaysia On Track Tables 21-style" pivot="0" count="3">
      <tableStyleElement type="headerRow" dxfId="1"/>
      <tableStyleElement type="firstRowStripe" dxfId="2"/>
      <tableStyleElement type="secondRowStripe" dxfId="3"/>
    </tableStyle>
    <tableStyle name="Canada On Track Table, SEA MEda-style" pivot="0" count="3">
      <tableStyleElement type="headerRow" dxfId="1"/>
      <tableStyleElement type="firstRowStripe" dxfId="2"/>
      <tableStyleElement type="secondRowStripe" dxfId="3"/>
    </tableStyle>
    <tableStyle name="Canada On Track Table, SEA MEda-style 2" pivot="0" count="3">
      <tableStyleElement type="headerRow" dxfId="1"/>
      <tableStyleElement type="firstRowStripe" dxfId="2"/>
      <tableStyleElement type="secondRowStripe" dxfId="3"/>
    </tableStyle>
    <tableStyle name="Canada On Track Table, SEA MEda-style 3" pivot="0" count="3">
      <tableStyleElement type="headerRow" dxfId="1"/>
      <tableStyleElement type="firstRowStripe" dxfId="2"/>
      <tableStyleElement type="secondRowStripe" dxfId="3"/>
    </tableStyle>
    <tableStyle name="Canada On Track Table, SEA MEda-style 4" pivot="0" count="3">
      <tableStyleElement type="headerRow" dxfId="4"/>
      <tableStyleElement type="firstRowStripe" dxfId="2"/>
      <tableStyleElement type="secondRowStripe" dxfId="3"/>
    </tableStyle>
    <tableStyle name="Canada On Track Table, SEA MEda-style 5" pivot="0" count="3">
      <tableStyleElement type="headerRow" dxfId="4"/>
      <tableStyleElement type="firstRowStripe" dxfId="2"/>
      <tableStyleElement type="secondRowStripe" dxfId="3"/>
    </tableStyle>
    <tableStyle name="SEA Games Medal Data w25 Input-style" pivot="0" count="3">
      <tableStyleElement type="headerRow" dxfId="1"/>
      <tableStyleElement type="firstRowStripe" dxfId="2"/>
      <tableStyleElement type="secondRowStripe" dxfId="3"/>
    </tableStyle>
    <tableStyle name="SEA Games Medal Data w25 Input-style 2" pivot="0" count="3">
      <tableStyleElement type="headerRow" dxfId="5"/>
      <tableStyleElement type="firstRowStripe" dxfId="2"/>
      <tableStyleElement type="secondRowStripe" dxfId="3"/>
    </tableStyle>
    <tableStyle name="SEA Medal Data 19 22 23-style" pivot="0" count="3">
      <tableStyleElement type="headerRow" dxfId="1"/>
      <tableStyleElement type="firstRowStripe" dxfId="2"/>
      <tableStyleElement type="secondRowStripe" dxfId="3"/>
    </tableStyle>
    <tableStyle name="SEA Medal Data 19 22 23-style 2" pivot="0" count="3">
      <tableStyleElement type="headerRow" dxfId="4"/>
      <tableStyleElement type="firstRowStripe" dxfId="2"/>
      <tableStyleElement type="secondRowStripe" dxfId="3"/>
    </tableStyle>
    <tableStyle name="Event Age Ranges and Event Deve-style" pivot="0" count="3">
      <tableStyleElement type="headerRow" dxfId="5"/>
      <tableStyleElement type="firstRowStripe" dxfId="2"/>
      <tableStyleElement type="secondRowStripe" dxfId="3"/>
    </tableStyle>
    <tableStyle name="Event Age Ranges and Event Deve-style 2" pivot="0" count="3">
      <tableStyleElement type="headerRow" dxfId="5"/>
      <tableStyleElement type="firstRowStripe" dxfId="2"/>
      <tableStyleElement type="secondRowStripe" dxfId="3"/>
    </tableStyle>
    <tableStyle name="Event Age Ranges and Event Deve-style 3" pivot="0" count="3">
      <tableStyleElement type="headerRow" dxfId="5"/>
      <tableStyleElement type="firstRowStripe" dxfId="2"/>
      <tableStyleElement type="secondRowStripe" dxfId="3"/>
    </tableStyle>
    <tableStyle name="Event Age Ranges and Event Deve-style 4" pivot="0" count="3">
      <tableStyleElement type="headerRow" dxfId="5"/>
      <tableStyleElement type="firstRowStripe" dxfId="2"/>
      <tableStyleElement type="secondRowStripe" dxfId="3"/>
    </tableStyle>
    <tableStyle name="Event Age Ranges and Event Deve-style 5" pivot="0" count="2">
      <tableStyleElement type="firstRowStripe" dxfId="2"/>
      <tableStyleElement type="secondRowStripe" dxfId="3"/>
    </tableStyle>
    <tableStyle name="Event Age Ranges and Event Deve-style 6" pivot="0" count="3">
      <tableStyleElement type="headerRow" dxfId="5"/>
      <tableStyleElement type="firstRowStripe" dxfId="2"/>
      <tableStyleElement type="secondRowStripe" dxfId="3"/>
    </tableStyle>
    <tableStyle name="Event Age Ranges and Event Deve-style 7" pivot="0" count="3">
      <tableStyleElement type="headerRow" dxfId="5"/>
      <tableStyleElement type="firstRowStripe" dxfId="2"/>
      <tableStyleElement type="secondRowStripe" dxfId="3"/>
    </tableStyle>
    <tableStyle name="Event Age Ranges and Event Deve-style 8" pivot="0" count="2">
      <tableStyleElement type="firstRowStripe" dxfId="3"/>
      <tableStyleElement type="secondRowStripe" dxfId="2"/>
    </tableStyle>
    <tableStyle name="Event Age Ranges and Event Deve-style 9" pivot="0" count="2">
      <tableStyleElement type="firstRowStripe" dxfId="2"/>
      <tableStyleElement type="secondRowStripe" dxfId="3"/>
    </tableStyle>
    <tableStyle name="Event Age Ranges and Event Deve-style 10" pivot="0" count="2">
      <tableStyleElement type="firstRowStripe" dxfId="2"/>
      <tableStyleElement type="secondRowStripe" dxfId="3"/>
    </tableStyle>
    <tableStyle name="50 Free Female -style" pivot="0" count="3">
      <tableStyleElement type="headerRow" dxfId="5"/>
      <tableStyleElement type="firstRowStripe" dxfId="2"/>
      <tableStyleElement type="secondRowStripe" dxfId="3"/>
    </tableStyle>
    <tableStyle name="50 Free Female -style 2" pivot="0" count="3">
      <tableStyleElement type="headerRow" dxfId="4"/>
      <tableStyleElement type="firstRowStripe" dxfId="2"/>
      <tableStyleElement type="secondRowStripe" dxfId="3"/>
    </tableStyle>
    <tableStyle name="50 Free Female -style 3" pivot="0" count="3">
      <tableStyleElement type="headerRow" dxfId="1"/>
      <tableStyleElement type="firstRowStripe" dxfId="2"/>
      <tableStyleElement type="secondRowStripe" dxfId="3"/>
    </tableStyle>
    <tableStyle name="50 Free Female -style 4" pivot="0" count="3">
      <tableStyleElement type="headerRow" dxfId="1"/>
      <tableStyleElement type="firstRowStripe" dxfId="2"/>
      <tableStyleElement type="secondRowStripe" dxfId="3"/>
    </tableStyle>
    <tableStyle name="50 Free Female -style 5" pivot="0" count="3">
      <tableStyleElement type="headerRow" dxfId="1"/>
      <tableStyleElement type="firstRowStripe" dxfId="2"/>
      <tableStyleElement type="secondRowStripe" dxfId="3"/>
    </tableStyle>
    <tableStyle name="50 Free Female -style 6" pivot="0" count="3">
      <tableStyleElement type="headerRow" dxfId="1"/>
      <tableStyleElement type="firstRowStripe" dxfId="2"/>
      <tableStyleElement type="secondRowStripe" dxfId="3"/>
    </tableStyle>
    <tableStyle name="50 Free Female -style 7" pivot="0" count="3">
      <tableStyleElement type="headerRow" dxfId="1"/>
      <tableStyleElement type="firstRowStripe" dxfId="2"/>
      <tableStyleElement type="secondRowStripe" dxfId="3"/>
    </tableStyle>
    <tableStyle name="50 Free Female -style 8" pivot="0" count="3">
      <tableStyleElement type="headerRow" dxfId="1"/>
      <tableStyleElement type="firstRowStripe" dxfId="2"/>
      <tableStyleElement type="secondRowStripe" dxfId="3"/>
    </tableStyle>
    <tableStyle name="MIAG-style" pivot="0" count="3">
      <tableStyleElement type="headerRow" dxfId="1"/>
      <tableStyleElement type="firstRowStripe" dxfId="2"/>
      <tableStyleElement type="secondRowStripe" dxfId="3"/>
    </tableStyle>
    <tableStyle name="MIAG-style 2" pivot="0" count="2">
      <tableStyleElement type="firstRowStripe" dxfId="2"/>
      <tableStyleElement type="secondRowStripe" dxfId="3"/>
    </tableStyle>
    <tableStyle name="Pelapis Athlete Evaluation-style" pivot="0" count="3">
      <tableStyleElement type="headerRow" dxfId="1"/>
      <tableStyleElement type="firstRowStripe" dxfId="2"/>
      <tableStyleElement type="secondRowStripe" dxfId="3"/>
    </tableStyle>
    <tableStyle name="Longitudinal Data USA-style" pivot="0" count="3">
      <tableStyleElement type="headerRow" dxfId="1"/>
      <tableStyleElement type="firstRowStripe" dxfId="2"/>
      <tableStyleElement type="secondRowStripe" dxfId="3"/>
    </tableStyle>
    <tableStyle name="Bakat Base Times-style" pivot="0" count="3">
      <tableStyleElement type="headerRow" dxfId="1"/>
      <tableStyleElement type="firstRowStripe" dxfId="2"/>
      <tableStyleElement type="secondRowStripe" dxfId="3"/>
    </tableStyle>
    <tableStyle name="Bakat Base Times-style 2" pivot="0" count="2">
      <tableStyleElement type="firstRowStripe" dxfId="2"/>
      <tableStyleElement type="secondRowStripe" dxfId="3"/>
    </tableStyle>
    <tableStyle name="Bakat Base Times-style 3" pivot="0" count="2">
      <tableStyleElement type="firstRowStripe" dxfId="2"/>
      <tableStyleElement type="secondRowStripe" dxfId="3"/>
    </tableStyle>
    <tableStyle name="Age Points Applied to SEA AgeAY-style" pivot="0" count="3">
      <tableStyleElement type="headerRow" dxfId="1"/>
      <tableStyleElement type="firstRowStripe" dxfId="2"/>
      <tableStyleElement type="secondRowStripe" dxfId="3"/>
    </tableStyle>
    <tableStyle name="Age Points Applied to SEA AgeAY-style 2" pivot="0" count="3">
      <tableStyleElement type="headerRow" dxfId="1"/>
      <tableStyleElement type="firstRowStripe" dxfId="2"/>
      <tableStyleElement type="secondRowStripe" dxfId="3"/>
    </tableStyle>
    <tableStyle name="Age Points Applied to SEA AgeAY-style 3" pivot="0" count="3">
      <tableStyleElement type="headerRow" dxfId="1"/>
      <tableStyleElement type="firstRowStripe" dxfId="2"/>
      <tableStyleElement type="secondRowStripe" dxfId="3"/>
    </tableStyle>
    <tableStyle name="Age Points Applied to SEA AgeAY-style 4" pivot="0" count="3">
      <tableStyleElement type="headerRow" dxfId="1"/>
      <tableStyleElement type="firstRowStripe" dxfId="2"/>
      <tableStyleElement type="secondRowStripe" dxfId="3"/>
    </tableStyle>
    <tableStyle name="Age Points Applied to SEA AgeAY-style 5" pivot="0" count="2">
      <tableStyleElement type="firstRowStripe" dxfId="3"/>
      <tableStyleElement type="secondRowStripe" dxfId="2"/>
    </tableStyle>
    <tableStyle name="Age Points Applied to SEA AgeAY-style 6" pivot="0" count="2">
      <tableStyleElement type="firstRowStripe" dxfId="3"/>
      <tableStyleElement type="secondRowStripe" dxfId="2"/>
    </tableStyle>
    <tableStyle name="Podium Target Time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harts/chart1.xml><?xml version="1.0" encoding="utf-8"?>
<chartSpace xmlns:a="http://schemas.openxmlformats.org/drawingml/2006/main" xmlns="http://schemas.openxmlformats.org/drawingml/2006/chart">
  <chart>
    <title>
      <tx>
        <rich>
          <a:bodyPr/>
          <a:lstStyle/>
          <a:p>
            <a:pPr lvl="0">
              <a:defRPr b="0">
                <a:solidFill>
                  <a:srgbClr val="444746"/>
                </a:solidFill>
                <a:latin typeface="+mn-lt"/>
              </a:defRPr>
            </a:pPr>
            <a:r>
              <a:rPr b="0">
                <a:solidFill>
                  <a:srgbClr val="444746"/>
                </a:solidFill>
                <a:latin typeface="+mn-lt"/>
              </a:rPr>
              <a:t>50 Free Female Progression by Age and Track</a:t>
            </a:r>
          </a:p>
        </rich>
      </tx>
      <overlay val="0"/>
    </title>
    <plotArea>
      <layout/>
      <lineChart>
        <grouping val="standard"/>
        <ser>
          <idx val="0"/>
          <order val="0"/>
          <spPr>
            <a:ln cmpd="sng">
              <a:solidFill>
                <a:srgbClr val="4285F4"/>
              </a:solidFill>
              <a:prstDash val="solid"/>
            </a:ln>
          </spPr>
          <marker>
            <symbol val="none"/>
            <spPr>
              <a:ln>
                <a:prstDash val="solid"/>
              </a:ln>
            </spPr>
          </marker>
          <cat>
            <strRef>
              <f>'50 Free Female '!$A$3:$A$12</f>
            </strRef>
          </cat>
          <val>
            <numRef>
              <f>'50 Free Female '!$B$3:$B$12</f>
              <numCache/>
            </numRef>
          </val>
          <smooth val="0"/>
        </ser>
        <ser>
          <idx val="1"/>
          <order val="1"/>
          <spPr>
            <a:ln cmpd="sng">
              <a:solidFill>
                <a:srgbClr val="EA4335"/>
              </a:solidFill>
              <a:prstDash val="solid"/>
            </a:ln>
          </spPr>
          <marker>
            <symbol val="none"/>
            <spPr>
              <a:ln>
                <a:prstDash val="solid"/>
              </a:ln>
            </spPr>
          </marker>
          <cat>
            <strRef>
              <f>'50 Free Female '!$A$3:$A$12</f>
            </strRef>
          </cat>
          <val>
            <numRef>
              <f>'50 Free Female '!$C$3:$C$12</f>
              <numCache/>
            </numRef>
          </val>
          <smooth val="0"/>
        </ser>
        <ser>
          <idx val="2"/>
          <order val="2"/>
          <spPr>
            <a:ln cmpd="sng">
              <a:solidFill>
                <a:srgbClr val="FBBC04"/>
              </a:solidFill>
              <a:prstDash val="solid"/>
            </a:ln>
          </spPr>
          <marker>
            <symbol val="none"/>
            <spPr>
              <a:ln>
                <a:prstDash val="solid"/>
              </a:ln>
            </spPr>
          </marker>
          <cat>
            <strRef>
              <f>'50 Free Female '!$A$3:$A$12</f>
            </strRef>
          </cat>
          <val>
            <numRef>
              <f>'50 Free Female '!$D$3:$D$12</f>
              <numCache/>
            </numRef>
          </val>
          <smooth val="0"/>
        </ser>
        <axId val="269061010"/>
        <axId val="496778206"/>
      </lineChart>
      <catAx>
        <axId val="269061010"/>
        <scaling>
          <orientation val="minMax"/>
          <max val="24.65"/>
        </scaling>
        <delete val="0"/>
        <axPos val="b"/>
        <title>
          <tx>
            <rich>
              <a:bodyPr/>
              <a:lstStyle/>
              <a:p>
                <a:pPr lvl="0">
                  <a:defRPr b="0">
                    <a:solidFill>
                      <a:srgbClr val="000000"/>
                    </a:solidFill>
                    <a:latin typeface="+mn-lt"/>
                  </a:defRPr>
                </a:pPr>
                <a:r>
                  <a:rPr b="0">
                    <a:solidFill>
                      <a:srgbClr val="000000"/>
                    </a:solidFill>
                    <a:latin typeface="+mn-lt"/>
                  </a:rPr>
                  <a:t>Age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None</a:t>
            </a:r>
          </a:p>
        </txPr>
        <crossAx val="496778206"/>
        <lblOffset val="100"/>
      </catAx>
      <valAx>
        <axId val="496778206"/>
        <scaling>
          <orientation val="minMax"/>
          <max val="26"/>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Time (seconds)</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None</a:t>
            </a:r>
          </a:p>
        </txPr>
        <crossAx val="269061010"/>
      </valAx>
    </plotArea>
    <legend>
      <legendPos val="b"/>
      <overlay val="0"/>
      <txPr>
        <a:bodyPr/>
        <a:lstStyle/>
        <a:p>
          <a:pPr lvl="0">
            <a:defRPr b="0">
              <a:solidFill>
                <a:srgbClr val="1A1A1A"/>
              </a:solidFill>
              <a:latin typeface="+mn-lt"/>
            </a:defRPr>
          </a:pPr>
          <a:r>
            <a:t>None</a:t>
          </a:r>
        </a:p>
      </txPr>
    </legend>
    <plotVisOnly val="1"/>
    <dispBlanksAs val="gap"/>
  </chart>
  <spPr>
    <a:solidFill>
      <a:srgbClr val="F0F4F9"/>
    </a:solidFill>
    <a:ln>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image" Target="/xl/media/image1.png"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3705225" cy="334327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6</col>
      <colOff>0</colOff>
      <row>0</row>
      <rowOff>0</rowOff>
    </from>
    <ext cx="4533900" cy="3400425"/>
    <pic>
      <nvPicPr>
        <cNvPr id="641067874" name="Chart2" title="Chart"/>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Table23" displayName="Table23" ref="A1:N613" headerRowCount="1">
  <tableColumns count="14">
    <tableColumn id="1" name="Gender"/>
    <tableColumn id="2" name="Event"/>
    <tableColumn id="3" name="Age"/>
    <tableColumn id="4" name="Canada Track"/>
    <tableColumn id="5" name="Canada Track Time"/>
    <tableColumn id="6" name="Canada Track Time in Seconds"/>
    <tableColumn id="7" name="Average Progression Delta"/>
    <tableColumn id="8" name="Average Progression Delta VALUE ONLY"/>
    <tableColumn id="9" name="Canada Entry Age"/>
    <tableColumn id="10" name="Canada Arrival Age"/>
    <tableColumn id="11" name="Malaysia Arrival Time (SEA BRONZE)"/>
    <tableColumn id="12" name="Malaysia Track Time in Seconds"/>
    <tableColumn id="13" name="Malaysia Track Time"/>
    <tableColumn id="14" name="Malaysia Track AQUA"/>
  </tableColumns>
  <tableStyleInfo name="MOT Tables International Develo-style" showFirstColumn="1" showLastColumn="1" showRowStripes="1" showColumnStripes="0"/>
</table>
</file>

<file path=xl/tables/table2.xml><?xml version="1.0" encoding="utf-8"?>
<table xmlns="http://schemas.openxmlformats.org/spreadsheetml/2006/main" id="2" name="Malaysia_On_Track_Calculations_Table_" displayName="Malaysia_On_Track_Calculations_Table_" ref="A1:N677" headerRowCount="1">
  <tableColumns count="14">
    <tableColumn id="1" name="Gender"/>
    <tableColumn id="2" name="Event"/>
    <tableColumn id="3" name="Age"/>
    <tableColumn id="4" name="Canada Track"/>
    <tableColumn id="5" name="Canada Track Time"/>
    <tableColumn id="6" name="Canada Track Time in Seconds"/>
    <tableColumn id="7" name="Average Progression Delta"/>
    <tableColumn id="8" name="Average Progression Delta VALUE ONLY"/>
    <tableColumn id="9" name="Canada Entry Age"/>
    <tableColumn id="10" name="Canada Arrival Age"/>
    <tableColumn id="11" name="Malaysia Arrival Time (SEA BRONZE)"/>
    <tableColumn id="12" name="Malaysia Track Time in Seconds"/>
    <tableColumn id="13" name="Malaysia Track Time"/>
    <tableColumn id="14" name="Malaysia Track AQUA"/>
  </tableColumns>
  <tableStyleInfo name="MOT Tables 25-style" showFirstColumn="1" showLastColumn="1" showRowStripes="1" showColumnStripes="0"/>
</table>
</file>

<file path=xl/tables/table3.xml><?xml version="1.0" encoding="utf-8"?>
<table xmlns="http://schemas.openxmlformats.org/spreadsheetml/2006/main" id="3" name="Table22" displayName="Table22" ref="A1:O613" headerRowCount="1">
  <tableColumns count="15">
    <tableColumn id="1" name="Gender"/>
    <tableColumn id="2" name="Event"/>
    <tableColumn id="3" name="Age"/>
    <tableColumn id="4" name="Canada Track"/>
    <tableColumn id="5" name="Canada Track Time"/>
    <tableColumn id="6" name="Canada Track Time in Seconds"/>
    <tableColumn id="7" name="Canada T1 Entry Age"/>
    <tableColumn id="8" name="Canada T1 Arrival Age"/>
    <tableColumn id="9" name="Canada T2 Arrival Age"/>
    <tableColumn id="10" name="Canada T3 Arrival Age"/>
    <tableColumn id="11" name="Relevant Track"/>
    <tableColumn id="12" name="Malaysia Arrival Time (SEA BRONZE)"/>
    <tableColumn id="13" name="Malaysia Track Time in Seconds"/>
    <tableColumn id="14" name="Malaysia Track Time"/>
    <tableColumn id="15" name="Malaysia Track AQUA"/>
  </tableColumns>
  <tableStyleInfo name="Malaysia On Track Tables 21-style" showFirstColumn="1" showLastColumn="1" showRowStripes="1" showColumnStripes="0"/>
</table>
</file>

<file path=xl/tables/table4.xml><?xml version="1.0" encoding="utf-8"?>
<table xmlns="http://schemas.openxmlformats.org/spreadsheetml/2006/main" id="4" name="Canada_On_Track" displayName="Canada_On_Track" ref="A1:E613" headerRowCount="1">
  <tableColumns count="5">
    <tableColumn id="1" name="Gender"/>
    <tableColumn id="2" name="Event"/>
    <tableColumn id="3" name="Age"/>
    <tableColumn id="4" name="Track"/>
    <tableColumn id="5" name="Time"/>
  </tableColumns>
  <tableStyleInfo name="Canada On Track Table, SEA MEda-style" showFirstColumn="1" showLastColumn="1" showRowStripes="1" showColumnStripes="0"/>
</table>
</file>

<file path=xl/tables/table5.xml><?xml version="1.0" encoding="utf-8"?>
<table xmlns="http://schemas.openxmlformats.org/spreadsheetml/2006/main" id="5" name="Canada_Female_Track" displayName="Canada_Female_Track" ref="H1:K35" headerRowCount="1">
  <tableColumns count="4">
    <tableColumn id="1" name="Gender"/>
    <tableColumn id="2" name="Event"/>
    <tableColumn id="3" name="Canada T1 End"/>
    <tableColumn id="4" name="Canada T3 End"/>
  </tableColumns>
  <tableStyleInfo name="Canada On Track Table, SEA MEda-style 2" showFirstColumn="1" showLastColumn="1" showRowStripes="1" showColumnStripes="0"/>
</table>
</file>

<file path=xl/tables/table6.xml><?xml version="1.0" encoding="utf-8"?>
<table xmlns="http://schemas.openxmlformats.org/spreadsheetml/2006/main" id="6" name="Canada_Male_Track" displayName="Canada_Male_Track" ref="M1:P1" headerRowCount="0">
  <tableColumns count="4">
    <tableColumn id="1" name="Column1"/>
    <tableColumn id="2" name="Column2"/>
    <tableColumn id="3" name="Column3"/>
    <tableColumn id="4" name="Column4"/>
  </tableColumns>
  <tableStyleInfo name="Canada On Track Table, SEA MEda-style 3" showFirstColumn="1" showLastColumn="1" showRowStripes="1" showColumnStripes="0"/>
</table>
</file>

<file path=xl/tables/table7.xml><?xml version="1.0" encoding="utf-8"?>
<table xmlns="http://schemas.openxmlformats.org/spreadsheetml/2006/main" id="7" name="SEA_Medal_Age" displayName="SEA_Medal_Age" ref="R1:T33" headerRowCount="1">
  <tableColumns count="3">
    <tableColumn id="1" name="Gender"/>
    <tableColumn id="2" name="Event"/>
    <tableColumn id="3" name="Medal Age"/>
  </tableColumns>
  <tableStyleInfo name="Canada On Track Table, SEA MEda-style 4" showFirstColumn="1" showLastColumn="1" showRowStripes="1" showColumnStripes="0"/>
</table>
</file>

<file path=xl/tables/table8.xml><?xml version="1.0" encoding="utf-8"?>
<table xmlns="http://schemas.openxmlformats.org/spreadsheetml/2006/main" id="8" name="World_Top_10" displayName="World_Top_10" ref="V1:X35" headerRowCount="1">
  <tableColumns count="3">
    <tableColumn id="1" name="Gender"/>
    <tableColumn id="2" name="Event"/>
    <tableColumn id="3" name="World Top 10 Age Avg"/>
  </tableColumns>
  <tableStyleInfo name="Canada On Track Table, SEA MEda-style 5" showFirstColumn="1" showLastColumn="1" showRowStripes="1" showColumnStripes="0"/>
</table>
</file>

<file path=xl/tables/table9.xml><?xml version="1.0" encoding="utf-8"?>
<table xmlns="http://schemas.openxmlformats.org/spreadsheetml/2006/main" id="9" name="Table9" displayName="Table9" ref="A1:L1121" headerRowCount="1">
  <tableColumns count="12">
    <tableColumn id="1" name="Gender"/>
    <tableColumn id="2" name="Event"/>
    <tableColumn id="3" name="Year"/>
    <tableColumn id="4" name="Country"/>
    <tableColumn id="5" name="Rank"/>
    <tableColumn id="6" name="Time"/>
    <tableColumn id="7" name="Birth Year"/>
    <tableColumn id="8" name="Medal Age"/>
    <tableColumn id="9" name="Athlete Name"/>
    <tableColumn id="10" name="University Team"/>
    <tableColumn id="11" name="University Country"/>
    <tableColumn id="12" name="Foregin National?"/>
  </tableColumns>
  <tableStyleInfo name="SEA Games Medal Data w25 Input-style" showFirstColumn="1" showLastColumn="1" showRowStripes="1" showColumnStripes="0"/>
</table>
</file>

<file path=xl/tables/table10.xml><?xml version="1.0" encoding="utf-8"?>
<table xmlns="http://schemas.openxmlformats.org/spreadsheetml/2006/main" id="10" name="Entry_and_Arrival_Table" displayName="Entry_and_Arrival_Table" ref="S1:X33" headerRowCount="1">
  <tableColumns count="6">
    <tableColumn id="1" name="Gender"/>
    <tableColumn id="2" name="Event"/>
    <tableColumn id="3" name="Entry Age"/>
    <tableColumn id="4" name="Arrival Age"/>
    <tableColumn id="5" name="2025 SEA Games Bronze Average Age"/>
    <tableColumn id="6" name="2025 SEA Games Bronze Time"/>
  </tableColumns>
  <tableStyleInfo name="SEA Games Medal Data w25 Input-style 2" showFirstColumn="1" showLastColumn="1" showRowStripes="1" showColumnStripes="0"/>
</table>
</file>

<file path=xl/tables/table11.xml><?xml version="1.0" encoding="utf-8"?>
<table xmlns="http://schemas.openxmlformats.org/spreadsheetml/2006/main" id="11" name="Table5" displayName="Table5" ref="A1:L1007" headerRowCount="1">
  <tableColumns count="12">
    <tableColumn id="1" name="Gender"/>
    <tableColumn id="2" name="Event"/>
    <tableColumn id="3" name="Year"/>
    <tableColumn id="4" name="Country"/>
    <tableColumn id="5" name="Rank"/>
    <tableColumn id="6" name="Time"/>
    <tableColumn id="7" name="Birth Year"/>
    <tableColumn id="8" name="Medal Age"/>
    <tableColumn id="9" name="Athlete Name"/>
    <tableColumn id="10" name="University Team"/>
    <tableColumn id="11" name="University Country"/>
    <tableColumn id="12" name="Foregin National?"/>
  </tableColumns>
  <tableStyleInfo name="SEA Medal Data 19 22 23-style" showFirstColumn="1" showLastColumn="1" showRowStripes="1" showColumnStripes="0"/>
</table>
</file>

<file path=xl/tables/table12.xml><?xml version="1.0" encoding="utf-8"?>
<table xmlns="http://schemas.openxmlformats.org/spreadsheetml/2006/main" id="12" name="Table6" displayName="Table6" ref="N3:P35" headerRowCount="1">
  <tableColumns count="3">
    <tableColumn id="1" name="Gender"/>
    <tableColumn id="2" name="Event"/>
    <tableColumn id="3" name="Medal Age"/>
  </tableColumns>
  <tableStyleInfo name="SEA Medal Data 19 22 23-style 2" showFirstColumn="1" showLastColumn="1" showRowStripes="1" showColumnStripes="0"/>
</table>
</file>

<file path=xl/tables/table13.xml><?xml version="1.0" encoding="utf-8"?>
<table xmlns="http://schemas.openxmlformats.org/spreadsheetml/2006/main" id="13" name="Female_Event_Age_Ranges" displayName="Female_Event_Age_Ranges" ref="A2:E18" headerRowCount="1">
  <tableColumns count="5">
    <tableColumn id="1" name="Event"/>
    <tableColumn id="2" name="Canada T1 End"/>
    <tableColumn id="3" name="Canada T3 End"/>
    <tableColumn id="4" name="SEA Games Medal Age"/>
    <tableColumn id="5" name="World Top 10 Average Age"/>
  </tableColumns>
  <tableStyleInfo name="Event Age Ranges and Event Deve-style" showFirstColumn="1" showLastColumn="1" showRowStripes="1" showColumnStripes="0"/>
</table>
</file>

<file path=xl/tables/table14.xml><?xml version="1.0" encoding="utf-8"?>
<table xmlns="http://schemas.openxmlformats.org/spreadsheetml/2006/main" id="14" name="Male_Event_Age_Ranges" displayName="Male_Event_Age_Ranges" ref="G2:K18" headerRowCount="1">
  <tableColumns count="5">
    <tableColumn id="1" name="Event"/>
    <tableColumn id="2" name="Canada T1 End"/>
    <tableColumn id="3" name="Canada T3 End"/>
    <tableColumn id="4" name="SEA Games Medal Age"/>
    <tableColumn id="5" name="World Top 10 Average Age"/>
  </tableColumns>
  <tableStyleInfo name="Event Age Ranges and Event Deve-style 2" showFirstColumn="1" showLastColumn="1" showRowStripes="1" showColumnStripes="0"/>
</table>
</file>

<file path=xl/tables/table15.xml><?xml version="1.0" encoding="utf-8"?>
<table xmlns="http://schemas.openxmlformats.org/spreadsheetml/2006/main" id="15" name="Table7" displayName="Table7" ref="M2:Q18" headerRowCount="1">
  <tableColumns count="5">
    <tableColumn id="1" name="Event"/>
    <tableColumn id="2" name="Canada T3 End"/>
    <tableColumn id="3" name="SEA Games Medal Age"/>
    <tableColumn id="4" name="World Top 10 Average Age"/>
    <tableColumn id="5" name="SEA Medal vs World Top 10"/>
  </tableColumns>
  <tableStyleInfo name="Event Age Ranges and Event Deve-style 3" showFirstColumn="1" showLastColumn="1" showRowStripes="1" showColumnStripes="0"/>
</table>
</file>

<file path=xl/tables/table16.xml><?xml version="1.0" encoding="utf-8"?>
<table xmlns="http://schemas.openxmlformats.org/spreadsheetml/2006/main" id="16" name="Table3" displayName="Table3" ref="S2:W18" headerRowCount="1">
  <tableColumns count="5">
    <tableColumn id="1" name="Event"/>
    <tableColumn id="2" name="Canada T3 End"/>
    <tableColumn id="3" name="SEA Games Medal Age"/>
    <tableColumn id="4" name="World Top 10 Average Age"/>
    <tableColumn id="5" name="SEA Medal vs World Top 10"/>
  </tableColumns>
  <tableStyleInfo name="Event Age Ranges and Event Deve-style 4" showFirstColumn="1" showLastColumn="1" showRowStripes="1" showColumnStripes="0"/>
</table>
</file>

<file path=xl/tables/table17.xml><?xml version="1.0" encoding="utf-8"?>
<table xmlns="http://schemas.openxmlformats.org/spreadsheetml/2006/main" id="17" name="Table_1" displayName="Table_1" ref="M24:M26" headerRowCount="0">
  <tableColumns count="1">
    <tableColumn id="1" name="Column1"/>
  </tableColumns>
  <tableStyleInfo name="Event Age Ranges and Event Deve-style 5" showFirstColumn="1" showLastColumn="1" showRowStripes="1" showColumnStripes="0"/>
</table>
</file>

<file path=xl/tables/table18.xml><?xml version="1.0" encoding="utf-8"?>
<table xmlns="http://schemas.openxmlformats.org/spreadsheetml/2006/main" id="18" name="Table8" displayName="Table8" ref="H28:J44" headerRowCount="1">
  <tableColumns count="3">
    <tableColumn id="1" name="Event"/>
    <tableColumn id="2" name="SEA Games Medal Age"/>
    <tableColumn id="3" name="Pipeline Gap"/>
  </tableColumns>
  <tableStyleInfo name="Event Age Ranges and Event Deve-style 6" showFirstColumn="1" showLastColumn="1" showRowStripes="1" showColumnStripes="0"/>
</table>
</file>

<file path=xl/tables/table19.xml><?xml version="1.0" encoding="utf-8"?>
<table xmlns="http://schemas.openxmlformats.org/spreadsheetml/2006/main" id="19" name="Table10" displayName="Table10" ref="N28:P28" headerRowCount="0">
  <tableColumns count="3">
    <tableColumn id="1" name="Column1"/>
    <tableColumn id="2" name="Column2"/>
    <tableColumn id="3" name="Column3"/>
  </tableColumns>
  <tableStyleInfo name="Event Age Ranges and Event Deve-style 7" showFirstColumn="1" showLastColumn="1" showRowStripes="1" showColumnStripes="0"/>
</table>
</file>

<file path=xl/tables/table20.xml><?xml version="1.0" encoding="utf-8"?>
<table xmlns="http://schemas.openxmlformats.org/spreadsheetml/2006/main" id="20" name="Table_2" displayName="Table_2" ref="N29:N44" headerRowCount="0">
  <tableColumns count="1">
    <tableColumn id="1" name="Column1"/>
  </tableColumns>
  <tableStyleInfo name="Event Age Ranges and Event Deve-style 8" showFirstColumn="1" showLastColumn="1" showRowStripes="1" showColumnStripes="0"/>
</table>
</file>

<file path=xl/tables/table21.xml><?xml version="1.0" encoding="utf-8"?>
<table xmlns="http://schemas.openxmlformats.org/spreadsheetml/2006/main" id="21" name="Table_3" displayName="Table_3" ref="O29:O44" headerRowCount="0">
  <tableColumns count="1">
    <tableColumn id="1" name="Column1"/>
  </tableColumns>
  <tableStyleInfo name="Event Age Ranges and Event Deve-style 9" showFirstColumn="1" showLastColumn="1" showRowStripes="1" showColumnStripes="0"/>
</table>
</file>

<file path=xl/tables/table22.xml><?xml version="1.0" encoding="utf-8"?>
<table xmlns="http://schemas.openxmlformats.org/spreadsheetml/2006/main" id="22" name="Table_4" displayName="Table_4" ref="P29:P44" headerRowCount="0">
  <tableColumns count="1">
    <tableColumn id="1" name="Column1"/>
  </tableColumns>
  <tableStyleInfo name="Event Age Ranges and Event Deve-style 10" showFirstColumn="1" showLastColumn="1" showRowStripes="1" showColumnStripes="0"/>
</table>
</file>

<file path=xl/tables/table23.xml><?xml version="1.0" encoding="utf-8"?>
<table xmlns="http://schemas.openxmlformats.org/spreadsheetml/2006/main" id="23" name="Table1" displayName="Table1" ref="A3:D12" headerRowCount="1">
  <tableColumns count="4">
    <tableColumn id="1" name="Age"/>
    <tableColumn id="2" name="Track 1"/>
    <tableColumn id="3" name="Track 2"/>
    <tableColumn id="4" name="Track 3"/>
  </tableColumns>
  <tableStyleInfo name="50 Free Female -style" showFirstColumn="1" showLastColumn="1" showRowStripes="1" showColumnStripes="0"/>
</table>
</file>

<file path=xl/tables/table24.xml><?xml version="1.0" encoding="utf-8"?>
<table xmlns="http://schemas.openxmlformats.org/spreadsheetml/2006/main" id="24" name="Table2" displayName="Table2" ref="G3:M12" headerRowCount="1">
  <tableColumns count="7">
    <tableColumn id="1" name="Age"/>
    <tableColumn id="2" name="Track 1"/>
    <tableColumn id="3" name="Track 1 Points"/>
    <tableColumn id="4" name="Track 2"/>
    <tableColumn id="5" name="Track 2 Points"/>
    <tableColumn id="6" name="Track 3"/>
    <tableColumn id="7" name="Track 3 Points"/>
  </tableColumns>
  <tableStyleInfo name="50 Free Female -style 2" showFirstColumn="1" showLastColumn="1" showRowStripes="1" showColumnStripes="0"/>
</table>
</file>

<file path=xl/tables/table25.xml><?xml version="1.0" encoding="utf-8"?>
<table xmlns="http://schemas.openxmlformats.org/spreadsheetml/2006/main" id="25" name="Table4" displayName="Table4" ref="R8:V18" headerRowCount="1">
  <tableColumns count="5">
    <tableColumn id="1" name="Gender"/>
    <tableColumn id="2" name="Event"/>
    <tableColumn id="3" name="Age"/>
    <tableColumn id="4" name="Time"/>
    <tableColumn id="5" name="AQUA"/>
  </tableColumns>
  <tableStyleInfo name="50 Free Female -style 3" showFirstColumn="1" showLastColumn="1" showRowStripes="1" showColumnStripes="0"/>
</table>
</file>

<file path=xl/tables/table26.xml><?xml version="1.0" encoding="utf-8"?>
<table xmlns="http://schemas.openxmlformats.org/spreadsheetml/2006/main" id="26" name="Table13" displayName="Table13" ref="X8:AA9" headerRowCount="1">
  <tableColumns count="4">
    <tableColumn id="1" name="Age"/>
    <tableColumn id="2" name="Time"/>
    <tableColumn id="3" name="AQUA"/>
    <tableColumn id="4" name="Gender"/>
  </tableColumns>
  <tableStyleInfo name="50 Free Female -style 4" showFirstColumn="1" showLastColumn="1" showRowStripes="1" showColumnStripes="0"/>
</table>
</file>

<file path=xl/tables/table27.xml><?xml version="1.0" encoding="utf-8"?>
<table xmlns="http://schemas.openxmlformats.org/spreadsheetml/2006/main" id="27" name="Table15" displayName="Table15" ref="AB8:AH9" headerRowCount="1">
  <tableColumns count="7">
    <tableColumn id="1" name="Event"/>
    <tableColumn id="2" name="Age"/>
    <tableColumn id="3" name="Time"/>
    <tableColumn id="4" name="AQUA"/>
    <tableColumn id="5" name="Target Time"/>
    <tableColumn id="6" name="Target AQUA"/>
    <tableColumn id="7" name="Difference"/>
  </tableColumns>
  <tableStyleInfo name="50 Free Female -style 5" showFirstColumn="1" showLastColumn="1" showRowStripes="1" showColumnStripes="0"/>
</table>
</file>

<file path=xl/tables/table28.xml><?xml version="1.0" encoding="utf-8"?>
<table xmlns="http://schemas.openxmlformats.org/spreadsheetml/2006/main" id="28" name="Table14" displayName="Table14" ref="X12:AA13" headerRowCount="1">
  <tableColumns count="4">
    <tableColumn id="1" name="Age"/>
    <tableColumn id="2" name="Time"/>
    <tableColumn id="3" name="AQUA"/>
    <tableColumn id="4" name="Gender"/>
  </tableColumns>
  <tableStyleInfo name="50 Free Female -style 6" showFirstColumn="1" showLastColumn="1" showRowStripes="1" showColumnStripes="0"/>
</table>
</file>

<file path=xl/tables/table29.xml><?xml version="1.0" encoding="utf-8"?>
<table xmlns="http://schemas.openxmlformats.org/spreadsheetml/2006/main" id="29" name="Table16" displayName="Table16" ref="AB12:AH13" headerRowCount="1">
  <tableColumns count="7">
    <tableColumn id="1" name="Event"/>
    <tableColumn id="2" name="Age"/>
    <tableColumn id="3" name="Time"/>
    <tableColumn id="4" name="AQUA"/>
    <tableColumn id="5" name="Target Time"/>
    <tableColumn id="6" name="Target AQUA"/>
    <tableColumn id="7" name="Difference"/>
  </tableColumns>
  <tableStyleInfo name="50 Free Female -style 7" showFirstColumn="1" showLastColumn="1" showRowStripes="1" showColumnStripes="0"/>
</table>
</file>

<file path=xl/tables/table30.xml><?xml version="1.0" encoding="utf-8"?>
<table xmlns="http://schemas.openxmlformats.org/spreadsheetml/2006/main" id="30" name="Table12" displayName="Table12" ref="R24:W26" headerRowCount="1">
  <tableColumns count="6">
    <tableColumn id="1" name="Gender"/>
    <tableColumn id="2" name="Event"/>
    <tableColumn id="3" name="Age"/>
    <tableColumn id="4" name="Time"/>
    <tableColumn id="5" name="AQUA"/>
    <tableColumn id="6" name="Column 1"/>
  </tableColumns>
  <tableStyleInfo name="50 Free Female -style 8" showFirstColumn="1" showLastColumn="1" showRowStripes="1" showColumnStripes="0"/>
</table>
</file>

<file path=xl/tables/table31.xml><?xml version="1.0" encoding="utf-8"?>
<table xmlns="http://schemas.openxmlformats.org/spreadsheetml/2006/main" id="31" name="Table17" displayName="Table17" ref="A1:J35" headerRowCount="1">
  <tableColumns count="10">
    <tableColumn id="1" name="Gender"/>
    <tableColumn id="2" name="Event"/>
    <tableColumn id="3" name="Name"/>
    <tableColumn id="4" name="Age"/>
    <tableColumn id="5" name="Time"/>
    <tableColumn id="6" name="AQUA"/>
    <tableColumn id="7" name="Target Time"/>
    <tableColumn id="8" name="Target AQUA"/>
    <tableColumn id="9" name="Difference"/>
    <tableColumn id="10" name="Birth Year"/>
  </tableColumns>
  <tableStyleInfo name="MIAG-style" showFirstColumn="1" showLastColumn="1" showRowStripes="1" showColumnStripes="0"/>
</table>
</file>

<file path=xl/tables/table32.xml><?xml version="1.0" encoding="utf-8"?>
<table xmlns="http://schemas.openxmlformats.org/spreadsheetml/2006/main" id="32" name="Table_5" displayName="Table_5" ref="L3:Z36" headerRowCount="0">
  <tableColumns count="15">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s>
  <tableStyleInfo name="MIAG-style 2" showFirstColumn="1" showLastColumn="1" showRowStripes="1" showColumnStripes="0"/>
</table>
</file>

<file path=xl/tables/table33.xml><?xml version="1.0" encoding="utf-8"?>
<table xmlns="http://schemas.openxmlformats.org/spreadsheetml/2006/main" id="33" name="Zi_Xian_Khew" displayName="Zi_Xian_Khew" ref="A1:O16" headerRowCount="1">
  <tableColumns count="15">
    <tableColumn id="1" name="Gender"/>
    <tableColumn id="2" name="Event"/>
    <tableColumn id="3" name="Birth Date"/>
    <tableColumn id="4" name="Rank"/>
    <tableColumn id="5" name="Timeline"/>
    <tableColumn id="6" name="Competition"/>
    <tableColumn id="7" name="Date"/>
    <tableColumn id="8" name="Age"/>
    <tableColumn id="9" name="Time"/>
    <tableColumn id="10" name="AQUA"/>
    <tableColumn id="11" name="Competition Age"/>
    <tableColumn id="12" name="Target Time"/>
    <tableColumn id="13" name="Target Aqua"/>
    <tableColumn id="14" name="Difference"/>
    <tableColumn id="15" name="Qualifying Trigger"/>
  </tableColumns>
  <tableStyleInfo name="Pelapis Athlete Evaluation-style" showFirstColumn="1" showLastColumn="1" showRowStripes="1" showColumnStripes="0"/>
</table>
</file>

<file path=xl/tables/table34.xml><?xml version="1.0" encoding="utf-8"?>
<table xmlns="http://schemas.openxmlformats.org/spreadsheetml/2006/main" id="34" name="Table11" displayName="Table11" ref="A1:W178" headerRowCount="1">
  <tableColumns count="23">
    <tableColumn id="1" name="AthleteID"/>
    <tableColumn id="2" name="Name"/>
    <tableColumn id="3" name="Birth Year"/>
    <tableColumn id="4" name="Gender"/>
    <tableColumn id="5" name="Event"/>
    <tableColumn id="6" name="Year"/>
    <tableColumn id="7" name="Age"/>
    <tableColumn id="8" name="Time"/>
    <tableColumn id="9" name="AQUA Pts"/>
    <tableColumn id="10" name="PB Time"/>
    <tableColumn id="11" name="PB Points"/>
    <tableColumn id="12" name="PB Year"/>
    <tableColumn id="13" name="PB Age"/>
    <tableColumn id="14" name="Smoothed AQUA"/>
    <tableColumn id="15" name="%ofPBPts"/>
    <tableColumn id="16" name="InPeak?"/>
    <tableColumn id="17" name="Episode"/>
    <tableColumn id="18" name="Peak Start Age"/>
    <tableColumn id="19" name="Peak End Age"/>
    <tableColumn id="20" name="First Swim Year"/>
    <tableColumn id="21" name="Last Swim Year"/>
    <tableColumn id="22" name="First Swim Age"/>
    <tableColumn id="23" name="Years to Peak"/>
  </tableColumns>
  <tableStyleInfo name="Longitudinal Data USA-style" showFirstColumn="1" showLastColumn="1" showRowStripes="1" showColumnStripes="0"/>
</table>
</file>

<file path=xl/tables/table35.xml><?xml version="1.0" encoding="utf-8"?>
<table xmlns="http://schemas.openxmlformats.org/spreadsheetml/2006/main" id="35" name="Table18" displayName="Table18" ref="A1:G197" headerRowCount="1">
  <tableColumns count="7">
    <tableColumn id="1" name="Gender"/>
    <tableColumn id="2" name="Event"/>
    <tableColumn id="3" name="Age"/>
    <tableColumn id="4" name="Base:12-14-16-18"/>
    <tableColumn id="5" name="Base in Seonds"/>
    <tableColumn id="6" name="Increment"/>
    <tableColumn id="7" name="Base:12-18"/>
  </tableColumns>
  <tableStyleInfo name="Bakat Base Times-style" showFirstColumn="1" showLastColumn="1" showRowStripes="1" showColumnStripes="0"/>
</table>
</file>

<file path=xl/tables/table36.xml><?xml version="1.0" encoding="utf-8"?>
<table xmlns="http://schemas.openxmlformats.org/spreadsheetml/2006/main" id="36" name="Table_6" displayName="Table_6" ref="K133:L139" headerRowCount="0">
  <tableColumns count="2">
    <tableColumn id="1" name="Column1"/>
    <tableColumn id="2" name="Column2"/>
  </tableColumns>
  <tableStyleInfo name="Bakat Base Times-style 2" showFirstColumn="1" showLastColumn="1" showRowStripes="1" showColumnStripes="0"/>
</table>
</file>

<file path=xl/tables/table37.xml><?xml version="1.0" encoding="utf-8"?>
<table xmlns="http://schemas.openxmlformats.org/spreadsheetml/2006/main" id="37" name="Table_7" displayName="Table_7" ref="N133:O139" headerRowCount="0">
  <tableColumns count="2">
    <tableColumn id="1" name="Column1"/>
    <tableColumn id="2" name="Column2"/>
  </tableColumns>
  <tableStyleInfo name="Bakat Base Times-style 3" showFirstColumn="1" showLastColumn="1" showRowStripes="1" showColumnStripes="0"/>
</table>
</file>

<file path=xl/tables/table38.xml><?xml version="1.0" encoding="utf-8"?>
<table xmlns="http://schemas.openxmlformats.org/spreadsheetml/2006/main" id="38" name="Table19" displayName="Table19" ref="A1:O227" headerRowCount="1">
  <tableColumns count="15">
    <tableColumn id="1" name="Rank"/>
    <tableColumn id="2" name="Gender"/>
    <tableColumn id="3" name="Event"/>
    <tableColumn id="4" name="Age"/>
    <tableColumn id="5" name="ATHLETE"/>
    <tableColumn id="6" name="Entry Time"/>
    <tableColumn id="7" name="Entry AQUA"/>
    <tableColumn id="8" name="% 2024 Gold"/>
    <tableColumn id="9" name="Final Time"/>
    <tableColumn id="10" name="Final AQUA"/>
    <tableColumn id="11" name="% 2025 Gold"/>
    <tableColumn id="12" name="2025 Seed"/>
    <tableColumn id="13" name="2025 Place"/>
    <tableColumn id="14" name="Age Points"/>
    <tableColumn id="15" name="Time in Seconds"/>
  </tableColumns>
  <tableStyleInfo name="Age Points Applied to SEA AgeAY-style" showFirstColumn="1" showLastColumn="1" showRowStripes="1" showColumnStripes="0"/>
</table>
</file>

<file path=xl/tables/table39.xml><?xml version="1.0" encoding="utf-8"?>
<table xmlns="http://schemas.openxmlformats.org/spreadsheetml/2006/main" id="39" name="Table20" displayName="Table20" ref="Q1:V1" headerRowCount="0">
  <tableColumns count="6">
    <tableColumn id="1" name="Column1"/>
    <tableColumn id="2" name="Column2"/>
    <tableColumn id="3" name="Column3"/>
    <tableColumn id="4" name="Column4"/>
    <tableColumn id="5" name="Column5"/>
    <tableColumn id="6" name="Column6"/>
  </tableColumns>
  <tableStyleInfo name="Age Points Applied to SEA AgeAY-style 2" showFirstColumn="1" showLastColumn="1" showRowStripes="1" showColumnStripes="0"/>
</table>
</file>

<file path=xl/tables/table40.xml><?xml version="1.0" encoding="utf-8"?>
<table xmlns="http://schemas.openxmlformats.org/spreadsheetml/2006/main" id="40" name="Sea_Age_Results_by_Age_Points" displayName="Sea_Age_Results_by_Age_Points" ref="Y1:AF934" headerRowCount="1">
  <tableColumns count="8">
    <tableColumn id="1" name="Gender"/>
    <tableColumn id="2" name="Event"/>
    <tableColumn id="3" name="Age"/>
    <tableColumn id="4" name="ATHLETE"/>
    <tableColumn id="5" name="Final Time"/>
    <tableColumn id="6" name="Final Time Seconds"/>
    <tableColumn id="7" name="2025 Place"/>
    <tableColumn id="8" name="Age Points"/>
  </tableColumns>
  <tableStyleInfo name="Age Points Applied to SEA AgeAY-style 3" showFirstColumn="1" showLastColumn="1" showRowStripes="1" showColumnStripes="0"/>
</table>
</file>

<file path=xl/tables/table41.xml><?xml version="1.0" encoding="utf-8"?>
<table xmlns="http://schemas.openxmlformats.org/spreadsheetml/2006/main" id="41" name="Table21" displayName="Table21" ref="AH1:AP125" headerRowCount="1">
  <tableColumns count="9">
    <tableColumn id="1" name="Gender"/>
    <tableColumn id="2" name="Event"/>
    <tableColumn id="3" name="Age"/>
    <tableColumn id="4" name="ATHLETE"/>
    <tableColumn id="5" name="Final Time"/>
    <tableColumn id="6" name="Final Time Seconds"/>
    <tableColumn id="7" name="2025 Place"/>
    <tableColumn id="8" name="Age Points"/>
    <tableColumn id="9" name="Column 1"/>
  </tableColumns>
  <tableStyleInfo name="Age Points Applied to SEA AgeAY-style 4" showFirstColumn="1" showLastColumn="1" showRowStripes="1" showColumnStripes="0"/>
</table>
</file>

<file path=xl/tables/table42.xml><?xml version="1.0" encoding="utf-8"?>
<table xmlns="http://schemas.openxmlformats.org/spreadsheetml/2006/main" id="42" name="Table_8" displayName="Table_8" ref="AR7:AR11" headerRowCount="0">
  <tableColumns count="1">
    <tableColumn id="1" name="Column1"/>
  </tableColumns>
  <tableStyleInfo name="Age Points Applied to SEA AgeAY-style 5" showFirstColumn="1" showLastColumn="1" showRowStripes="1" showColumnStripes="0"/>
</table>
</file>

<file path=xl/tables/table43.xml><?xml version="1.0" encoding="utf-8"?>
<table xmlns="http://schemas.openxmlformats.org/spreadsheetml/2006/main" id="43" name="Table_9" displayName="Table_9" ref="AV7:AV11" headerRowCount="0">
  <tableColumns count="1">
    <tableColumn id="1" name="Column1"/>
  </tableColumns>
  <tableStyleInfo name="Age Points Applied to SEA AgeAY-style 6" showFirstColumn="1" showLastColumn="1" showRowStripes="1" showColumnStripes="0"/>
</table>
</file>

<file path=xl/tables/table44.xml><?xml version="1.0" encoding="utf-8"?>
<table xmlns="http://schemas.openxmlformats.org/spreadsheetml/2006/main" id="44" name="Podium_Times_Lookup_Table" displayName="Podium_Times_Lookup_Table" ref="A1:D35" headerRowCount="1">
  <tableColumns count="4">
    <tableColumn id="1" name="Gender"/>
    <tableColumn id="2" name="Event"/>
    <tableColumn id="3" name="Time"/>
    <tableColumn id="4" name="AQUA"/>
  </tableColumns>
  <tableStyleInfo name="Podium Target Time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table" Target="/xl/tables/table5.xml" Id="rId2" /><Relationship Type="http://schemas.openxmlformats.org/officeDocument/2006/relationships/table" Target="/xl/tables/table6.xml" Id="rId3" /><Relationship Type="http://schemas.openxmlformats.org/officeDocument/2006/relationships/table" Target="/xl/tables/table7.xml" Id="rId4" /><Relationship Type="http://schemas.openxmlformats.org/officeDocument/2006/relationships/table" Target="/xl/tables/table8.xml" Id="rId5" /></Relationships>
</file>

<file path=xl/worksheets/_rels/sheet6.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s>
</file>

<file path=xl/worksheets/_rels/sheet7.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s>
</file>

<file path=xl/worksheets/_rels/sheet8.xml.rels><Relationships xmlns="http://schemas.openxmlformats.org/package/2006/relationships"><Relationship Type="http://schemas.openxmlformats.org/officeDocument/2006/relationships/table" Target="/xl/tables/table13.xml" Id="rId1" /><Relationship Type="http://schemas.openxmlformats.org/officeDocument/2006/relationships/table" Target="/xl/tables/table14.xml" Id="rId2" /><Relationship Type="http://schemas.openxmlformats.org/officeDocument/2006/relationships/table" Target="/xl/tables/table15.xml" Id="rId3" /><Relationship Type="http://schemas.openxmlformats.org/officeDocument/2006/relationships/table" Target="/xl/tables/table16.xml" Id="rId4" /><Relationship Type="http://schemas.openxmlformats.org/officeDocument/2006/relationships/table" Target="/xl/tables/table17.xml" Id="rId5" /><Relationship Type="http://schemas.openxmlformats.org/officeDocument/2006/relationships/table" Target="/xl/tables/table18.xml" Id="rId6" /><Relationship Type="http://schemas.openxmlformats.org/officeDocument/2006/relationships/table" Target="/xl/tables/table19.xml" Id="rId7" /><Relationship Type="http://schemas.openxmlformats.org/officeDocument/2006/relationships/table" Target="/xl/tables/table20.xml" Id="rId8" /><Relationship Type="http://schemas.openxmlformats.org/officeDocument/2006/relationships/table" Target="/xl/tables/table21.xml" Id="rId9" /><Relationship Type="http://schemas.openxmlformats.org/officeDocument/2006/relationships/table" Target="/xl/tables/table22.xml" Id="rId10" /></Relationships>
</file>

<file path=xl/worksheets/_rels/sheet9.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23.xml" Id="rId2" /><Relationship Type="http://schemas.openxmlformats.org/officeDocument/2006/relationships/table" Target="/xl/tables/table24.xml" Id="rId3" /><Relationship Type="http://schemas.openxmlformats.org/officeDocument/2006/relationships/table" Target="/xl/tables/table25.xml" Id="rId4" /><Relationship Type="http://schemas.openxmlformats.org/officeDocument/2006/relationships/table" Target="/xl/tables/table26.xml" Id="rId5" /><Relationship Type="http://schemas.openxmlformats.org/officeDocument/2006/relationships/table" Target="/xl/tables/table27.xml" Id="rId6" /><Relationship Type="http://schemas.openxmlformats.org/officeDocument/2006/relationships/table" Target="/xl/tables/table28.xml" Id="rId7" /><Relationship Type="http://schemas.openxmlformats.org/officeDocument/2006/relationships/table" Target="/xl/tables/table29.xml" Id="rId8" /><Relationship Type="http://schemas.openxmlformats.org/officeDocument/2006/relationships/table" Target="/xl/tables/table30.xml" Id="rId9" /></Relationships>
</file>

<file path=xl/worksheets/_rels/sheet10.xml.rels><Relationships xmlns="http://schemas.openxmlformats.org/package/2006/relationships"><Relationship Type="http://schemas.openxmlformats.org/officeDocument/2006/relationships/table" Target="/xl/tables/table31.xml" Id="rId1" /><Relationship Type="http://schemas.openxmlformats.org/officeDocument/2006/relationships/table" Target="/xl/tables/table32.xml" Id="rId2" /></Relationships>
</file>

<file path=xl/worksheets/_rels/sheet11.xml.rels><Relationships xmlns="http://schemas.openxmlformats.org/package/2006/relationships"><Relationship Type="http://schemas.openxmlformats.org/officeDocument/2006/relationships/table" Target="/xl/tables/table33.xml" Id="rId1" /></Relationships>
</file>

<file path=xl/worksheets/_rels/sheet12.xml.rels><Relationships xmlns="http://schemas.openxmlformats.org/package/2006/relationships"><Relationship Type="http://schemas.openxmlformats.org/officeDocument/2006/relationships/table" Target="/xl/tables/table34.xml" Id="rId1" /></Relationships>
</file>

<file path=xl/worksheets/_rels/sheet13.xml.rels><Relationships xmlns="http://schemas.openxmlformats.org/package/2006/relationships"><Relationship Type="http://schemas.openxmlformats.org/officeDocument/2006/relationships/table" Target="/xl/tables/table35.xml" Id="rId1" /><Relationship Type="http://schemas.openxmlformats.org/officeDocument/2006/relationships/table" Target="/xl/tables/table36.xml" Id="rId2" /><Relationship Type="http://schemas.openxmlformats.org/officeDocument/2006/relationships/table" Target="/xl/tables/table37.xml" Id="rId3" /></Relationships>
</file>

<file path=xl/worksheets/_rels/sheet14.xml.rels><Relationships xmlns="http://schemas.openxmlformats.org/package/2006/relationships"><Relationship Type="http://schemas.openxmlformats.org/officeDocument/2006/relationships/table" Target="/xl/tables/table38.xml" Id="rId1" /><Relationship Type="http://schemas.openxmlformats.org/officeDocument/2006/relationships/table" Target="/xl/tables/table39.xml" Id="rId2" /><Relationship Type="http://schemas.openxmlformats.org/officeDocument/2006/relationships/table" Target="/xl/tables/table40.xml" Id="rId3" /><Relationship Type="http://schemas.openxmlformats.org/officeDocument/2006/relationships/table" Target="/xl/tables/table41.xml" Id="rId4" /><Relationship Type="http://schemas.openxmlformats.org/officeDocument/2006/relationships/table" Target="/xl/tables/table42.xml" Id="rId5" /><Relationship Type="http://schemas.openxmlformats.org/officeDocument/2006/relationships/table" Target="/xl/tables/table43.xml" Id="rId6" /></Relationships>
</file>

<file path=xl/worksheets/_rels/sheet16.xml.rels><Relationships xmlns="http://schemas.openxmlformats.org/package/2006/relationships"><Relationship Type="http://schemas.openxmlformats.org/officeDocument/2006/relationships/table" Target="/xl/tables/table44.xml" Id="rId1" /></Relationships>
</file>

<file path=xl/worksheets/sheet1.xml><?xml version="1.0" encoding="utf-8"?>
<worksheet xmlns="http://schemas.openxmlformats.org/spreadsheetml/2006/main">
  <sheetPr>
    <outlinePr summaryBelow="0" summaryRight="0"/>
    <pageSetUpPr/>
  </sheetPr>
  <dimension ref="A1:W613"/>
  <sheetViews>
    <sheetView workbookViewId="0">
      <selection activeCell="A1" sqref="A1"/>
    </sheetView>
  </sheetViews>
  <sheetFormatPr baseColWidth="8" defaultColWidth="12.63" defaultRowHeight="15.75" customHeight="1"/>
  <cols>
    <col width="10.88" customWidth="1" style="763" min="1" max="1"/>
    <col width="9.630000000000001" customWidth="1" style="763" min="2" max="2"/>
    <col width="8.380000000000001" customWidth="1" style="763" min="3" max="3"/>
    <col width="11.25" customWidth="1" style="763" min="4" max="4"/>
    <col width="11.38" customWidth="1" style="763" min="5" max="5"/>
    <col width="12" customWidth="1" style="763" min="6" max="6"/>
    <col width="15.63" customWidth="1" style="763" min="7" max="7"/>
    <col width="14.63" customWidth="1" style="763" min="8" max="8"/>
    <col width="14.5" customWidth="1" style="763" min="10" max="10"/>
    <col width="13.5" customWidth="1" style="763" min="11" max="11"/>
    <col width="10.25" customWidth="1" style="763" min="14" max="14"/>
  </cols>
  <sheetData>
    <row r="1">
      <c r="A1" s="1" t="inlineStr">
        <is>
          <t>Gender</t>
        </is>
      </c>
      <c r="B1" s="4" t="inlineStr">
        <is>
          <t>Event</t>
        </is>
      </c>
      <c r="C1" s="4" t="inlineStr">
        <is>
          <t>Age</t>
        </is>
      </c>
      <c r="D1" s="4" t="inlineStr">
        <is>
          <t>Canada Track</t>
        </is>
      </c>
      <c r="E1" s="4" t="inlineStr">
        <is>
          <t>Canada Track Time</t>
        </is>
      </c>
      <c r="F1" s="3" t="inlineStr">
        <is>
          <t>Canada Track Time in Seconds</t>
        </is>
      </c>
      <c r="G1" s="4" t="inlineStr">
        <is>
          <t>Average Progression Delta</t>
        </is>
      </c>
      <c r="H1" s="4" t="inlineStr">
        <is>
          <t>Average Progression Delta VALUE ONLY</t>
        </is>
      </c>
      <c r="I1" s="4" t="inlineStr">
        <is>
          <t>Canada Entry Age</t>
        </is>
      </c>
      <c r="J1" s="4" t="inlineStr">
        <is>
          <t>Canada Arrival Age</t>
        </is>
      </c>
      <c r="K1" s="4" t="inlineStr">
        <is>
          <t>Malaysia Arrival Time (SEA BRONZE)</t>
        </is>
      </c>
      <c r="L1" s="4" t="inlineStr">
        <is>
          <t>Malaysia Track Time in Seconds</t>
        </is>
      </c>
      <c r="M1" s="4" t="inlineStr">
        <is>
          <t>Malaysia Track Time</t>
        </is>
      </c>
      <c r="N1" s="5" t="inlineStr">
        <is>
          <t>Malaysia Track AQUA</t>
        </is>
      </c>
      <c r="O1" s="65" t="n"/>
      <c r="P1" s="7" t="inlineStr">
        <is>
          <t>Data must be sorted by Gender, Event, Age for the Average Progression Delta forumula to work, values copied in Average Progression Delta VALUE ONLY for refernce if it gets corrupted</t>
        </is>
      </c>
      <c r="U1" s="65" t="n"/>
      <c r="V1" s="65" t="n"/>
      <c r="W1" s="65" t="n"/>
    </row>
    <row r="2">
      <c r="A2" s="8" t="inlineStr">
        <is>
          <t>F</t>
        </is>
      </c>
      <c r="B2" s="9" t="inlineStr">
        <is>
          <t>100 Back</t>
        </is>
      </c>
      <c r="C2" s="9" t="n">
        <v>13</v>
      </c>
      <c r="D2" s="9" t="n">
        <v>1</v>
      </c>
      <c r="E2" s="41" t="inlineStr">
        <is>
          <t>1:05.85</t>
        </is>
      </c>
      <c r="F2" s="35">
        <f>IFERROR(__xludf.DUMMYFUNCTION("IF(
  REGEXMATCH(E2, "":""),
  60*VALUE(INDEX(SPLIT(E2, "":""),1,1)) + VALUE(INDEX(SPLIT(E2, "":""),1,2)),
  VALUE(E2)
)"),65.85)</f>
        <v/>
      </c>
      <c r="G2" s="12" t="n">
        <v>0</v>
      </c>
      <c r="H2" s="12" t="n">
        <v>0</v>
      </c>
      <c r="I2" s="43">
        <f>C2</f>
        <v/>
      </c>
      <c r="J2" s="43">
        <f>C19</f>
        <v/>
      </c>
      <c r="K2" s="43">
        <f t="array" ref="K2">INDEX('Podium Target Times'!$C:$C, MATCH(A2&amp;B2, 'Podium Target Times'!$A:$A&amp;'Podium Target Times'!$B:$B, 0))
</f>
        <v/>
      </c>
      <c r="L2" s="12">
        <f>L3+G3</f>
        <v/>
      </c>
      <c r="M2" s="43">
        <f>IF(L2&lt;60, TEXT(L2/86400, "ss.00"), IF(L2&lt;600, TEXT(L2/86400, "m:ss.00"), TEXT(L2/86400, "mm:ss.00")))</f>
        <v/>
      </c>
      <c r="N2" s="14">
        <f>IFERROR(__xludf.DUMMYFUNCTION("LET(
  gen,$A2, ev,$B2, t,$M2,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)"),534.0)</f>
        <v/>
      </c>
      <c r="O2" s="65" t="n"/>
      <c r="P2" s="69">
        <f>A2</f>
        <v/>
      </c>
      <c r="Q2" s="65">
        <f>B2</f>
        <v/>
      </c>
      <c r="R2" s="69">
        <f>C2</f>
        <v/>
      </c>
      <c r="S2" s="58">
        <f>M2</f>
        <v/>
      </c>
      <c r="T2" s="69">
        <f>N2</f>
        <v/>
      </c>
      <c r="U2" s="65" t="n"/>
      <c r="V2" s="65" t="n"/>
      <c r="W2" s="65" t="n"/>
    </row>
    <row r="3">
      <c r="A3" s="17" t="inlineStr">
        <is>
          <t>F</t>
        </is>
      </c>
      <c r="B3" s="18" t="inlineStr">
        <is>
          <t>100 Back</t>
        </is>
      </c>
      <c r="C3" s="18" t="n">
        <v>14</v>
      </c>
      <c r="D3" s="18" t="n">
        <v>1</v>
      </c>
      <c r="E3" s="46" t="inlineStr">
        <is>
          <t>1:03.87</t>
        </is>
      </c>
      <c r="F3" s="21">
        <f>IFERROR(__xludf.DUMMYFUNCTION("IF(
  REGEXMATCH(E3, "":""),
  60*VALUE(INDEX(SPLIT(E3, "":""),1,1)) + VALUE(INDEX(SPLIT(E3, "":""),1,2)),
  VALUE(E3)
)"),63.87)</f>
        <v/>
      </c>
      <c r="G3" s="21">
        <f>F2-F3</f>
        <v/>
      </c>
      <c r="H3" s="21" t="n">
        <v>1.979999999999997</v>
      </c>
      <c r="I3" s="211">
        <f>C2</f>
        <v/>
      </c>
      <c r="J3" s="211">
        <f>C19</f>
        <v/>
      </c>
      <c r="K3" s="60">
        <f t="array" ref="K3">INDEX('Podium Target Times'!$C:$C, MATCH(A3&amp;B3, 'Podium Target Times'!$A:$A&amp;'Podium Target Times'!$B:$B, 0))
</f>
        <v/>
      </c>
      <c r="L3" s="24">
        <f>L5+G5</f>
        <v/>
      </c>
      <c r="M3" s="60">
        <f>TEXT(L3/86400, "mm:ss.00")</f>
        <v/>
      </c>
      <c r="N3" s="25">
        <f>IFERROR(__xludf.DUMMYFUNCTION("LET(
  gen,$A3, ev,$B3, t,$M3,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)"),581.0)</f>
        <v/>
      </c>
      <c r="O3" s="65" t="n"/>
      <c r="P3" s="69">
        <f>A3</f>
        <v/>
      </c>
      <c r="Q3" s="65">
        <f>B3</f>
        <v/>
      </c>
      <c r="R3" s="69">
        <f>C3</f>
        <v/>
      </c>
      <c r="S3" s="58">
        <f>M3</f>
        <v/>
      </c>
      <c r="T3" s="69">
        <f>N3</f>
        <v/>
      </c>
      <c r="U3" s="65" t="n"/>
      <c r="V3" s="65" t="n"/>
      <c r="W3" s="65" t="n"/>
    </row>
    <row r="4">
      <c r="A4" s="8" t="inlineStr">
        <is>
          <t>F</t>
        </is>
      </c>
      <c r="B4" s="9" t="inlineStr">
        <is>
          <t>100 Back</t>
        </is>
      </c>
      <c r="C4" s="9" t="n">
        <v>14</v>
      </c>
      <c r="D4" s="219" t="n">
        <v>2</v>
      </c>
      <c r="E4" s="41" t="inlineStr">
        <is>
          <t>1:04.75</t>
        </is>
      </c>
      <c r="F4" s="35">
        <f>IFERROR(__xludf.DUMMYFUNCTION("IF(
  REGEXMATCH(E4, "":""),
  60*VALUE(INDEX(SPLIT(E4, "":""),1,1)) + VALUE(INDEX(SPLIT(E4, "":""),1,2)),
  VALUE(E4)
)"),64.75)</f>
        <v/>
      </c>
      <c r="G4" s="35">
        <f>F2-F3</f>
        <v/>
      </c>
      <c r="H4" s="35" t="n">
        <v>1.979999999999997</v>
      </c>
      <c r="I4" s="215">
        <f>C2</f>
        <v/>
      </c>
      <c r="J4" s="215">
        <f>C19</f>
        <v/>
      </c>
      <c r="K4" s="43">
        <f t="array" ref="K4">INDEX('Podium Target Times'!$C:$C, MATCH(A4&amp;B4, 'Podium Target Times'!$A:$A&amp;'Podium Target Times'!$B:$B, 0))
</f>
        <v/>
      </c>
      <c r="L4" s="12">
        <f>L5+G5</f>
        <v/>
      </c>
      <c r="M4" s="43">
        <f>TEXT(L4/86400, "mm:ss.00")</f>
        <v/>
      </c>
      <c r="N4" s="14">
        <f>IFERROR(__xludf.DUMMYFUNCTION("LET(
  gen,$A4, ev,$B4, t,$M4,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)"),581.0)</f>
        <v/>
      </c>
      <c r="O4" s="65" t="n"/>
      <c r="P4" s="69">
        <f>A5</f>
        <v/>
      </c>
      <c r="Q4" s="65">
        <f>B5</f>
        <v/>
      </c>
      <c r="R4" s="69">
        <f>C5</f>
        <v/>
      </c>
      <c r="S4" s="58">
        <f>M5</f>
        <v/>
      </c>
      <c r="T4" s="69">
        <f>N5</f>
        <v/>
      </c>
      <c r="U4" s="65" t="n"/>
      <c r="V4" s="65" t="n"/>
      <c r="W4" s="65" t="n"/>
    </row>
    <row r="5">
      <c r="A5" s="17" t="inlineStr">
        <is>
          <t>F</t>
        </is>
      </c>
      <c r="B5" s="18" t="inlineStr">
        <is>
          <t>100 Back</t>
        </is>
      </c>
      <c r="C5" s="18" t="n">
        <v>15</v>
      </c>
      <c r="D5" s="18" t="n">
        <v>1</v>
      </c>
      <c r="E5" s="46" t="inlineStr">
        <is>
          <t>1:02.34</t>
        </is>
      </c>
      <c r="F5" s="21">
        <f>IFERROR(__xludf.DUMMYFUNCTION("IF(
  REGEXMATCH(E5, "":""),
  60*VALUE(INDEX(SPLIT(E5, "":""),1,1)) + VALUE(INDEX(SPLIT(E5, "":""),1,2)),
  VALUE(E5)
)"),62.34)</f>
        <v/>
      </c>
      <c r="G5" s="21">
        <f>average(F3-F5,F4-F6)</f>
        <v/>
      </c>
      <c r="H5" s="21" t="n">
        <v>1.539999999999996</v>
      </c>
      <c r="I5" s="211">
        <f>C2</f>
        <v/>
      </c>
      <c r="J5" s="211">
        <f>C19</f>
        <v/>
      </c>
      <c r="K5" s="60">
        <f t="array" ref="K5">INDEX('Podium Target Times'!$C:$C, MATCH(A5&amp;B5, 'Podium Target Times'!$A:$A&amp;'Podium Target Times'!$B:$B, 0))
</f>
        <v/>
      </c>
      <c r="L5" s="24">
        <f>L8+G8</f>
        <v/>
      </c>
      <c r="M5" s="60">
        <f>TEXT(L5/86400, "mm:ss.00")</f>
        <v/>
      </c>
      <c r="N5" s="25">
        <f>IFERROR(__xludf.DUMMYFUNCTION("LET(
  gen,$A5, ev,$B5, t,$M5,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)"),623.0)</f>
        <v/>
      </c>
      <c r="O5" s="65" t="n"/>
      <c r="P5" s="69">
        <f>A8</f>
        <v/>
      </c>
      <c r="Q5" s="65">
        <f>B8</f>
        <v/>
      </c>
      <c r="R5" s="69">
        <f>C8</f>
        <v/>
      </c>
      <c r="S5" s="58">
        <f>M8</f>
        <v/>
      </c>
      <c r="T5" s="69">
        <f>N8</f>
        <v/>
      </c>
      <c r="U5" s="65" t="n"/>
      <c r="V5" s="65" t="n"/>
      <c r="W5" s="65" t="n"/>
    </row>
    <row r="6">
      <c r="A6" s="8" t="inlineStr">
        <is>
          <t>F</t>
        </is>
      </c>
      <c r="B6" s="9" t="inlineStr">
        <is>
          <t>100 Back</t>
        </is>
      </c>
      <c r="C6" s="9" t="n">
        <v>15</v>
      </c>
      <c r="D6" s="9" t="n">
        <v>2</v>
      </c>
      <c r="E6" s="41" t="inlineStr">
        <is>
          <t>1:03.20</t>
        </is>
      </c>
      <c r="F6" s="35">
        <f>IFERROR(__xludf.DUMMYFUNCTION("IF(
  REGEXMATCH(E6, "":""),
  60*VALUE(INDEX(SPLIT(E6, "":""),1,1)) + VALUE(INDEX(SPLIT(E6, "":""),1,2)),
  VALUE(E6)
)"),63.2)</f>
        <v/>
      </c>
      <c r="G6" s="35">
        <f>average(F3-F5,F4-F6)</f>
        <v/>
      </c>
      <c r="H6" s="35" t="n">
        <v>1.539999999999996</v>
      </c>
      <c r="I6" s="215">
        <f>C2</f>
        <v/>
      </c>
      <c r="J6" s="215">
        <f>C19</f>
        <v/>
      </c>
      <c r="K6" s="43">
        <f t="array" ref="K6">INDEX('Podium Target Times'!$C:$C, MATCH(A6&amp;B6, 'Podium Target Times'!$A:$A&amp;'Podium Target Times'!$B:$B, 0))
</f>
        <v/>
      </c>
      <c r="L6" s="12">
        <f>L8+G8</f>
        <v/>
      </c>
      <c r="M6" s="43">
        <f>TEXT(L6/86400, "mm:ss.00")</f>
        <v/>
      </c>
      <c r="N6" s="14">
        <f>IFERROR(__xludf.DUMMYFUNCTION("LET(
  gen,$A6, ev,$B6, t,$M6,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)"),623.0)</f>
        <v/>
      </c>
      <c r="O6" s="65" t="n"/>
      <c r="P6" s="69">
        <f>A11</f>
        <v/>
      </c>
      <c r="Q6" s="65">
        <f>B11</f>
        <v/>
      </c>
      <c r="R6" s="69">
        <f>C11</f>
        <v/>
      </c>
      <c r="S6" s="58">
        <f>M11</f>
        <v/>
      </c>
      <c r="T6" s="69">
        <f>N11</f>
        <v/>
      </c>
      <c r="U6" s="65" t="n"/>
      <c r="V6" s="65" t="n"/>
      <c r="W6" s="65" t="n"/>
    </row>
    <row r="7">
      <c r="A7" s="17" t="inlineStr">
        <is>
          <t>F</t>
        </is>
      </c>
      <c r="B7" s="18" t="inlineStr">
        <is>
          <t>100 Back</t>
        </is>
      </c>
      <c r="C7" s="18" t="n">
        <v>15</v>
      </c>
      <c r="D7" s="18" t="n">
        <v>3</v>
      </c>
      <c r="E7" s="46" t="inlineStr">
        <is>
          <t>1:03.66</t>
        </is>
      </c>
      <c r="F7" s="21">
        <f>IFERROR(__xludf.DUMMYFUNCTION("IF(
  REGEXMATCH(E7, "":""),
  60*VALUE(INDEX(SPLIT(E7, "":""),1,1)) + VALUE(INDEX(SPLIT(E7, "":""),1,2)),
  VALUE(E7)
)"),63.66)</f>
        <v/>
      </c>
      <c r="G7" s="21">
        <f>average(F3-F5,F4-F6)</f>
        <v/>
      </c>
      <c r="H7" s="21" t="n">
        <v>1.539999999999996</v>
      </c>
      <c r="I7" s="211">
        <f>C2</f>
        <v/>
      </c>
      <c r="J7" s="211">
        <f>C19</f>
        <v/>
      </c>
      <c r="K7" s="60">
        <f t="array" ref="K7">INDEX('Podium Target Times'!$C:$C, MATCH(A7&amp;B7, 'Podium Target Times'!$A:$A&amp;'Podium Target Times'!$B:$B, 0))
</f>
        <v/>
      </c>
      <c r="L7" s="24">
        <f>L8+G8</f>
        <v/>
      </c>
      <c r="M7" s="60">
        <f>TEXT(L7/86400, "mm:ss.00")</f>
        <v/>
      </c>
      <c r="N7" s="25">
        <f>IFERROR(__xludf.DUMMYFUNCTION("LET(
  gen,$A7, ev,$B7, t,$M7,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)"),623.0)</f>
        <v/>
      </c>
      <c r="O7" s="65" t="n"/>
      <c r="P7" s="69">
        <f>A14</f>
        <v/>
      </c>
      <c r="Q7" s="65">
        <f>B14</f>
        <v/>
      </c>
      <c r="R7" s="69">
        <f>C14</f>
        <v/>
      </c>
      <c r="S7" s="58">
        <f>M14</f>
        <v/>
      </c>
      <c r="T7" s="69">
        <f>N14</f>
        <v/>
      </c>
      <c r="U7" s="65" t="n"/>
      <c r="V7" s="65" t="n"/>
      <c r="W7" s="65" t="n"/>
    </row>
    <row r="8">
      <c r="A8" s="8" t="inlineStr">
        <is>
          <t>F</t>
        </is>
      </c>
      <c r="B8" s="9" t="inlineStr">
        <is>
          <t>100 Back</t>
        </is>
      </c>
      <c r="C8" s="9" t="n">
        <v>16</v>
      </c>
      <c r="D8" s="9" t="n">
        <v>1</v>
      </c>
      <c r="E8" s="41" t="inlineStr">
        <is>
          <t>1:01.22</t>
        </is>
      </c>
      <c r="F8" s="35">
        <f>IFERROR(__xludf.DUMMYFUNCTION("IF(
  REGEXMATCH(E8, "":""),
  60*VALUE(INDEX(SPLIT(E8, "":""),1,1)) + VALUE(INDEX(SPLIT(E8, "":""),1,2)),
  VALUE(E8)
)"),61.22)</f>
        <v/>
      </c>
      <c r="G8" s="35">
        <f>average(F5-F8,F6-F9,F7-F10)</f>
        <v/>
      </c>
      <c r="H8" s="35" t="n">
        <v>1.133333333333333</v>
      </c>
      <c r="I8" s="215">
        <f>C2</f>
        <v/>
      </c>
      <c r="J8" s="215">
        <f>C19</f>
        <v/>
      </c>
      <c r="K8" s="43">
        <f t="array" ref="K8">INDEX('Podium Target Times'!$C:$C, MATCH(A8&amp;B8, 'Podium Target Times'!$A:$A&amp;'Podium Target Times'!$B:$B, 0))
</f>
        <v/>
      </c>
      <c r="L8" s="12">
        <f>L11+G11</f>
        <v/>
      </c>
      <c r="M8" s="43">
        <f>TEXT(L8/86400, "mm:ss.00")</f>
        <v/>
      </c>
      <c r="N8" s="14">
        <f>IFERROR(__xludf.DUMMYFUNCTION("LET(
  gen,$A8, ev,$B8, t,$M8,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)"),655.0)</f>
        <v/>
      </c>
      <c r="O8" s="65" t="n"/>
      <c r="P8" s="69">
        <f>A16</f>
        <v/>
      </c>
      <c r="Q8" s="65">
        <f>B16</f>
        <v/>
      </c>
      <c r="R8" s="69">
        <f>C16</f>
        <v/>
      </c>
      <c r="S8" s="58">
        <f>M16</f>
        <v/>
      </c>
      <c r="T8" s="69">
        <f>N16</f>
        <v/>
      </c>
      <c r="U8" s="65" t="n"/>
      <c r="V8" s="65" t="n"/>
      <c r="W8" s="65" t="n"/>
    </row>
    <row r="9">
      <c r="A9" s="17" t="inlineStr">
        <is>
          <t>F</t>
        </is>
      </c>
      <c r="B9" s="18" t="inlineStr">
        <is>
          <t>100 Back</t>
        </is>
      </c>
      <c r="C9" s="18" t="n">
        <v>16</v>
      </c>
      <c r="D9" s="221" t="n">
        <v>2</v>
      </c>
      <c r="E9" s="46" t="inlineStr">
        <is>
          <t>1:02.06</t>
        </is>
      </c>
      <c r="F9" s="21">
        <f>IFERROR(__xludf.DUMMYFUNCTION("IF(
  REGEXMATCH(E9, "":""),
  60*VALUE(INDEX(SPLIT(E9, "":""),1,1)) + VALUE(INDEX(SPLIT(E9, "":""),1,2)),
  VALUE(E9)
)"),62.06)</f>
        <v/>
      </c>
      <c r="G9" s="21">
        <f>average(F5-F8,F6-F9,F7-F10)</f>
        <v/>
      </c>
      <c r="H9" s="21" t="n">
        <v>1.133333333333333</v>
      </c>
      <c r="I9" s="211">
        <f>C2</f>
        <v/>
      </c>
      <c r="J9" s="211">
        <f>C19</f>
        <v/>
      </c>
      <c r="K9" s="60">
        <f t="array" ref="K9">INDEX('Podium Target Times'!$C:$C, MATCH(A9&amp;B9, 'Podium Target Times'!$A:$A&amp;'Podium Target Times'!$B:$B, 0))
</f>
        <v/>
      </c>
      <c r="L9" s="24">
        <f>L11+G11</f>
        <v/>
      </c>
      <c r="M9" s="60">
        <f>TEXT(L9/86400, "mm:ss.00")</f>
        <v/>
      </c>
      <c r="N9" s="25">
        <f>IFERROR(__xludf.DUMMYFUNCTION("LET(
  gen,$A9, ev,$B9, t,$M9,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)"),655.0)</f>
        <v/>
      </c>
      <c r="O9" s="65" t="n"/>
      <c r="P9" s="69">
        <f>A18</f>
        <v/>
      </c>
      <c r="Q9" s="65">
        <f>B18</f>
        <v/>
      </c>
      <c r="R9" s="69">
        <f>C18</f>
        <v/>
      </c>
      <c r="S9" s="58">
        <f>M18</f>
        <v/>
      </c>
      <c r="T9" s="69">
        <f>N18</f>
        <v/>
      </c>
      <c r="U9" s="65" t="n"/>
      <c r="V9" s="65" t="n"/>
      <c r="W9" s="65" t="n"/>
    </row>
    <row r="10">
      <c r="A10" s="8" t="inlineStr">
        <is>
          <t>F</t>
        </is>
      </c>
      <c r="B10" s="9" t="inlineStr">
        <is>
          <t>100 Back</t>
        </is>
      </c>
      <c r="C10" s="9" t="n">
        <v>16</v>
      </c>
      <c r="D10" s="9" t="n">
        <v>3</v>
      </c>
      <c r="E10" s="41" t="inlineStr">
        <is>
          <t>1:02.52</t>
        </is>
      </c>
      <c r="F10" s="35">
        <f>IFERROR(__xludf.DUMMYFUNCTION("IF(
  REGEXMATCH(E10, "":""),
  60*VALUE(INDEX(SPLIT(E10, "":""),1,1)) + VALUE(INDEX(SPLIT(E10, "":""),1,2)),
  VALUE(E10)
)"),62.52)</f>
        <v/>
      </c>
      <c r="G10" s="35">
        <f>average(F5-F8,F6-F9,F7-F10)</f>
        <v/>
      </c>
      <c r="H10" s="35" t="n">
        <v>1.133333333333333</v>
      </c>
      <c r="I10" s="215">
        <f>C2</f>
        <v/>
      </c>
      <c r="J10" s="215">
        <f>C19</f>
        <v/>
      </c>
      <c r="K10" s="43">
        <f t="array" ref="K10">INDEX('Podium Target Times'!$C:$C, MATCH(A10&amp;B10, 'Podium Target Times'!$A:$A&amp;'Podium Target Times'!$B:$B, 0))
</f>
        <v/>
      </c>
      <c r="L10" s="12">
        <f>L11+G11</f>
        <v/>
      </c>
      <c r="M10" s="43">
        <f>TEXT(L10/86400, "mm:ss.00")</f>
        <v/>
      </c>
      <c r="N10" s="14">
        <f>IFERROR(__xludf.DUMMYFUNCTION("LET(
  gen,$A10, ev,$B10, t,$M10,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)"),655.0)</f>
        <v/>
      </c>
      <c r="O10" s="65" t="n"/>
      <c r="P10" s="69">
        <f>A19</f>
        <v/>
      </c>
      <c r="Q10" s="65">
        <f>B19</f>
        <v/>
      </c>
      <c r="R10" s="69">
        <f>C19</f>
        <v/>
      </c>
      <c r="S10" s="58">
        <f>M19</f>
        <v/>
      </c>
      <c r="T10" s="69">
        <f>N19</f>
        <v/>
      </c>
      <c r="U10" s="65" t="n"/>
      <c r="V10" s="65" t="n"/>
      <c r="W10" s="65" t="n"/>
    </row>
    <row r="11">
      <c r="A11" s="17" t="inlineStr">
        <is>
          <t>F</t>
        </is>
      </c>
      <c r="B11" s="18" t="inlineStr">
        <is>
          <t>100 Back</t>
        </is>
      </c>
      <c r="C11" s="18" t="n">
        <v>17</v>
      </c>
      <c r="D11" s="18" t="n">
        <v>1</v>
      </c>
      <c r="E11" s="46" t="inlineStr">
        <is>
          <t>1:00.46</t>
        </is>
      </c>
      <c r="F11" s="21">
        <f>IFERROR(__xludf.DUMMYFUNCTION("IF(
  REGEXMATCH(E11, "":""),
  60*VALUE(INDEX(SPLIT(E11, "":""),1,1)) + VALUE(INDEX(SPLIT(E11, "":""),1,2)),
  VALUE(E11)
)"),60.46)</f>
        <v/>
      </c>
      <c r="G11" s="21">
        <f>average(F8-F11,F9-F12,F10-F13)</f>
        <v/>
      </c>
      <c r="H11" s="21" t="n">
        <v>0.7700000000000008</v>
      </c>
      <c r="I11" s="211">
        <f>C2</f>
        <v/>
      </c>
      <c r="J11" s="211">
        <f>C19</f>
        <v/>
      </c>
      <c r="K11" s="60">
        <f t="array" ref="K11">INDEX('Podium Target Times'!$C:$C, MATCH(A11&amp;B11, 'Podium Target Times'!$A:$A&amp;'Podium Target Times'!$B:$B, 0))
</f>
        <v/>
      </c>
      <c r="L11" s="24">
        <f>L14+G14</f>
        <v/>
      </c>
      <c r="M11" s="60">
        <f>TEXT(L11/86400, "mm:ss.00")</f>
        <v/>
      </c>
      <c r="N11" s="25">
        <f>IFERROR(__xludf.DUMMYFUNCTION("LET(
  gen,$A11, ev,$B11, t,$M11,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
      </c>
      <c r="O11" s="65" t="n"/>
      <c r="P11" s="69" t="n"/>
      <c r="Q11" s="65" t="n"/>
      <c r="R11" s="69" t="n"/>
      <c r="S11" s="58" t="n"/>
      <c r="T11" s="69" t="n"/>
      <c r="U11" s="65" t="n"/>
      <c r="V11" s="65" t="n"/>
      <c r="W11" s="65" t="n"/>
    </row>
    <row r="12">
      <c r="A12" s="8" t="inlineStr">
        <is>
          <t>F</t>
        </is>
      </c>
      <c r="B12" s="9" t="inlineStr">
        <is>
          <t>100 Back</t>
        </is>
      </c>
      <c r="C12" s="9" t="n">
        <v>17</v>
      </c>
      <c r="D12" s="9" t="n">
        <v>2</v>
      </c>
      <c r="E12" s="41" t="inlineStr">
        <is>
          <t>1:01.29</t>
        </is>
      </c>
      <c r="F12" s="35">
        <f>IFERROR(__xludf.DUMMYFUNCTION("IF(
  REGEXMATCH(E12, "":""),
  60*VALUE(INDEX(SPLIT(E12, "":""),1,1)) + VALUE(INDEX(SPLIT(E12, "":""),1,2)),
  VALUE(E12)
)"),61.29)</f>
        <v/>
      </c>
      <c r="G12" s="35">
        <f>average(F8-F11,F9-F12,F10-F13)</f>
        <v/>
      </c>
      <c r="H12" s="35" t="n">
        <v>0.7700000000000008</v>
      </c>
      <c r="I12" s="215">
        <f>C2</f>
        <v/>
      </c>
      <c r="J12" s="215">
        <f>C19</f>
        <v/>
      </c>
      <c r="K12" s="43">
        <f t="array" ref="K12">INDEX('Podium Target Times'!$C:$C, MATCH(A12&amp;B12, 'Podium Target Times'!$A:$A&amp;'Podium Target Times'!$B:$B, 0))
</f>
        <v/>
      </c>
      <c r="L12" s="12">
        <f>L14+G14</f>
        <v/>
      </c>
      <c r="M12" s="43">
        <f>TEXT(L12/86400, "mm:ss.00")</f>
        <v/>
      </c>
      <c r="N12" s="14">
        <f>IFERROR(__xludf.DUMMYFUNCTION("LET(
  gen,$A12, ev,$B12, t,$M12,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
      </c>
      <c r="O12" s="65" t="n"/>
      <c r="P12" s="69" t="n"/>
      <c r="Q12" s="65" t="n"/>
      <c r="R12" s="69" t="n"/>
      <c r="S12" s="58" t="n"/>
      <c r="T12" s="69" t="n"/>
      <c r="U12" s="65" t="n"/>
      <c r="V12" s="65" t="n"/>
      <c r="W12" s="65" t="n"/>
    </row>
    <row r="13">
      <c r="A13" s="17" t="inlineStr">
        <is>
          <t>F</t>
        </is>
      </c>
      <c r="B13" s="18" t="inlineStr">
        <is>
          <t>100 Back</t>
        </is>
      </c>
      <c r="C13" s="18" t="n">
        <v>17</v>
      </c>
      <c r="D13" s="18" t="n">
        <v>3</v>
      </c>
      <c r="E13" s="46" t="inlineStr">
        <is>
          <t>1:01.74</t>
        </is>
      </c>
      <c r="F13" s="21">
        <f>IFERROR(__xludf.DUMMYFUNCTION("IF(
  REGEXMATCH(E13, "":""),
  60*VALUE(INDEX(SPLIT(E13, "":""),1,1)) + VALUE(INDEX(SPLIT(E13, "":""),1,2)),
  VALUE(E13)
)"),61.74)</f>
        <v/>
      </c>
      <c r="G13" s="21">
        <f>average(F8-F11,F9-F12,F10-F13)</f>
        <v/>
      </c>
      <c r="H13" s="21" t="n">
        <v>0.7700000000000008</v>
      </c>
      <c r="I13" s="211">
        <f>C2</f>
        <v/>
      </c>
      <c r="J13" s="211">
        <f>C19</f>
        <v/>
      </c>
      <c r="K13" s="60">
        <f t="array" ref="K13">INDEX('Podium Target Times'!$C:$C, MATCH(A13&amp;B13, 'Podium Target Times'!$A:$A&amp;'Podium Target Times'!$B:$B, 0))
</f>
        <v/>
      </c>
      <c r="L13" s="24">
        <f>L14+G14</f>
        <v/>
      </c>
      <c r="M13" s="60">
        <f>TEXT(L13/86400, "mm:ss.00")</f>
        <v/>
      </c>
      <c r="N13" s="25">
        <f>IFERROR(__xludf.DUMMYFUNCTION("LET(
  gen,$A13, ev,$B13, t,$M13,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
      </c>
      <c r="O13" s="65" t="n"/>
      <c r="P13" s="69" t="n"/>
      <c r="Q13" s="65" t="n"/>
      <c r="R13" s="69" t="n"/>
      <c r="S13" s="58" t="n"/>
      <c r="T13" s="69" t="n"/>
      <c r="U13" s="65" t="n"/>
      <c r="V13" s="65" t="n"/>
      <c r="W13" s="65" t="n"/>
    </row>
    <row r="14">
      <c r="A14" s="8" t="inlineStr">
        <is>
          <t>F</t>
        </is>
      </c>
      <c r="B14" s="9" t="inlineStr">
        <is>
          <t>100 Back</t>
        </is>
      </c>
      <c r="C14" s="9" t="n">
        <v>18</v>
      </c>
      <c r="D14" s="219" t="n">
        <v>2</v>
      </c>
      <c r="E14" s="41" t="inlineStr">
        <is>
          <t>1:00.79</t>
        </is>
      </c>
      <c r="F14" s="35">
        <f>IFERROR(__xludf.DUMMYFUNCTION("IF(
  REGEXMATCH(E14, "":""),
  60*VALUE(INDEX(SPLIT(E14, "":""),1,1)) + VALUE(INDEX(SPLIT(E14, "":""),1,2)),
  VALUE(E14)
)"),60.79)</f>
        <v/>
      </c>
      <c r="G14" s="35">
        <f>average(F12-F14,F13-F15)</f>
        <v/>
      </c>
      <c r="H14" s="35" t="n">
        <v>0.5050000000000026</v>
      </c>
      <c r="I14" s="215">
        <f>C2</f>
        <v/>
      </c>
      <c r="J14" s="215">
        <f>C19</f>
        <v/>
      </c>
      <c r="K14" s="43">
        <f t="array" ref="K14">INDEX('Podium Target Times'!$C:$C, MATCH(A14&amp;B14, 'Podium Target Times'!$A:$A&amp;'Podium Target Times'!$B:$B, 0))
</f>
        <v/>
      </c>
      <c r="L14" s="12">
        <f>L16+G16</f>
        <v/>
      </c>
      <c r="M14" s="43">
        <f>TEXT(L14/86400, "mm:ss.00")</f>
        <v/>
      </c>
      <c r="N14" s="14">
        <f>IFERROR(__xludf.DUMMYFUNCTION("LET(
  gen,$A14, ev,$B14, t,$M14,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
      </c>
      <c r="O14" s="65" t="n"/>
      <c r="P14" s="69" t="n"/>
      <c r="Q14" s="65" t="n"/>
      <c r="R14" s="69" t="n"/>
      <c r="S14" s="58" t="n"/>
      <c r="T14" s="69" t="n"/>
      <c r="U14" s="65" t="n"/>
      <c r="V14" s="65" t="n"/>
      <c r="W14" s="65" t="n"/>
    </row>
    <row r="15">
      <c r="A15" s="17" t="inlineStr">
        <is>
          <t>F</t>
        </is>
      </c>
      <c r="B15" s="18" t="inlineStr">
        <is>
          <t>100 Back</t>
        </is>
      </c>
      <c r="C15" s="18" t="n">
        <v>18</v>
      </c>
      <c r="D15" s="18" t="n">
        <v>3</v>
      </c>
      <c r="E15" s="46" t="inlineStr">
        <is>
          <t>1:01.23</t>
        </is>
      </c>
      <c r="F15" s="21">
        <f>IFERROR(__xludf.DUMMYFUNCTION("IF(
  REGEXMATCH(E15, "":""),
  60*VALUE(INDEX(SPLIT(E15, "":""),1,1)) + VALUE(INDEX(SPLIT(E15, "":""),1,2)),
  VALUE(E15)
)"),61.23)</f>
        <v/>
      </c>
      <c r="G15" s="21">
        <f>average(F12-F14,F13-F15)</f>
        <v/>
      </c>
      <c r="H15" s="21" t="n">
        <v>0.5050000000000026</v>
      </c>
      <c r="I15" s="211">
        <f>C2</f>
        <v/>
      </c>
      <c r="J15" s="211">
        <f>C19</f>
        <v/>
      </c>
      <c r="K15" s="60">
        <f t="array" ref="K15">INDEX('Podium Target Times'!$C:$C, MATCH(A15&amp;B15, 'Podium Target Times'!$A:$A&amp;'Podium Target Times'!$B:$B, 0))
</f>
        <v/>
      </c>
      <c r="L15" s="24">
        <f>L16+G16</f>
        <v/>
      </c>
      <c r="M15" s="60">
        <f>TEXT(L15/86400, "mm:ss.00")</f>
        <v/>
      </c>
      <c r="N15" s="25">
        <f>IFERROR(__xludf.DUMMYFUNCTION("LET(
  gen,$A15, ev,$B15, t,$M15,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
      </c>
      <c r="O15" s="65" t="n"/>
      <c r="P15" s="69" t="n"/>
      <c r="Q15" s="65" t="n"/>
      <c r="R15" s="69" t="n"/>
      <c r="S15" s="58" t="n"/>
      <c r="T15" s="69" t="n"/>
      <c r="U15" s="65" t="n"/>
      <c r="V15" s="65" t="n"/>
      <c r="W15" s="65" t="n"/>
    </row>
    <row r="16">
      <c r="A16" s="8" t="inlineStr">
        <is>
          <t>F</t>
        </is>
      </c>
      <c r="B16" s="9" t="inlineStr">
        <is>
          <t>100 Back</t>
        </is>
      </c>
      <c r="C16" s="9" t="n">
        <v>19</v>
      </c>
      <c r="D16" s="9" t="n">
        <v>2</v>
      </c>
      <c r="E16" s="215" t="inlineStr">
        <is>
          <t>1:00.46</t>
        </is>
      </c>
      <c r="F16" s="35">
        <f>IFERROR(__xludf.DUMMYFUNCTION("IF(
  REGEXMATCH(E16, "":""),
  60*VALUE(INDEX(SPLIT(E16, "":""),1,1)) + VALUE(INDEX(SPLIT(E16, "":""),1,2)),
  VALUE(E16)
)"),60.46)</f>
        <v/>
      </c>
      <c r="G16" s="35">
        <f>average(F14-F16,F15-F17)</f>
        <v/>
      </c>
      <c r="H16" s="35" t="n">
        <v>0.3299999999999983</v>
      </c>
      <c r="I16" s="215">
        <f>C2</f>
        <v/>
      </c>
      <c r="J16" s="215">
        <f>C19</f>
        <v/>
      </c>
      <c r="K16" s="43">
        <f t="array" ref="K16">INDEX('Podium Target Times'!$C:$C, MATCH(A16&amp;B16, 'Podium Target Times'!$A:$A&amp;'Podium Target Times'!$B:$B, 0))
</f>
        <v/>
      </c>
      <c r="L16" s="12">
        <f>L18+G18</f>
        <v/>
      </c>
      <c r="M16" s="43">
        <f>TEXT(L16/86400, "mm:ss.00")</f>
        <v/>
      </c>
      <c r="N16" s="14">
        <f>IFERROR(__xludf.DUMMYFUNCTION("LET(
  gen,$A16, ev,$B16, t,$M16,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
      </c>
      <c r="O16" s="65" t="n"/>
      <c r="P16" s="69" t="n"/>
      <c r="Q16" s="65" t="n"/>
      <c r="R16" s="69" t="n"/>
      <c r="S16" s="58" t="n"/>
      <c r="T16" s="69" t="n"/>
      <c r="U16" s="65" t="n"/>
      <c r="V16" s="65" t="n"/>
      <c r="W16" s="65" t="n"/>
    </row>
    <row r="17">
      <c r="A17" s="17" t="inlineStr">
        <is>
          <t>F</t>
        </is>
      </c>
      <c r="B17" s="18" t="inlineStr">
        <is>
          <t>100 Back</t>
        </is>
      </c>
      <c r="C17" s="18" t="n">
        <v>19</v>
      </c>
      <c r="D17" s="18" t="n">
        <v>3</v>
      </c>
      <c r="E17" s="211" t="inlineStr">
        <is>
          <t>1:00.90</t>
        </is>
      </c>
      <c r="F17" s="21">
        <f>IFERROR(__xludf.DUMMYFUNCTION("IF(
  REGEXMATCH(E17, "":""),
  60*VALUE(INDEX(SPLIT(E17, "":""),1,1)) + VALUE(INDEX(SPLIT(E17, "":""),1,2)),
  VALUE(E17)
)"),60.9)</f>
        <v/>
      </c>
      <c r="G17" s="21">
        <f>average(F14-F16,F15-F17)</f>
        <v/>
      </c>
      <c r="H17" s="21" t="n">
        <v>0.3299999999999983</v>
      </c>
      <c r="I17" s="211">
        <f>C2</f>
        <v/>
      </c>
      <c r="J17" s="211">
        <f>C19</f>
        <v/>
      </c>
      <c r="K17" s="60">
        <f t="array" ref="K17">INDEX('Podium Target Times'!$C:$C, MATCH(A17&amp;B17, 'Podium Target Times'!$A:$A&amp;'Podium Target Times'!$B:$B, 0))
</f>
        <v/>
      </c>
      <c r="L17" s="24">
        <f>L18+G18</f>
        <v/>
      </c>
      <c r="M17" s="60">
        <f>TEXT(L17/86400, "mm:ss.00")</f>
        <v/>
      </c>
      <c r="N17" s="25">
        <f>IFERROR(__xludf.DUMMYFUNCTION("LET(
  gen,$A17, ev,$B17, t,$M17,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
      </c>
      <c r="O17" s="65" t="n"/>
      <c r="P17" s="69" t="n"/>
      <c r="Q17" s="65" t="n"/>
      <c r="R17" s="69" t="n"/>
      <c r="S17" s="58" t="n"/>
      <c r="T17" s="69" t="n"/>
      <c r="U17" s="65" t="n"/>
      <c r="V17" s="65" t="n"/>
      <c r="W17" s="65" t="n"/>
    </row>
    <row r="18">
      <c r="A18" s="8" t="inlineStr">
        <is>
          <t>F</t>
        </is>
      </c>
      <c r="B18" s="9" t="inlineStr">
        <is>
          <t>100 Back</t>
        </is>
      </c>
      <c r="C18" s="9" t="n">
        <v>20</v>
      </c>
      <c r="D18" s="9" t="n">
        <v>3</v>
      </c>
      <c r="E18" s="41" t="inlineStr">
        <is>
          <t>1:00.66</t>
        </is>
      </c>
      <c r="F18" s="35">
        <f>IFERROR(__xludf.DUMMYFUNCTION("IF(
  REGEXMATCH(E18, "":""),
  60*VALUE(INDEX(SPLIT(E18, "":""),1,1)) + VALUE(INDEX(SPLIT(E18, "":""),1,2)),
  VALUE(E18)
)"),60.66)</f>
        <v/>
      </c>
      <c r="G18" s="35">
        <f>F17-F18</f>
        <v/>
      </c>
      <c r="H18" s="35" t="n">
        <v>0.240000000000002</v>
      </c>
      <c r="I18" s="215">
        <f>C2</f>
        <v/>
      </c>
      <c r="J18" s="215">
        <f>C19</f>
        <v/>
      </c>
      <c r="K18" s="43">
        <f t="array" ref="K18">INDEX('Podium Target Times'!$C:$C, MATCH(A18&amp;B18, 'Podium Target Times'!$A:$A&amp;'Podium Target Times'!$B:$B, 0))
</f>
        <v/>
      </c>
      <c r="L18" s="12">
        <f>L19+G19</f>
        <v/>
      </c>
      <c r="M18" s="43">
        <f>TEXT(L18/86400, "mm:ss.00")</f>
        <v/>
      </c>
      <c r="N18" s="14">
        <f>IFERROR(__xludf.DUMMYFUNCTION("LET(
  gen,$A18, ev,$B18, t,$M18,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
      </c>
      <c r="O18" s="65" t="n"/>
      <c r="P18" s="69" t="n"/>
      <c r="Q18" s="65" t="n"/>
      <c r="R18" s="69" t="n"/>
      <c r="S18" s="58" t="n"/>
      <c r="T18" s="69" t="n"/>
      <c r="U18" s="65" t="n"/>
      <c r="V18" s="65" t="n"/>
      <c r="W18" s="65" t="n"/>
    </row>
    <row r="19">
      <c r="A19" s="17" t="inlineStr">
        <is>
          <t>F</t>
        </is>
      </c>
      <c r="B19" s="18" t="inlineStr">
        <is>
          <t>100 Back</t>
        </is>
      </c>
      <c r="C19" s="18" t="n">
        <v>21</v>
      </c>
      <c r="D19" s="18" t="n">
        <v>3</v>
      </c>
      <c r="E19" s="46" t="inlineStr">
        <is>
          <t>1:00.46</t>
        </is>
      </c>
      <c r="F19" s="21">
        <f>IFERROR(__xludf.DUMMYFUNCTION("IF(
  REGEXMATCH(E19, "":""),
  60*VALUE(INDEX(SPLIT(E19, "":""),1,1)) + VALUE(INDEX(SPLIT(E19, "":""),1,2)),
  VALUE(E19)
)"),60.46)</f>
        <v/>
      </c>
      <c r="G19" s="21">
        <f>F18-F19</f>
        <v/>
      </c>
      <c r="H19" s="21" t="n">
        <v>0.1999999999999957</v>
      </c>
      <c r="I19" s="211">
        <f>C2</f>
        <v/>
      </c>
      <c r="J19" s="211">
        <f>C19</f>
        <v/>
      </c>
      <c r="K19" s="60">
        <f t="array" ref="K19">INDEX('Podium Target Times'!$C:$C, MATCH(A19&amp;B19, 'Podium Target Times'!$A:$A&amp;'Podium Target Times'!$B:$B, 0))
</f>
        <v/>
      </c>
      <c r="L19" s="211">
        <f>K19</f>
        <v/>
      </c>
      <c r="M19" s="60">
        <f>TEXT(L19/86400, "mm:ss.00")</f>
        <v/>
      </c>
      <c r="N19" s="25">
        <f>IFERROR(__xludf.DUMMYFUNCTION("LET(
  gen,$A19, ev,$B19, t,$M19,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)"),721.0)</f>
        <v/>
      </c>
      <c r="O19" s="65" t="n"/>
      <c r="P19" s="69" t="n"/>
      <c r="Q19" s="65" t="n"/>
      <c r="R19" s="69" t="n"/>
      <c r="S19" s="58" t="n"/>
      <c r="T19" s="69" t="n"/>
      <c r="U19" s="65" t="n"/>
      <c r="V19" s="65" t="n"/>
      <c r="W19" s="65" t="n"/>
    </row>
    <row r="20">
      <c r="A20" s="8" t="inlineStr">
        <is>
          <t>F</t>
        </is>
      </c>
      <c r="B20" s="9" t="inlineStr">
        <is>
          <t>100 Breast</t>
        </is>
      </c>
      <c r="C20" s="9" t="n">
        <v>15</v>
      </c>
      <c r="D20" s="9" t="n">
        <v>1</v>
      </c>
      <c r="E20" s="41" t="inlineStr">
        <is>
          <t>1:09.68</t>
        </is>
      </c>
      <c r="F20" s="35">
        <f>IFERROR(__xludf.DUMMYFUNCTION("IF(
  REGEXMATCH(E20, "":""),
  60*VALUE(INDEX(SPLIT(E20, "":""),1,1)) + VALUE(INDEX(SPLIT(E20, "":""),1,2)),
  VALUE(E20)
)"),69.68)</f>
        <v/>
      </c>
      <c r="G20" s="12" t="n">
        <v>0</v>
      </c>
      <c r="H20" s="12" t="n">
        <v>0</v>
      </c>
      <c r="I20" s="43">
        <f>C20</f>
        <v/>
      </c>
      <c r="J20" s="43">
        <f>C37</f>
        <v/>
      </c>
      <c r="K20" s="43">
        <f t="array" ref="K20">INDEX('Podium Target Times'!$C:$C, MATCH(A20&amp;B20, 'Podium Target Times'!$A:$A&amp;'Podium Target Times'!$B:$B, 0))
</f>
        <v/>
      </c>
      <c r="L20" s="12">
        <f>L21+G21</f>
        <v/>
      </c>
      <c r="M20" s="43">
        <f>TEXT(L20/86400, "mm:ss.00")</f>
        <v/>
      </c>
      <c r="N20" s="14">
        <f>IFERROR(__xludf.DUMMYFUNCTION("LET(
  gen,$A20, ev,$B20, t,$M20,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)"),625.0)</f>
        <v/>
      </c>
      <c r="O20" s="65" t="n"/>
      <c r="P20" s="69">
        <f>A20</f>
        <v/>
      </c>
      <c r="Q20" s="65">
        <f>B20</f>
        <v/>
      </c>
      <c r="R20" s="69">
        <f>C20</f>
        <v/>
      </c>
      <c r="S20" s="58">
        <f>M20</f>
        <v/>
      </c>
      <c r="T20" s="69">
        <f>N20</f>
        <v/>
      </c>
      <c r="U20" s="65" t="n"/>
      <c r="V20" s="65" t="n"/>
      <c r="W20" s="65" t="n"/>
    </row>
    <row r="21">
      <c r="A21" s="17" t="inlineStr">
        <is>
          <t>F</t>
        </is>
      </c>
      <c r="B21" s="18" t="inlineStr">
        <is>
          <t>100 Breast</t>
        </is>
      </c>
      <c r="C21" s="18" t="n">
        <v>16</v>
      </c>
      <c r="D21" s="18" t="n">
        <v>1</v>
      </c>
      <c r="E21" s="46" t="inlineStr">
        <is>
          <t>1:08.45</t>
        </is>
      </c>
      <c r="F21" s="21">
        <f>IFERROR(__xludf.DUMMYFUNCTION("IF(
  REGEXMATCH(E21, "":""),
  60*VALUE(INDEX(SPLIT(E21, "":""),1,1)) + VALUE(INDEX(SPLIT(E21, "":""),1,2)),
  VALUE(E21)
)"),68.45)</f>
        <v/>
      </c>
      <c r="G21" s="21">
        <f>F20-F21</f>
        <v/>
      </c>
      <c r="H21" s="21" t="n">
        <v>1.230000000000004</v>
      </c>
      <c r="I21" s="211">
        <f>C20</f>
        <v/>
      </c>
      <c r="J21" s="211">
        <f>C37</f>
        <v/>
      </c>
      <c r="K21" s="60">
        <f t="array" ref="K21">INDEX('Podium Target Times'!$C:$C, MATCH(A21&amp;B21, 'Podium Target Times'!$A:$A&amp;'Podium Target Times'!$B:$B, 0))
</f>
        <v/>
      </c>
      <c r="L21" s="24">
        <f>L23+G23</f>
        <v/>
      </c>
      <c r="M21" s="60">
        <f>TEXT(L21/86400, "mm:ss.00")</f>
        <v/>
      </c>
      <c r="N21" s="25">
        <f>IFERROR(__xludf.DUMMYFUNCTION("LET(
  gen,$A21, ev,$B21, t,$M21,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)"),657.0)</f>
        <v/>
      </c>
      <c r="O21" s="65" t="n"/>
      <c r="P21" s="69">
        <f>A21</f>
        <v/>
      </c>
      <c r="Q21" s="65">
        <f>B21</f>
        <v/>
      </c>
      <c r="R21" s="69">
        <f>C21</f>
        <v/>
      </c>
      <c r="S21" s="58">
        <f>M21</f>
        <v/>
      </c>
      <c r="T21" s="69">
        <f>N21</f>
        <v/>
      </c>
      <c r="U21" s="65" t="n"/>
      <c r="V21" s="65" t="n"/>
      <c r="W21" s="65" t="n"/>
    </row>
    <row r="22">
      <c r="A22" s="8" t="inlineStr">
        <is>
          <t>F</t>
        </is>
      </c>
      <c r="B22" s="9" t="inlineStr">
        <is>
          <t>100 Breast</t>
        </is>
      </c>
      <c r="C22" s="9" t="n">
        <v>16</v>
      </c>
      <c r="D22" s="219" t="n">
        <v>2</v>
      </c>
      <c r="E22" s="41" t="inlineStr">
        <is>
          <t>1:09.15</t>
        </is>
      </c>
      <c r="F22" s="35">
        <f>IFERROR(__xludf.DUMMYFUNCTION("IF(
  REGEXMATCH(E22, "":""),
  60*VALUE(INDEX(SPLIT(E22, "":""),1,1)) + VALUE(INDEX(SPLIT(E22, "":""),1,2)),
  VALUE(E22)
)"),69.15)</f>
        <v/>
      </c>
      <c r="G22" s="35">
        <f>F20-F21</f>
        <v/>
      </c>
      <c r="H22" s="35" t="n">
        <v>1.230000000000004</v>
      </c>
      <c r="I22" s="215">
        <f>C20</f>
        <v/>
      </c>
      <c r="J22" s="215">
        <f>C37</f>
        <v/>
      </c>
      <c r="K22" s="43">
        <f t="array" ref="K22">INDEX('Podium Target Times'!$C:$C, MATCH(A22&amp;B22, 'Podium Target Times'!$A:$A&amp;'Podium Target Times'!$B:$B, 0))
</f>
        <v/>
      </c>
      <c r="L22" s="12">
        <f>L23+G23</f>
        <v/>
      </c>
      <c r="M22" s="43">
        <f>TEXT(L22/86400, "mm:ss.00")</f>
        <v/>
      </c>
      <c r="N22" s="14">
        <f>IFERROR(__xludf.DUMMYFUNCTION("LET(
  gen,$A22, ev,$B22, t,$M22,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)"),657.0)</f>
        <v/>
      </c>
      <c r="O22" s="65" t="n"/>
      <c r="P22" s="69">
        <f>A23</f>
        <v/>
      </c>
      <c r="Q22" s="65">
        <f>B23</f>
        <v/>
      </c>
      <c r="R22" s="69">
        <f>C23</f>
        <v/>
      </c>
      <c r="S22" s="58">
        <f>M23</f>
        <v/>
      </c>
      <c r="T22" s="69">
        <f>N23</f>
        <v/>
      </c>
      <c r="U22" s="65" t="n"/>
      <c r="V22" s="65" t="n"/>
      <c r="W22" s="65" t="n"/>
    </row>
    <row r="23">
      <c r="A23" s="17" t="inlineStr">
        <is>
          <t>F</t>
        </is>
      </c>
      <c r="B23" s="18" t="inlineStr">
        <is>
          <t>100 Breast</t>
        </is>
      </c>
      <c r="C23" s="18" t="n">
        <v>17</v>
      </c>
      <c r="D23" s="18" t="n">
        <v>1</v>
      </c>
      <c r="E23" s="46" t="inlineStr">
        <is>
          <t>1:07.71</t>
        </is>
      </c>
      <c r="F23" s="21">
        <f>IFERROR(__xludf.DUMMYFUNCTION("IF(
  REGEXMATCH(E23, "":""),
  60*VALUE(INDEX(SPLIT(E23, "":""),1,1)) + VALUE(INDEX(SPLIT(E23, "":""),1,2)),
  VALUE(E23)
)"),67.71)</f>
        <v/>
      </c>
      <c r="G23" s="21">
        <f>average(F21-F23,F22-F24)</f>
        <v/>
      </c>
      <c r="H23" s="21" t="n">
        <v>0.7450000000000045</v>
      </c>
      <c r="I23" s="211">
        <f>C20</f>
        <v/>
      </c>
      <c r="J23" s="211">
        <f>C37</f>
        <v/>
      </c>
      <c r="K23" s="60">
        <f t="array" ref="K23">INDEX('Podium Target Times'!$C:$C, MATCH(A23&amp;B23, 'Podium Target Times'!$A:$A&amp;'Podium Target Times'!$B:$B, 0))
</f>
        <v/>
      </c>
      <c r="L23" s="24">
        <f>L26+G26</f>
        <v/>
      </c>
      <c r="M23" s="60">
        <f>TEXT(L23/86400, "mm:ss.00")</f>
        <v/>
      </c>
      <c r="N23" s="25">
        <f>IFERROR(__xludf.DUMMYFUNCTION("LET(
  gen,$A23, ev,$B23, t,$M23,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
      </c>
      <c r="O23" s="65" t="n"/>
      <c r="P23" s="69">
        <f>A26</f>
        <v/>
      </c>
      <c r="Q23" s="65">
        <f>B26</f>
        <v/>
      </c>
      <c r="R23" s="69">
        <f>C26</f>
        <v/>
      </c>
      <c r="S23" s="58">
        <f>M26</f>
        <v/>
      </c>
      <c r="T23" s="69">
        <f>N26</f>
        <v/>
      </c>
      <c r="U23" s="65" t="n"/>
      <c r="V23" s="65" t="n"/>
      <c r="W23" s="65" t="n"/>
    </row>
    <row r="24">
      <c r="A24" s="8" t="inlineStr">
        <is>
          <t>F</t>
        </is>
      </c>
      <c r="B24" s="9" t="inlineStr">
        <is>
          <t>100 Breast</t>
        </is>
      </c>
      <c r="C24" s="9" t="n">
        <v>17</v>
      </c>
      <c r="D24" s="9" t="n">
        <v>2</v>
      </c>
      <c r="E24" s="41" t="inlineStr">
        <is>
          <t>1:08.40</t>
        </is>
      </c>
      <c r="F24" s="35">
        <f>IFERROR(__xludf.DUMMYFUNCTION("IF(
  REGEXMATCH(E24, "":""),
  60*VALUE(INDEX(SPLIT(E24, "":""),1,1)) + VALUE(INDEX(SPLIT(E24, "":""),1,2)),
  VALUE(E24)
)"),68.4)</f>
        <v/>
      </c>
      <c r="G24" s="35">
        <f>average(F21-F23,F22-F24)</f>
        <v/>
      </c>
      <c r="H24" s="35" t="n">
        <v>0.7450000000000045</v>
      </c>
      <c r="I24" s="215">
        <f>C20</f>
        <v/>
      </c>
      <c r="J24" s="215">
        <f>C37</f>
        <v/>
      </c>
      <c r="K24" s="43">
        <f t="array" ref="K24">INDEX('Podium Target Times'!$C:$C, MATCH(A24&amp;B24, 'Podium Target Times'!$A:$A&amp;'Podium Target Times'!$B:$B, 0))
</f>
        <v/>
      </c>
      <c r="L24" s="12">
        <f>L26+G26</f>
        <v/>
      </c>
      <c r="M24" s="43">
        <f>TEXT(L24/86400, "mm:ss.00")</f>
        <v/>
      </c>
      <c r="N24" s="14">
        <f>IFERROR(__xludf.DUMMYFUNCTION("LET(
  gen,$A24, ev,$B24, t,$M24,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
      </c>
      <c r="O24" s="65" t="n"/>
      <c r="P24" s="69">
        <f>A29</f>
        <v/>
      </c>
      <c r="Q24" s="65">
        <f>B29</f>
        <v/>
      </c>
      <c r="R24" s="69">
        <f>C29</f>
        <v/>
      </c>
      <c r="S24" s="58">
        <f>M29</f>
        <v/>
      </c>
      <c r="T24" s="69">
        <f>N29</f>
        <v/>
      </c>
      <c r="U24" s="65" t="n"/>
      <c r="V24" s="65" t="n"/>
      <c r="W24" s="65" t="n"/>
    </row>
    <row r="25">
      <c r="A25" s="17" t="inlineStr">
        <is>
          <t>F</t>
        </is>
      </c>
      <c r="B25" s="18" t="inlineStr">
        <is>
          <t>100 Breast</t>
        </is>
      </c>
      <c r="C25" s="18" t="n">
        <v>17</v>
      </c>
      <c r="D25" s="18" t="n">
        <v>3</v>
      </c>
      <c r="E25" s="46" t="inlineStr">
        <is>
          <t>1:08.94</t>
        </is>
      </c>
      <c r="F25" s="21">
        <f>IFERROR(__xludf.DUMMYFUNCTION("IF(
  REGEXMATCH(E25, "":""),
  60*VALUE(INDEX(SPLIT(E25, "":""),1,1)) + VALUE(INDEX(SPLIT(E25, "":""),1,2)),
  VALUE(E25)
)"),68.94)</f>
        <v/>
      </c>
      <c r="G25" s="21">
        <f>average(F21-F23,F22-F24)</f>
        <v/>
      </c>
      <c r="H25" s="21" t="n">
        <v>0.7450000000000045</v>
      </c>
      <c r="I25" s="211">
        <f>C20</f>
        <v/>
      </c>
      <c r="J25" s="211">
        <f>C37</f>
        <v/>
      </c>
      <c r="K25" s="60">
        <f t="array" ref="K25">INDEX('Podium Target Times'!$C:$C, MATCH(A25&amp;B25, 'Podium Target Times'!$A:$A&amp;'Podium Target Times'!$B:$B, 0))
</f>
        <v/>
      </c>
      <c r="L25" s="24">
        <f>L26+G26</f>
        <v/>
      </c>
      <c r="M25" s="60">
        <f>TEXT(L25/86400, "mm:ss.00")</f>
        <v/>
      </c>
      <c r="N25" s="25">
        <f>IFERROR(__xludf.DUMMYFUNCTION("LET(
  gen,$A25, ev,$B25, t,$M25,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
      </c>
      <c r="O25" s="65" t="n"/>
      <c r="P25" s="69">
        <f>A32</f>
        <v/>
      </c>
      <c r="Q25" s="65">
        <f>B32</f>
        <v/>
      </c>
      <c r="R25" s="69">
        <f>C32</f>
        <v/>
      </c>
      <c r="S25" s="58">
        <f>M32</f>
        <v/>
      </c>
      <c r="T25" s="69">
        <f>N32</f>
        <v/>
      </c>
      <c r="U25" s="65" t="n"/>
      <c r="V25" s="65" t="n"/>
      <c r="W25" s="65" t="n"/>
    </row>
    <row r="26">
      <c r="A26" s="8" t="inlineStr">
        <is>
          <t>F</t>
        </is>
      </c>
      <c r="B26" s="9" t="inlineStr">
        <is>
          <t>100 Breast</t>
        </is>
      </c>
      <c r="C26" s="9" t="n">
        <v>18</v>
      </c>
      <c r="D26" s="9" t="n">
        <v>1</v>
      </c>
      <c r="E26" s="41" t="inlineStr">
        <is>
          <t>1:07.24</t>
        </is>
      </c>
      <c r="F26" s="35">
        <f>IFERROR(__xludf.DUMMYFUNCTION("IF(
  REGEXMATCH(E26, "":""),
  60*VALUE(INDEX(SPLIT(E26, "":""),1,1)) + VALUE(INDEX(SPLIT(E26, "":""),1,2)),
  VALUE(E26)
)"),67.24)</f>
        <v/>
      </c>
      <c r="G26" s="35">
        <f>average(F23-F26,F24-F27,F25-F28)</f>
        <v/>
      </c>
      <c r="H26" s="35" t="n">
        <v>0.4766666666666642</v>
      </c>
      <c r="I26" s="215">
        <f>C20</f>
        <v/>
      </c>
      <c r="J26" s="215">
        <f>C37</f>
        <v/>
      </c>
      <c r="K26" s="43">
        <f t="array" ref="K26">INDEX('Podium Target Times'!$C:$C, MATCH(A26&amp;B26, 'Podium Target Times'!$A:$A&amp;'Podium Target Times'!$B:$B, 0))
</f>
        <v/>
      </c>
      <c r="L26" s="12">
        <f>L29+G29</f>
        <v/>
      </c>
      <c r="M26" s="43">
        <f>TEXT(L26/86400, "mm:ss.00")</f>
        <v/>
      </c>
      <c r="N26" s="14">
        <f>IFERROR(__xludf.DUMMYFUNCTION("LET(
  gen,$A26, ev,$B26, t,$M26,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
      </c>
      <c r="O26" s="65" t="n"/>
      <c r="P26" s="69">
        <f>A34</f>
        <v/>
      </c>
      <c r="Q26" s="65">
        <f>B34</f>
        <v/>
      </c>
      <c r="R26" s="69">
        <f>C34</f>
        <v/>
      </c>
      <c r="S26" s="58">
        <f>M34</f>
        <v/>
      </c>
      <c r="T26" s="69">
        <f>N34</f>
        <v/>
      </c>
      <c r="U26" s="65" t="n"/>
      <c r="V26" s="65" t="n"/>
      <c r="W26" s="65" t="n"/>
    </row>
    <row r="27">
      <c r="A27" s="17" t="inlineStr">
        <is>
          <t>F</t>
        </is>
      </c>
      <c r="B27" s="18" t="inlineStr">
        <is>
          <t>100 Breast</t>
        </is>
      </c>
      <c r="C27" s="18" t="n">
        <v>18</v>
      </c>
      <c r="D27" s="221" t="n">
        <v>2</v>
      </c>
      <c r="E27" s="46" t="inlineStr">
        <is>
          <t>1:07.92</t>
        </is>
      </c>
      <c r="F27" s="21">
        <f>IFERROR(__xludf.DUMMYFUNCTION("IF(
  REGEXMATCH(E27, "":""),
  60*VALUE(INDEX(SPLIT(E27, "":""),1,1)) + VALUE(INDEX(SPLIT(E27, "":""),1,2)),
  VALUE(E27)
)"),67.92)</f>
        <v/>
      </c>
      <c r="G27" s="21">
        <f>average(F23-F26,F24-F27,F25-F28)</f>
        <v/>
      </c>
      <c r="H27" s="21" t="n">
        <v>0.4766666666666642</v>
      </c>
      <c r="I27" s="211">
        <f>C20</f>
        <v/>
      </c>
      <c r="J27" s="211">
        <f>C37</f>
        <v/>
      </c>
      <c r="K27" s="60">
        <f t="array" ref="K27">INDEX('Podium Target Times'!$C:$C, MATCH(A27&amp;B27, 'Podium Target Times'!$A:$A&amp;'Podium Target Times'!$B:$B, 0))
</f>
        <v/>
      </c>
      <c r="L27" s="24">
        <f>L29+G29</f>
        <v/>
      </c>
      <c r="M27" s="60">
        <f>TEXT(L27/86400, "mm:ss.00")</f>
        <v/>
      </c>
      <c r="N27" s="25">
        <f>IFERROR(__xludf.DUMMYFUNCTION("LET(
  gen,$A27, ev,$B27, t,$M27,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
      </c>
      <c r="O27" s="65" t="n"/>
      <c r="P27" s="69">
        <f>A36</f>
        <v/>
      </c>
      <c r="Q27" s="65">
        <f>B36</f>
        <v/>
      </c>
      <c r="R27" s="69">
        <f>C36</f>
        <v/>
      </c>
      <c r="S27" s="58">
        <f>M36</f>
        <v/>
      </c>
      <c r="T27" s="69">
        <f>N36</f>
        <v/>
      </c>
      <c r="U27" s="65" t="n"/>
      <c r="V27" s="65" t="n"/>
      <c r="W27" s="65" t="n"/>
    </row>
    <row r="28">
      <c r="A28" s="8" t="inlineStr">
        <is>
          <t>F</t>
        </is>
      </c>
      <c r="B28" s="9" t="inlineStr">
        <is>
          <t>100 Breast</t>
        </is>
      </c>
      <c r="C28" s="9" t="n">
        <v>18</v>
      </c>
      <c r="D28" s="219" t="n">
        <v>3</v>
      </c>
      <c r="E28" s="41" t="inlineStr">
        <is>
          <t>1:08.46</t>
        </is>
      </c>
      <c r="F28" s="35">
        <f>IFERROR(__xludf.DUMMYFUNCTION("IF(
  REGEXMATCH(E28, "":""),
  60*VALUE(INDEX(SPLIT(E28, "":""),1,1)) + VALUE(INDEX(SPLIT(E28, "":""),1,2)),
  VALUE(E28)
)"),68.46000000000001)</f>
        <v/>
      </c>
      <c r="G28" s="35">
        <f>average(F23-F26,F24-F27,F25-F28)</f>
        <v/>
      </c>
      <c r="H28" s="35" t="n">
        <v>0.4766666666666642</v>
      </c>
      <c r="I28" s="215">
        <f>C20</f>
        <v/>
      </c>
      <c r="J28" s="215">
        <f>C37</f>
        <v/>
      </c>
      <c r="K28" s="43">
        <f t="array" ref="K28">INDEX('Podium Target Times'!$C:$C, MATCH(A28&amp;B28, 'Podium Target Times'!$A:$A&amp;'Podium Target Times'!$B:$B, 0))
</f>
        <v/>
      </c>
      <c r="L28" s="12">
        <f>L29+G29</f>
        <v/>
      </c>
      <c r="M28" s="43">
        <f>TEXT(L28/86400, "mm:ss.00")</f>
        <v/>
      </c>
      <c r="N28" s="14">
        <f>IFERROR(__xludf.DUMMYFUNCTION("LET(
  gen,$A28, ev,$B28, t,$M28,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
      </c>
      <c r="O28" s="65" t="n"/>
      <c r="P28" s="69">
        <f>A37</f>
        <v/>
      </c>
      <c r="Q28" s="65">
        <f>B37</f>
        <v/>
      </c>
      <c r="R28" s="69">
        <f>C37</f>
        <v/>
      </c>
      <c r="S28" s="58">
        <f>M37</f>
        <v/>
      </c>
      <c r="T28" s="69">
        <f>N37</f>
        <v/>
      </c>
      <c r="U28" s="65" t="n"/>
      <c r="V28" s="65" t="n"/>
      <c r="W28" s="65" t="n"/>
    </row>
    <row r="29">
      <c r="A29" s="17" t="inlineStr">
        <is>
          <t>F</t>
        </is>
      </c>
      <c r="B29" s="18" t="inlineStr">
        <is>
          <t>100 Breast</t>
        </is>
      </c>
      <c r="C29" s="18" t="n">
        <v>19</v>
      </c>
      <c r="D29" s="18" t="n">
        <v>1</v>
      </c>
      <c r="E29" s="211" t="inlineStr">
        <is>
          <t>1:06.87</t>
        </is>
      </c>
      <c r="F29" s="21">
        <f>IFERROR(__xludf.DUMMYFUNCTION("IF(
  REGEXMATCH(E29, "":""),
  60*VALUE(INDEX(SPLIT(E29, "":""),1,1)) + VALUE(INDEX(SPLIT(E29, "":""),1,2)),
  VALUE(E29)
)"),66.87)</f>
        <v/>
      </c>
      <c r="G29" s="21">
        <f>average(F26-F29,F27-F30,F28-F31)</f>
        <v/>
      </c>
      <c r="H29" s="21" t="n">
        <v>0.3733333333333348</v>
      </c>
      <c r="I29" s="211">
        <f>C20</f>
        <v/>
      </c>
      <c r="J29" s="211">
        <f>C37</f>
        <v/>
      </c>
      <c r="K29" s="60">
        <f t="array" ref="K29">INDEX('Podium Target Times'!$C:$C, MATCH(A29&amp;B29, 'Podium Target Times'!$A:$A&amp;'Podium Target Times'!$B:$B, 0))
</f>
        <v/>
      </c>
      <c r="L29" s="24">
        <f>L32+G32</f>
        <v/>
      </c>
      <c r="M29" s="60">
        <f>TEXT(L29/86400, "mm:ss.00")</f>
        <v/>
      </c>
      <c r="N29" s="25">
        <f>IFERROR(__xludf.DUMMYFUNCTION("LET(
  gen,$A29, ev,$B29, t,$M29,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)"),702.0)</f>
        <v/>
      </c>
      <c r="O29" s="65" t="n"/>
      <c r="P29" s="69" t="n"/>
      <c r="Q29" s="65" t="n"/>
      <c r="R29" s="69" t="n"/>
      <c r="S29" s="58" t="n"/>
      <c r="T29" s="69" t="n"/>
      <c r="U29" s="65" t="n"/>
      <c r="V29" s="65" t="n"/>
      <c r="W29" s="65" t="n"/>
    </row>
    <row r="30">
      <c r="A30" s="8" t="inlineStr">
        <is>
          <t>F</t>
        </is>
      </c>
      <c r="B30" s="9" t="inlineStr">
        <is>
          <t>100 Breast</t>
        </is>
      </c>
      <c r="C30" s="9" t="n">
        <v>19</v>
      </c>
      <c r="D30" s="9" t="n">
        <v>2</v>
      </c>
      <c r="E30" s="215" t="inlineStr">
        <is>
          <t>1:07.55</t>
        </is>
      </c>
      <c r="F30" s="35">
        <f>IFERROR(__xludf.DUMMYFUNCTION("IF(
  REGEXMATCH(E30, "":""),
  60*VALUE(INDEX(SPLIT(E30, "":""),1,1)) + VALUE(INDEX(SPLIT(E30, "":""),1,2)),
  VALUE(E30)
)"),67.55)</f>
        <v/>
      </c>
      <c r="G30" s="35">
        <f>average(F26-F29,F27-F30,F28-F31)</f>
        <v/>
      </c>
      <c r="H30" s="35" t="n">
        <v>0.3733333333333348</v>
      </c>
      <c r="I30" s="215">
        <f>C20</f>
        <v/>
      </c>
      <c r="J30" s="215">
        <f>C37</f>
        <v/>
      </c>
      <c r="K30" s="43">
        <f t="array" ref="K30">INDEX('Podium Target Times'!$C:$C, MATCH(A30&amp;B30, 'Podium Target Times'!$A:$A&amp;'Podium Target Times'!$B:$B, 0))
</f>
        <v/>
      </c>
      <c r="L30" s="12">
        <f>L32+G32</f>
        <v/>
      </c>
      <c r="M30" s="43">
        <f>TEXT(L30/86400, "mm:ss.00")</f>
        <v/>
      </c>
      <c r="N30" s="14">
        <f>IFERROR(__xludf.DUMMYFUNCTION("LET(
  gen,$A30, ev,$B30, t,$M30,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)"),702.0)</f>
        <v/>
      </c>
      <c r="O30" s="65" t="n"/>
      <c r="P30" s="69" t="n"/>
      <c r="Q30" s="65" t="n"/>
      <c r="R30" s="69" t="n"/>
      <c r="S30" s="58" t="n"/>
      <c r="T30" s="69" t="n"/>
      <c r="U30" s="65" t="n"/>
      <c r="V30" s="65" t="n"/>
      <c r="W30" s="65" t="n"/>
    </row>
    <row r="31">
      <c r="A31" s="17" t="inlineStr">
        <is>
          <t>F</t>
        </is>
      </c>
      <c r="B31" s="18" t="inlineStr">
        <is>
          <t>100 Breast</t>
        </is>
      </c>
      <c r="C31" s="18" t="n">
        <v>19</v>
      </c>
      <c r="D31" s="18" t="n">
        <v>3</v>
      </c>
      <c r="E31" s="211" t="inlineStr">
        <is>
          <t>1:08.08</t>
        </is>
      </c>
      <c r="F31" s="21">
        <f>IFERROR(__xludf.DUMMYFUNCTION("IF(
  REGEXMATCH(E31, "":""),
  60*VALUE(INDEX(SPLIT(E31, "":""),1,1)) + VALUE(INDEX(SPLIT(E31, "":""),1,2)),
  VALUE(E31)
)"),68.08)</f>
        <v/>
      </c>
      <c r="G31" s="21">
        <f>average(F26-F29,F27-F30,F28-F31)</f>
        <v/>
      </c>
      <c r="H31" s="21" t="n">
        <v>0.3733333333333348</v>
      </c>
      <c r="I31" s="211">
        <f>C20</f>
        <v/>
      </c>
      <c r="J31" s="211">
        <f>C37</f>
        <v/>
      </c>
      <c r="K31" s="60">
        <f t="array" ref="K31">INDEX('Podium Target Times'!$C:$C, MATCH(A31&amp;B31, 'Podium Target Times'!$A:$A&amp;'Podium Target Times'!$B:$B, 0))
</f>
        <v/>
      </c>
      <c r="L31" s="24">
        <f>L32+G32</f>
        <v/>
      </c>
      <c r="M31" s="60">
        <f>TEXT(L31/86400, "mm:ss.00")</f>
        <v/>
      </c>
      <c r="N31" s="25">
        <f>IFERROR(__xludf.DUMMYFUNCTION("LET(
  gen,$A31, ev,$B31, t,$M31,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)"),702.0)</f>
        <v/>
      </c>
      <c r="O31" s="65" t="n"/>
      <c r="P31" s="69" t="n"/>
      <c r="Q31" s="65" t="n"/>
      <c r="R31" s="69" t="n"/>
      <c r="S31" s="58" t="n"/>
      <c r="T31" s="69" t="n"/>
      <c r="U31" s="65" t="n"/>
      <c r="V31" s="65" t="n"/>
      <c r="W31" s="65" t="n"/>
    </row>
    <row r="32">
      <c r="A32" s="8" t="inlineStr">
        <is>
          <t>F</t>
        </is>
      </c>
      <c r="B32" s="9" t="inlineStr">
        <is>
          <t>100 Breast</t>
        </is>
      </c>
      <c r="C32" s="9" t="n">
        <v>20</v>
      </c>
      <c r="D32" s="219" t="n">
        <v>2</v>
      </c>
      <c r="E32" s="41" t="inlineStr">
        <is>
          <t>1:07.20</t>
        </is>
      </c>
      <c r="F32" s="35">
        <f>IFERROR(__xludf.DUMMYFUNCTION("IF(
  REGEXMATCH(E32, "":""),
  60*VALUE(INDEX(SPLIT(E32, "":""),1,1)) + VALUE(INDEX(SPLIT(E32, "":""),1,2)),
  VALUE(E32)
)"),67.2)</f>
        <v/>
      </c>
      <c r="G32" s="35">
        <f>average(F30-F32,F31-F33)</f>
        <v/>
      </c>
      <c r="H32" s="35" t="n">
        <v>0.3499999999999943</v>
      </c>
      <c r="I32" s="215">
        <f>C20</f>
        <v/>
      </c>
      <c r="J32" s="215">
        <f>C37</f>
        <v/>
      </c>
      <c r="K32" s="43">
        <f t="array" ref="K32">INDEX('Podium Target Times'!$C:$C, MATCH(A32&amp;B32, 'Podium Target Times'!$A:$A&amp;'Podium Target Times'!$B:$B, 0))
</f>
        <v/>
      </c>
      <c r="L32" s="12">
        <f>L34+G34</f>
        <v/>
      </c>
      <c r="M32" s="43">
        <f>TEXT(L32/86400, "mm:ss.00")</f>
        <v/>
      </c>
      <c r="N32" s="14">
        <f>IFERROR(__xludf.DUMMYFUNCTION("LET(
  gen,$A32, ev,$B32, t,$M32,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)"),712.0)</f>
        <v/>
      </c>
      <c r="O32" s="65" t="n"/>
      <c r="P32" s="69" t="n"/>
      <c r="Q32" s="65" t="n"/>
      <c r="R32" s="69" t="n"/>
      <c r="S32" s="58" t="n"/>
      <c r="T32" s="69" t="n"/>
      <c r="U32" s="65" t="n"/>
      <c r="V32" s="65" t="n"/>
      <c r="W32" s="65" t="n"/>
    </row>
    <row r="33">
      <c r="A33" s="17" t="inlineStr">
        <is>
          <t>F</t>
        </is>
      </c>
      <c r="B33" s="18" t="inlineStr">
        <is>
          <t>100 Breast</t>
        </is>
      </c>
      <c r="C33" s="18" t="n">
        <v>20</v>
      </c>
      <c r="D33" s="18" t="n">
        <v>3</v>
      </c>
      <c r="E33" s="46" t="inlineStr">
        <is>
          <t>1:07.73</t>
        </is>
      </c>
      <c r="F33" s="21">
        <f>IFERROR(__xludf.DUMMYFUNCTION("IF(
  REGEXMATCH(E33, "":""),
  60*VALUE(INDEX(SPLIT(E33, "":""),1,1)) + VALUE(INDEX(SPLIT(E33, "":""),1,2)),
  VALUE(E33)
)"),67.73)</f>
        <v/>
      </c>
      <c r="G33" s="21">
        <f>average(F30-F32,F31-F33)</f>
        <v/>
      </c>
      <c r="H33" s="21" t="n">
        <v>0.3499999999999943</v>
      </c>
      <c r="I33" s="211">
        <f>C20</f>
        <v/>
      </c>
      <c r="J33" s="211">
        <f>C37</f>
        <v/>
      </c>
      <c r="K33" s="60">
        <f t="array" ref="K33">INDEX('Podium Target Times'!$C:$C, MATCH(A33&amp;B33, 'Podium Target Times'!$A:$A&amp;'Podium Target Times'!$B:$B, 0))
</f>
        <v/>
      </c>
      <c r="L33" s="24">
        <f>L34+G34</f>
        <v/>
      </c>
      <c r="M33" s="60">
        <f>TEXT(L33/86400, "mm:ss.00")</f>
        <v/>
      </c>
      <c r="N33" s="25">
        <f>IFERROR(__xludf.DUMMYFUNCTION("LET(
  gen,$A33, ev,$B33, t,$M33,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)"),712.0)</f>
        <v/>
      </c>
      <c r="O33" s="65" t="n"/>
      <c r="P33" s="69" t="n"/>
      <c r="Q33" s="65" t="n"/>
      <c r="R33" s="69" t="n"/>
      <c r="S33" s="58" t="n"/>
      <c r="T33" s="69" t="n"/>
      <c r="U33" s="65" t="n"/>
      <c r="V33" s="65" t="n"/>
      <c r="W33" s="65" t="n"/>
    </row>
    <row r="34">
      <c r="A34" s="8" t="inlineStr">
        <is>
          <t>F</t>
        </is>
      </c>
      <c r="B34" s="9" t="inlineStr">
        <is>
          <t>100 Breast</t>
        </is>
      </c>
      <c r="C34" s="9" t="n">
        <v>21</v>
      </c>
      <c r="D34" s="9" t="n">
        <v>2</v>
      </c>
      <c r="E34" s="41" t="inlineStr">
        <is>
          <t>1:06.87</t>
        </is>
      </c>
      <c r="F34" s="35">
        <f>IFERROR(__xludf.DUMMYFUNCTION("IF(
  REGEXMATCH(E34, "":""),
  60*VALUE(INDEX(SPLIT(E34, "":""),1,1)) + VALUE(INDEX(SPLIT(E34, "":""),1,2)),
  VALUE(E34)
)"),66.87)</f>
        <v/>
      </c>
      <c r="G34" s="35">
        <f>average(F32-F34,F33-F35)</f>
        <v/>
      </c>
      <c r="H34" s="35" t="n">
        <v>0.3350000000000009</v>
      </c>
      <c r="I34" s="215">
        <f>C20</f>
        <v/>
      </c>
      <c r="J34" s="215">
        <f>C37</f>
        <v/>
      </c>
      <c r="K34" s="43">
        <f t="array" ref="K34">INDEX('Podium Target Times'!$C:$C, MATCH(A34&amp;B34, 'Podium Target Times'!$A:$A&amp;'Podium Target Times'!$B:$B, 0))
</f>
        <v/>
      </c>
      <c r="L34" s="12">
        <f>L36+G36</f>
        <v/>
      </c>
      <c r="M34" s="43">
        <f>TEXT(L34/86400, "mm:ss.00")</f>
        <v/>
      </c>
      <c r="N34" s="14">
        <f>IFERROR(__xludf.DUMMYFUNCTION("LET(
  gen,$A34, ev,$B34, t,$M34,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)"),722.0)</f>
        <v/>
      </c>
      <c r="O34" s="65" t="n"/>
      <c r="P34" s="69" t="n"/>
      <c r="Q34" s="65" t="n"/>
      <c r="R34" s="69" t="n"/>
      <c r="S34" s="58" t="n"/>
      <c r="T34" s="69" t="n"/>
      <c r="U34" s="65" t="n"/>
      <c r="V34" s="65" t="n"/>
      <c r="W34" s="65" t="n"/>
    </row>
    <row r="35">
      <c r="A35" s="17" t="inlineStr">
        <is>
          <t>F</t>
        </is>
      </c>
      <c r="B35" s="18" t="inlineStr">
        <is>
          <t>100 Breast</t>
        </is>
      </c>
      <c r="C35" s="18" t="n">
        <v>21</v>
      </c>
      <c r="D35" s="18" t="n">
        <v>3</v>
      </c>
      <c r="E35" s="46" t="inlineStr">
        <is>
          <t>1:07.39</t>
        </is>
      </c>
      <c r="F35" s="21">
        <f>IFERROR(__xludf.DUMMYFUNCTION("IF(
  REGEXMATCH(E35, "":""),
  60*VALUE(INDEX(SPLIT(E35, "":""),1,1)) + VALUE(INDEX(SPLIT(E35, "":""),1,2)),
  VALUE(E35)
)"),67.39)</f>
        <v/>
      </c>
      <c r="G35" s="21">
        <f>average(F32-F34,F33-F35)</f>
        <v/>
      </c>
      <c r="H35" s="21" t="n">
        <v>0.3350000000000009</v>
      </c>
      <c r="I35" s="211">
        <f>C20</f>
        <v/>
      </c>
      <c r="J35" s="211">
        <f>C37</f>
        <v/>
      </c>
      <c r="K35" s="60">
        <f t="array" ref="K35">INDEX('Podium Target Times'!$C:$C, MATCH(A35&amp;B35, 'Podium Target Times'!$A:$A&amp;'Podium Target Times'!$B:$B, 0))
</f>
        <v/>
      </c>
      <c r="L35" s="24">
        <f>L36+G36</f>
        <v/>
      </c>
      <c r="M35" s="60">
        <f>TEXT(L35/86400, "mm:ss.00")</f>
        <v/>
      </c>
      <c r="N35" s="25">
        <f>IFERROR(__xludf.DUMMYFUNCTION("LET(
  gen,$A35, ev,$B35, t,$M35,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)"),722.0)</f>
        <v/>
      </c>
      <c r="O35" s="65" t="n"/>
      <c r="P35" s="69" t="n"/>
      <c r="Q35" s="65" t="n"/>
      <c r="R35" s="69" t="n"/>
      <c r="S35" s="58" t="n"/>
      <c r="T35" s="69" t="n"/>
      <c r="U35" s="65" t="n"/>
      <c r="V35" s="65" t="n"/>
      <c r="W35" s="65" t="n"/>
    </row>
    <row r="36">
      <c r="A36" s="8" t="inlineStr">
        <is>
          <t>F</t>
        </is>
      </c>
      <c r="B36" s="9" t="inlineStr">
        <is>
          <t>100 Breast</t>
        </is>
      </c>
      <c r="C36" s="9" t="n">
        <v>22</v>
      </c>
      <c r="D36" s="9" t="n">
        <v>3</v>
      </c>
      <c r="E36" s="41" t="inlineStr">
        <is>
          <t>1:07.10</t>
        </is>
      </c>
      <c r="F36" s="35">
        <f>IFERROR(__xludf.DUMMYFUNCTION("IF(
  REGEXMATCH(E36, "":""),
  60*VALUE(INDEX(SPLIT(E36, "":""),1,1)) + VALUE(INDEX(SPLIT(E36, "":""),1,2)),
  VALUE(E36)
)"),67.1)</f>
        <v/>
      </c>
      <c r="G36" s="35">
        <f>F35-F36</f>
        <v/>
      </c>
      <c r="H36" s="35" t="n">
        <v>0.2900000000000063</v>
      </c>
      <c r="I36" s="215">
        <f>C20</f>
        <v/>
      </c>
      <c r="J36" s="215">
        <f>C37</f>
        <v/>
      </c>
      <c r="K36" s="43">
        <f t="array" ref="K36">INDEX('Podium Target Times'!$C:$C, MATCH(A36&amp;B36, 'Podium Target Times'!$A:$A&amp;'Podium Target Times'!$B:$B, 0))
</f>
        <v/>
      </c>
      <c r="L36" s="12">
        <f>L37+G37</f>
        <v/>
      </c>
      <c r="M36" s="43">
        <f>TEXT(L36/86400, "mm:ss.00")</f>
        <v/>
      </c>
      <c r="N36" s="14">
        <f>IFERROR(__xludf.DUMMYFUNCTION("LET(
  gen,$A36, ev,$B36, t,$M36,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)"),731.0)</f>
        <v/>
      </c>
      <c r="O36" s="65" t="n"/>
      <c r="P36" s="69" t="n"/>
      <c r="Q36" s="65" t="n"/>
      <c r="R36" s="69" t="n"/>
      <c r="S36" s="58" t="n"/>
      <c r="T36" s="69" t="n"/>
      <c r="U36" s="65" t="n"/>
      <c r="V36" s="65" t="n"/>
      <c r="W36" s="65" t="n"/>
    </row>
    <row r="37">
      <c r="A37" s="17" t="inlineStr">
        <is>
          <t>F</t>
        </is>
      </c>
      <c r="B37" s="18" t="inlineStr">
        <is>
          <t>100 Breast</t>
        </is>
      </c>
      <c r="C37" s="18" t="n">
        <v>23</v>
      </c>
      <c r="D37" s="18" t="n">
        <v>3</v>
      </c>
      <c r="E37" s="46" t="inlineStr">
        <is>
          <t>1:06.87</t>
        </is>
      </c>
      <c r="F37" s="21">
        <f>IFERROR(__xludf.DUMMYFUNCTION("IF(
  REGEXMATCH(E37, "":""),
  60*VALUE(INDEX(SPLIT(E37, "":""),1,1)) + VALUE(INDEX(SPLIT(E37, "":""),1,2)),
  VALUE(E37)
)"),66.87)</f>
        <v/>
      </c>
      <c r="G37" s="21">
        <f>F36-F37</f>
        <v/>
      </c>
      <c r="H37" s="21" t="n">
        <v>0.2299999999999898</v>
      </c>
      <c r="I37" s="211">
        <f>C20</f>
        <v/>
      </c>
      <c r="J37" s="211">
        <f>C37</f>
        <v/>
      </c>
      <c r="K37" s="60">
        <f t="array" ref="K37">INDEX('Podium Target Times'!$C:$C, MATCH(A37&amp;B37, 'Podium Target Times'!$A:$A&amp;'Podium Target Times'!$B:$B, 0))
</f>
        <v/>
      </c>
      <c r="L37" s="211">
        <f>K37</f>
        <v/>
      </c>
      <c r="M37" s="60">
        <f>TEXT(L37/86400, "mm:ss.00")</f>
        <v/>
      </c>
      <c r="N37" s="25">
        <f>IFERROR(__xludf.DUMMYFUNCTION("LET(
  gen,$A37, ev,$B37, t,$M37,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
      </c>
      <c r="O37" s="65" t="n"/>
      <c r="P37" s="69" t="n"/>
      <c r="Q37" s="65" t="n"/>
      <c r="R37" s="69" t="n"/>
      <c r="S37" s="58" t="n"/>
      <c r="T37" s="69" t="n"/>
      <c r="U37" s="65" t="n"/>
      <c r="V37" s="65" t="n"/>
      <c r="W37" s="65" t="n"/>
    </row>
    <row r="38">
      <c r="A38" s="8" t="inlineStr">
        <is>
          <t>F</t>
        </is>
      </c>
      <c r="B38" s="9" t="inlineStr">
        <is>
          <t>100 Fly</t>
        </is>
      </c>
      <c r="C38" s="9" t="n">
        <v>15</v>
      </c>
      <c r="D38" s="219" t="n">
        <v>1</v>
      </c>
      <c r="E38" s="41" t="inlineStr">
        <is>
          <t>1:01.67</t>
        </is>
      </c>
      <c r="F38" s="35">
        <f>IFERROR(__xludf.DUMMYFUNCTION("IF(
  REGEXMATCH(E38, "":""),
  60*VALUE(INDEX(SPLIT(E38, "":""),1,1)) + VALUE(INDEX(SPLIT(E38, "":""),1,2)),
  VALUE(E38)
)"),61.67)</f>
        <v/>
      </c>
      <c r="G38" s="12" t="n">
        <v>0</v>
      </c>
      <c r="H38" s="12" t="n">
        <v>0</v>
      </c>
      <c r="I38" s="43">
        <f>C38</f>
        <v/>
      </c>
      <c r="J38" s="43">
        <f>C55</f>
        <v/>
      </c>
      <c r="K38" s="43">
        <f t="array" ref="K38">INDEX('Podium Target Times'!$C:$C, MATCH(A38&amp;B38, 'Podium Target Times'!$A:$A&amp;'Podium Target Times'!$B:$B, 0))
</f>
        <v/>
      </c>
      <c r="L38" s="12">
        <f>L39+G39</f>
        <v/>
      </c>
      <c r="M38" s="43">
        <f>TEXT(L38/86400, "mm:ss.00")</f>
        <v/>
      </c>
      <c r="N38" s="14">
        <f>IFERROR(__xludf.DUMMYFUNCTION("LET(
  gen,$A38, ev,$B38, t,$M38,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)"),620.0)</f>
        <v/>
      </c>
      <c r="O38" s="65" t="n"/>
      <c r="P38" s="69">
        <f>A38</f>
        <v/>
      </c>
      <c r="Q38" s="65">
        <f>B38</f>
        <v/>
      </c>
      <c r="R38" s="69">
        <f>C38</f>
        <v/>
      </c>
      <c r="S38" s="58">
        <f>M38</f>
        <v/>
      </c>
      <c r="T38" s="69">
        <f>N38</f>
        <v/>
      </c>
      <c r="U38" s="65" t="n"/>
      <c r="V38" s="65" t="n"/>
      <c r="W38" s="65" t="n"/>
    </row>
    <row r="39">
      <c r="A39" s="17" t="inlineStr">
        <is>
          <t>F</t>
        </is>
      </c>
      <c r="B39" s="18" t="inlineStr">
        <is>
          <t>100 Fly</t>
        </is>
      </c>
      <c r="C39" s="18" t="n">
        <v>16</v>
      </c>
      <c r="D39" s="221" t="n">
        <v>1</v>
      </c>
      <c r="E39" s="46" t="inlineStr">
        <is>
          <t>1:00.43</t>
        </is>
      </c>
      <c r="F39" s="21">
        <f>IFERROR(__xludf.DUMMYFUNCTION("IF(
  REGEXMATCH(E39, "":""),
  60*VALUE(INDEX(SPLIT(E39, "":""),1,1)) + VALUE(INDEX(SPLIT(E39, "":""),1,2)),
  VALUE(E39)
)"),60.43)</f>
        <v/>
      </c>
      <c r="G39" s="21">
        <f>F38-F39</f>
        <v/>
      </c>
      <c r="H39" s="21" t="n">
        <v>1.240000000000002</v>
      </c>
      <c r="I39" s="211">
        <f>C38</f>
        <v/>
      </c>
      <c r="J39" s="211">
        <f>C55</f>
        <v/>
      </c>
      <c r="K39" s="60">
        <f t="array" ref="K39">INDEX('Podium Target Times'!$C:$C, MATCH(A39&amp;B39, 'Podium Target Times'!$A:$A&amp;'Podium Target Times'!$B:$B, 0))
</f>
        <v/>
      </c>
      <c r="L39" s="24">
        <f>L41+G41</f>
        <v/>
      </c>
      <c r="M39" s="60">
        <f>TEXT(L39/86400, "mm:ss.00")</f>
        <v/>
      </c>
      <c r="N39" s="25">
        <f>IFERROR(__xludf.DUMMYFUNCTION("LET(
  gen,$A39, ev,$B39, t,$M39,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)"),657.0)</f>
        <v/>
      </c>
      <c r="O39" s="65" t="n"/>
      <c r="P39" s="69">
        <f>A39</f>
        <v/>
      </c>
      <c r="Q39" s="65">
        <f>B39</f>
        <v/>
      </c>
      <c r="R39" s="69">
        <f>C39</f>
        <v/>
      </c>
      <c r="S39" s="58">
        <f>M39</f>
        <v/>
      </c>
      <c r="T39" s="69">
        <f>N39</f>
        <v/>
      </c>
      <c r="U39" s="65" t="n"/>
      <c r="V39" s="65" t="n"/>
      <c r="W39" s="65" t="n"/>
    </row>
    <row r="40">
      <c r="A40" s="8" t="inlineStr">
        <is>
          <t>F</t>
        </is>
      </c>
      <c r="B40" s="9" t="inlineStr">
        <is>
          <t>100 Fly</t>
        </is>
      </c>
      <c r="C40" s="9" t="n">
        <v>16</v>
      </c>
      <c r="D40" s="9" t="n">
        <v>2</v>
      </c>
      <c r="E40" s="41" t="inlineStr">
        <is>
          <t>1:01.15</t>
        </is>
      </c>
      <c r="F40" s="35">
        <f>IFERROR(__xludf.DUMMYFUNCTION("IF(
  REGEXMATCH(E40, "":""),
  60*VALUE(INDEX(SPLIT(E40, "":""),1,1)) + VALUE(INDEX(SPLIT(E40, "":""),1,2)),
  VALUE(E40)
)"),61.15)</f>
        <v/>
      </c>
      <c r="G40" s="35">
        <f>F38-F39</f>
        <v/>
      </c>
      <c r="H40" s="35" t="n">
        <v>1.240000000000002</v>
      </c>
      <c r="I40" s="215">
        <f>C38</f>
        <v/>
      </c>
      <c r="J40" s="215">
        <f>C55</f>
        <v/>
      </c>
      <c r="K40" s="43">
        <f t="array" ref="K40">INDEX('Podium Target Times'!$C:$C, MATCH(A40&amp;B40, 'Podium Target Times'!$A:$A&amp;'Podium Target Times'!$B:$B, 0))
</f>
        <v/>
      </c>
      <c r="L40" s="12">
        <f>L41+G41</f>
        <v/>
      </c>
      <c r="M40" s="43">
        <f>TEXT(L40/86400, "mm:ss.00")</f>
        <v/>
      </c>
      <c r="N40" s="14">
        <f>IFERROR(__xludf.DUMMYFUNCTION("LET(
  gen,$A40, ev,$B40, t,$M40,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)"),657.0)</f>
        <v/>
      </c>
      <c r="O40" s="65" t="n"/>
      <c r="P40" s="69">
        <f>A41</f>
        <v/>
      </c>
      <c r="Q40" s="65">
        <f>B41</f>
        <v/>
      </c>
      <c r="R40" s="69">
        <f>C41</f>
        <v/>
      </c>
      <c r="S40" s="58">
        <f>M41</f>
        <v/>
      </c>
      <c r="T40" s="69">
        <f>N41</f>
        <v/>
      </c>
      <c r="U40" s="65" t="n"/>
      <c r="V40" s="65" t="n"/>
      <c r="W40" s="65" t="n"/>
    </row>
    <row r="41">
      <c r="A41" s="17" t="inlineStr">
        <is>
          <t>F</t>
        </is>
      </c>
      <c r="B41" s="18" t="inlineStr">
        <is>
          <t>100 Fly</t>
        </is>
      </c>
      <c r="C41" s="18" t="n">
        <v>17</v>
      </c>
      <c r="D41" s="221" t="n">
        <v>1</v>
      </c>
      <c r="E41" s="46" t="inlineStr">
        <is>
          <t>59.56</t>
        </is>
      </c>
      <c r="F41" s="21">
        <f>IFERROR(__xludf.DUMMYFUNCTION("IF(
  REGEXMATCH(E41, "":""),
  60*VALUE(INDEX(SPLIT(E41, "":""),1,1)) + VALUE(INDEX(SPLIT(E41, "":""),1,2)),
  VALUE(E41)
)"),59.56)</f>
        <v/>
      </c>
      <c r="G41" s="21">
        <f>average(F39-F41,F40-F42)</f>
        <v/>
      </c>
      <c r="H41" s="21" t="n">
        <v>0.8749999999999964</v>
      </c>
      <c r="I41" s="211">
        <f>C38</f>
        <v/>
      </c>
      <c r="J41" s="211">
        <f>C55</f>
        <v/>
      </c>
      <c r="K41" s="60">
        <f t="array" ref="K41">INDEX('Podium Target Times'!$C:$C, MATCH(A41&amp;B41, 'Podium Target Times'!$A:$A&amp;'Podium Target Times'!$B:$B, 0))
</f>
        <v/>
      </c>
      <c r="L41" s="24">
        <f>L44+G44</f>
        <v/>
      </c>
      <c r="M41" s="60">
        <f>TEXT(L41/86400, "mm:ss.00")</f>
        <v/>
      </c>
      <c r="N41" s="25">
        <f>IFERROR(__xludf.DUMMYFUNCTION("LET(
  gen,$A41, ev,$B41, t,$M41,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)"),685.0)</f>
        <v/>
      </c>
      <c r="O41" s="65" t="n"/>
      <c r="P41" s="69">
        <f>A44</f>
        <v/>
      </c>
      <c r="Q41" s="65">
        <f>B44</f>
        <v/>
      </c>
      <c r="R41" s="69">
        <f>C44</f>
        <v/>
      </c>
      <c r="S41" s="58">
        <f>M44</f>
        <v/>
      </c>
      <c r="T41" s="69">
        <f>N44</f>
        <v/>
      </c>
      <c r="U41" s="65" t="n"/>
      <c r="V41" s="65" t="n"/>
      <c r="W41" s="65" t="n"/>
    </row>
    <row r="42">
      <c r="A42" s="8" t="inlineStr">
        <is>
          <t>F</t>
        </is>
      </c>
      <c r="B42" s="9" t="inlineStr">
        <is>
          <t>100 Fly</t>
        </is>
      </c>
      <c r="C42" s="9" t="n">
        <v>17</v>
      </c>
      <c r="D42" s="9" t="n">
        <v>2</v>
      </c>
      <c r="E42" s="41" t="inlineStr">
        <is>
          <t>1:00.27</t>
        </is>
      </c>
      <c r="F42" s="35">
        <f>IFERROR(__xludf.DUMMYFUNCTION("IF(
  REGEXMATCH(E42, "":""),
  60*VALUE(INDEX(SPLIT(E42, "":""),1,1)) + VALUE(INDEX(SPLIT(E42, "":""),1,2)),
  VALUE(E42)
)"),60.27)</f>
        <v/>
      </c>
      <c r="G42" s="35">
        <f>average(F39-F41,F40-F42)</f>
        <v/>
      </c>
      <c r="H42" s="35" t="n">
        <v>0.8749999999999964</v>
      </c>
      <c r="I42" s="215">
        <f>C38</f>
        <v/>
      </c>
      <c r="J42" s="215">
        <f>C55</f>
        <v/>
      </c>
      <c r="K42" s="43">
        <f t="array" ref="K42">INDEX('Podium Target Times'!$C:$C, MATCH(A42&amp;B42, 'Podium Target Times'!$A:$A&amp;'Podium Target Times'!$B:$B, 0))
</f>
        <v/>
      </c>
      <c r="L42" s="12">
        <f>L44+G44</f>
        <v/>
      </c>
      <c r="M42" s="43">
        <f>TEXT(L42/86400, "mm:ss.00")</f>
        <v/>
      </c>
      <c r="N42" s="14">
        <f>IFERROR(__xludf.DUMMYFUNCTION("LET(
  gen,$A42, ev,$B42, t,$M42,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)"),685.0)</f>
        <v/>
      </c>
      <c r="O42" s="65" t="n"/>
      <c r="P42" s="69">
        <f>A47</f>
        <v/>
      </c>
      <c r="Q42" s="65">
        <f>B47</f>
        <v/>
      </c>
      <c r="R42" s="69">
        <f>C47</f>
        <v/>
      </c>
      <c r="S42" s="58">
        <f>M47</f>
        <v/>
      </c>
      <c r="T42" s="69">
        <f>N47</f>
        <v/>
      </c>
      <c r="U42" s="65" t="n"/>
      <c r="V42" s="65" t="n"/>
      <c r="W42" s="65" t="n"/>
    </row>
    <row r="43">
      <c r="A43" s="17" t="inlineStr">
        <is>
          <t>F</t>
        </is>
      </c>
      <c r="B43" s="18" t="inlineStr">
        <is>
          <t>100 Fly</t>
        </is>
      </c>
      <c r="C43" s="18" t="n">
        <v>17</v>
      </c>
      <c r="D43" s="221" t="n">
        <v>3</v>
      </c>
      <c r="E43" s="46" t="inlineStr">
        <is>
          <t>1:00.47</t>
        </is>
      </c>
      <c r="F43" s="21">
        <f>IFERROR(__xludf.DUMMYFUNCTION("IF(
  REGEXMATCH(E43, "":""),
  60*VALUE(INDEX(SPLIT(E43, "":""),1,1)) + VALUE(INDEX(SPLIT(E43, "":""),1,2)),
  VALUE(E43)
)"),60.47)</f>
        <v/>
      </c>
      <c r="G43" s="21">
        <f>average(F39-F41,F40-F42)</f>
        <v/>
      </c>
      <c r="H43" s="21" t="n">
        <v>0.8749999999999964</v>
      </c>
      <c r="I43" s="211">
        <f>C38</f>
        <v/>
      </c>
      <c r="J43" s="211">
        <f>C55</f>
        <v/>
      </c>
      <c r="K43" s="60">
        <f t="array" ref="K43">INDEX('Podium Target Times'!$C:$C, MATCH(A43&amp;B43, 'Podium Target Times'!$A:$A&amp;'Podium Target Times'!$B:$B, 0))
</f>
        <v/>
      </c>
      <c r="L43" s="24">
        <f>L44+G44</f>
        <v/>
      </c>
      <c r="M43" s="60">
        <f>TEXT(L43/86400, "mm:ss.00")</f>
        <v/>
      </c>
      <c r="N43" s="25">
        <f>IFERROR(__xludf.DUMMYFUNCTION("LET(
  gen,$A43, ev,$B43, t,$M43,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)"),685.0)</f>
        <v/>
      </c>
      <c r="O43" s="65" t="n"/>
      <c r="P43" s="69">
        <f>A50</f>
        <v/>
      </c>
      <c r="Q43" s="65">
        <f>B50</f>
        <v/>
      </c>
      <c r="R43" s="69">
        <f>C50</f>
        <v/>
      </c>
      <c r="S43" s="58">
        <f>M50</f>
        <v/>
      </c>
      <c r="T43" s="69">
        <f>N50</f>
        <v/>
      </c>
      <c r="U43" s="65" t="n"/>
      <c r="V43" s="65" t="n"/>
      <c r="W43" s="65" t="n"/>
    </row>
    <row r="44">
      <c r="A44" s="8" t="inlineStr">
        <is>
          <t>F</t>
        </is>
      </c>
      <c r="B44" s="9" t="inlineStr">
        <is>
          <t>100 Fly</t>
        </is>
      </c>
      <c r="C44" s="9" t="n">
        <v>18</v>
      </c>
      <c r="D44" s="219" t="n">
        <v>1</v>
      </c>
      <c r="E44" s="41" t="inlineStr">
        <is>
          <t>59.57</t>
        </is>
      </c>
      <c r="F44" s="35">
        <f>IFERROR(__xludf.DUMMYFUNCTION("IF(
  REGEXMATCH(E44, "":""),
  60*VALUE(INDEX(SPLIT(E44, "":""),1,1)) + VALUE(INDEX(SPLIT(E44, "":""),1,2)),
  VALUE(E44)
)"),59.57)</f>
        <v/>
      </c>
      <c r="G44" s="35">
        <f>average(F41-F44,F42-F45,F43-F46)</f>
        <v/>
      </c>
      <c r="H44" s="35" t="n">
        <v>0.3966666666666659</v>
      </c>
      <c r="I44" s="215">
        <f>C38</f>
        <v/>
      </c>
      <c r="J44" s="215">
        <f>C55</f>
        <v/>
      </c>
      <c r="K44" s="43">
        <f t="array" ref="K44">INDEX('Podium Target Times'!$C:$C, MATCH(A44&amp;B44, 'Podium Target Times'!$A:$A&amp;'Podium Target Times'!$B:$B, 0))
</f>
        <v/>
      </c>
      <c r="L44" s="12">
        <f>L47+G47</f>
        <v/>
      </c>
      <c r="M44" s="43">
        <f>TEXT(L44/86400, "mm:ss.00")</f>
        <v/>
      </c>
      <c r="N44" s="14">
        <f>IFERROR(__xludf.DUMMYFUNCTION("LET(
  gen,$A44, ev,$B44, t,$M44,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
      </c>
      <c r="O44" s="65" t="n"/>
      <c r="P44" s="69">
        <f>A52</f>
        <v/>
      </c>
      <c r="Q44" s="65">
        <f>B52</f>
        <v/>
      </c>
      <c r="R44" s="69">
        <f>C52</f>
        <v/>
      </c>
      <c r="S44" s="58">
        <f>M52</f>
        <v/>
      </c>
      <c r="T44" s="69">
        <f>N52</f>
        <v/>
      </c>
      <c r="U44" s="65" t="n"/>
      <c r="V44" s="65" t="n"/>
      <c r="W44" s="65" t="n"/>
    </row>
    <row r="45">
      <c r="A45" s="17" t="inlineStr">
        <is>
          <t>F</t>
        </is>
      </c>
      <c r="B45" s="18" t="inlineStr">
        <is>
          <t>100 Fly</t>
        </is>
      </c>
      <c r="C45" s="18" t="n">
        <v>18</v>
      </c>
      <c r="D45" s="18" t="n">
        <v>2</v>
      </c>
      <c r="E45" s="46" t="inlineStr">
        <is>
          <t>59.77</t>
        </is>
      </c>
      <c r="F45" s="21">
        <f>IFERROR(__xludf.DUMMYFUNCTION("IF(
  REGEXMATCH(E45, "":""),
  60*VALUE(INDEX(SPLIT(E45, "":""),1,1)) + VALUE(INDEX(SPLIT(E45, "":""),1,2)),
  VALUE(E45)
)"),59.77)</f>
        <v/>
      </c>
      <c r="G45" s="21">
        <f>average(F41-F44,F42-F45,F43-F46)</f>
        <v/>
      </c>
      <c r="H45" s="21" t="n">
        <v>0.3966666666666659</v>
      </c>
      <c r="I45" s="211">
        <f>C38</f>
        <v/>
      </c>
      <c r="J45" s="211">
        <f>C55</f>
        <v/>
      </c>
      <c r="K45" s="60">
        <f t="array" ref="K45">INDEX('Podium Target Times'!$C:$C, MATCH(A45&amp;B45, 'Podium Target Times'!$A:$A&amp;'Podium Target Times'!$B:$B, 0))
</f>
        <v/>
      </c>
      <c r="L45" s="24">
        <f>L47+G47</f>
        <v/>
      </c>
      <c r="M45" s="60">
        <f>TEXT(L45/86400, "mm:ss.00")</f>
        <v/>
      </c>
      <c r="N45" s="25">
        <f>IFERROR(__xludf.DUMMYFUNCTION("LET(
  gen,$A45, ev,$B45, t,$M45,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
      </c>
      <c r="O45" s="65" t="n"/>
      <c r="P45" s="69">
        <f>A54</f>
        <v/>
      </c>
      <c r="Q45" s="65">
        <f>B54</f>
        <v/>
      </c>
      <c r="R45" s="69">
        <f>C54</f>
        <v/>
      </c>
      <c r="S45" s="58">
        <f>M54</f>
        <v/>
      </c>
      <c r="T45" s="69">
        <f>N54</f>
        <v/>
      </c>
      <c r="U45" s="65" t="n"/>
      <c r="V45" s="65" t="n"/>
      <c r="W45" s="65" t="n"/>
    </row>
    <row r="46">
      <c r="A46" s="8" t="inlineStr">
        <is>
          <t>F</t>
        </is>
      </c>
      <c r="B46" s="9" t="inlineStr">
        <is>
          <t>100 Fly</t>
        </is>
      </c>
      <c r="C46" s="9" t="n">
        <v>18</v>
      </c>
      <c r="D46" s="219" t="n">
        <v>3</v>
      </c>
      <c r="E46" s="41" t="inlineStr">
        <is>
          <t>59.77</t>
        </is>
      </c>
      <c r="F46" s="35">
        <f>IFERROR(__xludf.DUMMYFUNCTION("IF(
  REGEXMATCH(E46, "":""),
  60*VALUE(INDEX(SPLIT(E46, "":""),1,1)) + VALUE(INDEX(SPLIT(E46, "":""),1,2)),
  VALUE(E46)
)"),59.77)</f>
        <v/>
      </c>
      <c r="G46" s="35">
        <f>average(F41-F44,F42-F45,F43-F46)</f>
        <v/>
      </c>
      <c r="H46" s="35" t="n">
        <v>0.3966666666666659</v>
      </c>
      <c r="I46" s="215">
        <f>C38</f>
        <v/>
      </c>
      <c r="J46" s="215">
        <f>C55</f>
        <v/>
      </c>
      <c r="K46" s="43">
        <f t="array" ref="K46">INDEX('Podium Target Times'!$C:$C, MATCH(A46&amp;B46, 'Podium Target Times'!$A:$A&amp;'Podium Target Times'!$B:$B, 0))
</f>
        <v/>
      </c>
      <c r="L46" s="12">
        <f>L47+G47</f>
        <v/>
      </c>
      <c r="M46" s="43">
        <f>TEXT(L46/86400, "mm:ss.00")</f>
        <v/>
      </c>
      <c r="N46" s="14">
        <f>IFERROR(__xludf.DUMMYFUNCTION("LET(
  gen,$A46, ev,$B46, t,$M46,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
      </c>
      <c r="O46" s="65" t="n"/>
      <c r="P46" s="69">
        <f>A55</f>
        <v/>
      </c>
      <c r="Q46" s="65">
        <f>B55</f>
        <v/>
      </c>
      <c r="R46" s="69">
        <f>C55</f>
        <v/>
      </c>
      <c r="S46" s="58">
        <f>M55</f>
        <v/>
      </c>
      <c r="T46" s="69">
        <f>N55</f>
        <v/>
      </c>
      <c r="U46" s="65" t="n"/>
      <c r="V46" s="65" t="n"/>
      <c r="W46" s="65" t="n"/>
    </row>
    <row r="47">
      <c r="A47" s="17" t="inlineStr">
        <is>
          <t>F</t>
        </is>
      </c>
      <c r="B47" s="18" t="inlineStr">
        <is>
          <t>100 Fly</t>
        </is>
      </c>
      <c r="C47" s="18" t="n">
        <v>19</v>
      </c>
      <c r="D47" s="221" t="n">
        <v>1</v>
      </c>
      <c r="E47" s="46" t="inlineStr">
        <is>
          <t>58.33</t>
        </is>
      </c>
      <c r="F47" s="21">
        <f>IFERROR(__xludf.DUMMYFUNCTION("IF(
  REGEXMATCH(E47, "":""),
  60*VALUE(INDEX(SPLIT(E47, "":""),1,1)) + VALUE(INDEX(SPLIT(E47, "":""),1,2)),
  VALUE(E47)
)"),58.33)</f>
        <v/>
      </c>
      <c r="G47" s="21">
        <f>average(F44-F47,F45-F48,F46-F49)</f>
        <v/>
      </c>
      <c r="H47" s="21" t="n">
        <v>0.843333333333336</v>
      </c>
      <c r="I47" s="211">
        <f>C38</f>
        <v/>
      </c>
      <c r="J47" s="211">
        <f>C55</f>
        <v/>
      </c>
      <c r="K47" s="60">
        <f t="array" ref="K47">INDEX('Podium Target Times'!$C:$C, MATCH(A47&amp;B47, 'Podium Target Times'!$A:$A&amp;'Podium Target Times'!$B:$B, 0))
</f>
        <v/>
      </c>
      <c r="L47" s="24">
        <f>L50+G50</f>
        <v/>
      </c>
      <c r="M47" s="60">
        <f>TEXT(L47/86400, "mm:ss.00")</f>
        <v/>
      </c>
      <c r="N47" s="25">
        <f>IFERROR(__xludf.DUMMYFUNCTION("LET(
  gen,$A47, ev,$B47, t,$M47,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)"),727.0)</f>
        <v/>
      </c>
      <c r="O47" s="65" t="n"/>
      <c r="P47" s="69" t="n"/>
      <c r="Q47" s="65" t="n"/>
      <c r="R47" s="69" t="n"/>
      <c r="S47" s="58" t="n"/>
      <c r="T47" s="69" t="n"/>
      <c r="U47" s="65" t="n"/>
      <c r="V47" s="65" t="n"/>
      <c r="W47" s="65" t="n"/>
    </row>
    <row r="48">
      <c r="A48" s="8" t="inlineStr">
        <is>
          <t>F</t>
        </is>
      </c>
      <c r="B48" s="9" t="inlineStr">
        <is>
          <t>100 Fly</t>
        </is>
      </c>
      <c r="C48" s="9" t="n">
        <v>19</v>
      </c>
      <c r="D48" s="9" t="n">
        <v>2</v>
      </c>
      <c r="E48" s="41" t="inlineStr">
        <is>
          <t>59.03</t>
        </is>
      </c>
      <c r="F48" s="35">
        <f>IFERROR(__xludf.DUMMYFUNCTION("IF(
  REGEXMATCH(E48, "":""),
  60*VALUE(INDEX(SPLIT(E48, "":""),1,1)) + VALUE(INDEX(SPLIT(E48, "":""),1,2)),
  VALUE(E48)
)"),59.03)</f>
        <v/>
      </c>
      <c r="G48" s="35">
        <f>average(F44-F47,F45-F48,F46-F49)</f>
        <v/>
      </c>
      <c r="H48" s="35" t="n">
        <v>0.843333333333336</v>
      </c>
      <c r="I48" s="215">
        <f>C38</f>
        <v/>
      </c>
      <c r="J48" s="215">
        <f>C55</f>
        <v/>
      </c>
      <c r="K48" s="43">
        <f t="array" ref="K48">INDEX('Podium Target Times'!$C:$C, MATCH(A48&amp;B48, 'Podium Target Times'!$A:$A&amp;'Podium Target Times'!$B:$B, 0))
</f>
        <v/>
      </c>
      <c r="L48" s="12">
        <f>L50+G50</f>
        <v/>
      </c>
      <c r="M48" s="43">
        <f>TEXT(L48/86400, "mm:ss.00")</f>
        <v/>
      </c>
      <c r="N48" s="14">
        <f>IFERROR(__xludf.DUMMYFUNCTION("LET(
  gen,$A48, ev,$B48, t,$M48,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)"),727.0)</f>
        <v/>
      </c>
      <c r="O48" s="65" t="n"/>
      <c r="P48" s="69" t="n"/>
      <c r="Q48" s="65" t="n"/>
      <c r="R48" s="69" t="n"/>
      <c r="S48" s="58" t="n"/>
      <c r="T48" s="69" t="n"/>
      <c r="U48" s="65" t="n"/>
      <c r="V48" s="65" t="n"/>
      <c r="W48" s="65" t="n"/>
    </row>
    <row r="49">
      <c r="A49" s="17" t="inlineStr">
        <is>
          <t>F</t>
        </is>
      </c>
      <c r="B49" s="18" t="inlineStr">
        <is>
          <t>100 Fly</t>
        </is>
      </c>
      <c r="C49" s="18" t="n">
        <v>19</v>
      </c>
      <c r="D49" s="221" t="n">
        <v>3</v>
      </c>
      <c r="E49" s="46" t="inlineStr">
        <is>
          <t>59.22</t>
        </is>
      </c>
      <c r="F49" s="21">
        <f>IFERROR(__xludf.DUMMYFUNCTION("IF(
  REGEXMATCH(E49, "":""),
  60*VALUE(INDEX(SPLIT(E49, "":""),1,1)) + VALUE(INDEX(SPLIT(E49, "":""),1,2)),
  VALUE(E49)
)"),59.22)</f>
        <v/>
      </c>
      <c r="G49" s="21">
        <f>average(F44-F47,F45-F48,F46-F49)</f>
        <v/>
      </c>
      <c r="H49" s="21" t="n">
        <v>0.843333333333336</v>
      </c>
      <c r="I49" s="211">
        <f>C38</f>
        <v/>
      </c>
      <c r="J49" s="211">
        <f>C55</f>
        <v/>
      </c>
      <c r="K49" s="60">
        <f t="array" ref="K49">INDEX('Podium Target Times'!$C:$C, MATCH(A49&amp;B49, 'Podium Target Times'!$A:$A&amp;'Podium Target Times'!$B:$B, 0))
</f>
        <v/>
      </c>
      <c r="L49" s="24">
        <f>L50+G50</f>
        <v/>
      </c>
      <c r="M49" s="60">
        <f>TEXT(L49/86400, "mm:ss.00")</f>
        <v/>
      </c>
      <c r="N49" s="25">
        <f>IFERROR(__xludf.DUMMYFUNCTION("LET(
  gen,$A49, ev,$B49, t,$M49,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)"),727.0)</f>
        <v/>
      </c>
      <c r="O49" s="65" t="n"/>
      <c r="P49" s="69" t="n"/>
      <c r="Q49" s="65" t="n"/>
      <c r="R49" s="69" t="n"/>
      <c r="S49" s="58" t="n"/>
      <c r="T49" s="69" t="n"/>
      <c r="U49" s="65" t="n"/>
      <c r="V49" s="65" t="n"/>
      <c r="W49" s="65" t="n"/>
    </row>
    <row r="50">
      <c r="A50" s="8" t="inlineStr">
        <is>
          <t>F</t>
        </is>
      </c>
      <c r="B50" s="9" t="inlineStr">
        <is>
          <t>100 Fly</t>
        </is>
      </c>
      <c r="C50" s="9" t="n">
        <v>20</v>
      </c>
      <c r="D50" s="9" t="n">
        <v>2</v>
      </c>
      <c r="E50" s="41" t="inlineStr">
        <is>
          <t>58.60</t>
        </is>
      </c>
      <c r="F50" s="35">
        <f>IFERROR(__xludf.DUMMYFUNCTION("IF(
  REGEXMATCH(E50, "":""),
  60*VALUE(INDEX(SPLIT(E50, "":""),1,1)) + VALUE(INDEX(SPLIT(E50, "":""),1,2)),
  VALUE(E50)
)"),58.6)</f>
        <v/>
      </c>
      <c r="G50" s="35">
        <f>average(F48-F50,F49-F51)</f>
        <v/>
      </c>
      <c r="H50" s="35" t="n">
        <v>0.4250000000000007</v>
      </c>
      <c r="I50" s="215">
        <f>C38</f>
        <v/>
      </c>
      <c r="J50" s="215">
        <f>C55</f>
        <v/>
      </c>
      <c r="K50" s="43">
        <f t="array" ref="K50">INDEX('Podium Target Times'!$C:$C, MATCH(A50&amp;B50, 'Podium Target Times'!$A:$A&amp;'Podium Target Times'!$B:$B, 0))
</f>
        <v/>
      </c>
      <c r="L50" s="12">
        <f>L52+G52</f>
        <v/>
      </c>
      <c r="M50" s="43">
        <f>TEXT(L50/86400, "mm:ss.00")</f>
        <v/>
      </c>
      <c r="N50" s="14">
        <f>IFERROR(__xludf.DUMMYFUNCTION("LET(
  gen,$A50, ev,$B50, t,$M50,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)"),743.0)</f>
        <v/>
      </c>
      <c r="O50" s="65" t="n"/>
      <c r="P50" s="69" t="n"/>
      <c r="Q50" s="65" t="n"/>
      <c r="R50" s="69" t="n"/>
      <c r="S50" s="58" t="n"/>
      <c r="T50" s="69" t="n"/>
      <c r="U50" s="65" t="n"/>
      <c r="V50" s="65" t="n"/>
      <c r="W50" s="65" t="n"/>
    </row>
    <row r="51">
      <c r="A51" s="17" t="inlineStr">
        <is>
          <t>F</t>
        </is>
      </c>
      <c r="B51" s="18" t="inlineStr">
        <is>
          <t>100 Fly</t>
        </is>
      </c>
      <c r="C51" s="18" t="n">
        <v>20</v>
      </c>
      <c r="D51" s="221" t="n">
        <v>3</v>
      </c>
      <c r="E51" s="46" t="inlineStr">
        <is>
          <t>58.80</t>
        </is>
      </c>
      <c r="F51" s="21">
        <f>IFERROR(__xludf.DUMMYFUNCTION("IF(
  REGEXMATCH(E51, "":""),
  60*VALUE(INDEX(SPLIT(E51, "":""),1,1)) + VALUE(INDEX(SPLIT(E51, "":""),1,2)),
  VALUE(E51)
)"),58.8)</f>
        <v/>
      </c>
      <c r="G51" s="21">
        <f>average(F48-F50,F49-F51)</f>
        <v/>
      </c>
      <c r="H51" s="21" t="n">
        <v>0.4250000000000007</v>
      </c>
      <c r="I51" s="211">
        <f>C38</f>
        <v/>
      </c>
      <c r="J51" s="211">
        <f>C55</f>
        <v/>
      </c>
      <c r="K51" s="60">
        <f t="array" ref="K51">INDEX('Podium Target Times'!$C:$C, MATCH(A51&amp;B51, 'Podium Target Times'!$A:$A&amp;'Podium Target Times'!$B:$B, 0))
</f>
        <v/>
      </c>
      <c r="L51" s="24">
        <f>L52+G52</f>
        <v/>
      </c>
      <c r="M51" s="60">
        <f>TEXT(L51/86400, "mm:ss.00")</f>
        <v/>
      </c>
      <c r="N51" s="25">
        <f>IFERROR(__xludf.DUMMYFUNCTION("LET(
  gen,$A51, ev,$B51, t,$M51,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)"),743.0)</f>
        <v/>
      </c>
      <c r="O51" s="65" t="n"/>
      <c r="P51" s="69" t="n"/>
      <c r="Q51" s="65" t="n"/>
      <c r="R51" s="69" t="n"/>
      <c r="S51" s="58" t="n"/>
      <c r="T51" s="69" t="n"/>
      <c r="U51" s="65" t="n"/>
      <c r="V51" s="65" t="n"/>
      <c r="W51" s="65" t="n"/>
    </row>
    <row r="52">
      <c r="A52" s="8" t="inlineStr">
        <is>
          <t>F</t>
        </is>
      </c>
      <c r="B52" s="9" t="inlineStr">
        <is>
          <t>100 Fly</t>
        </is>
      </c>
      <c r="C52" s="9" t="n">
        <v>21</v>
      </c>
      <c r="D52" s="219" t="n">
        <v>2</v>
      </c>
      <c r="E52" s="41" t="inlineStr">
        <is>
          <t>58.33</t>
        </is>
      </c>
      <c r="F52" s="35">
        <f>IFERROR(__xludf.DUMMYFUNCTION("IF(
  REGEXMATCH(E52, "":""),
  60*VALUE(INDEX(SPLIT(E52, "":""),1,1)) + VALUE(INDEX(SPLIT(E52, "":""),1,2)),
  VALUE(E52)
)"),58.33)</f>
        <v/>
      </c>
      <c r="G52" s="35">
        <f>average(F50-F52,F51-F53)</f>
        <v/>
      </c>
      <c r="H52" s="35" t="n">
        <v>0.2749999999999986</v>
      </c>
      <c r="I52" s="215">
        <f>C38</f>
        <v/>
      </c>
      <c r="J52" s="215">
        <f>C55</f>
        <v/>
      </c>
      <c r="K52" s="43">
        <f t="array" ref="K52">INDEX('Podium Target Times'!$C:$C, MATCH(A52&amp;B52, 'Podium Target Times'!$A:$A&amp;'Podium Target Times'!$B:$B, 0))
</f>
        <v/>
      </c>
      <c r="L52" s="12">
        <f>L54+G54</f>
        <v/>
      </c>
      <c r="M52" s="43">
        <f>TEXT(L52/86400, "mm:ss.00")</f>
        <v/>
      </c>
      <c r="N52" s="14">
        <f>IFERROR(__xludf.DUMMYFUNCTION("LET(
  gen,$A52, ev,$B52, t,$M52,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)"),753.0)</f>
        <v/>
      </c>
      <c r="O52" s="65" t="n"/>
      <c r="P52" s="69" t="n"/>
      <c r="Q52" s="65" t="n"/>
      <c r="R52" s="69" t="n"/>
      <c r="S52" s="58" t="n"/>
      <c r="T52" s="69" t="n"/>
      <c r="U52" s="65" t="n"/>
      <c r="V52" s="65" t="n"/>
      <c r="W52" s="65" t="n"/>
    </row>
    <row r="53">
      <c r="A53" s="17" t="inlineStr">
        <is>
          <t>F</t>
        </is>
      </c>
      <c r="B53" s="18" t="inlineStr">
        <is>
          <t>100 Fly</t>
        </is>
      </c>
      <c r="C53" s="18" t="n">
        <v>21</v>
      </c>
      <c r="D53" s="221" t="n">
        <v>3</v>
      </c>
      <c r="E53" s="46" t="inlineStr">
        <is>
          <t>58.52</t>
        </is>
      </c>
      <c r="F53" s="21">
        <f>IFERROR(__xludf.DUMMYFUNCTION("IF(
  REGEXMATCH(E53, "":""),
  60*VALUE(INDEX(SPLIT(E53, "":""),1,1)) + VALUE(INDEX(SPLIT(E53, "":""),1,2)),
  VALUE(E53)
)"),58.52)</f>
        <v/>
      </c>
      <c r="G53" s="21">
        <f>average(F50-F52,F51-F53)</f>
        <v/>
      </c>
      <c r="H53" s="21" t="n">
        <v>0.2749999999999986</v>
      </c>
      <c r="I53" s="211">
        <f>C38</f>
        <v/>
      </c>
      <c r="J53" s="211">
        <f>C55</f>
        <v/>
      </c>
      <c r="K53" s="60">
        <f t="array" ref="K53">INDEX('Podium Target Times'!$C:$C, MATCH(A53&amp;B53, 'Podium Target Times'!$A:$A&amp;'Podium Target Times'!$B:$B, 0))
</f>
        <v/>
      </c>
      <c r="L53" s="24">
        <f>L54+G54</f>
        <v/>
      </c>
      <c r="M53" s="60">
        <f>TEXT(L53/86400, "mm:ss.00")</f>
        <v/>
      </c>
      <c r="N53" s="25">
        <f>IFERROR(__xludf.DUMMYFUNCTION("LET(
  gen,$A53, ev,$B53, t,$M53,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)"),753.0)</f>
        <v/>
      </c>
      <c r="O53" s="65" t="n"/>
      <c r="P53" s="69" t="n"/>
      <c r="Q53" s="65" t="n"/>
      <c r="R53" s="69" t="n"/>
      <c r="S53" s="58" t="n"/>
      <c r="T53" s="69" t="n"/>
      <c r="U53" s="65" t="n"/>
      <c r="V53" s="65" t="n"/>
      <c r="W53" s="65" t="n"/>
    </row>
    <row r="54">
      <c r="A54" s="8" t="inlineStr">
        <is>
          <t>F</t>
        </is>
      </c>
      <c r="B54" s="9" t="inlineStr">
        <is>
          <t>100 Fly</t>
        </is>
      </c>
      <c r="C54" s="9" t="n">
        <v>22</v>
      </c>
      <c r="D54" s="219" t="n">
        <v>3</v>
      </c>
      <c r="E54" s="41" t="inlineStr">
        <is>
          <t>58.38</t>
        </is>
      </c>
      <c r="F54" s="35">
        <f>IFERROR(__xludf.DUMMYFUNCTION("IF(
  REGEXMATCH(E54, "":""),
  60*VALUE(INDEX(SPLIT(E54, "":""),1,1)) + VALUE(INDEX(SPLIT(E54, "":""),1,2)),
  VALUE(E54)
)"),58.38)</f>
        <v/>
      </c>
      <c r="G54" s="35">
        <f>F53-F54</f>
        <v/>
      </c>
      <c r="H54" s="35" t="n">
        <v>0.1400000000000006</v>
      </c>
      <c r="I54" s="215">
        <f>C38</f>
        <v/>
      </c>
      <c r="J54" s="215">
        <f>C55</f>
        <v/>
      </c>
      <c r="K54" s="43">
        <f t="array" ref="K54">INDEX('Podium Target Times'!$C:$C, MATCH(A54&amp;B54, 'Podium Target Times'!$A:$A&amp;'Podium Target Times'!$B:$B, 0))
</f>
        <v/>
      </c>
      <c r="L54" s="12">
        <f>L55+G55</f>
        <v/>
      </c>
      <c r="M54" s="43">
        <f>TEXT(L54/86400, "mm:ss.00")</f>
        <v/>
      </c>
      <c r="N54" s="14">
        <f>IFERROR(__xludf.DUMMYFUNCTION("LET(
  gen,$A54, ev,$B54, t,$M54,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)"),758.0)</f>
        <v/>
      </c>
      <c r="O54" s="65" t="n"/>
      <c r="P54" s="69" t="n"/>
      <c r="Q54" s="65" t="n"/>
      <c r="R54" s="69" t="n"/>
      <c r="S54" s="58" t="n"/>
      <c r="T54" s="69" t="n"/>
      <c r="U54" s="65" t="n"/>
      <c r="V54" s="65" t="n"/>
      <c r="W54" s="65" t="n"/>
    </row>
    <row r="55">
      <c r="A55" s="17" t="inlineStr">
        <is>
          <t>F</t>
        </is>
      </c>
      <c r="B55" s="18" t="inlineStr">
        <is>
          <t>100 Fly</t>
        </is>
      </c>
      <c r="C55" s="18" t="n">
        <v>23</v>
      </c>
      <c r="D55" s="221" t="n">
        <v>3</v>
      </c>
      <c r="E55" s="46" t="inlineStr">
        <is>
          <t>58.33</t>
        </is>
      </c>
      <c r="F55" s="21">
        <f>IFERROR(__xludf.DUMMYFUNCTION("IF(
  REGEXMATCH(E55, "":""),
  60*VALUE(INDEX(SPLIT(E55, "":""),1,1)) + VALUE(INDEX(SPLIT(E55, "":""),1,2)),
  VALUE(E55)
)"),58.33)</f>
        <v/>
      </c>
      <c r="G55" s="21">
        <f>F54-F55</f>
        <v/>
      </c>
      <c r="H55" s="21" t="n">
        <v>0.05000000000000426</v>
      </c>
      <c r="I55" s="211">
        <f>C38</f>
        <v/>
      </c>
      <c r="J55" s="211">
        <f>C55</f>
        <v/>
      </c>
      <c r="K55" s="60">
        <f t="array" ref="K55">INDEX('Podium Target Times'!$C:$C, MATCH(A55&amp;B55, 'Podium Target Times'!$A:$A&amp;'Podium Target Times'!$B:$B, 0))
</f>
        <v/>
      </c>
      <c r="L55" s="211">
        <f>K55</f>
        <v/>
      </c>
      <c r="M55" s="60">
        <f>TEXT(L55/86400, "mm:ss.00")</f>
        <v/>
      </c>
      <c r="N55" s="25">
        <f>IFERROR(__xludf.DUMMYFUNCTION("LET(
  gen,$A55, ev,$B55, t,$M55,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O55" s="65" t="n"/>
      <c r="P55" s="69" t="n"/>
      <c r="Q55" s="65" t="n"/>
      <c r="R55" s="69" t="n"/>
      <c r="S55" s="58" t="n"/>
      <c r="T55" s="69" t="n"/>
      <c r="U55" s="65" t="n"/>
      <c r="V55" s="65" t="n"/>
      <c r="W55" s="65" t="n"/>
    </row>
    <row r="56">
      <c r="A56" s="8" t="inlineStr">
        <is>
          <t>F</t>
        </is>
      </c>
      <c r="B56" s="9" t="inlineStr">
        <is>
          <t>100 Free</t>
        </is>
      </c>
      <c r="C56" s="9" t="n">
        <v>15</v>
      </c>
      <c r="D56" s="9" t="n">
        <v>1</v>
      </c>
      <c r="E56" s="483" t="inlineStr">
        <is>
          <t>56.85</t>
        </is>
      </c>
      <c r="F56" s="35">
        <f>IFERROR(__xludf.DUMMYFUNCTION("IF(
  REGEXMATCH(E56, "":""),
  60*VALUE(INDEX(SPLIT(E56, "":""),1,1)) + VALUE(INDEX(SPLIT(E56, "":""),1,2)),
  VALUE(E56)
)"),56.85)</f>
        <v/>
      </c>
      <c r="G56" s="12" t="n">
        <v>0</v>
      </c>
      <c r="H56" s="12" t="n">
        <v>0</v>
      </c>
      <c r="I56" s="43">
        <f>C56</f>
        <v/>
      </c>
      <c r="J56" s="43">
        <f>C73</f>
        <v/>
      </c>
      <c r="K56" s="43">
        <f t="array" ref="K56">INDEX('Podium Target Times'!$C:$C, MATCH(A56&amp;B56, 'Podium Target Times'!$A:$A&amp;'Podium Target Times'!$B:$B, 0))
</f>
        <v/>
      </c>
      <c r="L56" s="12">
        <f>L57+G57</f>
        <v/>
      </c>
      <c r="M56" s="43">
        <f>TEXT(L56/86400, "mm:ss.00")</f>
        <v/>
      </c>
      <c r="N56" s="14">
        <f>IFERROR(__xludf.DUMMYFUNCTION("LET(
  gen,$A56, ev,$B56, t,$M56,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)"),642.0)</f>
        <v/>
      </c>
      <c r="O56" s="65" t="n"/>
      <c r="P56" s="69">
        <f>A56</f>
        <v/>
      </c>
      <c r="Q56" s="65">
        <f>B56</f>
        <v/>
      </c>
      <c r="R56" s="69">
        <f>C56</f>
        <v/>
      </c>
      <c r="S56" s="58">
        <f>M56</f>
        <v/>
      </c>
      <c r="T56" s="69">
        <f>N56</f>
        <v/>
      </c>
      <c r="U56" s="65" t="n"/>
      <c r="V56" s="65" t="n"/>
      <c r="W56" s="65" t="n"/>
    </row>
    <row r="57">
      <c r="A57" s="17" t="inlineStr">
        <is>
          <t>F</t>
        </is>
      </c>
      <c r="B57" s="18" t="inlineStr">
        <is>
          <t>100 Free</t>
        </is>
      </c>
      <c r="C57" s="18" t="n">
        <v>16</v>
      </c>
      <c r="D57" s="18" t="n">
        <v>1</v>
      </c>
      <c r="E57" s="491" t="inlineStr">
        <is>
          <t>55.76</t>
        </is>
      </c>
      <c r="F57" s="21">
        <f>IFERROR(__xludf.DUMMYFUNCTION("IF(
  REGEXMATCH(E57, "":""),
  60*VALUE(INDEX(SPLIT(E57, "":""),1,1)) + VALUE(INDEX(SPLIT(E57, "":""),1,2)),
  VALUE(E57)
)"),55.76)</f>
        <v/>
      </c>
      <c r="G57" s="21">
        <f>F56-F57</f>
        <v/>
      </c>
      <c r="H57" s="21" t="n">
        <v>1.090000000000003</v>
      </c>
      <c r="I57" s="211">
        <f>C56</f>
        <v/>
      </c>
      <c r="J57" s="211">
        <f>C73</f>
        <v/>
      </c>
      <c r="K57" s="60">
        <f t="array" ref="K57">INDEX('Podium Target Times'!$C:$C, MATCH(A57&amp;B57, 'Podium Target Times'!$A:$A&amp;'Podium Target Times'!$B:$B, 0))
</f>
        <v/>
      </c>
      <c r="L57" s="24">
        <f>L59+G59</f>
        <v/>
      </c>
      <c r="M57" s="60">
        <f>TEXT(L57/86400, "mm:ss.00")</f>
        <v/>
      </c>
      <c r="N57" s="25">
        <f>IFERROR(__xludf.DUMMYFUNCTION("LET(
  gen,$A57, ev,$B57, t,$M57,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)"),678.0)</f>
        <v/>
      </c>
      <c r="O57" s="65" t="n"/>
      <c r="P57" s="69">
        <f>A57</f>
        <v/>
      </c>
      <c r="Q57" s="65">
        <f>B57</f>
        <v/>
      </c>
      <c r="R57" s="69">
        <f>C57</f>
        <v/>
      </c>
      <c r="S57" s="58">
        <f>M57</f>
        <v/>
      </c>
      <c r="T57" s="69">
        <f>N57</f>
        <v/>
      </c>
      <c r="U57" s="65" t="n"/>
      <c r="V57" s="65" t="n"/>
      <c r="W57" s="65" t="n"/>
    </row>
    <row r="58">
      <c r="A58" s="8" t="inlineStr">
        <is>
          <t>F</t>
        </is>
      </c>
      <c r="B58" s="9" t="inlineStr">
        <is>
          <t>100 Free</t>
        </is>
      </c>
      <c r="C58" s="9" t="n">
        <v>16</v>
      </c>
      <c r="D58" s="9" t="n">
        <v>2</v>
      </c>
      <c r="E58" s="483" t="inlineStr">
        <is>
          <t>56.38</t>
        </is>
      </c>
      <c r="F58" s="35">
        <f>IFERROR(__xludf.DUMMYFUNCTION("IF(
  REGEXMATCH(E58, "":""),
  60*VALUE(INDEX(SPLIT(E58, "":""),1,1)) + VALUE(INDEX(SPLIT(E58, "":""),1,2)),
  VALUE(E58)
)"),56.38)</f>
        <v/>
      </c>
      <c r="G58" s="35">
        <f>F56-F57</f>
        <v/>
      </c>
      <c r="H58" s="35" t="n">
        <v>1.090000000000003</v>
      </c>
      <c r="I58" s="215">
        <f>C56</f>
        <v/>
      </c>
      <c r="J58" s="215">
        <f>C73</f>
        <v/>
      </c>
      <c r="K58" s="43">
        <f t="array" ref="K58">INDEX('Podium Target Times'!$C:$C, MATCH(A58&amp;B58, 'Podium Target Times'!$A:$A&amp;'Podium Target Times'!$B:$B, 0))
</f>
        <v/>
      </c>
      <c r="L58" s="12">
        <f>L59+G59</f>
        <v/>
      </c>
      <c r="M58" s="43">
        <f>TEXT(L58/86400, "mm:ss.00")</f>
        <v/>
      </c>
      <c r="N58" s="14">
        <f>IFERROR(__xludf.DUMMYFUNCTION("LET(
  gen,$A58, ev,$B58, t,$M58,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)"),678.0)</f>
        <v/>
      </c>
      <c r="O58" s="65" t="n"/>
      <c r="P58" s="69">
        <f>A59</f>
        <v/>
      </c>
      <c r="Q58" s="65">
        <f>B59</f>
        <v/>
      </c>
      <c r="R58" s="69">
        <f>C59</f>
        <v/>
      </c>
      <c r="S58" s="58">
        <f>M59</f>
        <v/>
      </c>
      <c r="T58" s="69">
        <f>N59</f>
        <v/>
      </c>
      <c r="U58" s="65" t="n"/>
      <c r="V58" s="65" t="n"/>
      <c r="W58" s="65" t="n"/>
    </row>
    <row r="59">
      <c r="A59" s="17" t="inlineStr">
        <is>
          <t>F</t>
        </is>
      </c>
      <c r="B59" s="18" t="inlineStr">
        <is>
          <t>100 Free</t>
        </is>
      </c>
      <c r="C59" s="18" t="n">
        <v>17</v>
      </c>
      <c r="D59" s="18" t="n">
        <v>1</v>
      </c>
      <c r="E59" s="491" t="inlineStr">
        <is>
          <t>55.07</t>
        </is>
      </c>
      <c r="F59" s="21">
        <f>IFERROR(__xludf.DUMMYFUNCTION("IF(
  REGEXMATCH(E59, "":""),
  60*VALUE(INDEX(SPLIT(E59, "":""),1,1)) + VALUE(INDEX(SPLIT(E59, "":""),1,2)),
  VALUE(E59)
)"),55.07)</f>
        <v/>
      </c>
      <c r="G59" s="21">
        <f>average(F57-F59,F58-F60)</f>
        <v/>
      </c>
      <c r="H59" s="21" t="n">
        <v>0.6950000000000003</v>
      </c>
      <c r="I59" s="211">
        <f>C56</f>
        <v/>
      </c>
      <c r="J59" s="211">
        <f>C73</f>
        <v/>
      </c>
      <c r="K59" s="60">
        <f t="array" ref="K59">INDEX('Podium Target Times'!$C:$C, MATCH(A59&amp;B59, 'Podium Target Times'!$A:$A&amp;'Podium Target Times'!$B:$B, 0))
</f>
        <v/>
      </c>
      <c r="L59" s="24">
        <f>L62+G62</f>
        <v/>
      </c>
      <c r="M59" s="60">
        <f>TEXT(L59/86400, "mm:ss.00")</f>
        <v/>
      </c>
      <c r="N59" s="25">
        <f>IFERROR(__xludf.DUMMYFUNCTION("LET(
  gen,$A59, ev,$B59, t,$M59,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)"),703.0)</f>
        <v/>
      </c>
      <c r="O59" s="65" t="n"/>
      <c r="P59" s="69">
        <f>A62</f>
        <v/>
      </c>
      <c r="Q59" s="65">
        <f>B62</f>
        <v/>
      </c>
      <c r="R59" s="69">
        <f>C62</f>
        <v/>
      </c>
      <c r="S59" s="58">
        <f>M62</f>
        <v/>
      </c>
      <c r="T59" s="69">
        <f>N62</f>
        <v/>
      </c>
      <c r="U59" s="65" t="n"/>
      <c r="V59" s="65" t="n"/>
      <c r="W59" s="65" t="n"/>
    </row>
    <row r="60">
      <c r="A60" s="8" t="inlineStr">
        <is>
          <t>F</t>
        </is>
      </c>
      <c r="B60" s="9" t="inlineStr">
        <is>
          <t>100 Free</t>
        </is>
      </c>
      <c r="C60" s="9" t="n">
        <v>17</v>
      </c>
      <c r="D60" s="9" t="n">
        <v>2</v>
      </c>
      <c r="E60" s="41" t="inlineStr">
        <is>
          <t>55.68</t>
        </is>
      </c>
      <c r="F60" s="35">
        <f>IFERROR(__xludf.DUMMYFUNCTION("IF(
  REGEXMATCH(E60, "":""),
  60*VALUE(INDEX(SPLIT(E60, "":""),1,1)) + VALUE(INDEX(SPLIT(E60, "":""),1,2)),
  VALUE(E60)
)"),55.68)</f>
        <v/>
      </c>
      <c r="G60" s="35">
        <f>average(F57-F59,F58-F60)</f>
        <v/>
      </c>
      <c r="H60" s="35" t="n">
        <v>0.6950000000000003</v>
      </c>
      <c r="I60" s="215">
        <f>C56</f>
        <v/>
      </c>
      <c r="J60" s="215">
        <f>C73</f>
        <v/>
      </c>
      <c r="K60" s="43">
        <f t="array" ref="K60">INDEX('Podium Target Times'!$C:$C, MATCH(A60&amp;B60, 'Podium Target Times'!$A:$A&amp;'Podium Target Times'!$B:$B, 0))
</f>
        <v/>
      </c>
      <c r="L60" s="12">
        <f>L62+G62</f>
        <v/>
      </c>
      <c r="M60" s="43">
        <f>TEXT(L60/86400, "mm:ss.00")</f>
        <v/>
      </c>
      <c r="N60" s="14">
        <f>IFERROR(__xludf.DUMMYFUNCTION("LET(
  gen,$A60, ev,$B60, t,$M60,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)"),703.0)</f>
        <v/>
      </c>
      <c r="O60" s="65" t="n"/>
      <c r="P60" s="69">
        <f>A65</f>
        <v/>
      </c>
      <c r="Q60" s="65">
        <f>B65</f>
        <v/>
      </c>
      <c r="R60" s="69">
        <f>C65</f>
        <v/>
      </c>
      <c r="S60" s="58">
        <f>M65</f>
        <v/>
      </c>
      <c r="T60" s="69">
        <f>N65</f>
        <v/>
      </c>
      <c r="U60" s="65" t="n"/>
      <c r="V60" s="65" t="n"/>
      <c r="W60" s="65" t="n"/>
    </row>
    <row r="61">
      <c r="A61" s="17" t="inlineStr">
        <is>
          <t>F</t>
        </is>
      </c>
      <c r="B61" s="18" t="inlineStr">
        <is>
          <t>100 Free</t>
        </is>
      </c>
      <c r="C61" s="18" t="n">
        <v>17</v>
      </c>
      <c r="D61" s="18" t="n">
        <v>3</v>
      </c>
      <c r="E61" s="46" t="inlineStr">
        <is>
          <t>55.99</t>
        </is>
      </c>
      <c r="F61" s="21">
        <f>IFERROR(__xludf.DUMMYFUNCTION("IF(
  REGEXMATCH(E61, "":""),
  60*VALUE(INDEX(SPLIT(E61, "":""),1,1)) + VALUE(INDEX(SPLIT(E61, "":""),1,2)),
  VALUE(E61)
)"),55.99)</f>
        <v/>
      </c>
      <c r="G61" s="21">
        <f>average(F57-F59,F58-F60)</f>
        <v/>
      </c>
      <c r="H61" s="21" t="n">
        <v>0.6950000000000003</v>
      </c>
      <c r="I61" s="211">
        <f>C56</f>
        <v/>
      </c>
      <c r="J61" s="211">
        <f>C73</f>
        <v/>
      </c>
      <c r="K61" s="60">
        <f t="array" ref="K61">INDEX('Podium Target Times'!$C:$C, MATCH(A61&amp;B61, 'Podium Target Times'!$A:$A&amp;'Podium Target Times'!$B:$B, 0))
</f>
        <v/>
      </c>
      <c r="L61" s="24">
        <f>L62+G62</f>
        <v/>
      </c>
      <c r="M61" s="60">
        <f>TEXT(L61/86400, "mm:ss.00")</f>
        <v/>
      </c>
      <c r="N61" s="25">
        <f>IFERROR(__xludf.DUMMYFUNCTION("LET(
  gen,$A61, ev,$B61, t,$M61,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)"),703.0)</f>
        <v/>
      </c>
      <c r="O61" s="65" t="n"/>
      <c r="P61" s="69">
        <f>A68</f>
        <v/>
      </c>
      <c r="Q61" s="65">
        <f>B68</f>
        <v/>
      </c>
      <c r="R61" s="69">
        <f>C68</f>
        <v/>
      </c>
      <c r="S61" s="58">
        <f>M68</f>
        <v/>
      </c>
      <c r="T61" s="69">
        <f>N68</f>
        <v/>
      </c>
      <c r="U61" s="65" t="n"/>
      <c r="V61" s="65" t="n"/>
      <c r="W61" s="65" t="n"/>
    </row>
    <row r="62">
      <c r="A62" s="8" t="inlineStr">
        <is>
          <t>F</t>
        </is>
      </c>
      <c r="B62" s="9" t="inlineStr">
        <is>
          <t>100 Free</t>
        </is>
      </c>
      <c r="C62" s="9" t="n">
        <v>18</v>
      </c>
      <c r="D62" s="9" t="n">
        <v>1</v>
      </c>
      <c r="E62" s="41" t="inlineStr">
        <is>
          <t>54.62</t>
        </is>
      </c>
      <c r="F62" s="35">
        <f>IFERROR(__xludf.DUMMYFUNCTION("IF(
  REGEXMATCH(E62, "":""),
  60*VALUE(INDEX(SPLIT(E62, "":""),1,1)) + VALUE(INDEX(SPLIT(E62, "":""),1,2)),
  VALUE(E62)
)"),54.62)</f>
        <v/>
      </c>
      <c r="G62" s="35">
        <f>average(F59-F62,F60-F63,F61-F64)</f>
        <v/>
      </c>
      <c r="H62" s="35" t="n">
        <v>0.4566666666666682</v>
      </c>
      <c r="I62" s="215">
        <f>C56</f>
        <v/>
      </c>
      <c r="J62" s="215">
        <f>C73</f>
        <v/>
      </c>
      <c r="K62" s="43">
        <f t="array" ref="K62">INDEX('Podium Target Times'!$C:$C, MATCH(A62&amp;B62, 'Podium Target Times'!$A:$A&amp;'Podium Target Times'!$B:$B, 0))
</f>
        <v/>
      </c>
      <c r="L62" s="12">
        <f>L65+G65</f>
        <v/>
      </c>
      <c r="M62" s="43">
        <f>TEXT(L62/86400, "mm:ss.00")</f>
        <v/>
      </c>
      <c r="N62" s="14">
        <f>IFERROR(__xludf.DUMMYFUNCTION("LET(
  gen,$A62, ev,$B62, t,$M62,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
      </c>
      <c r="O62" s="65" t="n"/>
      <c r="P62" s="69">
        <f>A70</f>
        <v/>
      </c>
      <c r="Q62" s="65">
        <f>B70</f>
        <v/>
      </c>
      <c r="R62" s="69">
        <f>C70</f>
        <v/>
      </c>
      <c r="S62" s="58">
        <f>M70</f>
        <v/>
      </c>
      <c r="T62" s="69">
        <f>N70</f>
        <v/>
      </c>
      <c r="U62" s="65" t="n"/>
      <c r="V62" s="65" t="n"/>
      <c r="W62" s="65" t="n"/>
    </row>
    <row r="63">
      <c r="A63" s="17" t="inlineStr">
        <is>
          <t>F</t>
        </is>
      </c>
      <c r="B63" s="18" t="inlineStr">
        <is>
          <t>100 Free</t>
        </is>
      </c>
      <c r="C63" s="18" t="n">
        <v>18</v>
      </c>
      <c r="D63" s="18" t="n">
        <v>2</v>
      </c>
      <c r="E63" s="46" t="inlineStr">
        <is>
          <t>55.22</t>
        </is>
      </c>
      <c r="F63" s="21">
        <f>IFERROR(__xludf.DUMMYFUNCTION("IF(
  REGEXMATCH(E63, "":""),
  60*VALUE(INDEX(SPLIT(E63, "":""),1,1)) + VALUE(INDEX(SPLIT(E63, "":""),1,2)),
  VALUE(E63)
)"),55.22)</f>
        <v/>
      </c>
      <c r="G63" s="21">
        <f>average(F59-F62,F60-F63,F61-F64)</f>
        <v/>
      </c>
      <c r="H63" s="21" t="n">
        <v>0.4566666666666682</v>
      </c>
      <c r="I63" s="211">
        <f>C56</f>
        <v/>
      </c>
      <c r="J63" s="211">
        <f>C73</f>
        <v/>
      </c>
      <c r="K63" s="60">
        <f t="array" ref="K63">INDEX('Podium Target Times'!$C:$C, MATCH(A63&amp;B63, 'Podium Target Times'!$A:$A&amp;'Podium Target Times'!$B:$B, 0))
</f>
        <v/>
      </c>
      <c r="L63" s="24">
        <f>L65+G65</f>
        <v/>
      </c>
      <c r="M63" s="60">
        <f>TEXT(L63/86400, "mm:ss.00")</f>
        <v/>
      </c>
      <c r="N63" s="25">
        <f>IFERROR(__xludf.DUMMYFUNCTION("LET(
  gen,$A63, ev,$B63, t,$M63,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
      </c>
      <c r="O63" s="65" t="n"/>
      <c r="P63" s="69">
        <f>A72</f>
        <v/>
      </c>
      <c r="Q63" s="65">
        <f>B72</f>
        <v/>
      </c>
      <c r="R63" s="69">
        <f>C72</f>
        <v/>
      </c>
      <c r="S63" s="58">
        <f>M72</f>
        <v/>
      </c>
      <c r="T63" s="69">
        <f>N72</f>
        <v/>
      </c>
      <c r="U63" s="65" t="n"/>
      <c r="V63" s="65" t="n"/>
      <c r="W63" s="65" t="n"/>
    </row>
    <row r="64">
      <c r="A64" s="8" t="inlineStr">
        <is>
          <t>F</t>
        </is>
      </c>
      <c r="B64" s="9" t="inlineStr">
        <is>
          <t>100 Free</t>
        </is>
      </c>
      <c r="C64" s="9" t="n">
        <v>18</v>
      </c>
      <c r="D64" s="9" t="n">
        <v>3</v>
      </c>
      <c r="E64" s="41" t="inlineStr">
        <is>
          <t>55.53</t>
        </is>
      </c>
      <c r="F64" s="35">
        <f>IFERROR(__xludf.DUMMYFUNCTION("IF(
  REGEXMATCH(E64, "":""),
  60*VALUE(INDEX(SPLIT(E64, "":""),1,1)) + VALUE(INDEX(SPLIT(E64, "":""),1,2)),
  VALUE(E64)
)"),55.53)</f>
        <v/>
      </c>
      <c r="G64" s="35">
        <f>average(F59-F62,F60-F63,F61-F64)</f>
        <v/>
      </c>
      <c r="H64" s="35" t="n">
        <v>0.4566666666666682</v>
      </c>
      <c r="I64" s="215">
        <f>C56</f>
        <v/>
      </c>
      <c r="J64" s="215">
        <f>C73</f>
        <v/>
      </c>
      <c r="K64" s="43">
        <f t="array" ref="K64">INDEX('Podium Target Times'!$C:$C, MATCH(A64&amp;B64, 'Podium Target Times'!$A:$A&amp;'Podium Target Times'!$B:$B, 0))
</f>
        <v/>
      </c>
      <c r="L64" s="12">
        <f>L65+G65</f>
        <v/>
      </c>
      <c r="M64" s="43">
        <f>TEXT(L64/86400, "mm:ss.00")</f>
        <v/>
      </c>
      <c r="N64" s="14">
        <f>IFERROR(__xludf.DUMMYFUNCTION("LET(
  gen,$A64, ev,$B64, t,$M64,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
      </c>
      <c r="O64" s="65" t="n"/>
      <c r="P64" s="69">
        <f>A73</f>
        <v/>
      </c>
      <c r="Q64" s="65">
        <f>B73</f>
        <v/>
      </c>
      <c r="R64" s="69">
        <f>C73</f>
        <v/>
      </c>
      <c r="S64" s="58">
        <f>M73</f>
        <v/>
      </c>
      <c r="T64" s="69">
        <f>N73</f>
        <v/>
      </c>
      <c r="U64" s="65" t="n"/>
      <c r="V64" s="65" t="n"/>
      <c r="W64" s="65" t="n"/>
    </row>
    <row r="65">
      <c r="A65" s="17" t="inlineStr">
        <is>
          <t>F</t>
        </is>
      </c>
      <c r="B65" s="18" t="inlineStr">
        <is>
          <t>100 Free</t>
        </is>
      </c>
      <c r="C65" s="18" t="n">
        <v>19</v>
      </c>
      <c r="D65" s="18" t="n">
        <v>1</v>
      </c>
      <c r="E65" s="46" t="inlineStr">
        <is>
          <t>54.25</t>
        </is>
      </c>
      <c r="F65" s="21">
        <f>IFERROR(__xludf.DUMMYFUNCTION("IF(
  REGEXMATCH(E65, "":""),
  60*VALUE(INDEX(SPLIT(E65, "":""),1,1)) + VALUE(INDEX(SPLIT(E65, "":""),1,2)),
  VALUE(E65)
)"),54.25)</f>
        <v/>
      </c>
      <c r="G65" s="21">
        <f>average(F62-F65,F63-F66,F64-F67)</f>
        <v/>
      </c>
      <c r="H65" s="21" t="n">
        <v>0.3699999999999998</v>
      </c>
      <c r="I65" s="211">
        <f>C56</f>
        <v/>
      </c>
      <c r="J65" s="211">
        <f>C73</f>
        <v/>
      </c>
      <c r="K65" s="60">
        <f t="array" ref="K65">INDEX('Podium Target Times'!$C:$C, MATCH(A65&amp;B65, 'Podium Target Times'!$A:$A&amp;'Podium Target Times'!$B:$B, 0))
</f>
        <v/>
      </c>
      <c r="L65" s="24">
        <f>L68+G68</f>
        <v/>
      </c>
      <c r="M65" s="60">
        <f>TEXT(L65/86400, "mm:ss.00")</f>
        <v/>
      </c>
      <c r="N65" s="25">
        <f>IFERROR(__xludf.DUMMYFUNCTION("LET(
  gen,$A65, ev,$B65, t,$M65,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)"),733.0)</f>
        <v/>
      </c>
      <c r="O65" s="65" t="n"/>
      <c r="P65" s="69" t="n"/>
      <c r="Q65" s="65" t="n"/>
      <c r="R65" s="69" t="n"/>
      <c r="S65" s="58" t="n"/>
      <c r="T65" s="69" t="n"/>
      <c r="U65" s="65" t="n"/>
      <c r="V65" s="65" t="n"/>
      <c r="W65" s="65" t="n"/>
    </row>
    <row r="66">
      <c r="A66" s="8" t="inlineStr">
        <is>
          <t>F</t>
        </is>
      </c>
      <c r="B66" s="9" t="inlineStr">
        <is>
          <t>100 Free</t>
        </is>
      </c>
      <c r="C66" s="9" t="n">
        <v>19</v>
      </c>
      <c r="D66" s="9" t="n">
        <v>2</v>
      </c>
      <c r="E66" s="41" t="inlineStr">
        <is>
          <t>54.85</t>
        </is>
      </c>
      <c r="F66" s="35">
        <f>IFERROR(__xludf.DUMMYFUNCTION("IF(
  REGEXMATCH(E66, "":""),
  60*VALUE(INDEX(SPLIT(E66, "":""),1,1)) + VALUE(INDEX(SPLIT(E66, "":""),1,2)),
  VALUE(E66)
)"),54.85)</f>
        <v/>
      </c>
      <c r="G66" s="35">
        <f>average(F62-F65,F63-F66,F64-F67)</f>
        <v/>
      </c>
      <c r="H66" s="35" t="n">
        <v>0.3699999999999998</v>
      </c>
      <c r="I66" s="215">
        <f>C56</f>
        <v/>
      </c>
      <c r="J66" s="215">
        <f>C73</f>
        <v/>
      </c>
      <c r="K66" s="43">
        <f t="array" ref="K66">INDEX('Podium Target Times'!$C:$C, MATCH(A66&amp;B66, 'Podium Target Times'!$A:$A&amp;'Podium Target Times'!$B:$B, 0))
</f>
        <v/>
      </c>
      <c r="L66" s="12">
        <f>L68+G68</f>
        <v/>
      </c>
      <c r="M66" s="43">
        <f>TEXT(L66/86400, "mm:ss.00")</f>
        <v/>
      </c>
      <c r="N66" s="14">
        <f>IFERROR(__xludf.DUMMYFUNCTION("LET(
  gen,$A66, ev,$B66, t,$M66,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)"),733.0)</f>
        <v/>
      </c>
      <c r="O66" s="65" t="n"/>
      <c r="P66" s="69" t="n"/>
      <c r="Q66" s="65" t="n"/>
      <c r="R66" s="69" t="n"/>
      <c r="S66" s="58" t="n"/>
      <c r="T66" s="69" t="n"/>
      <c r="U66" s="65" t="n"/>
      <c r="V66" s="65" t="n"/>
      <c r="W66" s="65" t="n"/>
    </row>
    <row r="67">
      <c r="A67" s="17" t="inlineStr">
        <is>
          <t>F</t>
        </is>
      </c>
      <c r="B67" s="18" t="inlineStr">
        <is>
          <t>100 Free</t>
        </is>
      </c>
      <c r="C67" s="18" t="n">
        <v>19</v>
      </c>
      <c r="D67" s="18" t="n">
        <v>3</v>
      </c>
      <c r="E67" s="46" t="inlineStr">
        <is>
          <t>55.16</t>
        </is>
      </c>
      <c r="F67" s="21">
        <f>IFERROR(__xludf.DUMMYFUNCTION("IF(
  REGEXMATCH(E67, "":""),
  60*VALUE(INDEX(SPLIT(E67, "":""),1,1)) + VALUE(INDEX(SPLIT(E67, "":""),1,2)),
  VALUE(E67)
)"),55.16)</f>
        <v/>
      </c>
      <c r="G67" s="21">
        <f>average(F62-F65,F63-F66,F64-F67)</f>
        <v/>
      </c>
      <c r="H67" s="21" t="n">
        <v>0.3699999999999998</v>
      </c>
      <c r="I67" s="211">
        <f>C56</f>
        <v/>
      </c>
      <c r="J67" s="211">
        <f>C73</f>
        <v/>
      </c>
      <c r="K67" s="60">
        <f t="array" ref="K67">INDEX('Podium Target Times'!$C:$C, MATCH(A67&amp;B67, 'Podium Target Times'!$A:$A&amp;'Podium Target Times'!$B:$B, 0))
</f>
        <v/>
      </c>
      <c r="L67" s="24">
        <f>L68+G68</f>
        <v/>
      </c>
      <c r="M67" s="60">
        <f>TEXT(L67/86400, "mm:ss.00")</f>
        <v/>
      </c>
      <c r="N67" s="25">
        <f>IFERROR(__xludf.DUMMYFUNCTION("LET(
  gen,$A67, ev,$B67, t,$M67,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)"),733.0)</f>
        <v/>
      </c>
      <c r="O67" s="65" t="n"/>
      <c r="P67" s="69" t="n"/>
      <c r="Q67" s="65" t="n"/>
      <c r="R67" s="69" t="n"/>
      <c r="S67" s="58" t="n"/>
      <c r="T67" s="69" t="n"/>
      <c r="U67" s="65" t="n"/>
      <c r="V67" s="65" t="n"/>
      <c r="W67" s="65" t="n"/>
    </row>
    <row r="68">
      <c r="A68" s="8" t="inlineStr">
        <is>
          <t>F</t>
        </is>
      </c>
      <c r="B68" s="9" t="inlineStr">
        <is>
          <t>100 Free</t>
        </is>
      </c>
      <c r="C68" s="9" t="n">
        <v>20</v>
      </c>
      <c r="D68" s="219" t="n">
        <v>2</v>
      </c>
      <c r="E68" s="41" t="inlineStr">
        <is>
          <t>54.53</t>
        </is>
      </c>
      <c r="F68" s="35">
        <f>IFERROR(__xludf.DUMMYFUNCTION("IF(
  REGEXMATCH(E68, "":""),
  60*VALUE(INDEX(SPLIT(E68, "":""),1,1)) + VALUE(INDEX(SPLIT(E68, "":""),1,2)),
  VALUE(E68)
)"),54.53)</f>
        <v/>
      </c>
      <c r="G68" s="35">
        <f>average(F66-F68,F67-F69)</f>
        <v/>
      </c>
      <c r="H68" s="35" t="n">
        <v>0.3249999999999993</v>
      </c>
      <c r="I68" s="215">
        <f>C56</f>
        <v/>
      </c>
      <c r="J68" s="215">
        <f>C73</f>
        <v/>
      </c>
      <c r="K68" s="43">
        <f t="array" ref="K68">INDEX('Podium Target Times'!$C:$C, MATCH(A68&amp;B68, 'Podium Target Times'!$A:$A&amp;'Podium Target Times'!$B:$B, 0))
</f>
        <v/>
      </c>
      <c r="L68" s="12">
        <f>L70+G70</f>
        <v/>
      </c>
      <c r="M68" s="43">
        <f>TEXT(L68/86400, "mm:ss.00")</f>
        <v/>
      </c>
      <c r="N68" s="14">
        <f>IFERROR(__xludf.DUMMYFUNCTION("LET(
  gen,$A68, ev,$B68, t,$M68,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)"),746.0)</f>
        <v/>
      </c>
      <c r="O68" s="65" t="n"/>
      <c r="P68" s="69" t="n"/>
      <c r="Q68" s="65" t="n"/>
      <c r="R68" s="69" t="n"/>
      <c r="S68" s="58" t="n"/>
      <c r="T68" s="69" t="n"/>
      <c r="U68" s="65" t="n"/>
      <c r="V68" s="65" t="n"/>
      <c r="W68" s="65" t="n"/>
    </row>
    <row r="69">
      <c r="A69" s="17" t="inlineStr">
        <is>
          <t>F</t>
        </is>
      </c>
      <c r="B69" s="18" t="inlineStr">
        <is>
          <t>100 Free</t>
        </is>
      </c>
      <c r="C69" s="18" t="n">
        <v>20</v>
      </c>
      <c r="D69" s="18" t="n">
        <v>3</v>
      </c>
      <c r="E69" s="46" t="inlineStr">
        <is>
          <t>54.83</t>
        </is>
      </c>
      <c r="F69" s="21">
        <f>IFERROR(__xludf.DUMMYFUNCTION("IF(
  REGEXMATCH(E69, "":""),
  60*VALUE(INDEX(SPLIT(E69, "":""),1,1)) + VALUE(INDEX(SPLIT(E69, "":""),1,2)),
  VALUE(E69)
)"),54.83)</f>
        <v/>
      </c>
      <c r="G69" s="21">
        <f>average(F66-F68,F67-F69)</f>
        <v/>
      </c>
      <c r="H69" s="21" t="n">
        <v>0.3249999999999993</v>
      </c>
      <c r="I69" s="211">
        <f>C56</f>
        <v/>
      </c>
      <c r="J69" s="211">
        <f>C73</f>
        <v/>
      </c>
      <c r="K69" s="60">
        <f t="array" ref="K69">INDEX('Podium Target Times'!$C:$C, MATCH(A69&amp;B69, 'Podium Target Times'!$A:$A&amp;'Podium Target Times'!$B:$B, 0))
</f>
        <v/>
      </c>
      <c r="L69" s="24">
        <f>L70+G70</f>
        <v/>
      </c>
      <c r="M69" s="60">
        <f>TEXT(L69/86400, "mm:ss.00")</f>
        <v/>
      </c>
      <c r="N69" s="25">
        <f>IFERROR(__xludf.DUMMYFUNCTION("LET(
  gen,$A69, ev,$B69, t,$M69,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)"),746.0)</f>
        <v/>
      </c>
      <c r="O69" s="65" t="n"/>
      <c r="P69" s="69" t="n"/>
      <c r="Q69" s="65" t="n"/>
      <c r="R69" s="69" t="n"/>
      <c r="S69" s="58" t="n"/>
      <c r="T69" s="69" t="n"/>
      <c r="U69" s="65" t="n"/>
      <c r="V69" s="65" t="n"/>
      <c r="W69" s="65" t="n"/>
    </row>
    <row r="70">
      <c r="A70" s="8" t="inlineStr">
        <is>
          <t>F</t>
        </is>
      </c>
      <c r="B70" s="9" t="inlineStr">
        <is>
          <t>100 Free</t>
        </is>
      </c>
      <c r="C70" s="9" t="n">
        <v>21</v>
      </c>
      <c r="D70" s="219" t="n">
        <v>2</v>
      </c>
      <c r="E70" s="41" t="inlineStr">
        <is>
          <t>54.25</t>
        </is>
      </c>
      <c r="F70" s="35">
        <f>IFERROR(__xludf.DUMMYFUNCTION("IF(
  REGEXMATCH(E70, "":""),
  60*VALUE(INDEX(SPLIT(E70, "":""),1,1)) + VALUE(INDEX(SPLIT(E70, "":""),1,2)),
  VALUE(E70)
)"),54.25)</f>
        <v/>
      </c>
      <c r="G70" s="35">
        <f>average(F68-F70,F69-F71)</f>
        <v/>
      </c>
      <c r="H70" s="35" t="n">
        <v>0.2800000000000011</v>
      </c>
      <c r="I70" s="215">
        <f>C56</f>
        <v/>
      </c>
      <c r="J70" s="215">
        <f>C73</f>
        <v/>
      </c>
      <c r="K70" s="43">
        <f t="array" ref="K70">INDEX('Podium Target Times'!$C:$C, MATCH(A70&amp;B70, 'Podium Target Times'!$A:$A&amp;'Podium Target Times'!$B:$B, 0))
</f>
        <v/>
      </c>
      <c r="L70" s="12">
        <f>L72+G72</f>
        <v/>
      </c>
      <c r="M70" s="43">
        <f>TEXT(L70/86400, "mm:ss.00")</f>
        <v/>
      </c>
      <c r="N70" s="14">
        <f>IFERROR(__xludf.DUMMYFUNCTION("LET(
  gen,$A70, ev,$B70, t,$M70,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)"),757.0)</f>
        <v/>
      </c>
      <c r="O70" s="65" t="n"/>
      <c r="P70" s="69" t="n"/>
      <c r="Q70" s="65" t="n"/>
      <c r="R70" s="69" t="n"/>
      <c r="S70" s="58" t="n"/>
      <c r="T70" s="69" t="n"/>
      <c r="U70" s="65" t="n"/>
      <c r="V70" s="65" t="n"/>
      <c r="W70" s="65" t="n"/>
    </row>
    <row r="71">
      <c r="A71" s="17" t="inlineStr">
        <is>
          <t>F</t>
        </is>
      </c>
      <c r="B71" s="18" t="inlineStr">
        <is>
          <t>100 Free</t>
        </is>
      </c>
      <c r="C71" s="18" t="n">
        <v>21</v>
      </c>
      <c r="D71" s="18" t="n">
        <v>3</v>
      </c>
      <c r="E71" s="46" t="inlineStr">
        <is>
          <t>54.55</t>
        </is>
      </c>
      <c r="F71" s="21">
        <f>IFERROR(__xludf.DUMMYFUNCTION("IF(
  REGEXMATCH(E71, "":""),
  60*VALUE(INDEX(SPLIT(E71, "":""),1,1)) + VALUE(INDEX(SPLIT(E71, "":""),1,2)),
  VALUE(E71)
)"),54.55)</f>
        <v/>
      </c>
      <c r="G71" s="21">
        <f>average(F68-F70,F69-F71)</f>
        <v/>
      </c>
      <c r="H71" s="21" t="n">
        <v>0.2800000000000011</v>
      </c>
      <c r="I71" s="211">
        <f>C56</f>
        <v/>
      </c>
      <c r="J71" s="211">
        <f>C73</f>
        <v/>
      </c>
      <c r="K71" s="60">
        <f t="array" ref="K71">INDEX('Podium Target Times'!$C:$C, MATCH(A71&amp;B71, 'Podium Target Times'!$A:$A&amp;'Podium Target Times'!$B:$B, 0))
</f>
        <v/>
      </c>
      <c r="L71" s="24">
        <f>L72+G72</f>
        <v/>
      </c>
      <c r="M71" s="60">
        <f>TEXT(L71/86400, "mm:ss.00")</f>
        <v/>
      </c>
      <c r="N71" s="25">
        <f>IFERROR(__xludf.DUMMYFUNCTION("LET(
  gen,$A71, ev,$B71, t,$M71,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)"),757.0)</f>
        <v/>
      </c>
      <c r="O71" s="65" t="n"/>
      <c r="P71" s="69" t="n"/>
      <c r="Q71" s="65" t="n"/>
      <c r="R71" s="69" t="n"/>
      <c r="S71" s="58" t="n"/>
      <c r="T71" s="69" t="n"/>
      <c r="U71" s="65" t="n"/>
      <c r="V71" s="65" t="n"/>
      <c r="W71" s="65" t="n"/>
    </row>
    <row r="72">
      <c r="A72" s="8" t="inlineStr">
        <is>
          <t>F</t>
        </is>
      </c>
      <c r="B72" s="9" t="inlineStr">
        <is>
          <t>100 Free</t>
        </is>
      </c>
      <c r="C72" s="9" t="n">
        <v>22</v>
      </c>
      <c r="D72" s="9" t="n">
        <v>3</v>
      </c>
      <c r="E72" s="41" t="inlineStr">
        <is>
          <t>54.36</t>
        </is>
      </c>
      <c r="F72" s="35">
        <f>IFERROR(__xludf.DUMMYFUNCTION("IF(
  REGEXMATCH(E72, "":""),
  60*VALUE(INDEX(SPLIT(E72, "":""),1,1)) + VALUE(INDEX(SPLIT(E72, "":""),1,2)),
  VALUE(E72)
)"),54.36)</f>
        <v/>
      </c>
      <c r="G72" s="35">
        <f>F71-F72</f>
        <v/>
      </c>
      <c r="H72" s="35" t="n">
        <v>0.1899999999999977</v>
      </c>
      <c r="I72" s="215">
        <f>C56</f>
        <v/>
      </c>
      <c r="J72" s="215">
        <f>C73</f>
        <v/>
      </c>
      <c r="K72" s="43">
        <f t="array" ref="K72">INDEX('Podium Target Times'!$C:$C, MATCH(A72&amp;B72, 'Podium Target Times'!$A:$A&amp;'Podium Target Times'!$B:$B, 0))
</f>
        <v/>
      </c>
      <c r="L72" s="12">
        <f>L73+G73</f>
        <v/>
      </c>
      <c r="M72" s="43">
        <f>TEXT(L72/86400, "mm:ss.00")</f>
        <v/>
      </c>
      <c r="N72" s="14">
        <f>IFERROR(__xludf.DUMMYFUNCTION("LET(
  gen,$A72, ev,$B72, t,$M72,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)"),765.0)</f>
        <v/>
      </c>
      <c r="O72" s="65" t="n"/>
      <c r="P72" s="69" t="n"/>
      <c r="Q72" s="65" t="n"/>
      <c r="R72" s="69" t="n"/>
      <c r="S72" s="58" t="n"/>
      <c r="T72" s="69" t="n"/>
      <c r="U72" s="65" t="n"/>
      <c r="V72" s="65" t="n"/>
      <c r="W72" s="65" t="n"/>
    </row>
    <row r="73">
      <c r="A73" s="17" t="inlineStr">
        <is>
          <t>F</t>
        </is>
      </c>
      <c r="B73" s="18" t="inlineStr">
        <is>
          <t>100 Free</t>
        </is>
      </c>
      <c r="C73" s="18" t="n">
        <v>23</v>
      </c>
      <c r="D73" s="18" t="n">
        <v>3</v>
      </c>
      <c r="E73" s="46" t="inlineStr">
        <is>
          <t>54.25</t>
        </is>
      </c>
      <c r="F73" s="21">
        <f>IFERROR(__xludf.DUMMYFUNCTION("IF(
  REGEXMATCH(E73, "":""),
  60*VALUE(INDEX(SPLIT(E73, "":""),1,1)) + VALUE(INDEX(SPLIT(E73, "":""),1,2)),
  VALUE(E73)
)"),54.25)</f>
        <v/>
      </c>
      <c r="G73" s="21">
        <f>F72-F73</f>
        <v/>
      </c>
      <c r="H73" s="21" t="n">
        <v>0.1099999999999994</v>
      </c>
      <c r="I73" s="211">
        <f>C56</f>
        <v/>
      </c>
      <c r="J73" s="211">
        <f>C73</f>
        <v/>
      </c>
      <c r="K73" s="60">
        <f t="array" ref="K73">INDEX('Podium Target Times'!$C:$C, MATCH(A73&amp;B73, 'Podium Target Times'!$A:$A&amp;'Podium Target Times'!$B:$B, 0))
</f>
        <v/>
      </c>
      <c r="L73" s="211">
        <f>K73</f>
        <v/>
      </c>
      <c r="M73" s="60">
        <f>TEXT(L73/86400, "mm:ss.00")</f>
        <v/>
      </c>
      <c r="N73" s="25">
        <f>IFERROR(__xludf.DUMMYFUNCTION("LET(
  gen,$A73, ev,$B73, t,$M73,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
      </c>
      <c r="O73" s="65" t="n"/>
      <c r="P73" s="69" t="n"/>
      <c r="Q73" s="65" t="n"/>
      <c r="R73" s="69" t="n"/>
      <c r="S73" s="58" t="n"/>
      <c r="T73" s="69" t="n"/>
      <c r="U73" s="65" t="n"/>
      <c r="V73" s="65" t="n"/>
      <c r="W73" s="65" t="n"/>
    </row>
    <row r="74">
      <c r="A74" s="8" t="inlineStr">
        <is>
          <t>F</t>
        </is>
      </c>
      <c r="B74" s="9" t="inlineStr">
        <is>
          <t>1500 Free</t>
        </is>
      </c>
      <c r="C74" s="9" t="n">
        <v>14</v>
      </c>
      <c r="D74" s="9" t="n">
        <v>1</v>
      </c>
      <c r="E74" s="43" t="inlineStr">
        <is>
          <t>17:12.17</t>
        </is>
      </c>
      <c r="F74" s="35">
        <f>IFERROR(__xludf.DUMMYFUNCTION("IF(
  REGEXMATCH(E74, "":""),
  60*VALUE(INDEX(SPLIT(E74, "":""),1,1)) + VALUE(INDEX(SPLIT(E74, "":""),1,2)),
  VALUE(E74)
)"),1032.17)</f>
        <v/>
      </c>
      <c r="G74" s="12" t="n">
        <v>0</v>
      </c>
      <c r="H74" s="12" t="n">
        <v>0</v>
      </c>
      <c r="I74" s="43">
        <f>C74</f>
        <v/>
      </c>
      <c r="J74" s="43">
        <f>C91</f>
        <v/>
      </c>
      <c r="K74" s="43">
        <f t="array" ref="K74">INDEX('Podium Target Times'!$C:$C, MATCH(A74&amp;B74, 'Podium Target Times'!$A:$A&amp;'Podium Target Times'!$B:$B, 0))
</f>
        <v/>
      </c>
      <c r="L74" s="12">
        <f>L75+G75</f>
        <v/>
      </c>
      <c r="M74" s="43">
        <f>TEXT(L74/86400, "mm:ss.00")</f>
        <v/>
      </c>
      <c r="N74" s="14">
        <f>IFERROR(__xludf.DUMMYFUNCTION("LET(
  gen,$A74, ev,$B74, t,$M74,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)"),615.0)</f>
        <v/>
      </c>
      <c r="O74" s="65" t="n"/>
      <c r="P74" s="69" t="n"/>
      <c r="Q74" s="65" t="n"/>
      <c r="R74" s="69" t="n"/>
      <c r="S74" s="58" t="n"/>
      <c r="T74" s="69" t="n"/>
      <c r="U74" s="65" t="n"/>
      <c r="V74" s="65" t="n"/>
      <c r="W74" s="65" t="n"/>
    </row>
    <row r="75">
      <c r="A75" s="17" t="inlineStr">
        <is>
          <t>F</t>
        </is>
      </c>
      <c r="B75" s="18" t="inlineStr">
        <is>
          <t>1500 Free</t>
        </is>
      </c>
      <c r="C75" s="18" t="n">
        <v>15</v>
      </c>
      <c r="D75" s="18" t="n">
        <v>1</v>
      </c>
      <c r="E75" s="60" t="inlineStr">
        <is>
          <t>16:52.17</t>
        </is>
      </c>
      <c r="F75" s="21">
        <f>IFERROR(__xludf.DUMMYFUNCTION("IF(
  REGEXMATCH(E75, "":""),
  60*VALUE(INDEX(SPLIT(E75, "":""),1,1)) + VALUE(INDEX(SPLIT(E75, "":""),1,2)),
  VALUE(E75)
)"),1012.17)</f>
        <v/>
      </c>
      <c r="G75" s="21">
        <f>F74-F75</f>
        <v/>
      </c>
      <c r="H75" s="21" t="n">
        <v>20.00000000000011</v>
      </c>
      <c r="I75" s="211">
        <f>C74</f>
        <v/>
      </c>
      <c r="J75" s="211">
        <f>C91</f>
        <v/>
      </c>
      <c r="K75" s="60">
        <f t="array" ref="K75">INDEX('Podium Target Times'!$C:$C, MATCH(A75&amp;B75, 'Podium Target Times'!$A:$A&amp;'Podium Target Times'!$B:$B, 0))
</f>
        <v/>
      </c>
      <c r="L75" s="24">
        <f>L77+G77</f>
        <v/>
      </c>
      <c r="M75" s="60">
        <f>TEXT(L75/86400, "mm:ss.00")</f>
        <v/>
      </c>
      <c r="N75" s="25">
        <f>IFERROR(__xludf.DUMMYFUNCTION("LET(
  gen,$A75, ev,$B75, t,$M75,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)"),651.0)</f>
        <v/>
      </c>
      <c r="O75" s="65" t="n"/>
      <c r="P75" s="69" t="n"/>
      <c r="Q75" s="65" t="n"/>
      <c r="R75" s="69" t="n"/>
      <c r="S75" s="58" t="n"/>
      <c r="T75" s="69" t="n"/>
      <c r="U75" s="65" t="n"/>
      <c r="V75" s="65" t="n"/>
      <c r="W75" s="65" t="n"/>
    </row>
    <row r="76">
      <c r="A76" s="8" t="inlineStr">
        <is>
          <t>F</t>
        </is>
      </c>
      <c r="B76" s="9" t="inlineStr">
        <is>
          <t>1500 Free</t>
        </is>
      </c>
      <c r="C76" s="9" t="n">
        <v>15</v>
      </c>
      <c r="D76" s="9" t="n">
        <v>2</v>
      </c>
      <c r="E76" s="43" t="inlineStr">
        <is>
          <t>16:56.98</t>
        </is>
      </c>
      <c r="F76" s="35">
        <f>IFERROR(__xludf.DUMMYFUNCTION("IF(
  REGEXMATCH(E76, "":""),
  60*VALUE(INDEX(SPLIT(E76, "":""),1,1)) + VALUE(INDEX(SPLIT(E76, "":""),1,2)),
  VALUE(E76)
)"),1016.98)</f>
        <v/>
      </c>
      <c r="G76" s="35">
        <f>F74-F75</f>
        <v/>
      </c>
      <c r="H76" s="35" t="n">
        <v>20.00000000000011</v>
      </c>
      <c r="I76" s="215">
        <f>C74</f>
        <v/>
      </c>
      <c r="J76" s="215">
        <f>C91</f>
        <v/>
      </c>
      <c r="K76" s="43">
        <f t="array" ref="K76">INDEX('Podium Target Times'!$C:$C, MATCH(A76&amp;B76, 'Podium Target Times'!$A:$A&amp;'Podium Target Times'!$B:$B, 0))
</f>
        <v/>
      </c>
      <c r="L76" s="12">
        <f>L77+G77</f>
        <v/>
      </c>
      <c r="M76" s="43">
        <f>TEXT(L76/86400, "mm:ss.00")</f>
        <v/>
      </c>
      <c r="N76" s="14">
        <f>IFERROR(__xludf.DUMMYFUNCTION("LET(
  gen,$A76, ev,$B76, t,$M76,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)"),651.0)</f>
        <v/>
      </c>
      <c r="O76" s="65" t="n"/>
      <c r="P76" s="69" t="n"/>
      <c r="Q76" s="65" t="n"/>
      <c r="R76" s="69" t="n"/>
      <c r="S76" s="58" t="n"/>
      <c r="T76" s="69" t="n"/>
      <c r="U76" s="65" t="n"/>
      <c r="V76" s="65" t="n"/>
      <c r="W76" s="65" t="n"/>
    </row>
    <row r="77">
      <c r="A77" s="17" t="inlineStr">
        <is>
          <t>F</t>
        </is>
      </c>
      <c r="B77" s="18" t="inlineStr">
        <is>
          <t>1500 Free</t>
        </is>
      </c>
      <c r="C77" s="18" t="n">
        <v>16</v>
      </c>
      <c r="D77" s="18" t="n">
        <v>1</v>
      </c>
      <c r="E77" s="46" t="inlineStr">
        <is>
          <t>16:38.19</t>
        </is>
      </c>
      <c r="F77" s="21">
        <f>IFERROR(__xludf.DUMMYFUNCTION("IF(
  REGEXMATCH(E77, "":""),
  60*VALUE(INDEX(SPLIT(E77, "":""),1,1)) + VALUE(INDEX(SPLIT(E77, "":""),1,2)),
  VALUE(E77)
)"),998.19)</f>
        <v/>
      </c>
      <c r="G77" s="21">
        <f>average(F75-F77,F76-F78)</f>
        <v/>
      </c>
      <c r="H77" s="21" t="n">
        <v>14.00999999999993</v>
      </c>
      <c r="I77" s="211">
        <f>C74</f>
        <v/>
      </c>
      <c r="J77" s="211">
        <f>C91</f>
        <v/>
      </c>
      <c r="K77" s="60">
        <f t="array" ref="K77">INDEX('Podium Target Times'!$C:$C, MATCH(A77&amp;B77, 'Podium Target Times'!$A:$A&amp;'Podium Target Times'!$B:$B, 0))
</f>
        <v/>
      </c>
      <c r="L77" s="24">
        <f>L80+G80</f>
        <v/>
      </c>
      <c r="M77" s="60">
        <f>TEXT(L77/86400, "mm:ss.00")</f>
        <v/>
      </c>
      <c r="N77" s="25">
        <f>IFERROR(__xludf.DUMMYFUNCTION("LET(
  gen,$A77, ev,$B77, t,$M77,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
      </c>
      <c r="O77" s="65" t="n"/>
      <c r="P77" s="69" t="n"/>
      <c r="Q77" s="65" t="n"/>
      <c r="R77" s="69" t="n"/>
      <c r="S77" s="58" t="n"/>
      <c r="T77" s="69" t="n"/>
      <c r="U77" s="65" t="n"/>
      <c r="V77" s="65" t="n"/>
      <c r="W77" s="65" t="n"/>
    </row>
    <row r="78">
      <c r="A78" s="8" t="inlineStr">
        <is>
          <t>F</t>
        </is>
      </c>
      <c r="B78" s="9" t="inlineStr">
        <is>
          <t>1500 Free</t>
        </is>
      </c>
      <c r="C78" s="9" t="n">
        <v>16</v>
      </c>
      <c r="D78" s="219" t="n">
        <v>2</v>
      </c>
      <c r="E78" s="41" t="inlineStr">
        <is>
          <t>16:42.94</t>
        </is>
      </c>
      <c r="F78" s="35">
        <f>IFERROR(__xludf.DUMMYFUNCTION("IF(
  REGEXMATCH(E78, "":""),
  60*VALUE(INDEX(SPLIT(E78, "":""),1,1)) + VALUE(INDEX(SPLIT(E78, "":""),1,2)),
  VALUE(E78)
)"),1002.94)</f>
        <v/>
      </c>
      <c r="G78" s="35">
        <f>average(F75-F77,F76-F78)</f>
        <v/>
      </c>
      <c r="H78" s="35" t="n">
        <v>14.00999999999993</v>
      </c>
      <c r="I78" s="215">
        <f>C74</f>
        <v/>
      </c>
      <c r="J78" s="215">
        <f>C91</f>
        <v/>
      </c>
      <c r="K78" s="43">
        <f t="array" ref="K78">INDEX('Podium Target Times'!$C:$C, MATCH(A78&amp;B78, 'Podium Target Times'!$A:$A&amp;'Podium Target Times'!$B:$B, 0))
</f>
        <v/>
      </c>
      <c r="L78" s="12">
        <f>L80+G80</f>
        <v/>
      </c>
      <c r="M78" s="43">
        <f>TEXT(L78/86400, "mm:ss.00")</f>
        <v/>
      </c>
      <c r="N78" s="14">
        <f>IFERROR(__xludf.DUMMYFUNCTION("LET(
  gen,$A78, ev,$B78, t,$M78,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
      </c>
      <c r="O78" s="65" t="n"/>
      <c r="P78" s="69" t="n"/>
      <c r="Q78" s="65" t="n"/>
      <c r="R78" s="69" t="n"/>
      <c r="S78" s="58" t="n"/>
      <c r="T78" s="69" t="n"/>
      <c r="U78" s="65" t="n"/>
      <c r="V78" s="65" t="n"/>
      <c r="W78" s="65" t="n"/>
    </row>
    <row r="79">
      <c r="A79" s="17" t="inlineStr">
        <is>
          <t>F</t>
        </is>
      </c>
      <c r="B79" s="18" t="inlineStr">
        <is>
          <t>1500 Free</t>
        </is>
      </c>
      <c r="C79" s="18" t="n">
        <v>16</v>
      </c>
      <c r="D79" s="18" t="n">
        <v>3</v>
      </c>
      <c r="E79" s="46" t="inlineStr">
        <is>
          <t>16:45.20</t>
        </is>
      </c>
      <c r="F79" s="21">
        <f>IFERROR(__xludf.DUMMYFUNCTION("IF(
  REGEXMATCH(E79, "":""),
  60*VALUE(INDEX(SPLIT(E79, "":""),1,1)) + VALUE(INDEX(SPLIT(E79, "":""),1,2)),
  VALUE(E79)
)"),1005.2)</f>
        <v/>
      </c>
      <c r="G79" s="21">
        <f>average(F75-F77,F76-F78)</f>
        <v/>
      </c>
      <c r="H79" s="21" t="n">
        <v>14.00999999999993</v>
      </c>
      <c r="I79" s="211">
        <f>C74</f>
        <v/>
      </c>
      <c r="J79" s="211">
        <f>C91</f>
        <v/>
      </c>
      <c r="K79" s="60">
        <f t="array" ref="K79">INDEX('Podium Target Times'!$C:$C, MATCH(A79&amp;B79, 'Podium Target Times'!$A:$A&amp;'Podium Target Times'!$B:$B, 0))
</f>
        <v/>
      </c>
      <c r="L79" s="24">
        <f>L80+G80</f>
        <v/>
      </c>
      <c r="M79" s="60">
        <f>TEXT(L79/86400, "mm:ss.00")</f>
        <v/>
      </c>
      <c r="N79" s="25">
        <f>IFERROR(__xludf.DUMMYFUNCTION("LET(
  gen,$A79, ev,$B79, t,$M79,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)"),677.0)</f>
        <v/>
      </c>
      <c r="O79" s="65" t="n"/>
      <c r="P79" s="69" t="n"/>
      <c r="Q79" s="65" t="n"/>
      <c r="R79" s="69" t="n"/>
      <c r="S79" s="58" t="n"/>
      <c r="T79" s="69" t="n"/>
      <c r="U79" s="65" t="n"/>
      <c r="V79" s="65" t="n"/>
      <c r="W79" s="65" t="n"/>
    </row>
    <row r="80">
      <c r="A80" s="8" t="inlineStr">
        <is>
          <t>F</t>
        </is>
      </c>
      <c r="B80" s="9" t="inlineStr">
        <is>
          <t>1500 Free</t>
        </is>
      </c>
      <c r="C80" s="9" t="n">
        <v>17</v>
      </c>
      <c r="D80" s="9" t="n">
        <v>1</v>
      </c>
      <c r="E80" s="483" t="inlineStr">
        <is>
          <t>16:29.65</t>
        </is>
      </c>
      <c r="F80" s="35">
        <f>IFERROR(__xludf.DUMMYFUNCTION("IF(
  REGEXMATCH(E80, "":""),
  60*VALUE(INDEX(SPLIT(E80, "":""),1,1)) + VALUE(INDEX(SPLIT(E80, "":""),1,2)),
  VALUE(E80)
)"),989.65)</f>
        <v/>
      </c>
      <c r="G80" s="35">
        <f>average(F77-F80,F78-F81,F79-F82)</f>
        <v/>
      </c>
      <c r="H80" s="35" t="n">
        <v>8.57333333333338</v>
      </c>
      <c r="I80" s="215">
        <f>C74</f>
        <v/>
      </c>
      <c r="J80" s="215">
        <f>C91</f>
        <v/>
      </c>
      <c r="K80" s="43">
        <f t="array" ref="K80">INDEX('Podium Target Times'!$C:$C, MATCH(A80&amp;B80, 'Podium Target Times'!$A:$A&amp;'Podium Target Times'!$B:$B, 0))
</f>
        <v/>
      </c>
      <c r="L80" s="12">
        <f>L83+G83</f>
        <v/>
      </c>
      <c r="M80" s="43">
        <f>TEXT(L80/86400, "mm:ss.00")</f>
        <v/>
      </c>
      <c r="N80" s="14">
        <f>IFERROR(__xludf.DUMMYFUNCTION("LET(
  gen,$A80, ev,$B80, t,$M80,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)"),694.0)</f>
        <v/>
      </c>
      <c r="O80" s="65" t="n"/>
      <c r="P80" s="69" t="n"/>
      <c r="Q80" s="65" t="n"/>
      <c r="R80" s="69" t="n"/>
      <c r="S80" s="58" t="n"/>
      <c r="T80" s="69" t="n"/>
      <c r="U80" s="65" t="n"/>
      <c r="V80" s="65" t="n"/>
      <c r="W80" s="65" t="n"/>
    </row>
    <row r="81">
      <c r="A81" s="17" t="inlineStr">
        <is>
          <t>F</t>
        </is>
      </c>
      <c r="B81" s="18" t="inlineStr">
        <is>
          <t>1500 Free</t>
        </is>
      </c>
      <c r="C81" s="18" t="n">
        <v>17</v>
      </c>
      <c r="D81" s="18" t="n">
        <v>2</v>
      </c>
      <c r="E81" s="46" t="inlineStr">
        <is>
          <t>16:34.36</t>
        </is>
      </c>
      <c r="F81" s="21">
        <f>IFERROR(__xludf.DUMMYFUNCTION("IF(
  REGEXMATCH(E81, "":""),
  60*VALUE(INDEX(SPLIT(E81, "":""),1,1)) + VALUE(INDEX(SPLIT(E81, "":""),1,2)),
  VALUE(E81)
)"),994.36)</f>
        <v/>
      </c>
      <c r="G81" s="21">
        <f>average(F77-F80,F78-F81,F79-F82)</f>
        <v/>
      </c>
      <c r="H81" s="21" t="n">
        <v>8.57333333333338</v>
      </c>
      <c r="I81" s="211">
        <f>C74</f>
        <v/>
      </c>
      <c r="J81" s="211">
        <f>C91</f>
        <v/>
      </c>
      <c r="K81" s="60">
        <f t="array" ref="K81">INDEX('Podium Target Times'!$C:$C, MATCH(A81&amp;B81, 'Podium Target Times'!$A:$A&amp;'Podium Target Times'!$B:$B, 0))
</f>
        <v/>
      </c>
      <c r="L81" s="24">
        <f>L83+G83</f>
        <v/>
      </c>
      <c r="M81" s="60">
        <f>TEXT(L81/86400, "mm:ss.00")</f>
        <v/>
      </c>
      <c r="N81" s="25">
        <f>IFERROR(__xludf.DUMMYFUNCTION("LET(
  gen,$A81, ev,$B81, t,$M81,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)"),694.0)</f>
        <v/>
      </c>
      <c r="O81" s="65" t="n"/>
      <c r="P81" s="69" t="n"/>
      <c r="Q81" s="65" t="n"/>
      <c r="R81" s="69" t="n"/>
      <c r="S81" s="58" t="n"/>
      <c r="T81" s="69" t="n"/>
      <c r="U81" s="65" t="n"/>
      <c r="V81" s="65" t="n"/>
      <c r="W81" s="65" t="n"/>
    </row>
    <row r="82">
      <c r="A82" s="8" t="inlineStr">
        <is>
          <t>F</t>
        </is>
      </c>
      <c r="B82" s="9" t="inlineStr">
        <is>
          <t>1500 Free</t>
        </is>
      </c>
      <c r="C82" s="9" t="n">
        <v>17</v>
      </c>
      <c r="D82" s="9" t="n">
        <v>3</v>
      </c>
      <c r="E82" s="41" t="inlineStr">
        <is>
          <t>16:36.60</t>
        </is>
      </c>
      <c r="F82" s="35">
        <f>IFERROR(__xludf.DUMMYFUNCTION("IF(
  REGEXMATCH(E82, "":""),
  60*VALUE(INDEX(SPLIT(E82, "":""),1,1)) + VALUE(INDEX(SPLIT(E82, "":""),1,2)),
  VALUE(E82)
)"),996.6)</f>
        <v/>
      </c>
      <c r="G82" s="35">
        <f>average(F77-F80,F78-F81,F79-F82)</f>
        <v/>
      </c>
      <c r="H82" s="35" t="n">
        <v>8.57333333333338</v>
      </c>
      <c r="I82" s="215">
        <f>C74</f>
        <v/>
      </c>
      <c r="J82" s="215">
        <f>C91</f>
        <v/>
      </c>
      <c r="K82" s="43">
        <f t="array" ref="K82">INDEX('Podium Target Times'!$C:$C, MATCH(A82&amp;B82, 'Podium Target Times'!$A:$A&amp;'Podium Target Times'!$B:$B, 0))
</f>
        <v/>
      </c>
      <c r="L82" s="12">
        <f>L83+G83</f>
        <v/>
      </c>
      <c r="M82" s="43">
        <f>TEXT(L82/86400, "mm:ss.00")</f>
        <v/>
      </c>
      <c r="N82" s="14">
        <f>IFERROR(__xludf.DUMMYFUNCTION("LET(
  gen,$A82, ev,$B82, t,$M82,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)"),694.0)</f>
        <v/>
      </c>
      <c r="O82" s="65" t="n"/>
      <c r="P82" s="69" t="n"/>
      <c r="Q82" s="65" t="n"/>
      <c r="R82" s="69" t="n"/>
      <c r="S82" s="58" t="n"/>
      <c r="T82" s="69" t="n"/>
      <c r="U82" s="65" t="n"/>
      <c r="V82" s="65" t="n"/>
      <c r="W82" s="65" t="n"/>
    </row>
    <row r="83">
      <c r="A83" s="17" t="inlineStr">
        <is>
          <t>F</t>
        </is>
      </c>
      <c r="B83" s="18" t="inlineStr">
        <is>
          <t>1500 Free</t>
        </is>
      </c>
      <c r="C83" s="18" t="n">
        <v>18</v>
      </c>
      <c r="D83" s="18" t="n">
        <v>1</v>
      </c>
      <c r="E83" s="46" t="inlineStr">
        <is>
          <t>16:24.56</t>
        </is>
      </c>
      <c r="F83" s="21">
        <f>IFERROR(__xludf.DUMMYFUNCTION("IF(
  REGEXMATCH(E83, "":""),
  60*VALUE(INDEX(SPLIT(E83, "":""),1,1)) + VALUE(INDEX(SPLIT(E83, "":""),1,2)),
  VALUE(E83)
)"),984.56)</f>
        <v/>
      </c>
      <c r="G83" s="21">
        <f>average(F80-F83,F81-F84,F82-F85)</f>
        <v/>
      </c>
      <c r="H83" s="21" t="n">
        <v>5.113333333333344</v>
      </c>
      <c r="I83" s="211">
        <f>C74</f>
        <v/>
      </c>
      <c r="J83" s="211">
        <f>C91</f>
        <v/>
      </c>
      <c r="K83" s="60">
        <f t="array" ref="K83">INDEX('Podium Target Times'!$C:$C, MATCH(A83&amp;B83, 'Podium Target Times'!$A:$A&amp;'Podium Target Times'!$B:$B, 0))
</f>
        <v/>
      </c>
      <c r="L83" s="24">
        <f>L86+G86</f>
        <v/>
      </c>
      <c r="M83" s="60">
        <f>TEXT(L83/86400, "mm:ss.00")</f>
        <v/>
      </c>
      <c r="N83" s="25">
        <f>IFERROR(__xludf.DUMMYFUNCTION("LET(
  gen,$A83, ev,$B83, t,$M83,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)"),704.0)</f>
        <v/>
      </c>
      <c r="O83" s="65" t="n"/>
      <c r="P83" s="69" t="n"/>
      <c r="Q83" s="65" t="n"/>
      <c r="R83" s="69" t="n"/>
      <c r="S83" s="58" t="n"/>
      <c r="T83" s="69" t="n"/>
      <c r="U83" s="65" t="n"/>
      <c r="V83" s="65" t="n"/>
      <c r="W83" s="65" t="n"/>
    </row>
    <row r="84">
      <c r="A84" s="8" t="inlineStr">
        <is>
          <t>F</t>
        </is>
      </c>
      <c r="B84" s="9" t="inlineStr">
        <is>
          <t>1500 Free</t>
        </is>
      </c>
      <c r="C84" s="9" t="n">
        <v>18</v>
      </c>
      <c r="D84" s="9" t="n">
        <v>2</v>
      </c>
      <c r="E84" s="41" t="inlineStr">
        <is>
          <t>16:29.24</t>
        </is>
      </c>
      <c r="F84" s="35">
        <f>IFERROR(__xludf.DUMMYFUNCTION("IF(
  REGEXMATCH(E84, "":""),
  60*VALUE(INDEX(SPLIT(E84, "":""),1,1)) + VALUE(INDEX(SPLIT(E84, "":""),1,2)),
  VALUE(E84)
)"),989.24)</f>
        <v/>
      </c>
      <c r="G84" s="35">
        <f>average(F80-F83,F81-F84,F82-F85)</f>
        <v/>
      </c>
      <c r="H84" s="35" t="n">
        <v>5.113333333333344</v>
      </c>
      <c r="I84" s="215">
        <f>C74</f>
        <v/>
      </c>
      <c r="J84" s="215">
        <f>C91</f>
        <v/>
      </c>
      <c r="K84" s="43">
        <f t="array" ref="K84">INDEX('Podium Target Times'!$C:$C, MATCH(A84&amp;B84, 'Podium Target Times'!$A:$A&amp;'Podium Target Times'!$B:$B, 0))
</f>
        <v/>
      </c>
      <c r="L84" s="12">
        <f>L86+G86</f>
        <v/>
      </c>
      <c r="M84" s="43">
        <f>TEXT(L84/86400, "mm:ss.00")</f>
        <v/>
      </c>
      <c r="N84" s="14">
        <f>IFERROR(__xludf.DUMMYFUNCTION("LET(
  gen,$A84, ev,$B84, t,$M84,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)"),704.0)</f>
        <v/>
      </c>
      <c r="O84" s="65" t="n"/>
      <c r="P84" s="69" t="n"/>
      <c r="Q84" s="65" t="n"/>
      <c r="R84" s="69" t="n"/>
      <c r="S84" s="58" t="n"/>
      <c r="T84" s="69" t="n"/>
      <c r="U84" s="65" t="n"/>
      <c r="V84" s="65" t="n"/>
      <c r="W84" s="65" t="n"/>
    </row>
    <row r="85">
      <c r="A85" s="17" t="inlineStr">
        <is>
          <t>F</t>
        </is>
      </c>
      <c r="B85" s="18" t="inlineStr">
        <is>
          <t>1500 Free</t>
        </is>
      </c>
      <c r="C85" s="18" t="n">
        <v>18</v>
      </c>
      <c r="D85" s="18" t="n">
        <v>3</v>
      </c>
      <c r="E85" s="46" t="inlineStr">
        <is>
          <t>16:31.47</t>
        </is>
      </c>
      <c r="F85" s="21">
        <f>IFERROR(__xludf.DUMMYFUNCTION("IF(
  REGEXMATCH(E85, "":""),
  60*VALUE(INDEX(SPLIT(E85, "":""),1,1)) + VALUE(INDEX(SPLIT(E85, "":""),1,2)),
  VALUE(E85)
)"),991.47)</f>
        <v/>
      </c>
      <c r="G85" s="21">
        <f>average(F80-F83,F81-F84,F82-F85)</f>
        <v/>
      </c>
      <c r="H85" s="21" t="n">
        <v>5.113333333333344</v>
      </c>
      <c r="I85" s="211">
        <f>C74</f>
        <v/>
      </c>
      <c r="J85" s="211">
        <f>C91</f>
        <v/>
      </c>
      <c r="K85" s="60">
        <f t="array" ref="K85">INDEX('Podium Target Times'!$C:$C, MATCH(A85&amp;B85, 'Podium Target Times'!$A:$A&amp;'Podium Target Times'!$B:$B, 0))
</f>
        <v/>
      </c>
      <c r="L85" s="24">
        <f>L86+G86</f>
        <v/>
      </c>
      <c r="M85" s="60">
        <f>TEXT(L85/86400, "mm:ss.00")</f>
        <v/>
      </c>
      <c r="N85" s="25">
        <f>IFERROR(__xludf.DUMMYFUNCTION("LET(
  gen,$A85, ev,$B85, t,$M85,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)"),704.0)</f>
        <v/>
      </c>
      <c r="O85" s="65" t="n"/>
      <c r="P85" s="69" t="n"/>
      <c r="Q85" s="65" t="n"/>
      <c r="R85" s="69" t="n"/>
      <c r="S85" s="58" t="n"/>
      <c r="T85" s="69" t="n"/>
      <c r="U85" s="65" t="n"/>
      <c r="V85" s="65" t="n"/>
      <c r="W85" s="65" t="n"/>
    </row>
    <row r="86">
      <c r="A86" s="8" t="inlineStr">
        <is>
          <t>F</t>
        </is>
      </c>
      <c r="B86" s="9" t="inlineStr">
        <is>
          <t>1500 Free</t>
        </is>
      </c>
      <c r="C86" s="9" t="n">
        <v>19</v>
      </c>
      <c r="D86" s="219" t="n">
        <v>2</v>
      </c>
      <c r="E86" s="41" t="inlineStr">
        <is>
          <t>16:26.24</t>
        </is>
      </c>
      <c r="F86" s="35">
        <f>IFERROR(__xludf.DUMMYFUNCTION("IF(
  REGEXMATCH(E86, "":""),
  60*VALUE(INDEX(SPLIT(E86, "":""),1,1)) + VALUE(INDEX(SPLIT(E86, "":""),1,2)),
  VALUE(E86)
)"),986.24)</f>
        <v/>
      </c>
      <c r="G86" s="35">
        <f>average(F84-F86,F85-F87)</f>
        <v/>
      </c>
      <c r="H86" s="35" t="n">
        <v>3.004999999999995</v>
      </c>
      <c r="I86" s="215">
        <f>C74</f>
        <v/>
      </c>
      <c r="J86" s="215">
        <f>C91</f>
        <v/>
      </c>
      <c r="K86" s="43">
        <f t="array" ref="K86">INDEX('Podium Target Times'!$C:$C, MATCH(A86&amp;B86, 'Podium Target Times'!$A:$A&amp;'Podium Target Times'!$B:$B, 0))
</f>
        <v/>
      </c>
      <c r="L86" s="12">
        <f>L88+G88</f>
        <v/>
      </c>
      <c r="M86" s="43">
        <f>TEXT(L86/86400, "mm:ss.00")</f>
        <v/>
      </c>
      <c r="N86" s="14">
        <f>IFERROR(__xludf.DUMMYFUNCTION("LET(
  gen,$A86, ev,$B86, t,$M86,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)"),710.0)</f>
        <v/>
      </c>
      <c r="O86" s="65" t="n"/>
      <c r="P86" s="69" t="n"/>
      <c r="Q86" s="65" t="n"/>
      <c r="R86" s="69" t="n"/>
      <c r="S86" s="58" t="n"/>
      <c r="T86" s="69" t="n"/>
      <c r="U86" s="65" t="n"/>
      <c r="V86" s="65" t="n"/>
      <c r="W86" s="65" t="n"/>
    </row>
    <row r="87">
      <c r="A87" s="17" t="inlineStr">
        <is>
          <t>F</t>
        </is>
      </c>
      <c r="B87" s="18" t="inlineStr">
        <is>
          <t>1500 Free</t>
        </is>
      </c>
      <c r="C87" s="18" t="n">
        <v>19</v>
      </c>
      <c r="D87" s="18" t="n">
        <v>3</v>
      </c>
      <c r="E87" s="46" t="inlineStr">
        <is>
          <t>16:28.46</t>
        </is>
      </c>
      <c r="F87" s="21">
        <f>IFERROR(__xludf.DUMMYFUNCTION("IF(
  REGEXMATCH(E87, "":""),
  60*VALUE(INDEX(SPLIT(E87, "":""),1,1)) + VALUE(INDEX(SPLIT(E87, "":""),1,2)),
  VALUE(E87)
)"),988.46)</f>
        <v/>
      </c>
      <c r="G87" s="21">
        <f>average(F84-F86,F85-F87)</f>
        <v/>
      </c>
      <c r="H87" s="21" t="n">
        <v>3.004999999999995</v>
      </c>
      <c r="I87" s="211">
        <f>C74</f>
        <v/>
      </c>
      <c r="J87" s="211">
        <f>C91</f>
        <v/>
      </c>
      <c r="K87" s="60">
        <f t="array" ref="K87">INDEX('Podium Target Times'!$C:$C, MATCH(A87&amp;B87, 'Podium Target Times'!$A:$A&amp;'Podium Target Times'!$B:$B, 0))
</f>
        <v/>
      </c>
      <c r="L87" s="24">
        <f>L88+G88</f>
        <v/>
      </c>
      <c r="M87" s="60">
        <f>TEXT(L87/86400, "mm:ss.00")</f>
        <v/>
      </c>
      <c r="N87" s="25">
        <f>IFERROR(__xludf.DUMMYFUNCTION("LET(
  gen,$A87, ev,$B87, t,$M87,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)"),710.0)</f>
        <v/>
      </c>
      <c r="O87" s="65" t="n"/>
      <c r="P87" s="69" t="n"/>
      <c r="Q87" s="65" t="n"/>
      <c r="R87" s="69" t="n"/>
      <c r="S87" s="58" t="n"/>
      <c r="T87" s="69" t="n"/>
      <c r="U87" s="65" t="n"/>
      <c r="V87" s="65" t="n"/>
      <c r="W87" s="65" t="n"/>
    </row>
    <row r="88">
      <c r="A88" s="8" t="inlineStr">
        <is>
          <t>F</t>
        </is>
      </c>
      <c r="B88" s="9" t="inlineStr">
        <is>
          <t>1500 Free</t>
        </is>
      </c>
      <c r="C88" s="9" t="n">
        <v>20</v>
      </c>
      <c r="D88" s="9" t="n">
        <v>2</v>
      </c>
      <c r="E88" s="483" t="inlineStr">
        <is>
          <t>16:24.56</t>
        </is>
      </c>
      <c r="F88" s="35">
        <f>IFERROR(__xludf.DUMMYFUNCTION("IF(
  REGEXMATCH(E88, "":""),
  60*VALUE(INDEX(SPLIT(E88, "":""),1,1)) + VALUE(INDEX(SPLIT(E88, "":""),1,2)),
  VALUE(E88)
)"),984.56)</f>
        <v/>
      </c>
      <c r="G88" s="35">
        <f>average(F86-F88,F87-F89)</f>
        <v/>
      </c>
      <c r="H88" s="35" t="n">
        <v>1.680000000000064</v>
      </c>
      <c r="I88" s="215">
        <f>C74</f>
        <v/>
      </c>
      <c r="J88" s="215">
        <f>C91</f>
        <v/>
      </c>
      <c r="K88" s="43">
        <f t="array" ref="K88">INDEX('Podium Target Times'!$C:$C, MATCH(A88&amp;B88, 'Podium Target Times'!$A:$A&amp;'Podium Target Times'!$B:$B, 0))
</f>
        <v/>
      </c>
      <c r="L88" s="12">
        <f>L90+G90</f>
        <v/>
      </c>
      <c r="M88" s="43">
        <f>TEXT(L88/86400, "mm:ss.00")</f>
        <v/>
      </c>
      <c r="N88" s="14">
        <f>IFERROR(__xludf.DUMMYFUNCTION("LET(
  gen,$A88, ev,$B88, t,$M88,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
      </c>
      <c r="O88" s="65" t="n"/>
      <c r="P88" s="69" t="n"/>
      <c r="Q88" s="65" t="n"/>
      <c r="R88" s="69" t="n"/>
      <c r="S88" s="58" t="n"/>
      <c r="T88" s="69" t="n"/>
      <c r="U88" s="65" t="n"/>
      <c r="V88" s="65" t="n"/>
      <c r="W88" s="65" t="n"/>
    </row>
    <row r="89">
      <c r="A89" s="17" t="inlineStr">
        <is>
          <t>F</t>
        </is>
      </c>
      <c r="B89" s="18" t="inlineStr">
        <is>
          <t>1500 Free</t>
        </is>
      </c>
      <c r="C89" s="18" t="n">
        <v>20</v>
      </c>
      <c r="D89" s="18" t="n">
        <v>3</v>
      </c>
      <c r="E89" s="491" t="inlineStr">
        <is>
          <t>16:26.78</t>
        </is>
      </c>
      <c r="F89" s="21">
        <f>IFERROR(__xludf.DUMMYFUNCTION("IF(
  REGEXMATCH(E89, "":""),
  60*VALUE(INDEX(SPLIT(E89, "":""),1,1)) + VALUE(INDEX(SPLIT(E89, "":""),1,2)),
  VALUE(E89)
)"),986.78)</f>
        <v/>
      </c>
      <c r="G89" s="21">
        <f>average(F86-F88,F87-F89)</f>
        <v/>
      </c>
      <c r="H89" s="21" t="n">
        <v>1.680000000000064</v>
      </c>
      <c r="I89" s="211">
        <f>C74</f>
        <v/>
      </c>
      <c r="J89" s="211">
        <f>C91</f>
        <v/>
      </c>
      <c r="K89" s="60">
        <f t="array" ref="K89">INDEX('Podium Target Times'!$C:$C, MATCH(A89&amp;B89, 'Podium Target Times'!$A:$A&amp;'Podium Target Times'!$B:$B, 0))
</f>
        <v/>
      </c>
      <c r="L89" s="24">
        <f>L90+G90</f>
        <v/>
      </c>
      <c r="M89" s="60">
        <f>TEXT(L89/86400, "mm:ss.00")</f>
        <v/>
      </c>
      <c r="N89" s="25">
        <f>IFERROR(__xludf.DUMMYFUNCTION("LET(
  gen,$A89, ev,$B89, t,$M89,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
      </c>
      <c r="O89" s="65" t="n"/>
      <c r="P89" s="69" t="n"/>
      <c r="Q89" s="65" t="n"/>
      <c r="R89" s="69" t="n"/>
      <c r="S89" s="58" t="n"/>
      <c r="T89" s="69" t="n"/>
      <c r="U89" s="65" t="n"/>
      <c r="V89" s="65" t="n"/>
      <c r="W89" s="65" t="n"/>
    </row>
    <row r="90">
      <c r="A90" s="8" t="inlineStr">
        <is>
          <t>F</t>
        </is>
      </c>
      <c r="B90" s="9" t="inlineStr">
        <is>
          <t>1500 Free</t>
        </is>
      </c>
      <c r="C90" s="9" t="n">
        <v>21</v>
      </c>
      <c r="D90" s="9" t="n">
        <v>3</v>
      </c>
      <c r="E90" s="41" t="inlineStr">
        <is>
          <t>16:25.53</t>
        </is>
      </c>
      <c r="F90" s="35">
        <f>IFERROR(__xludf.DUMMYFUNCTION("IF(
  REGEXMATCH(E90, "":""),
  60*VALUE(INDEX(SPLIT(E90, "":""),1,1)) + VALUE(INDEX(SPLIT(E90, "":""),1,2)),
  VALUE(E90)
)"),985.53)</f>
        <v/>
      </c>
      <c r="G90" s="35">
        <f>F89-F90</f>
        <v/>
      </c>
      <c r="H90" s="35" t="n">
        <v>1.25</v>
      </c>
      <c r="I90" s="215">
        <f>C74</f>
        <v/>
      </c>
      <c r="J90" s="215">
        <f>C91</f>
        <v/>
      </c>
      <c r="K90" s="43">
        <f t="array" ref="K90">INDEX('Podium Target Times'!$C:$C, MATCH(A90&amp;B90, 'Podium Target Times'!$A:$A&amp;'Podium Target Times'!$B:$B, 0))
</f>
        <v/>
      </c>
      <c r="L90" s="12">
        <f>L91+G91</f>
        <v/>
      </c>
      <c r="M90" s="43">
        <f>TEXT(L90/86400, "mm:ss.00")</f>
        <v/>
      </c>
      <c r="N90" s="14">
        <f>IFERROR(__xludf.DUMMYFUNCTION("LET(
  gen,$A90, ev,$B90, t,$M90,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
      </c>
      <c r="O90" s="65" t="n"/>
      <c r="P90" s="69" t="n"/>
      <c r="Q90" s="65" t="n"/>
      <c r="R90" s="69" t="n"/>
      <c r="S90" s="58" t="n"/>
      <c r="T90" s="69" t="n"/>
      <c r="U90" s="65" t="n"/>
      <c r="V90" s="65" t="n"/>
      <c r="W90" s="65" t="n"/>
    </row>
    <row r="91">
      <c r="A91" s="17" t="inlineStr">
        <is>
          <t>F</t>
        </is>
      </c>
      <c r="B91" s="18" t="inlineStr">
        <is>
          <t>1500 Free</t>
        </is>
      </c>
      <c r="C91" s="18" t="n">
        <v>22</v>
      </c>
      <c r="D91" s="18" t="n">
        <v>3</v>
      </c>
      <c r="E91" s="491" t="inlineStr">
        <is>
          <t>16:24.56</t>
        </is>
      </c>
      <c r="F91" s="21">
        <f>IFERROR(__xludf.DUMMYFUNCTION("IF(
  REGEXMATCH(E91, "":""),
  60*VALUE(INDEX(SPLIT(E91, "":""),1,1)) + VALUE(INDEX(SPLIT(E91, "":""),1,2)),
  VALUE(E91)
)"),984.56)</f>
        <v/>
      </c>
      <c r="G91" s="21">
        <f>F90-F91</f>
        <v/>
      </c>
      <c r="H91" s="21" t="n">
        <v>0.9700000000000273</v>
      </c>
      <c r="I91" s="211">
        <f>C74</f>
        <v/>
      </c>
      <c r="J91" s="211">
        <f>C91</f>
        <v/>
      </c>
      <c r="K91" s="60">
        <f t="array" ref="K91">INDEX('Podium Target Times'!$C:$C, MATCH(A91&amp;B91, 'Podium Target Times'!$A:$A&amp;'Podium Target Times'!$B:$B, 0))
</f>
        <v/>
      </c>
      <c r="L91" s="211">
        <f>K91</f>
        <v/>
      </c>
      <c r="M91" s="60">
        <f>TEXT(L91/86400, "mm:ss.00")</f>
        <v/>
      </c>
      <c r="N91" s="25">
        <f>IFERROR(__xludf.DUMMYFUNCTION("LET(
  gen,$A91, ev,$B91, t,$M91,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
      </c>
      <c r="O91" s="65" t="n"/>
      <c r="P91" s="69" t="n"/>
      <c r="Q91" s="65" t="n"/>
      <c r="R91" s="69" t="n"/>
      <c r="S91" s="58" t="n"/>
      <c r="T91" s="69" t="n"/>
      <c r="U91" s="65" t="n"/>
      <c r="V91" s="65" t="n"/>
      <c r="W91" s="65" t="n"/>
    </row>
    <row r="92">
      <c r="A92" s="8" t="inlineStr">
        <is>
          <t>F</t>
        </is>
      </c>
      <c r="B92" s="9" t="inlineStr">
        <is>
          <t>200 Back</t>
        </is>
      </c>
      <c r="C92" s="9" t="n">
        <v>13</v>
      </c>
      <c r="D92" s="9" t="n">
        <v>1</v>
      </c>
      <c r="E92" s="41" t="inlineStr">
        <is>
          <t>2:23.84</t>
        </is>
      </c>
      <c r="F92" s="35">
        <f>IFERROR(__xludf.DUMMYFUNCTION("IF(
  REGEXMATCH(E92, "":""),
  60*VALUE(INDEX(SPLIT(E92, "":""),1,1)) + VALUE(INDEX(SPLIT(E92, "":""),1,2)),
  VALUE(E92)
)"),143.84)</f>
        <v/>
      </c>
      <c r="G92" s="12" t="n">
        <v>0</v>
      </c>
      <c r="H92" s="12" t="n">
        <v>0</v>
      </c>
      <c r="I92" s="43">
        <f>C92</f>
        <v/>
      </c>
      <c r="J92" s="43">
        <f>C109</f>
        <v/>
      </c>
      <c r="K92" s="43">
        <f t="array" ref="K92">INDEX('Podium Target Times'!$C:$C, MATCH(A92&amp;B92, 'Podium Target Times'!$A:$A&amp;'Podium Target Times'!$B:$B, 0))
</f>
        <v/>
      </c>
      <c r="L92" s="12">
        <f>L93+G93</f>
        <v/>
      </c>
      <c r="M92" s="43">
        <f>TEXT(L92/86400, "mm:ss.00")</f>
        <v/>
      </c>
      <c r="N92" s="14">
        <f>IFERROR(__xludf.DUMMYFUNCTION("LET(
  gen,$A92, ev,$B92, t,$M92,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)"),517.0)</f>
        <v/>
      </c>
      <c r="O92" s="65" t="n"/>
      <c r="P92" s="69">
        <f>A92</f>
        <v/>
      </c>
      <c r="Q92" s="65">
        <f>B92</f>
        <v/>
      </c>
      <c r="R92" s="69">
        <f>C92</f>
        <v/>
      </c>
      <c r="S92" s="58">
        <f>M92</f>
        <v/>
      </c>
      <c r="T92" s="69">
        <f>N92</f>
        <v/>
      </c>
      <c r="U92" s="65" t="n"/>
      <c r="V92" s="65" t="n"/>
      <c r="W92" s="65" t="n"/>
    </row>
    <row r="93">
      <c r="A93" s="17" t="inlineStr">
        <is>
          <t>F</t>
        </is>
      </c>
      <c r="B93" s="18" t="inlineStr">
        <is>
          <t>200 Back</t>
        </is>
      </c>
      <c r="C93" s="18" t="n">
        <v>14</v>
      </c>
      <c r="D93" s="18" t="n">
        <v>1</v>
      </c>
      <c r="E93" s="46" t="inlineStr">
        <is>
          <t>2:18.64</t>
        </is>
      </c>
      <c r="F93" s="21">
        <f>IFERROR(__xludf.DUMMYFUNCTION("IF(
  REGEXMATCH(E93, "":""),
  60*VALUE(INDEX(SPLIT(E93, "":""),1,1)) + VALUE(INDEX(SPLIT(E93, "":""),1,2)),
  VALUE(E93)
)"),138.64)</f>
        <v/>
      </c>
      <c r="G93" s="21">
        <f>F92-F93</f>
        <v/>
      </c>
      <c r="H93" s="21" t="n">
        <v>5.200000000000017</v>
      </c>
      <c r="I93" s="211">
        <f>C92</f>
        <v/>
      </c>
      <c r="J93" s="211">
        <f>C109</f>
        <v/>
      </c>
      <c r="K93" s="60">
        <f t="array" ref="K93">INDEX('Podium Target Times'!$C:$C, MATCH(A93&amp;B93, 'Podium Target Times'!$A:$A&amp;'Podium Target Times'!$B:$B, 0))
</f>
        <v/>
      </c>
      <c r="L93" s="24">
        <f>L95+G95</f>
        <v/>
      </c>
      <c r="M93" s="60">
        <f>TEXT(L93/86400, "mm:ss.00")</f>
        <v/>
      </c>
      <c r="N93" s="25">
        <f>IFERROR(__xludf.DUMMYFUNCTION("LET(
  gen,$A93, ev,$B93, t,$M93,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)"),573.0)</f>
        <v/>
      </c>
      <c r="O93" s="65" t="n"/>
      <c r="P93" s="69">
        <f>A93</f>
        <v/>
      </c>
      <c r="Q93" s="65">
        <f>B93</f>
        <v/>
      </c>
      <c r="R93" s="69">
        <f>C93</f>
        <v/>
      </c>
      <c r="S93" s="58">
        <f>M93</f>
        <v/>
      </c>
      <c r="T93" s="69">
        <f>N93</f>
        <v/>
      </c>
      <c r="U93" s="65" t="n"/>
      <c r="V93" s="65" t="n"/>
      <c r="W93" s="65" t="n"/>
    </row>
    <row r="94">
      <c r="A94" s="8" t="inlineStr">
        <is>
          <t>F</t>
        </is>
      </c>
      <c r="B94" s="9" t="inlineStr">
        <is>
          <t>200 Back</t>
        </is>
      </c>
      <c r="C94" s="9" t="n">
        <v>14</v>
      </c>
      <c r="D94" s="219" t="n">
        <v>2</v>
      </c>
      <c r="E94" s="41" t="inlineStr">
        <is>
          <t>2:20.52</t>
        </is>
      </c>
      <c r="F94" s="35">
        <f>IFERROR(__xludf.DUMMYFUNCTION("IF(
  REGEXMATCH(E94, "":""),
  60*VALUE(INDEX(SPLIT(E94, "":""),1,1)) + VALUE(INDEX(SPLIT(E94, "":""),1,2)),
  VALUE(E94)
)"),140.52)</f>
        <v/>
      </c>
      <c r="G94" s="35">
        <f>F92-F93</f>
        <v/>
      </c>
      <c r="H94" s="35" t="n">
        <v>5.200000000000017</v>
      </c>
      <c r="I94" s="215">
        <f>C92</f>
        <v/>
      </c>
      <c r="J94" s="215">
        <f>C109</f>
        <v/>
      </c>
      <c r="K94" s="43">
        <f t="array" ref="K94">INDEX('Podium Target Times'!$C:$C, MATCH(A94&amp;B94, 'Podium Target Times'!$A:$A&amp;'Podium Target Times'!$B:$B, 0))
</f>
        <v/>
      </c>
      <c r="L94" s="12">
        <f>L95+G95</f>
        <v/>
      </c>
      <c r="M94" s="43">
        <f>TEXT(L94/86400, "mm:ss.00")</f>
        <v/>
      </c>
      <c r="N94" s="14">
        <f>IFERROR(__xludf.DUMMYFUNCTION("LET(
  gen,$A94, ev,$B94, t,$M94,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)"),573.0)</f>
        <v/>
      </c>
      <c r="O94" s="65" t="n"/>
      <c r="P94" s="69">
        <f>A95</f>
        <v/>
      </c>
      <c r="Q94" s="65">
        <f>B95</f>
        <v/>
      </c>
      <c r="R94" s="69">
        <f>C95</f>
        <v/>
      </c>
      <c r="S94" s="58">
        <f>M95</f>
        <v/>
      </c>
      <c r="T94" s="69">
        <f>N95</f>
        <v/>
      </c>
      <c r="U94" s="65" t="n"/>
      <c r="V94" s="65" t="n"/>
      <c r="W94" s="65" t="n"/>
    </row>
    <row r="95">
      <c r="A95" s="17" t="inlineStr">
        <is>
          <t>F</t>
        </is>
      </c>
      <c r="B95" s="18" t="inlineStr">
        <is>
          <t>200 Back</t>
        </is>
      </c>
      <c r="C95" s="18" t="n">
        <v>15</v>
      </c>
      <c r="D95" s="18" t="n">
        <v>1</v>
      </c>
      <c r="E95" s="46" t="inlineStr">
        <is>
          <t>2:14.97</t>
        </is>
      </c>
      <c r="F95" s="21">
        <f>IFERROR(__xludf.DUMMYFUNCTION("IF(
  REGEXMATCH(E95, "":""),
  60*VALUE(INDEX(SPLIT(E95, "":""),1,1)) + VALUE(INDEX(SPLIT(E95, "":""),1,2)),
  VALUE(E95)
)"),134.97)</f>
        <v/>
      </c>
      <c r="G95" s="21">
        <f>average(F93-F95,F94-F96)</f>
        <v/>
      </c>
      <c r="H95" s="21" t="n">
        <v>3.694999999999993</v>
      </c>
      <c r="I95" s="211">
        <f>C92</f>
        <v/>
      </c>
      <c r="J95" s="211">
        <f>C109</f>
        <v/>
      </c>
      <c r="K95" s="60">
        <f t="array" ref="K95">INDEX('Podium Target Times'!$C:$C, MATCH(A95&amp;B95, 'Podium Target Times'!$A:$A&amp;'Podium Target Times'!$B:$B, 0))
</f>
        <v/>
      </c>
      <c r="L95" s="24">
        <f>L98+G98</f>
        <v/>
      </c>
      <c r="M95" s="60">
        <f>TEXT(L95/86400, "mm:ss.00")</f>
        <v/>
      </c>
      <c r="N95" s="25">
        <f>IFERROR(__xludf.DUMMYFUNCTION("LET(
  gen,$A95, ev,$B95, t,$M95,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
      </c>
      <c r="O95" s="65" t="n"/>
      <c r="P95" s="69">
        <f>A98</f>
        <v/>
      </c>
      <c r="Q95" s="65">
        <f>B98</f>
        <v/>
      </c>
      <c r="R95" s="69">
        <f>C98</f>
        <v/>
      </c>
      <c r="S95" s="58">
        <f>M98</f>
        <v/>
      </c>
      <c r="T95" s="69">
        <f>N98</f>
        <v/>
      </c>
      <c r="U95" s="65" t="n"/>
      <c r="V95" s="65" t="n"/>
      <c r="W95" s="65" t="n"/>
    </row>
    <row r="96">
      <c r="A96" s="8" t="inlineStr">
        <is>
          <t>F</t>
        </is>
      </c>
      <c r="B96" s="9" t="inlineStr">
        <is>
          <t>200 Back</t>
        </is>
      </c>
      <c r="C96" s="9" t="n">
        <v>15</v>
      </c>
      <c r="D96" s="9" t="n">
        <v>2</v>
      </c>
      <c r="E96" s="41" t="inlineStr">
        <is>
          <t>2:16.80</t>
        </is>
      </c>
      <c r="F96" s="35">
        <f>IFERROR(__xludf.DUMMYFUNCTION("IF(
  REGEXMATCH(E96, "":""),
  60*VALUE(INDEX(SPLIT(E96, "":""),1,1)) + VALUE(INDEX(SPLIT(E96, "":""),1,2)),
  VALUE(E96)
)"),136.8)</f>
        <v/>
      </c>
      <c r="G96" s="35">
        <f>average(F93-F95,F94-F96)</f>
        <v/>
      </c>
      <c r="H96" s="35" t="n">
        <v>3.694999999999993</v>
      </c>
      <c r="I96" s="215">
        <f>C92</f>
        <v/>
      </c>
      <c r="J96" s="215">
        <f>C109</f>
        <v/>
      </c>
      <c r="K96" s="43">
        <f t="array" ref="K96">INDEX('Podium Target Times'!$C:$C, MATCH(A96&amp;B96, 'Podium Target Times'!$A:$A&amp;'Podium Target Times'!$B:$B, 0))
</f>
        <v/>
      </c>
      <c r="L96" s="12">
        <f>L98+G98</f>
        <v/>
      </c>
      <c r="M96" s="43">
        <f>TEXT(L96/86400, "mm:ss.00")</f>
        <v/>
      </c>
      <c r="N96" s="14">
        <f>IFERROR(__xludf.DUMMYFUNCTION("LET(
  gen,$A96, ev,$B96, t,$M96,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
      </c>
      <c r="O96" s="65" t="n"/>
      <c r="P96" s="69">
        <f>A101</f>
        <v/>
      </c>
      <c r="Q96" s="65">
        <f>B101</f>
        <v/>
      </c>
      <c r="R96" s="69">
        <f>C101</f>
        <v/>
      </c>
      <c r="S96" s="58">
        <f>M101</f>
        <v/>
      </c>
      <c r="T96" s="69">
        <f>N101</f>
        <v/>
      </c>
      <c r="U96" s="65" t="n"/>
      <c r="V96" s="65" t="n"/>
      <c r="W96" s="65" t="n"/>
    </row>
    <row r="97">
      <c r="A97" s="17" t="inlineStr">
        <is>
          <t>F</t>
        </is>
      </c>
      <c r="B97" s="18" t="inlineStr">
        <is>
          <t>200 Back</t>
        </is>
      </c>
      <c r="C97" s="18" t="n">
        <v>15</v>
      </c>
      <c r="D97" s="18" t="n">
        <v>3</v>
      </c>
      <c r="E97" s="46" t="inlineStr">
        <is>
          <t>2:17.67</t>
        </is>
      </c>
      <c r="F97" s="21">
        <f>IFERROR(__xludf.DUMMYFUNCTION("IF(
  REGEXMATCH(E97, "":""),
  60*VALUE(INDEX(SPLIT(E97, "":""),1,1)) + VALUE(INDEX(SPLIT(E97, "":""),1,2)),
  VALUE(E97)
)"),137.67000000000002)</f>
        <v/>
      </c>
      <c r="G97" s="21">
        <f>average(F93-F95,F94-F96)</f>
        <v/>
      </c>
      <c r="H97" s="21" t="n">
        <v>3.694999999999993</v>
      </c>
      <c r="I97" s="211">
        <f>C92</f>
        <v/>
      </c>
      <c r="J97" s="211">
        <f>C109</f>
        <v/>
      </c>
      <c r="K97" s="60">
        <f t="array" ref="K97">INDEX('Podium Target Times'!$C:$C, MATCH(A97&amp;B97, 'Podium Target Times'!$A:$A&amp;'Podium Target Times'!$B:$B, 0))
</f>
        <v/>
      </c>
      <c r="L97" s="24">
        <f>L98+G98</f>
        <v/>
      </c>
      <c r="M97" s="60">
        <f>TEXT(L97/86400, "mm:ss.00")</f>
        <v/>
      </c>
      <c r="N97" s="25">
        <f>IFERROR(__xludf.DUMMYFUNCTION("LET(
  gen,$A97, ev,$B97, t,$M97,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
      </c>
      <c r="O97" s="65" t="n"/>
      <c r="P97" s="69">
        <f>A104</f>
        <v/>
      </c>
      <c r="Q97" s="65">
        <f>B104</f>
        <v/>
      </c>
      <c r="R97" s="69">
        <f>C104</f>
        <v/>
      </c>
      <c r="S97" s="58">
        <f>M104</f>
        <v/>
      </c>
      <c r="T97" s="69">
        <f>N104</f>
        <v/>
      </c>
      <c r="U97" s="65" t="n"/>
      <c r="V97" s="65" t="n"/>
      <c r="W97" s="65" t="n"/>
    </row>
    <row r="98">
      <c r="A98" s="8" t="inlineStr">
        <is>
          <t>F</t>
        </is>
      </c>
      <c r="B98" s="9" t="inlineStr">
        <is>
          <t>200 Back</t>
        </is>
      </c>
      <c r="C98" s="9" t="n">
        <v>16</v>
      </c>
      <c r="D98" s="9" t="n">
        <v>1</v>
      </c>
      <c r="E98" s="41" t="inlineStr">
        <is>
          <t>2:12.63</t>
        </is>
      </c>
      <c r="F98" s="35">
        <f>IFERROR(__xludf.DUMMYFUNCTION("IF(
  REGEXMATCH(E98, "":""),
  60*VALUE(INDEX(SPLIT(E98, "":""),1,1)) + VALUE(INDEX(SPLIT(E98, "":""),1,2)),
  VALUE(E98)
)"),132.63)</f>
        <v/>
      </c>
      <c r="G98" s="35">
        <f>average(F95-F98,F96-F99,F97-F100)</f>
        <v/>
      </c>
      <c r="H98" s="35" t="n">
        <v>2.366666666666674</v>
      </c>
      <c r="I98" s="215">
        <f>C92</f>
        <v/>
      </c>
      <c r="J98" s="215">
        <f>C109</f>
        <v/>
      </c>
      <c r="K98" s="43">
        <f t="array" ref="K98">INDEX('Podium Target Times'!$C:$C, MATCH(A98&amp;B98, 'Podium Target Times'!$A:$A&amp;'Podium Target Times'!$B:$B, 0))
</f>
        <v/>
      </c>
      <c r="L98" s="12">
        <f>L101+G101</f>
        <v/>
      </c>
      <c r="M98" s="43">
        <f>TEXT(L98/86400, "mm:ss.00")</f>
        <v/>
      </c>
      <c r="N98" s="14">
        <f>IFERROR(__xludf.DUMMYFUNCTION("LET(
  gen,$A98, ev,$B98, t,$M98,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)"),650.0)</f>
        <v/>
      </c>
      <c r="O98" s="65" t="n"/>
      <c r="P98" s="69">
        <f>A106</f>
        <v/>
      </c>
      <c r="Q98" s="65">
        <f>B106</f>
        <v/>
      </c>
      <c r="R98" s="69">
        <f>C106</f>
        <v/>
      </c>
      <c r="S98" s="58">
        <f>M106</f>
        <v/>
      </c>
      <c r="T98" s="69">
        <f>N106</f>
        <v/>
      </c>
      <c r="U98" s="65" t="n"/>
      <c r="V98" s="65" t="n"/>
      <c r="W98" s="65" t="n"/>
    </row>
    <row r="99">
      <c r="A99" s="17" t="inlineStr">
        <is>
          <t>F</t>
        </is>
      </c>
      <c r="B99" s="18" t="inlineStr">
        <is>
          <t>200 Back</t>
        </is>
      </c>
      <c r="C99" s="18" t="n">
        <v>16</v>
      </c>
      <c r="D99" s="221" t="n">
        <v>2</v>
      </c>
      <c r="E99" s="46" t="inlineStr">
        <is>
          <t>2:14.43</t>
        </is>
      </c>
      <c r="F99" s="21">
        <f>IFERROR(__xludf.DUMMYFUNCTION("IF(
  REGEXMATCH(E99, "":""),
  60*VALUE(INDEX(SPLIT(E99, "":""),1,1)) + VALUE(INDEX(SPLIT(E99, "":""),1,2)),
  VALUE(E99)
)"),134.43)</f>
        <v/>
      </c>
      <c r="G99" s="21">
        <f>average(F95-F98,F96-F99,F97-F100)</f>
        <v/>
      </c>
      <c r="H99" s="21" t="n">
        <v>2.366666666666674</v>
      </c>
      <c r="I99" s="211">
        <f>C92</f>
        <v/>
      </c>
      <c r="J99" s="211">
        <f>C109</f>
        <v/>
      </c>
      <c r="K99" s="60">
        <f t="array" ref="K99">INDEX('Podium Target Times'!$C:$C, MATCH(A99&amp;B99, 'Podium Target Times'!$A:$A&amp;'Podium Target Times'!$B:$B, 0))
</f>
        <v/>
      </c>
      <c r="L99" s="24">
        <f>L101+G101</f>
        <v/>
      </c>
      <c r="M99" s="60">
        <f>TEXT(L99/86400, "mm:ss.00")</f>
        <v/>
      </c>
      <c r="N99" s="25">
        <f>IFERROR(__xludf.DUMMYFUNCTION("LET(
  gen,$A99, ev,$B99, t,$M99,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)"),650.0)</f>
        <v/>
      </c>
      <c r="O99" s="65" t="n"/>
      <c r="P99" s="69">
        <f>A108</f>
        <v/>
      </c>
      <c r="Q99" s="65">
        <f>B108</f>
        <v/>
      </c>
      <c r="R99" s="69">
        <f>C108</f>
        <v/>
      </c>
      <c r="S99" s="58">
        <f>M108</f>
        <v/>
      </c>
      <c r="T99" s="69">
        <f>N108</f>
        <v/>
      </c>
      <c r="U99" s="65" t="n"/>
      <c r="V99" s="65" t="n"/>
      <c r="W99" s="65" t="n"/>
    </row>
    <row r="100">
      <c r="A100" s="8" t="inlineStr">
        <is>
          <t>F</t>
        </is>
      </c>
      <c r="B100" s="9" t="inlineStr">
        <is>
          <t>200 Back</t>
        </is>
      </c>
      <c r="C100" s="9" t="n">
        <v>16</v>
      </c>
      <c r="D100" s="9" t="n">
        <v>3</v>
      </c>
      <c r="E100" s="41" t="inlineStr">
        <is>
          <t>2:15.28</t>
        </is>
      </c>
      <c r="F100" s="35">
        <f>IFERROR(__xludf.DUMMYFUNCTION("IF(
  REGEXMATCH(E100, "":""),
  60*VALUE(INDEX(SPLIT(E100, "":""),1,1)) + VALUE(INDEX(SPLIT(E100, "":""),1,2)),
  VALUE(E100)
)"),135.28)</f>
        <v/>
      </c>
      <c r="G100" s="35">
        <f>average(F95-F98,F96-F99,F97-F100)</f>
        <v/>
      </c>
      <c r="H100" s="35" t="n">
        <v>2.366666666666674</v>
      </c>
      <c r="I100" s="215">
        <f>C92</f>
        <v/>
      </c>
      <c r="J100" s="215">
        <f>C109</f>
        <v/>
      </c>
      <c r="K100" s="43">
        <f t="array" ref="K100">INDEX('Podium Target Times'!$C:$C, MATCH(A100&amp;B100, 'Podium Target Times'!$A:$A&amp;'Podium Target Times'!$B:$B, 0))
</f>
        <v/>
      </c>
      <c r="L100" s="12">
        <f>L101+G101</f>
        <v/>
      </c>
      <c r="M100" s="43">
        <f>TEXT(L100/86400, "mm:ss.00")</f>
        <v/>
      </c>
      <c r="N100" s="14">
        <f>IFERROR(__xludf.DUMMYFUNCTION("LET(
  gen,$A100, ev,$B100, t,$M100,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)"),650.0)</f>
        <v/>
      </c>
      <c r="O100" s="65" t="n"/>
      <c r="P100" s="69">
        <f>A109</f>
        <v/>
      </c>
      <c r="Q100" s="65">
        <f>B109</f>
        <v/>
      </c>
      <c r="R100" s="69">
        <f>C109</f>
        <v/>
      </c>
      <c r="S100" s="58">
        <f>M109</f>
        <v/>
      </c>
      <c r="T100" s="69">
        <f>N109</f>
        <v/>
      </c>
      <c r="U100" s="65" t="n"/>
      <c r="V100" s="65" t="n"/>
      <c r="W100" s="65" t="n"/>
    </row>
    <row r="101">
      <c r="A101" s="17" t="inlineStr">
        <is>
          <t>F</t>
        </is>
      </c>
      <c r="B101" s="18" t="inlineStr">
        <is>
          <t>200 Back</t>
        </is>
      </c>
      <c r="C101" s="18" t="n">
        <v>17</v>
      </c>
      <c r="D101" s="18" t="n">
        <v>1</v>
      </c>
      <c r="E101" s="46" t="inlineStr">
        <is>
          <t>2:11.08</t>
        </is>
      </c>
      <c r="F101" s="21">
        <f>IFERROR(__xludf.DUMMYFUNCTION("IF(
  REGEXMATCH(E101, "":""),
  60*VALUE(INDEX(SPLIT(E101, "":""),1,1)) + VALUE(INDEX(SPLIT(E101, "":""),1,2)),
  VALUE(E101)
)"),131.08)</f>
        <v/>
      </c>
      <c r="G101" s="21">
        <f>average(F98-F101,F99-F102,F100-F103)</f>
        <v/>
      </c>
      <c r="H101" s="21" t="n">
        <v>1.566666666666663</v>
      </c>
      <c r="I101" s="211">
        <f>C92</f>
        <v/>
      </c>
      <c r="J101" s="211">
        <f>C109</f>
        <v/>
      </c>
      <c r="K101" s="60">
        <f t="array" ref="K101">INDEX('Podium Target Times'!$C:$C, MATCH(A101&amp;B101, 'Podium Target Times'!$A:$A&amp;'Podium Target Times'!$B:$B, 0))
</f>
        <v/>
      </c>
      <c r="L101" s="24">
        <f>L104+G104</f>
        <v/>
      </c>
      <c r="M101" s="60">
        <f>TEXT(L101/86400, "mm:ss.00")</f>
        <v/>
      </c>
      <c r="N101" s="25">
        <f>IFERROR(__xludf.DUMMYFUNCTION("LET(
  gen,$A101, ev,$B101, t,$M101,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101" s="65" t="n"/>
      <c r="P101" s="69" t="n"/>
      <c r="Q101" s="65" t="n"/>
      <c r="R101" s="69" t="n"/>
      <c r="S101" s="58" t="n"/>
      <c r="T101" s="69" t="n"/>
      <c r="U101" s="65" t="n"/>
      <c r="V101" s="65" t="n"/>
      <c r="W101" s="65" t="n"/>
    </row>
    <row r="102">
      <c r="A102" s="8" t="inlineStr">
        <is>
          <t>F</t>
        </is>
      </c>
      <c r="B102" s="9" t="inlineStr">
        <is>
          <t>200 Back</t>
        </is>
      </c>
      <c r="C102" s="9" t="n">
        <v>17</v>
      </c>
      <c r="D102" s="9" t="n">
        <v>2</v>
      </c>
      <c r="E102" s="41" t="inlineStr">
        <is>
          <t>2:12.86</t>
        </is>
      </c>
      <c r="F102" s="35">
        <f>IFERROR(__xludf.DUMMYFUNCTION("IF(
  REGEXMATCH(E102, "":""),
  60*VALUE(INDEX(SPLIT(E102, "":""),1,1)) + VALUE(INDEX(SPLIT(E102, "":""),1,2)),
  VALUE(E102)
)"),132.86)</f>
        <v/>
      </c>
      <c r="G102" s="35">
        <f>average(F98-F101,F99-F102,F100-F103)</f>
        <v/>
      </c>
      <c r="H102" s="35" t="n">
        <v>1.566666666666663</v>
      </c>
      <c r="I102" s="215">
        <f>C92</f>
        <v/>
      </c>
      <c r="J102" s="215">
        <f>C109</f>
        <v/>
      </c>
      <c r="K102" s="43">
        <f t="array" ref="K102">INDEX('Podium Target Times'!$C:$C, MATCH(A102&amp;B102, 'Podium Target Times'!$A:$A&amp;'Podium Target Times'!$B:$B, 0))
</f>
        <v/>
      </c>
      <c r="L102" s="12">
        <f>L104+G104</f>
        <v/>
      </c>
      <c r="M102" s="43">
        <f>TEXT(L102/86400, "mm:ss.00")</f>
        <v/>
      </c>
      <c r="N102" s="14">
        <f>IFERROR(__xludf.DUMMYFUNCTION("LET(
  gen,$A102, ev,$B102, t,$M102,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102" s="65" t="n"/>
      <c r="P102" s="69" t="n"/>
      <c r="Q102" s="65" t="n"/>
      <c r="R102" s="69" t="n"/>
      <c r="S102" s="58" t="n"/>
      <c r="T102" s="69" t="n"/>
      <c r="U102" s="65" t="n"/>
      <c r="V102" s="65" t="n"/>
      <c r="W102" s="65" t="n"/>
    </row>
    <row r="103">
      <c r="A103" s="17" t="inlineStr">
        <is>
          <t>F</t>
        </is>
      </c>
      <c r="B103" s="18" t="inlineStr">
        <is>
          <t>200 Back</t>
        </is>
      </c>
      <c r="C103" s="18" t="n">
        <v>17</v>
      </c>
      <c r="D103" s="18" t="n">
        <v>3</v>
      </c>
      <c r="E103" s="46" t="inlineStr">
        <is>
          <t>2:13.70</t>
        </is>
      </c>
      <c r="F103" s="21">
        <f>IFERROR(__xludf.DUMMYFUNCTION("IF(
  REGEXMATCH(E103, "":""),
  60*VALUE(INDEX(SPLIT(E103, "":""),1,1)) + VALUE(INDEX(SPLIT(E103, "":""),1,2)),
  VALUE(E103)
)"),133.7)</f>
        <v/>
      </c>
      <c r="G103" s="21">
        <f>average(F98-F101,F99-F102,F100-F103)</f>
        <v/>
      </c>
      <c r="H103" s="21" t="n">
        <v>1.566666666666663</v>
      </c>
      <c r="I103" s="211">
        <f>C92</f>
        <v/>
      </c>
      <c r="J103" s="211">
        <f>C109</f>
        <v/>
      </c>
      <c r="K103" s="60">
        <f t="array" ref="K103">INDEX('Podium Target Times'!$C:$C, MATCH(A103&amp;B103, 'Podium Target Times'!$A:$A&amp;'Podium Target Times'!$B:$B, 0))
</f>
        <v/>
      </c>
      <c r="L103" s="24">
        <f>L104+G104</f>
        <v/>
      </c>
      <c r="M103" s="60">
        <f>TEXT(L103/86400, "mm:ss.00")</f>
        <v/>
      </c>
      <c r="N103" s="25">
        <f>IFERROR(__xludf.DUMMYFUNCTION("LET(
  gen,$A103, ev,$B103, t,$M103,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103" s="65" t="n"/>
      <c r="P103" s="69" t="n"/>
      <c r="Q103" s="65" t="n"/>
      <c r="R103" s="69" t="n"/>
      <c r="S103" s="58" t="n"/>
      <c r="T103" s="69" t="n"/>
      <c r="U103" s="65" t="n"/>
      <c r="V103" s="65" t="n"/>
      <c r="W103" s="65" t="n"/>
    </row>
    <row r="104">
      <c r="A104" s="8" t="inlineStr">
        <is>
          <t>F</t>
        </is>
      </c>
      <c r="B104" s="9" t="inlineStr">
        <is>
          <t>200 Back</t>
        </is>
      </c>
      <c r="C104" s="9" t="n">
        <v>18</v>
      </c>
      <c r="D104" s="219" t="n">
        <v>2</v>
      </c>
      <c r="E104" s="41" t="inlineStr">
        <is>
          <t>2:11.79</t>
        </is>
      </c>
      <c r="F104" s="35">
        <f>IFERROR(__xludf.DUMMYFUNCTION("IF(
  REGEXMATCH(E104, "":""),
  60*VALUE(INDEX(SPLIT(E104, "":""),1,1)) + VALUE(INDEX(SPLIT(E104, "":""),1,2)),
  VALUE(E104)
)"),131.79)</f>
        <v/>
      </c>
      <c r="G104" s="35">
        <f>average(F102-F104,F103-F105)</f>
        <v/>
      </c>
      <c r="H104" s="35" t="n">
        <v>1.070000000000007</v>
      </c>
      <c r="I104" s="215">
        <f>C92</f>
        <v/>
      </c>
      <c r="J104" s="215">
        <f>C109</f>
        <v/>
      </c>
      <c r="K104" s="43">
        <f t="array" ref="K104">INDEX('Podium Target Times'!$C:$C, MATCH(A104&amp;B104, 'Podium Target Times'!$A:$A&amp;'Podium Target Times'!$B:$B, 0))
</f>
        <v/>
      </c>
      <c r="L104" s="12">
        <f>L106+G106</f>
        <v/>
      </c>
      <c r="M104" s="43">
        <f>TEXT(L104/86400, "mm:ss.00")</f>
        <v/>
      </c>
      <c r="N104" s="14">
        <f>IFERROR(__xludf.DUMMYFUNCTION("LET(
  gen,$A104, ev,$B104, t,$M104,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104" s="65" t="n"/>
      <c r="P104" s="69" t="n"/>
      <c r="Q104" s="65" t="n"/>
      <c r="R104" s="69" t="n"/>
      <c r="S104" s="58" t="n"/>
      <c r="T104" s="69" t="n"/>
      <c r="U104" s="65" t="n"/>
      <c r="V104" s="65" t="n"/>
      <c r="W104" s="65" t="n"/>
    </row>
    <row r="105">
      <c r="A105" s="17" t="inlineStr">
        <is>
          <t>F</t>
        </is>
      </c>
      <c r="B105" s="18" t="inlineStr">
        <is>
          <t>200 Back</t>
        </is>
      </c>
      <c r="C105" s="18" t="n">
        <v>18</v>
      </c>
      <c r="D105" s="18" t="n">
        <v>3</v>
      </c>
      <c r="E105" s="46" t="inlineStr">
        <is>
          <t>2:12.63</t>
        </is>
      </c>
      <c r="F105" s="21">
        <f>IFERROR(__xludf.DUMMYFUNCTION("IF(
  REGEXMATCH(E105, "":""),
  60*VALUE(INDEX(SPLIT(E105, "":""),1,1)) + VALUE(INDEX(SPLIT(E105, "":""),1,2)),
  VALUE(E105)
)"),132.63)</f>
        <v/>
      </c>
      <c r="G105" s="21">
        <f>average(F102-F104,F103-F105)</f>
        <v/>
      </c>
      <c r="H105" s="21" t="n">
        <v>1.070000000000007</v>
      </c>
      <c r="I105" s="211">
        <f>C92</f>
        <v/>
      </c>
      <c r="J105" s="211">
        <f>C109</f>
        <v/>
      </c>
      <c r="K105" s="60">
        <f t="array" ref="K105">INDEX('Podium Target Times'!$C:$C, MATCH(A105&amp;B105, 'Podium Target Times'!$A:$A&amp;'Podium Target Times'!$B:$B, 0))
</f>
        <v/>
      </c>
      <c r="L105" s="24">
        <f>L106+G106</f>
        <v/>
      </c>
      <c r="M105" s="60">
        <f>TEXT(L105/86400, "mm:ss.00")</f>
        <v/>
      </c>
      <c r="N105" s="25">
        <f>IFERROR(__xludf.DUMMYFUNCTION("LET(
  gen,$A105, ev,$B105, t,$M105,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105" s="65" t="n"/>
      <c r="P105" s="69" t="n"/>
      <c r="Q105" s="65" t="n"/>
      <c r="R105" s="69" t="n"/>
      <c r="S105" s="58" t="n"/>
      <c r="T105" s="69" t="n"/>
      <c r="U105" s="65" t="n"/>
      <c r="V105" s="65" t="n"/>
      <c r="W105" s="65" t="n"/>
    </row>
    <row r="106">
      <c r="A106" s="8" t="inlineStr">
        <is>
          <t>F</t>
        </is>
      </c>
      <c r="B106" s="9" t="inlineStr">
        <is>
          <t>200 Back</t>
        </is>
      </c>
      <c r="C106" s="9" t="n">
        <v>19</v>
      </c>
      <c r="D106" s="9" t="n">
        <v>2</v>
      </c>
      <c r="E106" s="215" t="inlineStr">
        <is>
          <t>2:11.08</t>
        </is>
      </c>
      <c r="F106" s="35">
        <f>IFERROR(__xludf.DUMMYFUNCTION("IF(
  REGEXMATCH(E106, "":""),
  60*VALUE(INDEX(SPLIT(E106, "":""),1,1)) + VALUE(INDEX(SPLIT(E106, "":""),1,2)),
  VALUE(E106)
)"),131.08)</f>
        <v/>
      </c>
      <c r="G106" s="35">
        <f>average(F104-F106,F105-F107)</f>
        <v/>
      </c>
      <c r="H106" s="35" t="n">
        <v>0.7149999999999892</v>
      </c>
      <c r="I106" s="215">
        <f>C92</f>
        <v/>
      </c>
      <c r="J106" s="215">
        <f>C109</f>
        <v/>
      </c>
      <c r="K106" s="43">
        <f t="array" ref="K106">INDEX('Podium Target Times'!$C:$C, MATCH(A106&amp;B106, 'Podium Target Times'!$A:$A&amp;'Podium Target Times'!$B:$B, 0))
</f>
        <v/>
      </c>
      <c r="L106" s="12">
        <f>L108+G108</f>
        <v/>
      </c>
      <c r="M106" s="43">
        <f>TEXT(L106/86400, "mm:ss.00")</f>
        <v/>
      </c>
      <c r="N106" s="14">
        <f>IFERROR(__xludf.DUMMYFUNCTION("LET(
  gen,$A106, ev,$B106, t,$M106,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
      </c>
      <c r="O106" s="65" t="n"/>
      <c r="P106" s="69" t="n"/>
      <c r="Q106" s="65" t="n"/>
      <c r="R106" s="69" t="n"/>
      <c r="S106" s="58" t="n"/>
      <c r="T106" s="69" t="n"/>
      <c r="U106" s="65" t="n"/>
      <c r="V106" s="65" t="n"/>
      <c r="W106" s="65" t="n"/>
    </row>
    <row r="107">
      <c r="A107" s="17" t="inlineStr">
        <is>
          <t>F</t>
        </is>
      </c>
      <c r="B107" s="18" t="inlineStr">
        <is>
          <t>200 Back</t>
        </is>
      </c>
      <c r="C107" s="18" t="n">
        <v>19</v>
      </c>
      <c r="D107" s="18" t="n">
        <v>3</v>
      </c>
      <c r="E107" s="211" t="inlineStr">
        <is>
          <t>2:11.91</t>
        </is>
      </c>
      <c r="F107" s="21">
        <f>IFERROR(__xludf.DUMMYFUNCTION("IF(
  REGEXMATCH(E107, "":""),
  60*VALUE(INDEX(SPLIT(E107, "":""),1,1)) + VALUE(INDEX(SPLIT(E107, "":""),1,2)),
  VALUE(E107)
)"),131.91)</f>
        <v/>
      </c>
      <c r="G107" s="21">
        <f>average(F104-F106,F105-F107)</f>
        <v/>
      </c>
      <c r="H107" s="21" t="n">
        <v>0.7149999999999892</v>
      </c>
      <c r="I107" s="211">
        <f>C92</f>
        <v/>
      </c>
      <c r="J107" s="211">
        <f>C109</f>
        <v/>
      </c>
      <c r="K107" s="60">
        <f t="array" ref="K107">INDEX('Podium Target Times'!$C:$C, MATCH(A107&amp;B107, 'Podium Target Times'!$A:$A&amp;'Podium Target Times'!$B:$B, 0))
</f>
        <v/>
      </c>
      <c r="L107" s="24">
        <f>L108+G108</f>
        <v/>
      </c>
      <c r="M107" s="60">
        <f>TEXT(L107/86400, "mm:ss.00")</f>
        <v/>
      </c>
      <c r="N107" s="25">
        <f>IFERROR(__xludf.DUMMYFUNCTION("LET(
  gen,$A107, ev,$B107, t,$M107,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
      </c>
      <c r="O107" s="65" t="n"/>
      <c r="P107" s="69" t="n"/>
      <c r="Q107" s="65" t="n"/>
      <c r="R107" s="69" t="n"/>
      <c r="S107" s="58" t="n"/>
      <c r="T107" s="69" t="n"/>
      <c r="U107" s="65" t="n"/>
      <c r="V107" s="65" t="n"/>
      <c r="W107" s="65" t="n"/>
    </row>
    <row r="108">
      <c r="A108" s="8" t="inlineStr">
        <is>
          <t>F</t>
        </is>
      </c>
      <c r="B108" s="9" t="inlineStr">
        <is>
          <t>200 Back</t>
        </is>
      </c>
      <c r="C108" s="9" t="n">
        <v>20</v>
      </c>
      <c r="D108" s="9" t="n">
        <v>3</v>
      </c>
      <c r="E108" s="41" t="inlineStr">
        <is>
          <t>2:11.40</t>
        </is>
      </c>
      <c r="F108" s="35">
        <f>IFERROR(__xludf.DUMMYFUNCTION("IF(
  REGEXMATCH(E108, "":""),
  60*VALUE(INDEX(SPLIT(E108, "":""),1,1)) + VALUE(INDEX(SPLIT(E108, "":""),1,2)),
  VALUE(E108)
)"),131.4)</f>
        <v/>
      </c>
      <c r="G108" s="35">
        <f>F107-F108</f>
        <v/>
      </c>
      <c r="H108" s="35" t="n">
        <v>0.5099999999999909</v>
      </c>
      <c r="I108" s="215">
        <f>C92</f>
        <v/>
      </c>
      <c r="J108" s="215">
        <f>C109</f>
        <v/>
      </c>
      <c r="K108" s="43">
        <f t="array" ref="K108">INDEX('Podium Target Times'!$C:$C, MATCH(A108&amp;B108, 'Podium Target Times'!$A:$A&amp;'Podium Target Times'!$B:$B, 0))
</f>
        <v/>
      </c>
      <c r="L108" s="12">
        <f>L109+G109</f>
        <v/>
      </c>
      <c r="M108" s="43">
        <f>TEXT(L108/86400, "mm:ss.00")</f>
        <v/>
      </c>
      <c r="N108" s="14">
        <f>IFERROR(__xludf.DUMMYFUNCTION("LET(
  gen,$A108, ev,$B108, t,$M108,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108" s="65" t="n"/>
      <c r="P108" s="69" t="n"/>
      <c r="Q108" s="65" t="n"/>
      <c r="R108" s="69" t="n"/>
      <c r="S108" s="58" t="n"/>
      <c r="T108" s="69" t="n"/>
      <c r="U108" s="65" t="n"/>
      <c r="V108" s="65" t="n"/>
      <c r="W108" s="65" t="n"/>
    </row>
    <row r="109">
      <c r="A109" s="17" t="inlineStr">
        <is>
          <t>F</t>
        </is>
      </c>
      <c r="B109" s="18" t="inlineStr">
        <is>
          <t>200 Back</t>
        </is>
      </c>
      <c r="C109" s="18" t="n">
        <v>21</v>
      </c>
      <c r="D109" s="18" t="n">
        <v>3</v>
      </c>
      <c r="E109" s="46" t="inlineStr">
        <is>
          <t>2:11.08</t>
        </is>
      </c>
      <c r="F109" s="21">
        <f>IFERROR(__xludf.DUMMYFUNCTION("IF(
  REGEXMATCH(E109, "":""),
  60*VALUE(INDEX(SPLIT(E109, "":""),1,1)) + VALUE(INDEX(SPLIT(E109, "":""),1,2)),
  VALUE(E109)
)"),131.08)</f>
        <v/>
      </c>
      <c r="G109" s="21">
        <f>F108-F109</f>
        <v/>
      </c>
      <c r="H109" s="21" t="n">
        <v>0.3199999999999932</v>
      </c>
      <c r="I109" s="211">
        <f>C92</f>
        <v/>
      </c>
      <c r="J109" s="211">
        <f>C109</f>
        <v/>
      </c>
      <c r="K109" s="60">
        <f t="array" ref="K109">INDEX('Podium Target Times'!$C:$C, MATCH(A109&amp;B109, 'Podium Target Times'!$A:$A&amp;'Podium Target Times'!$B:$B, 0))
</f>
        <v/>
      </c>
      <c r="L109" s="211">
        <f>K109</f>
        <v/>
      </c>
      <c r="M109" s="60">
        <f>TEXT(L109/86400, "mm:ss.00")</f>
        <v/>
      </c>
      <c r="N109" s="25">
        <f>IFERROR(__xludf.DUMMYFUNCTION("LET(
  gen,$A109, ev,$B109, t,$M109,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
      </c>
      <c r="O109" s="65" t="n"/>
      <c r="P109" s="69" t="n"/>
      <c r="Q109" s="65" t="n"/>
      <c r="R109" s="69" t="n"/>
      <c r="S109" s="58" t="n"/>
      <c r="T109" s="69" t="n"/>
      <c r="U109" s="65" t="n"/>
      <c r="V109" s="65" t="n"/>
      <c r="W109" s="65" t="n"/>
    </row>
    <row r="110">
      <c r="A110" s="8" t="inlineStr">
        <is>
          <t>F</t>
        </is>
      </c>
      <c r="B110" s="9" t="inlineStr">
        <is>
          <t>200 Breast</t>
        </is>
      </c>
      <c r="C110" s="9" t="n">
        <v>15</v>
      </c>
      <c r="D110" s="9" t="n">
        <v>1</v>
      </c>
      <c r="E110" s="41" t="inlineStr">
        <is>
          <t>2:31.21</t>
        </is>
      </c>
      <c r="F110" s="35">
        <f>IFERROR(__xludf.DUMMYFUNCTION("IF(
  REGEXMATCH(E110, "":""),
  60*VALUE(INDEX(SPLIT(E110, "":""),1,1)) + VALUE(INDEX(SPLIT(E110, "":""),1,2)),
  VALUE(E110)
)"),151.21)</f>
        <v/>
      </c>
      <c r="G110" s="12" t="n">
        <v>0</v>
      </c>
      <c r="H110" s="12" t="n">
        <v>0</v>
      </c>
      <c r="I110" s="43">
        <f>C110</f>
        <v/>
      </c>
      <c r="J110" s="43">
        <f>C127</f>
        <v/>
      </c>
      <c r="K110" s="43">
        <f t="array" ref="K110">INDEX('Podium Target Times'!$C:$C, MATCH(A110&amp;B110, 'Podium Target Times'!$A:$A&amp;'Podium Target Times'!$B:$B, 0))
</f>
        <v/>
      </c>
      <c r="L110" s="12">
        <f>L111+G111</f>
        <v/>
      </c>
      <c r="M110" s="43">
        <f>TEXT(L110/86400, "mm:ss.00")</f>
        <v/>
      </c>
      <c r="N110" s="14">
        <f>IFERROR(__xludf.DUMMYFUNCTION("LET(
  gen,$A110, ev,$B110, t,$M110,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)"),639.0)</f>
        <v/>
      </c>
      <c r="O110" s="65" t="n"/>
      <c r="P110" s="69">
        <f>A110</f>
        <v/>
      </c>
      <c r="Q110" s="65">
        <f>B110</f>
        <v/>
      </c>
      <c r="R110" s="69">
        <f>C110</f>
        <v/>
      </c>
      <c r="S110" s="58">
        <f>M110</f>
        <v/>
      </c>
      <c r="T110" s="69">
        <f>N110</f>
        <v/>
      </c>
      <c r="U110" s="65" t="n"/>
      <c r="V110" s="65" t="n"/>
      <c r="W110" s="65" t="n"/>
    </row>
    <row r="111">
      <c r="A111" s="17" t="inlineStr">
        <is>
          <t>F</t>
        </is>
      </c>
      <c r="B111" s="18" t="inlineStr">
        <is>
          <t>200 Breast</t>
        </is>
      </c>
      <c r="C111" s="18" t="n">
        <v>16</v>
      </c>
      <c r="D111" s="18" t="n">
        <v>1</v>
      </c>
      <c r="E111" s="46" t="inlineStr">
        <is>
          <t>2:28.85</t>
        </is>
      </c>
      <c r="F111" s="21">
        <f>IFERROR(__xludf.DUMMYFUNCTION("IF(
  REGEXMATCH(E111, "":""),
  60*VALUE(INDEX(SPLIT(E111, "":""),1,1)) + VALUE(INDEX(SPLIT(E111, "":""),1,2)),
  VALUE(E111)
)"),148.85)</f>
        <v/>
      </c>
      <c r="G111" s="21">
        <f>F110-F111</f>
        <v/>
      </c>
      <c r="H111" s="21" t="n">
        <v>2.360000000000014</v>
      </c>
      <c r="I111" s="211">
        <f>C110</f>
        <v/>
      </c>
      <c r="J111" s="211">
        <f>C127</f>
        <v/>
      </c>
      <c r="K111" s="60">
        <f t="array" ref="K111">INDEX('Podium Target Times'!$C:$C, MATCH(A111&amp;B111, 'Podium Target Times'!$A:$A&amp;'Podium Target Times'!$B:$B, 0))
</f>
        <v/>
      </c>
      <c r="L111" s="24">
        <f>L113+G113</f>
        <v/>
      </c>
      <c r="M111" s="60">
        <f>TEXT(L111/86400, "mm:ss.00")</f>
        <v/>
      </c>
      <c r="N111" s="25">
        <f>IFERROR(__xludf.DUMMYFUNCTION("LET(
  gen,$A111, ev,$B111, t,$M111,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111" s="65" t="n"/>
      <c r="P111" s="69">
        <f>A111</f>
        <v/>
      </c>
      <c r="Q111" s="65">
        <f>B111</f>
        <v/>
      </c>
      <c r="R111" s="69">
        <f>C111</f>
        <v/>
      </c>
      <c r="S111" s="58">
        <f>M111</f>
        <v/>
      </c>
      <c r="T111" s="69">
        <f>N111</f>
        <v/>
      </c>
      <c r="U111" s="65" t="n"/>
      <c r="V111" s="65" t="n"/>
      <c r="W111" s="65" t="n"/>
    </row>
    <row r="112">
      <c r="A112" s="8" t="inlineStr">
        <is>
          <t>F</t>
        </is>
      </c>
      <c r="B112" s="9" t="inlineStr">
        <is>
          <t>200 Breast</t>
        </is>
      </c>
      <c r="C112" s="9" t="n">
        <v>16</v>
      </c>
      <c r="D112" s="219" t="n">
        <v>2</v>
      </c>
      <c r="E112" s="41" t="inlineStr">
        <is>
          <t>2:30.01</t>
        </is>
      </c>
      <c r="F112" s="35">
        <f>IFERROR(__xludf.DUMMYFUNCTION("IF(
  REGEXMATCH(E112, "":""),
  60*VALUE(INDEX(SPLIT(E112, "":""),1,1)) + VALUE(INDEX(SPLIT(E112, "":""),1,2)),
  VALUE(E112)
)"),150.01)</f>
        <v/>
      </c>
      <c r="G112" s="35">
        <f>F110-F111</f>
        <v/>
      </c>
      <c r="H112" s="35" t="n">
        <v>2.360000000000014</v>
      </c>
      <c r="I112" s="215">
        <f>C110</f>
        <v/>
      </c>
      <c r="J112" s="215">
        <f>C127</f>
        <v/>
      </c>
      <c r="K112" s="43">
        <f t="array" ref="K112">INDEX('Podium Target Times'!$C:$C, MATCH(A112&amp;B112, 'Podium Target Times'!$A:$A&amp;'Podium Target Times'!$B:$B, 0))
</f>
        <v/>
      </c>
      <c r="L112" s="12">
        <f>L113+G113</f>
        <v/>
      </c>
      <c r="M112" s="43">
        <f>TEXT(L112/86400, "mm:ss.00")</f>
        <v/>
      </c>
      <c r="N112" s="14">
        <f>IFERROR(__xludf.DUMMYFUNCTION("LET(
  gen,$A112, ev,$B112, t,$M112,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112" s="65" t="n"/>
      <c r="P112" s="69">
        <f>A113</f>
        <v/>
      </c>
      <c r="Q112" s="65">
        <f>B113</f>
        <v/>
      </c>
      <c r="R112" s="69">
        <f>C113</f>
        <v/>
      </c>
      <c r="S112" s="58">
        <f>M113</f>
        <v/>
      </c>
      <c r="T112" s="69">
        <f>N113</f>
        <v/>
      </c>
      <c r="U112" s="65" t="n"/>
      <c r="V112" s="65" t="n"/>
      <c r="W112" s="65" t="n"/>
    </row>
    <row r="113">
      <c r="A113" s="17" t="inlineStr">
        <is>
          <t>F</t>
        </is>
      </c>
      <c r="B113" s="18" t="inlineStr">
        <is>
          <t>200 Breast</t>
        </is>
      </c>
      <c r="C113" s="18" t="n">
        <v>17</v>
      </c>
      <c r="D113" s="18" t="n">
        <v>1</v>
      </c>
      <c r="E113" s="46" t="inlineStr">
        <is>
          <t>2:27.43</t>
        </is>
      </c>
      <c r="F113" s="21">
        <f>IFERROR(__xludf.DUMMYFUNCTION("IF(
  REGEXMATCH(E113, "":""),
  60*VALUE(INDEX(SPLIT(E113, "":""),1,1)) + VALUE(INDEX(SPLIT(E113, "":""),1,2)),
  VALUE(E113)
)"),147.43)</f>
        <v/>
      </c>
      <c r="G113" s="21">
        <f>average(F111-F113,F112-F114)</f>
        <v/>
      </c>
      <c r="H113" s="21" t="n">
        <v>1.424999999999997</v>
      </c>
      <c r="I113" s="211">
        <f>C110</f>
        <v/>
      </c>
      <c r="J113" s="211">
        <f>C127</f>
        <v/>
      </c>
      <c r="K113" s="60">
        <f t="array" ref="K113">INDEX('Podium Target Times'!$C:$C, MATCH(A113&amp;B113, 'Podium Target Times'!$A:$A&amp;'Podium Target Times'!$B:$B, 0))
</f>
        <v/>
      </c>
      <c r="L113" s="24">
        <f>L116+G116</f>
        <v/>
      </c>
      <c r="M113" s="60">
        <f>TEXT(L113/86400, "mm:ss.00")</f>
        <v/>
      </c>
      <c r="N113" s="25">
        <f>IFERROR(__xludf.DUMMYFUNCTION("LET(
  gen,$A113, ev,$B113, t,$M113,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113" s="65" t="n"/>
      <c r="P113" s="69">
        <f>A116</f>
        <v/>
      </c>
      <c r="Q113" s="65">
        <f>B116</f>
        <v/>
      </c>
      <c r="R113" s="69">
        <f>C116</f>
        <v/>
      </c>
      <c r="S113" s="58">
        <f>M116</f>
        <v/>
      </c>
      <c r="T113" s="69">
        <f>N116</f>
        <v/>
      </c>
      <c r="U113" s="65" t="n"/>
      <c r="V113" s="65" t="n"/>
      <c r="W113" s="65" t="n"/>
    </row>
    <row r="114">
      <c r="A114" s="8" t="inlineStr">
        <is>
          <t>F</t>
        </is>
      </c>
      <c r="B114" s="9" t="inlineStr">
        <is>
          <t>200 Breast</t>
        </is>
      </c>
      <c r="C114" s="9" t="n">
        <v>17</v>
      </c>
      <c r="D114" s="219" t="n">
        <v>2</v>
      </c>
      <c r="E114" s="41" t="inlineStr">
        <is>
          <t>2:28.58</t>
        </is>
      </c>
      <c r="F114" s="35">
        <f>IFERROR(__xludf.DUMMYFUNCTION("IF(
  REGEXMATCH(E114, "":""),
  60*VALUE(INDEX(SPLIT(E114, "":""),1,1)) + VALUE(INDEX(SPLIT(E114, "":""),1,2)),
  VALUE(E114)
)"),148.57999999999998)</f>
        <v/>
      </c>
      <c r="G114" s="35">
        <f>average(F111-F113,F112-F114)</f>
        <v/>
      </c>
      <c r="H114" s="35" t="n">
        <v>1.424999999999997</v>
      </c>
      <c r="I114" s="215">
        <f>C110</f>
        <v/>
      </c>
      <c r="J114" s="215">
        <f>C127</f>
        <v/>
      </c>
      <c r="K114" s="43">
        <f t="array" ref="K114">INDEX('Podium Target Times'!$C:$C, MATCH(A114&amp;B114, 'Podium Target Times'!$A:$A&amp;'Podium Target Times'!$B:$B, 0))
</f>
        <v/>
      </c>
      <c r="L114" s="12">
        <f>L116+G116</f>
        <v/>
      </c>
      <c r="M114" s="43">
        <f>TEXT(L114/86400, "mm:ss.00")</f>
        <v/>
      </c>
      <c r="N114" s="14">
        <f>IFERROR(__xludf.DUMMYFUNCTION("LET(
  gen,$A114, ev,$B114, t,$M114,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114" s="65" t="n"/>
      <c r="P114" s="69">
        <f>A119</f>
        <v/>
      </c>
      <c r="Q114" s="65">
        <f>B119</f>
        <v/>
      </c>
      <c r="R114" s="69">
        <f>C119</f>
        <v/>
      </c>
      <c r="S114" s="58">
        <f>M119</f>
        <v/>
      </c>
      <c r="T114" s="69">
        <f>N119</f>
        <v/>
      </c>
      <c r="U114" s="65" t="n"/>
      <c r="V114" s="65" t="n"/>
      <c r="W114" s="65" t="n"/>
    </row>
    <row r="115">
      <c r="A115" s="17" t="inlineStr">
        <is>
          <t>F</t>
        </is>
      </c>
      <c r="B115" s="18" t="inlineStr">
        <is>
          <t>200 Breast</t>
        </is>
      </c>
      <c r="C115" s="18" t="n">
        <v>17</v>
      </c>
      <c r="D115" s="18" t="n">
        <v>3</v>
      </c>
      <c r="E115" s="46" t="inlineStr">
        <is>
          <t>2:29.19</t>
        </is>
      </c>
      <c r="F115" s="21">
        <f>IFERROR(__xludf.DUMMYFUNCTION("IF(
  REGEXMATCH(E115, "":""),
  60*VALUE(INDEX(SPLIT(E115, "":""),1,1)) + VALUE(INDEX(SPLIT(E115, "":""),1,2)),
  VALUE(E115)
)"),149.19)</f>
        <v/>
      </c>
      <c r="G115" s="21">
        <f>average(F111-F113,F112-F114)</f>
        <v/>
      </c>
      <c r="H115" s="21" t="n">
        <v>1.424999999999997</v>
      </c>
      <c r="I115" s="211">
        <f>C110</f>
        <v/>
      </c>
      <c r="J115" s="211">
        <f>C127</f>
        <v/>
      </c>
      <c r="K115" s="60">
        <f t="array" ref="K115">INDEX('Podium Target Times'!$C:$C, MATCH(A115&amp;B115, 'Podium Target Times'!$A:$A&amp;'Podium Target Times'!$B:$B, 0))
</f>
        <v/>
      </c>
      <c r="L115" s="24">
        <f>L116+G116</f>
        <v/>
      </c>
      <c r="M115" s="60">
        <f>TEXT(L115/86400, "mm:ss.00")</f>
        <v/>
      </c>
      <c r="N115" s="25">
        <f>IFERROR(__xludf.DUMMYFUNCTION("LET(
  gen,$A115, ev,$B115, t,$M115,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115" s="65" t="n"/>
      <c r="P115" s="69">
        <f>A122</f>
        <v/>
      </c>
      <c r="Q115" s="65">
        <f>B122</f>
        <v/>
      </c>
      <c r="R115" s="69">
        <f>C122</f>
        <v/>
      </c>
      <c r="S115" s="58">
        <f>M122</f>
        <v/>
      </c>
      <c r="T115" s="69">
        <f>N122</f>
        <v/>
      </c>
      <c r="U115" s="65" t="n"/>
      <c r="V115" s="65" t="n"/>
      <c r="W115" s="65" t="n"/>
    </row>
    <row r="116">
      <c r="A116" s="8" t="inlineStr">
        <is>
          <t>F</t>
        </is>
      </c>
      <c r="B116" s="9" t="inlineStr">
        <is>
          <t>200 Breast</t>
        </is>
      </c>
      <c r="C116" s="9" t="n">
        <v>18</v>
      </c>
      <c r="D116" s="9" t="n">
        <v>1</v>
      </c>
      <c r="E116" s="41" t="inlineStr">
        <is>
          <t>2:26.60</t>
        </is>
      </c>
      <c r="F116" s="35">
        <f>IFERROR(__xludf.DUMMYFUNCTION("IF(
  REGEXMATCH(E116, "":""),
  60*VALUE(INDEX(SPLIT(E116, "":""),1,1)) + VALUE(INDEX(SPLIT(E116, "":""),1,2)),
  VALUE(E116)
)"),146.6)</f>
        <v/>
      </c>
      <c r="G116" s="35">
        <f>average(F113-F116,F114-F117,F115-F118)</f>
        <v/>
      </c>
      <c r="H116" s="35" t="n">
        <v>0.8366666666666637</v>
      </c>
      <c r="I116" s="215">
        <f>C110</f>
        <v/>
      </c>
      <c r="J116" s="215">
        <f>C127</f>
        <v/>
      </c>
      <c r="K116" s="43">
        <f t="array" ref="K116">INDEX('Podium Target Times'!$C:$C, MATCH(A116&amp;B116, 'Podium Target Times'!$A:$A&amp;'Podium Target Times'!$B:$B, 0))
</f>
        <v/>
      </c>
      <c r="L116" s="12">
        <f>L119+G119</f>
        <v/>
      </c>
      <c r="M116" s="43">
        <f>TEXT(L116/86400, "mm:ss.00")</f>
        <v/>
      </c>
      <c r="N116" s="14">
        <f>IFERROR(__xludf.DUMMYFUNCTION("LET(
  gen,$A116, ev,$B116, t,$M116,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
      </c>
      <c r="O116" s="65" t="n"/>
      <c r="P116" s="69">
        <f>A124</f>
        <v/>
      </c>
      <c r="Q116" s="65">
        <f>B124</f>
        <v/>
      </c>
      <c r="R116" s="69">
        <f>C124</f>
        <v/>
      </c>
      <c r="S116" s="58">
        <f>M124</f>
        <v/>
      </c>
      <c r="T116" s="69">
        <f>N124</f>
        <v/>
      </c>
      <c r="U116" s="65" t="n"/>
      <c r="V116" s="65" t="n"/>
      <c r="W116" s="65" t="n"/>
    </row>
    <row r="117">
      <c r="A117" s="17" t="inlineStr">
        <is>
          <t>F</t>
        </is>
      </c>
      <c r="B117" s="18" t="inlineStr">
        <is>
          <t>200 Breast</t>
        </is>
      </c>
      <c r="C117" s="18" t="n">
        <v>18</v>
      </c>
      <c r="D117" s="221" t="n">
        <v>2</v>
      </c>
      <c r="E117" s="46" t="inlineStr">
        <is>
          <t>2:27.74</t>
        </is>
      </c>
      <c r="F117" s="21">
        <f>IFERROR(__xludf.DUMMYFUNCTION("IF(
  REGEXMATCH(E117, "":""),
  60*VALUE(INDEX(SPLIT(E117, "":""),1,1)) + VALUE(INDEX(SPLIT(E117, "":""),1,2)),
  VALUE(E117)
)"),147.74)</f>
        <v/>
      </c>
      <c r="G117" s="21">
        <f>average(F113-F116,F114-F117,F115-F118)</f>
        <v/>
      </c>
      <c r="H117" s="21" t="n">
        <v>0.8366666666666637</v>
      </c>
      <c r="I117" s="211">
        <f>C110</f>
        <v/>
      </c>
      <c r="J117" s="211">
        <f>C127</f>
        <v/>
      </c>
      <c r="K117" s="60">
        <f t="array" ref="K117">INDEX('Podium Target Times'!$C:$C, MATCH(A117&amp;B117, 'Podium Target Times'!$A:$A&amp;'Podium Target Times'!$B:$B, 0))
</f>
        <v/>
      </c>
      <c r="L117" s="24">
        <f>L119+G119</f>
        <v/>
      </c>
      <c r="M117" s="60">
        <f>TEXT(L117/86400, "mm:ss.00")</f>
        <v/>
      </c>
      <c r="N117" s="25">
        <f>IFERROR(__xludf.DUMMYFUNCTION("LET(
  gen,$A117, ev,$B117, t,$M117,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
      </c>
      <c r="O117" s="65" t="n"/>
      <c r="P117" s="69">
        <f>A126</f>
        <v/>
      </c>
      <c r="Q117" s="65">
        <f>B126</f>
        <v/>
      </c>
      <c r="R117" s="69">
        <f>C126</f>
        <v/>
      </c>
      <c r="S117" s="58">
        <f>M126</f>
        <v/>
      </c>
      <c r="T117" s="69">
        <f>N126</f>
        <v/>
      </c>
      <c r="U117" s="65" t="n"/>
      <c r="V117" s="65" t="n"/>
      <c r="W117" s="65" t="n"/>
    </row>
    <row r="118">
      <c r="A118" s="8" t="inlineStr">
        <is>
          <t>F</t>
        </is>
      </c>
      <c r="B118" s="9" t="inlineStr">
        <is>
          <t>200 Breast</t>
        </is>
      </c>
      <c r="C118" s="9" t="n">
        <v>18</v>
      </c>
      <c r="D118" s="9" t="n">
        <v>3</v>
      </c>
      <c r="E118" s="41" t="inlineStr">
        <is>
          <t>2:28.35</t>
        </is>
      </c>
      <c r="F118" s="35">
        <f>IFERROR(__xludf.DUMMYFUNCTION("IF(
  REGEXMATCH(E118, "":""),
  60*VALUE(INDEX(SPLIT(E118, "":""),1,1)) + VALUE(INDEX(SPLIT(E118, "":""),1,2)),
  VALUE(E118)
)"),148.35)</f>
        <v/>
      </c>
      <c r="G118" s="35">
        <f>average(F113-F116,F114-F117,F115-F118)</f>
        <v/>
      </c>
      <c r="H118" s="35" t="n">
        <v>0.8366666666666637</v>
      </c>
      <c r="I118" s="215">
        <f>C110</f>
        <v/>
      </c>
      <c r="J118" s="215">
        <f>C127</f>
        <v/>
      </c>
      <c r="K118" s="43">
        <f t="array" ref="K118">INDEX('Podium Target Times'!$C:$C, MATCH(A118&amp;B118, 'Podium Target Times'!$A:$A&amp;'Podium Target Times'!$B:$B, 0))
</f>
        <v/>
      </c>
      <c r="L118" s="12">
        <f>L119+G119</f>
        <v/>
      </c>
      <c r="M118" s="43">
        <f>TEXT(L118/86400, "mm:ss.00")</f>
        <v/>
      </c>
      <c r="N118" s="14">
        <f>IFERROR(__xludf.DUMMYFUNCTION("LET(
  gen,$A118, ev,$B118, t,$M118,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
      </c>
      <c r="O118" s="65" t="n"/>
      <c r="P118" s="69">
        <f>A127</f>
        <v/>
      </c>
      <c r="Q118" s="65">
        <f>B127</f>
        <v/>
      </c>
      <c r="R118" s="69">
        <f>C127</f>
        <v/>
      </c>
      <c r="S118" s="58">
        <f>M127</f>
        <v/>
      </c>
      <c r="T118" s="69">
        <f>N127</f>
        <v/>
      </c>
      <c r="U118" s="65" t="n"/>
      <c r="V118" s="65" t="n"/>
      <c r="W118" s="65" t="n"/>
    </row>
    <row r="119">
      <c r="A119" s="17" t="inlineStr">
        <is>
          <t>F</t>
        </is>
      </c>
      <c r="B119" s="18" t="inlineStr">
        <is>
          <t>200 Breast</t>
        </is>
      </c>
      <c r="C119" s="18" t="n">
        <v>19</v>
      </c>
      <c r="D119" s="18" t="n">
        <v>1</v>
      </c>
      <c r="E119" s="211" t="inlineStr">
        <is>
          <t>2:25.91</t>
        </is>
      </c>
      <c r="F119" s="21">
        <f>IFERROR(__xludf.DUMMYFUNCTION("IF(
  REGEXMATCH(E119, "":""),
  60*VALUE(INDEX(SPLIT(E119, "":""),1,1)) + VALUE(INDEX(SPLIT(E119, "":""),1,2)),
  VALUE(E119)
)"),145.91)</f>
        <v/>
      </c>
      <c r="G119" s="21">
        <f>average(F116-F119,F117-F120,F118-F121)</f>
        <v/>
      </c>
      <c r="H119" s="21" t="n">
        <v>0.6899999999999977</v>
      </c>
      <c r="I119" s="211">
        <f>C110</f>
        <v/>
      </c>
      <c r="J119" s="211">
        <f>C127</f>
        <v/>
      </c>
      <c r="K119" s="60">
        <f t="array" ref="K119">INDEX('Podium Target Times'!$C:$C, MATCH(A119&amp;B119, 'Podium Target Times'!$A:$A&amp;'Podium Target Times'!$B:$B, 0))
</f>
        <v/>
      </c>
      <c r="L119" s="24">
        <f>L122+G122</f>
        <v/>
      </c>
      <c r="M119" s="60">
        <f>TEXT(L119/86400, "mm:ss.00")</f>
        <v/>
      </c>
      <c r="N119" s="25">
        <f>IFERROR(__xludf.DUMMYFUNCTION("LET(
  gen,$A119, ev,$B119, t,$M119,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119" s="65" t="n"/>
      <c r="P119" s="69" t="n"/>
      <c r="Q119" s="65" t="n"/>
      <c r="R119" s="69" t="n"/>
      <c r="S119" s="58" t="n"/>
      <c r="T119" s="69" t="n"/>
      <c r="U119" s="65" t="n"/>
      <c r="V119" s="65" t="n"/>
      <c r="W119" s="65" t="n"/>
    </row>
    <row r="120">
      <c r="A120" s="8" t="inlineStr">
        <is>
          <t>F</t>
        </is>
      </c>
      <c r="B120" s="9" t="inlineStr">
        <is>
          <t>200 Breast</t>
        </is>
      </c>
      <c r="C120" s="9" t="n">
        <v>19</v>
      </c>
      <c r="D120" s="219" t="n">
        <v>2</v>
      </c>
      <c r="E120" s="215" t="inlineStr">
        <is>
          <t>2:27.05</t>
        </is>
      </c>
      <c r="F120" s="35">
        <f>IFERROR(__xludf.DUMMYFUNCTION("IF(
  REGEXMATCH(E120, "":""),
  60*VALUE(INDEX(SPLIT(E120, "":""),1,1)) + VALUE(INDEX(SPLIT(E120, "":""),1,2)),
  VALUE(E120)
)"),147.05)</f>
        <v/>
      </c>
      <c r="G120" s="35">
        <f>average(F116-F119,F117-F120,F118-F121)</f>
        <v/>
      </c>
      <c r="H120" s="35" t="n">
        <v>0.6899999999999977</v>
      </c>
      <c r="I120" s="215">
        <f>C110</f>
        <v/>
      </c>
      <c r="J120" s="215">
        <f>C127</f>
        <v/>
      </c>
      <c r="K120" s="43">
        <f t="array" ref="K120">INDEX('Podium Target Times'!$C:$C, MATCH(A120&amp;B120, 'Podium Target Times'!$A:$A&amp;'Podium Target Times'!$B:$B, 0))
</f>
        <v/>
      </c>
      <c r="L120" s="12">
        <f>L122+G122</f>
        <v/>
      </c>
      <c r="M120" s="43">
        <f>TEXT(L120/86400, "mm:ss.00")</f>
        <v/>
      </c>
      <c r="N120" s="14">
        <f>IFERROR(__xludf.DUMMYFUNCTION("LET(
  gen,$A120, ev,$B120, t,$M120,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120" s="65" t="n"/>
      <c r="P120" s="69" t="n"/>
      <c r="Q120" s="65" t="n"/>
      <c r="R120" s="69" t="n"/>
      <c r="S120" s="58" t="n"/>
      <c r="T120" s="69" t="n"/>
      <c r="U120" s="65" t="n"/>
      <c r="V120" s="65" t="n"/>
      <c r="W120" s="65" t="n"/>
    </row>
    <row r="121">
      <c r="A121" s="17" t="inlineStr">
        <is>
          <t>F</t>
        </is>
      </c>
      <c r="B121" s="18" t="inlineStr">
        <is>
          <t>200 Breast</t>
        </is>
      </c>
      <c r="C121" s="18" t="n">
        <v>19</v>
      </c>
      <c r="D121" s="18" t="n">
        <v>3</v>
      </c>
      <c r="E121" s="60" t="inlineStr">
        <is>
          <t>2:27.66</t>
        </is>
      </c>
      <c r="F121" s="21">
        <f>IFERROR(__xludf.DUMMYFUNCTION("IF(
  REGEXMATCH(E121, "":""),
  60*VALUE(INDEX(SPLIT(E121, "":""),1,1)) + VALUE(INDEX(SPLIT(E121, "":""),1,2)),
  VALUE(E121)
)"),147.66)</f>
        <v/>
      </c>
      <c r="G121" s="21">
        <f>average(F116-F119,F117-F120,F118-F121)</f>
        <v/>
      </c>
      <c r="H121" s="21" t="n">
        <v>0.6899999999999977</v>
      </c>
      <c r="I121" s="211">
        <f>C110</f>
        <v/>
      </c>
      <c r="J121" s="211">
        <f>C127</f>
        <v/>
      </c>
      <c r="K121" s="60">
        <f t="array" ref="K121">INDEX('Podium Target Times'!$C:$C, MATCH(A121&amp;B121, 'Podium Target Times'!$A:$A&amp;'Podium Target Times'!$B:$B, 0))
</f>
        <v/>
      </c>
      <c r="L121" s="24">
        <f>L122+G122</f>
        <v/>
      </c>
      <c r="M121" s="60">
        <f>TEXT(L121/86400, "mm:ss.00")</f>
        <v/>
      </c>
      <c r="N121" s="25">
        <f>IFERROR(__xludf.DUMMYFUNCTION("LET(
  gen,$A121, ev,$B121, t,$M121,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121" s="65" t="n"/>
      <c r="P121" s="69" t="n"/>
      <c r="Q121" s="65" t="n"/>
      <c r="R121" s="69" t="n"/>
      <c r="S121" s="58" t="n"/>
      <c r="T121" s="69" t="n"/>
      <c r="U121" s="65" t="n"/>
      <c r="V121" s="65" t="n"/>
      <c r="W121" s="65" t="n"/>
    </row>
    <row r="122">
      <c r="A122" s="8" t="inlineStr">
        <is>
          <t>F</t>
        </is>
      </c>
      <c r="B122" s="9" t="inlineStr">
        <is>
          <t>200 Breast</t>
        </is>
      </c>
      <c r="C122" s="9" t="n">
        <v>20</v>
      </c>
      <c r="D122" s="219" t="n">
        <v>2</v>
      </c>
      <c r="E122" s="41" t="inlineStr">
        <is>
          <t>2:26.41</t>
        </is>
      </c>
      <c r="F122" s="35">
        <f>IFERROR(__xludf.DUMMYFUNCTION("IF(
  REGEXMATCH(E122, "":""),
  60*VALUE(INDEX(SPLIT(E122, "":""),1,1)) + VALUE(INDEX(SPLIT(E122, "":""),1,2)),
  VALUE(E122)
)"),146.41)</f>
        <v/>
      </c>
      <c r="G122" s="35">
        <f>average(F120-F122,F121-F123)</f>
        <v/>
      </c>
      <c r="H122" s="35" t="n">
        <v>0.6450000000000102</v>
      </c>
      <c r="I122" s="215">
        <f>C110</f>
        <v/>
      </c>
      <c r="J122" s="215">
        <f>C127</f>
        <v/>
      </c>
      <c r="K122" s="43">
        <f t="array" ref="K122">INDEX('Podium Target Times'!$C:$C, MATCH(A122&amp;B122, 'Podium Target Times'!$A:$A&amp;'Podium Target Times'!$B:$B, 0))
</f>
        <v/>
      </c>
      <c r="L122" s="12">
        <f>L124+G124</f>
        <v/>
      </c>
      <c r="M122" s="43">
        <f>TEXT(L122/86400, "mm:ss.00")</f>
        <v/>
      </c>
      <c r="N122" s="14">
        <f>IFERROR(__xludf.DUMMYFUNCTION("LET(
  gen,$A122, ev,$B122, t,$M122,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O122" s="65" t="n"/>
      <c r="P122" s="69" t="n"/>
      <c r="Q122" s="65" t="n"/>
      <c r="R122" s="69" t="n"/>
      <c r="S122" s="58" t="n"/>
      <c r="T122" s="69" t="n"/>
      <c r="U122" s="65" t="n"/>
      <c r="V122" s="65" t="n"/>
      <c r="W122" s="65" t="n"/>
    </row>
    <row r="123">
      <c r="A123" s="17" t="inlineStr">
        <is>
          <t>F</t>
        </is>
      </c>
      <c r="B123" s="18" t="inlineStr">
        <is>
          <t>200 Breast</t>
        </is>
      </c>
      <c r="C123" s="18" t="n">
        <v>20</v>
      </c>
      <c r="D123" s="18" t="n">
        <v>3</v>
      </c>
      <c r="E123" s="46" t="inlineStr">
        <is>
          <t>2:27.01</t>
        </is>
      </c>
      <c r="F123" s="21">
        <f>IFERROR(__xludf.DUMMYFUNCTION("IF(
  REGEXMATCH(E123, "":""),
  60*VALUE(INDEX(SPLIT(E123, "":""),1,1)) + VALUE(INDEX(SPLIT(E123, "":""),1,2)),
  VALUE(E123)
)"),147.01)</f>
        <v/>
      </c>
      <c r="G123" s="21">
        <f>average(F120-F122,F121-F123)</f>
        <v/>
      </c>
      <c r="H123" s="21" t="n">
        <v>0.6450000000000102</v>
      </c>
      <c r="I123" s="211">
        <f>C110</f>
        <v/>
      </c>
      <c r="J123" s="211">
        <f>C127</f>
        <v/>
      </c>
      <c r="K123" s="60">
        <f t="array" ref="K123">INDEX('Podium Target Times'!$C:$C, MATCH(A123&amp;B123, 'Podium Target Times'!$A:$A&amp;'Podium Target Times'!$B:$B, 0))
</f>
        <v/>
      </c>
      <c r="L123" s="24">
        <f>L124+G124</f>
        <v/>
      </c>
      <c r="M123" s="60">
        <f>TEXT(L123/86400, "mm:ss.00")</f>
        <v/>
      </c>
      <c r="N123" s="25">
        <f>IFERROR(__xludf.DUMMYFUNCTION("LET(
  gen,$A123, ev,$B123, t,$M123,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O123" s="65" t="n"/>
      <c r="P123" s="69" t="n"/>
      <c r="Q123" s="65" t="n"/>
      <c r="R123" s="69" t="n"/>
      <c r="S123" s="58" t="n"/>
      <c r="T123" s="69" t="n"/>
      <c r="U123" s="65" t="n"/>
      <c r="V123" s="65" t="n"/>
      <c r="W123" s="65" t="n"/>
    </row>
    <row r="124">
      <c r="A124" s="8" t="inlineStr">
        <is>
          <t>F</t>
        </is>
      </c>
      <c r="B124" s="9" t="inlineStr">
        <is>
          <t>200 Breast</t>
        </is>
      </c>
      <c r="C124" s="9" t="n">
        <v>21</v>
      </c>
      <c r="D124" s="219" t="n">
        <v>2</v>
      </c>
      <c r="E124" s="215" t="inlineStr">
        <is>
          <t>2:25.91</t>
        </is>
      </c>
      <c r="F124" s="35">
        <f>IFERROR(__xludf.DUMMYFUNCTION("IF(
  REGEXMATCH(E124, "":""),
  60*VALUE(INDEX(SPLIT(E124, "":""),1,1)) + VALUE(INDEX(SPLIT(E124, "":""),1,2)),
  VALUE(E124)
)"),145.91)</f>
        <v/>
      </c>
      <c r="G124" s="35">
        <f>average(F122-F124,F123-F125)</f>
        <v/>
      </c>
      <c r="H124" s="35" t="n">
        <v>0.5</v>
      </c>
      <c r="I124" s="215">
        <f>C110</f>
        <v/>
      </c>
      <c r="J124" s="215">
        <f>C127</f>
        <v/>
      </c>
      <c r="K124" s="43">
        <f t="array" ref="K124">INDEX('Podium Target Times'!$C:$C, MATCH(A124&amp;B124, 'Podium Target Times'!$A:$A&amp;'Podium Target Times'!$B:$B, 0))
</f>
        <v/>
      </c>
      <c r="L124" s="12">
        <f>L126+G126</f>
        <v/>
      </c>
      <c r="M124" s="43">
        <f>TEXT(L124/86400, "mm:ss.00")</f>
        <v/>
      </c>
      <c r="N124" s="14">
        <f>IFERROR(__xludf.DUMMYFUNCTION("LET(
  gen,$A124, ev,$B124, t,$M124,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O124" s="65" t="n"/>
      <c r="P124" s="69" t="n"/>
      <c r="Q124" s="65" t="n"/>
      <c r="R124" s="69" t="n"/>
      <c r="S124" s="58" t="n"/>
      <c r="T124" s="69" t="n"/>
      <c r="U124" s="65" t="n"/>
      <c r="V124" s="65" t="n"/>
      <c r="W124" s="65" t="n"/>
    </row>
    <row r="125">
      <c r="A125" s="17" t="inlineStr">
        <is>
          <t>F</t>
        </is>
      </c>
      <c r="B125" s="18" t="inlineStr">
        <is>
          <t>200 Breast</t>
        </is>
      </c>
      <c r="C125" s="18" t="n">
        <v>21</v>
      </c>
      <c r="D125" s="18" t="n">
        <v>3</v>
      </c>
      <c r="E125" s="211" t="inlineStr">
        <is>
          <t>2:26.51</t>
        </is>
      </c>
      <c r="F125" s="21">
        <f>IFERROR(__xludf.DUMMYFUNCTION("IF(
  REGEXMATCH(E125, "":""),
  60*VALUE(INDEX(SPLIT(E125, "":""),1,1)) + VALUE(INDEX(SPLIT(E125, "":""),1,2)),
  VALUE(E125)
)"),146.51)</f>
        <v/>
      </c>
      <c r="G125" s="21">
        <f>average(F122-F124,F123-F125)</f>
        <v/>
      </c>
      <c r="H125" s="21" t="n">
        <v>0.5</v>
      </c>
      <c r="I125" s="211">
        <f>C110</f>
        <v/>
      </c>
      <c r="J125" s="211">
        <f>C127</f>
        <v/>
      </c>
      <c r="K125" s="60">
        <f t="array" ref="K125">INDEX('Podium Target Times'!$C:$C, MATCH(A125&amp;B125, 'Podium Target Times'!$A:$A&amp;'Podium Target Times'!$B:$B, 0))
</f>
        <v/>
      </c>
      <c r="L125" s="24">
        <f>L126+G126</f>
        <v/>
      </c>
      <c r="M125" s="60">
        <f>TEXT(L125/86400, "mm:ss.00")</f>
        <v/>
      </c>
      <c r="N125" s="25">
        <f>IFERROR(__xludf.DUMMYFUNCTION("LET(
  gen,$A125, ev,$B125, t,$M125,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O125" s="65" t="n"/>
      <c r="P125" s="69" t="n"/>
      <c r="Q125" s="65" t="n"/>
      <c r="R125" s="69" t="n"/>
      <c r="S125" s="58" t="n"/>
      <c r="T125" s="69" t="n"/>
      <c r="U125" s="65" t="n"/>
      <c r="V125" s="65" t="n"/>
      <c r="W125" s="65" t="n"/>
    </row>
    <row r="126">
      <c r="A126" s="8" t="inlineStr">
        <is>
          <t>F</t>
        </is>
      </c>
      <c r="B126" s="9" t="inlineStr">
        <is>
          <t>200 Breast</t>
        </is>
      </c>
      <c r="C126" s="9" t="n">
        <v>22</v>
      </c>
      <c r="D126" s="9" t="n">
        <v>3</v>
      </c>
      <c r="E126" s="41" t="inlineStr">
        <is>
          <t>2:26.14</t>
        </is>
      </c>
      <c r="F126" s="35">
        <f>IFERROR(__xludf.DUMMYFUNCTION("IF(
  REGEXMATCH(E126, "":""),
  60*VALUE(INDEX(SPLIT(E126, "":""),1,1)) + VALUE(INDEX(SPLIT(E126, "":""),1,2)),
  VALUE(E126)
)"),146.14)</f>
        <v/>
      </c>
      <c r="G126" s="35">
        <f>F125-F126</f>
        <v/>
      </c>
      <c r="H126" s="35" t="n">
        <v>0.3700000000000045</v>
      </c>
      <c r="I126" s="215">
        <f>C110</f>
        <v/>
      </c>
      <c r="J126" s="215">
        <f>C127</f>
        <v/>
      </c>
      <c r="K126" s="43">
        <f t="array" ref="K126">INDEX('Podium Target Times'!$C:$C, MATCH(A126&amp;B126, 'Podium Target Times'!$A:$A&amp;'Podium Target Times'!$B:$B, 0))
</f>
        <v/>
      </c>
      <c r="L126" s="12">
        <f>L127+G127</f>
        <v/>
      </c>
      <c r="M126" s="43">
        <f>TEXT(L126/86400, "mm:ss.00")</f>
        <v/>
      </c>
      <c r="N126" s="14">
        <f>IFERROR(__xludf.DUMMYFUNCTION("LET(
  gen,$A126, ev,$B126, t,$M126,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
      </c>
      <c r="O126" s="65" t="n"/>
      <c r="P126" s="69" t="n"/>
      <c r="Q126" s="65" t="n"/>
      <c r="R126" s="69" t="n"/>
      <c r="S126" s="58" t="n"/>
      <c r="T126" s="69" t="n"/>
      <c r="U126" s="65" t="n"/>
      <c r="V126" s="65" t="n"/>
      <c r="W126" s="65" t="n"/>
    </row>
    <row r="127">
      <c r="A127" s="17" t="inlineStr">
        <is>
          <t>F</t>
        </is>
      </c>
      <c r="B127" s="18" t="inlineStr">
        <is>
          <t>200 Breast</t>
        </is>
      </c>
      <c r="C127" s="18" t="n">
        <v>23</v>
      </c>
      <c r="D127" s="18" t="n">
        <v>3</v>
      </c>
      <c r="E127" s="46" t="inlineStr">
        <is>
          <t>2:25.91</t>
        </is>
      </c>
      <c r="F127" s="21">
        <f>IFERROR(__xludf.DUMMYFUNCTION("IF(
  REGEXMATCH(E127, "":""),
  60*VALUE(INDEX(SPLIT(E127, "":""),1,1)) + VALUE(INDEX(SPLIT(E127, "":""),1,2)),
  VALUE(E127)
)"),145.91)</f>
        <v/>
      </c>
      <c r="G127" s="21">
        <f>F126-F127</f>
        <v/>
      </c>
      <c r="H127" s="21" t="n">
        <v>0.2299999999999898</v>
      </c>
      <c r="I127" s="211">
        <f>C110</f>
        <v/>
      </c>
      <c r="J127" s="211">
        <f>C127</f>
        <v/>
      </c>
      <c r="K127" s="60">
        <f t="array" ref="K127">INDEX('Podium Target Times'!$C:$C, MATCH(A127&amp;B127, 'Podium Target Times'!$A:$A&amp;'Podium Target Times'!$B:$B, 0))
</f>
        <v/>
      </c>
      <c r="L127" s="211">
        <f>K127</f>
        <v/>
      </c>
      <c r="M127" s="60">
        <f>TEXT(L127/86400, "mm:ss.00")</f>
        <v/>
      </c>
      <c r="N127" s="25">
        <f>IFERROR(__xludf.DUMMYFUNCTION("LET(
  gen,$A127, ev,$B127, t,$M127,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127" s="65" t="n"/>
      <c r="P127" s="69" t="n"/>
      <c r="Q127" s="65" t="n"/>
      <c r="R127" s="69" t="n"/>
      <c r="S127" s="58" t="n"/>
      <c r="T127" s="69" t="n"/>
      <c r="U127" s="65" t="n"/>
      <c r="V127" s="65" t="n"/>
      <c r="W127" s="65" t="n"/>
    </row>
    <row r="128">
      <c r="A128" s="8" t="inlineStr">
        <is>
          <t>F</t>
        </is>
      </c>
      <c r="B128" s="9" t="inlineStr">
        <is>
          <t>200 Fly</t>
        </is>
      </c>
      <c r="C128" s="9" t="n">
        <v>14</v>
      </c>
      <c r="D128" s="219" t="n">
        <v>1</v>
      </c>
      <c r="E128" s="215" t="inlineStr">
        <is>
          <t>2:18.48</t>
        </is>
      </c>
      <c r="F128" s="35">
        <f>IFERROR(__xludf.DUMMYFUNCTION("IF(
  REGEXMATCH(E128, "":""),
  60*VALUE(INDEX(SPLIT(E128, "":""),1,1)) + VALUE(INDEX(SPLIT(E128, "":""),1,2)),
  VALUE(E128)
)"),138.48)</f>
        <v/>
      </c>
      <c r="G128" s="12" t="n">
        <v>0</v>
      </c>
      <c r="H128" s="12" t="n">
        <v>0</v>
      </c>
      <c r="I128" s="43">
        <f>C128</f>
        <v/>
      </c>
      <c r="J128" s="43">
        <f>C145</f>
        <v/>
      </c>
      <c r="K128" s="43">
        <f t="array" ref="K128">INDEX('Podium Target Times'!$C:$C, MATCH(A128&amp;B128, 'Podium Target Times'!$A:$A&amp;'Podium Target Times'!$B:$B, 0))
</f>
        <v/>
      </c>
      <c r="L128" s="12">
        <f>L129+G129</f>
        <v/>
      </c>
      <c r="M128" s="43">
        <f>TEXT(L128/86400, "mm:ss.00")</f>
        <v/>
      </c>
      <c r="N128" s="14">
        <f>IFERROR(__xludf.DUMMYFUNCTION("LET(
  gen,$A128, ev,$B128, t,$M128,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)"),585.0)</f>
        <v/>
      </c>
      <c r="O128" s="65" t="n"/>
      <c r="P128" s="69">
        <f>A128</f>
        <v/>
      </c>
      <c r="Q128" s="65">
        <f>B128</f>
        <v/>
      </c>
      <c r="R128" s="69">
        <f>C128</f>
        <v/>
      </c>
      <c r="S128" s="58">
        <f>M128</f>
        <v/>
      </c>
      <c r="T128" s="69">
        <f>N128</f>
        <v/>
      </c>
      <c r="U128" s="65" t="n"/>
      <c r="V128" s="65" t="n"/>
      <c r="W128" s="65" t="n"/>
    </row>
    <row r="129">
      <c r="A129" s="17" t="inlineStr">
        <is>
          <t>F</t>
        </is>
      </c>
      <c r="B129" s="18" t="inlineStr">
        <is>
          <t>200 Fly</t>
        </is>
      </c>
      <c r="C129" s="18" t="n">
        <v>15</v>
      </c>
      <c r="D129" s="221" t="n">
        <v>1</v>
      </c>
      <c r="E129" s="46" t="inlineStr">
        <is>
          <t>2:14.47</t>
        </is>
      </c>
      <c r="F129" s="21">
        <f>IFERROR(__xludf.DUMMYFUNCTION("IF(
  REGEXMATCH(E129, "":""),
  60*VALUE(INDEX(SPLIT(E129, "":""),1,1)) + VALUE(INDEX(SPLIT(E129, "":""),1,2)),
  VALUE(E129)
)"),134.47)</f>
        <v/>
      </c>
      <c r="G129" s="21">
        <f>F128-F129</f>
        <v/>
      </c>
      <c r="H129" s="21" t="n">
        <v>4.009999999999991</v>
      </c>
      <c r="I129" s="211">
        <f>C128</f>
        <v/>
      </c>
      <c r="J129" s="211">
        <f>C145</f>
        <v/>
      </c>
      <c r="K129" s="60">
        <f t="array" ref="K129">INDEX('Podium Target Times'!$C:$C, MATCH(A129&amp;B129, 'Podium Target Times'!$A:$A&amp;'Podium Target Times'!$B:$B, 0))
</f>
        <v/>
      </c>
      <c r="L129" s="24">
        <f>L131+G131</f>
        <v/>
      </c>
      <c r="M129" s="60">
        <f>TEXT(L129/86400, "mm:ss.00")</f>
        <v/>
      </c>
      <c r="N129" s="25">
        <f>IFERROR(__xludf.DUMMYFUNCTION("LET(
  gen,$A129, ev,$B129, t,$M129,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)"),637.0)</f>
        <v/>
      </c>
      <c r="O129" s="65" t="n"/>
      <c r="P129" s="69">
        <f>A129</f>
        <v/>
      </c>
      <c r="Q129" s="65">
        <f>B129</f>
        <v/>
      </c>
      <c r="R129" s="69">
        <f>C129</f>
        <v/>
      </c>
      <c r="S129" s="58">
        <f>M129</f>
        <v/>
      </c>
      <c r="T129" s="69">
        <f>N129</f>
        <v/>
      </c>
      <c r="U129" s="65" t="n"/>
      <c r="V129" s="65" t="n"/>
      <c r="W129" s="65" t="n"/>
    </row>
    <row r="130">
      <c r="A130" s="8" t="inlineStr">
        <is>
          <t>F</t>
        </is>
      </c>
      <c r="B130" s="9" t="inlineStr">
        <is>
          <t>200 Fly</t>
        </is>
      </c>
      <c r="C130" s="9" t="n">
        <v>15</v>
      </c>
      <c r="D130" s="9" t="n">
        <v>2</v>
      </c>
      <c r="E130" s="41" t="inlineStr">
        <is>
          <t>2:15.86</t>
        </is>
      </c>
      <c r="F130" s="35">
        <f>IFERROR(__xludf.DUMMYFUNCTION("IF(
  REGEXMATCH(E130, "":""),
  60*VALUE(INDEX(SPLIT(E130, "":""),1,1)) + VALUE(INDEX(SPLIT(E130, "":""),1,2)),
  VALUE(E130)
)"),135.86)</f>
        <v/>
      </c>
      <c r="G130" s="35">
        <f>F128-F129</f>
        <v/>
      </c>
      <c r="H130" s="35" t="n">
        <v>4.009999999999991</v>
      </c>
      <c r="I130" s="215">
        <f>C128</f>
        <v/>
      </c>
      <c r="J130" s="215">
        <f>C145</f>
        <v/>
      </c>
      <c r="K130" s="43">
        <f t="array" ref="K130">INDEX('Podium Target Times'!$C:$C, MATCH(A130&amp;B130, 'Podium Target Times'!$A:$A&amp;'Podium Target Times'!$B:$B, 0))
</f>
        <v/>
      </c>
      <c r="L130" s="12">
        <f>L131+G131</f>
        <v/>
      </c>
      <c r="M130" s="43">
        <f>TEXT(L130/86400, "mm:ss.00")</f>
        <v/>
      </c>
      <c r="N130" s="14">
        <f>IFERROR(__xludf.DUMMYFUNCTION("LET(
  gen,$A130, ev,$B130, t,$M130,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)"),637.0)</f>
        <v/>
      </c>
      <c r="O130" s="65" t="n"/>
      <c r="P130" s="69">
        <f>A131</f>
        <v/>
      </c>
      <c r="Q130" s="65">
        <f>B131</f>
        <v/>
      </c>
      <c r="R130" s="69">
        <f>C131</f>
        <v/>
      </c>
      <c r="S130" s="58">
        <f>M131</f>
        <v/>
      </c>
      <c r="T130" s="69">
        <f>N131</f>
        <v/>
      </c>
      <c r="U130" s="65" t="n"/>
      <c r="V130" s="65" t="n"/>
      <c r="W130" s="65" t="n"/>
    </row>
    <row r="131">
      <c r="A131" s="17" t="inlineStr">
        <is>
          <t>F</t>
        </is>
      </c>
      <c r="B131" s="18" t="inlineStr">
        <is>
          <t>200 Fly</t>
        </is>
      </c>
      <c r="C131" s="18" t="n">
        <v>16</v>
      </c>
      <c r="D131" s="221" t="n">
        <v>1</v>
      </c>
      <c r="E131" s="46" t="inlineStr">
        <is>
          <t>2:11.84</t>
        </is>
      </c>
      <c r="F131" s="21">
        <f>IFERROR(__xludf.DUMMYFUNCTION("IF(
  REGEXMATCH(E131, "":""),
  60*VALUE(INDEX(SPLIT(E131, "":""),1,1)) + VALUE(INDEX(SPLIT(E131, "":""),1,2)),
  VALUE(E131)
)"),131.84)</f>
        <v/>
      </c>
      <c r="G131" s="21">
        <f>average(F129-F131,F130-F132)</f>
        <v/>
      </c>
      <c r="H131" s="21" t="n">
        <v>2.64500000000001</v>
      </c>
      <c r="I131" s="211">
        <f>C128</f>
        <v/>
      </c>
      <c r="J131" s="211">
        <f>C145</f>
        <v/>
      </c>
      <c r="K131" s="60">
        <f t="array" ref="K131">INDEX('Podium Target Times'!$C:$C, MATCH(A131&amp;B131, 'Podium Target Times'!$A:$A&amp;'Podium Target Times'!$B:$B, 0))
</f>
        <v/>
      </c>
      <c r="L131" s="24">
        <f>L134+G134</f>
        <v/>
      </c>
      <c r="M131" s="60">
        <f>TEXT(L131/86400, "mm:ss.00")</f>
        <v/>
      </c>
      <c r="N131" s="25">
        <f>IFERROR(__xludf.DUMMYFUNCTION("LET(
  gen,$A131, ev,$B131, t,$M131,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
      </c>
      <c r="O131" s="65" t="n"/>
      <c r="P131" s="69">
        <f>A134</f>
        <v/>
      </c>
      <c r="Q131" s="65">
        <f>B134</f>
        <v/>
      </c>
      <c r="R131" s="69">
        <f>C134</f>
        <v/>
      </c>
      <c r="S131" s="58">
        <f>M134</f>
        <v/>
      </c>
      <c r="T131" s="69">
        <f>N134</f>
        <v/>
      </c>
      <c r="U131" s="65" t="n"/>
      <c r="V131" s="65" t="n"/>
      <c r="W131" s="65" t="n"/>
    </row>
    <row r="132">
      <c r="A132" s="8" t="inlineStr">
        <is>
          <t>F</t>
        </is>
      </c>
      <c r="B132" s="9" t="inlineStr">
        <is>
          <t>200 Fly</t>
        </is>
      </c>
      <c r="C132" s="9" t="n">
        <v>16</v>
      </c>
      <c r="D132" s="9" t="n">
        <v>2</v>
      </c>
      <c r="E132" s="41" t="inlineStr">
        <is>
          <t>2:13.20</t>
        </is>
      </c>
      <c r="F132" s="35">
        <f>IFERROR(__xludf.DUMMYFUNCTION("IF(
  REGEXMATCH(E132, "":""),
  60*VALUE(INDEX(SPLIT(E132, "":""),1,1)) + VALUE(INDEX(SPLIT(E132, "":""),1,2)),
  VALUE(E132)
)"),133.2)</f>
        <v/>
      </c>
      <c r="G132" s="35">
        <f>average(F129-F131,F130-F132)</f>
        <v/>
      </c>
      <c r="H132" s="35" t="n">
        <v>2.64500000000001</v>
      </c>
      <c r="I132" s="215">
        <f>C128</f>
        <v/>
      </c>
      <c r="J132" s="215">
        <f>C145</f>
        <v/>
      </c>
      <c r="K132" s="43">
        <f t="array" ref="K132">INDEX('Podium Target Times'!$C:$C, MATCH(A132&amp;B132, 'Podium Target Times'!$A:$A&amp;'Podium Target Times'!$B:$B, 0))
</f>
        <v/>
      </c>
      <c r="L132" s="12">
        <f>L134+G134</f>
        <v/>
      </c>
      <c r="M132" s="43">
        <f>TEXT(L132/86400, "mm:ss.00")</f>
        <v/>
      </c>
      <c r="N132" s="14">
        <f>IFERROR(__xludf.DUMMYFUNCTION("LET(
  gen,$A132, ev,$B132, t,$M132,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
      </c>
      <c r="O132" s="65" t="n"/>
      <c r="P132" s="69">
        <f>A137</f>
        <v/>
      </c>
      <c r="Q132" s="65">
        <f>B137</f>
        <v/>
      </c>
      <c r="R132" s="69">
        <f>C137</f>
        <v/>
      </c>
      <c r="S132" s="58">
        <f>M137</f>
        <v/>
      </c>
      <c r="T132" s="69">
        <f>N137</f>
        <v/>
      </c>
      <c r="U132" s="65" t="n"/>
      <c r="V132" s="65" t="n"/>
      <c r="W132" s="65" t="n"/>
    </row>
    <row r="133">
      <c r="A133" s="17" t="inlineStr">
        <is>
          <t>F</t>
        </is>
      </c>
      <c r="B133" s="18" t="inlineStr">
        <is>
          <t>200 Fly</t>
        </is>
      </c>
      <c r="C133" s="18" t="n">
        <v>16</v>
      </c>
      <c r="D133" s="18" t="n">
        <v>3</v>
      </c>
      <c r="E133" s="46" t="inlineStr">
        <is>
          <t>2:13.77</t>
        </is>
      </c>
      <c r="F133" s="21">
        <f>IFERROR(__xludf.DUMMYFUNCTION("IF(
  REGEXMATCH(E133, "":""),
  60*VALUE(INDEX(SPLIT(E133, "":""),1,1)) + VALUE(INDEX(SPLIT(E133, "":""),1,2)),
  VALUE(E133)
)"),133.77)</f>
        <v/>
      </c>
      <c r="G133" s="21">
        <f>average(F129-F131,F130-F132)</f>
        <v/>
      </c>
      <c r="H133" s="21" t="n">
        <v>2.64500000000001</v>
      </c>
      <c r="I133" s="211">
        <f>C128</f>
        <v/>
      </c>
      <c r="J133" s="211">
        <f>C145</f>
        <v/>
      </c>
      <c r="K133" s="60">
        <f t="array" ref="K133">INDEX('Podium Target Times'!$C:$C, MATCH(A133&amp;B133, 'Podium Target Times'!$A:$A&amp;'Podium Target Times'!$B:$B, 0))
</f>
        <v/>
      </c>
      <c r="L133" s="24">
        <f>L134+G134</f>
        <v/>
      </c>
      <c r="M133" s="60">
        <f>TEXT(L133/86400, "mm:ss.00")</f>
        <v/>
      </c>
      <c r="N133" s="25">
        <f>IFERROR(__xludf.DUMMYFUNCTION("LET(
  gen,$A133, ev,$B133, t,$M133,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
      </c>
      <c r="O133" s="65" t="n"/>
      <c r="P133" s="69">
        <f>A140</f>
        <v/>
      </c>
      <c r="Q133" s="65">
        <f>B140</f>
        <v/>
      </c>
      <c r="R133" s="69">
        <f>C140</f>
        <v/>
      </c>
      <c r="S133" s="58">
        <f>M140</f>
        <v/>
      </c>
      <c r="T133" s="69">
        <f>N140</f>
        <v/>
      </c>
      <c r="U133" s="65" t="n"/>
      <c r="V133" s="65" t="n"/>
      <c r="W133" s="65" t="n"/>
    </row>
    <row r="134">
      <c r="A134" s="8" t="inlineStr">
        <is>
          <t>F</t>
        </is>
      </c>
      <c r="B134" s="9" t="inlineStr">
        <is>
          <t>200 Fly</t>
        </is>
      </c>
      <c r="C134" s="9" t="n">
        <v>17</v>
      </c>
      <c r="D134" s="9" t="n">
        <v>1</v>
      </c>
      <c r="E134" s="41" t="inlineStr">
        <is>
          <t>2:10.18</t>
        </is>
      </c>
      <c r="F134" s="35">
        <f>IFERROR(__xludf.DUMMYFUNCTION("IF(
  REGEXMATCH(E134, "":""),
  60*VALUE(INDEX(SPLIT(E134, "":""),1,1)) + VALUE(INDEX(SPLIT(E134, "":""),1,2)),
  VALUE(E134)
)"),130.18)</f>
        <v/>
      </c>
      <c r="G134" s="35">
        <f>average(F131-F134,F132-F135,F133-F136)</f>
        <v/>
      </c>
      <c r="H134" s="35" t="n">
        <v>1.673333333333327</v>
      </c>
      <c r="I134" s="215">
        <f>C128</f>
        <v/>
      </c>
      <c r="J134" s="215">
        <f>C145</f>
        <v/>
      </c>
      <c r="K134" s="43">
        <f t="array" ref="K134">INDEX('Podium Target Times'!$C:$C, MATCH(A134&amp;B134, 'Podium Target Times'!$A:$A&amp;'Podium Target Times'!$B:$B, 0))
</f>
        <v/>
      </c>
      <c r="L134" s="12">
        <f>L137+G137</f>
        <v/>
      </c>
      <c r="M134" s="43">
        <f>TEXT(L134/86400, "mm:ss.00")</f>
        <v/>
      </c>
      <c r="N134" s="14">
        <f>IFERROR(__xludf.DUMMYFUNCTION("LET(
  gen,$A134, ev,$B134, t,$M134,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)"),699.0)</f>
        <v/>
      </c>
      <c r="O134" s="65" t="n"/>
      <c r="P134" s="69">
        <f>A142</f>
        <v/>
      </c>
      <c r="Q134" s="65">
        <f>B142</f>
        <v/>
      </c>
      <c r="R134" s="69">
        <f>C142</f>
        <v/>
      </c>
      <c r="S134" s="58">
        <f>M142</f>
        <v/>
      </c>
      <c r="T134" s="69">
        <f>N142</f>
        <v/>
      </c>
      <c r="U134" s="65" t="n"/>
      <c r="V134" s="65" t="n"/>
      <c r="W134" s="65" t="n"/>
    </row>
    <row r="135">
      <c r="A135" s="17" t="inlineStr">
        <is>
          <t>F</t>
        </is>
      </c>
      <c r="B135" s="18" t="inlineStr">
        <is>
          <t>200 Fly</t>
        </is>
      </c>
      <c r="C135" s="18" t="n">
        <v>17</v>
      </c>
      <c r="D135" s="18" t="n">
        <v>2</v>
      </c>
      <c r="E135" s="46" t="inlineStr">
        <is>
          <t>2:11.53</t>
        </is>
      </c>
      <c r="F135" s="21">
        <f>IFERROR(__xludf.DUMMYFUNCTION("IF(
  REGEXMATCH(E135, "":""),
  60*VALUE(INDEX(SPLIT(E135, "":""),1,1)) + VALUE(INDEX(SPLIT(E135, "":""),1,2)),
  VALUE(E135)
)"),131.53)</f>
        <v/>
      </c>
      <c r="G135" s="21">
        <f>average(F131-F134,F132-F135,F133-F136)</f>
        <v/>
      </c>
      <c r="H135" s="21" t="n">
        <v>1.673333333333327</v>
      </c>
      <c r="I135" s="211">
        <f>C128</f>
        <v/>
      </c>
      <c r="J135" s="211">
        <f>C145</f>
        <v/>
      </c>
      <c r="K135" s="60">
        <f t="array" ref="K135">INDEX('Podium Target Times'!$C:$C, MATCH(A135&amp;B135, 'Podium Target Times'!$A:$A&amp;'Podium Target Times'!$B:$B, 0))
</f>
        <v/>
      </c>
      <c r="L135" s="24">
        <f>L137+G137</f>
        <v/>
      </c>
      <c r="M135" s="60">
        <f>TEXT(L135/86400, "mm:ss.00")</f>
        <v/>
      </c>
      <c r="N135" s="25">
        <f>IFERROR(__xludf.DUMMYFUNCTION("LET(
  gen,$A135, ev,$B135, t,$M135,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)"),699.0)</f>
        <v/>
      </c>
      <c r="O135" s="65" t="n"/>
      <c r="P135" s="69">
        <f>A144</f>
        <v/>
      </c>
      <c r="Q135" s="65">
        <f>B144</f>
        <v/>
      </c>
      <c r="R135" s="69">
        <f>C144</f>
        <v/>
      </c>
      <c r="S135" s="58">
        <f>M144</f>
        <v/>
      </c>
      <c r="T135" s="69">
        <f>N144</f>
        <v/>
      </c>
      <c r="U135" s="65" t="n"/>
      <c r="V135" s="65" t="n"/>
      <c r="W135" s="65" t="n"/>
    </row>
    <row r="136">
      <c r="A136" s="8" t="inlineStr">
        <is>
          <t>F</t>
        </is>
      </c>
      <c r="B136" s="9" t="inlineStr">
        <is>
          <t>200 Fly</t>
        </is>
      </c>
      <c r="C136" s="9" t="n">
        <v>17</v>
      </c>
      <c r="D136" s="9" t="n">
        <v>3</v>
      </c>
      <c r="E136" s="41" t="inlineStr">
        <is>
          <t>2:12.08</t>
        </is>
      </c>
      <c r="F136" s="35">
        <f>IFERROR(__xludf.DUMMYFUNCTION("IF(
  REGEXMATCH(E136, "":""),
  60*VALUE(INDEX(SPLIT(E136, "":""),1,1)) + VALUE(INDEX(SPLIT(E136, "":""),1,2)),
  VALUE(E136)
)"),132.08)</f>
        <v/>
      </c>
      <c r="G136" s="35">
        <f>average(F131-F134,F132-F135,F133-F136)</f>
        <v/>
      </c>
      <c r="H136" s="35" t="n">
        <v>1.673333333333327</v>
      </c>
      <c r="I136" s="215">
        <f>C128</f>
        <v/>
      </c>
      <c r="J136" s="215">
        <f>C145</f>
        <v/>
      </c>
      <c r="K136" s="43">
        <f t="array" ref="K136">INDEX('Podium Target Times'!$C:$C, MATCH(A136&amp;B136, 'Podium Target Times'!$A:$A&amp;'Podium Target Times'!$B:$B, 0))
</f>
        <v/>
      </c>
      <c r="L136" s="12">
        <f>L137+G137</f>
        <v/>
      </c>
      <c r="M136" s="43">
        <f>TEXT(L136/86400, "mm:ss.00")</f>
        <v/>
      </c>
      <c r="N136" s="14">
        <f>IFERROR(__xludf.DUMMYFUNCTION("LET(
  gen,$A136, ev,$B136, t,$M136,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)"),699.0)</f>
        <v/>
      </c>
      <c r="O136" s="65" t="n"/>
      <c r="P136" s="69">
        <f>A145</f>
        <v/>
      </c>
      <c r="Q136" s="65">
        <f>B145</f>
        <v/>
      </c>
      <c r="R136" s="69">
        <f>C145</f>
        <v/>
      </c>
      <c r="S136" s="58">
        <f>M145</f>
        <v/>
      </c>
      <c r="T136" s="69">
        <f>N145</f>
        <v/>
      </c>
      <c r="U136" s="65" t="n"/>
      <c r="V136" s="65" t="n"/>
      <c r="W136" s="65" t="n"/>
    </row>
    <row r="137">
      <c r="A137" s="17" t="inlineStr">
        <is>
          <t>F</t>
        </is>
      </c>
      <c r="B137" s="18" t="inlineStr">
        <is>
          <t>200 Fly</t>
        </is>
      </c>
      <c r="C137" s="18" t="n">
        <v>18</v>
      </c>
      <c r="D137" s="18" t="n">
        <v>1</v>
      </c>
      <c r="E137" s="46" t="inlineStr">
        <is>
          <t>2:09.21</t>
        </is>
      </c>
      <c r="F137" s="21">
        <f>IFERROR(__xludf.DUMMYFUNCTION("IF(
  REGEXMATCH(E137, "":""),
  60*VALUE(INDEX(SPLIT(E137, "":""),1,1)) + VALUE(INDEX(SPLIT(E137, "":""),1,2)),
  VALUE(E137)
)"),129.21)</f>
        <v/>
      </c>
      <c r="G137" s="21">
        <f>average(F134-F137,F135-F138,F136-F139)</f>
        <v/>
      </c>
      <c r="H137" s="21" t="n">
        <v>0.9766666666666689</v>
      </c>
      <c r="I137" s="211">
        <f>C128</f>
        <v/>
      </c>
      <c r="J137" s="211">
        <f>C145</f>
        <v/>
      </c>
      <c r="K137" s="60">
        <f t="array" ref="K137">INDEX('Podium Target Times'!$C:$C, MATCH(A137&amp;B137, 'Podium Target Times'!$A:$A&amp;'Podium Target Times'!$B:$B, 0))
</f>
        <v/>
      </c>
      <c r="L137" s="24">
        <f>L140+G140</f>
        <v/>
      </c>
      <c r="M137" s="60">
        <f>TEXT(L137/86400, "mm:ss.00")</f>
        <v/>
      </c>
      <c r="N137" s="25">
        <f>IFERROR(__xludf.DUMMYFUNCTION("LET(
  gen,$A137, ev,$B137, t,$M137,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O137" s="65" t="n"/>
      <c r="P137" s="69" t="n"/>
      <c r="Q137" s="65" t="n"/>
      <c r="R137" s="69" t="n"/>
      <c r="S137" s="58" t="n"/>
      <c r="T137" s="69" t="n"/>
      <c r="U137" s="65" t="n"/>
      <c r="V137" s="65" t="n"/>
      <c r="W137" s="65" t="n"/>
    </row>
    <row r="138">
      <c r="A138" s="8" t="inlineStr">
        <is>
          <t>F</t>
        </is>
      </c>
      <c r="B138" s="9" t="inlineStr">
        <is>
          <t>200 Fly</t>
        </is>
      </c>
      <c r="C138" s="9" t="n">
        <v>18</v>
      </c>
      <c r="D138" s="9" t="n">
        <v>2</v>
      </c>
      <c r="E138" s="41" t="inlineStr">
        <is>
          <t>2:10.55</t>
        </is>
      </c>
      <c r="F138" s="35">
        <f>IFERROR(__xludf.DUMMYFUNCTION("IF(
  REGEXMATCH(E138, "":""),
  60*VALUE(INDEX(SPLIT(E138, "":""),1,1)) + VALUE(INDEX(SPLIT(E138, "":""),1,2)),
  VALUE(E138)
)"),130.55)</f>
        <v/>
      </c>
      <c r="G138" s="35">
        <f>average(F134-F137,F135-F138,F136-F139)</f>
        <v/>
      </c>
      <c r="H138" s="35" t="n">
        <v>0.9766666666666689</v>
      </c>
      <c r="I138" s="215">
        <f>C128</f>
        <v/>
      </c>
      <c r="J138" s="215">
        <f>C145</f>
        <v/>
      </c>
      <c r="K138" s="43">
        <f t="array" ref="K138">INDEX('Podium Target Times'!$C:$C, MATCH(A138&amp;B138, 'Podium Target Times'!$A:$A&amp;'Podium Target Times'!$B:$B, 0))
</f>
        <v/>
      </c>
      <c r="L138" s="12">
        <f>L140+G140</f>
        <v/>
      </c>
      <c r="M138" s="43">
        <f>TEXT(L138/86400, "mm:ss.00")</f>
        <v/>
      </c>
      <c r="N138" s="14">
        <f>IFERROR(__xludf.DUMMYFUNCTION("LET(
  gen,$A138, ev,$B138, t,$M138,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O138" s="65" t="n"/>
      <c r="P138" s="69" t="n"/>
      <c r="Q138" s="65" t="n"/>
      <c r="R138" s="69" t="n"/>
      <c r="S138" s="58" t="n"/>
      <c r="T138" s="69" t="n"/>
      <c r="U138" s="65" t="n"/>
      <c r="V138" s="65" t="n"/>
      <c r="W138" s="65" t="n"/>
    </row>
    <row r="139">
      <c r="A139" s="17" t="inlineStr">
        <is>
          <t>F</t>
        </is>
      </c>
      <c r="B139" s="18" t="inlineStr">
        <is>
          <t>200 Fly</t>
        </is>
      </c>
      <c r="C139" s="18" t="n">
        <v>18</v>
      </c>
      <c r="D139" s="18" t="n">
        <v>3</v>
      </c>
      <c r="E139" s="46" t="inlineStr">
        <is>
          <t>2:11.10</t>
        </is>
      </c>
      <c r="F139" s="21">
        <f>IFERROR(__xludf.DUMMYFUNCTION("IF(
  REGEXMATCH(E139, "":""),
  60*VALUE(INDEX(SPLIT(E139, "":""),1,1)) + VALUE(INDEX(SPLIT(E139, "":""),1,2)),
  VALUE(E139)
)"),131.1)</f>
        <v/>
      </c>
      <c r="G139" s="21">
        <f>average(F134-F137,F135-F138,F136-F139)</f>
        <v/>
      </c>
      <c r="H139" s="21" t="n">
        <v>0.9766666666666689</v>
      </c>
      <c r="I139" s="211">
        <f>C128</f>
        <v/>
      </c>
      <c r="J139" s="211">
        <f>C145</f>
        <v/>
      </c>
      <c r="K139" s="60">
        <f t="array" ref="K139">INDEX('Podium Target Times'!$C:$C, MATCH(A139&amp;B139, 'Podium Target Times'!$A:$A&amp;'Podium Target Times'!$B:$B, 0))
</f>
        <v/>
      </c>
      <c r="L139" s="24">
        <f>L140+G140</f>
        <v/>
      </c>
      <c r="M139" s="60">
        <f>TEXT(L139/86400, "mm:ss.00")</f>
        <v/>
      </c>
      <c r="N139" s="25">
        <f>IFERROR(__xludf.DUMMYFUNCTION("LET(
  gen,$A139, ev,$B139, t,$M139,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O139" s="65" t="n"/>
      <c r="P139" s="69" t="n"/>
      <c r="Q139" s="65" t="n"/>
      <c r="R139" s="69" t="n"/>
      <c r="S139" s="58" t="n"/>
      <c r="T139" s="69" t="n"/>
      <c r="U139" s="65" t="n"/>
      <c r="V139" s="65" t="n"/>
      <c r="W139" s="65" t="n"/>
    </row>
    <row r="140">
      <c r="A140" s="8" t="inlineStr">
        <is>
          <t>F</t>
        </is>
      </c>
      <c r="B140" s="9" t="inlineStr">
        <is>
          <t>200 Fly</t>
        </is>
      </c>
      <c r="C140" s="9" t="n">
        <v>19</v>
      </c>
      <c r="D140" s="9" t="n">
        <v>2</v>
      </c>
      <c r="E140" s="215" t="inlineStr">
        <is>
          <t>2:09.78</t>
        </is>
      </c>
      <c r="F140" s="35">
        <f>IFERROR(__xludf.DUMMYFUNCTION("IF(
  REGEXMATCH(E140, "":""),
  60*VALUE(INDEX(SPLIT(E140, "":""),1,1)) + VALUE(INDEX(SPLIT(E140, "":""),1,2)),
  VALUE(E140)
)"),129.78)</f>
        <v/>
      </c>
      <c r="G140" s="35">
        <f>average(F138-F140,F139-F141)</f>
        <v/>
      </c>
      <c r="H140" s="35" t="n">
        <v>0.769999999999996</v>
      </c>
      <c r="I140" s="215">
        <f>C128</f>
        <v/>
      </c>
      <c r="J140" s="215">
        <f>C145</f>
        <v/>
      </c>
      <c r="K140" s="43">
        <f t="array" ref="K140">INDEX('Podium Target Times'!$C:$C, MATCH(A140&amp;B140, 'Podium Target Times'!$A:$A&amp;'Podium Target Times'!$B:$B, 0))
</f>
        <v/>
      </c>
      <c r="L140" s="12">
        <f>L142+G142</f>
        <v/>
      </c>
      <c r="M140" s="43">
        <f>TEXT(L140/86400, "mm:ss.00")</f>
        <v/>
      </c>
      <c r="N140" s="14">
        <f>IFERROR(__xludf.DUMMYFUNCTION("LET(
  gen,$A140, ev,$B140, t,$M140,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
      </c>
      <c r="O140" s="65" t="n"/>
      <c r="P140" s="69" t="n"/>
      <c r="Q140" s="65" t="n"/>
      <c r="R140" s="69" t="n"/>
      <c r="S140" s="58" t="n"/>
      <c r="T140" s="69" t="n"/>
      <c r="U140" s="65" t="n"/>
      <c r="V140" s="65" t="n"/>
      <c r="W140" s="65" t="n"/>
    </row>
    <row r="141">
      <c r="A141" s="17" t="inlineStr">
        <is>
          <t>F</t>
        </is>
      </c>
      <c r="B141" s="18" t="inlineStr">
        <is>
          <t>200 Fly</t>
        </is>
      </c>
      <c r="C141" s="18" t="n">
        <v>19</v>
      </c>
      <c r="D141" s="18" t="n">
        <v>3</v>
      </c>
      <c r="E141" s="211" t="inlineStr">
        <is>
          <t>2:10.33</t>
        </is>
      </c>
      <c r="F141" s="21">
        <f>IFERROR(__xludf.DUMMYFUNCTION("IF(
  REGEXMATCH(E141, "":""),
  60*VALUE(INDEX(SPLIT(E141, "":""),1,1)) + VALUE(INDEX(SPLIT(E141, "":""),1,2)),
  VALUE(E141)
)"),130.33)</f>
        <v/>
      </c>
      <c r="G141" s="21">
        <f>average(F138-F140,F139-F141)</f>
        <v/>
      </c>
      <c r="H141" s="21" t="n">
        <v>0.769999999999996</v>
      </c>
      <c r="I141" s="211">
        <f>C128</f>
        <v/>
      </c>
      <c r="J141" s="211">
        <f>C145</f>
        <v/>
      </c>
      <c r="K141" s="60">
        <f t="array" ref="K141">INDEX('Podium Target Times'!$C:$C, MATCH(A141&amp;B141, 'Podium Target Times'!$A:$A&amp;'Podium Target Times'!$B:$B, 0))
</f>
        <v/>
      </c>
      <c r="L141" s="24">
        <f>L142+G142</f>
        <v/>
      </c>
      <c r="M141" s="60">
        <f>TEXT(L141/86400, "mm:ss.00")</f>
        <v/>
      </c>
      <c r="N141" s="25">
        <f>IFERROR(__xludf.DUMMYFUNCTION("LET(
  gen,$A141, ev,$B141, t,$M141,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
      </c>
      <c r="O141" s="65" t="n"/>
      <c r="P141" s="69" t="n"/>
      <c r="Q141" s="65" t="n"/>
      <c r="R141" s="69" t="n"/>
      <c r="S141" s="58" t="n"/>
      <c r="T141" s="69" t="n"/>
      <c r="U141" s="65" t="n"/>
      <c r="V141" s="65" t="n"/>
      <c r="W141" s="65" t="n"/>
    </row>
    <row r="142">
      <c r="A142" s="8" t="inlineStr">
        <is>
          <t>F</t>
        </is>
      </c>
      <c r="B142" s="9" t="inlineStr">
        <is>
          <t>200 Fly</t>
        </is>
      </c>
      <c r="C142" s="9" t="n">
        <v>20</v>
      </c>
      <c r="D142" s="9" t="n">
        <v>2</v>
      </c>
      <c r="E142" s="41" t="inlineStr">
        <is>
          <t>2:09.21</t>
        </is>
      </c>
      <c r="F142" s="35">
        <f>IFERROR(__xludf.DUMMYFUNCTION("IF(
  REGEXMATCH(E142, "":""),
  60*VALUE(INDEX(SPLIT(E142, "":""),1,1)) + VALUE(INDEX(SPLIT(E142, "":""),1,2)),
  VALUE(E142)
)"),129.21)</f>
        <v/>
      </c>
      <c r="G142" s="35">
        <f>average(F140-F142,F141-F143)</f>
        <v/>
      </c>
      <c r="H142" s="35" t="n">
        <v>0.5700000000000074</v>
      </c>
      <c r="I142" s="215">
        <f>C128</f>
        <v/>
      </c>
      <c r="J142" s="215">
        <f>C145</f>
        <v/>
      </c>
      <c r="K142" s="43">
        <f t="array" ref="K142">INDEX('Podium Target Times'!$C:$C, MATCH(A142&amp;B142, 'Podium Target Times'!$A:$A&amp;'Podium Target Times'!$B:$B, 0))
</f>
        <v/>
      </c>
      <c r="L142" s="12">
        <f>L144+G144</f>
        <v/>
      </c>
      <c r="M142" s="43">
        <f>TEXT(L142/86400, "mm:ss.00")</f>
        <v/>
      </c>
      <c r="N142" s="14">
        <f>IFERROR(__xludf.DUMMYFUNCTION("LET(
  gen,$A142, ev,$B142, t,$M142,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142" s="65" t="n"/>
      <c r="P142" s="69" t="n"/>
      <c r="Q142" s="65" t="n"/>
      <c r="R142" s="69" t="n"/>
      <c r="S142" s="58" t="n"/>
      <c r="T142" s="69" t="n"/>
      <c r="U142" s="65" t="n"/>
      <c r="V142" s="65" t="n"/>
      <c r="W142" s="65" t="n"/>
    </row>
    <row r="143">
      <c r="A143" s="17" t="inlineStr">
        <is>
          <t>F</t>
        </is>
      </c>
      <c r="B143" s="18" t="inlineStr">
        <is>
          <t>200 Fly</t>
        </is>
      </c>
      <c r="C143" s="18" t="n">
        <v>20</v>
      </c>
      <c r="D143" s="18" t="n">
        <v>3</v>
      </c>
      <c r="E143" s="46" t="inlineStr">
        <is>
          <t>2:09.76</t>
        </is>
      </c>
      <c r="F143" s="21">
        <f>IFERROR(__xludf.DUMMYFUNCTION("IF(
  REGEXMATCH(E143, "":""),
  60*VALUE(INDEX(SPLIT(E143, "":""),1,1)) + VALUE(INDEX(SPLIT(E143, "":""),1,2)),
  VALUE(E143)
)"),129.76)</f>
        <v/>
      </c>
      <c r="G143" s="21">
        <f>average(F140-F142,F141-F143)</f>
        <v/>
      </c>
      <c r="H143" s="21" t="n">
        <v>0.5700000000000074</v>
      </c>
      <c r="I143" s="211">
        <f>C128</f>
        <v/>
      </c>
      <c r="J143" s="211">
        <f>C145</f>
        <v/>
      </c>
      <c r="K143" s="60">
        <f t="array" ref="K143">INDEX('Podium Target Times'!$C:$C, MATCH(A143&amp;B143, 'Podium Target Times'!$A:$A&amp;'Podium Target Times'!$B:$B, 0))
</f>
        <v/>
      </c>
      <c r="L143" s="24">
        <f>L144+G144</f>
        <v/>
      </c>
      <c r="M143" s="60">
        <f>TEXT(L143/86400, "mm:ss.00")</f>
        <v/>
      </c>
      <c r="N143" s="25">
        <f>IFERROR(__xludf.DUMMYFUNCTION("LET(
  gen,$A143, ev,$B143, t,$M143,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143" s="65" t="n"/>
      <c r="P143" s="69" t="n"/>
      <c r="Q143" s="65" t="n"/>
      <c r="R143" s="69" t="n"/>
      <c r="S143" s="58" t="n"/>
      <c r="T143" s="69" t="n"/>
      <c r="U143" s="65" t="n"/>
      <c r="V143" s="65" t="n"/>
      <c r="W143" s="65" t="n"/>
    </row>
    <row r="144">
      <c r="A144" s="8" t="inlineStr">
        <is>
          <t>F</t>
        </is>
      </c>
      <c r="B144" s="9" t="inlineStr">
        <is>
          <t>200 Fly</t>
        </is>
      </c>
      <c r="C144" s="9" t="n">
        <v>21</v>
      </c>
      <c r="D144" s="9" t="n">
        <v>3</v>
      </c>
      <c r="E144" s="41" t="inlineStr">
        <is>
          <t>2:09.39</t>
        </is>
      </c>
      <c r="F144" s="35">
        <f>IFERROR(__xludf.DUMMYFUNCTION("IF(
  REGEXMATCH(E144, "":""),
  60*VALUE(INDEX(SPLIT(E144, "":""),1,1)) + VALUE(INDEX(SPLIT(E144, "":""),1,2)),
  VALUE(E144)
)"),129.39)</f>
        <v/>
      </c>
      <c r="G144" s="35">
        <f>F143-F144</f>
        <v/>
      </c>
      <c r="H144" s="35" t="n">
        <v>0.3700000000000045</v>
      </c>
      <c r="I144" s="215">
        <f>C128</f>
        <v/>
      </c>
      <c r="J144" s="215">
        <f>C145</f>
        <v/>
      </c>
      <c r="K144" s="43">
        <f t="array" ref="K144">INDEX('Podium Target Times'!$C:$C, MATCH(A144&amp;B144, 'Podium Target Times'!$A:$A&amp;'Podium Target Times'!$B:$B, 0))
</f>
        <v/>
      </c>
      <c r="L144" s="12">
        <f>L145+G145</f>
        <v/>
      </c>
      <c r="M144" s="43">
        <f>TEXT(L144/86400, "mm:ss.00")</f>
        <v/>
      </c>
      <c r="N144" s="14">
        <f>IFERROR(__xludf.DUMMYFUNCTION("LET(
  gen,$A144, ev,$B144, t,$M144,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144" s="65" t="n"/>
      <c r="P144" s="69" t="n"/>
      <c r="Q144" s="65" t="n"/>
      <c r="R144" s="69" t="n"/>
      <c r="S144" s="58" t="n"/>
      <c r="T144" s="69" t="n"/>
      <c r="U144" s="65" t="n"/>
      <c r="V144" s="65" t="n"/>
      <c r="W144" s="65" t="n"/>
    </row>
    <row r="145">
      <c r="A145" s="17" t="inlineStr">
        <is>
          <t>F</t>
        </is>
      </c>
      <c r="B145" s="18" t="inlineStr">
        <is>
          <t>200 Fly</t>
        </is>
      </c>
      <c r="C145" s="18" t="n">
        <v>22</v>
      </c>
      <c r="D145" s="221" t="n">
        <v>3</v>
      </c>
      <c r="E145" s="46" t="inlineStr">
        <is>
          <t>2:09.21</t>
        </is>
      </c>
      <c r="F145" s="21">
        <f>IFERROR(__xludf.DUMMYFUNCTION("IF(
  REGEXMATCH(E145, "":""),
  60*VALUE(INDEX(SPLIT(E145, "":""),1,1)) + VALUE(INDEX(SPLIT(E145, "":""),1,2)),
  VALUE(E145)
)"),129.21)</f>
        <v/>
      </c>
      <c r="G145" s="21">
        <f>F144-F145</f>
        <v/>
      </c>
      <c r="H145" s="21" t="n">
        <v>0.1799999999999784</v>
      </c>
      <c r="I145" s="211">
        <f>C128</f>
        <v/>
      </c>
      <c r="J145" s="211">
        <f>C145</f>
        <v/>
      </c>
      <c r="K145" s="60">
        <f t="array" ref="K145">INDEX('Podium Target Times'!$C:$C, MATCH(A145&amp;B145, 'Podium Target Times'!$A:$A&amp;'Podium Target Times'!$B:$B, 0))
</f>
        <v/>
      </c>
      <c r="L145" s="211">
        <f>K145</f>
        <v/>
      </c>
      <c r="M145" s="60">
        <f>TEXT(L145/86400, "mm:ss.00")</f>
        <v/>
      </c>
      <c r="N145" s="25">
        <f>IFERROR(__xludf.DUMMYFUNCTION("LET(
  gen,$A145, ev,$B145, t,$M145,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O145" s="65" t="n"/>
      <c r="P145" s="69" t="n"/>
      <c r="Q145" s="65" t="n"/>
      <c r="R145" s="69" t="n"/>
      <c r="S145" s="58" t="n"/>
      <c r="T145" s="69" t="n"/>
      <c r="U145" s="65" t="n"/>
      <c r="V145" s="65" t="n"/>
      <c r="W145" s="65" t="n"/>
    </row>
    <row r="146">
      <c r="A146" s="8" t="inlineStr">
        <is>
          <t>F</t>
        </is>
      </c>
      <c r="B146" s="9" t="inlineStr">
        <is>
          <t>200 Free</t>
        </is>
      </c>
      <c r="C146" s="9" t="n">
        <v>14</v>
      </c>
      <c r="D146" s="9" t="n">
        <v>1</v>
      </c>
      <c r="E146" s="43" t="inlineStr">
        <is>
          <t>2:06.51</t>
        </is>
      </c>
      <c r="F146" s="35">
        <f>IFERROR(__xludf.DUMMYFUNCTION("IF(
  REGEXMATCH(E146, "":""),
  60*VALUE(INDEX(SPLIT(E146, "":""),1,1)) + VALUE(INDEX(SPLIT(E146, "":""),1,2)),
  VALUE(E146)
)"),126.51)</f>
        <v/>
      </c>
      <c r="G146" s="12" t="n">
        <v>0</v>
      </c>
      <c r="H146" s="12" t="n">
        <v>0</v>
      </c>
      <c r="I146" s="43">
        <f>C146</f>
        <v/>
      </c>
      <c r="J146" s="43">
        <f>C163</f>
        <v/>
      </c>
      <c r="K146" s="43">
        <f t="array" ref="K146">INDEX('Podium Target Times'!$C:$C, MATCH(A146&amp;B146, 'Podium Target Times'!$A:$A&amp;'Podium Target Times'!$B:$B, 0))
</f>
        <v/>
      </c>
      <c r="L146" s="12">
        <f>L147+G147</f>
        <v/>
      </c>
      <c r="M146" s="43">
        <f>TEXT(L146/86400, "mm:ss.00")</f>
        <v/>
      </c>
      <c r="N146" s="14">
        <f>IFERROR(__xludf.DUMMYFUNCTION("LET(
  gen,$A146, ev,$B146, t,$M146,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)"),603.0)</f>
        <v/>
      </c>
      <c r="O146" s="65" t="n"/>
      <c r="P146" s="69">
        <f>A146</f>
        <v/>
      </c>
      <c r="Q146" s="65">
        <f>B146</f>
        <v/>
      </c>
      <c r="R146" s="69">
        <f>C146</f>
        <v/>
      </c>
      <c r="S146" s="58">
        <f>M146</f>
        <v/>
      </c>
      <c r="T146" s="69">
        <f>N146</f>
        <v/>
      </c>
      <c r="U146" s="65" t="n"/>
      <c r="V146" s="65" t="n"/>
      <c r="W146" s="65" t="n"/>
    </row>
    <row r="147">
      <c r="A147" s="17" t="inlineStr">
        <is>
          <t>F</t>
        </is>
      </c>
      <c r="B147" s="18" t="inlineStr">
        <is>
          <t>200 Free</t>
        </is>
      </c>
      <c r="C147" s="18" t="n">
        <v>15</v>
      </c>
      <c r="D147" s="18" t="n">
        <v>1</v>
      </c>
      <c r="E147" s="60" t="inlineStr">
        <is>
          <t>2:02.98</t>
        </is>
      </c>
      <c r="F147" s="21">
        <f>IFERROR(__xludf.DUMMYFUNCTION("IF(
  REGEXMATCH(E147, "":""),
  60*VALUE(INDEX(SPLIT(E147, "":""),1,1)) + VALUE(INDEX(SPLIT(E147, "":""),1,2)),
  VALUE(E147)
)"),122.98)</f>
        <v/>
      </c>
      <c r="G147" s="21">
        <f>F146-F147</f>
        <v/>
      </c>
      <c r="H147" s="21" t="n">
        <v>3.530000000000001</v>
      </c>
      <c r="I147" s="211">
        <f>C146</f>
        <v/>
      </c>
      <c r="J147" s="211">
        <f>C163</f>
        <v/>
      </c>
      <c r="K147" s="60">
        <f t="array" ref="K147">INDEX('Podium Target Times'!$C:$C, MATCH(A147&amp;B147, 'Podium Target Times'!$A:$A&amp;'Podium Target Times'!$B:$B, 0))
</f>
        <v/>
      </c>
      <c r="L147" s="24">
        <f>L149+G149</f>
        <v/>
      </c>
      <c r="M147" s="60">
        <f>TEXT(L147/86400, "mm:ss.00")</f>
        <v/>
      </c>
      <c r="N147" s="25">
        <f>IFERROR(__xludf.DUMMYFUNCTION("LET(
  gen,$A147, ev,$B147, t,$M147,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
      </c>
      <c r="O147" s="65" t="n"/>
      <c r="P147" s="69">
        <f>A147</f>
        <v/>
      </c>
      <c r="Q147" s="65">
        <f>B147</f>
        <v/>
      </c>
      <c r="R147" s="69">
        <f>C147</f>
        <v/>
      </c>
      <c r="S147" s="58">
        <f>M147</f>
        <v/>
      </c>
      <c r="T147" s="69">
        <f>N147</f>
        <v/>
      </c>
      <c r="U147" s="65" t="n"/>
      <c r="V147" s="65" t="n"/>
      <c r="W147" s="65" t="n"/>
    </row>
    <row r="148">
      <c r="A148" s="8" t="inlineStr">
        <is>
          <t>F</t>
        </is>
      </c>
      <c r="B148" s="9" t="inlineStr">
        <is>
          <t>200 Free</t>
        </is>
      </c>
      <c r="C148" s="9" t="n">
        <v>15</v>
      </c>
      <c r="D148" s="9" t="n">
        <v>2</v>
      </c>
      <c r="E148" s="43" t="inlineStr">
        <is>
          <t>2:04.11</t>
        </is>
      </c>
      <c r="F148" s="35">
        <f>IFERROR(__xludf.DUMMYFUNCTION("IF(
  REGEXMATCH(E148, "":""),
  60*VALUE(INDEX(SPLIT(E148, "":""),1,1)) + VALUE(INDEX(SPLIT(E148, "":""),1,2)),
  VALUE(E148)
)"),124.11)</f>
        <v/>
      </c>
      <c r="G148" s="35">
        <f>F146-F147</f>
        <v/>
      </c>
      <c r="H148" s="35" t="n">
        <v>3.530000000000001</v>
      </c>
      <c r="I148" s="215">
        <f>C146</f>
        <v/>
      </c>
      <c r="J148" s="215">
        <f>C163</f>
        <v/>
      </c>
      <c r="K148" s="43">
        <f t="array" ref="K148">INDEX('Podium Target Times'!$C:$C, MATCH(A148&amp;B148, 'Podium Target Times'!$A:$A&amp;'Podium Target Times'!$B:$B, 0))
</f>
        <v/>
      </c>
      <c r="L148" s="12">
        <f>L149+G149</f>
        <v/>
      </c>
      <c r="M148" s="43">
        <f>TEXT(L148/86400, "mm:ss.00")</f>
        <v/>
      </c>
      <c r="N148" s="14">
        <f>IFERROR(__xludf.DUMMYFUNCTION("LET(
  gen,$A148, ev,$B148, t,$M148,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
      </c>
      <c r="O148" s="65" t="n"/>
      <c r="P148" s="69">
        <f>A149</f>
        <v/>
      </c>
      <c r="Q148" s="65">
        <f>B149</f>
        <v/>
      </c>
      <c r="R148" s="69">
        <f>C149</f>
        <v/>
      </c>
      <c r="S148" s="58">
        <f>M149</f>
        <v/>
      </c>
      <c r="T148" s="69">
        <f>N149</f>
        <v/>
      </c>
      <c r="U148" s="65" t="n"/>
      <c r="V148" s="65" t="n"/>
      <c r="W148" s="65" t="n"/>
    </row>
    <row r="149">
      <c r="A149" s="17" t="inlineStr">
        <is>
          <t>F</t>
        </is>
      </c>
      <c r="B149" s="18" t="inlineStr">
        <is>
          <t>200 Free</t>
        </is>
      </c>
      <c r="C149" s="18" t="n">
        <v>16</v>
      </c>
      <c r="D149" s="18" t="n">
        <v>1</v>
      </c>
      <c r="E149" s="46" t="inlineStr">
        <is>
          <t>2:00.67</t>
        </is>
      </c>
      <c r="F149" s="21">
        <f>IFERROR(__xludf.DUMMYFUNCTION("IF(
  REGEXMATCH(E149, "":""),
  60*VALUE(INDEX(SPLIT(E149, "":""),1,1)) + VALUE(INDEX(SPLIT(E149, "":""),1,2)),
  VALUE(E149)
)"),120.67)</f>
        <v/>
      </c>
      <c r="G149" s="21">
        <f>average(F147-F149,F148-F150)</f>
        <v/>
      </c>
      <c r="H149" s="21" t="n">
        <v>2.32</v>
      </c>
      <c r="I149" s="211">
        <f>C146</f>
        <v/>
      </c>
      <c r="J149" s="211">
        <f>C163</f>
        <v/>
      </c>
      <c r="K149" s="60">
        <f t="array" ref="K149">INDEX('Podium Target Times'!$C:$C, MATCH(A149&amp;B149, 'Podium Target Times'!$A:$A&amp;'Podium Target Times'!$B:$B, 0))
</f>
        <v/>
      </c>
      <c r="L149" s="24">
        <f>L152+G152</f>
        <v/>
      </c>
      <c r="M149" s="60">
        <f>TEXT(L149/86400, "mm:ss.00")</f>
        <v/>
      </c>
      <c r="N149" s="25">
        <f>IFERROR(__xludf.DUMMYFUNCTION("LET(
  gen,$A149, ev,$B149, t,$M149,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
      </c>
      <c r="O149" s="65" t="n"/>
      <c r="P149" s="69">
        <f>A152</f>
        <v/>
      </c>
      <c r="Q149" s="65">
        <f>B152</f>
        <v/>
      </c>
      <c r="R149" s="69">
        <f>C152</f>
        <v/>
      </c>
      <c r="S149" s="58">
        <f>M152</f>
        <v/>
      </c>
      <c r="T149" s="69">
        <f>N152</f>
        <v/>
      </c>
      <c r="U149" s="65" t="n"/>
      <c r="V149" s="65" t="n"/>
      <c r="W149" s="65" t="n"/>
    </row>
    <row r="150">
      <c r="A150" s="8" t="inlineStr">
        <is>
          <t>F</t>
        </is>
      </c>
      <c r="B150" s="9" t="inlineStr">
        <is>
          <t>200 Free</t>
        </is>
      </c>
      <c r="C150" s="9" t="n">
        <v>16</v>
      </c>
      <c r="D150" s="9" t="n">
        <v>2</v>
      </c>
      <c r="E150" s="41" t="inlineStr">
        <is>
          <t>2:01.78</t>
        </is>
      </c>
      <c r="F150" s="35">
        <f>IFERROR(__xludf.DUMMYFUNCTION("IF(
  REGEXMATCH(E150, "":""),
  60*VALUE(INDEX(SPLIT(E150, "":""),1,1)) + VALUE(INDEX(SPLIT(E150, "":""),1,2)),
  VALUE(E150)
)"),121.78)</f>
        <v/>
      </c>
      <c r="G150" s="35">
        <f>average(F147-F149,F148-F150)</f>
        <v/>
      </c>
      <c r="H150" s="35" t="n">
        <v>2.32</v>
      </c>
      <c r="I150" s="215">
        <f>C146</f>
        <v/>
      </c>
      <c r="J150" s="215">
        <f>C163</f>
        <v/>
      </c>
      <c r="K150" s="43">
        <f t="array" ref="K150">INDEX('Podium Target Times'!$C:$C, MATCH(A150&amp;B150, 'Podium Target Times'!$A:$A&amp;'Podium Target Times'!$B:$B, 0))
</f>
        <v/>
      </c>
      <c r="L150" s="12">
        <f>L152+G152</f>
        <v/>
      </c>
      <c r="M150" s="43">
        <f>TEXT(L150/86400, "mm:ss.00")</f>
        <v/>
      </c>
      <c r="N150" s="14">
        <f>IFERROR(__xludf.DUMMYFUNCTION("LET(
  gen,$A150, ev,$B150, t,$M150,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
      </c>
      <c r="O150" s="65" t="n"/>
      <c r="P150" s="69">
        <f>A155</f>
        <v/>
      </c>
      <c r="Q150" s="65">
        <f>B155</f>
        <v/>
      </c>
      <c r="R150" s="69">
        <f>C155</f>
        <v/>
      </c>
      <c r="S150" s="58">
        <f>M155</f>
        <v/>
      </c>
      <c r="T150" s="69">
        <f>N155</f>
        <v/>
      </c>
      <c r="U150" s="65" t="n"/>
      <c r="V150" s="65" t="n"/>
      <c r="W150" s="65" t="n"/>
    </row>
    <row r="151">
      <c r="A151" s="17" t="inlineStr">
        <is>
          <t>F</t>
        </is>
      </c>
      <c r="B151" s="18" t="inlineStr">
        <is>
          <t>200 Free</t>
        </is>
      </c>
      <c r="C151" s="18" t="n">
        <v>16</v>
      </c>
      <c r="D151" s="18" t="n">
        <v>3</v>
      </c>
      <c r="E151" s="46" t="inlineStr">
        <is>
          <t>2:02.25</t>
        </is>
      </c>
      <c r="F151" s="21">
        <f>IFERROR(__xludf.DUMMYFUNCTION("IF(
  REGEXMATCH(E151, "":""),
  60*VALUE(INDEX(SPLIT(E151, "":""),1,1)) + VALUE(INDEX(SPLIT(E151, "":""),1,2)),
  VALUE(E151)
)"),122.25)</f>
        <v/>
      </c>
      <c r="G151" s="21">
        <f>average(F147-F149,F148-F150)</f>
        <v/>
      </c>
      <c r="H151" s="21" t="n">
        <v>2.32</v>
      </c>
      <c r="I151" s="211">
        <f>C146</f>
        <v/>
      </c>
      <c r="J151" s="211">
        <f>C163</f>
        <v/>
      </c>
      <c r="K151" s="60">
        <f t="array" ref="K151">INDEX('Podium Target Times'!$C:$C, MATCH(A151&amp;B151, 'Podium Target Times'!$A:$A&amp;'Podium Target Times'!$B:$B, 0))
</f>
        <v/>
      </c>
      <c r="L151" s="24">
        <f>L152+G152</f>
        <v/>
      </c>
      <c r="M151" s="60">
        <f>TEXT(L151/86400, "mm:ss.00")</f>
        <v/>
      </c>
      <c r="N151" s="25">
        <f>IFERROR(__xludf.DUMMYFUNCTION("LET(
  gen,$A151, ev,$B151, t,$M151,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
      </c>
      <c r="O151" s="65" t="n"/>
      <c r="P151" s="69">
        <f>A158</f>
        <v/>
      </c>
      <c r="Q151" s="65">
        <f>B158</f>
        <v/>
      </c>
      <c r="R151" s="69">
        <f>C158</f>
        <v/>
      </c>
      <c r="S151" s="58">
        <f>M158</f>
        <v/>
      </c>
      <c r="T151" s="69">
        <f>N158</f>
        <v/>
      </c>
      <c r="U151" s="65" t="n"/>
      <c r="V151" s="65" t="n"/>
      <c r="W151" s="65" t="n"/>
    </row>
    <row r="152">
      <c r="A152" s="8" t="inlineStr">
        <is>
          <t>F</t>
        </is>
      </c>
      <c r="B152" s="9" t="inlineStr">
        <is>
          <t>200 Free</t>
        </is>
      </c>
      <c r="C152" s="9" t="n">
        <v>17</v>
      </c>
      <c r="D152" s="9" t="n">
        <v>1</v>
      </c>
      <c r="E152" s="483" t="inlineStr">
        <is>
          <t>1:59.20</t>
        </is>
      </c>
      <c r="F152" s="35">
        <f>IFERROR(__xludf.DUMMYFUNCTION("IF(
  REGEXMATCH(E152, "":""),
  60*VALUE(INDEX(SPLIT(E152, "":""),1,1)) + VALUE(INDEX(SPLIT(E152, "":""),1,2)),
  VALUE(E152)
)"),119.2)</f>
        <v/>
      </c>
      <c r="G152" s="35">
        <f>average(F149-F152,F150-F153,F151-F154)</f>
        <v/>
      </c>
      <c r="H152" s="35" t="n">
        <v>1.479999999999999</v>
      </c>
      <c r="I152" s="215">
        <f>C146</f>
        <v/>
      </c>
      <c r="J152" s="215">
        <f>C163</f>
        <v/>
      </c>
      <c r="K152" s="43">
        <f t="array" ref="K152">INDEX('Podium Target Times'!$C:$C, MATCH(A152&amp;B152, 'Podium Target Times'!$A:$A&amp;'Podium Target Times'!$B:$B, 0))
</f>
        <v/>
      </c>
      <c r="L152" s="12">
        <f>L155+G155</f>
        <v/>
      </c>
      <c r="M152" s="43">
        <f>TEXT(L152/86400, "mm:ss.00")</f>
        <v/>
      </c>
      <c r="N152" s="14">
        <f>IFERROR(__xludf.DUMMYFUNCTION("LET(
  gen,$A152, ev,$B152, t,$M152,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O152" s="65" t="n"/>
      <c r="P152" s="69">
        <f>A160</f>
        <v/>
      </c>
      <c r="Q152" s="65">
        <f>B160</f>
        <v/>
      </c>
      <c r="R152" s="69">
        <f>C160</f>
        <v/>
      </c>
      <c r="S152" s="58">
        <f>M160</f>
        <v/>
      </c>
      <c r="T152" s="69">
        <f>N160</f>
        <v/>
      </c>
      <c r="U152" s="65" t="n"/>
      <c r="V152" s="65" t="n"/>
      <c r="W152" s="65" t="n"/>
    </row>
    <row r="153">
      <c r="A153" s="17" t="inlineStr">
        <is>
          <t>F</t>
        </is>
      </c>
      <c r="B153" s="18" t="inlineStr">
        <is>
          <t>200 Free</t>
        </is>
      </c>
      <c r="C153" s="18" t="n">
        <v>17</v>
      </c>
      <c r="D153" s="18" t="n">
        <v>2</v>
      </c>
      <c r="E153" s="46" t="inlineStr">
        <is>
          <t>2:00.30</t>
        </is>
      </c>
      <c r="F153" s="21">
        <f>IFERROR(__xludf.DUMMYFUNCTION("IF(
  REGEXMATCH(E153, "":""),
  60*VALUE(INDEX(SPLIT(E153, "":""),1,1)) + VALUE(INDEX(SPLIT(E153, "":""),1,2)),
  VALUE(E153)
)"),120.3)</f>
        <v/>
      </c>
      <c r="G153" s="21">
        <f>average(F149-F152,F150-F153,F151-F154)</f>
        <v/>
      </c>
      <c r="H153" s="21" t="n">
        <v>1.479999999999999</v>
      </c>
      <c r="I153" s="211">
        <f>C146</f>
        <v/>
      </c>
      <c r="J153" s="211">
        <f>C163</f>
        <v/>
      </c>
      <c r="K153" s="60">
        <f t="array" ref="K153">INDEX('Podium Target Times'!$C:$C, MATCH(A153&amp;B153, 'Podium Target Times'!$A:$A&amp;'Podium Target Times'!$B:$B, 0))
</f>
        <v/>
      </c>
      <c r="L153" s="24">
        <f>L155+G155</f>
        <v/>
      </c>
      <c r="M153" s="60">
        <f>TEXT(L153/86400, "mm:ss.00")</f>
        <v/>
      </c>
      <c r="N153" s="25">
        <f>IFERROR(__xludf.DUMMYFUNCTION("LET(
  gen,$A153, ev,$B153, t,$M153,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O153" s="65" t="n"/>
      <c r="P153" s="69">
        <f>A162</f>
        <v/>
      </c>
      <c r="Q153" s="65">
        <f>B162</f>
        <v/>
      </c>
      <c r="R153" s="69">
        <f>C162</f>
        <v/>
      </c>
      <c r="S153" s="58">
        <f>M162</f>
        <v/>
      </c>
      <c r="T153" s="69">
        <f>N162</f>
        <v/>
      </c>
      <c r="U153" s="65" t="n"/>
      <c r="V153" s="65" t="n"/>
      <c r="W153" s="65" t="n"/>
    </row>
    <row r="154">
      <c r="A154" s="8" t="inlineStr">
        <is>
          <t>F</t>
        </is>
      </c>
      <c r="B154" s="9" t="inlineStr">
        <is>
          <t>200 Free</t>
        </is>
      </c>
      <c r="C154" s="9" t="n">
        <v>17</v>
      </c>
      <c r="D154" s="9" t="n">
        <v>3</v>
      </c>
      <c r="E154" s="41" t="inlineStr">
        <is>
          <t>2:00.76</t>
        </is>
      </c>
      <c r="F154" s="35">
        <f>IFERROR(__xludf.DUMMYFUNCTION("IF(
  REGEXMATCH(E154, "":""),
  60*VALUE(INDEX(SPLIT(E154, "":""),1,1)) + VALUE(INDEX(SPLIT(E154, "":""),1,2)),
  VALUE(E154)
)"),120.76)</f>
        <v/>
      </c>
      <c r="G154" s="35">
        <f>average(F149-F152,F150-F153,F151-F154)</f>
        <v/>
      </c>
      <c r="H154" s="35" t="n">
        <v>1.479999999999999</v>
      </c>
      <c r="I154" s="215">
        <f>C146</f>
        <v/>
      </c>
      <c r="J154" s="215">
        <f>C163</f>
        <v/>
      </c>
      <c r="K154" s="43">
        <f t="array" ref="K154">INDEX('Podium Target Times'!$C:$C, MATCH(A154&amp;B154, 'Podium Target Times'!$A:$A&amp;'Podium Target Times'!$B:$B, 0))
</f>
        <v/>
      </c>
      <c r="L154" s="12">
        <f>L155+G155</f>
        <v/>
      </c>
      <c r="M154" s="43">
        <f>TEXT(L154/86400, "mm:ss.00")</f>
        <v/>
      </c>
      <c r="N154" s="14">
        <f>IFERROR(__xludf.DUMMYFUNCTION("LET(
  gen,$A154, ev,$B154, t,$M154,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O154" s="65" t="n"/>
      <c r="P154" s="69">
        <f>A163</f>
        <v/>
      </c>
      <c r="Q154" s="65">
        <f>B163</f>
        <v/>
      </c>
      <c r="R154" s="69">
        <f>C163</f>
        <v/>
      </c>
      <c r="S154" s="58">
        <f>M163</f>
        <v/>
      </c>
      <c r="T154" s="69">
        <f>N163</f>
        <v/>
      </c>
      <c r="U154" s="65" t="n"/>
      <c r="V154" s="65" t="n"/>
      <c r="W154" s="65" t="n"/>
    </row>
    <row r="155">
      <c r="A155" s="17" t="inlineStr">
        <is>
          <t>F</t>
        </is>
      </c>
      <c r="B155" s="18" t="inlineStr">
        <is>
          <t>200 Free</t>
        </is>
      </c>
      <c r="C155" s="18" t="n">
        <v>18</v>
      </c>
      <c r="D155" s="18" t="n">
        <v>1</v>
      </c>
      <c r="E155" s="46" t="inlineStr">
        <is>
          <t>1:58.23</t>
        </is>
      </c>
      <c r="F155" s="21">
        <f>IFERROR(__xludf.DUMMYFUNCTION("IF(
  REGEXMATCH(E155, "":""),
  60*VALUE(INDEX(SPLIT(E155, "":""),1,1)) + VALUE(INDEX(SPLIT(E155, "":""),1,2)),
  VALUE(E155)
)"),118.22999999999999)</f>
        <v/>
      </c>
      <c r="G155" s="21">
        <f>average(F152-F155,F153-F156,F154-F157)</f>
        <v/>
      </c>
      <c r="H155" s="21" t="n">
        <v>0.980000000000004</v>
      </c>
      <c r="I155" s="211">
        <f>C146</f>
        <v/>
      </c>
      <c r="J155" s="211">
        <f>C163</f>
        <v/>
      </c>
      <c r="K155" s="60">
        <f t="array" ref="K155">INDEX('Podium Target Times'!$C:$C, MATCH(A155&amp;B155, 'Podium Target Times'!$A:$A&amp;'Podium Target Times'!$B:$B, 0))
</f>
        <v/>
      </c>
      <c r="L155" s="24">
        <f>L158+G158</f>
        <v/>
      </c>
      <c r="M155" s="60">
        <f>TEXT(L155/86400, "mm:ss.00")</f>
        <v/>
      </c>
      <c r="N155" s="25">
        <f>IFERROR(__xludf.DUMMYFUNCTION("LET(
  gen,$A155, ev,$B155, t,$M155,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155" s="65" t="n"/>
      <c r="P155" s="69" t="n"/>
      <c r="Q155" s="65" t="n"/>
      <c r="R155" s="69" t="n"/>
      <c r="S155" s="58" t="n"/>
      <c r="T155" s="69" t="n"/>
      <c r="U155" s="65" t="n"/>
      <c r="V155" s="65" t="n"/>
      <c r="W155" s="65" t="n"/>
    </row>
    <row r="156">
      <c r="A156" s="8" t="inlineStr">
        <is>
          <t>F</t>
        </is>
      </c>
      <c r="B156" s="9" t="inlineStr">
        <is>
          <t>200 Free</t>
        </is>
      </c>
      <c r="C156" s="9" t="n">
        <v>18</v>
      </c>
      <c r="D156" s="9" t="n">
        <v>2</v>
      </c>
      <c r="E156" s="41" t="inlineStr">
        <is>
          <t>1:59.32</t>
        </is>
      </c>
      <c r="F156" s="35">
        <f>IFERROR(__xludf.DUMMYFUNCTION("IF(
  REGEXMATCH(E156, "":""),
  60*VALUE(INDEX(SPLIT(E156, "":""),1,1)) + VALUE(INDEX(SPLIT(E156, "":""),1,2)),
  VALUE(E156)
)"),119.32)</f>
        <v/>
      </c>
      <c r="G156" s="35">
        <f>average(F152-F155,F153-F156,F154-F157)</f>
        <v/>
      </c>
      <c r="H156" s="35" t="n">
        <v>0.980000000000004</v>
      </c>
      <c r="I156" s="215">
        <f>C146</f>
        <v/>
      </c>
      <c r="J156" s="215">
        <f>C163</f>
        <v/>
      </c>
      <c r="K156" s="43">
        <f t="array" ref="K156">INDEX('Podium Target Times'!$C:$C, MATCH(A156&amp;B156, 'Podium Target Times'!$A:$A&amp;'Podium Target Times'!$B:$B, 0))
</f>
        <v/>
      </c>
      <c r="L156" s="12">
        <f>L158+G158</f>
        <v/>
      </c>
      <c r="M156" s="43">
        <f>TEXT(L156/86400, "mm:ss.00")</f>
        <v/>
      </c>
      <c r="N156" s="14">
        <f>IFERROR(__xludf.DUMMYFUNCTION("LET(
  gen,$A156, ev,$B156, t,$M156,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156" s="65" t="n"/>
      <c r="P156" s="69" t="n"/>
      <c r="Q156" s="65" t="n"/>
      <c r="R156" s="69" t="n"/>
      <c r="S156" s="58" t="n"/>
      <c r="T156" s="69" t="n"/>
      <c r="U156" s="65" t="n"/>
      <c r="V156" s="65" t="n"/>
      <c r="W156" s="65" t="n"/>
    </row>
    <row r="157">
      <c r="A157" s="17" t="inlineStr">
        <is>
          <t>F</t>
        </is>
      </c>
      <c r="B157" s="18" t="inlineStr">
        <is>
          <t>200 Free</t>
        </is>
      </c>
      <c r="C157" s="18" t="n">
        <v>18</v>
      </c>
      <c r="D157" s="18" t="n">
        <v>3</v>
      </c>
      <c r="E157" s="46" t="inlineStr">
        <is>
          <t>1:59.77</t>
        </is>
      </c>
      <c r="F157" s="21">
        <f>IFERROR(__xludf.DUMMYFUNCTION("IF(
  REGEXMATCH(E157, "":""),
  60*VALUE(INDEX(SPLIT(E157, "":""),1,1)) + VALUE(INDEX(SPLIT(E157, "":""),1,2)),
  VALUE(E157)
)"),119.77000000000001)</f>
        <v/>
      </c>
      <c r="G157" s="21">
        <f>average(F152-F155,F153-F156,F154-F157)</f>
        <v/>
      </c>
      <c r="H157" s="21" t="n">
        <v>0.980000000000004</v>
      </c>
      <c r="I157" s="211">
        <f>C146</f>
        <v/>
      </c>
      <c r="J157" s="211">
        <f>C163</f>
        <v/>
      </c>
      <c r="K157" s="60">
        <f t="array" ref="K157">INDEX('Podium Target Times'!$C:$C, MATCH(A157&amp;B157, 'Podium Target Times'!$A:$A&amp;'Podium Target Times'!$B:$B, 0))
</f>
        <v/>
      </c>
      <c r="L157" s="24">
        <f>L158+G158</f>
        <v/>
      </c>
      <c r="M157" s="60">
        <f>TEXT(L157/86400, "mm:ss.00")</f>
        <v/>
      </c>
      <c r="N157" s="25">
        <f>IFERROR(__xludf.DUMMYFUNCTION("LET(
  gen,$A157, ev,$B157, t,$M157,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157" s="65" t="n"/>
      <c r="P157" s="69" t="n"/>
      <c r="Q157" s="65" t="n"/>
      <c r="R157" s="69" t="n"/>
      <c r="S157" s="58" t="n"/>
      <c r="T157" s="69" t="n"/>
      <c r="U157" s="65" t="n"/>
      <c r="V157" s="65" t="n"/>
      <c r="W157" s="65" t="n"/>
    </row>
    <row r="158">
      <c r="A158" s="8" t="inlineStr">
        <is>
          <t>F</t>
        </is>
      </c>
      <c r="B158" s="9" t="inlineStr">
        <is>
          <t>200 Free</t>
        </is>
      </c>
      <c r="C158" s="9" t="n">
        <v>19</v>
      </c>
      <c r="D158" s="219" t="n">
        <v>2</v>
      </c>
      <c r="E158" s="41" t="inlineStr">
        <is>
          <t>1:58.69</t>
        </is>
      </c>
      <c r="F158" s="35">
        <f>IFERROR(__xludf.DUMMYFUNCTION("IF(
  REGEXMATCH(E158, "":""),
  60*VALUE(INDEX(SPLIT(E158, "":""),1,1)) + VALUE(INDEX(SPLIT(E158, "":""),1,2)),
  VALUE(E158)
)"),118.69)</f>
        <v/>
      </c>
      <c r="G158" s="35">
        <f>average(F156-F158,F157-F159)</f>
        <v/>
      </c>
      <c r="H158" s="35" t="n">
        <v>0.625</v>
      </c>
      <c r="I158" s="215">
        <f>C146</f>
        <v/>
      </c>
      <c r="J158" s="215">
        <f>C163</f>
        <v/>
      </c>
      <c r="K158" s="43">
        <f t="array" ref="K158">INDEX('Podium Target Times'!$C:$C, MATCH(A158&amp;B158, 'Podium Target Times'!$A:$A&amp;'Podium Target Times'!$B:$B, 0))
</f>
        <v/>
      </c>
      <c r="L158" s="12">
        <f>L160+G160</f>
        <v/>
      </c>
      <c r="M158" s="43">
        <f>TEXT(L158/86400, "mm:ss.00")</f>
        <v/>
      </c>
      <c r="N158" s="14">
        <f>IFERROR(__xludf.DUMMYFUNCTION("LET(
  gen,$A158, ev,$B158, t,$M158,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
      </c>
      <c r="O158" s="65" t="n"/>
      <c r="P158" s="69" t="n"/>
      <c r="Q158" s="65" t="n"/>
      <c r="R158" s="69" t="n"/>
      <c r="S158" s="58" t="n"/>
      <c r="T158" s="69" t="n"/>
      <c r="U158" s="65" t="n"/>
      <c r="V158" s="65" t="n"/>
      <c r="W158" s="65" t="n"/>
    </row>
    <row r="159">
      <c r="A159" s="17" t="inlineStr">
        <is>
          <t>F</t>
        </is>
      </c>
      <c r="B159" s="18" t="inlineStr">
        <is>
          <t>200 Free</t>
        </is>
      </c>
      <c r="C159" s="18" t="n">
        <v>19</v>
      </c>
      <c r="D159" s="18" t="n">
        <v>3</v>
      </c>
      <c r="E159" s="46" t="inlineStr">
        <is>
          <t>1:59.15</t>
        </is>
      </c>
      <c r="F159" s="21">
        <f>IFERROR(__xludf.DUMMYFUNCTION("IF(
  REGEXMATCH(E159, "":""),
  60*VALUE(INDEX(SPLIT(E159, "":""),1,1)) + VALUE(INDEX(SPLIT(E159, "":""),1,2)),
  VALUE(E159)
)"),119.15)</f>
        <v/>
      </c>
      <c r="G159" s="21">
        <f>average(F156-F158,F157-F159)</f>
        <v/>
      </c>
      <c r="H159" s="21" t="n">
        <v>0.625</v>
      </c>
      <c r="I159" s="211">
        <f>C146</f>
        <v/>
      </c>
      <c r="J159" s="211">
        <f>C163</f>
        <v/>
      </c>
      <c r="K159" s="60">
        <f t="array" ref="K159">INDEX('Podium Target Times'!$C:$C, MATCH(A159&amp;B159, 'Podium Target Times'!$A:$A&amp;'Podium Target Times'!$B:$B, 0))
</f>
        <v/>
      </c>
      <c r="L159" s="24">
        <f>L160+G160</f>
        <v/>
      </c>
      <c r="M159" s="60">
        <f>TEXT(L159/86400, "mm:ss.00")</f>
        <v/>
      </c>
      <c r="N159" s="25">
        <f>IFERROR(__xludf.DUMMYFUNCTION("LET(
  gen,$A159, ev,$B159, t,$M159,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
      </c>
      <c r="O159" s="65" t="n"/>
      <c r="P159" s="69" t="n"/>
      <c r="Q159" s="65" t="n"/>
      <c r="R159" s="69" t="n"/>
      <c r="S159" s="58" t="n"/>
      <c r="T159" s="69" t="n"/>
      <c r="U159" s="65" t="n"/>
      <c r="V159" s="65" t="n"/>
      <c r="W159" s="65" t="n"/>
    </row>
    <row r="160">
      <c r="A160" s="8" t="inlineStr">
        <is>
          <t>F</t>
        </is>
      </c>
      <c r="B160" s="9" t="inlineStr">
        <is>
          <t>200 Free</t>
        </is>
      </c>
      <c r="C160" s="9" t="n">
        <v>20</v>
      </c>
      <c r="D160" s="9" t="n">
        <v>2</v>
      </c>
      <c r="E160" s="41" t="inlineStr">
        <is>
          <t>1:58.23</t>
        </is>
      </c>
      <c r="F160" s="35">
        <f>IFERROR(__xludf.DUMMYFUNCTION("IF(
  REGEXMATCH(E160, "":""),
  60*VALUE(INDEX(SPLIT(E160, "":""),1,1)) + VALUE(INDEX(SPLIT(E160, "":""),1,2)),
  VALUE(E160)
)"),118.22999999999999)</f>
        <v/>
      </c>
      <c r="G160" s="35">
        <f>average(F158-F160,F159-F161)</f>
        <v/>
      </c>
      <c r="H160" s="35" t="n">
        <v>0.4650000000000034</v>
      </c>
      <c r="I160" s="215">
        <f>C146</f>
        <v/>
      </c>
      <c r="J160" s="215">
        <f>C163</f>
        <v/>
      </c>
      <c r="K160" s="43">
        <f t="array" ref="K160">INDEX('Podium Target Times'!$C:$C, MATCH(A160&amp;B160, 'Podium Target Times'!$A:$A&amp;'Podium Target Times'!$B:$B, 0))
</f>
        <v/>
      </c>
      <c r="L160" s="12">
        <f>L162+G162</f>
        <v/>
      </c>
      <c r="M160" s="43">
        <f>TEXT(L160/86400, "mm:ss.00")</f>
        <v/>
      </c>
      <c r="N160" s="14">
        <f>IFERROR(__xludf.DUMMYFUNCTION("LET(
  gen,$A160, ev,$B160, t,$M160,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O160" s="65" t="n"/>
      <c r="P160" s="69" t="n"/>
      <c r="Q160" s="65" t="n"/>
      <c r="R160" s="69" t="n"/>
      <c r="S160" s="58" t="n"/>
      <c r="T160" s="69" t="n"/>
      <c r="U160" s="65" t="n"/>
      <c r="V160" s="65" t="n"/>
      <c r="W160" s="65" t="n"/>
    </row>
    <row r="161">
      <c r="A161" s="17" t="inlineStr">
        <is>
          <t>F</t>
        </is>
      </c>
      <c r="B161" s="18" t="inlineStr">
        <is>
          <t>200 Free</t>
        </is>
      </c>
      <c r="C161" s="18" t="n">
        <v>20</v>
      </c>
      <c r="D161" s="18" t="n">
        <v>3</v>
      </c>
      <c r="E161" s="46" t="inlineStr">
        <is>
          <t>1:58.68</t>
        </is>
      </c>
      <c r="F161" s="21">
        <f>IFERROR(__xludf.DUMMYFUNCTION("IF(
  REGEXMATCH(E161, "":""),
  60*VALUE(INDEX(SPLIT(E161, "":""),1,1)) + VALUE(INDEX(SPLIT(E161, "":""),1,2)),
  VALUE(E161)
)"),118.68)</f>
        <v/>
      </c>
      <c r="G161" s="21">
        <f>average(F158-F160,F159-F161)</f>
        <v/>
      </c>
      <c r="H161" s="21" t="n">
        <v>0.4650000000000034</v>
      </c>
      <c r="I161" s="211">
        <f>C146</f>
        <v/>
      </c>
      <c r="J161" s="211">
        <f>C163</f>
        <v/>
      </c>
      <c r="K161" s="60">
        <f t="array" ref="K161">INDEX('Podium Target Times'!$C:$C, MATCH(A161&amp;B161, 'Podium Target Times'!$A:$A&amp;'Podium Target Times'!$B:$B, 0))
</f>
        <v/>
      </c>
      <c r="L161" s="24">
        <f>L162+G162</f>
        <v/>
      </c>
      <c r="M161" s="60">
        <f>TEXT(L161/86400, "mm:ss.00")</f>
        <v/>
      </c>
      <c r="N161" s="25">
        <f>IFERROR(__xludf.DUMMYFUNCTION("LET(
  gen,$A161, ev,$B161, t,$M161,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O161" s="65" t="n"/>
      <c r="P161" s="69" t="n"/>
      <c r="Q161" s="65" t="n"/>
      <c r="R161" s="69" t="n"/>
      <c r="S161" s="58" t="n"/>
      <c r="T161" s="69" t="n"/>
      <c r="U161" s="65" t="n"/>
      <c r="V161" s="65" t="n"/>
      <c r="W161" s="65" t="n"/>
    </row>
    <row r="162">
      <c r="A162" s="8" t="inlineStr">
        <is>
          <t>F</t>
        </is>
      </c>
      <c r="B162" s="9" t="inlineStr">
        <is>
          <t>200 Free</t>
        </is>
      </c>
      <c r="C162" s="9" t="n">
        <v>21</v>
      </c>
      <c r="D162" s="9" t="n">
        <v>3</v>
      </c>
      <c r="E162" s="41" t="inlineStr">
        <is>
          <t>1:58.39</t>
        </is>
      </c>
      <c r="F162" s="35">
        <f>IFERROR(__xludf.DUMMYFUNCTION("IF(
  REGEXMATCH(E162, "":""),
  60*VALUE(INDEX(SPLIT(E162, "":""),1,1)) + VALUE(INDEX(SPLIT(E162, "":""),1,2)),
  VALUE(E162)
)"),118.39)</f>
        <v/>
      </c>
      <c r="G162" s="35">
        <f>F161-F162</f>
        <v/>
      </c>
      <c r="H162" s="35" t="n">
        <v>0.2900000000000063</v>
      </c>
      <c r="I162" s="215">
        <f>C146</f>
        <v/>
      </c>
      <c r="J162" s="215">
        <f>C163</f>
        <v/>
      </c>
      <c r="K162" s="43">
        <f t="array" ref="K162">INDEX('Podium Target Times'!$C:$C, MATCH(A162&amp;B162, 'Podium Target Times'!$A:$A&amp;'Podium Target Times'!$B:$B, 0))
</f>
        <v/>
      </c>
      <c r="L162" s="12">
        <f>L163+G163</f>
        <v/>
      </c>
      <c r="M162" s="43">
        <f>TEXT(L162/86400, "mm:ss.00")</f>
        <v/>
      </c>
      <c r="N162" s="14">
        <f>IFERROR(__xludf.DUMMYFUNCTION("LET(
  gen,$A162, ev,$B162, t,$M162,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O162" s="65" t="n"/>
      <c r="P162" s="69" t="n"/>
      <c r="Q162" s="65" t="n"/>
      <c r="R162" s="69" t="n"/>
      <c r="S162" s="58" t="n"/>
      <c r="T162" s="69" t="n"/>
      <c r="U162" s="65" t="n"/>
      <c r="V162" s="65" t="n"/>
      <c r="W162" s="65" t="n"/>
    </row>
    <row r="163">
      <c r="A163" s="17" t="inlineStr">
        <is>
          <t>F</t>
        </is>
      </c>
      <c r="B163" s="18" t="inlineStr">
        <is>
          <t>200 Free</t>
        </is>
      </c>
      <c r="C163" s="18" t="n">
        <v>22</v>
      </c>
      <c r="D163" s="18" t="n">
        <v>3</v>
      </c>
      <c r="E163" s="46" t="inlineStr">
        <is>
          <t>1:58.23</t>
        </is>
      </c>
      <c r="F163" s="21">
        <f>IFERROR(__xludf.DUMMYFUNCTION("IF(
  REGEXMATCH(E163, "":""),
  60*VALUE(INDEX(SPLIT(E163, "":""),1,1)) + VALUE(INDEX(SPLIT(E163, "":""),1,2)),
  VALUE(E163)
)"),118.22999999999999)</f>
        <v/>
      </c>
      <c r="G163" s="21">
        <f>F162-F163</f>
        <v/>
      </c>
      <c r="H163" s="21" t="n">
        <v>0.1600000000000108</v>
      </c>
      <c r="I163" s="211">
        <f>C146</f>
        <v/>
      </c>
      <c r="J163" s="211">
        <f>C163</f>
        <v/>
      </c>
      <c r="K163" s="60">
        <f t="array" ref="K163">INDEX('Podium Target Times'!$C:$C, MATCH(A163&amp;B163, 'Podium Target Times'!$A:$A&amp;'Podium Target Times'!$B:$B, 0))
</f>
        <v/>
      </c>
      <c r="L163" s="211">
        <f>K163</f>
        <v/>
      </c>
      <c r="M163" s="60">
        <f>TEXT(L163/86400, "mm:ss.00")</f>
        <v/>
      </c>
      <c r="N163" s="25">
        <f>IFERROR(__xludf.DUMMYFUNCTION("LET(
  gen,$A163, ev,$B163, t,$M163,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163" s="65" t="n"/>
      <c r="P163" s="69" t="n"/>
      <c r="Q163" s="65" t="n"/>
      <c r="R163" s="69" t="n"/>
      <c r="S163" s="58" t="n"/>
      <c r="T163" s="69" t="n"/>
      <c r="U163" s="65" t="n"/>
      <c r="V163" s="65" t="n"/>
      <c r="W163" s="65" t="n"/>
    </row>
    <row r="164">
      <c r="A164" s="8" t="inlineStr">
        <is>
          <t>F</t>
        </is>
      </c>
      <c r="B164" s="9" t="inlineStr">
        <is>
          <t>200 IM</t>
        </is>
      </c>
      <c r="C164" s="9" t="n">
        <v>15</v>
      </c>
      <c r="D164" s="9" t="n">
        <v>1</v>
      </c>
      <c r="E164" s="41" t="inlineStr">
        <is>
          <t>2:18.51</t>
        </is>
      </c>
      <c r="F164" s="35">
        <f>IFERROR(__xludf.DUMMYFUNCTION("IF(
  REGEXMATCH(E164, "":""),
  60*VALUE(INDEX(SPLIT(E164, "":""),1,1)) + VALUE(INDEX(SPLIT(E164, "":""),1,2)),
  VALUE(E164)
)"),138.51)</f>
        <v/>
      </c>
      <c r="G164" s="12" t="n">
        <v>0</v>
      </c>
      <c r="H164" s="12" t="n">
        <v>0</v>
      </c>
      <c r="I164" s="43">
        <f>C164</f>
        <v/>
      </c>
      <c r="J164" s="43">
        <f>C181</f>
        <v/>
      </c>
      <c r="K164" s="43">
        <f t="array" ref="K164">INDEX('Podium Target Times'!$C:$C, MATCH(A164&amp;B164, 'Podium Target Times'!$A:$A&amp;'Podium Target Times'!$B:$B, 0))
</f>
        <v/>
      </c>
      <c r="L164" s="12">
        <f>L165+G165</f>
        <v/>
      </c>
      <c r="M164" s="43">
        <f>TEXT(L164/86400, "mm:ss.00")</f>
        <v/>
      </c>
      <c r="N164" s="14">
        <f>IFERROR(__xludf.DUMMYFUNCTION("LET(
  gen,$A164, ev,$B164, t,$M164,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
      </c>
      <c r="O164" s="65" t="n"/>
      <c r="P164" s="69">
        <f>A164</f>
        <v/>
      </c>
      <c r="Q164" s="65">
        <f>B164</f>
        <v/>
      </c>
      <c r="R164" s="69">
        <f>C164</f>
        <v/>
      </c>
      <c r="S164" s="58">
        <f>M164</f>
        <v/>
      </c>
      <c r="T164" s="69">
        <f>N164</f>
        <v/>
      </c>
      <c r="U164" s="65" t="n"/>
      <c r="V164" s="65" t="n"/>
      <c r="W164" s="65" t="n"/>
    </row>
    <row r="165">
      <c r="A165" s="17" t="inlineStr">
        <is>
          <t>F</t>
        </is>
      </c>
      <c r="B165" s="18" t="inlineStr">
        <is>
          <t>200 IM</t>
        </is>
      </c>
      <c r="C165" s="18" t="n">
        <v>16</v>
      </c>
      <c r="D165" s="18" t="n">
        <v>1</v>
      </c>
      <c r="E165" s="46" t="inlineStr">
        <is>
          <t>2:15.93</t>
        </is>
      </c>
      <c r="F165" s="21">
        <f>IFERROR(__xludf.DUMMYFUNCTION("IF(
  REGEXMATCH(E165, "":""),
  60*VALUE(INDEX(SPLIT(E165, "":""),1,1)) + VALUE(INDEX(SPLIT(E165, "":""),1,2)),
  VALUE(E165)
)"),135.93)</f>
        <v/>
      </c>
      <c r="G165" s="21">
        <f>F164-F165</f>
        <v/>
      </c>
      <c r="H165" s="21" t="n">
        <v>2.579999999999984</v>
      </c>
      <c r="I165" s="211">
        <f>C164</f>
        <v/>
      </c>
      <c r="J165" s="211">
        <f>C181</f>
        <v/>
      </c>
      <c r="K165" s="60">
        <f t="array" ref="K165">INDEX('Podium Target Times'!$C:$C, MATCH(A165&amp;B165, 'Podium Target Times'!$A:$A&amp;'Podium Target Times'!$B:$B, 0))
</f>
        <v/>
      </c>
      <c r="L165" s="24">
        <f>L167+G167</f>
        <v/>
      </c>
      <c r="M165" s="60">
        <f>TEXT(L165/86400, "mm:ss.00")</f>
        <v/>
      </c>
      <c r="N165" s="25">
        <f>IFERROR(__xludf.DUMMYFUNCTION("LET(
  gen,$A165, ev,$B165, t,$M165,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165" s="65" t="n"/>
      <c r="P165" s="69">
        <f>A165</f>
        <v/>
      </c>
      <c r="Q165" s="65">
        <f>B165</f>
        <v/>
      </c>
      <c r="R165" s="69">
        <f>C165</f>
        <v/>
      </c>
      <c r="S165" s="58">
        <f>M165</f>
        <v/>
      </c>
      <c r="T165" s="69">
        <f>N165</f>
        <v/>
      </c>
      <c r="U165" s="65" t="n"/>
      <c r="V165" s="65" t="n"/>
      <c r="W165" s="65" t="n"/>
    </row>
    <row r="166">
      <c r="A166" s="8" t="inlineStr">
        <is>
          <t>F</t>
        </is>
      </c>
      <c r="B166" s="9" t="inlineStr">
        <is>
          <t>200 IM</t>
        </is>
      </c>
      <c r="C166" s="9" t="n">
        <v>16</v>
      </c>
      <c r="D166" s="9" t="n">
        <v>2</v>
      </c>
      <c r="E166" s="41" t="inlineStr">
        <is>
          <t>2:16.89</t>
        </is>
      </c>
      <c r="F166" s="35">
        <f>IFERROR(__xludf.DUMMYFUNCTION("IF(
  REGEXMATCH(E166, "":""),
  60*VALUE(INDEX(SPLIT(E166, "":""),1,1)) + VALUE(INDEX(SPLIT(E166, "":""),1,2)),
  VALUE(E166)
)"),136.89)</f>
        <v/>
      </c>
      <c r="G166" s="35">
        <f>F164-F165</f>
        <v/>
      </c>
      <c r="H166" s="35" t="n">
        <v>2.579999999999984</v>
      </c>
      <c r="I166" s="215">
        <f>C164</f>
        <v/>
      </c>
      <c r="J166" s="215">
        <f>C181</f>
        <v/>
      </c>
      <c r="K166" s="43">
        <f t="array" ref="K166">INDEX('Podium Target Times'!$C:$C, MATCH(A166&amp;B166, 'Podium Target Times'!$A:$A&amp;'Podium Target Times'!$B:$B, 0))
</f>
        <v/>
      </c>
      <c r="L166" s="12">
        <f>L167+G167</f>
        <v/>
      </c>
      <c r="M166" s="43">
        <f>TEXT(L166/86400, "mm:ss.00")</f>
        <v/>
      </c>
      <c r="N166" s="14">
        <f>IFERROR(__xludf.DUMMYFUNCTION("LET(
  gen,$A166, ev,$B166, t,$M166,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166" s="65" t="n"/>
      <c r="P166" s="69">
        <f>A167</f>
        <v/>
      </c>
      <c r="Q166" s="65">
        <f>B167</f>
        <v/>
      </c>
      <c r="R166" s="69">
        <f>C167</f>
        <v/>
      </c>
      <c r="S166" s="58">
        <f>M167</f>
        <v/>
      </c>
      <c r="T166" s="69">
        <f>N167</f>
        <v/>
      </c>
      <c r="U166" s="65" t="n"/>
      <c r="V166" s="65" t="n"/>
      <c r="W166" s="65" t="n"/>
    </row>
    <row r="167">
      <c r="A167" s="17" t="inlineStr">
        <is>
          <t>F</t>
        </is>
      </c>
      <c r="B167" s="18" t="inlineStr">
        <is>
          <t>200 IM</t>
        </is>
      </c>
      <c r="C167" s="18" t="n">
        <v>17</v>
      </c>
      <c r="D167" s="18" t="n">
        <v>1</v>
      </c>
      <c r="E167" s="46" t="inlineStr">
        <is>
          <t>2:14.41</t>
        </is>
      </c>
      <c r="F167" s="21">
        <f>IFERROR(__xludf.DUMMYFUNCTION("IF(
  REGEXMATCH(E167, "":""),
  60*VALUE(INDEX(SPLIT(E167, "":""),1,1)) + VALUE(INDEX(SPLIT(E167, "":""),1,2)),
  VALUE(E167)
)"),134.41)</f>
        <v/>
      </c>
      <c r="G167" s="21">
        <f>average(F165-F167,F166-F168)</f>
        <v/>
      </c>
      <c r="H167" s="21" t="n">
        <v>1.524999999999991</v>
      </c>
      <c r="I167" s="211">
        <f>C164</f>
        <v/>
      </c>
      <c r="J167" s="211">
        <f>C181</f>
        <v/>
      </c>
      <c r="K167" s="60">
        <f t="array" ref="K167">INDEX('Podium Target Times'!$C:$C, MATCH(A167&amp;B167, 'Podium Target Times'!$A:$A&amp;'Podium Target Times'!$B:$B, 0))
</f>
        <v/>
      </c>
      <c r="L167" s="24">
        <f>L170+G170</f>
        <v/>
      </c>
      <c r="M167" s="60">
        <f>TEXT(L167/86400, "mm:ss.00")</f>
        <v/>
      </c>
      <c r="N167" s="25">
        <f>IFERROR(__xludf.DUMMYFUNCTION("LET(
  gen,$A167, ev,$B167, t,$M167,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167" s="65" t="n"/>
      <c r="P167" s="69">
        <f>A170</f>
        <v/>
      </c>
      <c r="Q167" s="65">
        <f>B170</f>
        <v/>
      </c>
      <c r="R167" s="69">
        <f>C170</f>
        <v/>
      </c>
      <c r="S167" s="58">
        <f>M170</f>
        <v/>
      </c>
      <c r="T167" s="69">
        <f>N170</f>
        <v/>
      </c>
      <c r="U167" s="65" t="n"/>
      <c r="V167" s="65" t="n"/>
      <c r="W167" s="65" t="n"/>
    </row>
    <row r="168">
      <c r="A168" s="8" t="inlineStr">
        <is>
          <t>F</t>
        </is>
      </c>
      <c r="B168" s="9" t="inlineStr">
        <is>
          <t>200 IM</t>
        </is>
      </c>
      <c r="C168" s="9" t="n">
        <v>17</v>
      </c>
      <c r="D168" s="9" t="n">
        <v>2</v>
      </c>
      <c r="E168" s="41" t="inlineStr">
        <is>
          <t>2:15.36</t>
        </is>
      </c>
      <c r="F168" s="35">
        <f>IFERROR(__xludf.DUMMYFUNCTION("IF(
  REGEXMATCH(E168, "":""),
  60*VALUE(INDEX(SPLIT(E168, "":""),1,1)) + VALUE(INDEX(SPLIT(E168, "":""),1,2)),
  VALUE(E168)
)"),135.36)</f>
        <v/>
      </c>
      <c r="G168" s="35">
        <f>average(F165-F167,F166-F168)</f>
        <v/>
      </c>
      <c r="H168" s="35" t="n">
        <v>1.524999999999991</v>
      </c>
      <c r="I168" s="215">
        <f>C164</f>
        <v/>
      </c>
      <c r="J168" s="215">
        <f>C181</f>
        <v/>
      </c>
      <c r="K168" s="43">
        <f t="array" ref="K168">INDEX('Podium Target Times'!$C:$C, MATCH(A168&amp;B168, 'Podium Target Times'!$A:$A&amp;'Podium Target Times'!$B:$B, 0))
</f>
        <v/>
      </c>
      <c r="L168" s="12">
        <f>L170+G170</f>
        <v/>
      </c>
      <c r="M168" s="43">
        <f>TEXT(L168/86400, "mm:ss.00")</f>
        <v/>
      </c>
      <c r="N168" s="14">
        <f>IFERROR(__xludf.DUMMYFUNCTION("LET(
  gen,$A168, ev,$B168, t,$M168,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168" s="65" t="n"/>
      <c r="P168" s="69">
        <f>A173</f>
        <v/>
      </c>
      <c r="Q168" s="65">
        <f>B173</f>
        <v/>
      </c>
      <c r="R168" s="69">
        <f>C173</f>
        <v/>
      </c>
      <c r="S168" s="58">
        <f>M173</f>
        <v/>
      </c>
      <c r="T168" s="69">
        <f>N173</f>
        <v/>
      </c>
      <c r="U168" s="65" t="n"/>
      <c r="V168" s="65" t="n"/>
      <c r="W168" s="65" t="n"/>
    </row>
    <row r="169">
      <c r="A169" s="17" t="inlineStr">
        <is>
          <t>F</t>
        </is>
      </c>
      <c r="B169" s="18" t="inlineStr">
        <is>
          <t>200 IM</t>
        </is>
      </c>
      <c r="C169" s="18" t="n">
        <v>17</v>
      </c>
      <c r="D169" s="221" t="n">
        <v>3</v>
      </c>
      <c r="E169" s="46" t="inlineStr">
        <is>
          <t>2:15.76</t>
        </is>
      </c>
      <c r="F169" s="21">
        <f>IFERROR(__xludf.DUMMYFUNCTION("IF(
  REGEXMATCH(E169, "":""),
  60*VALUE(INDEX(SPLIT(E169, "":""),1,1)) + VALUE(INDEX(SPLIT(E169, "":""),1,2)),
  VALUE(E169)
)"),135.76)</f>
        <v/>
      </c>
      <c r="G169" s="21">
        <f>average(F165-F167,F166-F168)</f>
        <v/>
      </c>
      <c r="H169" s="21" t="n">
        <v>1.524999999999991</v>
      </c>
      <c r="I169" s="211">
        <f>C164</f>
        <v/>
      </c>
      <c r="J169" s="211">
        <f>C181</f>
        <v/>
      </c>
      <c r="K169" s="60">
        <f t="array" ref="K169">INDEX('Podium Target Times'!$C:$C, MATCH(A169&amp;B169, 'Podium Target Times'!$A:$A&amp;'Podium Target Times'!$B:$B, 0))
</f>
        <v/>
      </c>
      <c r="L169" s="24">
        <f>L170+G170</f>
        <v/>
      </c>
      <c r="M169" s="60">
        <f>TEXT(L169/86400, "mm:ss.00")</f>
        <v/>
      </c>
      <c r="N169" s="25">
        <f>IFERROR(__xludf.DUMMYFUNCTION("LET(
  gen,$A169, ev,$B169, t,$M169,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169" s="65" t="n"/>
      <c r="P169" s="69">
        <f>A176</f>
        <v/>
      </c>
      <c r="Q169" s="65">
        <f>B176</f>
        <v/>
      </c>
      <c r="R169" s="69">
        <f>C176</f>
        <v/>
      </c>
      <c r="S169" s="58">
        <f>M176</f>
        <v/>
      </c>
      <c r="T169" s="69">
        <f>N176</f>
        <v/>
      </c>
      <c r="U169" s="65" t="n"/>
      <c r="V169" s="65" t="n"/>
      <c r="W169" s="65" t="n"/>
    </row>
    <row r="170">
      <c r="A170" s="8" t="inlineStr">
        <is>
          <t>F</t>
        </is>
      </c>
      <c r="B170" s="9" t="inlineStr">
        <is>
          <t>200 IM</t>
        </is>
      </c>
      <c r="C170" s="9" t="n">
        <v>18</v>
      </c>
      <c r="D170" s="9" t="n">
        <v>1</v>
      </c>
      <c r="E170" s="41" t="inlineStr">
        <is>
          <t>2:13.47</t>
        </is>
      </c>
      <c r="F170" s="35">
        <f>IFERROR(__xludf.DUMMYFUNCTION("IF(
  REGEXMATCH(E170, "":""),
  60*VALUE(INDEX(SPLIT(E170, "":""),1,1)) + VALUE(INDEX(SPLIT(E170, "":""),1,2)),
  VALUE(E170)
)"),133.47)</f>
        <v/>
      </c>
      <c r="G170" s="35">
        <f>average(F167-F170,F168-F171,F169-F172)</f>
        <v/>
      </c>
      <c r="H170" s="35" t="n">
        <v>0.9400000000000072</v>
      </c>
      <c r="I170" s="215">
        <f>C164</f>
        <v/>
      </c>
      <c r="J170" s="215">
        <f>C181</f>
        <v/>
      </c>
      <c r="K170" s="43">
        <f t="array" ref="K170">INDEX('Podium Target Times'!$C:$C, MATCH(A170&amp;B170, 'Podium Target Times'!$A:$A&amp;'Podium Target Times'!$B:$B, 0))
</f>
        <v/>
      </c>
      <c r="L170" s="12">
        <f>L173+G173</f>
        <v/>
      </c>
      <c r="M170" s="43">
        <f>TEXT(L170/86400, "mm:ss.00")</f>
        <v/>
      </c>
      <c r="N170" s="14">
        <f>IFERROR(__xludf.DUMMYFUNCTION("LET(
  gen,$A170, ev,$B170, t,$M170,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
      </c>
      <c r="O170" s="65" t="n"/>
      <c r="P170" s="69">
        <f>A178</f>
        <v/>
      </c>
      <c r="Q170" s="65">
        <f>B178</f>
        <v/>
      </c>
      <c r="R170" s="69">
        <f>C178</f>
        <v/>
      </c>
      <c r="S170" s="58">
        <f>M178</f>
        <v/>
      </c>
      <c r="T170" s="69">
        <f>N178</f>
        <v/>
      </c>
      <c r="U170" s="65" t="n"/>
      <c r="V170" s="65" t="n"/>
      <c r="W170" s="65" t="n"/>
    </row>
    <row r="171">
      <c r="A171" s="17" t="inlineStr">
        <is>
          <t>F</t>
        </is>
      </c>
      <c r="B171" s="18" t="inlineStr">
        <is>
          <t>200 IM</t>
        </is>
      </c>
      <c r="C171" s="18" t="n">
        <v>18</v>
      </c>
      <c r="D171" s="18" t="n">
        <v>2</v>
      </c>
      <c r="E171" s="46" t="inlineStr">
        <is>
          <t>2:14.42</t>
        </is>
      </c>
      <c r="F171" s="21">
        <f>IFERROR(__xludf.DUMMYFUNCTION("IF(
  REGEXMATCH(E171, "":""),
  60*VALUE(INDEX(SPLIT(E171, "":""),1,1)) + VALUE(INDEX(SPLIT(E171, "":""),1,2)),
  VALUE(E171)
)"),134.42)</f>
        <v/>
      </c>
      <c r="G171" s="21">
        <f>average(F167-F170,F168-F171,F169-F172)</f>
        <v/>
      </c>
      <c r="H171" s="21" t="n">
        <v>0.9400000000000072</v>
      </c>
      <c r="I171" s="211">
        <f>C164</f>
        <v/>
      </c>
      <c r="J171" s="211">
        <f>C181</f>
        <v/>
      </c>
      <c r="K171" s="60">
        <f t="array" ref="K171">INDEX('Podium Target Times'!$C:$C, MATCH(A171&amp;B171, 'Podium Target Times'!$A:$A&amp;'Podium Target Times'!$B:$B, 0))
</f>
        <v/>
      </c>
      <c r="L171" s="24">
        <f>L173+G173</f>
        <v/>
      </c>
      <c r="M171" s="60">
        <f>TEXT(L171/86400, "mm:ss.00")</f>
        <v/>
      </c>
      <c r="N171" s="25">
        <f>IFERROR(__xludf.DUMMYFUNCTION("LET(
  gen,$A171, ev,$B171, t,$M171,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
      </c>
      <c r="O171" s="65" t="n"/>
      <c r="P171" s="69">
        <f>A180</f>
        <v/>
      </c>
      <c r="Q171" s="65">
        <f>B180</f>
        <v/>
      </c>
      <c r="R171" s="69">
        <f>C180</f>
        <v/>
      </c>
      <c r="S171" s="58">
        <f>M180</f>
        <v/>
      </c>
      <c r="T171" s="69">
        <f>N180</f>
        <v/>
      </c>
      <c r="U171" s="65" t="n"/>
      <c r="V171" s="65" t="n"/>
      <c r="W171" s="65" t="n"/>
    </row>
    <row r="172">
      <c r="A172" s="8" t="inlineStr">
        <is>
          <t>F</t>
        </is>
      </c>
      <c r="B172" s="9" t="inlineStr">
        <is>
          <t>200 IM</t>
        </is>
      </c>
      <c r="C172" s="9" t="n">
        <v>18</v>
      </c>
      <c r="D172" s="219" t="n">
        <v>3</v>
      </c>
      <c r="E172" s="41" t="inlineStr">
        <is>
          <t>2:14.82</t>
        </is>
      </c>
      <c r="F172" s="35">
        <f>IFERROR(__xludf.DUMMYFUNCTION("IF(
  REGEXMATCH(E172, "":""),
  60*VALUE(INDEX(SPLIT(E172, "":""),1,1)) + VALUE(INDEX(SPLIT(E172, "":""),1,2)),
  VALUE(E172)
)"),134.82)</f>
        <v/>
      </c>
      <c r="G172" s="35">
        <f>average(F167-F170,F168-F171,F169-F172)</f>
        <v/>
      </c>
      <c r="H172" s="35" t="n">
        <v>0.9400000000000072</v>
      </c>
      <c r="I172" s="215">
        <f>C164</f>
        <v/>
      </c>
      <c r="J172" s="215">
        <f>C181</f>
        <v/>
      </c>
      <c r="K172" s="43">
        <f t="array" ref="K172">INDEX('Podium Target Times'!$C:$C, MATCH(A172&amp;B172, 'Podium Target Times'!$A:$A&amp;'Podium Target Times'!$B:$B, 0))
</f>
        <v/>
      </c>
      <c r="L172" s="12">
        <f>L173+G173</f>
        <v/>
      </c>
      <c r="M172" s="43">
        <f>TEXT(L172/86400, "mm:ss.00")</f>
        <v/>
      </c>
      <c r="N172" s="14">
        <f>IFERROR(__xludf.DUMMYFUNCTION("LET(
  gen,$A172, ev,$B172, t,$M172,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
      </c>
      <c r="O172" s="65" t="n"/>
      <c r="P172" s="69">
        <f>A181</f>
        <v/>
      </c>
      <c r="Q172" s="65">
        <f>B181</f>
        <v/>
      </c>
      <c r="R172" s="69">
        <f>C181</f>
        <v/>
      </c>
      <c r="S172" s="58">
        <f>M181</f>
        <v/>
      </c>
      <c r="T172" s="69">
        <f>N181</f>
        <v/>
      </c>
      <c r="U172" s="65" t="n"/>
      <c r="V172" s="65" t="n"/>
      <c r="W172" s="65" t="n"/>
    </row>
    <row r="173">
      <c r="A173" s="17" t="inlineStr">
        <is>
          <t>F</t>
        </is>
      </c>
      <c r="B173" s="18" t="inlineStr">
        <is>
          <t>200 IM</t>
        </is>
      </c>
      <c r="C173" s="18" t="n">
        <v>19</v>
      </c>
      <c r="D173" s="18" t="n">
        <v>1</v>
      </c>
      <c r="E173" s="46" t="inlineStr">
        <is>
          <t>2:13.77</t>
        </is>
      </c>
      <c r="F173" s="21">
        <f>IFERROR(__xludf.DUMMYFUNCTION("IF(
  REGEXMATCH(E173, "":""),
  60*VALUE(INDEX(SPLIT(E173, "":""),1,1)) + VALUE(INDEX(SPLIT(E173, "":""),1,2)),
  VALUE(E173)
)"),133.77)</f>
        <v/>
      </c>
      <c r="G173" s="21">
        <f>average(F170-F173,F171-F174,F172-F175)</f>
        <v/>
      </c>
      <c r="H173" s="21" t="n">
        <v>0.1999999999999981</v>
      </c>
      <c r="I173" s="211">
        <f>C164</f>
        <v/>
      </c>
      <c r="J173" s="211">
        <f>C181</f>
        <v/>
      </c>
      <c r="K173" s="60">
        <f t="array" ref="K173">INDEX('Podium Target Times'!$C:$C, MATCH(A173&amp;B173, 'Podium Target Times'!$A:$A&amp;'Podium Target Times'!$B:$B, 0))
</f>
        <v/>
      </c>
      <c r="L173" s="24">
        <f>L176+G176</f>
        <v/>
      </c>
      <c r="M173" s="60">
        <f>TEXT(L173/86400, "mm:ss.00")</f>
        <v/>
      </c>
      <c r="N173" s="25">
        <f>IFERROR(__xludf.DUMMYFUNCTION("LET(
  gen,$A173, ev,$B173, t,$M173,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
      </c>
      <c r="O173" s="65" t="n"/>
      <c r="P173" s="69" t="n"/>
      <c r="Q173" s="65" t="n"/>
      <c r="R173" s="69" t="n"/>
      <c r="S173" s="58" t="n"/>
      <c r="T173" s="69" t="n"/>
      <c r="U173" s="65" t="n"/>
      <c r="V173" s="65" t="n"/>
      <c r="W173" s="65" t="n"/>
    </row>
    <row r="174">
      <c r="A174" s="8" t="inlineStr">
        <is>
          <t>F</t>
        </is>
      </c>
      <c r="B174" s="9" t="inlineStr">
        <is>
          <t>200 IM</t>
        </is>
      </c>
      <c r="C174" s="9" t="n">
        <v>19</v>
      </c>
      <c r="D174" s="9" t="n">
        <v>2</v>
      </c>
      <c r="E174" s="41" t="inlineStr">
        <is>
          <t>2:14.17</t>
        </is>
      </c>
      <c r="F174" s="35">
        <f>IFERROR(__xludf.DUMMYFUNCTION("IF(
  REGEXMATCH(E174, "":""),
  60*VALUE(INDEX(SPLIT(E174, "":""),1,1)) + VALUE(INDEX(SPLIT(E174, "":""),1,2)),
  VALUE(E174)
)"),134.17)</f>
        <v/>
      </c>
      <c r="G174" s="35">
        <f>average(F170-F173,F171-F174,F172-F175)</f>
        <v/>
      </c>
      <c r="H174" s="35" t="n">
        <v>0.1999999999999981</v>
      </c>
      <c r="I174" s="215">
        <f>C164</f>
        <v/>
      </c>
      <c r="J174" s="215">
        <f>C181</f>
        <v/>
      </c>
      <c r="K174" s="43">
        <f t="array" ref="K174">INDEX('Podium Target Times'!$C:$C, MATCH(A174&amp;B174, 'Podium Target Times'!$A:$A&amp;'Podium Target Times'!$B:$B, 0))
</f>
        <v/>
      </c>
      <c r="L174" s="12">
        <f>L176+G176</f>
        <v/>
      </c>
      <c r="M174" s="43">
        <f>TEXT(L174/86400, "mm:ss.00")</f>
        <v/>
      </c>
      <c r="N174" s="14">
        <f>IFERROR(__xludf.DUMMYFUNCTION("LET(
  gen,$A174, ev,$B174, t,$M174,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
      </c>
      <c r="O174" s="65" t="n"/>
      <c r="P174" s="69" t="n"/>
      <c r="Q174" s="65" t="n"/>
      <c r="R174" s="69" t="n"/>
      <c r="S174" s="58" t="n"/>
      <c r="T174" s="69" t="n"/>
      <c r="U174" s="65" t="n"/>
      <c r="V174" s="65" t="n"/>
      <c r="W174" s="65" t="n"/>
    </row>
    <row r="175">
      <c r="A175" s="17" t="inlineStr">
        <is>
          <t>F</t>
        </is>
      </c>
      <c r="B175" s="18" t="inlineStr">
        <is>
          <t>200 IM</t>
        </is>
      </c>
      <c r="C175" s="18" t="n">
        <v>19</v>
      </c>
      <c r="D175" s="221" t="n">
        <v>3</v>
      </c>
      <c r="E175" s="211" t="inlineStr">
        <is>
          <t>2:14.17</t>
        </is>
      </c>
      <c r="F175" s="21">
        <f>IFERROR(__xludf.DUMMYFUNCTION("IF(
  REGEXMATCH(E175, "":""),
  60*VALUE(INDEX(SPLIT(E175, "":""),1,1)) + VALUE(INDEX(SPLIT(E175, "":""),1,2)),
  VALUE(E175)
)"),134.17)</f>
        <v/>
      </c>
      <c r="G175" s="21">
        <f>average(F170-F173,F171-F174,F172-F175)</f>
        <v/>
      </c>
      <c r="H175" s="21" t="n">
        <v>0.1999999999999981</v>
      </c>
      <c r="I175" s="211">
        <f>C164</f>
        <v/>
      </c>
      <c r="J175" s="211">
        <f>C181</f>
        <v/>
      </c>
      <c r="K175" s="60">
        <f t="array" ref="K175">INDEX('Podium Target Times'!$C:$C, MATCH(A175&amp;B175, 'Podium Target Times'!$A:$A&amp;'Podium Target Times'!$B:$B, 0))
</f>
        <v/>
      </c>
      <c r="L175" s="24">
        <f>L176+G176</f>
        <v/>
      </c>
      <c r="M175" s="60">
        <f>TEXT(L175/86400, "mm:ss.00")</f>
        <v/>
      </c>
      <c r="N175" s="25">
        <f>IFERROR(__xludf.DUMMYFUNCTION("LET(
  gen,$A175, ev,$B175, t,$M175,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
      </c>
      <c r="O175" s="65" t="n"/>
      <c r="P175" s="69" t="n"/>
      <c r="Q175" s="65" t="n"/>
      <c r="R175" s="69" t="n"/>
      <c r="S175" s="58" t="n"/>
      <c r="T175" s="69" t="n"/>
      <c r="U175" s="65" t="n"/>
      <c r="V175" s="65" t="n"/>
      <c r="W175" s="65" t="n"/>
    </row>
    <row r="176">
      <c r="A176" s="8" t="inlineStr">
        <is>
          <t>F</t>
        </is>
      </c>
      <c r="B176" s="9" t="inlineStr">
        <is>
          <t>200 IM</t>
        </is>
      </c>
      <c r="C176" s="9" t="n">
        <v>20</v>
      </c>
      <c r="D176" s="9" t="n">
        <v>2</v>
      </c>
      <c r="E176" s="41" t="inlineStr">
        <is>
          <t>2:13.25</t>
        </is>
      </c>
      <c r="F176" s="35">
        <f>IFERROR(__xludf.DUMMYFUNCTION("IF(
  REGEXMATCH(E176, "":""),
  60*VALUE(INDEX(SPLIT(E176, "":""),1,1)) + VALUE(INDEX(SPLIT(E176, "":""),1,2)),
  VALUE(E176)
)"),133.25)</f>
        <v/>
      </c>
      <c r="G176" s="35">
        <f>average(F174-F176,F175-F177)</f>
        <v/>
      </c>
      <c r="H176" s="35" t="n">
        <v>0.7199999999999847</v>
      </c>
      <c r="I176" s="215">
        <f>C164</f>
        <v/>
      </c>
      <c r="J176" s="215">
        <f>C181</f>
        <v/>
      </c>
      <c r="K176" s="43">
        <f t="array" ref="K176">INDEX('Podium Target Times'!$C:$C, MATCH(A176&amp;B176, 'Podium Target Times'!$A:$A&amp;'Podium Target Times'!$B:$B, 0))
</f>
        <v/>
      </c>
      <c r="L176" s="12">
        <f>L178+G178</f>
        <v/>
      </c>
      <c r="M176" s="43">
        <f>TEXT(L176/86400, "mm:ss.00")</f>
        <v/>
      </c>
      <c r="N176" s="14">
        <f>IFERROR(__xludf.DUMMYFUNCTION("LET(
  gen,$A176, ev,$B176, t,$M176,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
      </c>
      <c r="O176" s="65" t="n"/>
      <c r="P176" s="69" t="n"/>
      <c r="Q176" s="65" t="n"/>
      <c r="R176" s="69" t="n"/>
      <c r="S176" s="58" t="n"/>
      <c r="T176" s="69" t="n"/>
      <c r="U176" s="65" t="n"/>
      <c r="V176" s="65" t="n"/>
      <c r="W176" s="65" t="n"/>
    </row>
    <row r="177">
      <c r="A177" s="17" t="inlineStr">
        <is>
          <t>F</t>
        </is>
      </c>
      <c r="B177" s="18" t="inlineStr">
        <is>
          <t>200 IM</t>
        </is>
      </c>
      <c r="C177" s="18" t="n">
        <v>20</v>
      </c>
      <c r="D177" s="221" t="n">
        <v>3</v>
      </c>
      <c r="E177" s="46" t="inlineStr">
        <is>
          <t>2:13.65</t>
        </is>
      </c>
      <c r="F177" s="21">
        <f>IFERROR(__xludf.DUMMYFUNCTION("IF(
  REGEXMATCH(E177, "":""),
  60*VALUE(INDEX(SPLIT(E177, "":""),1,1)) + VALUE(INDEX(SPLIT(E177, "":""),1,2)),
  VALUE(E177)
)"),133.65)</f>
        <v/>
      </c>
      <c r="G177" s="21">
        <f>average(F174-F176,F175-F177)</f>
        <v/>
      </c>
      <c r="H177" s="21" t="n">
        <v>0.7199999999999847</v>
      </c>
      <c r="I177" s="211">
        <f>C164</f>
        <v/>
      </c>
      <c r="J177" s="211">
        <f>C181</f>
        <v/>
      </c>
      <c r="K177" s="60">
        <f t="array" ref="K177">INDEX('Podium Target Times'!$C:$C, MATCH(A177&amp;B177, 'Podium Target Times'!$A:$A&amp;'Podium Target Times'!$B:$B, 0))
</f>
        <v/>
      </c>
      <c r="L177" s="24">
        <f>L178+G178</f>
        <v/>
      </c>
      <c r="M177" s="60">
        <f>TEXT(L177/86400, "mm:ss.00")</f>
        <v/>
      </c>
      <c r="N177" s="25">
        <f>IFERROR(__xludf.DUMMYFUNCTION("LET(
  gen,$A177, ev,$B177, t,$M177,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
      </c>
      <c r="O177" s="65" t="n"/>
      <c r="P177" s="69" t="n"/>
      <c r="Q177" s="65" t="n"/>
      <c r="R177" s="69" t="n"/>
      <c r="S177" s="58" t="n"/>
      <c r="T177" s="69" t="n"/>
      <c r="U177" s="65" t="n"/>
      <c r="V177" s="65" t="n"/>
      <c r="W177" s="65" t="n"/>
    </row>
    <row r="178">
      <c r="A178" s="8" t="inlineStr">
        <is>
          <t>F</t>
        </is>
      </c>
      <c r="B178" s="9" t="inlineStr">
        <is>
          <t>200 IM</t>
        </is>
      </c>
      <c r="C178" s="9" t="n">
        <v>21</v>
      </c>
      <c r="D178" s="9" t="n">
        <v>2</v>
      </c>
      <c r="E178" s="41" t="inlineStr">
        <is>
          <t>2:12.83</t>
        </is>
      </c>
      <c r="F178" s="35">
        <f>IFERROR(__xludf.DUMMYFUNCTION("IF(
  REGEXMATCH(E178, "":""),
  60*VALUE(INDEX(SPLIT(E178, "":""),1,1)) + VALUE(INDEX(SPLIT(E178, "":""),1,2)),
  VALUE(E178)
)"),132.83)</f>
        <v/>
      </c>
      <c r="G178" s="35">
        <f>average(F176-F178,F177-F179)</f>
        <v/>
      </c>
      <c r="H178" s="35" t="n">
        <v>0.4249999999999972</v>
      </c>
      <c r="I178" s="215">
        <f>C164</f>
        <v/>
      </c>
      <c r="J178" s="215">
        <f>C181</f>
        <v/>
      </c>
      <c r="K178" s="43">
        <f t="array" ref="K178">INDEX('Podium Target Times'!$C:$C, MATCH(A178&amp;B178, 'Podium Target Times'!$A:$A&amp;'Podium Target Times'!$B:$B, 0))
</f>
        <v/>
      </c>
      <c r="L178" s="12">
        <f>L180+G180</f>
        <v/>
      </c>
      <c r="M178" s="43">
        <f>TEXT(L178/86400, "mm:ss.00")</f>
        <v/>
      </c>
      <c r="N178" s="14">
        <f>IFERROR(__xludf.DUMMYFUNCTION("LET(
  gen,$A178, ev,$B178, t,$M178,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178" s="65" t="n"/>
      <c r="P178" s="69" t="n"/>
      <c r="Q178" s="65" t="n"/>
      <c r="R178" s="69" t="n"/>
      <c r="S178" s="58" t="n"/>
      <c r="T178" s="69" t="n"/>
      <c r="U178" s="65" t="n"/>
      <c r="V178" s="65" t="n"/>
      <c r="W178" s="65" t="n"/>
    </row>
    <row r="179">
      <c r="A179" s="17" t="inlineStr">
        <is>
          <t>F</t>
        </is>
      </c>
      <c r="B179" s="18" t="inlineStr">
        <is>
          <t>200 IM</t>
        </is>
      </c>
      <c r="C179" s="18" t="n">
        <v>21</v>
      </c>
      <c r="D179" s="221" t="n">
        <v>3</v>
      </c>
      <c r="E179" s="46" t="inlineStr">
        <is>
          <t>2:13.22</t>
        </is>
      </c>
      <c r="F179" s="21">
        <f>IFERROR(__xludf.DUMMYFUNCTION("IF(
  REGEXMATCH(E179, "":""),
  60*VALUE(INDEX(SPLIT(E179, "":""),1,1)) + VALUE(INDEX(SPLIT(E179, "":""),1,2)),
  VALUE(E179)
)"),133.22)</f>
        <v/>
      </c>
      <c r="G179" s="21">
        <f>average(F176-F178,F177-F179)</f>
        <v/>
      </c>
      <c r="H179" s="21" t="n">
        <v>0.4249999999999972</v>
      </c>
      <c r="I179" s="211">
        <f>C164</f>
        <v/>
      </c>
      <c r="J179" s="211">
        <f>C181</f>
        <v/>
      </c>
      <c r="K179" s="60">
        <f t="array" ref="K179">INDEX('Podium Target Times'!$C:$C, MATCH(A179&amp;B179, 'Podium Target Times'!$A:$A&amp;'Podium Target Times'!$B:$B, 0))
</f>
        <v/>
      </c>
      <c r="L179" s="24">
        <f>L180+G180</f>
        <v/>
      </c>
      <c r="M179" s="60">
        <f>TEXT(L179/86400, "mm:ss.00")</f>
        <v/>
      </c>
      <c r="N179" s="25">
        <f>IFERROR(__xludf.DUMMYFUNCTION("LET(
  gen,$A179, ev,$B179, t,$M179,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179" s="65" t="n"/>
      <c r="P179" s="69" t="n"/>
      <c r="Q179" s="65" t="n"/>
      <c r="R179" s="69" t="n"/>
      <c r="S179" s="58" t="n"/>
      <c r="T179" s="69" t="n"/>
      <c r="U179" s="65" t="n"/>
      <c r="V179" s="65" t="n"/>
      <c r="W179" s="65" t="n"/>
    </row>
    <row r="180">
      <c r="A180" s="8" t="inlineStr">
        <is>
          <t>F</t>
        </is>
      </c>
      <c r="B180" s="9" t="inlineStr">
        <is>
          <t>200 IM</t>
        </is>
      </c>
      <c r="C180" s="9" t="n">
        <v>22</v>
      </c>
      <c r="D180" s="219" t="n">
        <v>3</v>
      </c>
      <c r="E180" s="41" t="inlineStr">
        <is>
          <t>2:12.95</t>
        </is>
      </c>
      <c r="F180" s="35">
        <f>IFERROR(__xludf.DUMMYFUNCTION("IF(
  REGEXMATCH(E180, "":""),
  60*VALUE(INDEX(SPLIT(E180, "":""),1,1)) + VALUE(INDEX(SPLIT(E180, "":""),1,2)),
  VALUE(E180)
)"),132.95)</f>
        <v/>
      </c>
      <c r="G180" s="35">
        <f>F179-F180</f>
        <v/>
      </c>
      <c r="H180" s="35" t="n">
        <v>0.2700000000000102</v>
      </c>
      <c r="I180" s="215">
        <f>C164</f>
        <v/>
      </c>
      <c r="J180" s="215">
        <f>C181</f>
        <v/>
      </c>
      <c r="K180" s="43">
        <f t="array" ref="K180">INDEX('Podium Target Times'!$C:$C, MATCH(A180&amp;B180, 'Podium Target Times'!$A:$A&amp;'Podium Target Times'!$B:$B, 0))
</f>
        <v/>
      </c>
      <c r="L180" s="12">
        <f>L181+G181</f>
        <v/>
      </c>
      <c r="M180" s="43">
        <f>TEXT(L180/86400, "mm:ss.00")</f>
        <v/>
      </c>
      <c r="N180" s="14">
        <f>IFERROR(__xludf.DUMMYFUNCTION("LET(
  gen,$A180, ev,$B180, t,$M180,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
      </c>
      <c r="O180" s="65" t="n"/>
      <c r="P180" s="69" t="n"/>
      <c r="Q180" s="65" t="n"/>
      <c r="R180" s="69" t="n"/>
      <c r="S180" s="58" t="n"/>
      <c r="T180" s="69" t="n"/>
      <c r="U180" s="65" t="n"/>
      <c r="V180" s="65" t="n"/>
      <c r="W180" s="65" t="n"/>
    </row>
    <row r="181">
      <c r="A181" s="17" t="inlineStr">
        <is>
          <t>F</t>
        </is>
      </c>
      <c r="B181" s="18" t="inlineStr">
        <is>
          <t>200 IM</t>
        </is>
      </c>
      <c r="C181" s="18" t="n">
        <v>23</v>
      </c>
      <c r="D181" s="221" t="n">
        <v>3</v>
      </c>
      <c r="E181" s="46" t="inlineStr">
        <is>
          <t>2:12.83</t>
        </is>
      </c>
      <c r="F181" s="21">
        <f>IFERROR(__xludf.DUMMYFUNCTION("IF(
  REGEXMATCH(E181, "":""),
  60*VALUE(INDEX(SPLIT(E181, "":""),1,1)) + VALUE(INDEX(SPLIT(E181, "":""),1,2)),
  VALUE(E181)
)"),132.83)</f>
        <v/>
      </c>
      <c r="G181" s="21">
        <f>F180-F181</f>
        <v/>
      </c>
      <c r="H181" s="21" t="n">
        <v>0.1199999999999761</v>
      </c>
      <c r="I181" s="211">
        <f>C164</f>
        <v/>
      </c>
      <c r="J181" s="211">
        <f>C181</f>
        <v/>
      </c>
      <c r="K181" s="60">
        <f t="array" ref="K181">INDEX('Podium Target Times'!$C:$C, MATCH(A181&amp;B181, 'Podium Target Times'!$A:$A&amp;'Podium Target Times'!$B:$B, 0))
</f>
        <v/>
      </c>
      <c r="L181" s="211">
        <f>K181</f>
        <v/>
      </c>
      <c r="M181" s="60">
        <f>TEXT(L181/86400, "mm:ss.00")</f>
        <v/>
      </c>
      <c r="N181" s="25">
        <f>IFERROR(__xludf.DUMMYFUNCTION("LET(
  gen,$A181, ev,$B181, t,$M181,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O181" s="65" t="n"/>
      <c r="P181" s="69" t="n"/>
      <c r="Q181" s="65" t="n"/>
      <c r="R181" s="69" t="n"/>
      <c r="S181" s="58" t="n"/>
      <c r="T181" s="69" t="n"/>
      <c r="U181" s="65" t="n"/>
      <c r="V181" s="65" t="n"/>
      <c r="W181" s="65" t="n"/>
    </row>
    <row r="182">
      <c r="A182" s="8" t="inlineStr">
        <is>
          <t>F</t>
        </is>
      </c>
      <c r="B182" s="9" t="inlineStr">
        <is>
          <t>400 Free</t>
        </is>
      </c>
      <c r="C182" s="9" t="n">
        <v>14</v>
      </c>
      <c r="D182" s="9" t="n">
        <v>1</v>
      </c>
      <c r="E182" s="43" t="inlineStr">
        <is>
          <t>4:25.42</t>
        </is>
      </c>
      <c r="F182" s="35">
        <f>IFERROR(__xludf.DUMMYFUNCTION("IF(
  REGEXMATCH(E182, "":""),
  60*VALUE(INDEX(SPLIT(E182, "":""),1,1)) + VALUE(INDEX(SPLIT(E182, "":""),1,2)),
  VALUE(E182)
)"),265.42)</f>
        <v/>
      </c>
      <c r="G182" s="12" t="n">
        <v>0</v>
      </c>
      <c r="H182" s="12" t="n">
        <v>0</v>
      </c>
      <c r="I182" s="43">
        <f>C182</f>
        <v/>
      </c>
      <c r="J182" s="43">
        <f>C199</f>
        <v/>
      </c>
      <c r="K182" s="43">
        <f t="array" ref="K182">INDEX('Podium Target Times'!$C:$C, MATCH(A182&amp;B182, 'Podium Target Times'!$A:$A&amp;'Podium Target Times'!$B:$B, 0))
</f>
        <v/>
      </c>
      <c r="L182" s="12">
        <f>L183+G183</f>
        <v/>
      </c>
      <c r="M182" s="43">
        <f>TEXT(L182/86400, "mm:ss.00")</f>
        <v/>
      </c>
      <c r="N182" s="14">
        <f>IFERROR(__xludf.DUMMYFUNCTION("LET(
  gen,$A182, ev,$B182, t,$M182,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
      </c>
      <c r="O182" s="65" t="n"/>
      <c r="P182" s="69">
        <f>A182</f>
        <v/>
      </c>
      <c r="Q182" s="65">
        <f>B182</f>
        <v/>
      </c>
      <c r="R182" s="69">
        <f>C182</f>
        <v/>
      </c>
      <c r="S182" s="58">
        <f>M182</f>
        <v/>
      </c>
      <c r="T182" s="69">
        <f>N182</f>
        <v/>
      </c>
      <c r="U182" s="65" t="n"/>
      <c r="V182" s="65" t="n"/>
      <c r="W182" s="65" t="n"/>
    </row>
    <row r="183">
      <c r="A183" s="17" t="inlineStr">
        <is>
          <t>F</t>
        </is>
      </c>
      <c r="B183" s="18" t="inlineStr">
        <is>
          <t>400 Free</t>
        </is>
      </c>
      <c r="C183" s="18" t="n">
        <v>15</v>
      </c>
      <c r="D183" s="18" t="n">
        <v>1</v>
      </c>
      <c r="E183" s="60" t="inlineStr">
        <is>
          <t>4:18.86</t>
        </is>
      </c>
      <c r="F183" s="21">
        <f>IFERROR(__xludf.DUMMYFUNCTION("IF(
  REGEXMATCH(E183, "":""),
  60*VALUE(INDEX(SPLIT(E183, "":""),1,1)) + VALUE(INDEX(SPLIT(E183, "":""),1,2)),
  VALUE(E183)
)"),258.86)</f>
        <v/>
      </c>
      <c r="G183" s="21">
        <f>F182-F183</f>
        <v/>
      </c>
      <c r="H183" s="21" t="n">
        <v>6.560000000000002</v>
      </c>
      <c r="I183" s="211">
        <f>C182</f>
        <v/>
      </c>
      <c r="J183" s="211">
        <f>C199</f>
        <v/>
      </c>
      <c r="K183" s="60">
        <f t="array" ref="K183">INDEX('Podium Target Times'!$C:$C, MATCH(A183&amp;B183, 'Podium Target Times'!$A:$A&amp;'Podium Target Times'!$B:$B, 0))
</f>
        <v/>
      </c>
      <c r="L183" s="24">
        <f>L185+G185</f>
        <v/>
      </c>
      <c r="M183" s="60">
        <f>TEXT(L183/86400, "mm:ss.00")</f>
        <v/>
      </c>
      <c r="N183" s="25">
        <f>IFERROR(__xludf.DUMMYFUNCTION("LET(
  gen,$A183, ev,$B183, t,$M183,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
      </c>
      <c r="O183" s="65" t="n"/>
      <c r="P183" s="69">
        <f>A183</f>
        <v/>
      </c>
      <c r="Q183" s="65">
        <f>B183</f>
        <v/>
      </c>
      <c r="R183" s="69">
        <f>C183</f>
        <v/>
      </c>
      <c r="S183" s="58">
        <f>M183</f>
        <v/>
      </c>
      <c r="T183" s="69">
        <f>N183</f>
        <v/>
      </c>
      <c r="U183" s="65" t="n"/>
      <c r="V183" s="65" t="n"/>
      <c r="W183" s="65" t="n"/>
    </row>
    <row r="184">
      <c r="A184" s="8" t="inlineStr">
        <is>
          <t>F</t>
        </is>
      </c>
      <c r="B184" s="9" t="inlineStr">
        <is>
          <t>400 Free</t>
        </is>
      </c>
      <c r="C184" s="9" t="n">
        <v>15</v>
      </c>
      <c r="D184" s="9" t="n">
        <v>2</v>
      </c>
      <c r="E184" s="43" t="inlineStr">
        <is>
          <t>4:20.27</t>
        </is>
      </c>
      <c r="F184" s="35">
        <f>IFERROR(__xludf.DUMMYFUNCTION("IF(
  REGEXMATCH(E184, "":""),
  60*VALUE(INDEX(SPLIT(E184, "":""),1,1)) + VALUE(INDEX(SPLIT(E184, "":""),1,2)),
  VALUE(E184)
)"),260.27)</f>
        <v/>
      </c>
      <c r="G184" s="35">
        <f>F182-F183</f>
        <v/>
      </c>
      <c r="H184" s="35" t="n">
        <v>6.560000000000002</v>
      </c>
      <c r="I184" s="215">
        <f>C182</f>
        <v/>
      </c>
      <c r="J184" s="215">
        <f>C199</f>
        <v/>
      </c>
      <c r="K184" s="43">
        <f t="array" ref="K184">INDEX('Podium Target Times'!$C:$C, MATCH(A184&amp;B184, 'Podium Target Times'!$A:$A&amp;'Podium Target Times'!$B:$B, 0))
</f>
        <v/>
      </c>
      <c r="L184" s="12">
        <f>L185+G185</f>
        <v/>
      </c>
      <c r="M184" s="43">
        <f>TEXT(L184/86400, "mm:ss.00")</f>
        <v/>
      </c>
      <c r="N184" s="14">
        <f>IFERROR(__xludf.DUMMYFUNCTION("LET(
  gen,$A184, ev,$B184, t,$M184,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
      </c>
      <c r="O184" s="65" t="n"/>
      <c r="P184" s="69">
        <f>A185</f>
        <v/>
      </c>
      <c r="Q184" s="65">
        <f>B185</f>
        <v/>
      </c>
      <c r="R184" s="69">
        <f>C185</f>
        <v/>
      </c>
      <c r="S184" s="58">
        <f>M185</f>
        <v/>
      </c>
      <c r="T184" s="69">
        <f>N185</f>
        <v/>
      </c>
      <c r="U184" s="65" t="n"/>
      <c r="V184" s="65" t="n"/>
      <c r="W184" s="65" t="n"/>
    </row>
    <row r="185">
      <c r="A185" s="17" t="inlineStr">
        <is>
          <t>F</t>
        </is>
      </c>
      <c r="B185" s="18" t="inlineStr">
        <is>
          <t>400 Free</t>
        </is>
      </c>
      <c r="C185" s="18" t="n">
        <v>16</v>
      </c>
      <c r="D185" s="18" t="n">
        <v>1</v>
      </c>
      <c r="E185" s="46" t="inlineStr">
        <is>
          <t>4:14.48</t>
        </is>
      </c>
      <c r="F185" s="21">
        <f>IFERROR(__xludf.DUMMYFUNCTION("IF(
  REGEXMATCH(E185, "":""),
  60*VALUE(INDEX(SPLIT(E185, "":""),1,1)) + VALUE(INDEX(SPLIT(E185, "":""),1,2)),
  VALUE(E185)
)"),254.48)</f>
        <v/>
      </c>
      <c r="G185" s="21">
        <f>average(F183-F185,F184-F186)</f>
        <v/>
      </c>
      <c r="H185" s="21" t="n">
        <v>4.390000000000001</v>
      </c>
      <c r="I185" s="211">
        <f>C182</f>
        <v/>
      </c>
      <c r="J185" s="211">
        <f>C199</f>
        <v/>
      </c>
      <c r="K185" s="60">
        <f t="array" ref="K185">INDEX('Podium Target Times'!$C:$C, MATCH(A185&amp;B185, 'Podium Target Times'!$A:$A&amp;'Podium Target Times'!$B:$B, 0))
</f>
        <v/>
      </c>
      <c r="L185" s="24">
        <f>L188+G188</f>
        <v/>
      </c>
      <c r="M185" s="60">
        <f>TEXT(L185/86400, "mm:ss.00")</f>
        <v/>
      </c>
      <c r="N185" s="25">
        <f>IFERROR(__xludf.DUMMYFUNCTION("LET(
  gen,$A185, ev,$B185, t,$M185,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
      </c>
      <c r="O185" s="65" t="n"/>
      <c r="P185" s="69">
        <f>A188</f>
        <v/>
      </c>
      <c r="Q185" s="65">
        <f>B188</f>
        <v/>
      </c>
      <c r="R185" s="69">
        <f>C188</f>
        <v/>
      </c>
      <c r="S185" s="58">
        <f>M188</f>
        <v/>
      </c>
      <c r="T185" s="69">
        <f>N188</f>
        <v/>
      </c>
      <c r="U185" s="65" t="n"/>
      <c r="V185" s="65" t="n"/>
      <c r="W185" s="65" t="n"/>
    </row>
    <row r="186">
      <c r="A186" s="8" t="inlineStr">
        <is>
          <t>F</t>
        </is>
      </c>
      <c r="B186" s="9" t="inlineStr">
        <is>
          <t>400 Free</t>
        </is>
      </c>
      <c r="C186" s="9" t="n">
        <v>16</v>
      </c>
      <c r="D186" s="9" t="n">
        <v>2</v>
      </c>
      <c r="E186" s="41" t="inlineStr">
        <is>
          <t>4:15.87</t>
        </is>
      </c>
      <c r="F186" s="35">
        <f>IFERROR(__xludf.DUMMYFUNCTION("IF(
  REGEXMATCH(E186, "":""),
  60*VALUE(INDEX(SPLIT(E186, "":""),1,1)) + VALUE(INDEX(SPLIT(E186, "":""),1,2)),
  VALUE(E186)
)"),255.87)</f>
        <v/>
      </c>
      <c r="G186" s="35">
        <f>average(F183-F185,F184-F186)</f>
        <v/>
      </c>
      <c r="H186" s="35" t="n">
        <v>4.390000000000001</v>
      </c>
      <c r="I186" s="215">
        <f>C182</f>
        <v/>
      </c>
      <c r="J186" s="215">
        <f>C199</f>
        <v/>
      </c>
      <c r="K186" s="43">
        <f t="array" ref="K186">INDEX('Podium Target Times'!$C:$C, MATCH(A186&amp;B186, 'Podium Target Times'!$A:$A&amp;'Podium Target Times'!$B:$B, 0))
</f>
        <v/>
      </c>
      <c r="L186" s="12">
        <f>L188+G188</f>
        <v/>
      </c>
      <c r="M186" s="43">
        <f>TEXT(L186/86400, "mm:ss.00")</f>
        <v/>
      </c>
      <c r="N186" s="14">
        <f>IFERROR(__xludf.DUMMYFUNCTION("LET(
  gen,$A186, ev,$B186, t,$M186,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
      </c>
      <c r="O186" s="65" t="n"/>
      <c r="P186" s="69">
        <f>A191</f>
        <v/>
      </c>
      <c r="Q186" s="65">
        <f>B191</f>
        <v/>
      </c>
      <c r="R186" s="69">
        <f>C191</f>
        <v/>
      </c>
      <c r="S186" s="58">
        <f>M191</f>
        <v/>
      </c>
      <c r="T186" s="69">
        <f>N191</f>
        <v/>
      </c>
      <c r="U186" s="65" t="n"/>
      <c r="V186" s="65" t="n"/>
      <c r="W186" s="65" t="n"/>
    </row>
    <row r="187">
      <c r="A187" s="17" t="inlineStr">
        <is>
          <t>F</t>
        </is>
      </c>
      <c r="B187" s="18" t="inlineStr">
        <is>
          <t>400 Free</t>
        </is>
      </c>
      <c r="C187" s="18" t="n">
        <v>16</v>
      </c>
      <c r="D187" s="18" t="n">
        <v>3</v>
      </c>
      <c r="E187" s="46" t="inlineStr">
        <is>
          <t>4:16.35</t>
        </is>
      </c>
      <c r="F187" s="21">
        <f>IFERROR(__xludf.DUMMYFUNCTION("IF(
  REGEXMATCH(E187, "":""),
  60*VALUE(INDEX(SPLIT(E187, "":""),1,1)) + VALUE(INDEX(SPLIT(E187, "":""),1,2)),
  VALUE(E187)
)"),256.35)</f>
        <v/>
      </c>
      <c r="G187" s="21">
        <f>average(F183-F185,F184-F186)</f>
        <v/>
      </c>
      <c r="H187" s="21" t="n">
        <v>4.390000000000001</v>
      </c>
      <c r="I187" s="211">
        <f>C182</f>
        <v/>
      </c>
      <c r="J187" s="211">
        <f>C199</f>
        <v/>
      </c>
      <c r="K187" s="60">
        <f t="array" ref="K187">INDEX('Podium Target Times'!$C:$C, MATCH(A187&amp;B187, 'Podium Target Times'!$A:$A&amp;'Podium Target Times'!$B:$B, 0))
</f>
        <v/>
      </c>
      <c r="L187" s="24">
        <f>L188+G188</f>
        <v/>
      </c>
      <c r="M187" s="60">
        <f>TEXT(L187/86400, "mm:ss.00")</f>
        <v/>
      </c>
      <c r="N187" s="25">
        <f>IFERROR(__xludf.DUMMYFUNCTION("LET(
  gen,$A187, ev,$B187, t,$M187,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
      </c>
      <c r="O187" s="65" t="n"/>
      <c r="P187" s="69">
        <f>A194</f>
        <v/>
      </c>
      <c r="Q187" s="65">
        <f>B194</f>
        <v/>
      </c>
      <c r="R187" s="69">
        <f>C194</f>
        <v/>
      </c>
      <c r="S187" s="58">
        <f>M194</f>
        <v/>
      </c>
      <c r="T187" s="69">
        <f>N194</f>
        <v/>
      </c>
      <c r="U187" s="65" t="n"/>
      <c r="V187" s="65" t="n"/>
      <c r="W187" s="65" t="n"/>
    </row>
    <row r="188">
      <c r="A188" s="8" t="inlineStr">
        <is>
          <t>F</t>
        </is>
      </c>
      <c r="B188" s="9" t="inlineStr">
        <is>
          <t>400 Free</t>
        </is>
      </c>
      <c r="C188" s="9" t="n">
        <v>17</v>
      </c>
      <c r="D188" s="9" t="n">
        <v>1</v>
      </c>
      <c r="E188" s="41" t="inlineStr">
        <is>
          <t>4:11.78</t>
        </is>
      </c>
      <c r="F188" s="35">
        <f>IFERROR(__xludf.DUMMYFUNCTION("IF(
  REGEXMATCH(E188, "":""),
  60*VALUE(INDEX(SPLIT(E188, "":""),1,1)) + VALUE(INDEX(SPLIT(E188, "":""),1,2)),
  VALUE(E188)
)"),251.78)</f>
        <v/>
      </c>
      <c r="G188" s="35">
        <f>average(F185-F188,F186-F189,F187-F190)</f>
        <v/>
      </c>
      <c r="H188" s="35" t="n">
        <v>2.710000000000008</v>
      </c>
      <c r="I188" s="215">
        <f>C182</f>
        <v/>
      </c>
      <c r="J188" s="215">
        <f>C199</f>
        <v/>
      </c>
      <c r="K188" s="43">
        <f t="array" ref="K188">INDEX('Podium Target Times'!$C:$C, MATCH(A188&amp;B188, 'Podium Target Times'!$A:$A&amp;'Podium Target Times'!$B:$B, 0))
</f>
        <v/>
      </c>
      <c r="L188" s="12">
        <f>L191+G191</f>
        <v/>
      </c>
      <c r="M188" s="43">
        <f>TEXT(L188/86400, "mm:ss.00")</f>
        <v/>
      </c>
      <c r="N188" s="14">
        <f>IFERROR(__xludf.DUMMYFUNCTION("LET(
  gen,$A188, ev,$B188, t,$M188,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O188" s="65" t="n"/>
      <c r="P188" s="69">
        <f>A196</f>
        <v/>
      </c>
      <c r="Q188" s="65">
        <f>B196</f>
        <v/>
      </c>
      <c r="R188" s="69">
        <f>C196</f>
        <v/>
      </c>
      <c r="S188" s="58">
        <f>M196</f>
        <v/>
      </c>
      <c r="T188" s="69">
        <f>N196</f>
        <v/>
      </c>
      <c r="U188" s="65" t="n"/>
      <c r="V188" s="65" t="n"/>
      <c r="W188" s="65" t="n"/>
    </row>
    <row r="189">
      <c r="A189" s="17" t="inlineStr">
        <is>
          <t>F</t>
        </is>
      </c>
      <c r="B189" s="18" t="inlineStr">
        <is>
          <t>400 Free</t>
        </is>
      </c>
      <c r="C189" s="18" t="n">
        <v>17</v>
      </c>
      <c r="D189" s="18" t="n">
        <v>2</v>
      </c>
      <c r="E189" s="46" t="inlineStr">
        <is>
          <t>4:13.16</t>
        </is>
      </c>
      <c r="F189" s="21">
        <f>IFERROR(__xludf.DUMMYFUNCTION("IF(
  REGEXMATCH(E189, "":""),
  60*VALUE(INDEX(SPLIT(E189, "":""),1,1)) + VALUE(INDEX(SPLIT(E189, "":""),1,2)),
  VALUE(E189)
)"),253.16)</f>
        <v/>
      </c>
      <c r="G189" s="21">
        <f>average(F185-F188,F186-F189,F187-F190)</f>
        <v/>
      </c>
      <c r="H189" s="21" t="n">
        <v>2.710000000000008</v>
      </c>
      <c r="I189" s="211">
        <f>C182</f>
        <v/>
      </c>
      <c r="J189" s="211">
        <f>C199</f>
        <v/>
      </c>
      <c r="K189" s="60">
        <f t="array" ref="K189">INDEX('Podium Target Times'!$C:$C, MATCH(A189&amp;B189, 'Podium Target Times'!$A:$A&amp;'Podium Target Times'!$B:$B, 0))
</f>
        <v/>
      </c>
      <c r="L189" s="24">
        <f>L191+G191</f>
        <v/>
      </c>
      <c r="M189" s="60">
        <f>TEXT(L189/86400, "mm:ss.00")</f>
        <v/>
      </c>
      <c r="N189" s="25">
        <f>IFERROR(__xludf.DUMMYFUNCTION("LET(
  gen,$A189, ev,$B189, t,$M189,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O189" s="65" t="n"/>
      <c r="P189" s="69">
        <f>A198</f>
        <v/>
      </c>
      <c r="Q189" s="65">
        <f>B198</f>
        <v/>
      </c>
      <c r="R189" s="69">
        <f>C198</f>
        <v/>
      </c>
      <c r="S189" s="58">
        <f>M198</f>
        <v/>
      </c>
      <c r="T189" s="69">
        <f>N198</f>
        <v/>
      </c>
      <c r="U189" s="65" t="n"/>
      <c r="V189" s="65" t="n"/>
      <c r="W189" s="65" t="n"/>
    </row>
    <row r="190">
      <c r="A190" s="8" t="inlineStr">
        <is>
          <t>F</t>
        </is>
      </c>
      <c r="B190" s="9" t="inlineStr">
        <is>
          <t>400 Free</t>
        </is>
      </c>
      <c r="C190" s="9" t="n">
        <v>17</v>
      </c>
      <c r="D190" s="9" t="n">
        <v>3</v>
      </c>
      <c r="E190" s="41" t="inlineStr">
        <is>
          <t>4:13.63</t>
        </is>
      </c>
      <c r="F190" s="35">
        <f>IFERROR(__xludf.DUMMYFUNCTION("IF(
  REGEXMATCH(E190, "":""),
  60*VALUE(INDEX(SPLIT(E190, "":""),1,1)) + VALUE(INDEX(SPLIT(E190, "":""),1,2)),
  VALUE(E190)
)"),253.63)</f>
        <v/>
      </c>
      <c r="G190" s="35">
        <f>average(F185-F188,F186-F189,F187-F190)</f>
        <v/>
      </c>
      <c r="H190" s="35" t="n">
        <v>2.710000000000008</v>
      </c>
      <c r="I190" s="215">
        <f>C182</f>
        <v/>
      </c>
      <c r="J190" s="215">
        <f>C199</f>
        <v/>
      </c>
      <c r="K190" s="43">
        <f t="array" ref="K190">INDEX('Podium Target Times'!$C:$C, MATCH(A190&amp;B190, 'Podium Target Times'!$A:$A&amp;'Podium Target Times'!$B:$B, 0))
</f>
        <v/>
      </c>
      <c r="L190" s="12">
        <f>L191+G191</f>
        <v/>
      </c>
      <c r="M190" s="43">
        <f>TEXT(L190/86400, "mm:ss.00")</f>
        <v/>
      </c>
      <c r="N190" s="14">
        <f>IFERROR(__xludf.DUMMYFUNCTION("LET(
  gen,$A190, ev,$B190, t,$M190,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O190" s="65" t="n"/>
      <c r="P190" s="69">
        <f>A199</f>
        <v/>
      </c>
      <c r="Q190" s="65">
        <f>B199</f>
        <v/>
      </c>
      <c r="R190" s="69">
        <f>C199</f>
        <v/>
      </c>
      <c r="S190" s="58">
        <f>M199</f>
        <v/>
      </c>
      <c r="T190" s="69">
        <f>N199</f>
        <v/>
      </c>
      <c r="U190" s="65" t="n"/>
      <c r="V190" s="65" t="n"/>
      <c r="W190" s="65" t="n"/>
    </row>
    <row r="191">
      <c r="A191" s="17" t="inlineStr">
        <is>
          <t>F</t>
        </is>
      </c>
      <c r="B191" s="18" t="inlineStr">
        <is>
          <t>400 Free</t>
        </is>
      </c>
      <c r="C191" s="18" t="n">
        <v>18</v>
      </c>
      <c r="D191" s="18" t="n">
        <v>1</v>
      </c>
      <c r="E191" s="46" t="inlineStr">
        <is>
          <t>4:10.23</t>
        </is>
      </c>
      <c r="F191" s="21">
        <f>IFERROR(__xludf.DUMMYFUNCTION("IF(
  REGEXMATCH(E191, "":""),
  60*VALUE(INDEX(SPLIT(E191, "":""),1,1)) + VALUE(INDEX(SPLIT(E191, "":""),1,2)),
  VALUE(E191)
)"),250.23)</f>
        <v/>
      </c>
      <c r="G191" s="21">
        <f>average(F188-F191,F189-F192,F190-F193)</f>
        <v/>
      </c>
      <c r="H191" s="21" t="n">
        <v>1.556666666666672</v>
      </c>
      <c r="I191" s="211">
        <f>C182</f>
        <v/>
      </c>
      <c r="J191" s="211">
        <f>C199</f>
        <v/>
      </c>
      <c r="K191" s="60">
        <f t="array" ref="K191">INDEX('Podium Target Times'!$C:$C, MATCH(A191&amp;B191, 'Podium Target Times'!$A:$A&amp;'Podium Target Times'!$B:$B, 0))
</f>
        <v/>
      </c>
      <c r="L191" s="24">
        <f>L194+G194</f>
        <v/>
      </c>
      <c r="M191" s="60">
        <f>TEXT(L191/86400, "mm:ss.00")</f>
        <v/>
      </c>
      <c r="N191" s="25">
        <f>IFERROR(__xludf.DUMMYFUNCTION("LET(
  gen,$A191, ev,$B191, t,$M191,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O191" s="65" t="n"/>
      <c r="P191" s="69" t="n"/>
      <c r="Q191" s="65" t="n"/>
      <c r="R191" s="69" t="n"/>
      <c r="S191" s="58" t="n"/>
      <c r="T191" s="69" t="n"/>
      <c r="U191" s="65" t="n"/>
      <c r="V191" s="65" t="n"/>
      <c r="W191" s="65" t="n"/>
    </row>
    <row r="192">
      <c r="A192" s="8" t="inlineStr">
        <is>
          <t>F</t>
        </is>
      </c>
      <c r="B192" s="9" t="inlineStr">
        <is>
          <t>400 Free</t>
        </is>
      </c>
      <c r="C192" s="9" t="n">
        <v>18</v>
      </c>
      <c r="D192" s="9" t="n">
        <v>2</v>
      </c>
      <c r="E192" s="41" t="inlineStr">
        <is>
          <t>4:11.60</t>
        </is>
      </c>
      <c r="F192" s="35">
        <f>IFERROR(__xludf.DUMMYFUNCTION("IF(
  REGEXMATCH(E192, "":""),
  60*VALUE(INDEX(SPLIT(E192, "":""),1,1)) + VALUE(INDEX(SPLIT(E192, "":""),1,2)),
  VALUE(E192)
)"),251.6)</f>
        <v/>
      </c>
      <c r="G192" s="35">
        <f>average(F188-F191,F189-F192,F190-F193)</f>
        <v/>
      </c>
      <c r="H192" s="35" t="n">
        <v>1.556666666666672</v>
      </c>
      <c r="I192" s="215">
        <f>C182</f>
        <v/>
      </c>
      <c r="J192" s="215">
        <f>C199</f>
        <v/>
      </c>
      <c r="K192" s="43">
        <f t="array" ref="K192">INDEX('Podium Target Times'!$C:$C, MATCH(A192&amp;B192, 'Podium Target Times'!$A:$A&amp;'Podium Target Times'!$B:$B, 0))
</f>
        <v/>
      </c>
      <c r="L192" s="12">
        <f>L194+G194</f>
        <v/>
      </c>
      <c r="M192" s="43">
        <f>TEXT(L192/86400, "mm:ss.00")</f>
        <v/>
      </c>
      <c r="N192" s="14">
        <f>IFERROR(__xludf.DUMMYFUNCTION("LET(
  gen,$A192, ev,$B192, t,$M192,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O192" s="65" t="n"/>
      <c r="P192" s="69" t="n"/>
      <c r="Q192" s="65" t="n"/>
      <c r="R192" s="69" t="n"/>
      <c r="S192" s="58" t="n"/>
      <c r="T192" s="69" t="n"/>
      <c r="U192" s="65" t="n"/>
      <c r="V192" s="65" t="n"/>
      <c r="W192" s="65" t="n"/>
    </row>
    <row r="193">
      <c r="A193" s="17" t="inlineStr">
        <is>
          <t>F</t>
        </is>
      </c>
      <c r="B193" s="18" t="inlineStr">
        <is>
          <t>400 Free</t>
        </is>
      </c>
      <c r="C193" s="18" t="n">
        <v>18</v>
      </c>
      <c r="D193" s="18" t="n">
        <v>3</v>
      </c>
      <c r="E193" s="46" t="inlineStr">
        <is>
          <t>4:12.07</t>
        </is>
      </c>
      <c r="F193" s="21">
        <f>IFERROR(__xludf.DUMMYFUNCTION("IF(
  REGEXMATCH(E193, "":""),
  60*VALUE(INDEX(SPLIT(E193, "":""),1,1)) + VALUE(INDEX(SPLIT(E193, "":""),1,2)),
  VALUE(E193)
)"),252.07)</f>
        <v/>
      </c>
      <c r="G193" s="21">
        <f>average(F188-F191,F189-F192,F190-F193)</f>
        <v/>
      </c>
      <c r="H193" s="21" t="n">
        <v>1.556666666666672</v>
      </c>
      <c r="I193" s="211">
        <f>C182</f>
        <v/>
      </c>
      <c r="J193" s="211">
        <f>C199</f>
        <v/>
      </c>
      <c r="K193" s="60">
        <f t="array" ref="K193">INDEX('Podium Target Times'!$C:$C, MATCH(A193&amp;B193, 'Podium Target Times'!$A:$A&amp;'Podium Target Times'!$B:$B, 0))
</f>
        <v/>
      </c>
      <c r="L193" s="24">
        <f>L194+G194</f>
        <v/>
      </c>
      <c r="M193" s="60">
        <f>TEXT(L193/86400, "mm:ss.00")</f>
        <v/>
      </c>
      <c r="N193" s="25">
        <f>IFERROR(__xludf.DUMMYFUNCTION("LET(
  gen,$A193, ev,$B193, t,$M193,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O193" s="65" t="n"/>
      <c r="P193" s="69" t="n"/>
      <c r="Q193" s="65" t="n"/>
      <c r="R193" s="69" t="n"/>
      <c r="S193" s="58" t="n"/>
      <c r="T193" s="69" t="n"/>
      <c r="U193" s="65" t="n"/>
      <c r="V193" s="65" t="n"/>
      <c r="W193" s="65" t="n"/>
    </row>
    <row r="194">
      <c r="A194" s="8" t="inlineStr">
        <is>
          <t>F</t>
        </is>
      </c>
      <c r="B194" s="9" t="inlineStr">
        <is>
          <t>400 Free</t>
        </is>
      </c>
      <c r="C194" s="9" t="n">
        <v>19</v>
      </c>
      <c r="D194" s="219" t="n">
        <v>2</v>
      </c>
      <c r="E194" s="41" t="inlineStr">
        <is>
          <t>4:10.74</t>
        </is>
      </c>
      <c r="F194" s="35">
        <f>IFERROR(__xludf.DUMMYFUNCTION("IF(
  REGEXMATCH(E194, "":""),
  60*VALUE(INDEX(SPLIT(E194, "":""),1,1)) + VALUE(INDEX(SPLIT(E194, "":""),1,2)),
  VALUE(E194)
)"),250.74)</f>
        <v/>
      </c>
      <c r="G194" s="35">
        <f>average(F192-F194,F193-F195)</f>
        <v/>
      </c>
      <c r="H194" s="35" t="n">
        <v>0.8599999999999852</v>
      </c>
      <c r="I194" s="215">
        <f>C182</f>
        <v/>
      </c>
      <c r="J194" s="215">
        <f>C199</f>
        <v/>
      </c>
      <c r="K194" s="43">
        <f t="array" ref="K194">INDEX('Podium Target Times'!$C:$C, MATCH(A194&amp;B194, 'Podium Target Times'!$A:$A&amp;'Podium Target Times'!$B:$B, 0))
</f>
        <v/>
      </c>
      <c r="L194" s="12">
        <f>L196+G196</f>
        <v/>
      </c>
      <c r="M194" s="43">
        <f>TEXT(L194/86400, "mm:ss.00")</f>
        <v/>
      </c>
      <c r="N194" s="14">
        <f>IFERROR(__xludf.DUMMYFUNCTION("LET(
  gen,$A194, ev,$B194, t,$M194,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O194" s="65" t="n"/>
      <c r="P194" s="69" t="n"/>
      <c r="Q194" s="65" t="n"/>
      <c r="R194" s="69" t="n"/>
      <c r="S194" s="58" t="n"/>
      <c r="T194" s="69" t="n"/>
      <c r="U194" s="65" t="n"/>
      <c r="V194" s="65" t="n"/>
      <c r="W194" s="65" t="n"/>
    </row>
    <row r="195">
      <c r="A195" s="17" t="inlineStr">
        <is>
          <t>F</t>
        </is>
      </c>
      <c r="B195" s="18" t="inlineStr">
        <is>
          <t>400 Free</t>
        </is>
      </c>
      <c r="C195" s="18" t="n">
        <v>19</v>
      </c>
      <c r="D195" s="18" t="n">
        <v>3</v>
      </c>
      <c r="E195" s="491" t="inlineStr">
        <is>
          <t>4:11.21</t>
        </is>
      </c>
      <c r="F195" s="21">
        <f>IFERROR(__xludf.DUMMYFUNCTION("IF(
  REGEXMATCH(E195, "":""),
  60*VALUE(INDEX(SPLIT(E195, "":""),1,1)) + VALUE(INDEX(SPLIT(E195, "":""),1,2)),
  VALUE(E195)
)"),251.21)</f>
        <v/>
      </c>
      <c r="G195" s="21">
        <f>average(F192-F194,F193-F195)</f>
        <v/>
      </c>
      <c r="H195" s="21" t="n">
        <v>0.8599999999999852</v>
      </c>
      <c r="I195" s="211">
        <f>C182</f>
        <v/>
      </c>
      <c r="J195" s="211">
        <f>C199</f>
        <v/>
      </c>
      <c r="K195" s="60">
        <f t="array" ref="K195">INDEX('Podium Target Times'!$C:$C, MATCH(A195&amp;B195, 'Podium Target Times'!$A:$A&amp;'Podium Target Times'!$B:$B, 0))
</f>
        <v/>
      </c>
      <c r="L195" s="24">
        <f>L196+G196</f>
        <v/>
      </c>
      <c r="M195" s="60">
        <f>TEXT(L195/86400, "mm:ss.00")</f>
        <v/>
      </c>
      <c r="N195" s="25">
        <f>IFERROR(__xludf.DUMMYFUNCTION("LET(
  gen,$A195, ev,$B195, t,$M195,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O195" s="65" t="n"/>
      <c r="P195" s="69" t="n"/>
      <c r="Q195" s="65" t="n"/>
      <c r="R195" s="69" t="n"/>
      <c r="S195" s="58" t="n"/>
      <c r="T195" s="69" t="n"/>
      <c r="U195" s="65" t="n"/>
      <c r="V195" s="65" t="n"/>
      <c r="W195" s="65" t="n"/>
    </row>
    <row r="196">
      <c r="A196" s="8" t="inlineStr">
        <is>
          <t>F</t>
        </is>
      </c>
      <c r="B196" s="9" t="inlineStr">
        <is>
          <t>400 Free</t>
        </is>
      </c>
      <c r="C196" s="9" t="n">
        <v>20</v>
      </c>
      <c r="D196" s="9" t="n">
        <v>2</v>
      </c>
      <c r="E196" s="41" t="inlineStr">
        <is>
          <t>4:10.23</t>
        </is>
      </c>
      <c r="F196" s="35">
        <f>IFERROR(__xludf.DUMMYFUNCTION("IF(
  REGEXMATCH(E196, "":""),
  60*VALUE(INDEX(SPLIT(E196, "":""),1,1)) + VALUE(INDEX(SPLIT(E196, "":""),1,2)),
  VALUE(E196)
)"),250.23)</f>
        <v/>
      </c>
      <c r="G196" s="35">
        <f>average(F194-F196,F195-F197)</f>
        <v/>
      </c>
      <c r="H196" s="35" t="n">
        <v>0.5100000000000193</v>
      </c>
      <c r="I196" s="215">
        <f>C182</f>
        <v/>
      </c>
      <c r="J196" s="215">
        <f>C199</f>
        <v/>
      </c>
      <c r="K196" s="43">
        <f t="array" ref="K196">INDEX('Podium Target Times'!$C:$C, MATCH(A196&amp;B196, 'Podium Target Times'!$A:$A&amp;'Podium Target Times'!$B:$B, 0))
</f>
        <v/>
      </c>
      <c r="L196" s="12">
        <f>L198+G198</f>
        <v/>
      </c>
      <c r="M196" s="43">
        <f>TEXT(L196/86400, "mm:ss.00")</f>
        <v/>
      </c>
      <c r="N196" s="14">
        <f>IFERROR(__xludf.DUMMYFUNCTION("LET(
  gen,$A196, ev,$B196, t,$M196,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
      </c>
      <c r="O196" s="65" t="n"/>
      <c r="P196" s="69" t="n"/>
      <c r="Q196" s="65" t="n"/>
      <c r="R196" s="69" t="n"/>
      <c r="S196" s="58" t="n"/>
      <c r="T196" s="69" t="n"/>
      <c r="U196" s="65" t="n"/>
      <c r="V196" s="65" t="n"/>
      <c r="W196" s="65" t="n"/>
    </row>
    <row r="197">
      <c r="A197" s="17" t="inlineStr">
        <is>
          <t>F</t>
        </is>
      </c>
      <c r="B197" s="18" t="inlineStr">
        <is>
          <t>400 Free</t>
        </is>
      </c>
      <c r="C197" s="18" t="n">
        <v>20</v>
      </c>
      <c r="D197" s="18" t="n">
        <v>3</v>
      </c>
      <c r="E197" s="46" t="inlineStr">
        <is>
          <t>4:10.70</t>
        </is>
      </c>
      <c r="F197" s="21">
        <f>IFERROR(__xludf.DUMMYFUNCTION("IF(
  REGEXMATCH(E197, "":""),
  60*VALUE(INDEX(SPLIT(E197, "":""),1,1)) + VALUE(INDEX(SPLIT(E197, "":""),1,2)),
  VALUE(E197)
)"),250.7)</f>
        <v/>
      </c>
      <c r="G197" s="21">
        <f>average(F194-F196,F195-F197)</f>
        <v/>
      </c>
      <c r="H197" s="21" t="n">
        <v>0.5100000000000193</v>
      </c>
      <c r="I197" s="211">
        <f>C182</f>
        <v/>
      </c>
      <c r="J197" s="211">
        <f>C199</f>
        <v/>
      </c>
      <c r="K197" s="60">
        <f t="array" ref="K197">INDEX('Podium Target Times'!$C:$C, MATCH(A197&amp;B197, 'Podium Target Times'!$A:$A&amp;'Podium Target Times'!$B:$B, 0))
</f>
        <v/>
      </c>
      <c r="L197" s="24">
        <f>L198+G198</f>
        <v/>
      </c>
      <c r="M197" s="60">
        <f>TEXT(L197/86400, "mm:ss.00")</f>
        <v/>
      </c>
      <c r="N197" s="25">
        <f>IFERROR(__xludf.DUMMYFUNCTION("LET(
  gen,$A197, ev,$B197, t,$M197,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
      </c>
      <c r="O197" s="65" t="n"/>
      <c r="P197" s="69" t="n"/>
      <c r="Q197" s="65" t="n"/>
      <c r="R197" s="69" t="n"/>
      <c r="S197" s="58" t="n"/>
      <c r="T197" s="69" t="n"/>
      <c r="U197" s="65" t="n"/>
      <c r="V197" s="65" t="n"/>
      <c r="W197" s="65" t="n"/>
    </row>
    <row r="198">
      <c r="A198" s="8" t="inlineStr">
        <is>
          <t>F</t>
        </is>
      </c>
      <c r="B198" s="9" t="inlineStr">
        <is>
          <t>400 Free</t>
        </is>
      </c>
      <c r="C198" s="9" t="n">
        <v>21</v>
      </c>
      <c r="D198" s="9" t="n">
        <v>3</v>
      </c>
      <c r="E198" s="41" t="inlineStr">
        <is>
          <t>4:10.35</t>
        </is>
      </c>
      <c r="F198" s="35">
        <f>IFERROR(__xludf.DUMMYFUNCTION("IF(
  REGEXMATCH(E198, "":""),
  60*VALUE(INDEX(SPLIT(E198, "":""),1,1)) + VALUE(INDEX(SPLIT(E198, "":""),1,2)),
  VALUE(E198)
)"),250.35)</f>
        <v/>
      </c>
      <c r="G198" s="35">
        <f>F197-F198</f>
        <v/>
      </c>
      <c r="H198" s="35" t="n">
        <v>0.3499999999999943</v>
      </c>
      <c r="I198" s="215">
        <f>C182</f>
        <v/>
      </c>
      <c r="J198" s="215">
        <f>C199</f>
        <v/>
      </c>
      <c r="K198" s="43">
        <f t="array" ref="K198">INDEX('Podium Target Times'!$C:$C, MATCH(A198&amp;B198, 'Podium Target Times'!$A:$A&amp;'Podium Target Times'!$B:$B, 0))
</f>
        <v/>
      </c>
      <c r="L198" s="12">
        <f>L199+G199</f>
        <v/>
      </c>
      <c r="M198" s="43">
        <f>TEXT(L198/86400, "mm:ss.00")</f>
        <v/>
      </c>
      <c r="N198" s="14">
        <f>IFERROR(__xludf.DUMMYFUNCTION("LET(
  gen,$A198, ev,$B198, t,$M198,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
      </c>
      <c r="O198" s="65" t="n"/>
      <c r="P198" s="69" t="n"/>
      <c r="Q198" s="65" t="n"/>
      <c r="R198" s="69" t="n"/>
      <c r="S198" s="58" t="n"/>
      <c r="T198" s="69" t="n"/>
      <c r="U198" s="65" t="n"/>
      <c r="V198" s="65" t="n"/>
      <c r="W198" s="65" t="n"/>
    </row>
    <row r="199">
      <c r="A199" s="17" t="inlineStr">
        <is>
          <t>F</t>
        </is>
      </c>
      <c r="B199" s="18" t="inlineStr">
        <is>
          <t>400 Free</t>
        </is>
      </c>
      <c r="C199" s="18" t="n">
        <v>22</v>
      </c>
      <c r="D199" s="18" t="n">
        <v>3</v>
      </c>
      <c r="E199" s="46" t="inlineStr">
        <is>
          <t>4:10.23</t>
        </is>
      </c>
      <c r="F199" s="21">
        <f>IFERROR(__xludf.DUMMYFUNCTION("IF(
  REGEXMATCH(E199, "":""),
  60*VALUE(INDEX(SPLIT(E199, "":""),1,1)) + VALUE(INDEX(SPLIT(E199, "":""),1,2)),
  VALUE(E199)
)"),250.23)</f>
        <v/>
      </c>
      <c r="G199" s="21">
        <f>F198-F199</f>
        <v/>
      </c>
      <c r="H199" s="21" t="n">
        <v>0.1200000000000045</v>
      </c>
      <c r="I199" s="211">
        <f>C182</f>
        <v/>
      </c>
      <c r="J199" s="211">
        <f>C199</f>
        <v/>
      </c>
      <c r="K199" s="60">
        <f t="array" ref="K199">INDEX('Podium Target Times'!$C:$C, MATCH(A199&amp;B199, 'Podium Target Times'!$A:$A&amp;'Podium Target Times'!$B:$B, 0))
</f>
        <v/>
      </c>
      <c r="L199" s="211">
        <f>K199</f>
        <v/>
      </c>
      <c r="M199" s="60">
        <f>TEXT(L199/86400, "mm:ss.00")</f>
        <v/>
      </c>
      <c r="N199" s="25">
        <f>IFERROR(__xludf.DUMMYFUNCTION("LET(
  gen,$A199, ev,$B199, t,$M199,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199" s="65" t="n"/>
      <c r="P199" s="69" t="n"/>
      <c r="Q199" s="65" t="n"/>
      <c r="R199" s="69" t="n"/>
      <c r="S199" s="58" t="n"/>
      <c r="T199" s="69" t="n"/>
      <c r="U199" s="65" t="n"/>
      <c r="V199" s="65" t="n"/>
      <c r="W199" s="65" t="n"/>
    </row>
    <row r="200">
      <c r="A200" s="8" t="inlineStr">
        <is>
          <t>F</t>
        </is>
      </c>
      <c r="B200" s="9" t="inlineStr">
        <is>
          <t>400 IM</t>
        </is>
      </c>
      <c r="C200" s="9" t="n">
        <v>13</v>
      </c>
      <c r="D200" s="9" t="n">
        <v>1</v>
      </c>
      <c r="E200" s="43" t="inlineStr">
        <is>
          <t>5:09.36</t>
        </is>
      </c>
      <c r="F200" s="35">
        <f>IFERROR(__xludf.DUMMYFUNCTION("IF(
  REGEXMATCH(E200, "":""),
  60*VALUE(INDEX(SPLIT(E200, "":""),1,1)) + VALUE(INDEX(SPLIT(E200, "":""),1,2)),
  VALUE(E200)
)"),309.36)</f>
        <v/>
      </c>
      <c r="G200" s="12" t="n">
        <v>0</v>
      </c>
      <c r="H200" s="12" t="n">
        <v>0</v>
      </c>
      <c r="I200" s="43">
        <f>C200</f>
        <v/>
      </c>
      <c r="J200" s="43">
        <f>C217</f>
        <v/>
      </c>
      <c r="K200" s="43">
        <f t="array" ref="K200">INDEX('Podium Target Times'!$C:$C, MATCH(A200&amp;B200, 'Podium Target Times'!$A:$A&amp;'Podium Target Times'!$B:$B, 0))
</f>
        <v/>
      </c>
      <c r="L200" s="12">
        <f>L201+G201</f>
        <v/>
      </c>
      <c r="M200" s="43">
        <f>TEXT(L200/86400, "mm:ss.00")</f>
        <v/>
      </c>
      <c r="N200" s="14">
        <f>IFERROR(__xludf.DUMMYFUNCTION("LET(
  gen,$A200, ev,$B200, t,$M200,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)"),553.0)</f>
        <v/>
      </c>
      <c r="O200" s="65" t="n"/>
      <c r="P200" s="69">
        <f>A200</f>
        <v/>
      </c>
      <c r="Q200" s="65">
        <f>B200</f>
        <v/>
      </c>
      <c r="R200" s="69">
        <f>C200</f>
        <v/>
      </c>
      <c r="S200" s="58">
        <f>M200</f>
        <v/>
      </c>
      <c r="T200" s="69">
        <f>N200</f>
        <v/>
      </c>
      <c r="U200" s="65" t="n"/>
      <c r="V200" s="65" t="n"/>
      <c r="W200" s="65" t="n"/>
    </row>
    <row r="201">
      <c r="A201" s="17" t="inlineStr">
        <is>
          <t>F</t>
        </is>
      </c>
      <c r="B201" s="18" t="inlineStr">
        <is>
          <t>400 IM</t>
        </is>
      </c>
      <c r="C201" s="18" t="n">
        <v>14</v>
      </c>
      <c r="D201" s="18" t="n">
        <v>1</v>
      </c>
      <c r="E201" s="60" t="inlineStr">
        <is>
          <t>4:58.88</t>
        </is>
      </c>
      <c r="F201" s="21">
        <f>IFERROR(__xludf.DUMMYFUNCTION("IF(
  REGEXMATCH(E201, "":""),
  60*VALUE(INDEX(SPLIT(E201, "":""),1,1)) + VALUE(INDEX(SPLIT(E201, "":""),1,2)),
  VALUE(E201)
)"),298.88)</f>
        <v/>
      </c>
      <c r="G201" s="21">
        <f>F200-F201</f>
        <v/>
      </c>
      <c r="H201" s="21" t="n">
        <v>10.48000000000002</v>
      </c>
      <c r="I201" s="211">
        <f>C200</f>
        <v/>
      </c>
      <c r="J201" s="211">
        <f>C217</f>
        <v/>
      </c>
      <c r="K201" s="60">
        <f t="array" ref="K201">INDEX('Podium Target Times'!$C:$C, MATCH(A201&amp;B201, 'Podium Target Times'!$A:$A&amp;'Podium Target Times'!$B:$B, 0))
</f>
        <v/>
      </c>
      <c r="L201" s="24">
        <f>L203+G203</f>
        <v/>
      </c>
      <c r="M201" s="60">
        <f>TEXT(L201/86400, "mm:ss.00")</f>
        <v/>
      </c>
      <c r="N201" s="25">
        <f>IFERROR(__xludf.DUMMYFUNCTION("LET(
  gen,$A201, ev,$B201, t,$M201,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)"),611.0)</f>
        <v/>
      </c>
      <c r="O201" s="65" t="n"/>
      <c r="P201" s="69">
        <f>A201</f>
        <v/>
      </c>
      <c r="Q201" s="65">
        <f>B201</f>
        <v/>
      </c>
      <c r="R201" s="69">
        <f>C201</f>
        <v/>
      </c>
      <c r="S201" s="58">
        <f>M201</f>
        <v/>
      </c>
      <c r="T201" s="69">
        <f>N201</f>
        <v/>
      </c>
      <c r="U201" s="65" t="n"/>
      <c r="V201" s="65" t="n"/>
      <c r="W201" s="65" t="n"/>
    </row>
    <row r="202">
      <c r="A202" s="8" t="inlineStr">
        <is>
          <t>F</t>
        </is>
      </c>
      <c r="B202" s="9" t="inlineStr">
        <is>
          <t>400 IM</t>
        </is>
      </c>
      <c r="C202" s="9" t="n">
        <v>14</v>
      </c>
      <c r="D202" s="219" t="n">
        <v>2</v>
      </c>
      <c r="E202" s="43" t="inlineStr">
        <is>
          <t>5:01.95</t>
        </is>
      </c>
      <c r="F202" s="35">
        <f>IFERROR(__xludf.DUMMYFUNCTION("IF(
  REGEXMATCH(E202, "":""),
  60*VALUE(INDEX(SPLIT(E202, "":""),1,1)) + VALUE(INDEX(SPLIT(E202, "":""),1,2)),
  VALUE(E202)
)"),301.95)</f>
        <v/>
      </c>
      <c r="G202" s="35">
        <f>F200-F201</f>
        <v/>
      </c>
      <c r="H202" s="35" t="n">
        <v>10.48000000000002</v>
      </c>
      <c r="I202" s="215">
        <f>C200</f>
        <v/>
      </c>
      <c r="J202" s="215">
        <f>C217</f>
        <v/>
      </c>
      <c r="K202" s="43">
        <f t="array" ref="K202">INDEX('Podium Target Times'!$C:$C, MATCH(A202&amp;B202, 'Podium Target Times'!$A:$A&amp;'Podium Target Times'!$B:$B, 0))
</f>
        <v/>
      </c>
      <c r="L202" s="12">
        <f>L203+G203</f>
        <v/>
      </c>
      <c r="M202" s="43">
        <f>TEXT(L202/86400, "mm:ss.00")</f>
        <v/>
      </c>
      <c r="N202" s="14">
        <f>IFERROR(__xludf.DUMMYFUNCTION("LET(
  gen,$A202, ev,$B202, t,$M202,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)"),611.0)</f>
        <v/>
      </c>
      <c r="O202" s="65" t="n"/>
      <c r="P202" s="69">
        <f>A203</f>
        <v/>
      </c>
      <c r="Q202" s="65">
        <f>B203</f>
        <v/>
      </c>
      <c r="R202" s="69">
        <f>C203</f>
        <v/>
      </c>
      <c r="S202" s="58">
        <f>M203</f>
        <v/>
      </c>
      <c r="T202" s="69">
        <f>N203</f>
        <v/>
      </c>
      <c r="U202" s="65" t="n"/>
      <c r="V202" s="65" t="n"/>
      <c r="W202" s="65" t="n"/>
    </row>
    <row r="203">
      <c r="A203" s="17" t="inlineStr">
        <is>
          <t>F</t>
        </is>
      </c>
      <c r="B203" s="18" t="inlineStr">
        <is>
          <t>400 IM</t>
        </is>
      </c>
      <c r="C203" s="18" t="n">
        <v>15</v>
      </c>
      <c r="D203" s="18" t="n">
        <v>1</v>
      </c>
      <c r="E203" s="46" t="inlineStr">
        <is>
          <t>4:51.23</t>
        </is>
      </c>
      <c r="F203" s="21">
        <f>IFERROR(__xludf.DUMMYFUNCTION("IF(
  REGEXMATCH(E203, "":""),
  60*VALUE(INDEX(SPLIT(E203, "":""),1,1)) + VALUE(INDEX(SPLIT(E203, "":""),1,2)),
  VALUE(E203)
)"),291.23)</f>
        <v/>
      </c>
      <c r="G203" s="21">
        <f>average(F201-F203,F202-F204)</f>
        <v/>
      </c>
      <c r="H203" s="21" t="n">
        <v>7.684999999999974</v>
      </c>
      <c r="I203" s="211">
        <f>C200</f>
        <v/>
      </c>
      <c r="J203" s="211">
        <f>C217</f>
        <v/>
      </c>
      <c r="K203" s="60">
        <f t="array" ref="K203">INDEX('Podium Target Times'!$C:$C, MATCH(A203&amp;B203, 'Podium Target Times'!$A:$A&amp;'Podium Target Times'!$B:$B, 0))
</f>
        <v/>
      </c>
      <c r="L203" s="24">
        <f>L206+G206</f>
        <v/>
      </c>
      <c r="M203" s="60">
        <f>TEXT(L203/86400, "mm:ss.00")</f>
        <v/>
      </c>
      <c r="N203" s="25">
        <f>IFERROR(__xludf.DUMMYFUNCTION("LET(
  gen,$A203, ev,$B203, t,$M203,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
      </c>
      <c r="O203" s="65" t="n"/>
      <c r="P203" s="69">
        <f>A206</f>
        <v/>
      </c>
      <c r="Q203" s="65">
        <f>B206</f>
        <v/>
      </c>
      <c r="R203" s="69">
        <f>C206</f>
        <v/>
      </c>
      <c r="S203" s="58">
        <f>M206</f>
        <v/>
      </c>
      <c r="T203" s="69">
        <f>N206</f>
        <v/>
      </c>
      <c r="U203" s="65" t="n"/>
      <c r="V203" s="65" t="n"/>
      <c r="W203" s="65" t="n"/>
    </row>
    <row r="204">
      <c r="A204" s="8" t="inlineStr">
        <is>
          <t>F</t>
        </is>
      </c>
      <c r="B204" s="9" t="inlineStr">
        <is>
          <t>400 IM</t>
        </is>
      </c>
      <c r="C204" s="9" t="n">
        <v>15</v>
      </c>
      <c r="D204" s="219" t="n">
        <v>2</v>
      </c>
      <c r="E204" s="41" t="inlineStr">
        <is>
          <t>4:54.23</t>
        </is>
      </c>
      <c r="F204" s="35">
        <f>IFERROR(__xludf.DUMMYFUNCTION("IF(
  REGEXMATCH(E204, "":""),
  60*VALUE(INDEX(SPLIT(E204, "":""),1,1)) + VALUE(INDEX(SPLIT(E204, "":""),1,2)),
  VALUE(E204)
)"),294.23)</f>
        <v/>
      </c>
      <c r="G204" s="35">
        <f>average(F201-F203,F202-F204)</f>
        <v/>
      </c>
      <c r="H204" s="35" t="n">
        <v>7.684999999999974</v>
      </c>
      <c r="I204" s="215">
        <f>C200</f>
        <v/>
      </c>
      <c r="J204" s="215">
        <f>C217</f>
        <v/>
      </c>
      <c r="K204" s="43">
        <f t="array" ref="K204">INDEX('Podium Target Times'!$C:$C, MATCH(A204&amp;B204, 'Podium Target Times'!$A:$A&amp;'Podium Target Times'!$B:$B, 0))
</f>
        <v/>
      </c>
      <c r="L204" s="12">
        <f>L206+G206</f>
        <v/>
      </c>
      <c r="M204" s="43">
        <f>TEXT(L204/86400, "mm:ss.00")</f>
        <v/>
      </c>
      <c r="N204" s="14">
        <f>IFERROR(__xludf.DUMMYFUNCTION("LET(
  gen,$A204, ev,$B204, t,$M204,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
      </c>
      <c r="O204" s="65" t="n"/>
      <c r="P204" s="69">
        <f>A209</f>
        <v/>
      </c>
      <c r="Q204" s="65">
        <f>B209</f>
        <v/>
      </c>
      <c r="R204" s="69">
        <f>C209</f>
        <v/>
      </c>
      <c r="S204" s="58">
        <f>M209</f>
        <v/>
      </c>
      <c r="T204" s="69">
        <f>N209</f>
        <v/>
      </c>
      <c r="U204" s="65" t="n"/>
      <c r="V204" s="65" t="n"/>
      <c r="W204" s="65" t="n"/>
    </row>
    <row r="205">
      <c r="A205" s="17" t="inlineStr">
        <is>
          <t>F</t>
        </is>
      </c>
      <c r="B205" s="18" t="inlineStr">
        <is>
          <t>400 IM</t>
        </is>
      </c>
      <c r="C205" s="18" t="n">
        <v>15</v>
      </c>
      <c r="D205" s="18" t="n">
        <v>3</v>
      </c>
      <c r="E205" s="46" t="inlineStr">
        <is>
          <t>4:54.88</t>
        </is>
      </c>
      <c r="F205" s="21">
        <f>IFERROR(__xludf.DUMMYFUNCTION("IF(
  REGEXMATCH(E205, "":""),
  60*VALUE(INDEX(SPLIT(E205, "":""),1,1)) + VALUE(INDEX(SPLIT(E205, "":""),1,2)),
  VALUE(E205)
)"),294.88)</f>
        <v/>
      </c>
      <c r="G205" s="21">
        <f>average(F201-F203,F202-F204)</f>
        <v/>
      </c>
      <c r="H205" s="21" t="n">
        <v>7.684999999999974</v>
      </c>
      <c r="I205" s="211">
        <f>C200</f>
        <v/>
      </c>
      <c r="J205" s="211">
        <f>C217</f>
        <v/>
      </c>
      <c r="K205" s="60">
        <f t="array" ref="K205">INDEX('Podium Target Times'!$C:$C, MATCH(A205&amp;B205, 'Podium Target Times'!$A:$A&amp;'Podium Target Times'!$B:$B, 0))
</f>
        <v/>
      </c>
      <c r="L205" s="24">
        <f>L206+G206</f>
        <v/>
      </c>
      <c r="M205" s="60">
        <f>TEXT(L205/86400, "mm:ss.00")</f>
        <v/>
      </c>
      <c r="N205" s="25">
        <f>IFERROR(__xludf.DUMMYFUNCTION("LET(
  gen,$A205, ev,$B205, t,$M205,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
      </c>
      <c r="O205" s="65" t="n"/>
      <c r="P205" s="69">
        <f>A212</f>
        <v/>
      </c>
      <c r="Q205" s="65">
        <f>B212</f>
        <v/>
      </c>
      <c r="R205" s="69">
        <f>C212</f>
        <v/>
      </c>
      <c r="S205" s="58">
        <f>M212</f>
        <v/>
      </c>
      <c r="T205" s="69">
        <f>N212</f>
        <v/>
      </c>
      <c r="U205" s="65" t="n"/>
      <c r="V205" s="65" t="n"/>
      <c r="W205" s="65" t="n"/>
    </row>
    <row r="206">
      <c r="A206" s="8" t="inlineStr">
        <is>
          <t>F</t>
        </is>
      </c>
      <c r="B206" s="9" t="inlineStr">
        <is>
          <t>400 IM</t>
        </is>
      </c>
      <c r="C206" s="9" t="n">
        <v>16</v>
      </c>
      <c r="D206" s="9" t="n">
        <v>1</v>
      </c>
      <c r="E206" s="41" t="inlineStr">
        <is>
          <t>4:46.20</t>
        </is>
      </c>
      <c r="F206" s="35">
        <f>IFERROR(__xludf.DUMMYFUNCTION("IF(
  REGEXMATCH(E206, "":""),
  60*VALUE(INDEX(SPLIT(E206, "":""),1,1)) + VALUE(INDEX(SPLIT(E206, "":""),1,2)),
  VALUE(E206)
)"),286.2)</f>
        <v/>
      </c>
      <c r="G206" s="35">
        <f>average(F203-F206,F204-F207,F205-F208)</f>
        <v/>
      </c>
      <c r="H206" s="35" t="n">
        <v>5.066666666666682</v>
      </c>
      <c r="I206" s="215">
        <f>C200</f>
        <v/>
      </c>
      <c r="J206" s="215">
        <f>C217</f>
        <v/>
      </c>
      <c r="K206" s="43">
        <f t="array" ref="K206">INDEX('Podium Target Times'!$C:$C, MATCH(A206&amp;B206, 'Podium Target Times'!$A:$A&amp;'Podium Target Times'!$B:$B, 0))
</f>
        <v/>
      </c>
      <c r="L206" s="12">
        <f>L209+G209</f>
        <v/>
      </c>
      <c r="M206" s="43">
        <f>TEXT(L206/86400, "mm:ss.00")</f>
        <v/>
      </c>
      <c r="N206" s="14">
        <f>IFERROR(__xludf.DUMMYFUNCTION("LET(
  gen,$A206, ev,$B206, t,$M206,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206" s="65" t="n"/>
      <c r="P206" s="69">
        <f>A214</f>
        <v/>
      </c>
      <c r="Q206" s="65">
        <f>B214</f>
        <v/>
      </c>
      <c r="R206" s="69">
        <f>C214</f>
        <v/>
      </c>
      <c r="S206" s="58">
        <f>M214</f>
        <v/>
      </c>
      <c r="T206" s="69">
        <f>N214</f>
        <v/>
      </c>
      <c r="U206" s="65" t="n"/>
      <c r="V206" s="65" t="n"/>
      <c r="W206" s="65" t="n"/>
    </row>
    <row r="207">
      <c r="A207" s="17" t="inlineStr">
        <is>
          <t>F</t>
        </is>
      </c>
      <c r="B207" s="18" t="inlineStr">
        <is>
          <t>400 IM</t>
        </is>
      </c>
      <c r="C207" s="18" t="n">
        <v>16</v>
      </c>
      <c r="D207" s="221" t="n">
        <v>2</v>
      </c>
      <c r="E207" s="46" t="inlineStr">
        <is>
          <t>4:49.15</t>
        </is>
      </c>
      <c r="F207" s="21">
        <f>IFERROR(__xludf.DUMMYFUNCTION("IF(
  REGEXMATCH(E207, "":""),
  60*VALUE(INDEX(SPLIT(E207, "":""),1,1)) + VALUE(INDEX(SPLIT(E207, "":""),1,2)),
  VALUE(E207)
)"),289.15)</f>
        <v/>
      </c>
      <c r="G207" s="21">
        <f>average(F203-F206,F204-F207,F205-F208)</f>
        <v/>
      </c>
      <c r="H207" s="21" t="n">
        <v>5.066666666666682</v>
      </c>
      <c r="I207" s="211">
        <f>C200</f>
        <v/>
      </c>
      <c r="J207" s="211">
        <f>C217</f>
        <v/>
      </c>
      <c r="K207" s="60">
        <f t="array" ref="K207">INDEX('Podium Target Times'!$C:$C, MATCH(A207&amp;B207, 'Podium Target Times'!$A:$A&amp;'Podium Target Times'!$B:$B, 0))
</f>
        <v/>
      </c>
      <c r="L207" s="24">
        <f>L209+G209</f>
        <v/>
      </c>
      <c r="M207" s="60">
        <f>TEXT(L207/86400, "mm:ss.00")</f>
        <v/>
      </c>
      <c r="N207" s="25">
        <f>IFERROR(__xludf.DUMMYFUNCTION("LET(
  gen,$A207, ev,$B207, t,$M207,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207" s="65" t="n"/>
      <c r="P207" s="69">
        <f>A216</f>
        <v/>
      </c>
      <c r="Q207" s="65">
        <f>B216</f>
        <v/>
      </c>
      <c r="R207" s="69">
        <f>C216</f>
        <v/>
      </c>
      <c r="S207" s="58">
        <f>M216</f>
        <v/>
      </c>
      <c r="T207" s="69">
        <f>N216</f>
        <v/>
      </c>
      <c r="U207" s="65" t="n"/>
      <c r="V207" s="65" t="n"/>
      <c r="W207" s="65" t="n"/>
    </row>
    <row r="208">
      <c r="A208" s="8" t="inlineStr">
        <is>
          <t>F</t>
        </is>
      </c>
      <c r="B208" s="9" t="inlineStr">
        <is>
          <t>400 IM</t>
        </is>
      </c>
      <c r="C208" s="9" t="n">
        <v>16</v>
      </c>
      <c r="D208" s="9" t="n">
        <v>3</v>
      </c>
      <c r="E208" s="41" t="inlineStr">
        <is>
          <t>4:49.79</t>
        </is>
      </c>
      <c r="F208" s="35">
        <f>IFERROR(__xludf.DUMMYFUNCTION("IF(
  REGEXMATCH(E208, "":""),
  60*VALUE(INDEX(SPLIT(E208, "":""),1,1)) + VALUE(INDEX(SPLIT(E208, "":""),1,2)),
  VALUE(E208)
)"),289.79)</f>
        <v/>
      </c>
      <c r="G208" s="35">
        <f>average(F203-F206,F204-F207,F205-F208)</f>
        <v/>
      </c>
      <c r="H208" s="35" t="n">
        <v>5.066666666666682</v>
      </c>
      <c r="I208" s="215">
        <f>C200</f>
        <v/>
      </c>
      <c r="J208" s="215">
        <f>C217</f>
        <v/>
      </c>
      <c r="K208" s="43">
        <f t="array" ref="K208">INDEX('Podium Target Times'!$C:$C, MATCH(A208&amp;B208, 'Podium Target Times'!$A:$A&amp;'Podium Target Times'!$B:$B, 0))
</f>
        <v/>
      </c>
      <c r="L208" s="12">
        <f>L209+G209</f>
        <v/>
      </c>
      <c r="M208" s="43">
        <f>TEXT(L208/86400, "mm:ss.00")</f>
        <v/>
      </c>
      <c r="N208" s="14">
        <f>IFERROR(__xludf.DUMMYFUNCTION("LET(
  gen,$A208, ev,$B208, t,$M208,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208" s="65" t="n"/>
      <c r="P208" s="69">
        <f>A217</f>
        <v/>
      </c>
      <c r="Q208" s="65">
        <f>B217</f>
        <v/>
      </c>
      <c r="R208" s="69">
        <f>C217</f>
        <v/>
      </c>
      <c r="S208" s="58">
        <f>M217</f>
        <v/>
      </c>
      <c r="T208" s="69">
        <f>N217</f>
        <v/>
      </c>
      <c r="U208" s="65" t="n"/>
      <c r="V208" s="65" t="n"/>
      <c r="W208" s="65" t="n"/>
    </row>
    <row r="209">
      <c r="A209" s="17" t="inlineStr">
        <is>
          <t>F</t>
        </is>
      </c>
      <c r="B209" s="18" t="inlineStr">
        <is>
          <t>400 IM</t>
        </is>
      </c>
      <c r="C209" s="18" t="n">
        <v>17</v>
      </c>
      <c r="D209" s="221" t="n">
        <v>1</v>
      </c>
      <c r="E209" s="46" t="inlineStr">
        <is>
          <t>4:43.06</t>
        </is>
      </c>
      <c r="F209" s="21">
        <f>IFERROR(__xludf.DUMMYFUNCTION("IF(
  REGEXMATCH(E209, "":""),
  60*VALUE(INDEX(SPLIT(E209, "":""),1,1)) + VALUE(INDEX(SPLIT(E209, "":""),1,2)),
  VALUE(E209)
)"),283.06)</f>
        <v/>
      </c>
      <c r="G209" s="21">
        <f>average(F206-F209,F207-F210,F208-F211)</f>
        <v/>
      </c>
      <c r="H209" s="21" t="n">
        <v>3.163333333333318</v>
      </c>
      <c r="I209" s="211">
        <f>C200</f>
        <v/>
      </c>
      <c r="J209" s="211">
        <f>C217</f>
        <v/>
      </c>
      <c r="K209" s="60">
        <f t="array" ref="K209">INDEX('Podium Target Times'!$C:$C, MATCH(A209&amp;B209, 'Podium Target Times'!$A:$A&amp;'Podium Target Times'!$B:$B, 0))
</f>
        <v/>
      </c>
      <c r="L209" s="24">
        <f>L212+G212</f>
        <v/>
      </c>
      <c r="M209" s="60">
        <f>TEXT(L209/86400, "mm:ss.00")</f>
        <v/>
      </c>
      <c r="N209" s="25">
        <f>IFERROR(__xludf.DUMMYFUNCTION("LET(
  gen,$A209, ev,$B209, t,$M209,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O209" s="65" t="n"/>
      <c r="P209" s="69" t="n"/>
      <c r="Q209" s="65" t="n"/>
      <c r="R209" s="69" t="n"/>
      <c r="S209" s="58" t="n"/>
      <c r="T209" s="69" t="n"/>
      <c r="U209" s="65" t="n"/>
      <c r="V209" s="65" t="n"/>
      <c r="W209" s="65" t="n"/>
    </row>
    <row r="210">
      <c r="A210" s="8" t="inlineStr">
        <is>
          <t>F</t>
        </is>
      </c>
      <c r="B210" s="9" t="inlineStr">
        <is>
          <t>400 IM</t>
        </is>
      </c>
      <c r="C210" s="9" t="n">
        <v>17</v>
      </c>
      <c r="D210" s="219" t="n">
        <v>2</v>
      </c>
      <c r="E210" s="41" t="inlineStr">
        <is>
          <t>4:45.98</t>
        </is>
      </c>
      <c r="F210" s="35">
        <f>IFERROR(__xludf.DUMMYFUNCTION("IF(
  REGEXMATCH(E210, "":""),
  60*VALUE(INDEX(SPLIT(E210, "":""),1,1)) + VALUE(INDEX(SPLIT(E210, "":""),1,2)),
  VALUE(E210)
)"),285.98)</f>
        <v/>
      </c>
      <c r="G210" s="35">
        <f>average(F206-F209,F207-F210,F208-F211)</f>
        <v/>
      </c>
      <c r="H210" s="35" t="n">
        <v>3.163333333333318</v>
      </c>
      <c r="I210" s="215">
        <f>C200</f>
        <v/>
      </c>
      <c r="J210" s="215">
        <f>C217</f>
        <v/>
      </c>
      <c r="K210" s="43">
        <f t="array" ref="K210">INDEX('Podium Target Times'!$C:$C, MATCH(A210&amp;B210, 'Podium Target Times'!$A:$A&amp;'Podium Target Times'!$B:$B, 0))
</f>
        <v/>
      </c>
      <c r="L210" s="12">
        <f>L212+G212</f>
        <v/>
      </c>
      <c r="M210" s="43">
        <f>TEXT(L210/86400, "mm:ss.00")</f>
        <v/>
      </c>
      <c r="N210" s="14">
        <f>IFERROR(__xludf.DUMMYFUNCTION("LET(
  gen,$A210, ev,$B210, t,$M210,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O210" s="65" t="n"/>
      <c r="P210" s="69" t="n"/>
      <c r="Q210" s="65" t="n"/>
      <c r="R210" s="69" t="n"/>
      <c r="S210" s="58" t="n"/>
      <c r="T210" s="69" t="n"/>
      <c r="U210" s="65" t="n"/>
      <c r="V210" s="65" t="n"/>
      <c r="W210" s="65" t="n"/>
    </row>
    <row r="211">
      <c r="A211" s="17" t="inlineStr">
        <is>
          <t>F</t>
        </is>
      </c>
      <c r="B211" s="18" t="inlineStr">
        <is>
          <t>400 IM</t>
        </is>
      </c>
      <c r="C211" s="18" t="n">
        <v>17</v>
      </c>
      <c r="D211" s="18" t="n">
        <v>3</v>
      </c>
      <c r="E211" s="46" t="inlineStr">
        <is>
          <t>4:46.61</t>
        </is>
      </c>
      <c r="F211" s="21">
        <f>IFERROR(__xludf.DUMMYFUNCTION("IF(
  REGEXMATCH(E211, "":""),
  60*VALUE(INDEX(SPLIT(E211, "":""),1,1)) + VALUE(INDEX(SPLIT(E211, "":""),1,2)),
  VALUE(E211)
)"),286.61)</f>
        <v/>
      </c>
      <c r="G211" s="21">
        <f>average(F206-F209,F207-F210,F208-F211)</f>
        <v/>
      </c>
      <c r="H211" s="21" t="n">
        <v>3.163333333333318</v>
      </c>
      <c r="I211" s="211">
        <f>C200</f>
        <v/>
      </c>
      <c r="J211" s="211">
        <f>C217</f>
        <v/>
      </c>
      <c r="K211" s="60">
        <f t="array" ref="K211">INDEX('Podium Target Times'!$C:$C, MATCH(A211&amp;B211, 'Podium Target Times'!$A:$A&amp;'Podium Target Times'!$B:$B, 0))
</f>
        <v/>
      </c>
      <c r="L211" s="24">
        <f>L212+G212</f>
        <v/>
      </c>
      <c r="M211" s="60">
        <f>TEXT(L211/86400, "mm:ss.00")</f>
        <v/>
      </c>
      <c r="N211" s="25">
        <f>IFERROR(__xludf.DUMMYFUNCTION("LET(
  gen,$A211, ev,$B211, t,$M211,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O211" s="65" t="n"/>
      <c r="P211" s="69" t="n"/>
      <c r="Q211" s="65" t="n"/>
      <c r="R211" s="69" t="n"/>
      <c r="S211" s="58" t="n"/>
      <c r="T211" s="69" t="n"/>
      <c r="U211" s="65" t="n"/>
      <c r="V211" s="65" t="n"/>
      <c r="W211" s="65" t="n"/>
    </row>
    <row r="212">
      <c r="A212" s="8" t="inlineStr">
        <is>
          <t>F</t>
        </is>
      </c>
      <c r="B212" s="9" t="inlineStr">
        <is>
          <t>400 IM</t>
        </is>
      </c>
      <c r="C212" s="9" t="n">
        <v>18</v>
      </c>
      <c r="D212" s="219" t="n">
        <v>2</v>
      </c>
      <c r="E212" s="41" t="inlineStr">
        <is>
          <t>4:44.11</t>
        </is>
      </c>
      <c r="F212" s="35">
        <f>IFERROR(__xludf.DUMMYFUNCTION("IF(
  REGEXMATCH(E212, "":""),
  60*VALUE(INDEX(SPLIT(E212, "":""),1,1)) + VALUE(INDEX(SPLIT(E212, "":""),1,2)),
  VALUE(E212)
)"),284.11)</f>
        <v/>
      </c>
      <c r="G212" s="35">
        <f>average(F210-F212,F211-F213)</f>
        <v/>
      </c>
      <c r="H212" s="35" t="n">
        <v>1.870000000000005</v>
      </c>
      <c r="I212" s="215">
        <f>C200</f>
        <v/>
      </c>
      <c r="J212" s="215">
        <f>C217</f>
        <v/>
      </c>
      <c r="K212" s="43">
        <f t="array" ref="K212">INDEX('Podium Target Times'!$C:$C, MATCH(A212&amp;B212, 'Podium Target Times'!$A:$A&amp;'Podium Target Times'!$B:$B, 0))
</f>
        <v/>
      </c>
      <c r="L212" s="12">
        <f>L214+G214</f>
        <v/>
      </c>
      <c r="M212" s="43">
        <f>TEXT(L212/86400, "mm:ss.00")</f>
        <v/>
      </c>
      <c r="N212" s="14">
        <f>IFERROR(__xludf.DUMMYFUNCTION("LET(
  gen,$A212, ev,$B212, t,$M212,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O212" s="65" t="n"/>
      <c r="P212" s="69" t="n"/>
      <c r="Q212" s="65" t="n"/>
      <c r="R212" s="69" t="n"/>
      <c r="S212" s="58" t="n"/>
      <c r="T212" s="69" t="n"/>
      <c r="U212" s="65" t="n"/>
      <c r="V212" s="65" t="n"/>
      <c r="W212" s="65" t="n"/>
    </row>
    <row r="213">
      <c r="A213" s="17" t="inlineStr">
        <is>
          <t>F</t>
        </is>
      </c>
      <c r="B213" s="18" t="inlineStr">
        <is>
          <t>400 IM</t>
        </is>
      </c>
      <c r="C213" s="18" t="n">
        <v>18</v>
      </c>
      <c r="D213" s="18" t="n">
        <v>3</v>
      </c>
      <c r="E213" s="46" t="inlineStr">
        <is>
          <t>4:44.74</t>
        </is>
      </c>
      <c r="F213" s="21">
        <f>IFERROR(__xludf.DUMMYFUNCTION("IF(
  REGEXMATCH(E213, "":""),
  60*VALUE(INDEX(SPLIT(E213, "":""),1,1)) + VALUE(INDEX(SPLIT(E213, "":""),1,2)),
  VALUE(E213)
)"),284.74)</f>
        <v/>
      </c>
      <c r="G213" s="21">
        <f>average(F210-F212,F211-F213)</f>
        <v/>
      </c>
      <c r="H213" s="21" t="n">
        <v>1.870000000000005</v>
      </c>
      <c r="I213" s="211">
        <f>C200</f>
        <v/>
      </c>
      <c r="J213" s="211">
        <f>C217</f>
        <v/>
      </c>
      <c r="K213" s="60">
        <f t="array" ref="K213">INDEX('Podium Target Times'!$C:$C, MATCH(A213&amp;B213, 'Podium Target Times'!$A:$A&amp;'Podium Target Times'!$B:$B, 0))
</f>
        <v/>
      </c>
      <c r="L213" s="24">
        <f>L214+G214</f>
        <v/>
      </c>
      <c r="M213" s="60">
        <f>TEXT(L213/86400, "mm:ss.00")</f>
        <v/>
      </c>
      <c r="N213" s="25">
        <f>IFERROR(__xludf.DUMMYFUNCTION("LET(
  gen,$A213, ev,$B213, t,$M213,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O213" s="65" t="n"/>
      <c r="P213" s="69" t="n"/>
      <c r="Q213" s="65" t="n"/>
      <c r="R213" s="69" t="n"/>
      <c r="S213" s="58" t="n"/>
      <c r="T213" s="69" t="n"/>
      <c r="U213" s="65" t="n"/>
      <c r="V213" s="65" t="n"/>
      <c r="W213" s="65" t="n"/>
    </row>
    <row r="214">
      <c r="A214" s="8" t="inlineStr">
        <is>
          <t>F</t>
        </is>
      </c>
      <c r="B214" s="9" t="inlineStr">
        <is>
          <t>400 IM</t>
        </is>
      </c>
      <c r="C214" s="9" t="n">
        <v>19</v>
      </c>
      <c r="D214" s="219" t="n">
        <v>2</v>
      </c>
      <c r="E214" s="41" t="inlineStr">
        <is>
          <t>4:43.06</t>
        </is>
      </c>
      <c r="F214" s="35">
        <f>IFERROR(__xludf.DUMMYFUNCTION("IF(
  REGEXMATCH(E214, "":""),
  60*VALUE(INDEX(SPLIT(E214, "":""),1,1)) + VALUE(INDEX(SPLIT(E214, "":""),1,2)),
  VALUE(E214)
)"),283.06)</f>
        <v/>
      </c>
      <c r="G214" s="35">
        <f>average(F212-F214,F213-F215)</f>
        <v/>
      </c>
      <c r="H214" s="35" t="n">
        <v>1.050000000000011</v>
      </c>
      <c r="I214" s="215">
        <f>C200</f>
        <v/>
      </c>
      <c r="J214" s="215">
        <f>C217</f>
        <v/>
      </c>
      <c r="K214" s="43">
        <f t="array" ref="K214">INDEX('Podium Target Times'!$C:$C, MATCH(A214&amp;B214, 'Podium Target Times'!$A:$A&amp;'Podium Target Times'!$B:$B, 0))
</f>
        <v/>
      </c>
      <c r="L214" s="12">
        <f>L216+G216</f>
        <v/>
      </c>
      <c r="M214" s="43">
        <f>TEXT(L214/86400, "mm:ss.00")</f>
        <v/>
      </c>
      <c r="N214" s="14">
        <f>IFERROR(__xludf.DUMMYFUNCTION("LET(
  gen,$A214, ev,$B214, t,$M214,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O214" s="65" t="n"/>
      <c r="P214" s="69" t="n"/>
      <c r="Q214" s="65" t="n"/>
      <c r="R214" s="69" t="n"/>
      <c r="S214" s="58" t="n"/>
      <c r="T214" s="69" t="n"/>
      <c r="U214" s="65" t="n"/>
      <c r="V214" s="65" t="n"/>
      <c r="W214" s="65" t="n"/>
    </row>
    <row r="215">
      <c r="A215" s="17" t="inlineStr">
        <is>
          <t>F</t>
        </is>
      </c>
      <c r="B215" s="18" t="inlineStr">
        <is>
          <t>400 IM</t>
        </is>
      </c>
      <c r="C215" s="18" t="n">
        <v>19</v>
      </c>
      <c r="D215" s="18" t="n">
        <v>3</v>
      </c>
      <c r="E215" s="46" t="inlineStr">
        <is>
          <t>4:43.69</t>
        </is>
      </c>
      <c r="F215" s="21">
        <f>IFERROR(__xludf.DUMMYFUNCTION("IF(
  REGEXMATCH(E215, "":""),
  60*VALUE(INDEX(SPLIT(E215, "":""),1,1)) + VALUE(INDEX(SPLIT(E215, "":""),1,2)),
  VALUE(E215)
)"),283.69)</f>
        <v/>
      </c>
      <c r="G215" s="21">
        <f>average(F212-F214,F213-F215)</f>
        <v/>
      </c>
      <c r="H215" s="21" t="n">
        <v>1.050000000000011</v>
      </c>
      <c r="I215" s="211">
        <f>C200</f>
        <v/>
      </c>
      <c r="J215" s="211">
        <f>C217</f>
        <v/>
      </c>
      <c r="K215" s="60">
        <f t="array" ref="K215">INDEX('Podium Target Times'!$C:$C, MATCH(A215&amp;B215, 'Podium Target Times'!$A:$A&amp;'Podium Target Times'!$B:$B, 0))
</f>
        <v/>
      </c>
      <c r="L215" s="24">
        <f>L216+G216</f>
        <v/>
      </c>
      <c r="M215" s="60">
        <f>TEXT(L215/86400, "mm:ss.00")</f>
        <v/>
      </c>
      <c r="N215" s="25">
        <f>IFERROR(__xludf.DUMMYFUNCTION("LET(
  gen,$A215, ev,$B215, t,$M215,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O215" s="65" t="n"/>
      <c r="P215" s="69" t="n"/>
      <c r="Q215" s="65" t="n"/>
      <c r="R215" s="69" t="n"/>
      <c r="S215" s="58" t="n"/>
      <c r="T215" s="69" t="n"/>
      <c r="U215" s="65" t="n"/>
      <c r="V215" s="65" t="n"/>
      <c r="W215" s="65" t="n"/>
    </row>
    <row r="216">
      <c r="A216" s="8" t="inlineStr">
        <is>
          <t>F</t>
        </is>
      </c>
      <c r="B216" s="9" t="inlineStr">
        <is>
          <t>400 IM</t>
        </is>
      </c>
      <c r="C216" s="9" t="n">
        <v>20</v>
      </c>
      <c r="D216" s="9" t="n">
        <v>3</v>
      </c>
      <c r="E216" s="41" t="inlineStr">
        <is>
          <t>4:43.24</t>
        </is>
      </c>
      <c r="F216" s="35">
        <f>IFERROR(__xludf.DUMMYFUNCTION("IF(
  REGEXMATCH(E216, "":""),
  60*VALUE(INDEX(SPLIT(E216, "":""),1,1)) + VALUE(INDEX(SPLIT(E216, "":""),1,2)),
  VALUE(E216)
)"),283.24)</f>
        <v/>
      </c>
      <c r="G216" s="35">
        <f>F215-F216</f>
        <v/>
      </c>
      <c r="H216" s="35" t="n">
        <v>0.4499999999999886</v>
      </c>
      <c r="I216" s="215">
        <f>C200</f>
        <v/>
      </c>
      <c r="J216" s="215">
        <f>C217</f>
        <v/>
      </c>
      <c r="K216" s="43">
        <f t="array" ref="K216">INDEX('Podium Target Times'!$C:$C, MATCH(A216&amp;B216, 'Podium Target Times'!$A:$A&amp;'Podium Target Times'!$B:$B, 0))
</f>
        <v/>
      </c>
      <c r="L216" s="12">
        <f>L217+G217</f>
        <v/>
      </c>
      <c r="M216" s="43">
        <f>TEXT(L216/86400, "mm:ss.00")</f>
        <v/>
      </c>
      <c r="N216" s="14">
        <f>IFERROR(__xludf.DUMMYFUNCTION("LET(
  gen,$A216, ev,$B216, t,$M216,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216" s="65" t="n"/>
      <c r="P216" s="69" t="n"/>
      <c r="Q216" s="65" t="n"/>
      <c r="R216" s="69" t="n"/>
      <c r="S216" s="58" t="n"/>
      <c r="T216" s="69" t="n"/>
      <c r="U216" s="65" t="n"/>
      <c r="V216" s="65" t="n"/>
      <c r="W216" s="65" t="n"/>
    </row>
    <row r="217">
      <c r="A217" s="17" t="inlineStr">
        <is>
          <t>F</t>
        </is>
      </c>
      <c r="B217" s="18" t="inlineStr">
        <is>
          <t>400 IM</t>
        </is>
      </c>
      <c r="C217" s="18" t="n">
        <v>21</v>
      </c>
      <c r="D217" s="221" t="n">
        <v>3</v>
      </c>
      <c r="E217" s="46" t="inlineStr">
        <is>
          <t>4:43.06</t>
        </is>
      </c>
      <c r="F217" s="21">
        <f>IFERROR(__xludf.DUMMYFUNCTION("IF(
  REGEXMATCH(E217, "":""),
  60*VALUE(INDEX(SPLIT(E217, "":""),1,1)) + VALUE(INDEX(SPLIT(E217, "":""),1,2)),
  VALUE(E217)
)"),283.06)</f>
        <v/>
      </c>
      <c r="G217" s="21">
        <f>F216-F217</f>
        <v/>
      </c>
      <c r="H217" s="21" t="n">
        <v>0.1800000000000068</v>
      </c>
      <c r="I217" s="211">
        <f>C200</f>
        <v/>
      </c>
      <c r="J217" s="211">
        <f>C217</f>
        <v/>
      </c>
      <c r="K217" s="60">
        <f t="array" ref="K217">INDEX('Podium Target Times'!$C:$C, MATCH(A217&amp;B217, 'Podium Target Times'!$A:$A&amp;'Podium Target Times'!$B:$B, 0))
</f>
        <v/>
      </c>
      <c r="L217" s="211">
        <f>K217</f>
        <v/>
      </c>
      <c r="M217" s="60">
        <f>TEXT(L217/86400, "mm:ss.00")</f>
        <v/>
      </c>
      <c r="N217" s="25">
        <f>IFERROR(__xludf.DUMMYFUNCTION("LET(
  gen,$A217, ev,$B217, t,$M217,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217" s="65" t="n"/>
      <c r="P217" s="69" t="n"/>
      <c r="Q217" s="65" t="n"/>
      <c r="R217" s="69" t="n"/>
      <c r="S217" s="58" t="n"/>
      <c r="T217" s="69" t="n"/>
      <c r="U217" s="65" t="n"/>
      <c r="V217" s="65" t="n"/>
      <c r="W217" s="65" t="n"/>
    </row>
    <row r="218">
      <c r="A218" s="8" t="inlineStr">
        <is>
          <t>F</t>
        </is>
      </c>
      <c r="B218" s="9" t="inlineStr">
        <is>
          <t>50 Back</t>
        </is>
      </c>
      <c r="C218" s="9" t="n">
        <v>15</v>
      </c>
      <c r="D218" s="9" t="n">
        <v>1</v>
      </c>
      <c r="E218" s="41" t="inlineStr">
        <is>
          <t>29.29</t>
        </is>
      </c>
      <c r="F218" s="35">
        <f>IFERROR(__xludf.DUMMYFUNCTION("IF(
  REGEXMATCH(E218, "":""),
  60*VALUE(INDEX(SPLIT(E218, "":""),1,1)) + VALUE(INDEX(SPLIT(E218, "":""),1,2)),
  VALUE(E218)
)"),29.29)</f>
        <v/>
      </c>
      <c r="G218" s="12" t="n">
        <v>0</v>
      </c>
      <c r="H218" s="12" t="n">
        <v>0</v>
      </c>
      <c r="I218" s="43">
        <f>C218</f>
        <v/>
      </c>
      <c r="J218" s="43">
        <f>C235</f>
        <v/>
      </c>
      <c r="K218" s="43">
        <f t="array" ref="K218">INDEX('Podium Target Times'!$C:$C, MATCH(A218&amp;B218, 'Podium Target Times'!$A:$A&amp;'Podium Target Times'!$B:$B, 0))
</f>
        <v/>
      </c>
      <c r="L218" s="12">
        <f>L219+G219</f>
        <v/>
      </c>
      <c r="M218" s="43">
        <f>TEXT(L218/86400, "mm:ss.00")</f>
        <v/>
      </c>
      <c r="N218" s="14">
        <f>IFERROR(__xludf.DUMMYFUNCTION("LET(
  gen,$A218, ev,$B218, t,$M218,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218" s="65" t="n"/>
      <c r="P218" s="69">
        <f>A218</f>
        <v/>
      </c>
      <c r="Q218" s="65">
        <f>B218</f>
        <v/>
      </c>
      <c r="R218" s="69">
        <f>C218</f>
        <v/>
      </c>
      <c r="S218" s="58">
        <f>M218</f>
        <v/>
      </c>
      <c r="T218" s="69">
        <f>N218</f>
        <v/>
      </c>
      <c r="U218" s="65" t="n"/>
      <c r="V218" s="65" t="n"/>
      <c r="W218" s="65" t="n"/>
    </row>
    <row r="219">
      <c r="A219" s="17" t="inlineStr">
        <is>
          <t>F</t>
        </is>
      </c>
      <c r="B219" s="18" t="inlineStr">
        <is>
          <t>50 Back</t>
        </is>
      </c>
      <c r="C219" s="18" t="n">
        <v>16</v>
      </c>
      <c r="D219" s="18" t="n">
        <v>1</v>
      </c>
      <c r="E219" s="46" t="inlineStr">
        <is>
          <t>28.78</t>
        </is>
      </c>
      <c r="F219" s="21">
        <f>IFERROR(__xludf.DUMMYFUNCTION("IF(
  REGEXMATCH(E219, "":""),
  60*VALUE(INDEX(SPLIT(E219, "":""),1,1)) + VALUE(INDEX(SPLIT(E219, "":""),1,2)),
  VALUE(E219)
)"),28.78)</f>
        <v/>
      </c>
      <c r="G219" s="21">
        <f>F218-F219</f>
        <v/>
      </c>
      <c r="H219" s="21" t="n">
        <v>0.509999999999998</v>
      </c>
      <c r="I219" s="211">
        <f>C218</f>
        <v/>
      </c>
      <c r="J219" s="211">
        <f>C235</f>
        <v/>
      </c>
      <c r="K219" s="60">
        <f t="array" ref="K219">INDEX('Podium Target Times'!$C:$C, MATCH(A219&amp;B219, 'Podium Target Times'!$A:$A&amp;'Podium Target Times'!$B:$B, 0))
</f>
        <v/>
      </c>
      <c r="L219" s="24">
        <f>L221+G221</f>
        <v/>
      </c>
      <c r="M219" s="60">
        <f>TEXT(L219/86400, "mm:ss.00")</f>
        <v/>
      </c>
      <c r="N219" s="25">
        <f>IFERROR(__xludf.DUMMYFUNCTION("LET(
  gen,$A219, ev,$B219, t,$M219,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O219" s="65" t="n"/>
      <c r="P219" s="69">
        <f>A219</f>
        <v/>
      </c>
      <c r="Q219" s="65">
        <f>B219</f>
        <v/>
      </c>
      <c r="R219" s="69">
        <f>C219</f>
        <v/>
      </c>
      <c r="S219" s="58">
        <f>M219</f>
        <v/>
      </c>
      <c r="T219" s="69">
        <f>N219</f>
        <v/>
      </c>
      <c r="U219" s="65" t="n"/>
      <c r="V219" s="65" t="n"/>
      <c r="W219" s="65" t="n"/>
    </row>
    <row r="220">
      <c r="A220" s="8" t="inlineStr">
        <is>
          <t>F</t>
        </is>
      </c>
      <c r="B220" s="9" t="inlineStr">
        <is>
          <t>50 Back</t>
        </is>
      </c>
      <c r="C220" s="9" t="n">
        <v>16</v>
      </c>
      <c r="D220" s="219" t="n">
        <v>2</v>
      </c>
      <c r="E220" s="41" t="inlineStr">
        <is>
          <t>29.02</t>
        </is>
      </c>
      <c r="F220" s="35">
        <f>IFERROR(__xludf.DUMMYFUNCTION("IF(
  REGEXMATCH(E220, "":""),
  60*VALUE(INDEX(SPLIT(E220, "":""),1,1)) + VALUE(INDEX(SPLIT(E220, "":""),1,2)),
  VALUE(E220)
)"),29.02)</f>
        <v/>
      </c>
      <c r="G220" s="35">
        <f>F218-F219</f>
        <v/>
      </c>
      <c r="H220" s="35" t="n">
        <v>0.509999999999998</v>
      </c>
      <c r="I220" s="215">
        <f>C218</f>
        <v/>
      </c>
      <c r="J220" s="215">
        <f>C235</f>
        <v/>
      </c>
      <c r="K220" s="43">
        <f t="array" ref="K220">INDEX('Podium Target Times'!$C:$C, MATCH(A220&amp;B220, 'Podium Target Times'!$A:$A&amp;'Podium Target Times'!$B:$B, 0))
</f>
        <v/>
      </c>
      <c r="L220" s="12">
        <f>L221+G221</f>
        <v/>
      </c>
      <c r="M220" s="43">
        <f>TEXT(L220/86400, "mm:ss.00")</f>
        <v/>
      </c>
      <c r="N220" s="14">
        <f>IFERROR(__xludf.DUMMYFUNCTION("LET(
  gen,$A220, ev,$B220, t,$M220,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O220" s="65" t="n"/>
      <c r="P220" s="69">
        <f>A221</f>
        <v/>
      </c>
      <c r="Q220" s="65">
        <f>B221</f>
        <v/>
      </c>
      <c r="R220" s="69">
        <f>C221</f>
        <v/>
      </c>
      <c r="S220" s="58">
        <f>M221</f>
        <v/>
      </c>
      <c r="T220" s="69">
        <f>N221</f>
        <v/>
      </c>
      <c r="U220" s="65" t="n"/>
      <c r="V220" s="65" t="n"/>
      <c r="W220" s="65" t="n"/>
    </row>
    <row r="221">
      <c r="A221" s="17" t="inlineStr">
        <is>
          <t>F</t>
        </is>
      </c>
      <c r="B221" s="18" t="inlineStr">
        <is>
          <t>50 Back</t>
        </is>
      </c>
      <c r="C221" s="18" t="n">
        <v>17</v>
      </c>
      <c r="D221" s="18" t="n">
        <v>1</v>
      </c>
      <c r="E221" s="46" t="inlineStr">
        <is>
          <t>28.52</t>
        </is>
      </c>
      <c r="F221" s="21">
        <f>IFERROR(__xludf.DUMMYFUNCTION("IF(
  REGEXMATCH(E221, "":""),
  60*VALUE(INDEX(SPLIT(E221, "":""),1,1)) + VALUE(INDEX(SPLIT(E221, "":""),1,2)),
  VALUE(E221)
)"),28.52)</f>
        <v/>
      </c>
      <c r="G221" s="21">
        <f>average(F219-F221,F220-F222)</f>
        <v/>
      </c>
      <c r="H221" s="21" t="n">
        <v>0.2599999999999998</v>
      </c>
      <c r="I221" s="211">
        <f>C218</f>
        <v/>
      </c>
      <c r="J221" s="211">
        <f>C235</f>
        <v/>
      </c>
      <c r="K221" s="60">
        <f t="array" ref="K221">INDEX('Podium Target Times'!$C:$C, MATCH(A221&amp;B221, 'Podium Target Times'!$A:$A&amp;'Podium Target Times'!$B:$B, 0))
</f>
        <v/>
      </c>
      <c r="L221" s="24">
        <f>L224+G224</f>
        <v/>
      </c>
      <c r="M221" s="60">
        <f>TEXT(L221/86400, "mm:ss.00")</f>
        <v/>
      </c>
      <c r="N221" s="25">
        <f>IFERROR(__xludf.DUMMYFUNCTION("LET(
  gen,$A221, ev,$B221, t,$M221,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
      </c>
      <c r="O221" s="65" t="n"/>
      <c r="P221" s="69">
        <f>A224</f>
        <v/>
      </c>
      <c r="Q221" s="65">
        <f>B224</f>
        <v/>
      </c>
      <c r="R221" s="69">
        <f>C224</f>
        <v/>
      </c>
      <c r="S221" s="58">
        <f>M224</f>
        <v/>
      </c>
      <c r="T221" s="69">
        <f>N224</f>
        <v/>
      </c>
      <c r="U221" s="65" t="n"/>
      <c r="V221" s="65" t="n"/>
      <c r="W221" s="65" t="n"/>
    </row>
    <row r="222">
      <c r="A222" s="8" t="inlineStr">
        <is>
          <t>F</t>
        </is>
      </c>
      <c r="B222" s="9" t="inlineStr">
        <is>
          <t>50 Back</t>
        </is>
      </c>
      <c r="C222" s="9" t="n">
        <v>17</v>
      </c>
      <c r="D222" s="9" t="n">
        <v>2</v>
      </c>
      <c r="E222" s="41" t="inlineStr">
        <is>
          <t>28.76</t>
        </is>
      </c>
      <c r="F222" s="35">
        <f>IFERROR(__xludf.DUMMYFUNCTION("IF(
  REGEXMATCH(E222, "":""),
  60*VALUE(INDEX(SPLIT(E222, "":""),1,1)) + VALUE(INDEX(SPLIT(E222, "":""),1,2)),
  VALUE(E222)
)"),28.76)</f>
        <v/>
      </c>
      <c r="G222" s="35">
        <f>average(F219-F221,F220-F222)</f>
        <v/>
      </c>
      <c r="H222" s="35" t="n">
        <v>0.2599999999999998</v>
      </c>
      <c r="I222" s="215">
        <f>C218</f>
        <v/>
      </c>
      <c r="J222" s="215">
        <f>C235</f>
        <v/>
      </c>
      <c r="K222" s="43">
        <f t="array" ref="K222">INDEX('Podium Target Times'!$C:$C, MATCH(A222&amp;B222, 'Podium Target Times'!$A:$A&amp;'Podium Target Times'!$B:$B, 0))
</f>
        <v/>
      </c>
      <c r="L222" s="12">
        <f>L224+G224</f>
        <v/>
      </c>
      <c r="M222" s="43">
        <f>TEXT(L222/86400, "mm:ss.00")</f>
        <v/>
      </c>
      <c r="N222" s="14">
        <f>IFERROR(__xludf.DUMMYFUNCTION("LET(
  gen,$A222, ev,$B222, t,$M222,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
      </c>
      <c r="O222" s="65" t="n"/>
      <c r="P222" s="69">
        <f>A227</f>
        <v/>
      </c>
      <c r="Q222" s="65">
        <f>B227</f>
        <v/>
      </c>
      <c r="R222" s="69">
        <f>C227</f>
        <v/>
      </c>
      <c r="S222" s="58">
        <f>M227</f>
        <v/>
      </c>
      <c r="T222" s="69">
        <f>N227</f>
        <v/>
      </c>
      <c r="U222" s="65" t="n"/>
      <c r="V222" s="65" t="n"/>
      <c r="W222" s="65" t="n"/>
    </row>
    <row r="223">
      <c r="A223" s="17" t="inlineStr">
        <is>
          <t>F</t>
        </is>
      </c>
      <c r="B223" s="18" t="inlineStr">
        <is>
          <t>50 Back</t>
        </is>
      </c>
      <c r="C223" s="18" t="n">
        <v>17</v>
      </c>
      <c r="D223" s="18" t="n">
        <v>3</v>
      </c>
      <c r="E223" s="46" t="inlineStr">
        <is>
          <t>28.90</t>
        </is>
      </c>
      <c r="F223" s="21">
        <f>IFERROR(__xludf.DUMMYFUNCTION("IF(
  REGEXMATCH(E223, "":""),
  60*VALUE(INDEX(SPLIT(E223, "":""),1,1)) + VALUE(INDEX(SPLIT(E223, "":""),1,2)),
  VALUE(E223)
)"),28.9)</f>
        <v/>
      </c>
      <c r="G223" s="21">
        <f>average(F219-F221,F220-F222)</f>
        <v/>
      </c>
      <c r="H223" s="21" t="n">
        <v>0.2599999999999998</v>
      </c>
      <c r="I223" s="211">
        <f>C218</f>
        <v/>
      </c>
      <c r="J223" s="211">
        <f>C235</f>
        <v/>
      </c>
      <c r="K223" s="60">
        <f t="array" ref="K223">INDEX('Podium Target Times'!$C:$C, MATCH(A223&amp;B223, 'Podium Target Times'!$A:$A&amp;'Podium Target Times'!$B:$B, 0))
</f>
        <v/>
      </c>
      <c r="L223" s="24">
        <f>L224+G224</f>
        <v/>
      </c>
      <c r="M223" s="60">
        <f>TEXT(L223/86400, "mm:ss.00")</f>
        <v/>
      </c>
      <c r="N223" s="25">
        <f>IFERROR(__xludf.DUMMYFUNCTION("LET(
  gen,$A223, ev,$B223, t,$M223,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
      </c>
      <c r="O223" s="65" t="n"/>
      <c r="P223" s="69">
        <f>A230</f>
        <v/>
      </c>
      <c r="Q223" s="65">
        <f>B230</f>
        <v/>
      </c>
      <c r="R223" s="69">
        <f>C230</f>
        <v/>
      </c>
      <c r="S223" s="58">
        <f>M230</f>
        <v/>
      </c>
      <c r="T223" s="69">
        <f>N230</f>
        <v/>
      </c>
      <c r="U223" s="65" t="n"/>
      <c r="V223" s="65" t="n"/>
      <c r="W223" s="65" t="n"/>
    </row>
    <row r="224">
      <c r="A224" s="8" t="inlineStr">
        <is>
          <t>F</t>
        </is>
      </c>
      <c r="B224" s="9" t="inlineStr">
        <is>
          <t>50 Back</t>
        </is>
      </c>
      <c r="C224" s="9" t="n">
        <v>18</v>
      </c>
      <c r="D224" s="9" t="n">
        <v>1</v>
      </c>
      <c r="E224" s="41" t="inlineStr">
        <is>
          <t>28.36</t>
        </is>
      </c>
      <c r="F224" s="35">
        <f>IFERROR(__xludf.DUMMYFUNCTION("IF(
  REGEXMATCH(E224, "":""),
  60*VALUE(INDEX(SPLIT(E224, "":""),1,1)) + VALUE(INDEX(SPLIT(E224, "":""),1,2)),
  VALUE(E224)
)"),28.36)</f>
        <v/>
      </c>
      <c r="G224" s="35">
        <f>average(F221-F224,F222-F225,F223-F226)</f>
        <v/>
      </c>
      <c r="H224" s="35" t="n">
        <v>0.1633333333333328</v>
      </c>
      <c r="I224" s="215">
        <f>C218</f>
        <v/>
      </c>
      <c r="J224" s="215">
        <f>C235</f>
        <v/>
      </c>
      <c r="K224" s="43">
        <f t="array" ref="K224">INDEX('Podium Target Times'!$C:$C, MATCH(A224&amp;B224, 'Podium Target Times'!$A:$A&amp;'Podium Target Times'!$B:$B, 0))
</f>
        <v/>
      </c>
      <c r="L224" s="12">
        <f>L227+G227</f>
        <v/>
      </c>
      <c r="M224" s="43">
        <f>TEXT(L224/86400, "mm:ss.00")</f>
        <v/>
      </c>
      <c r="N224" s="14">
        <f>IFERROR(__xludf.DUMMYFUNCTION("LET(
  gen,$A224, ev,$B224, t,$M224,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O224" s="65" t="n"/>
      <c r="P224" s="69">
        <f>A232</f>
        <v/>
      </c>
      <c r="Q224" s="65">
        <f>B232</f>
        <v/>
      </c>
      <c r="R224" s="69">
        <f>C232</f>
        <v/>
      </c>
      <c r="S224" s="58">
        <f>M232</f>
        <v/>
      </c>
      <c r="T224" s="69">
        <f>N232</f>
        <v/>
      </c>
      <c r="U224" s="65" t="n"/>
      <c r="V224" s="65" t="n"/>
      <c r="W224" s="65" t="n"/>
    </row>
    <row r="225">
      <c r="A225" s="17" t="inlineStr">
        <is>
          <t>F</t>
        </is>
      </c>
      <c r="B225" s="18" t="inlineStr">
        <is>
          <t>50 Back</t>
        </is>
      </c>
      <c r="C225" s="18" t="n">
        <v>18</v>
      </c>
      <c r="D225" s="221" t="n">
        <v>2</v>
      </c>
      <c r="E225" s="46" t="inlineStr">
        <is>
          <t>28.60</t>
        </is>
      </c>
      <c r="F225" s="21">
        <f>IFERROR(__xludf.DUMMYFUNCTION("IF(
  REGEXMATCH(E225, "":""),
  60*VALUE(INDEX(SPLIT(E225, "":""),1,1)) + VALUE(INDEX(SPLIT(E225, "":""),1,2)),
  VALUE(E225)
)"),28.6)</f>
        <v/>
      </c>
      <c r="G225" s="21">
        <f>average(F221-F224,F222-F225,F223-F226)</f>
        <v/>
      </c>
      <c r="H225" s="21" t="n">
        <v>0.1633333333333328</v>
      </c>
      <c r="I225" s="211">
        <f>C218</f>
        <v/>
      </c>
      <c r="J225" s="211">
        <f>C235</f>
        <v/>
      </c>
      <c r="K225" s="60">
        <f t="array" ref="K225">INDEX('Podium Target Times'!$C:$C, MATCH(A225&amp;B225, 'Podium Target Times'!$A:$A&amp;'Podium Target Times'!$B:$B, 0))
</f>
        <v/>
      </c>
      <c r="L225" s="24">
        <f>L227+G227</f>
        <v/>
      </c>
      <c r="M225" s="60">
        <f>TEXT(L225/86400, "mm:ss.00")</f>
        <v/>
      </c>
      <c r="N225" s="25">
        <f>IFERROR(__xludf.DUMMYFUNCTION("LET(
  gen,$A225, ev,$B225, t,$M225,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O225" s="65" t="n"/>
      <c r="P225" s="69">
        <f>A234</f>
        <v/>
      </c>
      <c r="Q225" s="65">
        <f>B234</f>
        <v/>
      </c>
      <c r="R225" s="69">
        <f>C234</f>
        <v/>
      </c>
      <c r="S225" s="58">
        <f>M234</f>
        <v/>
      </c>
      <c r="T225" s="69">
        <f>N234</f>
        <v/>
      </c>
      <c r="U225" s="65" t="n"/>
      <c r="V225" s="65" t="n"/>
      <c r="W225" s="65" t="n"/>
    </row>
    <row r="226">
      <c r="A226" s="8" t="inlineStr">
        <is>
          <t>F</t>
        </is>
      </c>
      <c r="B226" s="9" t="inlineStr">
        <is>
          <t>50 Back</t>
        </is>
      </c>
      <c r="C226" s="9" t="n">
        <v>18</v>
      </c>
      <c r="D226" s="9" t="n">
        <v>3</v>
      </c>
      <c r="E226" s="41" t="inlineStr">
        <is>
          <t>28.73</t>
        </is>
      </c>
      <c r="F226" s="35">
        <f>IFERROR(__xludf.DUMMYFUNCTION("IF(
  REGEXMATCH(E226, "":""),
  60*VALUE(INDEX(SPLIT(E226, "":""),1,1)) + VALUE(INDEX(SPLIT(E226, "":""),1,2)),
  VALUE(E226)
)"),28.73)</f>
        <v/>
      </c>
      <c r="G226" s="35">
        <f>average(F221-F224,F222-F225,F223-F226)</f>
        <v/>
      </c>
      <c r="H226" s="35" t="n">
        <v>0.1633333333333328</v>
      </c>
      <c r="I226" s="215">
        <f>C218</f>
        <v/>
      </c>
      <c r="J226" s="215">
        <f>C235</f>
        <v/>
      </c>
      <c r="K226" s="43">
        <f t="array" ref="K226">INDEX('Podium Target Times'!$C:$C, MATCH(A226&amp;B226, 'Podium Target Times'!$A:$A&amp;'Podium Target Times'!$B:$B, 0))
</f>
        <v/>
      </c>
      <c r="L226" s="12">
        <f>L227+G227</f>
        <v/>
      </c>
      <c r="M226" s="43">
        <f>TEXT(L226/86400, "mm:ss.00")</f>
        <v/>
      </c>
      <c r="N226" s="14">
        <f>IFERROR(__xludf.DUMMYFUNCTION("LET(
  gen,$A226, ev,$B226, t,$M226,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O226" s="65" t="n"/>
      <c r="P226" s="69">
        <f>A235</f>
        <v/>
      </c>
      <c r="Q226" s="65">
        <f>B235</f>
        <v/>
      </c>
      <c r="R226" s="69">
        <f>C235</f>
        <v/>
      </c>
      <c r="S226" s="58">
        <f>M235</f>
        <v/>
      </c>
      <c r="T226" s="69">
        <f>N235</f>
        <v/>
      </c>
      <c r="U226" s="65" t="n"/>
      <c r="V226" s="65" t="n"/>
      <c r="W226" s="65" t="n"/>
    </row>
    <row r="227">
      <c r="A227" s="17" t="inlineStr">
        <is>
          <t>F</t>
        </is>
      </c>
      <c r="B227" s="18" t="inlineStr">
        <is>
          <t>50 Back</t>
        </is>
      </c>
      <c r="C227" s="18" t="n">
        <v>19</v>
      </c>
      <c r="D227" s="18" t="n">
        <v>1</v>
      </c>
      <c r="E227" s="46" t="inlineStr">
        <is>
          <t>28.22</t>
        </is>
      </c>
      <c r="F227" s="21">
        <f>IFERROR(__xludf.DUMMYFUNCTION("IF(
  REGEXMATCH(E227, "":""),
  60*VALUE(INDEX(SPLIT(E227, "":""),1,1)) + VALUE(INDEX(SPLIT(E227, "":""),1,2)),
  VALUE(E227)
)"),28.22)</f>
        <v/>
      </c>
      <c r="G227" s="21">
        <f>average(F224-F227,F225-F228,F226-F229)</f>
        <v/>
      </c>
      <c r="H227" s="21" t="n">
        <v>0.1400000000000006</v>
      </c>
      <c r="I227" s="211">
        <f>C218</f>
        <v/>
      </c>
      <c r="J227" s="211">
        <f>C235</f>
        <v/>
      </c>
      <c r="K227" s="60">
        <f t="array" ref="K227">INDEX('Podium Target Times'!$C:$C, MATCH(A227&amp;B227, 'Podium Target Times'!$A:$A&amp;'Podium Target Times'!$B:$B, 0))
</f>
        <v/>
      </c>
      <c r="L227" s="24">
        <f>L230+G230</f>
        <v/>
      </c>
      <c r="M227" s="60">
        <f>TEXT(L227/86400, "mm:ss.00")</f>
        <v/>
      </c>
      <c r="N227" s="25">
        <f>IFERROR(__xludf.DUMMYFUNCTION("LET(
  gen,$A227, ev,$B227, t,$M227,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O227" s="65" t="n"/>
      <c r="P227" s="69" t="n"/>
      <c r="Q227" s="65" t="n"/>
      <c r="R227" s="69" t="n"/>
      <c r="S227" s="58" t="n"/>
      <c r="T227" s="69" t="n"/>
      <c r="U227" s="65" t="n"/>
      <c r="V227" s="65" t="n"/>
      <c r="W227" s="65" t="n"/>
    </row>
    <row r="228">
      <c r="A228" s="8" t="inlineStr">
        <is>
          <t>F</t>
        </is>
      </c>
      <c r="B228" s="9" t="inlineStr">
        <is>
          <t>50 Back</t>
        </is>
      </c>
      <c r="C228" s="9" t="n">
        <v>19</v>
      </c>
      <c r="D228" s="9" t="n">
        <v>2</v>
      </c>
      <c r="E228" s="41" t="inlineStr">
        <is>
          <t>28.46</t>
        </is>
      </c>
      <c r="F228" s="35">
        <f>IFERROR(__xludf.DUMMYFUNCTION("IF(
  REGEXMATCH(E228, "":""),
  60*VALUE(INDEX(SPLIT(E228, "":""),1,1)) + VALUE(INDEX(SPLIT(E228, "":""),1,2)),
  VALUE(E228)
)"),28.46)</f>
        <v/>
      </c>
      <c r="G228" s="35">
        <f>average(F224-F227,F225-F228,F226-F229)</f>
        <v/>
      </c>
      <c r="H228" s="35" t="n">
        <v>0.1400000000000006</v>
      </c>
      <c r="I228" s="215">
        <f>C218</f>
        <v/>
      </c>
      <c r="J228" s="215">
        <f>C235</f>
        <v/>
      </c>
      <c r="K228" s="43">
        <f t="array" ref="K228">INDEX('Podium Target Times'!$C:$C, MATCH(A228&amp;B228, 'Podium Target Times'!$A:$A&amp;'Podium Target Times'!$B:$B, 0))
</f>
        <v/>
      </c>
      <c r="L228" s="12">
        <f>L230+G230</f>
        <v/>
      </c>
      <c r="M228" s="43">
        <f>TEXT(L228/86400, "mm:ss.00")</f>
        <v/>
      </c>
      <c r="N228" s="14">
        <f>IFERROR(__xludf.DUMMYFUNCTION("LET(
  gen,$A228, ev,$B228, t,$M228,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O228" s="65" t="n"/>
      <c r="P228" s="69" t="n"/>
      <c r="Q228" s="65" t="n"/>
      <c r="R228" s="69" t="n"/>
      <c r="S228" s="58" t="n"/>
      <c r="T228" s="69" t="n"/>
      <c r="U228" s="65" t="n"/>
      <c r="V228" s="65" t="n"/>
      <c r="W228" s="65" t="n"/>
    </row>
    <row r="229">
      <c r="A229" s="17" t="inlineStr">
        <is>
          <t>F</t>
        </is>
      </c>
      <c r="B229" s="18" t="inlineStr">
        <is>
          <t>50 Back</t>
        </is>
      </c>
      <c r="C229" s="18" t="n">
        <v>19</v>
      </c>
      <c r="D229" s="18" t="n">
        <v>3</v>
      </c>
      <c r="E229" s="46" t="inlineStr">
        <is>
          <t>28.59</t>
        </is>
      </c>
      <c r="F229" s="21">
        <f>IFERROR(__xludf.DUMMYFUNCTION("IF(
  REGEXMATCH(E229, "":""),
  60*VALUE(INDEX(SPLIT(E229, "":""),1,1)) + VALUE(INDEX(SPLIT(E229, "":""),1,2)),
  VALUE(E229)
)"),28.59)</f>
        <v/>
      </c>
      <c r="G229" s="21">
        <f>average(F224-F227,F225-F228,F226-F229)</f>
        <v/>
      </c>
      <c r="H229" s="21" t="n">
        <v>0.1400000000000006</v>
      </c>
      <c r="I229" s="211">
        <f>C218</f>
        <v/>
      </c>
      <c r="J229" s="211">
        <f>C235</f>
        <v/>
      </c>
      <c r="K229" s="60">
        <f t="array" ref="K229">INDEX('Podium Target Times'!$C:$C, MATCH(A229&amp;B229, 'Podium Target Times'!$A:$A&amp;'Podium Target Times'!$B:$B, 0))
</f>
        <v/>
      </c>
      <c r="L229" s="24">
        <f>L230+G230</f>
        <v/>
      </c>
      <c r="M229" s="60">
        <f>TEXT(L229/86400, "mm:ss.00")</f>
        <v/>
      </c>
      <c r="N229" s="25">
        <f>IFERROR(__xludf.DUMMYFUNCTION("LET(
  gen,$A229, ev,$B229, t,$M229,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O229" s="65" t="n"/>
      <c r="P229" s="69" t="n"/>
      <c r="Q229" s="65" t="n"/>
      <c r="R229" s="69" t="n"/>
      <c r="S229" s="58" t="n"/>
      <c r="T229" s="69" t="n"/>
      <c r="U229" s="65" t="n"/>
      <c r="V229" s="65" t="n"/>
      <c r="W229" s="65" t="n"/>
    </row>
    <row r="230">
      <c r="A230" s="8" t="inlineStr">
        <is>
          <t>F</t>
        </is>
      </c>
      <c r="B230" s="9" t="inlineStr">
        <is>
          <t>50 Back</t>
        </is>
      </c>
      <c r="C230" s="9" t="n">
        <v>20</v>
      </c>
      <c r="D230" s="219" t="n">
        <v>2</v>
      </c>
      <c r="E230" s="41" t="inlineStr">
        <is>
          <t>28.32</t>
        </is>
      </c>
      <c r="F230" s="35">
        <f>IFERROR(__xludf.DUMMYFUNCTION("IF(
  REGEXMATCH(E230, "":""),
  60*VALUE(INDEX(SPLIT(E230, "":""),1,1)) + VALUE(INDEX(SPLIT(E230, "":""),1,2)),
  VALUE(E230)
)"),28.32)</f>
        <v/>
      </c>
      <c r="G230" s="35">
        <f>average(F228-F230,F229-F231)</f>
        <v/>
      </c>
      <c r="H230" s="35" t="n">
        <v>0.1349999999999998</v>
      </c>
      <c r="I230" s="215">
        <f>C218</f>
        <v/>
      </c>
      <c r="J230" s="215">
        <f>C235</f>
        <v/>
      </c>
      <c r="K230" s="43">
        <f t="array" ref="K230">INDEX('Podium Target Times'!$C:$C, MATCH(A230&amp;B230, 'Podium Target Times'!$A:$A&amp;'Podium Target Times'!$B:$B, 0))
</f>
        <v/>
      </c>
      <c r="L230" s="12">
        <f>L232+G232</f>
        <v/>
      </c>
      <c r="M230" s="43">
        <f>TEXT(L230/86400, "mm:ss.00")</f>
        <v/>
      </c>
      <c r="N230" s="14">
        <f>IFERROR(__xludf.DUMMYFUNCTION("LET(
  gen,$A230, ev,$B230, t,$M230,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230" s="65" t="n"/>
      <c r="P230" s="69" t="n"/>
      <c r="Q230" s="65" t="n"/>
      <c r="R230" s="69" t="n"/>
      <c r="S230" s="58" t="n"/>
      <c r="T230" s="69" t="n"/>
      <c r="U230" s="65" t="n"/>
      <c r="V230" s="65" t="n"/>
      <c r="W230" s="65" t="n"/>
    </row>
    <row r="231">
      <c r="A231" s="17" t="inlineStr">
        <is>
          <t>F</t>
        </is>
      </c>
      <c r="B231" s="18" t="inlineStr">
        <is>
          <t>50 Back</t>
        </is>
      </c>
      <c r="C231" s="18" t="n">
        <v>20</v>
      </c>
      <c r="D231" s="18" t="n">
        <v>3</v>
      </c>
      <c r="E231" s="46" t="inlineStr">
        <is>
          <t>28.46</t>
        </is>
      </c>
      <c r="F231" s="21">
        <f>IFERROR(__xludf.DUMMYFUNCTION("IF(
  REGEXMATCH(E231, "":""),
  60*VALUE(INDEX(SPLIT(E231, "":""),1,1)) + VALUE(INDEX(SPLIT(E231, "":""),1,2)),
  VALUE(E231)
)"),28.46)</f>
        <v/>
      </c>
      <c r="G231" s="21">
        <f>average(F228-F230,F229-F231)</f>
        <v/>
      </c>
      <c r="H231" s="21" t="n">
        <v>0.1349999999999998</v>
      </c>
      <c r="I231" s="211">
        <f>C218</f>
        <v/>
      </c>
      <c r="J231" s="211">
        <f>C235</f>
        <v/>
      </c>
      <c r="K231" s="60">
        <f t="array" ref="K231">INDEX('Podium Target Times'!$C:$C, MATCH(A231&amp;B231, 'Podium Target Times'!$A:$A&amp;'Podium Target Times'!$B:$B, 0))
</f>
        <v/>
      </c>
      <c r="L231" s="24">
        <f>L232+G232</f>
        <v/>
      </c>
      <c r="M231" s="60">
        <f>TEXT(L231/86400, "mm:ss.00")</f>
        <v/>
      </c>
      <c r="N231" s="25">
        <f>IFERROR(__xludf.DUMMYFUNCTION("LET(
  gen,$A231, ev,$B231, t,$M231,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231" s="65" t="n"/>
      <c r="P231" s="69" t="n"/>
      <c r="Q231" s="65" t="n"/>
      <c r="R231" s="69" t="n"/>
      <c r="S231" s="58" t="n"/>
      <c r="T231" s="69" t="n"/>
      <c r="U231" s="65" t="n"/>
      <c r="V231" s="65" t="n"/>
      <c r="W231" s="65" t="n"/>
    </row>
    <row r="232">
      <c r="A232" s="8" t="inlineStr">
        <is>
          <t>F</t>
        </is>
      </c>
      <c r="B232" s="9" t="inlineStr">
        <is>
          <t>50 Back</t>
        </is>
      </c>
      <c r="C232" s="9" t="n">
        <v>21</v>
      </c>
      <c r="D232" s="9" t="n">
        <v>2</v>
      </c>
      <c r="E232" s="41" t="inlineStr">
        <is>
          <t>28.22</t>
        </is>
      </c>
      <c r="F232" s="35">
        <f>IFERROR(__xludf.DUMMYFUNCTION("IF(
  REGEXMATCH(E232, "":""),
  60*VALUE(INDEX(SPLIT(E232, "":""),1,1)) + VALUE(INDEX(SPLIT(E232, "":""),1,2)),
  VALUE(E232)
)"),28.22)</f>
        <v/>
      </c>
      <c r="G232" s="35">
        <f>average(F230-F232,F231-F233)</f>
        <v/>
      </c>
      <c r="H232" s="35" t="n">
        <v>0.1050000000000004</v>
      </c>
      <c r="I232" s="215">
        <f>C218</f>
        <v/>
      </c>
      <c r="J232" s="215">
        <f>C235</f>
        <v/>
      </c>
      <c r="K232" s="43">
        <f t="array" ref="K232">INDEX('Podium Target Times'!$C:$C, MATCH(A232&amp;B232, 'Podium Target Times'!$A:$A&amp;'Podium Target Times'!$B:$B, 0))
</f>
        <v/>
      </c>
      <c r="L232" s="12">
        <f>L234+G234</f>
        <v/>
      </c>
      <c r="M232" s="43">
        <f>TEXT(L232/86400, "mm:ss.00")</f>
        <v/>
      </c>
      <c r="N232" s="14">
        <f>IFERROR(__xludf.DUMMYFUNCTION("LET(
  gen,$A232, ev,$B232, t,$M232,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
      </c>
      <c r="O232" s="65" t="n"/>
      <c r="P232" s="69" t="n"/>
      <c r="Q232" s="65" t="n"/>
      <c r="R232" s="69" t="n"/>
      <c r="S232" s="58" t="n"/>
      <c r="T232" s="69" t="n"/>
      <c r="U232" s="65" t="n"/>
      <c r="V232" s="65" t="n"/>
      <c r="W232" s="65" t="n"/>
    </row>
    <row r="233">
      <c r="A233" s="17" t="inlineStr">
        <is>
          <t>F</t>
        </is>
      </c>
      <c r="B233" s="18" t="inlineStr">
        <is>
          <t>50 Back</t>
        </is>
      </c>
      <c r="C233" s="18" t="n">
        <v>21</v>
      </c>
      <c r="D233" s="18" t="n">
        <v>3</v>
      </c>
      <c r="E233" s="46" t="inlineStr">
        <is>
          <t>28.35</t>
        </is>
      </c>
      <c r="F233" s="21">
        <f>IFERROR(__xludf.DUMMYFUNCTION("IF(
  REGEXMATCH(E233, "":""),
  60*VALUE(INDEX(SPLIT(E233, "":""),1,1)) + VALUE(INDEX(SPLIT(E233, "":""),1,2)),
  VALUE(E233)
)"),28.35)</f>
        <v/>
      </c>
      <c r="G233" s="21">
        <f>average(F230-F232,F231-F233)</f>
        <v/>
      </c>
      <c r="H233" s="21" t="n">
        <v>0.1050000000000004</v>
      </c>
      <c r="I233" s="211">
        <f>C218</f>
        <v/>
      </c>
      <c r="J233" s="211">
        <f>C235</f>
        <v/>
      </c>
      <c r="K233" s="60">
        <f t="array" ref="K233">INDEX('Podium Target Times'!$C:$C, MATCH(A233&amp;B233, 'Podium Target Times'!$A:$A&amp;'Podium Target Times'!$B:$B, 0))
</f>
        <v/>
      </c>
      <c r="L233" s="24">
        <f>L234+G234</f>
        <v/>
      </c>
      <c r="M233" s="60">
        <f>TEXT(L233/86400, "mm:ss.00")</f>
        <v/>
      </c>
      <c r="N233" s="25">
        <f>IFERROR(__xludf.DUMMYFUNCTION("LET(
  gen,$A233, ev,$B233, t,$M233,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
      </c>
      <c r="O233" s="65" t="n"/>
      <c r="P233" s="69" t="n"/>
      <c r="Q233" s="65" t="n"/>
      <c r="R233" s="69" t="n"/>
      <c r="S233" s="58" t="n"/>
      <c r="T233" s="69" t="n"/>
      <c r="U233" s="65" t="n"/>
      <c r="V233" s="65" t="n"/>
      <c r="W233" s="65" t="n"/>
    </row>
    <row r="234">
      <c r="A234" s="8" t="inlineStr">
        <is>
          <t>F</t>
        </is>
      </c>
      <c r="B234" s="9" t="inlineStr">
        <is>
          <t>50 Back</t>
        </is>
      </c>
      <c r="C234" s="9" t="n">
        <v>22</v>
      </c>
      <c r="D234" s="9" t="n">
        <v>3</v>
      </c>
      <c r="E234" s="41" t="inlineStr">
        <is>
          <t>28.28</t>
        </is>
      </c>
      <c r="F234" s="35">
        <f>IFERROR(__xludf.DUMMYFUNCTION("IF(
  REGEXMATCH(E234, "":""),
  60*VALUE(INDEX(SPLIT(E234, "":""),1,1)) + VALUE(INDEX(SPLIT(E234, "":""),1,2)),
  VALUE(E234)
)"),28.28)</f>
        <v/>
      </c>
      <c r="G234" s="35">
        <f>F233-F234</f>
        <v/>
      </c>
      <c r="H234" s="35" t="n">
        <v>0.07000000000000028</v>
      </c>
      <c r="I234" s="215">
        <f>C218</f>
        <v/>
      </c>
      <c r="J234" s="215">
        <f>C235</f>
        <v/>
      </c>
      <c r="K234" s="43">
        <f t="array" ref="K234">INDEX('Podium Target Times'!$C:$C, MATCH(A234&amp;B234, 'Podium Target Times'!$A:$A&amp;'Podium Target Times'!$B:$B, 0))
</f>
        <v/>
      </c>
      <c r="L234" s="12">
        <f>L235+G235</f>
        <v/>
      </c>
      <c r="M234" s="43">
        <f>TEXT(L234/86400, "mm:ss.00")</f>
        <v/>
      </c>
      <c r="N234" s="14">
        <f>IFERROR(__xludf.DUMMYFUNCTION("LET(
  gen,$A234, ev,$B234, t,$M234,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O234" s="65" t="n"/>
      <c r="P234" s="69" t="n"/>
      <c r="Q234" s="65" t="n"/>
      <c r="R234" s="69" t="n"/>
      <c r="S234" s="58" t="n"/>
      <c r="T234" s="69" t="n"/>
      <c r="U234" s="65" t="n"/>
      <c r="V234" s="65" t="n"/>
      <c r="W234" s="65" t="n"/>
    </row>
    <row r="235">
      <c r="A235" s="17" t="inlineStr">
        <is>
          <t>F</t>
        </is>
      </c>
      <c r="B235" s="18" t="inlineStr">
        <is>
          <t>50 Back</t>
        </is>
      </c>
      <c r="C235" s="18" t="n">
        <v>23</v>
      </c>
      <c r="D235" s="18" t="n">
        <v>3</v>
      </c>
      <c r="E235" s="46" t="inlineStr">
        <is>
          <t>28.22</t>
        </is>
      </c>
      <c r="F235" s="21">
        <f>IFERROR(__xludf.DUMMYFUNCTION("IF(
  REGEXMATCH(E235, "":""),
  60*VALUE(INDEX(SPLIT(E235, "":""),1,1)) + VALUE(INDEX(SPLIT(E235, "":""),1,2)),
  VALUE(E235)
)"),28.22)</f>
        <v/>
      </c>
      <c r="G235" s="21">
        <f>F234-F235</f>
        <v/>
      </c>
      <c r="H235" s="21" t="n">
        <v>0.06000000000000227</v>
      </c>
      <c r="I235" s="211">
        <f>C218</f>
        <v/>
      </c>
      <c r="J235" s="211">
        <f>C235</f>
        <v/>
      </c>
      <c r="K235" s="60">
        <f t="array" ref="K235">INDEX('Podium Target Times'!$C:$C, MATCH(A235&amp;B235, 'Podium Target Times'!$A:$A&amp;'Podium Target Times'!$B:$B, 0))
</f>
        <v/>
      </c>
      <c r="L235" s="211">
        <f>K235</f>
        <v/>
      </c>
      <c r="M235" s="60">
        <f>TEXT(L235/86400, "mm:ss.00")</f>
        <v/>
      </c>
      <c r="N235" s="25">
        <f>IFERROR(__xludf.DUMMYFUNCTION("LET(
  gen,$A235, ev,$B235, t,$M235,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O235" s="65" t="n"/>
      <c r="P235" s="69" t="n"/>
      <c r="Q235" s="65" t="n"/>
      <c r="R235" s="69" t="n"/>
      <c r="S235" s="58" t="n"/>
      <c r="T235" s="69" t="n"/>
      <c r="U235" s="65" t="n"/>
      <c r="V235" s="65" t="n"/>
      <c r="W235" s="65" t="n"/>
    </row>
    <row r="236">
      <c r="A236" s="8" t="inlineStr">
        <is>
          <t>F</t>
        </is>
      </c>
      <c r="B236" s="9" t="inlineStr">
        <is>
          <t>50 Breast</t>
        </is>
      </c>
      <c r="C236" s="9" t="n">
        <v>16</v>
      </c>
      <c r="D236" s="9" t="n">
        <v>1</v>
      </c>
      <c r="E236" s="41" t="inlineStr">
        <is>
          <t>31.56</t>
        </is>
      </c>
      <c r="F236" s="35">
        <f>IFERROR(__xludf.DUMMYFUNCTION("IF(
  REGEXMATCH(E236, "":""),
  60*VALUE(INDEX(SPLIT(E236, "":""),1,1)) + VALUE(INDEX(SPLIT(E236, "":""),1,2)),
  VALUE(E236)
)"),31.56)</f>
        <v/>
      </c>
      <c r="G236" s="12" t="n">
        <v>0</v>
      </c>
      <c r="H236" s="12" t="n">
        <v>0</v>
      </c>
      <c r="I236" s="43">
        <f>C236</f>
        <v/>
      </c>
      <c r="J236" s="43">
        <f>C253</f>
        <v/>
      </c>
      <c r="K236" s="43">
        <f t="array" ref="K236">INDEX('Podium Target Times'!$C:$C, MATCH(A236&amp;B236, 'Podium Target Times'!$A:$A&amp;'Podium Target Times'!$B:$B, 0))
</f>
        <v/>
      </c>
      <c r="L236" s="12">
        <f>L237+G237</f>
        <v/>
      </c>
      <c r="M236" s="43">
        <f>TEXT(L236/86400, "mm:ss.00")</f>
        <v/>
      </c>
      <c r="N236" s="14">
        <f>IFERROR(__xludf.DUMMYFUNCTION("LET(
  gen,$A236, ev,$B236, t,$M236,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
      </c>
      <c r="O236" s="65" t="n"/>
      <c r="P236" s="69">
        <f>A236</f>
        <v/>
      </c>
      <c r="Q236" s="65">
        <f>B236</f>
        <v/>
      </c>
      <c r="R236" s="69">
        <f>C236</f>
        <v/>
      </c>
      <c r="S236" s="58">
        <f>M236</f>
        <v/>
      </c>
      <c r="T236" s="69">
        <f>N236</f>
        <v/>
      </c>
      <c r="U236" s="65" t="n"/>
      <c r="V236" s="65" t="n"/>
      <c r="W236" s="65" t="n"/>
    </row>
    <row r="237">
      <c r="A237" s="17" t="inlineStr">
        <is>
          <t>F</t>
        </is>
      </c>
      <c r="B237" s="18" t="inlineStr">
        <is>
          <t>50 Breast</t>
        </is>
      </c>
      <c r="C237" s="18" t="n">
        <v>17</v>
      </c>
      <c r="D237" s="18" t="n">
        <v>1</v>
      </c>
      <c r="E237" s="46" t="inlineStr">
        <is>
          <t>31.20</t>
        </is>
      </c>
      <c r="F237" s="21">
        <f>IFERROR(__xludf.DUMMYFUNCTION("IF(
  REGEXMATCH(E237, "":""),
  60*VALUE(INDEX(SPLIT(E237, "":""),1,1)) + VALUE(INDEX(SPLIT(E237, "":""),1,2)),
  VALUE(E237)
)"),31.2)</f>
        <v/>
      </c>
      <c r="G237" s="21">
        <f>F236-F237</f>
        <v/>
      </c>
      <c r="H237" s="21" t="n">
        <v>0.3599999999999994</v>
      </c>
      <c r="I237" s="211">
        <f>C236</f>
        <v/>
      </c>
      <c r="J237" s="211">
        <f>C253</f>
        <v/>
      </c>
      <c r="K237" s="60">
        <f t="array" ref="K237">INDEX('Podium Target Times'!$C:$C, MATCH(A237&amp;B237, 'Podium Target Times'!$A:$A&amp;'Podium Target Times'!$B:$B, 0))
</f>
        <v/>
      </c>
      <c r="L237" s="24">
        <f>L239+G239</f>
        <v/>
      </c>
      <c r="M237" s="60">
        <f>TEXT(L237/86400, "mm:ss.00")</f>
        <v/>
      </c>
      <c r="N237" s="25">
        <f>IFERROR(__xludf.DUMMYFUNCTION("LET(
  gen,$A237, ev,$B237, t,$M237,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O237" s="65" t="n"/>
      <c r="P237" s="69">
        <f>A237</f>
        <v/>
      </c>
      <c r="Q237" s="65">
        <f>B237</f>
        <v/>
      </c>
      <c r="R237" s="69">
        <f>C237</f>
        <v/>
      </c>
      <c r="S237" s="58">
        <f>M237</f>
        <v/>
      </c>
      <c r="T237" s="69">
        <f>N237</f>
        <v/>
      </c>
      <c r="U237" s="65" t="n"/>
      <c r="V237" s="65" t="n"/>
      <c r="W237" s="65" t="n"/>
    </row>
    <row r="238">
      <c r="A238" s="8" t="inlineStr">
        <is>
          <t>F</t>
        </is>
      </c>
      <c r="B238" s="9" t="inlineStr">
        <is>
          <t>50 Breast</t>
        </is>
      </c>
      <c r="C238" s="9" t="n">
        <v>17</v>
      </c>
      <c r="D238" s="219" t="n">
        <v>2</v>
      </c>
      <c r="E238" s="41" t="inlineStr">
        <is>
          <t>31.35</t>
        </is>
      </c>
      <c r="F238" s="35">
        <f>IFERROR(__xludf.DUMMYFUNCTION("IF(
  REGEXMATCH(E238, "":""),
  60*VALUE(INDEX(SPLIT(E238, "":""),1,1)) + VALUE(INDEX(SPLIT(E238, "":""),1,2)),
  VALUE(E238)
)"),31.35)</f>
        <v/>
      </c>
      <c r="G238" s="35">
        <f>F236-F237</f>
        <v/>
      </c>
      <c r="H238" s="35" t="n">
        <v>0.3599999999999994</v>
      </c>
      <c r="I238" s="215">
        <f>C236</f>
        <v/>
      </c>
      <c r="J238" s="215">
        <f>C253</f>
        <v/>
      </c>
      <c r="K238" s="43">
        <f t="array" ref="K238">INDEX('Podium Target Times'!$C:$C, MATCH(A238&amp;B238, 'Podium Target Times'!$A:$A&amp;'Podium Target Times'!$B:$B, 0))
</f>
        <v/>
      </c>
      <c r="L238" s="12">
        <f>L239+G239</f>
        <v/>
      </c>
      <c r="M238" s="43">
        <f>TEXT(L238/86400, "mm:ss.00")</f>
        <v/>
      </c>
      <c r="N238" s="14">
        <f>IFERROR(__xludf.DUMMYFUNCTION("LET(
  gen,$A238, ev,$B238, t,$M238,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O238" s="65" t="n"/>
      <c r="P238" s="69">
        <f>A239</f>
        <v/>
      </c>
      <c r="Q238" s="65">
        <f>B239</f>
        <v/>
      </c>
      <c r="R238" s="69">
        <f>C239</f>
        <v/>
      </c>
      <c r="S238" s="58">
        <f>M239</f>
        <v/>
      </c>
      <c r="T238" s="69">
        <f>N239</f>
        <v/>
      </c>
      <c r="U238" s="65" t="n"/>
      <c r="V238" s="65" t="n"/>
      <c r="W238" s="65" t="n"/>
    </row>
    <row r="239">
      <c r="A239" s="17" t="inlineStr">
        <is>
          <t>F</t>
        </is>
      </c>
      <c r="B239" s="18" t="inlineStr">
        <is>
          <t>50 Breast</t>
        </is>
      </c>
      <c r="C239" s="18" t="n">
        <v>18</v>
      </c>
      <c r="D239" s="18" t="n">
        <v>1</v>
      </c>
      <c r="E239" s="46" t="inlineStr">
        <is>
          <t>31.00</t>
        </is>
      </c>
      <c r="F239" s="21">
        <f>IFERROR(__xludf.DUMMYFUNCTION("IF(
  REGEXMATCH(E239, "":""),
  60*VALUE(INDEX(SPLIT(E239, "":""),1,1)) + VALUE(INDEX(SPLIT(E239, "":""),1,2)),
  VALUE(E239)
)"),31.0)</f>
        <v/>
      </c>
      <c r="G239" s="21">
        <f>average(F237-F239,F238-F240)</f>
        <v/>
      </c>
      <c r="H239" s="21" t="n">
        <v>0.2000000000000011</v>
      </c>
      <c r="I239" s="211">
        <f>C236</f>
        <v/>
      </c>
      <c r="J239" s="211">
        <f>C253</f>
        <v/>
      </c>
      <c r="K239" s="60">
        <f t="array" ref="K239">INDEX('Podium Target Times'!$C:$C, MATCH(A239&amp;B239, 'Podium Target Times'!$A:$A&amp;'Podium Target Times'!$B:$B, 0))
</f>
        <v/>
      </c>
      <c r="L239" s="24">
        <f>L242+G242</f>
        <v/>
      </c>
      <c r="M239" s="60">
        <f>TEXT(L239/86400, "mm:ss.00")</f>
        <v/>
      </c>
      <c r="N239" s="25">
        <f>IFERROR(__xludf.DUMMYFUNCTION("LET(
  gen,$A239, ev,$B239, t,$M239,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39" s="65" t="n"/>
      <c r="P239" s="69">
        <f>A242</f>
        <v/>
      </c>
      <c r="Q239" s="65">
        <f>B242</f>
        <v/>
      </c>
      <c r="R239" s="69">
        <f>C242</f>
        <v/>
      </c>
      <c r="S239" s="58">
        <f>M242</f>
        <v/>
      </c>
      <c r="T239" s="69">
        <f>N242</f>
        <v/>
      </c>
      <c r="U239" s="65" t="n"/>
      <c r="V239" s="65" t="n"/>
      <c r="W239" s="65" t="n"/>
    </row>
    <row r="240">
      <c r="A240" s="8" t="inlineStr">
        <is>
          <t>F</t>
        </is>
      </c>
      <c r="B240" s="9" t="inlineStr">
        <is>
          <t>50 Breast</t>
        </is>
      </c>
      <c r="C240" s="9" t="n">
        <v>18</v>
      </c>
      <c r="D240" s="9" t="n">
        <v>2</v>
      </c>
      <c r="E240" s="41" t="inlineStr">
        <is>
          <t>31.15</t>
        </is>
      </c>
      <c r="F240" s="35">
        <f>IFERROR(__xludf.DUMMYFUNCTION("IF(
  REGEXMATCH(E240, "":""),
  60*VALUE(INDEX(SPLIT(E240, "":""),1,1)) + VALUE(INDEX(SPLIT(E240, "":""),1,2)),
  VALUE(E240)
)"),31.15)</f>
        <v/>
      </c>
      <c r="G240" s="35">
        <f>average(F237-F239,F238-F240)</f>
        <v/>
      </c>
      <c r="H240" s="35" t="n">
        <v>0.2000000000000011</v>
      </c>
      <c r="I240" s="215">
        <f>C236</f>
        <v/>
      </c>
      <c r="J240" s="215">
        <f>C253</f>
        <v/>
      </c>
      <c r="K240" s="43">
        <f t="array" ref="K240">INDEX('Podium Target Times'!$C:$C, MATCH(A240&amp;B240, 'Podium Target Times'!$A:$A&amp;'Podium Target Times'!$B:$B, 0))
</f>
        <v/>
      </c>
      <c r="L240" s="12">
        <f>L242+G242</f>
        <v/>
      </c>
      <c r="M240" s="43">
        <f>TEXT(L240/86400, "mm:ss.00")</f>
        <v/>
      </c>
      <c r="N240" s="14">
        <f>IFERROR(__xludf.DUMMYFUNCTION("LET(
  gen,$A240, ev,$B240, t,$M240,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40" s="65" t="n"/>
      <c r="P240" s="69">
        <f>A245</f>
        <v/>
      </c>
      <c r="Q240" s="65">
        <f>B245</f>
        <v/>
      </c>
      <c r="R240" s="69">
        <f>C245</f>
        <v/>
      </c>
      <c r="S240" s="58">
        <f>M245</f>
        <v/>
      </c>
      <c r="T240" s="69">
        <f>N245</f>
        <v/>
      </c>
      <c r="U240" s="65" t="n"/>
      <c r="V240" s="65" t="n"/>
      <c r="W240" s="65" t="n"/>
    </row>
    <row r="241">
      <c r="A241" s="17" t="inlineStr">
        <is>
          <t>F</t>
        </is>
      </c>
      <c r="B241" s="18" t="inlineStr">
        <is>
          <t>50 Breast</t>
        </is>
      </c>
      <c r="C241" s="18" t="n">
        <v>18</v>
      </c>
      <c r="D241" s="18" t="n">
        <v>3</v>
      </c>
      <c r="E241" s="46" t="inlineStr">
        <is>
          <t>31.19</t>
        </is>
      </c>
      <c r="F241" s="21">
        <f>IFERROR(__xludf.DUMMYFUNCTION("IF(
  REGEXMATCH(E241, "":""),
  60*VALUE(INDEX(SPLIT(E241, "":""),1,1)) + VALUE(INDEX(SPLIT(E241, "":""),1,2)),
  VALUE(E241)
)"),31.19)</f>
        <v/>
      </c>
      <c r="G241" s="21">
        <f>average(F237-F239,F238-F240)</f>
        <v/>
      </c>
      <c r="H241" s="21" t="n">
        <v>0.2000000000000011</v>
      </c>
      <c r="I241" s="211">
        <f>C236</f>
        <v/>
      </c>
      <c r="J241" s="211">
        <f>C253</f>
        <v/>
      </c>
      <c r="K241" s="60">
        <f t="array" ref="K241">INDEX('Podium Target Times'!$C:$C, MATCH(A241&amp;B241, 'Podium Target Times'!$A:$A&amp;'Podium Target Times'!$B:$B, 0))
</f>
        <v/>
      </c>
      <c r="L241" s="24">
        <f>L242+G242</f>
        <v/>
      </c>
      <c r="M241" s="60">
        <f>TEXT(L241/86400, "mm:ss.00")</f>
        <v/>
      </c>
      <c r="N241" s="25">
        <f>IFERROR(__xludf.DUMMYFUNCTION("LET(
  gen,$A241, ev,$B241, t,$M241,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41" s="65" t="n"/>
      <c r="P241" s="69">
        <f>A248</f>
        <v/>
      </c>
      <c r="Q241" s="65">
        <f>B248</f>
        <v/>
      </c>
      <c r="R241" s="69">
        <f>C248</f>
        <v/>
      </c>
      <c r="S241" s="58">
        <f>M248</f>
        <v/>
      </c>
      <c r="T241" s="69">
        <f>N248</f>
        <v/>
      </c>
      <c r="U241" s="65" t="n"/>
      <c r="V241" s="65" t="n"/>
      <c r="W241" s="65" t="n"/>
    </row>
    <row r="242">
      <c r="A242" s="8" t="inlineStr">
        <is>
          <t>F</t>
        </is>
      </c>
      <c r="B242" s="9" t="inlineStr">
        <is>
          <t>50 Breast</t>
        </is>
      </c>
      <c r="C242" s="9" t="n">
        <v>19</v>
      </c>
      <c r="D242" s="9" t="n">
        <v>1</v>
      </c>
      <c r="E242" s="41" t="inlineStr">
        <is>
          <t>30.86</t>
        </is>
      </c>
      <c r="F242" s="35">
        <f>IFERROR(__xludf.DUMMYFUNCTION("IF(
  REGEXMATCH(E242, "":""),
  60*VALUE(INDEX(SPLIT(E242, "":""),1,1)) + VALUE(INDEX(SPLIT(E242, "":""),1,2)),
  VALUE(E242)
)"),30.86)</f>
        <v/>
      </c>
      <c r="G242" s="35">
        <f>average(F239-F242,F240-F243,F241-F244)</f>
        <v/>
      </c>
      <c r="H242" s="35" t="n">
        <v>0.1399999999999994</v>
      </c>
      <c r="I242" s="215">
        <f>C236</f>
        <v/>
      </c>
      <c r="J242" s="215">
        <f>C253</f>
        <v/>
      </c>
      <c r="K242" s="43">
        <f t="array" ref="K242">INDEX('Podium Target Times'!$C:$C, MATCH(A242&amp;B242, 'Podium Target Times'!$A:$A&amp;'Podium Target Times'!$B:$B, 0))
</f>
        <v/>
      </c>
      <c r="L242" s="12">
        <f>L245+G245</f>
        <v/>
      </c>
      <c r="M242" s="43">
        <f>TEXT(L242/86400, "mm:ss.00")</f>
        <v/>
      </c>
      <c r="N242" s="14">
        <f>IFERROR(__xludf.DUMMYFUNCTION("LET(
  gen,$A242, ev,$B242, t,$M242,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242" s="65" t="n"/>
      <c r="P242" s="69">
        <f>A250</f>
        <v/>
      </c>
      <c r="Q242" s="65">
        <f>B250</f>
        <v/>
      </c>
      <c r="R242" s="69">
        <f>C250</f>
        <v/>
      </c>
      <c r="S242" s="58">
        <f>M250</f>
        <v/>
      </c>
      <c r="T242" s="69">
        <f>N250</f>
        <v/>
      </c>
      <c r="U242" s="65" t="n"/>
      <c r="V242" s="65" t="n"/>
      <c r="W242" s="65" t="n"/>
    </row>
    <row r="243">
      <c r="A243" s="17" t="inlineStr">
        <is>
          <t>F</t>
        </is>
      </c>
      <c r="B243" s="18" t="inlineStr">
        <is>
          <t>50 Breast</t>
        </is>
      </c>
      <c r="C243" s="18" t="n">
        <v>19</v>
      </c>
      <c r="D243" s="221" t="n">
        <v>2</v>
      </c>
      <c r="E243" s="46" t="inlineStr">
        <is>
          <t>31.01</t>
        </is>
      </c>
      <c r="F243" s="21">
        <f>IFERROR(__xludf.DUMMYFUNCTION("IF(
  REGEXMATCH(E243, "":""),
  60*VALUE(INDEX(SPLIT(E243, "":""),1,1)) + VALUE(INDEX(SPLIT(E243, "":""),1,2)),
  VALUE(E243)
)"),31.01)</f>
        <v/>
      </c>
      <c r="G243" s="21">
        <f>average(F239-F242,F240-F243,F241-F244)</f>
        <v/>
      </c>
      <c r="H243" s="21" t="n">
        <v>0.1399999999999994</v>
      </c>
      <c r="I243" s="211">
        <f>C236</f>
        <v/>
      </c>
      <c r="J243" s="211">
        <f>C253</f>
        <v/>
      </c>
      <c r="K243" s="60">
        <f t="array" ref="K243">INDEX('Podium Target Times'!$C:$C, MATCH(A243&amp;B243, 'Podium Target Times'!$A:$A&amp;'Podium Target Times'!$B:$B, 0))
</f>
        <v/>
      </c>
      <c r="L243" s="24">
        <f>L245+G245</f>
        <v/>
      </c>
      <c r="M243" s="60">
        <f>TEXT(L243/86400, "mm:ss.00")</f>
        <v/>
      </c>
      <c r="N243" s="25">
        <f>IFERROR(__xludf.DUMMYFUNCTION("LET(
  gen,$A243, ev,$B243, t,$M243,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243" s="65" t="n"/>
      <c r="P243" s="69">
        <f>A252</f>
        <v/>
      </c>
      <c r="Q243" s="65">
        <f>B252</f>
        <v/>
      </c>
      <c r="R243" s="69">
        <f>C252</f>
        <v/>
      </c>
      <c r="S243" s="58">
        <f>M252</f>
        <v/>
      </c>
      <c r="T243" s="69">
        <f>N252</f>
        <v/>
      </c>
      <c r="U243" s="65" t="n"/>
      <c r="V243" s="65" t="n"/>
      <c r="W243" s="65" t="n"/>
    </row>
    <row r="244">
      <c r="A244" s="8" t="inlineStr">
        <is>
          <t>F</t>
        </is>
      </c>
      <c r="B244" s="9" t="inlineStr">
        <is>
          <t>50 Breast</t>
        </is>
      </c>
      <c r="C244" s="9" t="n">
        <v>19</v>
      </c>
      <c r="D244" s="9" t="n">
        <v>3</v>
      </c>
      <c r="E244" s="41" t="inlineStr">
        <is>
          <t>31.05</t>
        </is>
      </c>
      <c r="F244" s="35">
        <f>IFERROR(__xludf.DUMMYFUNCTION("IF(
  REGEXMATCH(E244, "":""),
  60*VALUE(INDEX(SPLIT(E244, "":""),1,1)) + VALUE(INDEX(SPLIT(E244, "":""),1,2)),
  VALUE(E244)
)"),31.05)</f>
        <v/>
      </c>
      <c r="G244" s="35">
        <f>average(F239-F242,F240-F243,F241-F244)</f>
        <v/>
      </c>
      <c r="H244" s="35" t="n">
        <v>0.1399999999999994</v>
      </c>
      <c r="I244" s="215">
        <f>C236</f>
        <v/>
      </c>
      <c r="J244" s="215">
        <f>C253</f>
        <v/>
      </c>
      <c r="K244" s="43">
        <f t="array" ref="K244">INDEX('Podium Target Times'!$C:$C, MATCH(A244&amp;B244, 'Podium Target Times'!$A:$A&amp;'Podium Target Times'!$B:$B, 0))
</f>
        <v/>
      </c>
      <c r="L244" s="12">
        <f>L245+G245</f>
        <v/>
      </c>
      <c r="M244" s="43">
        <f>TEXT(L244/86400, "mm:ss.00")</f>
        <v/>
      </c>
      <c r="N244" s="14">
        <f>IFERROR(__xludf.DUMMYFUNCTION("LET(
  gen,$A244, ev,$B244, t,$M244,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244" s="65" t="n"/>
      <c r="P244" s="69">
        <f>A253</f>
        <v/>
      </c>
      <c r="Q244" s="65">
        <f>B253</f>
        <v/>
      </c>
      <c r="R244" s="69">
        <f>C253</f>
        <v/>
      </c>
      <c r="S244" s="58">
        <f>M253</f>
        <v/>
      </c>
      <c r="T244" s="69">
        <f>N253</f>
        <v/>
      </c>
      <c r="U244" s="65" t="n"/>
      <c r="V244" s="65" t="n"/>
      <c r="W244" s="65" t="n"/>
    </row>
    <row r="245">
      <c r="A245" s="17" t="inlineStr">
        <is>
          <t>F</t>
        </is>
      </c>
      <c r="B245" s="18" t="inlineStr">
        <is>
          <t>50 Breast</t>
        </is>
      </c>
      <c r="C245" s="18" t="n">
        <v>20</v>
      </c>
      <c r="D245" s="18" t="n">
        <v>1</v>
      </c>
      <c r="E245" s="46" t="inlineStr">
        <is>
          <t>30.75</t>
        </is>
      </c>
      <c r="F245" s="21">
        <f>IFERROR(__xludf.DUMMYFUNCTION("IF(
  REGEXMATCH(E245, "":""),
  60*VALUE(INDEX(SPLIT(E245, "":""),1,1)) + VALUE(INDEX(SPLIT(E245, "":""),1,2)),
  VALUE(E245)
)"),30.75)</f>
        <v/>
      </c>
      <c r="G245" s="21">
        <f>average(F242-F245,F243-F246,F244-F247)</f>
        <v/>
      </c>
      <c r="H245" s="21" t="n">
        <v>0.1100000000000006</v>
      </c>
      <c r="I245" s="211">
        <f>C236</f>
        <v/>
      </c>
      <c r="J245" s="211">
        <f>C253</f>
        <v/>
      </c>
      <c r="K245" s="60">
        <f t="array" ref="K245">INDEX('Podium Target Times'!$C:$C, MATCH(A245&amp;B245, 'Podium Target Times'!$A:$A&amp;'Podium Target Times'!$B:$B, 0))
</f>
        <v/>
      </c>
      <c r="L245" s="24">
        <f>L248+G248</f>
        <v/>
      </c>
      <c r="M245" s="60">
        <f>TEXT(L245/86400, "mm:ss.00")</f>
        <v/>
      </c>
      <c r="N245" s="25">
        <f>IFERROR(__xludf.DUMMYFUNCTION("LET(
  gen,$A245, ev,$B245, t,$M245,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O245" s="65" t="n"/>
      <c r="P245" s="69" t="n"/>
      <c r="Q245" s="65" t="n"/>
      <c r="R245" s="69" t="n"/>
      <c r="S245" s="58" t="n"/>
      <c r="T245" s="69" t="n"/>
      <c r="U245" s="65" t="n"/>
      <c r="V245" s="65" t="n"/>
      <c r="W245" s="65" t="n"/>
    </row>
    <row r="246">
      <c r="A246" s="8" t="inlineStr">
        <is>
          <t>F</t>
        </is>
      </c>
      <c r="B246" s="9" t="inlineStr">
        <is>
          <t>50 Breast</t>
        </is>
      </c>
      <c r="C246" s="9" t="n">
        <v>20</v>
      </c>
      <c r="D246" s="9" t="n">
        <v>2</v>
      </c>
      <c r="E246" s="41" t="inlineStr">
        <is>
          <t>30.90</t>
        </is>
      </c>
      <c r="F246" s="35">
        <f>IFERROR(__xludf.DUMMYFUNCTION("IF(
  REGEXMATCH(E246, "":""),
  60*VALUE(INDEX(SPLIT(E246, "":""),1,1)) + VALUE(INDEX(SPLIT(E246, "":""),1,2)),
  VALUE(E246)
)"),30.9)</f>
        <v/>
      </c>
      <c r="G246" s="35">
        <f>average(F242-F245,F243-F246,F244-F247)</f>
        <v/>
      </c>
      <c r="H246" s="35" t="n">
        <v>0.1100000000000006</v>
      </c>
      <c r="I246" s="215">
        <f>C236</f>
        <v/>
      </c>
      <c r="J246" s="215">
        <f>C253</f>
        <v/>
      </c>
      <c r="K246" s="43">
        <f t="array" ref="K246">INDEX('Podium Target Times'!$C:$C, MATCH(A246&amp;B246, 'Podium Target Times'!$A:$A&amp;'Podium Target Times'!$B:$B, 0))
</f>
        <v/>
      </c>
      <c r="L246" s="12">
        <f>L248+G248</f>
        <v/>
      </c>
      <c r="M246" s="43">
        <f>TEXT(L246/86400, "mm:ss.00")</f>
        <v/>
      </c>
      <c r="N246" s="14">
        <f>IFERROR(__xludf.DUMMYFUNCTION("LET(
  gen,$A246, ev,$B246, t,$M246,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O246" s="65" t="n"/>
      <c r="P246" s="69" t="n"/>
      <c r="Q246" s="65" t="n"/>
      <c r="R246" s="69" t="n"/>
      <c r="S246" s="58" t="n"/>
      <c r="T246" s="69" t="n"/>
      <c r="U246" s="65" t="n"/>
      <c r="V246" s="65" t="n"/>
      <c r="W246" s="65" t="n"/>
    </row>
    <row r="247">
      <c r="A247" s="17" t="inlineStr">
        <is>
          <t>F</t>
        </is>
      </c>
      <c r="B247" s="18" t="inlineStr">
        <is>
          <t>50 Breast</t>
        </is>
      </c>
      <c r="C247" s="18" t="n">
        <v>20</v>
      </c>
      <c r="D247" s="18" t="n">
        <v>3</v>
      </c>
      <c r="E247" s="46" t="inlineStr">
        <is>
          <t>30.94</t>
        </is>
      </c>
      <c r="F247" s="21">
        <f>IFERROR(__xludf.DUMMYFUNCTION("IF(
  REGEXMATCH(E247, "":""),
  60*VALUE(INDEX(SPLIT(E247, "":""),1,1)) + VALUE(INDEX(SPLIT(E247, "":""),1,2)),
  VALUE(E247)
)"),30.94)</f>
        <v/>
      </c>
      <c r="G247" s="21">
        <f>average(F242-F245,F243-F246,F244-F247)</f>
        <v/>
      </c>
      <c r="H247" s="21" t="n">
        <v>0.1100000000000006</v>
      </c>
      <c r="I247" s="211">
        <f>C236</f>
        <v/>
      </c>
      <c r="J247" s="211">
        <f>C253</f>
        <v/>
      </c>
      <c r="K247" s="60">
        <f t="array" ref="K247">INDEX('Podium Target Times'!$C:$C, MATCH(A247&amp;B247, 'Podium Target Times'!$A:$A&amp;'Podium Target Times'!$B:$B, 0))
</f>
        <v/>
      </c>
      <c r="L247" s="24">
        <f>L248+G248</f>
        <v/>
      </c>
      <c r="M247" s="60">
        <f>TEXT(L247/86400, "mm:ss.00")</f>
        <v/>
      </c>
      <c r="N247" s="25">
        <f>IFERROR(__xludf.DUMMYFUNCTION("LET(
  gen,$A247, ev,$B247, t,$M247,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O247" s="65" t="n"/>
      <c r="P247" s="69" t="n"/>
      <c r="Q247" s="65" t="n"/>
      <c r="R247" s="69" t="n"/>
      <c r="S247" s="58" t="n"/>
      <c r="T247" s="69" t="n"/>
      <c r="U247" s="65" t="n"/>
      <c r="V247" s="65" t="n"/>
      <c r="W247" s="65" t="n"/>
    </row>
    <row r="248">
      <c r="A248" s="8" t="inlineStr">
        <is>
          <t>F</t>
        </is>
      </c>
      <c r="B248" s="9" t="inlineStr">
        <is>
          <t>50 Breast</t>
        </is>
      </c>
      <c r="C248" s="9" t="n">
        <v>21</v>
      </c>
      <c r="D248" s="219" t="n">
        <v>2</v>
      </c>
      <c r="E248" s="41" t="inlineStr">
        <is>
          <t>30.81</t>
        </is>
      </c>
      <c r="F248" s="35">
        <f>IFERROR(__xludf.DUMMYFUNCTION("IF(
  REGEXMATCH(E248, "":""),
  60*VALUE(INDEX(SPLIT(E248, "":""),1,1)) + VALUE(INDEX(SPLIT(E248, "":""),1,2)),
  VALUE(E248)
)"),30.81)</f>
        <v/>
      </c>
      <c r="G248" s="35">
        <f>average(F246-F248,F247-F249)</f>
        <v/>
      </c>
      <c r="H248" s="35" t="n">
        <v>0.08999999999999986</v>
      </c>
      <c r="I248" s="215">
        <f>C236</f>
        <v/>
      </c>
      <c r="J248" s="215">
        <f>C253</f>
        <v/>
      </c>
      <c r="K248" s="43">
        <f t="array" ref="K248">INDEX('Podium Target Times'!$C:$C, MATCH(A248&amp;B248, 'Podium Target Times'!$A:$A&amp;'Podium Target Times'!$B:$B, 0))
</f>
        <v/>
      </c>
      <c r="L248" s="12">
        <f>L250+G250</f>
        <v/>
      </c>
      <c r="M248" s="43">
        <f>TEXT(L248/86400, "mm:ss.00")</f>
        <v/>
      </c>
      <c r="N248" s="14">
        <f>IFERROR(__xludf.DUMMYFUNCTION("LET(
  gen,$A248, ev,$B248, t,$M248,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
      </c>
      <c r="O248" s="65" t="n"/>
      <c r="P248" s="69" t="n"/>
      <c r="Q248" s="65" t="n"/>
      <c r="R248" s="69" t="n"/>
      <c r="S248" s="58" t="n"/>
      <c r="T248" s="69" t="n"/>
      <c r="U248" s="65" t="n"/>
      <c r="V248" s="65" t="n"/>
      <c r="W248" s="65" t="n"/>
    </row>
    <row r="249">
      <c r="A249" s="17" t="inlineStr">
        <is>
          <t>F</t>
        </is>
      </c>
      <c r="B249" s="18" t="inlineStr">
        <is>
          <t>50 Breast</t>
        </is>
      </c>
      <c r="C249" s="18" t="n">
        <v>21</v>
      </c>
      <c r="D249" s="18" t="n">
        <v>3</v>
      </c>
      <c r="E249" s="46" t="inlineStr">
        <is>
          <t>30.85</t>
        </is>
      </c>
      <c r="F249" s="21">
        <f>IFERROR(__xludf.DUMMYFUNCTION("IF(
  REGEXMATCH(E249, "":""),
  60*VALUE(INDEX(SPLIT(E249, "":""),1,1)) + VALUE(INDEX(SPLIT(E249, "":""),1,2)),
  VALUE(E249)
)"),30.85)</f>
        <v/>
      </c>
      <c r="G249" s="21">
        <f>average(F246-F248,F247-F249)</f>
        <v/>
      </c>
      <c r="H249" s="21" t="n">
        <v>0.08999999999999986</v>
      </c>
      <c r="I249" s="211">
        <f>C236</f>
        <v/>
      </c>
      <c r="J249" s="211">
        <f>C253</f>
        <v/>
      </c>
      <c r="K249" s="60">
        <f t="array" ref="K249">INDEX('Podium Target Times'!$C:$C, MATCH(A249&amp;B249, 'Podium Target Times'!$A:$A&amp;'Podium Target Times'!$B:$B, 0))
</f>
        <v/>
      </c>
      <c r="L249" s="24">
        <f>L250+G250</f>
        <v/>
      </c>
      <c r="M249" s="60">
        <f>TEXT(L249/86400, "mm:ss.00")</f>
        <v/>
      </c>
      <c r="N249" s="25">
        <f>IFERROR(__xludf.DUMMYFUNCTION("LET(
  gen,$A249, ev,$B249, t,$M249,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
      </c>
      <c r="O249" s="65" t="n"/>
      <c r="P249" s="69" t="n"/>
      <c r="Q249" s="65" t="n"/>
      <c r="R249" s="69" t="n"/>
      <c r="S249" s="58" t="n"/>
      <c r="T249" s="69" t="n"/>
      <c r="U249" s="65" t="n"/>
      <c r="V249" s="65" t="n"/>
      <c r="W249" s="65" t="n"/>
    </row>
    <row r="250">
      <c r="A250" s="8" t="inlineStr">
        <is>
          <t>F</t>
        </is>
      </c>
      <c r="B250" s="9" t="inlineStr">
        <is>
          <t>50 Breast</t>
        </is>
      </c>
      <c r="C250" s="9" t="n">
        <v>22</v>
      </c>
      <c r="D250" s="9" t="n">
        <v>2</v>
      </c>
      <c r="E250" s="41" t="inlineStr">
        <is>
          <t>30.75</t>
        </is>
      </c>
      <c r="F250" s="35">
        <f>IFERROR(__xludf.DUMMYFUNCTION("IF(
  REGEXMATCH(E250, "":""),
  60*VALUE(INDEX(SPLIT(E250, "":""),1,1)) + VALUE(INDEX(SPLIT(E250, "":""),1,2)),
  VALUE(E250)
)"),30.75)</f>
        <v/>
      </c>
      <c r="G250" s="35">
        <f>average(F248-F250,F249-F251)</f>
        <v/>
      </c>
      <c r="H250" s="35" t="n">
        <v>0.0600000000000005</v>
      </c>
      <c r="I250" s="215">
        <f>C236</f>
        <v/>
      </c>
      <c r="J250" s="215">
        <f>C253</f>
        <v/>
      </c>
      <c r="K250" s="43">
        <f t="array" ref="K250">INDEX('Podium Target Times'!$C:$C, MATCH(A250&amp;B250, 'Podium Target Times'!$A:$A&amp;'Podium Target Times'!$B:$B, 0))
</f>
        <v/>
      </c>
      <c r="L250" s="12">
        <f>L252+G252</f>
        <v/>
      </c>
      <c r="M250" s="43">
        <f>TEXT(L250/86400, "mm:ss.00")</f>
        <v/>
      </c>
      <c r="N250" s="14">
        <f>IFERROR(__xludf.DUMMYFUNCTION("LET(
  gen,$A250, ev,$B250, t,$M250,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
      </c>
      <c r="O250" s="65" t="n"/>
      <c r="P250" s="69" t="n"/>
      <c r="Q250" s="65" t="n"/>
      <c r="R250" s="69" t="n"/>
      <c r="S250" s="58" t="n"/>
      <c r="T250" s="69" t="n"/>
      <c r="U250" s="65" t="n"/>
      <c r="V250" s="65" t="n"/>
      <c r="W250" s="65" t="n"/>
    </row>
    <row r="251">
      <c r="A251" s="17" t="inlineStr">
        <is>
          <t>F</t>
        </is>
      </c>
      <c r="B251" s="18" t="inlineStr">
        <is>
          <t>50 Breast</t>
        </is>
      </c>
      <c r="C251" s="18" t="n">
        <v>22</v>
      </c>
      <c r="D251" s="18" t="n">
        <v>3</v>
      </c>
      <c r="E251" s="46" t="inlineStr">
        <is>
          <t>30.79</t>
        </is>
      </c>
      <c r="F251" s="21">
        <f>IFERROR(__xludf.DUMMYFUNCTION("IF(
  REGEXMATCH(E251, "":""),
  60*VALUE(INDEX(SPLIT(E251, "":""),1,1)) + VALUE(INDEX(SPLIT(E251, "":""),1,2)),
  VALUE(E251)
)"),30.79)</f>
        <v/>
      </c>
      <c r="G251" s="21">
        <f>average(F248-F250,F249-F251)</f>
        <v/>
      </c>
      <c r="H251" s="21" t="n">
        <v>0.0600000000000005</v>
      </c>
      <c r="I251" s="211">
        <f>C236</f>
        <v/>
      </c>
      <c r="J251" s="211">
        <f>C253</f>
        <v/>
      </c>
      <c r="K251" s="60">
        <f t="array" ref="K251">INDEX('Podium Target Times'!$C:$C, MATCH(A251&amp;B251, 'Podium Target Times'!$A:$A&amp;'Podium Target Times'!$B:$B, 0))
</f>
        <v/>
      </c>
      <c r="L251" s="24">
        <f>L252+G252</f>
        <v/>
      </c>
      <c r="M251" s="60">
        <f>TEXT(L251/86400, "mm:ss.00")</f>
        <v/>
      </c>
      <c r="N251" s="25">
        <f>IFERROR(__xludf.DUMMYFUNCTION("LET(
  gen,$A251, ev,$B251, t,$M251,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
      </c>
      <c r="O251" s="65" t="n"/>
      <c r="P251" s="69" t="n"/>
      <c r="Q251" s="65" t="n"/>
      <c r="R251" s="69" t="n"/>
      <c r="S251" s="58" t="n"/>
      <c r="T251" s="69" t="n"/>
      <c r="U251" s="65" t="n"/>
      <c r="V251" s="65" t="n"/>
      <c r="W251" s="65" t="n"/>
    </row>
    <row r="252">
      <c r="A252" s="8" t="inlineStr">
        <is>
          <t>F</t>
        </is>
      </c>
      <c r="B252" s="9" t="inlineStr">
        <is>
          <t>50 Breast</t>
        </is>
      </c>
      <c r="C252" s="9" t="n">
        <v>23</v>
      </c>
      <c r="D252" s="9" t="n">
        <v>3</v>
      </c>
      <c r="E252" s="41" t="inlineStr">
        <is>
          <t>30.75</t>
        </is>
      </c>
      <c r="F252" s="35">
        <f>IFERROR(__xludf.DUMMYFUNCTION("IF(
  REGEXMATCH(E252, "":""),
  60*VALUE(INDEX(SPLIT(E252, "":""),1,1)) + VALUE(INDEX(SPLIT(E252, "":""),1,2)),
  VALUE(E252)
)"),30.75)</f>
        <v/>
      </c>
      <c r="G252" s="35">
        <f>F251-F252</f>
        <v/>
      </c>
      <c r="H252" s="35" t="n">
        <v>0.03999999999999915</v>
      </c>
      <c r="I252" s="215">
        <f>C236</f>
        <v/>
      </c>
      <c r="J252" s="215">
        <f>C253</f>
        <v/>
      </c>
      <c r="K252" s="43">
        <f t="array" ref="K252">INDEX('Podium Target Times'!$C:$C, MATCH(A252&amp;B252, 'Podium Target Times'!$A:$A&amp;'Podium Target Times'!$B:$B, 0))
</f>
        <v/>
      </c>
      <c r="L252" s="12">
        <f>L253+G253</f>
        <v/>
      </c>
      <c r="M252" s="43">
        <f>TEXT(L252/86400, "mm:ss.00")</f>
        <v/>
      </c>
      <c r="N252" s="14">
        <f>IFERROR(__xludf.DUMMYFUNCTION("LET(
  gen,$A252, ev,$B252, t,$M252,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252" s="65" t="n"/>
      <c r="P252" s="69" t="n"/>
      <c r="Q252" s="65" t="n"/>
      <c r="R252" s="69" t="n"/>
      <c r="S252" s="58" t="n"/>
      <c r="T252" s="69" t="n"/>
      <c r="U252" s="65" t="n"/>
      <c r="V252" s="65" t="n"/>
      <c r="W252" s="65" t="n"/>
    </row>
    <row r="253">
      <c r="A253" s="17" t="inlineStr">
        <is>
          <t>F</t>
        </is>
      </c>
      <c r="B253" s="18" t="inlineStr">
        <is>
          <t>50 Breast</t>
        </is>
      </c>
      <c r="C253" s="18" t="n">
        <v>24</v>
      </c>
      <c r="D253" s="18" t="n">
        <v>3</v>
      </c>
      <c r="E253" s="46" t="inlineStr">
        <is>
          <t>30.75</t>
        </is>
      </c>
      <c r="F253" s="21">
        <f>IFERROR(__xludf.DUMMYFUNCTION("IF(
  REGEXMATCH(E253, "":""),
  60*VALUE(INDEX(SPLIT(E253, "":""),1,1)) + VALUE(INDEX(SPLIT(E253, "":""),1,2)),
  VALUE(E253)
)"),30.75)</f>
        <v/>
      </c>
      <c r="G253" s="21">
        <f>F252-F253</f>
        <v/>
      </c>
      <c r="H253" s="21" t="n">
        <v>0</v>
      </c>
      <c r="I253" s="211">
        <f>C236</f>
        <v/>
      </c>
      <c r="J253" s="211">
        <f>C253</f>
        <v/>
      </c>
      <c r="K253" s="60">
        <f t="array" ref="K253">INDEX('Podium Target Times'!$C:$C, MATCH(A253&amp;B253, 'Podium Target Times'!$A:$A&amp;'Podium Target Times'!$B:$B, 0))
</f>
        <v/>
      </c>
      <c r="L253" s="211">
        <f>K253</f>
        <v/>
      </c>
      <c r="M253" s="60">
        <f>TEXT(L253/86400, "mm:ss.00")</f>
        <v/>
      </c>
      <c r="N253" s="25">
        <f>IFERROR(__xludf.DUMMYFUNCTION("LET(
  gen,$A253, ev,$B253, t,$M253,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253" s="65" t="n"/>
      <c r="P253" s="69" t="n"/>
      <c r="Q253" s="65" t="n"/>
      <c r="R253" s="69" t="n"/>
      <c r="S253" s="58" t="n"/>
      <c r="T253" s="69" t="n"/>
      <c r="U253" s="65" t="n"/>
      <c r="V253" s="65" t="n"/>
      <c r="W253" s="65" t="n"/>
    </row>
    <row r="254">
      <c r="A254" s="8" t="inlineStr">
        <is>
          <t>F</t>
        </is>
      </c>
      <c r="B254" s="9" t="inlineStr">
        <is>
          <t>50 Fly</t>
        </is>
      </c>
      <c r="C254" s="9" t="n">
        <v>17</v>
      </c>
      <c r="D254" s="9" t="n">
        <v>1</v>
      </c>
      <c r="E254" s="483" t="inlineStr">
        <is>
          <t>26.98</t>
        </is>
      </c>
      <c r="F254" s="35">
        <f>IFERROR(__xludf.DUMMYFUNCTION("IF(
  REGEXMATCH(E254, "":""),
  60*VALUE(INDEX(SPLIT(E254, "":""),1,1)) + VALUE(INDEX(SPLIT(E254, "":""),1,2)),
  VALUE(E254)
)"),26.98)</f>
        <v/>
      </c>
      <c r="G254" s="12" t="n">
        <v>0</v>
      </c>
      <c r="H254" s="12" t="n">
        <v>0</v>
      </c>
      <c r="I254" s="43">
        <f>C254</f>
        <v/>
      </c>
      <c r="J254" s="43">
        <f>C271</f>
        <v/>
      </c>
      <c r="K254" s="43">
        <f t="array" ref="K254">INDEX('Podium Target Times'!$C:$C, MATCH(A254&amp;B254, 'Podium Target Times'!$A:$A&amp;'Podium Target Times'!$B:$B, 0))
</f>
        <v/>
      </c>
      <c r="L254" s="12">
        <f>L255+G255</f>
        <v/>
      </c>
      <c r="M254" s="43">
        <f>TEXT(L254/86400, "mm:ss.00")</f>
        <v/>
      </c>
      <c r="N254" s="14">
        <f>IFERROR(__xludf.DUMMYFUNCTION("LET(
  gen,$A254, ev,$B254, t,$M254,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254" s="65" t="n"/>
      <c r="P254" s="69">
        <f>A254</f>
        <v/>
      </c>
      <c r="Q254" s="65">
        <f>B254</f>
        <v/>
      </c>
      <c r="R254" s="69">
        <f>C254</f>
        <v/>
      </c>
      <c r="S254" s="58">
        <f>M254</f>
        <v/>
      </c>
      <c r="T254" s="69">
        <f>N254</f>
        <v/>
      </c>
      <c r="U254" s="65" t="n"/>
      <c r="V254" s="65" t="n"/>
      <c r="W254" s="65" t="n"/>
    </row>
    <row r="255">
      <c r="A255" s="17" t="inlineStr">
        <is>
          <t>F</t>
        </is>
      </c>
      <c r="B255" s="18" t="inlineStr">
        <is>
          <t>50 Fly</t>
        </is>
      </c>
      <c r="C255" s="18" t="n">
        <v>18</v>
      </c>
      <c r="D255" s="18" t="n">
        <v>1</v>
      </c>
      <c r="E255" s="46" t="inlineStr">
        <is>
          <t>26.71</t>
        </is>
      </c>
      <c r="F255" s="21">
        <f>IFERROR(__xludf.DUMMYFUNCTION("IF(
  REGEXMATCH(E255, "":""),
  60*VALUE(INDEX(SPLIT(E255, "":""),1,1)) + VALUE(INDEX(SPLIT(E255, "":""),1,2)),
  VALUE(E255)
)"),26.71)</f>
        <v/>
      </c>
      <c r="G255" s="21">
        <f>F254-F255</f>
        <v/>
      </c>
      <c r="H255" s="21" t="n">
        <v>0.2699999999999996</v>
      </c>
      <c r="I255" s="211">
        <f>C254</f>
        <v/>
      </c>
      <c r="J255" s="211">
        <f>C271</f>
        <v/>
      </c>
      <c r="K255" s="60">
        <f t="array" ref="K255">INDEX('Podium Target Times'!$C:$C, MATCH(A255&amp;B255, 'Podium Target Times'!$A:$A&amp;'Podium Target Times'!$B:$B, 0))
</f>
        <v/>
      </c>
      <c r="L255" s="24">
        <f>L257+G257</f>
        <v/>
      </c>
      <c r="M255" s="60">
        <f>TEXT(L255/86400, "mm:ss.00")</f>
        <v/>
      </c>
      <c r="N255" s="25">
        <f>IFERROR(__xludf.DUMMYFUNCTION("LET(
  gen,$A255, ev,$B255, t,$M255,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255" s="65" t="n"/>
      <c r="P255" s="69">
        <f>A255</f>
        <v/>
      </c>
      <c r="Q255" s="65">
        <f>B255</f>
        <v/>
      </c>
      <c r="R255" s="69">
        <f>C255</f>
        <v/>
      </c>
      <c r="S255" s="58">
        <f>M255</f>
        <v/>
      </c>
      <c r="T255" s="69">
        <f>N255</f>
        <v/>
      </c>
      <c r="U255" s="65" t="n"/>
      <c r="V255" s="65" t="n"/>
      <c r="W255" s="65" t="n"/>
    </row>
    <row r="256">
      <c r="A256" s="8" t="inlineStr">
        <is>
          <t>F</t>
        </is>
      </c>
      <c r="B256" s="9" t="inlineStr">
        <is>
          <t>50 Fly</t>
        </is>
      </c>
      <c r="C256" s="9" t="n">
        <v>18</v>
      </c>
      <c r="D256" s="9" t="n">
        <v>2</v>
      </c>
      <c r="E256" s="41" t="inlineStr">
        <is>
          <t>26.81</t>
        </is>
      </c>
      <c r="F256" s="35">
        <f>IFERROR(__xludf.DUMMYFUNCTION("IF(
  REGEXMATCH(E256, "":""),
  60*VALUE(INDEX(SPLIT(E256, "":""),1,1)) + VALUE(INDEX(SPLIT(E256, "":""),1,2)),
  VALUE(E256)
)"),26.81)</f>
        <v/>
      </c>
      <c r="G256" s="35">
        <f>F254-F255</f>
        <v/>
      </c>
      <c r="H256" s="35" t="n">
        <v>0.2699999999999996</v>
      </c>
      <c r="I256" s="215">
        <f>C254</f>
        <v/>
      </c>
      <c r="J256" s="215">
        <f>C271</f>
        <v/>
      </c>
      <c r="K256" s="43">
        <f t="array" ref="K256">INDEX('Podium Target Times'!$C:$C, MATCH(A256&amp;B256, 'Podium Target Times'!$A:$A&amp;'Podium Target Times'!$B:$B, 0))
</f>
        <v/>
      </c>
      <c r="L256" s="12">
        <f>L257+G257</f>
        <v/>
      </c>
      <c r="M256" s="43">
        <f>TEXT(L256/86400, "mm:ss.00")</f>
        <v/>
      </c>
      <c r="N256" s="14">
        <f>IFERROR(__xludf.DUMMYFUNCTION("LET(
  gen,$A256, ev,$B256, t,$M256,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256" s="65" t="n"/>
      <c r="P256" s="69">
        <f>A257</f>
        <v/>
      </c>
      <c r="Q256" s="65">
        <f>B257</f>
        <v/>
      </c>
      <c r="R256" s="69">
        <f>C257</f>
        <v/>
      </c>
      <c r="S256" s="58">
        <f>M257</f>
        <v/>
      </c>
      <c r="T256" s="69">
        <f>N257</f>
        <v/>
      </c>
      <c r="U256" s="65" t="n"/>
      <c r="V256" s="65" t="n"/>
      <c r="W256" s="65" t="n"/>
    </row>
    <row r="257">
      <c r="A257" s="17" t="inlineStr">
        <is>
          <t>F</t>
        </is>
      </c>
      <c r="B257" s="18" t="inlineStr">
        <is>
          <t>50 Fly</t>
        </is>
      </c>
      <c r="C257" s="18" t="n">
        <v>19</v>
      </c>
      <c r="D257" s="18" t="n">
        <v>1</v>
      </c>
      <c r="E257" s="46" t="inlineStr">
        <is>
          <t>26.50</t>
        </is>
      </c>
      <c r="F257" s="21">
        <f>IFERROR(__xludf.DUMMYFUNCTION("IF(
  REGEXMATCH(E257, "":""),
  60*VALUE(INDEX(SPLIT(E257, "":""),1,1)) + VALUE(INDEX(SPLIT(E257, "":""),1,2)),
  VALUE(E257)
)"),26.5)</f>
        <v/>
      </c>
      <c r="G257" s="21">
        <f>average(F255-F257,F256-F258)</f>
        <v/>
      </c>
      <c r="H257" s="21" t="n">
        <v>0.2099999999999991</v>
      </c>
      <c r="I257" s="211">
        <f>C254</f>
        <v/>
      </c>
      <c r="J257" s="211">
        <f>C271</f>
        <v/>
      </c>
      <c r="K257" s="60">
        <f t="array" ref="K257">INDEX('Podium Target Times'!$C:$C, MATCH(A257&amp;B257, 'Podium Target Times'!$A:$A&amp;'Podium Target Times'!$B:$B, 0))
</f>
        <v/>
      </c>
      <c r="L257" s="24">
        <f>L260+G260</f>
        <v/>
      </c>
      <c r="M257" s="60">
        <f>TEXT(L257/86400, "mm:ss.00")</f>
        <v/>
      </c>
      <c r="N257" s="25">
        <f>IFERROR(__xludf.DUMMYFUNCTION("LET(
  gen,$A257, ev,$B257, t,$M257,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257" s="65" t="n"/>
      <c r="P257" s="69">
        <f>A260</f>
        <v/>
      </c>
      <c r="Q257" s="65">
        <f>B260</f>
        <v/>
      </c>
      <c r="R257" s="69">
        <f>C260</f>
        <v/>
      </c>
      <c r="S257" s="58">
        <f>M260</f>
        <v/>
      </c>
      <c r="T257" s="69">
        <f>N260</f>
        <v/>
      </c>
      <c r="U257" s="65" t="n"/>
      <c r="V257" s="65" t="n"/>
      <c r="W257" s="65" t="n"/>
    </row>
    <row r="258">
      <c r="A258" s="8" t="inlineStr">
        <is>
          <t>F</t>
        </is>
      </c>
      <c r="B258" s="9" t="inlineStr">
        <is>
          <t>50 Fly</t>
        </is>
      </c>
      <c r="C258" s="9" t="n">
        <v>19</v>
      </c>
      <c r="D258" s="219" t="n">
        <v>2</v>
      </c>
      <c r="E258" s="41" t="inlineStr">
        <is>
          <t>26.60</t>
        </is>
      </c>
      <c r="F258" s="35">
        <f>IFERROR(__xludf.DUMMYFUNCTION("IF(
  REGEXMATCH(E258, "":""),
  60*VALUE(INDEX(SPLIT(E258, "":""),1,1)) + VALUE(INDEX(SPLIT(E258, "":""),1,2)),
  VALUE(E258)
)"),26.6)</f>
        <v/>
      </c>
      <c r="G258" s="35">
        <f>average(F255-F257,F256-F258)</f>
        <v/>
      </c>
      <c r="H258" s="35" t="n">
        <v>0.2099999999999991</v>
      </c>
      <c r="I258" s="215">
        <f>C254</f>
        <v/>
      </c>
      <c r="J258" s="215">
        <f>C271</f>
        <v/>
      </c>
      <c r="K258" s="43">
        <f t="array" ref="K258">INDEX('Podium Target Times'!$C:$C, MATCH(A258&amp;B258, 'Podium Target Times'!$A:$A&amp;'Podium Target Times'!$B:$B, 0))
</f>
        <v/>
      </c>
      <c r="L258" s="12">
        <f>L260+G260</f>
        <v/>
      </c>
      <c r="M258" s="43">
        <f>TEXT(L258/86400, "mm:ss.00")</f>
        <v/>
      </c>
      <c r="N258" s="14">
        <f>IFERROR(__xludf.DUMMYFUNCTION("LET(
  gen,$A258, ev,$B258, t,$M258,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258" s="65" t="n"/>
      <c r="P258" s="69">
        <f>A263</f>
        <v/>
      </c>
      <c r="Q258" s="65">
        <f>B263</f>
        <v/>
      </c>
      <c r="R258" s="69">
        <f>C263</f>
        <v/>
      </c>
      <c r="S258" s="58">
        <f>M263</f>
        <v/>
      </c>
      <c r="T258" s="69">
        <f>N263</f>
        <v/>
      </c>
      <c r="U258" s="65" t="n"/>
      <c r="V258" s="65" t="n"/>
      <c r="W258" s="65" t="n"/>
    </row>
    <row r="259">
      <c r="A259" s="17" t="inlineStr">
        <is>
          <t>F</t>
        </is>
      </c>
      <c r="B259" s="18" t="inlineStr">
        <is>
          <t>50 Fly</t>
        </is>
      </c>
      <c r="C259" s="18" t="n">
        <v>19</v>
      </c>
      <c r="D259" s="221" t="n">
        <v>3</v>
      </c>
      <c r="E259" s="46" t="inlineStr">
        <is>
          <t>26.61</t>
        </is>
      </c>
      <c r="F259" s="21">
        <f>IFERROR(__xludf.DUMMYFUNCTION("IF(
  REGEXMATCH(E259, "":""),
  60*VALUE(INDEX(SPLIT(E259, "":""),1,1)) + VALUE(INDEX(SPLIT(E259, "":""),1,2)),
  VALUE(E259)
)"),26.61)</f>
        <v/>
      </c>
      <c r="G259" s="21">
        <f>average(F255-F257,F256-F258)</f>
        <v/>
      </c>
      <c r="H259" s="21" t="n">
        <v>0.2099999999999991</v>
      </c>
      <c r="I259" s="211">
        <f>C254</f>
        <v/>
      </c>
      <c r="J259" s="211">
        <f>C271</f>
        <v/>
      </c>
      <c r="K259" s="60">
        <f t="array" ref="K259">INDEX('Podium Target Times'!$C:$C, MATCH(A259&amp;B259, 'Podium Target Times'!$A:$A&amp;'Podium Target Times'!$B:$B, 0))
</f>
        <v/>
      </c>
      <c r="L259" s="24">
        <f>L260+G260</f>
        <v/>
      </c>
      <c r="M259" s="60">
        <f>TEXT(L259/86400, "mm:ss.00")</f>
        <v/>
      </c>
      <c r="N259" s="25">
        <f>IFERROR(__xludf.DUMMYFUNCTION("LET(
  gen,$A259, ev,$B259, t,$M259,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259" s="65" t="n"/>
      <c r="P259" s="69">
        <f>A266</f>
        <v/>
      </c>
      <c r="Q259" s="65">
        <f>B266</f>
        <v/>
      </c>
      <c r="R259" s="69">
        <f>C266</f>
        <v/>
      </c>
      <c r="S259" s="58">
        <f>M266</f>
        <v/>
      </c>
      <c r="T259" s="69">
        <f>N266</f>
        <v/>
      </c>
      <c r="U259" s="65" t="n"/>
      <c r="V259" s="65" t="n"/>
      <c r="W259" s="65" t="n"/>
    </row>
    <row r="260">
      <c r="A260" s="8" t="inlineStr">
        <is>
          <t>F</t>
        </is>
      </c>
      <c r="B260" s="9" t="inlineStr">
        <is>
          <t>50 Fly</t>
        </is>
      </c>
      <c r="C260" s="9" t="n">
        <v>20</v>
      </c>
      <c r="D260" s="9" t="n">
        <v>1</v>
      </c>
      <c r="E260" s="41" t="inlineStr">
        <is>
          <t>26.34</t>
        </is>
      </c>
      <c r="F260" s="35">
        <f>IFERROR(__xludf.DUMMYFUNCTION("IF(
  REGEXMATCH(E260, "":""),
  60*VALUE(INDEX(SPLIT(E260, "":""),1,1)) + VALUE(INDEX(SPLIT(E260, "":""),1,2)),
  VALUE(E260)
)"),26.34)</f>
        <v/>
      </c>
      <c r="G260" s="35">
        <f>average(F257-F260,F258-F261,F259-F262)</f>
        <v/>
      </c>
      <c r="H260" s="35" t="n">
        <v>0.163333333333334</v>
      </c>
      <c r="I260" s="215">
        <f>C254</f>
        <v/>
      </c>
      <c r="J260" s="215">
        <f>C271</f>
        <v/>
      </c>
      <c r="K260" s="43">
        <f t="array" ref="K260">INDEX('Podium Target Times'!$C:$C, MATCH(A260&amp;B260, 'Podium Target Times'!$A:$A&amp;'Podium Target Times'!$B:$B, 0))
</f>
        <v/>
      </c>
      <c r="L260" s="12">
        <f>L263+G263</f>
        <v/>
      </c>
      <c r="M260" s="43">
        <f>TEXT(L260/86400, "mm:ss.00")</f>
        <v/>
      </c>
      <c r="N260" s="14">
        <f>IFERROR(__xludf.DUMMYFUNCTION("LET(
  gen,$A260, ev,$B260, t,$M260,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260" s="65" t="n"/>
      <c r="P260" s="69">
        <f>A268</f>
        <v/>
      </c>
      <c r="Q260" s="65">
        <f>B268</f>
        <v/>
      </c>
      <c r="R260" s="69">
        <f>C268</f>
        <v/>
      </c>
      <c r="S260" s="58">
        <f>M268</f>
        <v/>
      </c>
      <c r="T260" s="69">
        <f>N268</f>
        <v/>
      </c>
      <c r="U260" s="65" t="n"/>
      <c r="V260" s="65" t="n"/>
      <c r="W260" s="65" t="n"/>
    </row>
    <row r="261">
      <c r="A261" s="17" t="inlineStr">
        <is>
          <t>F</t>
        </is>
      </c>
      <c r="B261" s="18" t="inlineStr">
        <is>
          <t>50 Fly</t>
        </is>
      </c>
      <c r="C261" s="18" t="n">
        <v>20</v>
      </c>
      <c r="D261" s="221" t="n">
        <v>2</v>
      </c>
      <c r="E261" s="46" t="inlineStr">
        <is>
          <t>26.43</t>
        </is>
      </c>
      <c r="F261" s="21">
        <f>IFERROR(__xludf.DUMMYFUNCTION("IF(
  REGEXMATCH(E261, "":""),
  60*VALUE(INDEX(SPLIT(E261, "":""),1,1)) + VALUE(INDEX(SPLIT(E261, "":""),1,2)),
  VALUE(E261)
)"),26.43)</f>
        <v/>
      </c>
      <c r="G261" s="21">
        <f>average(F257-F260,F258-F261,F259-F262)</f>
        <v/>
      </c>
      <c r="H261" s="21" t="n">
        <v>0.163333333333334</v>
      </c>
      <c r="I261" s="211">
        <f>C254</f>
        <v/>
      </c>
      <c r="J261" s="211">
        <f>C271</f>
        <v/>
      </c>
      <c r="K261" s="60">
        <f t="array" ref="K261">INDEX('Podium Target Times'!$C:$C, MATCH(A261&amp;B261, 'Podium Target Times'!$A:$A&amp;'Podium Target Times'!$B:$B, 0))
</f>
        <v/>
      </c>
      <c r="L261" s="24">
        <f>L263+G263</f>
        <v/>
      </c>
      <c r="M261" s="60">
        <f>TEXT(L261/86400, "mm:ss.00")</f>
        <v/>
      </c>
      <c r="N261" s="25">
        <f>IFERROR(__xludf.DUMMYFUNCTION("LET(
  gen,$A261, ev,$B261, t,$M261,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261" s="65" t="n"/>
      <c r="P261" s="69">
        <f>A270</f>
        <v/>
      </c>
      <c r="Q261" s="65">
        <f>B270</f>
        <v/>
      </c>
      <c r="R261" s="69">
        <f>C270</f>
        <v/>
      </c>
      <c r="S261" s="58">
        <f>M270</f>
        <v/>
      </c>
      <c r="T261" s="69">
        <f>N270</f>
        <v/>
      </c>
      <c r="U261" s="65" t="n"/>
      <c r="V261" s="65" t="n"/>
      <c r="W261" s="65" t="n"/>
    </row>
    <row r="262">
      <c r="A262" s="8" t="inlineStr">
        <is>
          <t>F</t>
        </is>
      </c>
      <c r="B262" s="9" t="inlineStr">
        <is>
          <t>50 Fly</t>
        </is>
      </c>
      <c r="C262" s="9" t="n">
        <v>20</v>
      </c>
      <c r="D262" s="219" t="n">
        <v>3</v>
      </c>
      <c r="E262" s="41" t="inlineStr">
        <is>
          <t>26.45</t>
        </is>
      </c>
      <c r="F262" s="35">
        <f>IFERROR(__xludf.DUMMYFUNCTION("IF(
  REGEXMATCH(E262, "":""),
  60*VALUE(INDEX(SPLIT(E262, "":""),1,1)) + VALUE(INDEX(SPLIT(E262, "":""),1,2)),
  VALUE(E262)
)"),26.45)</f>
        <v/>
      </c>
      <c r="G262" s="35">
        <f>average(F257-F260,F258-F261,F259-F262)</f>
        <v/>
      </c>
      <c r="H262" s="35" t="n">
        <v>0.163333333333334</v>
      </c>
      <c r="I262" s="215">
        <f>C254</f>
        <v/>
      </c>
      <c r="J262" s="215">
        <f>C271</f>
        <v/>
      </c>
      <c r="K262" s="43">
        <f t="array" ref="K262">INDEX('Podium Target Times'!$C:$C, MATCH(A262&amp;B262, 'Podium Target Times'!$A:$A&amp;'Podium Target Times'!$B:$B, 0))
</f>
        <v/>
      </c>
      <c r="L262" s="12">
        <f>L263+G263</f>
        <v/>
      </c>
      <c r="M262" s="43">
        <f>TEXT(L262/86400, "mm:ss.00")</f>
        <v/>
      </c>
      <c r="N262" s="14">
        <f>IFERROR(__xludf.DUMMYFUNCTION("LET(
  gen,$A262, ev,$B262, t,$M262,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262" s="65" t="n"/>
      <c r="P262" s="69">
        <f>A271</f>
        <v/>
      </c>
      <c r="Q262" s="65">
        <f>B271</f>
        <v/>
      </c>
      <c r="R262" s="69">
        <f>C271</f>
        <v/>
      </c>
      <c r="S262" s="58">
        <f>M271</f>
        <v/>
      </c>
      <c r="T262" s="69">
        <f>N271</f>
        <v/>
      </c>
      <c r="U262" s="65" t="n"/>
      <c r="V262" s="65" t="n"/>
      <c r="W262" s="65" t="n"/>
    </row>
    <row r="263">
      <c r="A263" s="17" t="inlineStr">
        <is>
          <t>F</t>
        </is>
      </c>
      <c r="B263" s="18" t="inlineStr">
        <is>
          <t>50 Fly</t>
        </is>
      </c>
      <c r="C263" s="18" t="n">
        <v>21</v>
      </c>
      <c r="D263" s="18" t="n">
        <v>1</v>
      </c>
      <c r="E263" s="46" t="inlineStr">
        <is>
          <t>26.23</t>
        </is>
      </c>
      <c r="F263" s="21">
        <f>IFERROR(__xludf.DUMMYFUNCTION("IF(
  REGEXMATCH(E263, "":""),
  60*VALUE(INDEX(SPLIT(E263, "":""),1,1)) + VALUE(INDEX(SPLIT(E263, "":""),1,2)),
  VALUE(E263)
)"),26.23)</f>
        <v/>
      </c>
      <c r="G263" s="21">
        <f>average(F260-F263,F261-F264,F262-F265)</f>
        <v/>
      </c>
      <c r="H263" s="21" t="n">
        <v>0.1066666666666668</v>
      </c>
      <c r="I263" s="211">
        <f>C254</f>
        <v/>
      </c>
      <c r="J263" s="211">
        <f>C271</f>
        <v/>
      </c>
      <c r="K263" s="60">
        <f t="array" ref="K263">INDEX('Podium Target Times'!$C:$C, MATCH(A263&amp;B263, 'Podium Target Times'!$A:$A&amp;'Podium Target Times'!$B:$B, 0))
</f>
        <v/>
      </c>
      <c r="L263" s="24">
        <f>L266+G266</f>
        <v/>
      </c>
      <c r="M263" s="60">
        <f>TEXT(L263/86400, "mm:ss.00")</f>
        <v/>
      </c>
      <c r="N263" s="25">
        <f>IFERROR(__xludf.DUMMYFUNCTION("LET(
  gen,$A263, ev,$B263, t,$M263,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63" s="65" t="n"/>
      <c r="P263" s="69" t="n"/>
      <c r="Q263" s="65" t="n"/>
      <c r="R263" s="69" t="n"/>
      <c r="S263" s="58" t="n"/>
      <c r="T263" s="69" t="n"/>
      <c r="U263" s="65" t="n"/>
      <c r="V263" s="65" t="n"/>
      <c r="W263" s="65" t="n"/>
    </row>
    <row r="264">
      <c r="A264" s="8" t="inlineStr">
        <is>
          <t>F</t>
        </is>
      </c>
      <c r="B264" s="9" t="inlineStr">
        <is>
          <t>50 Fly</t>
        </is>
      </c>
      <c r="C264" s="9" t="n">
        <v>21</v>
      </c>
      <c r="D264" s="219" t="n">
        <v>2</v>
      </c>
      <c r="E264" s="41" t="inlineStr">
        <is>
          <t>26.33</t>
        </is>
      </c>
      <c r="F264" s="35">
        <f>IFERROR(__xludf.DUMMYFUNCTION("IF(
  REGEXMATCH(E264, "":""),
  60*VALUE(INDEX(SPLIT(E264, "":""),1,1)) + VALUE(INDEX(SPLIT(E264, "":""),1,2)),
  VALUE(E264)
)"),26.33)</f>
        <v/>
      </c>
      <c r="G264" s="35">
        <f>average(F260-F263,F261-F264,F262-F265)</f>
        <v/>
      </c>
      <c r="H264" s="35" t="n">
        <v>0.1066666666666668</v>
      </c>
      <c r="I264" s="215">
        <f>C254</f>
        <v/>
      </c>
      <c r="J264" s="215">
        <f>C271</f>
        <v/>
      </c>
      <c r="K264" s="43">
        <f t="array" ref="K264">INDEX('Podium Target Times'!$C:$C, MATCH(A264&amp;B264, 'Podium Target Times'!$A:$A&amp;'Podium Target Times'!$B:$B, 0))
</f>
        <v/>
      </c>
      <c r="L264" s="12">
        <f>L266+G266</f>
        <v/>
      </c>
      <c r="M264" s="43">
        <f>TEXT(L264/86400, "mm:ss.00")</f>
        <v/>
      </c>
      <c r="N264" s="14">
        <f>IFERROR(__xludf.DUMMYFUNCTION("LET(
  gen,$A264, ev,$B264, t,$M264,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64" s="65" t="n"/>
      <c r="P264" s="69" t="n"/>
      <c r="Q264" s="65" t="n"/>
      <c r="R264" s="69" t="n"/>
      <c r="S264" s="58" t="n"/>
      <c r="T264" s="69" t="n"/>
      <c r="U264" s="65" t="n"/>
      <c r="V264" s="65" t="n"/>
      <c r="W264" s="65" t="n"/>
    </row>
    <row r="265">
      <c r="A265" s="17" t="inlineStr">
        <is>
          <t>F</t>
        </is>
      </c>
      <c r="B265" s="18" t="inlineStr">
        <is>
          <t>50 Fly</t>
        </is>
      </c>
      <c r="C265" s="18" t="n">
        <v>21</v>
      </c>
      <c r="D265" s="221" t="n">
        <v>3</v>
      </c>
      <c r="E265" s="46" t="inlineStr">
        <is>
          <t>26.34</t>
        </is>
      </c>
      <c r="F265" s="21">
        <f>IFERROR(__xludf.DUMMYFUNCTION("IF(
  REGEXMATCH(E265, "":""),
  60*VALUE(INDEX(SPLIT(E265, "":""),1,1)) + VALUE(INDEX(SPLIT(E265, "":""),1,2)),
  VALUE(E265)
)"),26.34)</f>
        <v/>
      </c>
      <c r="G265" s="21">
        <f>average(F260-F263,F261-F264,F262-F265)</f>
        <v/>
      </c>
      <c r="H265" s="21" t="n">
        <v>0.1066666666666668</v>
      </c>
      <c r="I265" s="211">
        <f>C254</f>
        <v/>
      </c>
      <c r="J265" s="211">
        <f>C271</f>
        <v/>
      </c>
      <c r="K265" s="60">
        <f t="array" ref="K265">INDEX('Podium Target Times'!$C:$C, MATCH(A265&amp;B265, 'Podium Target Times'!$A:$A&amp;'Podium Target Times'!$B:$B, 0))
</f>
        <v/>
      </c>
      <c r="L265" s="24">
        <f>L266+G266</f>
        <v/>
      </c>
      <c r="M265" s="60">
        <f>TEXT(L265/86400, "mm:ss.00")</f>
        <v/>
      </c>
      <c r="N265" s="25">
        <f>IFERROR(__xludf.DUMMYFUNCTION("LET(
  gen,$A265, ev,$B265, t,$M265,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65" s="65" t="n"/>
      <c r="P265" s="69" t="n"/>
      <c r="Q265" s="65" t="n"/>
      <c r="R265" s="69" t="n"/>
      <c r="S265" s="58" t="n"/>
      <c r="T265" s="69" t="n"/>
      <c r="U265" s="65" t="n"/>
      <c r="V265" s="65" t="n"/>
      <c r="W265" s="65" t="n"/>
    </row>
    <row r="266">
      <c r="A266" s="8" t="inlineStr">
        <is>
          <t>F</t>
        </is>
      </c>
      <c r="B266" s="9" t="inlineStr">
        <is>
          <t>50 Fly</t>
        </is>
      </c>
      <c r="C266" s="9" t="n">
        <v>22</v>
      </c>
      <c r="D266" s="219" t="n">
        <v>2</v>
      </c>
      <c r="E266" s="41" t="inlineStr">
        <is>
          <t>26.27</t>
        </is>
      </c>
      <c r="F266" s="35">
        <f>IFERROR(__xludf.DUMMYFUNCTION("IF(
  REGEXMATCH(E266, "":""),
  60*VALUE(INDEX(SPLIT(E266, "":""),1,1)) + VALUE(INDEX(SPLIT(E266, "":""),1,2)),
  VALUE(E266)
)"),26.27)</f>
        <v/>
      </c>
      <c r="G266" s="35">
        <f>average(F264-F266,F265-F267)</f>
        <v/>
      </c>
      <c r="H266" s="35" t="n">
        <v>0.05999999999999872</v>
      </c>
      <c r="I266" s="215">
        <f>C254</f>
        <v/>
      </c>
      <c r="J266" s="215">
        <f>C271</f>
        <v/>
      </c>
      <c r="K266" s="43">
        <f t="array" ref="K266">INDEX('Podium Target Times'!$C:$C, MATCH(A266&amp;B266, 'Podium Target Times'!$A:$A&amp;'Podium Target Times'!$B:$B, 0))
</f>
        <v/>
      </c>
      <c r="L266" s="12">
        <f>L268+G268</f>
        <v/>
      </c>
      <c r="M266" s="43">
        <f>TEXT(L266/86400, "mm:ss.00")</f>
        <v/>
      </c>
      <c r="N266" s="14">
        <f>IFERROR(__xludf.DUMMYFUNCTION("LET(
  gen,$A266, ev,$B266, t,$M266,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266" s="65" t="n"/>
      <c r="P266" s="69" t="n"/>
      <c r="Q266" s="65" t="n"/>
      <c r="R266" s="69" t="n"/>
      <c r="S266" s="58" t="n"/>
      <c r="T266" s="69" t="n"/>
      <c r="U266" s="65" t="n"/>
      <c r="V266" s="65" t="n"/>
      <c r="W266" s="65" t="n"/>
    </row>
    <row r="267">
      <c r="A267" s="17" t="inlineStr">
        <is>
          <t>F</t>
        </is>
      </c>
      <c r="B267" s="18" t="inlineStr">
        <is>
          <t>50 Fly</t>
        </is>
      </c>
      <c r="C267" s="18" t="n">
        <v>22</v>
      </c>
      <c r="D267" s="221" t="n">
        <v>3</v>
      </c>
      <c r="E267" s="46" t="inlineStr">
        <is>
          <t>26.28</t>
        </is>
      </c>
      <c r="F267" s="21">
        <f>IFERROR(__xludf.DUMMYFUNCTION("IF(
  REGEXMATCH(E267, "":""),
  60*VALUE(INDEX(SPLIT(E267, "":""),1,1)) + VALUE(INDEX(SPLIT(E267, "":""),1,2)),
  VALUE(E267)
)"),26.28)</f>
        <v/>
      </c>
      <c r="G267" s="21">
        <f>average(F264-F266,F265-F267)</f>
        <v/>
      </c>
      <c r="H267" s="21" t="n">
        <v>0.05999999999999872</v>
      </c>
      <c r="I267" s="211">
        <f>C254</f>
        <v/>
      </c>
      <c r="J267" s="211">
        <f>C271</f>
        <v/>
      </c>
      <c r="K267" s="60">
        <f t="array" ref="K267">INDEX('Podium Target Times'!$C:$C, MATCH(A267&amp;B267, 'Podium Target Times'!$A:$A&amp;'Podium Target Times'!$B:$B, 0))
</f>
        <v/>
      </c>
      <c r="L267" s="24">
        <f>L268+G268</f>
        <v/>
      </c>
      <c r="M267" s="60">
        <f>TEXT(L267/86400, "mm:ss.00")</f>
        <v/>
      </c>
      <c r="N267" s="25">
        <f>IFERROR(__xludf.DUMMYFUNCTION("LET(
  gen,$A267, ev,$B267, t,$M267,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267" s="65" t="n"/>
      <c r="P267" s="69" t="n"/>
      <c r="Q267" s="65" t="n"/>
      <c r="R267" s="69" t="n"/>
      <c r="S267" s="58" t="n"/>
      <c r="T267" s="69" t="n"/>
      <c r="U267" s="65" t="n"/>
      <c r="V267" s="65" t="n"/>
      <c r="W267" s="65" t="n"/>
    </row>
    <row r="268">
      <c r="A268" s="8" t="inlineStr">
        <is>
          <t>F</t>
        </is>
      </c>
      <c r="B268" s="9" t="inlineStr">
        <is>
          <t>50 Fly</t>
        </is>
      </c>
      <c r="C268" s="9" t="n">
        <v>23</v>
      </c>
      <c r="D268" s="219" t="n">
        <v>2</v>
      </c>
      <c r="E268" s="41" t="inlineStr">
        <is>
          <t>26.23</t>
        </is>
      </c>
      <c r="F268" s="35">
        <f>IFERROR(__xludf.DUMMYFUNCTION("IF(
  REGEXMATCH(E268, "":""),
  60*VALUE(INDEX(SPLIT(E268, "":""),1,1)) + VALUE(INDEX(SPLIT(E268, "":""),1,2)),
  VALUE(E268)
)"),26.23)</f>
        <v/>
      </c>
      <c r="G268" s="35">
        <f>average(F266-F268,F267-F269)</f>
        <v/>
      </c>
      <c r="H268" s="35" t="n">
        <v>0.04000000000000092</v>
      </c>
      <c r="I268" s="215">
        <f>C254</f>
        <v/>
      </c>
      <c r="J268" s="215">
        <f>C271</f>
        <v/>
      </c>
      <c r="K268" s="43">
        <f t="array" ref="K268">INDEX('Podium Target Times'!$C:$C, MATCH(A268&amp;B268, 'Podium Target Times'!$A:$A&amp;'Podium Target Times'!$B:$B, 0))
</f>
        <v/>
      </c>
      <c r="L268" s="12">
        <f>L270+G270</f>
        <v/>
      </c>
      <c r="M268" s="43">
        <f>TEXT(L268/86400, "mm:ss.00")</f>
        <v/>
      </c>
      <c r="N268" s="14">
        <f>IFERROR(__xludf.DUMMYFUNCTION("LET(
  gen,$A268, ev,$B268, t,$M268,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O268" s="65" t="n"/>
      <c r="P268" s="69" t="n"/>
      <c r="Q268" s="65" t="n"/>
      <c r="R268" s="69" t="n"/>
      <c r="S268" s="58" t="n"/>
      <c r="T268" s="69" t="n"/>
      <c r="U268" s="65" t="n"/>
      <c r="V268" s="65" t="n"/>
      <c r="W268" s="65" t="n"/>
    </row>
    <row r="269">
      <c r="A269" s="17" t="inlineStr">
        <is>
          <t>F</t>
        </is>
      </c>
      <c r="B269" s="18" t="inlineStr">
        <is>
          <t>50 Fly</t>
        </is>
      </c>
      <c r="C269" s="18" t="n">
        <v>23</v>
      </c>
      <c r="D269" s="221" t="n">
        <v>3</v>
      </c>
      <c r="E269" s="46" t="inlineStr">
        <is>
          <t>26.24</t>
        </is>
      </c>
      <c r="F269" s="21">
        <f>IFERROR(__xludf.DUMMYFUNCTION("IF(
  REGEXMATCH(E269, "":""),
  60*VALUE(INDEX(SPLIT(E269, "":""),1,1)) + VALUE(INDEX(SPLIT(E269, "":""),1,2)),
  VALUE(E269)
)"),26.24)</f>
        <v/>
      </c>
      <c r="G269" s="21">
        <f>average(F266-F268,F267-F269)</f>
        <v/>
      </c>
      <c r="H269" s="21" t="n">
        <v>0.04000000000000092</v>
      </c>
      <c r="I269" s="211">
        <f>C254</f>
        <v/>
      </c>
      <c r="J269" s="211">
        <f>C271</f>
        <v/>
      </c>
      <c r="K269" s="60">
        <f t="array" ref="K269">INDEX('Podium Target Times'!$C:$C, MATCH(A269&amp;B269, 'Podium Target Times'!$A:$A&amp;'Podium Target Times'!$B:$B, 0))
</f>
        <v/>
      </c>
      <c r="L269" s="24">
        <f>L270+G270</f>
        <v/>
      </c>
      <c r="M269" s="60">
        <f>TEXT(L269/86400, "mm:ss.00")</f>
        <v/>
      </c>
      <c r="N269" s="25">
        <f>IFERROR(__xludf.DUMMYFUNCTION("LET(
  gen,$A269, ev,$B269, t,$M269,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O269" s="65" t="n"/>
      <c r="P269" s="69" t="n"/>
      <c r="Q269" s="65" t="n"/>
      <c r="R269" s="69" t="n"/>
      <c r="S269" s="58" t="n"/>
      <c r="T269" s="69" t="n"/>
      <c r="U269" s="65" t="n"/>
      <c r="V269" s="65" t="n"/>
      <c r="W269" s="65" t="n"/>
    </row>
    <row r="270">
      <c r="A270" s="8" t="inlineStr">
        <is>
          <t>F</t>
        </is>
      </c>
      <c r="B270" s="9" t="inlineStr">
        <is>
          <t>50 Fly</t>
        </is>
      </c>
      <c r="C270" s="9" t="n">
        <v>24</v>
      </c>
      <c r="D270" s="219" t="n">
        <v>3</v>
      </c>
      <c r="E270" s="41" t="inlineStr">
        <is>
          <t>26.23</t>
        </is>
      </c>
      <c r="F270" s="35">
        <f>IFERROR(__xludf.DUMMYFUNCTION("IF(
  REGEXMATCH(E270, "":""),
  60*VALUE(INDEX(SPLIT(E270, "":""),1,1)) + VALUE(INDEX(SPLIT(E270, "":""),1,2)),
  VALUE(E270)
)"),26.23)</f>
        <v/>
      </c>
      <c r="G270" s="35">
        <f>F269-F270</f>
        <v/>
      </c>
      <c r="H270" s="35" t="n">
        <v>0.00999999999999801</v>
      </c>
      <c r="I270" s="215">
        <f>C254</f>
        <v/>
      </c>
      <c r="J270" s="215">
        <f>C271</f>
        <v/>
      </c>
      <c r="K270" s="43">
        <f t="array" ref="K270">INDEX('Podium Target Times'!$C:$C, MATCH(A270&amp;B270, 'Podium Target Times'!$A:$A&amp;'Podium Target Times'!$B:$B, 0))
</f>
        <v/>
      </c>
      <c r="L270" s="12">
        <f>L271+G271</f>
        <v/>
      </c>
      <c r="M270" s="43">
        <f>TEXT(L270/86400, "mm:ss.00")</f>
        <v/>
      </c>
      <c r="N270" s="14">
        <f>IFERROR(__xludf.DUMMYFUNCTION("LET(
  gen,$A270, ev,$B270, t,$M270,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270" s="65" t="n"/>
      <c r="P270" s="69" t="n"/>
      <c r="Q270" s="65" t="n"/>
      <c r="R270" s="69" t="n"/>
      <c r="S270" s="58" t="n"/>
      <c r="T270" s="69" t="n"/>
      <c r="U270" s="65" t="n"/>
      <c r="V270" s="65" t="n"/>
      <c r="W270" s="65" t="n"/>
    </row>
    <row r="271">
      <c r="A271" s="17" t="inlineStr">
        <is>
          <t>F</t>
        </is>
      </c>
      <c r="B271" s="18" t="inlineStr">
        <is>
          <t>50 Fly</t>
        </is>
      </c>
      <c r="C271" s="18" t="n">
        <v>25</v>
      </c>
      <c r="D271" s="221" t="n">
        <v>3</v>
      </c>
      <c r="E271" s="46" t="inlineStr">
        <is>
          <t>26.23</t>
        </is>
      </c>
      <c r="F271" s="21">
        <f>IFERROR(__xludf.DUMMYFUNCTION("IF(
  REGEXMATCH(E271, "":""),
  60*VALUE(INDEX(SPLIT(E271, "":""),1,1)) + VALUE(INDEX(SPLIT(E271, "":""),1,2)),
  VALUE(E271)
)"),26.23)</f>
        <v/>
      </c>
      <c r="G271" s="21">
        <f>F270-F271</f>
        <v/>
      </c>
      <c r="H271" s="21" t="n">
        <v>0</v>
      </c>
      <c r="I271" s="211">
        <f>C254</f>
        <v/>
      </c>
      <c r="J271" s="211">
        <f>C271</f>
        <v/>
      </c>
      <c r="K271" s="60">
        <f t="array" ref="K271">INDEX('Podium Target Times'!$C:$C, MATCH(A271&amp;B271, 'Podium Target Times'!$A:$A&amp;'Podium Target Times'!$B:$B, 0))
</f>
        <v/>
      </c>
      <c r="L271" s="211">
        <f>K271</f>
        <v/>
      </c>
      <c r="M271" s="60">
        <f>TEXT(L271/86400, "mm:ss.00")</f>
        <v/>
      </c>
      <c r="N271" s="25">
        <f>IFERROR(__xludf.DUMMYFUNCTION("LET(
  gen,$A271, ev,$B271, t,$M271,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271" s="65" t="n"/>
      <c r="P271" s="69" t="n"/>
      <c r="Q271" s="65" t="n"/>
      <c r="R271" s="69" t="n"/>
      <c r="S271" s="58" t="n"/>
      <c r="T271" s="69" t="n"/>
      <c r="U271" s="65" t="n"/>
      <c r="V271" s="65" t="n"/>
      <c r="W271" s="65" t="n"/>
    </row>
    <row r="272">
      <c r="A272" s="8" t="inlineStr">
        <is>
          <t>F</t>
        </is>
      </c>
      <c r="B272" s="9" t="inlineStr">
        <is>
          <t>50 Free</t>
        </is>
      </c>
      <c r="C272" s="9" t="n">
        <v>16</v>
      </c>
      <c r="D272" s="9" t="n">
        <v>1</v>
      </c>
      <c r="E272" s="483" t="inlineStr">
        <is>
          <t>25.66</t>
        </is>
      </c>
      <c r="F272" s="35">
        <f>IFERROR(__xludf.DUMMYFUNCTION("IF(
  REGEXMATCH(E272, "":""),
  60*VALUE(INDEX(SPLIT(E272, "":""),1,1)) + VALUE(INDEX(SPLIT(E272, "":""),1,2)),
  VALUE(E272)
)"),25.66)</f>
        <v/>
      </c>
      <c r="G272" s="12" t="n">
        <v>0</v>
      </c>
      <c r="H272" s="12" t="n">
        <v>0</v>
      </c>
      <c r="I272" s="43">
        <f>C272</f>
        <v/>
      </c>
      <c r="J272" s="43">
        <f>C289</f>
        <v/>
      </c>
      <c r="K272" s="43">
        <f t="array" ref="K272">INDEX('Podium Target Times'!$C:$C, MATCH(A272&amp;B272, 'Podium Target Times'!$A:$A&amp;'Podium Target Times'!$B:$B, 0))
</f>
        <v/>
      </c>
      <c r="L272" s="12">
        <f>L273+G273</f>
        <v/>
      </c>
      <c r="M272" s="43">
        <f>TEXT(L272/86400, "mm:ss.00")</f>
        <v/>
      </c>
      <c r="N272" s="14">
        <f>IFERROR(__xludf.DUMMYFUNCTION("LET(
  gen,$A272, ev,$B272, t,$M272,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
      </c>
      <c r="O272" s="65" t="n"/>
      <c r="P272" s="69">
        <f>A272</f>
        <v/>
      </c>
      <c r="Q272" s="65">
        <f>B272</f>
        <v/>
      </c>
      <c r="R272" s="69">
        <f>C272</f>
        <v/>
      </c>
      <c r="S272" s="58">
        <f>M272</f>
        <v/>
      </c>
      <c r="T272" s="69">
        <f>N272</f>
        <v/>
      </c>
      <c r="U272" s="65" t="n"/>
      <c r="V272" s="65" t="n"/>
      <c r="W272" s="65" t="n"/>
    </row>
    <row r="273">
      <c r="A273" s="17" t="inlineStr">
        <is>
          <t>F</t>
        </is>
      </c>
      <c r="B273" s="18" t="inlineStr">
        <is>
          <t>50 Free</t>
        </is>
      </c>
      <c r="C273" s="18" t="n">
        <v>17</v>
      </c>
      <c r="D273" s="18" t="n">
        <v>1</v>
      </c>
      <c r="E273" s="46" t="inlineStr">
        <is>
          <t>25.40</t>
        </is>
      </c>
      <c r="F273" s="21">
        <f>IFERROR(__xludf.DUMMYFUNCTION("IF(
  REGEXMATCH(E273, "":""),
  60*VALUE(INDEX(SPLIT(E273, "":""),1,1)) + VALUE(INDEX(SPLIT(E273, "":""),1,2)),
  VALUE(E273)
)"),25.4)</f>
        <v/>
      </c>
      <c r="G273" s="21">
        <f>F272-F273</f>
        <v/>
      </c>
      <c r="H273" s="21" t="n">
        <v>0.2600000000000016</v>
      </c>
      <c r="I273" s="211">
        <f>C272</f>
        <v/>
      </c>
      <c r="J273" s="211">
        <f>C289</f>
        <v/>
      </c>
      <c r="K273" s="60">
        <f t="array" ref="K273">INDEX('Podium Target Times'!$C:$C, MATCH(A273&amp;B273, 'Podium Target Times'!$A:$A&amp;'Podium Target Times'!$B:$B, 0))
</f>
        <v/>
      </c>
      <c r="L273" s="24">
        <f>L275+G275</f>
        <v/>
      </c>
      <c r="M273" s="60">
        <f>TEXT(L273/86400, "mm:ss.00")</f>
        <v/>
      </c>
      <c r="N273" s="25">
        <f>IFERROR(__xludf.DUMMYFUNCTION("LET(
  gen,$A273, ev,$B273, t,$M273,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O273" s="65" t="n"/>
      <c r="P273" s="69">
        <f>A273</f>
        <v/>
      </c>
      <c r="Q273" s="65">
        <f>B273</f>
        <v/>
      </c>
      <c r="R273" s="69">
        <f>C273</f>
        <v/>
      </c>
      <c r="S273" s="58">
        <f>M273</f>
        <v/>
      </c>
      <c r="T273" s="69">
        <f>N273</f>
        <v/>
      </c>
      <c r="U273" s="65" t="n"/>
      <c r="V273" s="65" t="n"/>
      <c r="W273" s="65" t="n"/>
    </row>
    <row r="274">
      <c r="A274" s="8" t="inlineStr">
        <is>
          <t>F</t>
        </is>
      </c>
      <c r="B274" s="9" t="inlineStr">
        <is>
          <t>50 Free</t>
        </is>
      </c>
      <c r="C274" s="9" t="n">
        <v>17</v>
      </c>
      <c r="D274" s="9" t="n">
        <v>2</v>
      </c>
      <c r="E274" s="215" t="inlineStr">
        <is>
          <t>25.68</t>
        </is>
      </c>
      <c r="F274" s="35">
        <f>IFERROR(__xludf.DUMMYFUNCTION("IF(
  REGEXMATCH(E274, "":""),
  60*VALUE(INDEX(SPLIT(E274, "":""),1,1)) + VALUE(INDEX(SPLIT(E274, "":""),1,2)),
  VALUE(E274)
)"),25.68)</f>
        <v/>
      </c>
      <c r="G274" s="35">
        <f>F272-F273</f>
        <v/>
      </c>
      <c r="H274" s="35" t="n">
        <v>0.2600000000000016</v>
      </c>
      <c r="I274" s="215">
        <f>C272</f>
        <v/>
      </c>
      <c r="J274" s="215">
        <f>C289</f>
        <v/>
      </c>
      <c r="K274" s="43">
        <f t="array" ref="K274">INDEX('Podium Target Times'!$C:$C, MATCH(A274&amp;B274, 'Podium Target Times'!$A:$A&amp;'Podium Target Times'!$B:$B, 0))
</f>
        <v/>
      </c>
      <c r="L274" s="12">
        <f>L275+G275</f>
        <v/>
      </c>
      <c r="M274" s="43">
        <f>TEXT(L274/86400, "mm:ss.00")</f>
        <v/>
      </c>
      <c r="N274" s="14">
        <f>IFERROR(__xludf.DUMMYFUNCTION("LET(
  gen,$A274, ev,$B274, t,$M274,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O274" s="65" t="n"/>
      <c r="P274" s="69">
        <f>A275</f>
        <v/>
      </c>
      <c r="Q274" s="65">
        <f>B275</f>
        <v/>
      </c>
      <c r="R274" s="69">
        <f>C275</f>
        <v/>
      </c>
      <c r="S274" s="58">
        <f>M275</f>
        <v/>
      </c>
      <c r="T274" s="69">
        <f>N275</f>
        <v/>
      </c>
      <c r="U274" s="65" t="n"/>
      <c r="V274" s="65" t="n"/>
      <c r="W274" s="65" t="n"/>
    </row>
    <row r="275">
      <c r="A275" s="17" t="inlineStr">
        <is>
          <t>F</t>
        </is>
      </c>
      <c r="B275" s="18" t="inlineStr">
        <is>
          <t>50 Free</t>
        </is>
      </c>
      <c r="C275" s="18" t="n">
        <v>18</v>
      </c>
      <c r="D275" s="18" t="n">
        <v>1</v>
      </c>
      <c r="E275" s="46" t="inlineStr">
        <is>
          <t>25.20</t>
        </is>
      </c>
      <c r="F275" s="21">
        <f>IFERROR(__xludf.DUMMYFUNCTION("IF(
  REGEXMATCH(E275, "":""),
  60*VALUE(INDEX(SPLIT(E275, "":""),1,1)) + VALUE(INDEX(SPLIT(E275, "":""),1,2)),
  VALUE(E275)
)"),25.2)</f>
        <v/>
      </c>
      <c r="G275" s="21">
        <f>average(F273-F275,F274-F276)</f>
        <v/>
      </c>
      <c r="H275" s="21" t="n">
        <v>0.1999999999999993</v>
      </c>
      <c r="I275" s="211">
        <f>C272</f>
        <v/>
      </c>
      <c r="J275" s="211">
        <f>C289</f>
        <v/>
      </c>
      <c r="K275" s="60">
        <f t="array" ref="K275">INDEX('Podium Target Times'!$C:$C, MATCH(A275&amp;B275, 'Podium Target Times'!$A:$A&amp;'Podium Target Times'!$B:$B, 0))
</f>
        <v/>
      </c>
      <c r="L275" s="24">
        <f>L278+G278</f>
        <v/>
      </c>
      <c r="M275" s="60">
        <f>TEXT(L275/86400, "mm:ss.00")</f>
        <v/>
      </c>
      <c r="N275" s="25">
        <f>IFERROR(__xludf.DUMMYFUNCTION("LET(
  gen,$A275, ev,$B275, t,$M275,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275" s="65" t="n"/>
      <c r="P275" s="69">
        <f>A278</f>
        <v/>
      </c>
      <c r="Q275" s="65">
        <f>B278</f>
        <v/>
      </c>
      <c r="R275" s="69">
        <f>C278</f>
        <v/>
      </c>
      <c r="S275" s="58">
        <f>M278</f>
        <v/>
      </c>
      <c r="T275" s="69">
        <f>N278</f>
        <v/>
      </c>
      <c r="U275" s="65" t="n"/>
      <c r="V275" s="65" t="n"/>
      <c r="W275" s="65" t="n"/>
    </row>
    <row r="276">
      <c r="A276" s="8" t="inlineStr">
        <is>
          <t>F</t>
        </is>
      </c>
      <c r="B276" s="9" t="inlineStr">
        <is>
          <t>50 Free</t>
        </is>
      </c>
      <c r="C276" s="9" t="n">
        <v>18</v>
      </c>
      <c r="D276" s="9" t="n">
        <v>2</v>
      </c>
      <c r="E276" s="41" t="inlineStr">
        <is>
          <t>25.48</t>
        </is>
      </c>
      <c r="F276" s="35">
        <f>IFERROR(__xludf.DUMMYFUNCTION("IF(
  REGEXMATCH(E276, "":""),
  60*VALUE(INDEX(SPLIT(E276, "":""),1,1)) + VALUE(INDEX(SPLIT(E276, "":""),1,2)),
  VALUE(E276)
)"),25.48)</f>
        <v/>
      </c>
      <c r="G276" s="35">
        <f>average(F273-F275,F274-F276)</f>
        <v/>
      </c>
      <c r="H276" s="35" t="n">
        <v>0.1999999999999993</v>
      </c>
      <c r="I276" s="215">
        <f>C272</f>
        <v/>
      </c>
      <c r="J276" s="215">
        <f>C289</f>
        <v/>
      </c>
      <c r="K276" s="43">
        <f t="array" ref="K276">INDEX('Podium Target Times'!$C:$C, MATCH(A276&amp;B276, 'Podium Target Times'!$A:$A&amp;'Podium Target Times'!$B:$B, 0))
</f>
        <v/>
      </c>
      <c r="L276" s="12">
        <f>L278+G278</f>
        <v/>
      </c>
      <c r="M276" s="43">
        <f>TEXT(L276/86400, "mm:ss.00")</f>
        <v/>
      </c>
      <c r="N276" s="14">
        <f>IFERROR(__xludf.DUMMYFUNCTION("LET(
  gen,$A276, ev,$B276, t,$M276,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276" s="65" t="n"/>
      <c r="P276" s="69">
        <f>A281</f>
        <v/>
      </c>
      <c r="Q276" s="65">
        <f>B281</f>
        <v/>
      </c>
      <c r="R276" s="69">
        <f>C281</f>
        <v/>
      </c>
      <c r="S276" s="58">
        <f>M281</f>
        <v/>
      </c>
      <c r="T276" s="69">
        <f>N281</f>
        <v/>
      </c>
      <c r="U276" s="65" t="n"/>
      <c r="V276" s="65" t="n"/>
      <c r="W276" s="65" t="n"/>
    </row>
    <row r="277">
      <c r="A277" s="17" t="inlineStr">
        <is>
          <t>F</t>
        </is>
      </c>
      <c r="B277" s="18" t="inlineStr">
        <is>
          <t>50 Free</t>
        </is>
      </c>
      <c r="C277" s="18" t="n">
        <v>18</v>
      </c>
      <c r="D277" s="18" t="n">
        <v>3</v>
      </c>
      <c r="E277" s="46" t="inlineStr">
        <is>
          <t>25.64</t>
        </is>
      </c>
      <c r="F277" s="21">
        <f>IFERROR(__xludf.DUMMYFUNCTION("IF(
  REGEXMATCH(E277, "":""),
  60*VALUE(INDEX(SPLIT(E277, "":""),1,1)) + VALUE(INDEX(SPLIT(E277, "":""),1,2)),
  VALUE(E277)
)"),25.64)</f>
        <v/>
      </c>
      <c r="G277" s="21">
        <f>average(F273-F275,F274-F276)</f>
        <v/>
      </c>
      <c r="H277" s="21" t="n">
        <v>0.1999999999999993</v>
      </c>
      <c r="I277" s="211">
        <f>C272</f>
        <v/>
      </c>
      <c r="J277" s="211">
        <f>C289</f>
        <v/>
      </c>
      <c r="K277" s="60">
        <f t="array" ref="K277">INDEX('Podium Target Times'!$C:$C, MATCH(A277&amp;B277, 'Podium Target Times'!$A:$A&amp;'Podium Target Times'!$B:$B, 0))
</f>
        <v/>
      </c>
      <c r="L277" s="24">
        <f>L278+G278</f>
        <v/>
      </c>
      <c r="M277" s="60">
        <f>TEXT(L277/86400, "mm:ss.00")</f>
        <v/>
      </c>
      <c r="N277" s="25">
        <f>IFERROR(__xludf.DUMMYFUNCTION("LET(
  gen,$A277, ev,$B277, t,$M277,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277" s="65" t="n"/>
      <c r="P277" s="69">
        <f>A284</f>
        <v/>
      </c>
      <c r="Q277" s="65">
        <f>B284</f>
        <v/>
      </c>
      <c r="R277" s="69">
        <f>C284</f>
        <v/>
      </c>
      <c r="S277" s="58">
        <f>M284</f>
        <v/>
      </c>
      <c r="T277" s="69">
        <f>N284</f>
        <v/>
      </c>
      <c r="U277" s="65" t="n"/>
      <c r="V277" s="65" t="n"/>
      <c r="W277" s="65" t="n"/>
    </row>
    <row r="278">
      <c r="A278" s="8" t="inlineStr">
        <is>
          <t>F</t>
        </is>
      </c>
      <c r="B278" s="9" t="inlineStr">
        <is>
          <t>50 Free</t>
        </is>
      </c>
      <c r="C278" s="9" t="n">
        <v>19</v>
      </c>
      <c r="D278" s="9" t="n">
        <v>1</v>
      </c>
      <c r="E278" s="41" t="inlineStr">
        <is>
          <t>25.02</t>
        </is>
      </c>
      <c r="F278" s="35">
        <f>IFERROR(__xludf.DUMMYFUNCTION("IF(
  REGEXMATCH(E278, "":""),
  60*VALUE(INDEX(SPLIT(E278, "":""),1,1)) + VALUE(INDEX(SPLIT(E278, "":""),1,2)),
  VALUE(E278)
)"),25.02)</f>
        <v/>
      </c>
      <c r="G278" s="35">
        <f>average(F275-F278,F276-F279,F277-F280)</f>
        <v/>
      </c>
      <c r="H278" s="35" t="n">
        <v>0.1766666666666671</v>
      </c>
      <c r="I278" s="215">
        <f>C272</f>
        <v/>
      </c>
      <c r="J278" s="215">
        <f>C289</f>
        <v/>
      </c>
      <c r="K278" s="43">
        <f t="array" ref="K278">INDEX('Podium Target Times'!$C:$C, MATCH(A278&amp;B278, 'Podium Target Times'!$A:$A&amp;'Podium Target Times'!$B:$B, 0))
</f>
        <v/>
      </c>
      <c r="L278" s="12">
        <f>L281+G281</f>
        <v/>
      </c>
      <c r="M278" s="43">
        <f>TEXT(L278/86400, "mm:ss.00")</f>
        <v/>
      </c>
      <c r="N278" s="14">
        <f>IFERROR(__xludf.DUMMYFUNCTION("LET(
  gen,$A278, ev,$B278, t,$M278,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O278" s="65" t="n"/>
      <c r="P278" s="69">
        <f>A286</f>
        <v/>
      </c>
      <c r="Q278" s="65">
        <f>B286</f>
        <v/>
      </c>
      <c r="R278" s="69">
        <f>C286</f>
        <v/>
      </c>
      <c r="S278" s="58">
        <f>M286</f>
        <v/>
      </c>
      <c r="T278" s="69">
        <f>N286</f>
        <v/>
      </c>
      <c r="U278" s="65" t="n"/>
      <c r="V278" s="65" t="n"/>
      <c r="W278" s="65" t="n"/>
    </row>
    <row r="279">
      <c r="A279" s="17" t="inlineStr">
        <is>
          <t>F</t>
        </is>
      </c>
      <c r="B279" s="18" t="inlineStr">
        <is>
          <t>50 Free</t>
        </is>
      </c>
      <c r="C279" s="18" t="n">
        <v>19</v>
      </c>
      <c r="D279" s="18" t="n">
        <v>2</v>
      </c>
      <c r="E279" s="46" t="inlineStr">
        <is>
          <t>25.30</t>
        </is>
      </c>
      <c r="F279" s="21">
        <f>IFERROR(__xludf.DUMMYFUNCTION("IF(
  REGEXMATCH(E279, "":""),
  60*VALUE(INDEX(SPLIT(E279, "":""),1,1)) + VALUE(INDEX(SPLIT(E279, "":""),1,2)),
  VALUE(E279)
)"),25.3)</f>
        <v/>
      </c>
      <c r="G279" s="21">
        <f>average(F275-F278,F276-F279,F277-F280)</f>
        <v/>
      </c>
      <c r="H279" s="21" t="n">
        <v>0.1766666666666671</v>
      </c>
      <c r="I279" s="211">
        <f>C272</f>
        <v/>
      </c>
      <c r="J279" s="211">
        <f>C289</f>
        <v/>
      </c>
      <c r="K279" s="60">
        <f t="array" ref="K279">INDEX('Podium Target Times'!$C:$C, MATCH(A279&amp;B279, 'Podium Target Times'!$A:$A&amp;'Podium Target Times'!$B:$B, 0))
</f>
        <v/>
      </c>
      <c r="L279" s="24">
        <f>L281+G281</f>
        <v/>
      </c>
      <c r="M279" s="60">
        <f>TEXT(L279/86400, "mm:ss.00")</f>
        <v/>
      </c>
      <c r="N279" s="25">
        <f>IFERROR(__xludf.DUMMYFUNCTION("LET(
  gen,$A279, ev,$B279, t,$M279,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O279" s="65" t="n"/>
      <c r="P279" s="69">
        <f>A288</f>
        <v/>
      </c>
      <c r="Q279" s="65">
        <f>B288</f>
        <v/>
      </c>
      <c r="R279" s="69">
        <f>C288</f>
        <v/>
      </c>
      <c r="S279" s="58">
        <f>M288</f>
        <v/>
      </c>
      <c r="T279" s="69">
        <f>N288</f>
        <v/>
      </c>
      <c r="U279" s="65" t="n"/>
      <c r="V279" s="65" t="n"/>
      <c r="W279" s="65" t="n"/>
    </row>
    <row r="280">
      <c r="A280" s="8" t="inlineStr">
        <is>
          <t>F</t>
        </is>
      </c>
      <c r="B280" s="9" t="inlineStr">
        <is>
          <t>50 Free</t>
        </is>
      </c>
      <c r="C280" s="9" t="n">
        <v>19</v>
      </c>
      <c r="D280" s="9" t="n">
        <v>3</v>
      </c>
      <c r="E280" s="41" t="inlineStr">
        <is>
          <t>25.47</t>
        </is>
      </c>
      <c r="F280" s="35">
        <f>IFERROR(__xludf.DUMMYFUNCTION("IF(
  REGEXMATCH(E280, "":""),
  60*VALUE(INDEX(SPLIT(E280, "":""),1,1)) + VALUE(INDEX(SPLIT(E280, "":""),1,2)),
  VALUE(E280)
)"),25.47)</f>
        <v/>
      </c>
      <c r="G280" s="35">
        <f>average(F275-F278,F276-F279,F277-F280)</f>
        <v/>
      </c>
      <c r="H280" s="35" t="n">
        <v>0.1766666666666671</v>
      </c>
      <c r="I280" s="215">
        <f>C272</f>
        <v/>
      </c>
      <c r="J280" s="215">
        <f>C289</f>
        <v/>
      </c>
      <c r="K280" s="43">
        <f t="array" ref="K280">INDEX('Podium Target Times'!$C:$C, MATCH(A280&amp;B280, 'Podium Target Times'!$A:$A&amp;'Podium Target Times'!$B:$B, 0))
</f>
        <v/>
      </c>
      <c r="L280" s="12">
        <f>L281+G281</f>
        <v/>
      </c>
      <c r="M280" s="43">
        <f>TEXT(L280/86400, "mm:ss.00")</f>
        <v/>
      </c>
      <c r="N280" s="14">
        <f>IFERROR(__xludf.DUMMYFUNCTION("LET(
  gen,$A280, ev,$B280, t,$M280,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O280" s="65" t="n"/>
      <c r="P280" s="69">
        <f>A289</f>
        <v/>
      </c>
      <c r="Q280" s="65">
        <f>B289</f>
        <v/>
      </c>
      <c r="R280" s="69">
        <f>C289</f>
        <v/>
      </c>
      <c r="S280" s="58">
        <f>M289</f>
        <v/>
      </c>
      <c r="T280" s="69">
        <f>N289</f>
        <v/>
      </c>
      <c r="U280" s="65" t="n"/>
      <c r="V280" s="65" t="n"/>
      <c r="W280" s="65" t="n"/>
    </row>
    <row r="281">
      <c r="A281" s="17" t="inlineStr">
        <is>
          <t>F</t>
        </is>
      </c>
      <c r="B281" s="18" t="inlineStr">
        <is>
          <t>50 Free</t>
        </is>
      </c>
      <c r="C281" s="18" t="n">
        <v>20</v>
      </c>
      <c r="D281" s="18" t="n">
        <v>1</v>
      </c>
      <c r="E281" s="46" t="inlineStr">
        <is>
          <t>24.86</t>
        </is>
      </c>
      <c r="F281" s="21">
        <f>IFERROR(__xludf.DUMMYFUNCTION("IF(
  REGEXMATCH(E281, "":""),
  60*VALUE(INDEX(SPLIT(E281, "":""),1,1)) + VALUE(INDEX(SPLIT(E281, "":""),1,2)),
  VALUE(E281)
)"),24.86)</f>
        <v/>
      </c>
      <c r="G281" s="21">
        <f>average(F278-F281,F279-F282,F280-F283)</f>
        <v/>
      </c>
      <c r="H281" s="21" t="n">
        <v>0.1633333333333328</v>
      </c>
      <c r="I281" s="211">
        <f>C272</f>
        <v/>
      </c>
      <c r="J281" s="211">
        <f>C289</f>
        <v/>
      </c>
      <c r="K281" s="60">
        <f t="array" ref="K281">INDEX('Podium Target Times'!$C:$C, MATCH(A281&amp;B281, 'Podium Target Times'!$A:$A&amp;'Podium Target Times'!$B:$B, 0))
</f>
        <v/>
      </c>
      <c r="L281" s="24">
        <f>L284+G284</f>
        <v/>
      </c>
      <c r="M281" s="60">
        <f>TEXT(L281/86400, "mm:ss.00")</f>
        <v/>
      </c>
      <c r="N281" s="25">
        <f>IFERROR(__xludf.DUMMYFUNCTION("LET(
  gen,$A281, ev,$B281, t,$M281,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O281" s="65" t="n"/>
      <c r="P281" s="69" t="n"/>
      <c r="Q281" s="65" t="n"/>
      <c r="R281" s="69" t="n"/>
      <c r="S281" s="58" t="n"/>
      <c r="T281" s="69" t="n"/>
      <c r="U281" s="65" t="n"/>
      <c r="V281" s="65" t="n"/>
      <c r="W281" s="65" t="n"/>
    </row>
    <row r="282">
      <c r="A282" s="8" t="inlineStr">
        <is>
          <t>F</t>
        </is>
      </c>
      <c r="B282" s="9" t="inlineStr">
        <is>
          <t>50 Free</t>
        </is>
      </c>
      <c r="C282" s="9" t="n">
        <v>20</v>
      </c>
      <c r="D282" s="9" t="n">
        <v>2</v>
      </c>
      <c r="E282" s="41" t="inlineStr">
        <is>
          <t>25.14</t>
        </is>
      </c>
      <c r="F282" s="35">
        <f>IFERROR(__xludf.DUMMYFUNCTION("IF(
  REGEXMATCH(E282, "":""),
  60*VALUE(INDEX(SPLIT(E282, "":""),1,1)) + VALUE(INDEX(SPLIT(E282, "":""),1,2)),
  VALUE(E282)
)"),25.14)</f>
        <v/>
      </c>
      <c r="G282" s="35">
        <f>average(F278-F281,F279-F282,F280-F283)</f>
        <v/>
      </c>
      <c r="H282" s="35" t="n">
        <v>0.1633333333333328</v>
      </c>
      <c r="I282" s="215">
        <f>C272</f>
        <v/>
      </c>
      <c r="J282" s="215">
        <f>C289</f>
        <v/>
      </c>
      <c r="K282" s="43">
        <f t="array" ref="K282">INDEX('Podium Target Times'!$C:$C, MATCH(A282&amp;B282, 'Podium Target Times'!$A:$A&amp;'Podium Target Times'!$B:$B, 0))
</f>
        <v/>
      </c>
      <c r="L282" s="12">
        <f>L284+G284</f>
        <v/>
      </c>
      <c r="M282" s="43">
        <f>TEXT(L282/86400, "mm:ss.00")</f>
        <v/>
      </c>
      <c r="N282" s="14">
        <f>IFERROR(__xludf.DUMMYFUNCTION("LET(
  gen,$A282, ev,$B282, t,$M282,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O282" s="65" t="n"/>
      <c r="P282" s="69" t="n"/>
      <c r="Q282" s="65" t="n"/>
      <c r="R282" s="69" t="n"/>
      <c r="S282" s="58" t="n"/>
      <c r="T282" s="69" t="n"/>
      <c r="U282" s="65" t="n"/>
      <c r="V282" s="65" t="n"/>
      <c r="W282" s="65" t="n"/>
    </row>
    <row r="283">
      <c r="A283" s="17" t="inlineStr">
        <is>
          <t>F</t>
        </is>
      </c>
      <c r="B283" s="18" t="inlineStr">
        <is>
          <t>50 Free</t>
        </is>
      </c>
      <c r="C283" s="18" t="n">
        <v>20</v>
      </c>
      <c r="D283" s="18" t="n">
        <v>3</v>
      </c>
      <c r="E283" s="46" t="inlineStr">
        <is>
          <t>25.30</t>
        </is>
      </c>
      <c r="F283" s="21">
        <f>IFERROR(__xludf.DUMMYFUNCTION("IF(
  REGEXMATCH(E283, "":""),
  60*VALUE(INDEX(SPLIT(E283, "":""),1,1)) + VALUE(INDEX(SPLIT(E283, "":""),1,2)),
  VALUE(E283)
)"),25.3)</f>
        <v/>
      </c>
      <c r="G283" s="21">
        <f>average(F278-F281,F279-F282,F280-F283)</f>
        <v/>
      </c>
      <c r="H283" s="21" t="n">
        <v>0.1633333333333328</v>
      </c>
      <c r="I283" s="211">
        <f>C272</f>
        <v/>
      </c>
      <c r="J283" s="211">
        <f>C289</f>
        <v/>
      </c>
      <c r="K283" s="60">
        <f t="array" ref="K283">INDEX('Podium Target Times'!$C:$C, MATCH(A283&amp;B283, 'Podium Target Times'!$A:$A&amp;'Podium Target Times'!$B:$B, 0))
</f>
        <v/>
      </c>
      <c r="L283" s="24">
        <f>L284+G284</f>
        <v/>
      </c>
      <c r="M283" s="60">
        <f>TEXT(L283/86400, "mm:ss.00")</f>
        <v/>
      </c>
      <c r="N283" s="25">
        <f>IFERROR(__xludf.DUMMYFUNCTION("LET(
  gen,$A283, ev,$B283, t,$M283,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O283" s="65" t="n"/>
      <c r="P283" s="69" t="n"/>
      <c r="Q283" s="65" t="n"/>
      <c r="R283" s="69" t="n"/>
      <c r="S283" s="58" t="n"/>
      <c r="T283" s="69" t="n"/>
      <c r="U283" s="65" t="n"/>
      <c r="V283" s="65" t="n"/>
      <c r="W283" s="65" t="n"/>
    </row>
    <row r="284">
      <c r="A284" s="8" t="inlineStr">
        <is>
          <t>F</t>
        </is>
      </c>
      <c r="B284" s="9" t="inlineStr">
        <is>
          <t>50 Free</t>
        </is>
      </c>
      <c r="C284" s="9" t="n">
        <v>21</v>
      </c>
      <c r="D284" s="219" t="n">
        <v>2</v>
      </c>
      <c r="E284" s="41" t="inlineStr">
        <is>
          <t>24.99</t>
        </is>
      </c>
      <c r="F284" s="35">
        <f>IFERROR(__xludf.DUMMYFUNCTION("IF(
  REGEXMATCH(E284, "":""),
  60*VALUE(INDEX(SPLIT(E284, "":""),1,1)) + VALUE(INDEX(SPLIT(E284, "":""),1,2)),
  VALUE(E284)
)"),24.99)</f>
        <v/>
      </c>
      <c r="G284" s="35">
        <f>average(F282-F284,F283-F285)</f>
        <v/>
      </c>
      <c r="H284" s="35" t="n">
        <v>0.1500000000000021</v>
      </c>
      <c r="I284" s="215">
        <f>C272</f>
        <v/>
      </c>
      <c r="J284" s="215">
        <f>C289</f>
        <v/>
      </c>
      <c r="K284" s="43">
        <f t="array" ref="K284">INDEX('Podium Target Times'!$C:$C, MATCH(A284&amp;B284, 'Podium Target Times'!$A:$A&amp;'Podium Target Times'!$B:$B, 0))
</f>
        <v/>
      </c>
      <c r="L284" s="12">
        <f>L286+G286</f>
        <v/>
      </c>
      <c r="M284" s="43">
        <f>TEXT(L284/86400, "mm:ss.00")</f>
        <v/>
      </c>
      <c r="N284" s="14">
        <f>IFERROR(__xludf.DUMMYFUNCTION("LET(
  gen,$A284, ev,$B284, t,$M284,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284" s="65" t="n"/>
      <c r="P284" s="69" t="n"/>
      <c r="Q284" s="65" t="n"/>
      <c r="R284" s="69" t="n"/>
      <c r="S284" s="58" t="n"/>
      <c r="T284" s="69" t="n"/>
      <c r="U284" s="65" t="n"/>
      <c r="V284" s="65" t="n"/>
      <c r="W284" s="65" t="n"/>
    </row>
    <row r="285">
      <c r="A285" s="17" t="inlineStr">
        <is>
          <t>F</t>
        </is>
      </c>
      <c r="B285" s="18" t="inlineStr">
        <is>
          <t>50 Free</t>
        </is>
      </c>
      <c r="C285" s="18" t="n">
        <v>21</v>
      </c>
      <c r="D285" s="18" t="n">
        <v>3</v>
      </c>
      <c r="E285" s="46" t="inlineStr">
        <is>
          <t>25.15</t>
        </is>
      </c>
      <c r="F285" s="21">
        <f>IFERROR(__xludf.DUMMYFUNCTION("IF(
  REGEXMATCH(E285, "":""),
  60*VALUE(INDEX(SPLIT(E285, "":""),1,1)) + VALUE(INDEX(SPLIT(E285, "":""),1,2)),
  VALUE(E285)
)"),25.15)</f>
        <v/>
      </c>
      <c r="G285" s="21">
        <f>average(F282-F284,F283-F285)</f>
        <v/>
      </c>
      <c r="H285" s="21" t="n">
        <v>0.1500000000000021</v>
      </c>
      <c r="I285" s="211">
        <f>C272</f>
        <v/>
      </c>
      <c r="J285" s="211">
        <f>C289</f>
        <v/>
      </c>
      <c r="K285" s="60">
        <f t="array" ref="K285">INDEX('Podium Target Times'!$C:$C, MATCH(A285&amp;B285, 'Podium Target Times'!$A:$A&amp;'Podium Target Times'!$B:$B, 0))
</f>
        <v/>
      </c>
      <c r="L285" s="24">
        <f>L286+G286</f>
        <v/>
      </c>
      <c r="M285" s="60">
        <f>TEXT(L285/86400, "mm:ss.00")</f>
        <v/>
      </c>
      <c r="N285" s="25">
        <f>IFERROR(__xludf.DUMMYFUNCTION("LET(
  gen,$A285, ev,$B285, t,$M285,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285" s="65" t="n"/>
      <c r="P285" s="69" t="n"/>
      <c r="Q285" s="65" t="n"/>
      <c r="R285" s="69" t="n"/>
      <c r="S285" s="58" t="n"/>
      <c r="T285" s="69" t="n"/>
      <c r="U285" s="65" t="n"/>
      <c r="V285" s="65" t="n"/>
      <c r="W285" s="65" t="n"/>
    </row>
    <row r="286">
      <c r="A286" s="8" t="inlineStr">
        <is>
          <t>F</t>
        </is>
      </c>
      <c r="B286" s="9" t="inlineStr">
        <is>
          <t>50 Free</t>
        </is>
      </c>
      <c r="C286" s="9" t="n">
        <v>22</v>
      </c>
      <c r="D286" s="219" t="n">
        <v>2</v>
      </c>
      <c r="E286" s="41" t="inlineStr">
        <is>
          <t>24.86</t>
        </is>
      </c>
      <c r="F286" s="35">
        <f>IFERROR(__xludf.DUMMYFUNCTION("IF(
  REGEXMATCH(E286, "":""),
  60*VALUE(INDEX(SPLIT(E286, "":""),1,1)) + VALUE(INDEX(SPLIT(E286, "":""),1,2)),
  VALUE(E286)
)"),24.86)</f>
        <v/>
      </c>
      <c r="G286" s="35">
        <f>average(F284-F286,F285-F287)</f>
        <v/>
      </c>
      <c r="H286" s="35" t="n">
        <v>0.129999999999999</v>
      </c>
      <c r="I286" s="215">
        <f>C272</f>
        <v/>
      </c>
      <c r="J286" s="215">
        <f>C289</f>
        <v/>
      </c>
      <c r="K286" s="43">
        <f t="array" ref="K286">INDEX('Podium Target Times'!$C:$C, MATCH(A286&amp;B286, 'Podium Target Times'!$A:$A&amp;'Podium Target Times'!$B:$B, 0))
</f>
        <v/>
      </c>
      <c r="L286" s="12">
        <f>L288+G288</f>
        <v/>
      </c>
      <c r="M286" s="43">
        <f>TEXT(L286/86400, "mm:ss.00")</f>
        <v/>
      </c>
      <c r="N286" s="14">
        <f>IFERROR(__xludf.DUMMYFUNCTION("LET(
  gen,$A286, ev,$B286, t,$M286,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O286" s="65" t="n"/>
      <c r="P286" s="69" t="n"/>
      <c r="Q286" s="65" t="n"/>
      <c r="R286" s="69" t="n"/>
      <c r="S286" s="58" t="n"/>
      <c r="T286" s="69" t="n"/>
      <c r="U286" s="65" t="n"/>
      <c r="V286" s="65" t="n"/>
      <c r="W286" s="65" t="n"/>
    </row>
    <row r="287">
      <c r="A287" s="17" t="inlineStr">
        <is>
          <t>F</t>
        </is>
      </c>
      <c r="B287" s="18" t="inlineStr">
        <is>
          <t>50 Free</t>
        </is>
      </c>
      <c r="C287" s="18" t="n">
        <v>22</v>
      </c>
      <c r="D287" s="18" t="n">
        <v>3</v>
      </c>
      <c r="E287" s="46" t="inlineStr">
        <is>
          <t>25.02</t>
        </is>
      </c>
      <c r="F287" s="21">
        <f>IFERROR(__xludf.DUMMYFUNCTION("IF(
  REGEXMATCH(E287, "":""),
  60*VALUE(INDEX(SPLIT(E287, "":""),1,1)) + VALUE(INDEX(SPLIT(E287, "":""),1,2)),
  VALUE(E287)
)"),25.02)</f>
        <v/>
      </c>
      <c r="G287" s="21">
        <f>average(F284-F286,F285-F287)</f>
        <v/>
      </c>
      <c r="H287" s="21" t="n">
        <v>0.129999999999999</v>
      </c>
      <c r="I287" s="211">
        <f>C272</f>
        <v/>
      </c>
      <c r="J287" s="211">
        <f>C289</f>
        <v/>
      </c>
      <c r="K287" s="60">
        <f t="array" ref="K287">INDEX('Podium Target Times'!$C:$C, MATCH(A287&amp;B287, 'Podium Target Times'!$A:$A&amp;'Podium Target Times'!$B:$B, 0))
</f>
        <v/>
      </c>
      <c r="L287" s="24">
        <f>L288+G288</f>
        <v/>
      </c>
      <c r="M287" s="60">
        <f>TEXT(L287/86400, "mm:ss.00")</f>
        <v/>
      </c>
      <c r="N287" s="25">
        <f>IFERROR(__xludf.DUMMYFUNCTION("LET(
  gen,$A287, ev,$B287, t,$M287,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O287" s="65" t="n"/>
      <c r="P287" s="69" t="n"/>
      <c r="Q287" s="65" t="n"/>
      <c r="R287" s="69" t="n"/>
      <c r="S287" s="58" t="n"/>
      <c r="T287" s="69" t="n"/>
      <c r="U287" s="65" t="n"/>
      <c r="V287" s="65" t="n"/>
      <c r="W287" s="65" t="n"/>
    </row>
    <row r="288">
      <c r="A288" s="8" t="inlineStr">
        <is>
          <t>F</t>
        </is>
      </c>
      <c r="B288" s="9" t="inlineStr">
        <is>
          <t>50 Free</t>
        </is>
      </c>
      <c r="C288" s="9" t="n">
        <v>23</v>
      </c>
      <c r="D288" s="9" t="n">
        <v>3</v>
      </c>
      <c r="E288" s="41" t="inlineStr">
        <is>
          <t>24.93</t>
        </is>
      </c>
      <c r="F288" s="35">
        <f>IFERROR(__xludf.DUMMYFUNCTION("IF(
  REGEXMATCH(E288, "":""),
  60*VALUE(INDEX(SPLIT(E288, "":""),1,1)) + VALUE(INDEX(SPLIT(E288, "":""),1,2)),
  VALUE(E288)
)"),24.93)</f>
        <v/>
      </c>
      <c r="G288" s="35">
        <f>F287-F288</f>
        <v/>
      </c>
      <c r="H288" s="35" t="n">
        <v>0.08999999999999986</v>
      </c>
      <c r="I288" s="215">
        <f>C272</f>
        <v/>
      </c>
      <c r="J288" s="215">
        <f>C289</f>
        <v/>
      </c>
      <c r="K288" s="43">
        <f t="array" ref="K288">INDEX('Podium Target Times'!$C:$C, MATCH(A288&amp;B288, 'Podium Target Times'!$A:$A&amp;'Podium Target Times'!$B:$B, 0))
</f>
        <v/>
      </c>
      <c r="L288" s="12">
        <f>L289+G289</f>
        <v/>
      </c>
      <c r="M288" s="43">
        <f>TEXT(L288/86400, "mm:ss.00")</f>
        <v/>
      </c>
      <c r="N288" s="14">
        <f>IFERROR(__xludf.DUMMYFUNCTION("LET(
  gen,$A288, ev,$B288, t,$M288,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
      </c>
      <c r="O288" s="65" t="n"/>
      <c r="P288" s="69" t="n"/>
      <c r="Q288" s="65" t="n"/>
      <c r="R288" s="69" t="n"/>
      <c r="S288" s="58" t="n"/>
      <c r="T288" s="69" t="n"/>
      <c r="U288" s="65" t="n"/>
      <c r="V288" s="65" t="n"/>
      <c r="W288" s="65" t="n"/>
    </row>
    <row r="289">
      <c r="A289" s="17" t="inlineStr">
        <is>
          <t>F</t>
        </is>
      </c>
      <c r="B289" s="18" t="inlineStr">
        <is>
          <t>50 Free</t>
        </is>
      </c>
      <c r="C289" s="18" t="n">
        <v>24</v>
      </c>
      <c r="D289" s="18" t="n">
        <v>3</v>
      </c>
      <c r="E289" s="46" t="inlineStr">
        <is>
          <t>24.86</t>
        </is>
      </c>
      <c r="F289" s="21">
        <f>IFERROR(__xludf.DUMMYFUNCTION("IF(
  REGEXMATCH(E289, "":""),
  60*VALUE(INDEX(SPLIT(E289, "":""),1,1)) + VALUE(INDEX(SPLIT(E289, "":""),1,2)),
  VALUE(E289)
)"),24.86)</f>
        <v/>
      </c>
      <c r="G289" s="21">
        <f>F288-F289</f>
        <v/>
      </c>
      <c r="H289" s="21" t="n">
        <v>0.07000000000000028</v>
      </c>
      <c r="I289" s="211">
        <f>C272</f>
        <v/>
      </c>
      <c r="J289" s="211">
        <f>C289</f>
        <v/>
      </c>
      <c r="K289" s="60">
        <f t="array" ref="K289">INDEX('Podium Target Times'!$C:$C, MATCH(A289&amp;B289, 'Podium Target Times'!$A:$A&amp;'Podium Target Times'!$B:$B, 0))
</f>
        <v/>
      </c>
      <c r="L289" s="211">
        <f>K289</f>
        <v/>
      </c>
      <c r="M289" s="60">
        <f>TEXT(L289/86400, "mm:ss.00")</f>
        <v/>
      </c>
      <c r="N289" s="25">
        <f>IFERROR(__xludf.DUMMYFUNCTION("LET(
  gen,$A289, ev,$B289, t,$M289,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O289" s="65" t="n"/>
      <c r="P289" s="69" t="n"/>
      <c r="Q289" s="65" t="n"/>
      <c r="R289" s="69" t="n"/>
      <c r="S289" s="58" t="n"/>
      <c r="T289" s="69" t="n"/>
      <c r="U289" s="65" t="n"/>
      <c r="V289" s="65" t="n"/>
      <c r="W289" s="65" t="n"/>
    </row>
    <row r="290">
      <c r="A290" s="8" t="inlineStr">
        <is>
          <t>F</t>
        </is>
      </c>
      <c r="B290" s="9" t="inlineStr">
        <is>
          <t>800 Free</t>
        </is>
      </c>
      <c r="C290" s="9" t="n">
        <v>14</v>
      </c>
      <c r="D290" s="9" t="n">
        <v>1</v>
      </c>
      <c r="E290" s="43" t="inlineStr">
        <is>
          <t>9:04.09</t>
        </is>
      </c>
      <c r="F290" s="35">
        <f>IFERROR(__xludf.DUMMYFUNCTION("IF(
  REGEXMATCH(E290, "":""),
  60*VALUE(INDEX(SPLIT(E290, "":""),1,1)) + VALUE(INDEX(SPLIT(E290, "":""),1,2)),
  VALUE(E290)
)"),544.09)</f>
        <v/>
      </c>
      <c r="G290" s="12" t="n">
        <v>0</v>
      </c>
      <c r="H290" s="12" t="n">
        <v>0</v>
      </c>
      <c r="I290" s="43">
        <f>C290</f>
        <v/>
      </c>
      <c r="J290" s="43">
        <f>C307</f>
        <v/>
      </c>
      <c r="K290" s="43">
        <f t="array" ref="K290">INDEX('Podium Target Times'!$C:$C, MATCH(A290&amp;B290, 'Podium Target Times'!$A:$A&amp;'Podium Target Times'!$B:$B, 0))
</f>
        <v/>
      </c>
      <c r="L290" s="12">
        <f>L291+G291</f>
        <v/>
      </c>
      <c r="M290" s="43">
        <f>TEXT(L290/86400, "mm:ss.00")</f>
        <v/>
      </c>
      <c r="N290" s="14">
        <f>IFERROR(__xludf.DUMMYFUNCTION("LET(
  gen,$A290, ev,$B290, t,$M290,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)"),617.0)</f>
        <v/>
      </c>
      <c r="O290" s="65" t="n"/>
      <c r="P290" s="69">
        <f>A290</f>
        <v/>
      </c>
      <c r="Q290" s="65">
        <f>B290</f>
        <v/>
      </c>
      <c r="R290" s="69">
        <f>C290</f>
        <v/>
      </c>
      <c r="S290" s="58">
        <f>M290</f>
        <v/>
      </c>
      <c r="T290" s="69">
        <f>N290</f>
        <v/>
      </c>
      <c r="U290" s="65" t="n"/>
      <c r="V290" s="65" t="n"/>
      <c r="W290" s="65" t="n"/>
    </row>
    <row r="291">
      <c r="A291" s="17" t="inlineStr">
        <is>
          <t>F</t>
        </is>
      </c>
      <c r="B291" s="18" t="inlineStr">
        <is>
          <t>800 Free</t>
        </is>
      </c>
      <c r="C291" s="18" t="n">
        <v>15</v>
      </c>
      <c r="D291" s="18" t="n">
        <v>1</v>
      </c>
      <c r="E291" s="60" t="inlineStr">
        <is>
          <t>8:51.31</t>
        </is>
      </c>
      <c r="F291" s="21">
        <f>IFERROR(__xludf.DUMMYFUNCTION("IF(
  REGEXMATCH(E291, "":""),
  60*VALUE(INDEX(SPLIT(E291, "":""),1,1)) + VALUE(INDEX(SPLIT(E291, "":""),1,2)),
  VALUE(E291)
)"),531.31)</f>
        <v/>
      </c>
      <c r="G291" s="21">
        <f>F290-F291</f>
        <v/>
      </c>
      <c r="H291" s="21" t="n">
        <v>12.78000000000009</v>
      </c>
      <c r="I291" s="211">
        <f>C290</f>
        <v/>
      </c>
      <c r="J291" s="211">
        <f>C307</f>
        <v/>
      </c>
      <c r="K291" s="60">
        <f t="array" ref="K291">INDEX('Podium Target Times'!$C:$C, MATCH(A291&amp;B291, 'Podium Target Times'!$A:$A&amp;'Podium Target Times'!$B:$B, 0))
</f>
        <v/>
      </c>
      <c r="L291" s="24">
        <f>L293+G293</f>
        <v/>
      </c>
      <c r="M291" s="60">
        <f>TEXT(L291/86400, "mm:ss.00")</f>
        <v/>
      </c>
      <c r="N291" s="25">
        <f>IFERROR(__xludf.DUMMYFUNCTION("LET(
  gen,$A291, ev,$B291, t,$M291,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)"),661.0)</f>
        <v/>
      </c>
      <c r="O291" s="65" t="n"/>
      <c r="P291" s="69">
        <f>A291</f>
        <v/>
      </c>
      <c r="Q291" s="65">
        <f>B291</f>
        <v/>
      </c>
      <c r="R291" s="69">
        <f>C291</f>
        <v/>
      </c>
      <c r="S291" s="58">
        <f>M291</f>
        <v/>
      </c>
      <c r="T291" s="69">
        <f>N291</f>
        <v/>
      </c>
      <c r="U291" s="65" t="n"/>
      <c r="V291" s="65" t="n"/>
      <c r="W291" s="65" t="n"/>
    </row>
    <row r="292">
      <c r="A292" s="8" t="inlineStr">
        <is>
          <t>F</t>
        </is>
      </c>
      <c r="B292" s="9" t="inlineStr">
        <is>
          <t>800 Free</t>
        </is>
      </c>
      <c r="C292" s="9" t="n">
        <v>15</v>
      </c>
      <c r="D292" s="9" t="n">
        <v>2</v>
      </c>
      <c r="E292" s="43" t="inlineStr">
        <is>
          <t>8:54.21</t>
        </is>
      </c>
      <c r="F292" s="35">
        <f>IFERROR(__xludf.DUMMYFUNCTION("IF(
  REGEXMATCH(E292, "":""),
  60*VALUE(INDEX(SPLIT(E292, "":""),1,1)) + VALUE(INDEX(SPLIT(E292, "":""),1,2)),
  VALUE(E292)
)"),534.21)</f>
        <v/>
      </c>
      <c r="G292" s="35">
        <f>F290-F291</f>
        <v/>
      </c>
      <c r="H292" s="35" t="n">
        <v>12.78000000000009</v>
      </c>
      <c r="I292" s="215">
        <f>C290</f>
        <v/>
      </c>
      <c r="J292" s="215">
        <f>C307</f>
        <v/>
      </c>
      <c r="K292" s="43">
        <f t="array" ref="K292">INDEX('Podium Target Times'!$C:$C, MATCH(A292&amp;B292, 'Podium Target Times'!$A:$A&amp;'Podium Target Times'!$B:$B, 0))
</f>
        <v/>
      </c>
      <c r="L292" s="12">
        <f>L293+G293</f>
        <v/>
      </c>
      <c r="M292" s="43">
        <f>TEXT(L292/86400, "mm:ss.00")</f>
        <v/>
      </c>
      <c r="N292" s="14">
        <f>IFERROR(__xludf.DUMMYFUNCTION("LET(
  gen,$A292, ev,$B292, t,$M292,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)"),661.0)</f>
        <v/>
      </c>
      <c r="O292" s="65" t="n"/>
      <c r="P292" s="69">
        <f>A293</f>
        <v/>
      </c>
      <c r="Q292" s="65">
        <f>B293</f>
        <v/>
      </c>
      <c r="R292" s="69">
        <f>C293</f>
        <v/>
      </c>
      <c r="S292" s="58">
        <f>M293</f>
        <v/>
      </c>
      <c r="T292" s="69">
        <f>N293</f>
        <v/>
      </c>
      <c r="U292" s="65" t="n"/>
      <c r="V292" s="65" t="n"/>
      <c r="W292" s="65" t="n"/>
    </row>
    <row r="293">
      <c r="A293" s="17" t="inlineStr">
        <is>
          <t>F</t>
        </is>
      </c>
      <c r="B293" s="18" t="inlineStr">
        <is>
          <t>800 Free</t>
        </is>
      </c>
      <c r="C293" s="18" t="n">
        <v>16</v>
      </c>
      <c r="D293" s="18" t="n">
        <v>1</v>
      </c>
      <c r="E293" s="491" t="inlineStr">
        <is>
          <t>8:42.92</t>
        </is>
      </c>
      <c r="F293" s="21">
        <f>IFERROR(__xludf.DUMMYFUNCTION("IF(
  REGEXMATCH(E293, "":""),
  60*VALUE(INDEX(SPLIT(E293, "":""),1,1)) + VALUE(INDEX(SPLIT(E293, "":""),1,2)),
  VALUE(E293)
)"),522.92)</f>
        <v/>
      </c>
      <c r="G293" s="21">
        <f>average(F291-F293,F292-F294)</f>
        <v/>
      </c>
      <c r="H293" s="21" t="n">
        <v>8.41500000000002</v>
      </c>
      <c r="I293" s="211">
        <f>C290</f>
        <v/>
      </c>
      <c r="J293" s="211">
        <f>C307</f>
        <v/>
      </c>
      <c r="K293" s="60">
        <f t="array" ref="K293">INDEX('Podium Target Times'!$C:$C, MATCH(A293&amp;B293, 'Podium Target Times'!$A:$A&amp;'Podium Target Times'!$B:$B, 0))
</f>
        <v/>
      </c>
      <c r="L293" s="24">
        <f>L296+G296</f>
        <v/>
      </c>
      <c r="M293" s="60">
        <f>TEXT(L293/86400, "mm:ss.00")</f>
        <v/>
      </c>
      <c r="N293" s="25">
        <f>IFERROR(__xludf.DUMMYFUNCTION("LET(
  gen,$A293, ev,$B293, t,$M293,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293" s="65" t="n"/>
      <c r="P293" s="69">
        <f>A296</f>
        <v/>
      </c>
      <c r="Q293" s="65">
        <f>B296</f>
        <v/>
      </c>
      <c r="R293" s="69">
        <f>C296</f>
        <v/>
      </c>
      <c r="S293" s="58">
        <f>M296</f>
        <v/>
      </c>
      <c r="T293" s="69">
        <f>N296</f>
        <v/>
      </c>
      <c r="U293" s="65" t="n"/>
      <c r="V293" s="65" t="n"/>
      <c r="W293" s="65" t="n"/>
    </row>
    <row r="294">
      <c r="A294" s="8" t="inlineStr">
        <is>
          <t>F</t>
        </is>
      </c>
      <c r="B294" s="9" t="inlineStr">
        <is>
          <t>800 Free</t>
        </is>
      </c>
      <c r="C294" s="9" t="n">
        <v>16</v>
      </c>
      <c r="D294" s="219" t="n">
        <v>2</v>
      </c>
      <c r="E294" s="41" t="inlineStr">
        <is>
          <t>8:45.77</t>
        </is>
      </c>
      <c r="F294" s="35">
        <f>IFERROR(__xludf.DUMMYFUNCTION("IF(
  REGEXMATCH(E294, "":""),
  60*VALUE(INDEX(SPLIT(E294, "":""),1,1)) + VALUE(INDEX(SPLIT(E294, "":""),1,2)),
  VALUE(E294)
)"),525.77)</f>
        <v/>
      </c>
      <c r="G294" s="35">
        <f>average(F291-F293,F292-F294)</f>
        <v/>
      </c>
      <c r="H294" s="35" t="n">
        <v>8.41500000000002</v>
      </c>
      <c r="I294" s="215">
        <f>C290</f>
        <v/>
      </c>
      <c r="J294" s="215">
        <f>C307</f>
        <v/>
      </c>
      <c r="K294" s="43">
        <f t="array" ref="K294">INDEX('Podium Target Times'!$C:$C, MATCH(A294&amp;B294, 'Podium Target Times'!$A:$A&amp;'Podium Target Times'!$B:$B, 0))
</f>
        <v/>
      </c>
      <c r="L294" s="12">
        <f>L296+G296</f>
        <v/>
      </c>
      <c r="M294" s="43">
        <f>TEXT(L294/86400, "mm:ss.00")</f>
        <v/>
      </c>
      <c r="N294" s="14">
        <f>IFERROR(__xludf.DUMMYFUNCTION("LET(
  gen,$A294, ev,$B294, t,$M294,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294" s="65" t="n"/>
      <c r="P294" s="69">
        <f>A299</f>
        <v/>
      </c>
      <c r="Q294" s="65">
        <f>B299</f>
        <v/>
      </c>
      <c r="R294" s="69">
        <f>C299</f>
        <v/>
      </c>
      <c r="S294" s="58">
        <f>M299</f>
        <v/>
      </c>
      <c r="T294" s="69">
        <f>N299</f>
        <v/>
      </c>
      <c r="U294" s="65" t="n"/>
      <c r="V294" s="65" t="n"/>
      <c r="W294" s="65" t="n"/>
    </row>
    <row r="295">
      <c r="A295" s="17" t="inlineStr">
        <is>
          <t>F</t>
        </is>
      </c>
      <c r="B295" s="18" t="inlineStr">
        <is>
          <t>800 Free</t>
        </is>
      </c>
      <c r="C295" s="18" t="n">
        <v>16</v>
      </c>
      <c r="D295" s="18" t="n">
        <v>3</v>
      </c>
      <c r="E295" s="46" t="inlineStr">
        <is>
          <t>8:46.60</t>
        </is>
      </c>
      <c r="F295" s="21">
        <f>IFERROR(__xludf.DUMMYFUNCTION("IF(
  REGEXMATCH(E295, "":""),
  60*VALUE(INDEX(SPLIT(E295, "":""),1,1)) + VALUE(INDEX(SPLIT(E295, "":""),1,2)),
  VALUE(E295)
)"),526.6)</f>
        <v/>
      </c>
      <c r="G295" s="21">
        <f>average(F291-F293,F292-F294)</f>
        <v/>
      </c>
      <c r="H295" s="21" t="n">
        <v>8.41500000000002</v>
      </c>
      <c r="I295" s="211">
        <f>C290</f>
        <v/>
      </c>
      <c r="J295" s="211">
        <f>C307</f>
        <v/>
      </c>
      <c r="K295" s="60">
        <f t="array" ref="K295">INDEX('Podium Target Times'!$C:$C, MATCH(A295&amp;B295, 'Podium Target Times'!$A:$A&amp;'Podium Target Times'!$B:$B, 0))
</f>
        <v/>
      </c>
      <c r="L295" s="24">
        <f>L296+G296</f>
        <v/>
      </c>
      <c r="M295" s="60">
        <f>TEXT(L295/86400, "mm:ss.00")</f>
        <v/>
      </c>
      <c r="N295" s="25">
        <f>IFERROR(__xludf.DUMMYFUNCTION("LET(
  gen,$A295, ev,$B295, t,$M295,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295" s="65" t="n"/>
      <c r="P295" s="69">
        <f>A302</f>
        <v/>
      </c>
      <c r="Q295" s="65">
        <f>B302</f>
        <v/>
      </c>
      <c r="R295" s="69">
        <f>C302</f>
        <v/>
      </c>
      <c r="S295" s="58">
        <f>M302</f>
        <v/>
      </c>
      <c r="T295" s="69">
        <f>N302</f>
        <v/>
      </c>
      <c r="U295" s="65" t="n"/>
      <c r="V295" s="65" t="n"/>
      <c r="W295" s="65" t="n"/>
    </row>
    <row r="296">
      <c r="A296" s="8" t="inlineStr">
        <is>
          <t>F</t>
        </is>
      </c>
      <c r="B296" s="9" t="inlineStr">
        <is>
          <t>800 Free</t>
        </is>
      </c>
      <c r="C296" s="9" t="n">
        <v>17</v>
      </c>
      <c r="D296" s="9" t="n">
        <v>1</v>
      </c>
      <c r="E296" s="483" t="inlineStr">
        <is>
          <t>8:37.81</t>
        </is>
      </c>
      <c r="F296" s="35">
        <f>IFERROR(__xludf.DUMMYFUNCTION("IF(
  REGEXMATCH(E296, "":""),
  60*VALUE(INDEX(SPLIT(E296, "":""),1,1)) + VALUE(INDEX(SPLIT(E296, "":""),1,2)),
  VALUE(E296)
)"),517.81)</f>
        <v/>
      </c>
      <c r="G296" s="35">
        <f>average(F293-F296,F294-F297,F295-F298)</f>
        <v/>
      </c>
      <c r="H296" s="35" t="n">
        <v>5.126666666666665</v>
      </c>
      <c r="I296" s="215">
        <f>C290</f>
        <v/>
      </c>
      <c r="J296" s="215">
        <f>C307</f>
        <v/>
      </c>
      <c r="K296" s="43">
        <f t="array" ref="K296">INDEX('Podium Target Times'!$C:$C, MATCH(A296&amp;B296, 'Podium Target Times'!$A:$A&amp;'Podium Target Times'!$B:$B, 0))
</f>
        <v/>
      </c>
      <c r="L296" s="12">
        <f>L299+G299</f>
        <v/>
      </c>
      <c r="M296" s="43">
        <f>TEXT(L296/86400, "mm:ss.00")</f>
        <v/>
      </c>
      <c r="N296" s="14">
        <f>IFERROR(__xludf.DUMMYFUNCTION("LET(
  gen,$A296, ev,$B296, t,$M296,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
      </c>
      <c r="O296" s="65" t="n"/>
      <c r="P296" s="69">
        <f>A304</f>
        <v/>
      </c>
      <c r="Q296" s="65">
        <f>B304</f>
        <v/>
      </c>
      <c r="R296" s="69">
        <f>C304</f>
        <v/>
      </c>
      <c r="S296" s="58">
        <f>M304</f>
        <v/>
      </c>
      <c r="T296" s="69">
        <f>N304</f>
        <v/>
      </c>
      <c r="U296" s="65" t="n"/>
      <c r="V296" s="65" t="n"/>
      <c r="W296" s="65" t="n"/>
    </row>
    <row r="297">
      <c r="A297" s="17" t="inlineStr">
        <is>
          <t>F</t>
        </is>
      </c>
      <c r="B297" s="18" t="inlineStr">
        <is>
          <t>800 Free</t>
        </is>
      </c>
      <c r="C297" s="18" t="n">
        <v>17</v>
      </c>
      <c r="D297" s="18" t="n">
        <v>2</v>
      </c>
      <c r="E297" s="46" t="inlineStr">
        <is>
          <t>8:40.64</t>
        </is>
      </c>
      <c r="F297" s="21">
        <f>IFERROR(__xludf.DUMMYFUNCTION("IF(
  REGEXMATCH(E297, "":""),
  60*VALUE(INDEX(SPLIT(E297, "":""),1,1)) + VALUE(INDEX(SPLIT(E297, "":""),1,2)),
  VALUE(E297)
)"),520.64)</f>
        <v/>
      </c>
      <c r="G297" s="21">
        <f>average(F293-F296,F294-F297,F295-F298)</f>
        <v/>
      </c>
      <c r="H297" s="21" t="n">
        <v>5.126666666666665</v>
      </c>
      <c r="I297" s="211">
        <f>C290</f>
        <v/>
      </c>
      <c r="J297" s="211">
        <f>C307</f>
        <v/>
      </c>
      <c r="K297" s="60">
        <f t="array" ref="K297">INDEX('Podium Target Times'!$C:$C, MATCH(A297&amp;B297, 'Podium Target Times'!$A:$A&amp;'Podium Target Times'!$B:$B, 0))
</f>
        <v/>
      </c>
      <c r="L297" s="24">
        <f>L299+G299</f>
        <v/>
      </c>
      <c r="M297" s="60">
        <f>TEXT(L297/86400, "mm:ss.00")</f>
        <v/>
      </c>
      <c r="N297" s="25">
        <f>IFERROR(__xludf.DUMMYFUNCTION("LET(
  gen,$A297, ev,$B297, t,$M297,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
      </c>
      <c r="O297" s="65" t="n"/>
      <c r="P297" s="69">
        <f>A306</f>
        <v/>
      </c>
      <c r="Q297" s="65">
        <f>B306</f>
        <v/>
      </c>
      <c r="R297" s="69">
        <f>C306</f>
        <v/>
      </c>
      <c r="S297" s="58">
        <f>M306</f>
        <v/>
      </c>
      <c r="T297" s="69">
        <f>N306</f>
        <v/>
      </c>
      <c r="U297" s="65" t="n"/>
      <c r="V297" s="65" t="n"/>
      <c r="W297" s="65" t="n"/>
    </row>
    <row r="298">
      <c r="A298" s="8" t="inlineStr">
        <is>
          <t>F</t>
        </is>
      </c>
      <c r="B298" s="9" t="inlineStr">
        <is>
          <t>800 Free</t>
        </is>
      </c>
      <c r="C298" s="9" t="n">
        <v>17</v>
      </c>
      <c r="D298" s="9" t="n">
        <v>3</v>
      </c>
      <c r="E298" s="41" t="inlineStr">
        <is>
          <t>8:41.46</t>
        </is>
      </c>
      <c r="F298" s="35">
        <f>IFERROR(__xludf.DUMMYFUNCTION("IF(
  REGEXMATCH(E298, "":""),
  60*VALUE(INDEX(SPLIT(E298, "":""),1,1)) + VALUE(INDEX(SPLIT(E298, "":""),1,2)),
  VALUE(E298)
)"),521.46)</f>
        <v/>
      </c>
      <c r="G298" s="35">
        <f>average(F293-F296,F294-F297,F295-F298)</f>
        <v/>
      </c>
      <c r="H298" s="35" t="n">
        <v>5.126666666666665</v>
      </c>
      <c r="I298" s="215">
        <f>C290</f>
        <v/>
      </c>
      <c r="J298" s="215">
        <f>C307</f>
        <v/>
      </c>
      <c r="K298" s="43">
        <f t="array" ref="K298">INDEX('Podium Target Times'!$C:$C, MATCH(A298&amp;B298, 'Podium Target Times'!$A:$A&amp;'Podium Target Times'!$B:$B, 0))
</f>
        <v/>
      </c>
      <c r="L298" s="12">
        <f>L299+G299</f>
        <v/>
      </c>
      <c r="M298" s="43">
        <f>TEXT(L298/86400, "mm:ss.00")</f>
        <v/>
      </c>
      <c r="N298" s="14">
        <f>IFERROR(__xludf.DUMMYFUNCTION("LET(
  gen,$A298, ev,$B298, t,$M298,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
      </c>
      <c r="O298" s="65" t="n"/>
      <c r="P298" s="69">
        <f>A307</f>
        <v/>
      </c>
      <c r="Q298" s="65">
        <f>B307</f>
        <v/>
      </c>
      <c r="R298" s="69">
        <f>C307</f>
        <v/>
      </c>
      <c r="S298" s="58">
        <f>M307</f>
        <v/>
      </c>
      <c r="T298" s="69">
        <f>N307</f>
        <v/>
      </c>
      <c r="U298" s="65" t="n"/>
      <c r="V298" s="65" t="n"/>
      <c r="W298" s="65" t="n"/>
    </row>
    <row r="299">
      <c r="A299" s="17" t="inlineStr">
        <is>
          <t>F</t>
        </is>
      </c>
      <c r="B299" s="18" t="inlineStr">
        <is>
          <t>800 Free</t>
        </is>
      </c>
      <c r="C299" s="18" t="n">
        <v>18</v>
      </c>
      <c r="D299" s="18" t="n">
        <v>1</v>
      </c>
      <c r="E299" s="46" t="inlineStr">
        <is>
          <t>8:34.62</t>
        </is>
      </c>
      <c r="F299" s="21">
        <f>IFERROR(__xludf.DUMMYFUNCTION("IF(
  REGEXMATCH(E299, "":""),
  60*VALUE(INDEX(SPLIT(E299, "":""),1,1)) + VALUE(INDEX(SPLIT(E299, "":""),1,2)),
  VALUE(E299)
)"),514.62)</f>
        <v/>
      </c>
      <c r="G299" s="21">
        <f>average(F296-F299,F297-F300,F298-F301)</f>
        <v/>
      </c>
      <c r="H299" s="21" t="n">
        <v>3.203333333333338</v>
      </c>
      <c r="I299" s="211">
        <f>C290</f>
        <v/>
      </c>
      <c r="J299" s="211">
        <f>C307</f>
        <v/>
      </c>
      <c r="K299" s="60">
        <f t="array" ref="K299">INDEX('Podium Target Times'!$C:$C, MATCH(A299&amp;B299, 'Podium Target Times'!$A:$A&amp;'Podium Target Times'!$B:$B, 0))
</f>
        <v/>
      </c>
      <c r="L299" s="24">
        <f>L302+G302</f>
        <v/>
      </c>
      <c r="M299" s="60">
        <f>TEXT(L299/86400, "mm:ss.00")</f>
        <v/>
      </c>
      <c r="N299" s="25">
        <f>IFERROR(__xludf.DUMMYFUNCTION("LET(
  gen,$A299, ev,$B299, t,$M299,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
      </c>
      <c r="O299" s="65" t="n"/>
      <c r="P299" s="69" t="n"/>
      <c r="Q299" s="65" t="n"/>
      <c r="R299" s="69" t="n"/>
      <c r="S299" s="58" t="n"/>
      <c r="T299" s="69" t="n"/>
      <c r="U299" s="65" t="n"/>
      <c r="V299" s="65" t="n"/>
      <c r="W299" s="65" t="n"/>
    </row>
    <row r="300">
      <c r="A300" s="8" t="inlineStr">
        <is>
          <t>F</t>
        </is>
      </c>
      <c r="B300" s="9" t="inlineStr">
        <is>
          <t>800 Free</t>
        </is>
      </c>
      <c r="C300" s="9" t="n">
        <v>18</v>
      </c>
      <c r="D300" s="9" t="n">
        <v>2</v>
      </c>
      <c r="E300" s="41" t="inlineStr">
        <is>
          <t>8:37.43</t>
        </is>
      </c>
      <c r="F300" s="35">
        <f>IFERROR(__xludf.DUMMYFUNCTION("IF(
  REGEXMATCH(E300, "":""),
  60*VALUE(INDEX(SPLIT(E300, "":""),1,1)) + VALUE(INDEX(SPLIT(E300, "":""),1,2)),
  VALUE(E300)
)"),517.43)</f>
        <v/>
      </c>
      <c r="G300" s="35">
        <f>average(F296-F299,F297-F300,F298-F301)</f>
        <v/>
      </c>
      <c r="H300" s="35" t="n">
        <v>3.203333333333338</v>
      </c>
      <c r="I300" s="215">
        <f>C290</f>
        <v/>
      </c>
      <c r="J300" s="215">
        <f>C307</f>
        <v/>
      </c>
      <c r="K300" s="43">
        <f t="array" ref="K300">INDEX('Podium Target Times'!$C:$C, MATCH(A300&amp;B300, 'Podium Target Times'!$A:$A&amp;'Podium Target Times'!$B:$B, 0))
</f>
        <v/>
      </c>
      <c r="L300" s="12">
        <f>L302+G302</f>
        <v/>
      </c>
      <c r="M300" s="43">
        <f>TEXT(L300/86400, "mm:ss.00")</f>
        <v/>
      </c>
      <c r="N300" s="14">
        <f>IFERROR(__xludf.DUMMYFUNCTION("LET(
  gen,$A300, ev,$B300, t,$M300,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
      </c>
      <c r="O300" s="65" t="n"/>
      <c r="P300" s="69" t="n"/>
      <c r="Q300" s="65" t="n"/>
      <c r="R300" s="69" t="n"/>
      <c r="S300" s="58" t="n"/>
      <c r="T300" s="69" t="n"/>
      <c r="U300" s="65" t="n"/>
      <c r="V300" s="65" t="n"/>
      <c r="W300" s="65" t="n"/>
    </row>
    <row r="301">
      <c r="A301" s="17" t="inlineStr">
        <is>
          <t>F</t>
        </is>
      </c>
      <c r="B301" s="18" t="inlineStr">
        <is>
          <t>800 Free</t>
        </is>
      </c>
      <c r="C301" s="18" t="n">
        <v>18</v>
      </c>
      <c r="D301" s="18" t="n">
        <v>3</v>
      </c>
      <c r="E301" s="46" t="inlineStr">
        <is>
          <t>8:38.25</t>
        </is>
      </c>
      <c r="F301" s="21">
        <f>IFERROR(__xludf.DUMMYFUNCTION("IF(
  REGEXMATCH(E301, "":""),
  60*VALUE(INDEX(SPLIT(E301, "":""),1,1)) + VALUE(INDEX(SPLIT(E301, "":""),1,2)),
  VALUE(E301)
)"),518.25)</f>
        <v/>
      </c>
      <c r="G301" s="21">
        <f>average(F296-F299,F297-F300,F298-F301)</f>
        <v/>
      </c>
      <c r="H301" s="21" t="n">
        <v>3.203333333333338</v>
      </c>
      <c r="I301" s="211">
        <f>C290</f>
        <v/>
      </c>
      <c r="J301" s="211">
        <f>C307</f>
        <v/>
      </c>
      <c r="K301" s="60">
        <f t="array" ref="K301">INDEX('Podium Target Times'!$C:$C, MATCH(A301&amp;B301, 'Podium Target Times'!$A:$A&amp;'Podium Target Times'!$B:$B, 0))
</f>
        <v/>
      </c>
      <c r="L301" s="24">
        <f>L302+G302</f>
        <v/>
      </c>
      <c r="M301" s="60">
        <f>TEXT(L301/86400, "mm:ss.00")</f>
        <v/>
      </c>
      <c r="N301" s="25">
        <f>IFERROR(__xludf.DUMMYFUNCTION("LET(
  gen,$A301, ev,$B301, t,$M301,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
      </c>
      <c r="O301" s="65" t="n"/>
      <c r="P301" s="69" t="n"/>
      <c r="Q301" s="65" t="n"/>
      <c r="R301" s="69" t="n"/>
      <c r="S301" s="58" t="n"/>
      <c r="T301" s="69" t="n"/>
      <c r="U301" s="65" t="n"/>
      <c r="V301" s="65" t="n"/>
      <c r="W301" s="65" t="n"/>
    </row>
    <row r="302">
      <c r="A302" s="8" t="inlineStr">
        <is>
          <t>F</t>
        </is>
      </c>
      <c r="B302" s="9" t="inlineStr">
        <is>
          <t>800 Free</t>
        </is>
      </c>
      <c r="C302" s="9" t="n">
        <v>19</v>
      </c>
      <c r="D302" s="219" t="n">
        <v>2</v>
      </c>
      <c r="E302" s="41" t="inlineStr">
        <is>
          <t>8:35.61</t>
        </is>
      </c>
      <c r="F302" s="35">
        <f>IFERROR(__xludf.DUMMYFUNCTION("IF(
  REGEXMATCH(E302, "":""),
  60*VALUE(INDEX(SPLIT(E302, "":""),1,1)) + VALUE(INDEX(SPLIT(E302, "":""),1,2)),
  VALUE(E302)
)"),515.61)</f>
        <v/>
      </c>
      <c r="G302" s="35">
        <f>average(F300-F302,F301-F303)</f>
        <v/>
      </c>
      <c r="H302" s="35" t="n">
        <v>1.824999999999989</v>
      </c>
      <c r="I302" s="215">
        <f>C290</f>
        <v/>
      </c>
      <c r="J302" s="215">
        <f>C307</f>
        <v/>
      </c>
      <c r="K302" s="43">
        <f t="array" ref="K302">INDEX('Podium Target Times'!$C:$C, MATCH(A302&amp;B302, 'Podium Target Times'!$A:$A&amp;'Podium Target Times'!$B:$B, 0))
</f>
        <v/>
      </c>
      <c r="L302" s="12">
        <f>L304+G304</f>
        <v/>
      </c>
      <c r="M302" s="43">
        <f>TEXT(L302/86400, "mm:ss.00")</f>
        <v/>
      </c>
      <c r="N302" s="14">
        <f>IFERROR(__xludf.DUMMYFUNCTION("LET(
  gen,$A302, ev,$B302, t,$M302,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302" s="65" t="n"/>
      <c r="P302" s="69" t="n"/>
      <c r="Q302" s="65" t="n"/>
      <c r="R302" s="69" t="n"/>
      <c r="S302" s="58" t="n"/>
      <c r="T302" s="69" t="n"/>
      <c r="U302" s="65" t="n"/>
      <c r="V302" s="65" t="n"/>
      <c r="W302" s="65" t="n"/>
    </row>
    <row r="303">
      <c r="A303" s="17" t="inlineStr">
        <is>
          <t>F</t>
        </is>
      </c>
      <c r="B303" s="18" t="inlineStr">
        <is>
          <t>800 Free</t>
        </is>
      </c>
      <c r="C303" s="18" t="n">
        <v>19</v>
      </c>
      <c r="D303" s="18" t="n">
        <v>3</v>
      </c>
      <c r="E303" s="46" t="inlineStr">
        <is>
          <t>8:36.42</t>
        </is>
      </c>
      <c r="F303" s="21">
        <f>IFERROR(__xludf.DUMMYFUNCTION("IF(
  REGEXMATCH(E303, "":""),
  60*VALUE(INDEX(SPLIT(E303, "":""),1,1)) + VALUE(INDEX(SPLIT(E303, "":""),1,2)),
  VALUE(E303)
)"),516.42)</f>
        <v/>
      </c>
      <c r="G303" s="21">
        <f>average(F300-F302,F301-F303)</f>
        <v/>
      </c>
      <c r="H303" s="21" t="n">
        <v>1.824999999999989</v>
      </c>
      <c r="I303" s="211">
        <f>C290</f>
        <v/>
      </c>
      <c r="J303" s="211">
        <f>C307</f>
        <v/>
      </c>
      <c r="K303" s="60">
        <f t="array" ref="K303">INDEX('Podium Target Times'!$C:$C, MATCH(A303&amp;B303, 'Podium Target Times'!$A:$A&amp;'Podium Target Times'!$B:$B, 0))
</f>
        <v/>
      </c>
      <c r="L303" s="24">
        <f>L304+G304</f>
        <v/>
      </c>
      <c r="M303" s="60">
        <f>TEXT(L303/86400, "mm:ss.00")</f>
        <v/>
      </c>
      <c r="N303" s="25">
        <f>IFERROR(__xludf.DUMMYFUNCTION("LET(
  gen,$A303, ev,$B303, t,$M303,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303" s="65" t="n"/>
      <c r="P303" s="69" t="n"/>
      <c r="Q303" s="65" t="n"/>
      <c r="R303" s="69" t="n"/>
      <c r="S303" s="58" t="n"/>
      <c r="T303" s="69" t="n"/>
      <c r="U303" s="65" t="n"/>
      <c r="V303" s="65" t="n"/>
      <c r="W303" s="65" t="n"/>
    </row>
    <row r="304">
      <c r="A304" s="8" t="inlineStr">
        <is>
          <t>F</t>
        </is>
      </c>
      <c r="B304" s="9" t="inlineStr">
        <is>
          <t>800 Free</t>
        </is>
      </c>
      <c r="C304" s="9" t="n">
        <v>20</v>
      </c>
      <c r="D304" s="9" t="n">
        <v>2</v>
      </c>
      <c r="E304" s="41" t="inlineStr">
        <is>
          <t>8:34.62</t>
        </is>
      </c>
      <c r="F304" s="35">
        <f>IFERROR(__xludf.DUMMYFUNCTION("IF(
  REGEXMATCH(E304, "":""),
  60*VALUE(INDEX(SPLIT(E304, "":""),1,1)) + VALUE(INDEX(SPLIT(E304, "":""),1,2)),
  VALUE(E304)
)"),514.62)</f>
        <v/>
      </c>
      <c r="G304" s="35">
        <f>average(F302-F304,F303-F305)</f>
        <v/>
      </c>
      <c r="H304" s="35" t="n">
        <v>0.9900000000000091</v>
      </c>
      <c r="I304" s="215">
        <f>C290</f>
        <v/>
      </c>
      <c r="J304" s="215">
        <f>C307</f>
        <v/>
      </c>
      <c r="K304" s="43">
        <f t="array" ref="K304">INDEX('Podium Target Times'!$C:$C, MATCH(A304&amp;B304, 'Podium Target Times'!$A:$A&amp;'Podium Target Times'!$B:$B, 0))
</f>
        <v/>
      </c>
      <c r="L304" s="12">
        <f>L306+G306</f>
        <v/>
      </c>
      <c r="M304" s="43">
        <f>TEXT(L304/86400, "mm:ss.00")</f>
        <v/>
      </c>
      <c r="N304" s="14">
        <f>IFERROR(__xludf.DUMMYFUNCTION("LET(
  gen,$A304, ev,$B304, t,$M304,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O304" s="65" t="n"/>
      <c r="P304" s="69" t="n"/>
      <c r="Q304" s="65" t="n"/>
      <c r="R304" s="69" t="n"/>
      <c r="S304" s="58" t="n"/>
      <c r="T304" s="69" t="n"/>
      <c r="U304" s="65" t="n"/>
      <c r="V304" s="65" t="n"/>
      <c r="W304" s="65" t="n"/>
    </row>
    <row r="305">
      <c r="A305" s="17" t="inlineStr">
        <is>
          <t>F</t>
        </is>
      </c>
      <c r="B305" s="18" t="inlineStr">
        <is>
          <t>800 Free</t>
        </is>
      </c>
      <c r="C305" s="18" t="n">
        <v>20</v>
      </c>
      <c r="D305" s="18" t="n">
        <v>3</v>
      </c>
      <c r="E305" s="46" t="inlineStr">
        <is>
          <t>8:35.43</t>
        </is>
      </c>
      <c r="F305" s="21">
        <f>IFERROR(__xludf.DUMMYFUNCTION("IF(
  REGEXMATCH(E305, "":""),
  60*VALUE(INDEX(SPLIT(E305, "":""),1,1)) + VALUE(INDEX(SPLIT(E305, "":""),1,2)),
  VALUE(E305)
)"),515.43)</f>
        <v/>
      </c>
      <c r="G305" s="21">
        <f>average(F302-F304,F303-F305)</f>
        <v/>
      </c>
      <c r="H305" s="21" t="n">
        <v>0.9900000000000091</v>
      </c>
      <c r="I305" s="211">
        <f>C290</f>
        <v/>
      </c>
      <c r="J305" s="211">
        <f>C307</f>
        <v/>
      </c>
      <c r="K305" s="60">
        <f t="array" ref="K305">INDEX('Podium Target Times'!$C:$C, MATCH(A305&amp;B305, 'Podium Target Times'!$A:$A&amp;'Podium Target Times'!$B:$B, 0))
</f>
        <v/>
      </c>
      <c r="L305" s="24">
        <f>L306+G306</f>
        <v/>
      </c>
      <c r="M305" s="60">
        <f>TEXT(L305/86400, "mm:ss.00")</f>
        <v/>
      </c>
      <c r="N305" s="25">
        <f>IFERROR(__xludf.DUMMYFUNCTION("LET(
  gen,$A305, ev,$B305, t,$M305,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O305" s="65" t="n"/>
      <c r="P305" s="69" t="n"/>
      <c r="Q305" s="65" t="n"/>
      <c r="R305" s="69" t="n"/>
      <c r="S305" s="58" t="n"/>
      <c r="T305" s="69" t="n"/>
      <c r="U305" s="65" t="n"/>
      <c r="V305" s="65" t="n"/>
      <c r="W305" s="65" t="n"/>
    </row>
    <row r="306">
      <c r="A306" s="8" t="inlineStr">
        <is>
          <t>F</t>
        </is>
      </c>
      <c r="B306" s="9" t="inlineStr">
        <is>
          <t>800 Free</t>
        </is>
      </c>
      <c r="C306" s="9" t="n">
        <v>21</v>
      </c>
      <c r="D306" s="9" t="n">
        <v>3</v>
      </c>
      <c r="E306" s="41" t="inlineStr">
        <is>
          <t>8:34.90</t>
        </is>
      </c>
      <c r="F306" s="35">
        <f>IFERROR(__xludf.DUMMYFUNCTION("IF(
  REGEXMATCH(E306, "":""),
  60*VALUE(INDEX(SPLIT(E306, "":""),1,1)) + VALUE(INDEX(SPLIT(E306, "":""),1,2)),
  VALUE(E306)
)"),514.9)</f>
        <v/>
      </c>
      <c r="G306" s="35">
        <f>F305-F306</f>
        <v/>
      </c>
      <c r="H306" s="35" t="n">
        <v>0.5299999999999727</v>
      </c>
      <c r="I306" s="215">
        <f>C290</f>
        <v/>
      </c>
      <c r="J306" s="215">
        <f>C307</f>
        <v/>
      </c>
      <c r="K306" s="43">
        <f t="array" ref="K306">INDEX('Podium Target Times'!$C:$C, MATCH(A306&amp;B306, 'Podium Target Times'!$A:$A&amp;'Podium Target Times'!$B:$B, 0))
</f>
        <v/>
      </c>
      <c r="L306" s="12">
        <f>L307+G307</f>
        <v/>
      </c>
      <c r="M306" s="43">
        <f>TEXT(L306/86400, "mm:ss.00")</f>
        <v/>
      </c>
      <c r="N306" s="14">
        <f>IFERROR(__xludf.DUMMYFUNCTION("LET(
  gen,$A306, ev,$B306, t,$M306,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O306" s="65" t="n"/>
      <c r="P306" s="69" t="n"/>
      <c r="Q306" s="65" t="n"/>
      <c r="R306" s="69" t="n"/>
      <c r="S306" s="58" t="n"/>
      <c r="T306" s="69" t="n"/>
      <c r="U306" s="65" t="n"/>
      <c r="V306" s="65" t="n"/>
      <c r="W306" s="65" t="n"/>
    </row>
    <row r="307">
      <c r="A307" s="17" t="inlineStr">
        <is>
          <t>F</t>
        </is>
      </c>
      <c r="B307" s="18" t="inlineStr">
        <is>
          <t>800 Free</t>
        </is>
      </c>
      <c r="C307" s="18" t="n">
        <v>22</v>
      </c>
      <c r="D307" s="18" t="n">
        <v>3</v>
      </c>
      <c r="E307" s="46" t="inlineStr">
        <is>
          <t>8:34.62</t>
        </is>
      </c>
      <c r="F307" s="21">
        <f>IFERROR(__xludf.DUMMYFUNCTION("IF(
  REGEXMATCH(E307, "":""),
  60*VALUE(INDEX(SPLIT(E307, "":""),1,1)) + VALUE(INDEX(SPLIT(E307, "":""),1,2)),
  VALUE(E307)
)"),514.62)</f>
        <v/>
      </c>
      <c r="G307" s="21">
        <f>F306-F307</f>
        <v/>
      </c>
      <c r="H307" s="21" t="n">
        <v>0.2799999999999727</v>
      </c>
      <c r="I307" s="211">
        <f>C290</f>
        <v/>
      </c>
      <c r="J307" s="211">
        <f>C307</f>
        <v/>
      </c>
      <c r="K307" s="60">
        <f t="array" ref="K307">INDEX('Podium Target Times'!$C:$C, MATCH(A307&amp;B307, 'Podium Target Times'!$A:$A&amp;'Podium Target Times'!$B:$B, 0))
</f>
        <v/>
      </c>
      <c r="L307" s="211">
        <f>K307</f>
        <v/>
      </c>
      <c r="M307" s="60">
        <f>TEXT(L307/86400, "mm:ss.00")</f>
        <v/>
      </c>
      <c r="N307" s="25">
        <f>IFERROR(__xludf.DUMMYFUNCTION("LET(
  gen,$A307, ev,$B307, t,$M307,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307" s="65" t="n"/>
      <c r="P307" s="69" t="n"/>
      <c r="Q307" s="65" t="n"/>
      <c r="R307" s="69" t="n"/>
      <c r="S307" s="58" t="n"/>
      <c r="T307" s="69" t="n"/>
      <c r="U307" s="65" t="n"/>
      <c r="V307" s="65" t="n"/>
      <c r="W307" s="65" t="n"/>
    </row>
    <row r="308">
      <c r="A308" s="8" t="inlineStr">
        <is>
          <t>M</t>
        </is>
      </c>
      <c r="B308" s="9" t="inlineStr">
        <is>
          <t>100 Back</t>
        </is>
      </c>
      <c r="C308" s="9" t="n">
        <v>16</v>
      </c>
      <c r="D308" s="9" t="n">
        <v>1</v>
      </c>
      <c r="E308" s="41" t="inlineStr">
        <is>
          <t>57.82</t>
        </is>
      </c>
      <c r="F308" s="35">
        <f>IFERROR(__xludf.DUMMYFUNCTION("IF(
  REGEXMATCH(E308, "":""),
  60*VALUE(INDEX(SPLIT(E308, "":""),1,1)) + VALUE(INDEX(SPLIT(E308, "":""),1,2)),
  VALUE(E308)
)"),57.82)</f>
        <v/>
      </c>
      <c r="G308" s="12" t="n">
        <v>0</v>
      </c>
      <c r="H308" s="12" t="n">
        <v>0</v>
      </c>
      <c r="I308" s="43">
        <f>C308</f>
        <v/>
      </c>
      <c r="J308" s="43">
        <f>C325</f>
        <v/>
      </c>
      <c r="K308" s="43">
        <f t="array" ref="K308">INDEX('Podium Target Times'!$C:$C, MATCH(A308&amp;B308, 'Podium Target Times'!$A:$A&amp;'Podium Target Times'!$B:$B, 0))
</f>
        <v/>
      </c>
      <c r="L308" s="12">
        <f>L309+G309</f>
        <v/>
      </c>
      <c r="M308" s="43">
        <f>TEXT(L308/86400, "mm:ss.00")</f>
        <v/>
      </c>
      <c r="N308" s="14">
        <f>IFERROR(__xludf.DUMMYFUNCTION("LET(
  gen,$A308, ev,$B308, t,$M308,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)"),618.0)</f>
        <v/>
      </c>
      <c r="O308" s="65" t="n"/>
      <c r="P308" s="69">
        <f>A308</f>
        <v/>
      </c>
      <c r="Q308" s="65">
        <f>B308</f>
        <v/>
      </c>
      <c r="R308" s="69">
        <f>C308</f>
        <v/>
      </c>
      <c r="S308" s="58">
        <f>M308</f>
        <v/>
      </c>
      <c r="T308" s="69">
        <f>N308</f>
        <v/>
      </c>
      <c r="U308" s="65" t="n"/>
      <c r="V308" s="65" t="n"/>
      <c r="W308" s="65" t="n"/>
    </row>
    <row r="309">
      <c r="A309" s="17" t="inlineStr">
        <is>
          <t>M</t>
        </is>
      </c>
      <c r="B309" s="18" t="inlineStr">
        <is>
          <t>100 Back</t>
        </is>
      </c>
      <c r="C309" s="18" t="n">
        <v>17</v>
      </c>
      <c r="D309" s="18" t="n">
        <v>1</v>
      </c>
      <c r="E309" s="46" t="inlineStr">
        <is>
          <t>56.23</t>
        </is>
      </c>
      <c r="F309" s="21">
        <f>IFERROR(__xludf.DUMMYFUNCTION("IF(
  REGEXMATCH(E309, "":""),
  60*VALUE(INDEX(SPLIT(E309, "":""),1,1)) + VALUE(INDEX(SPLIT(E309, "":""),1,2)),
  VALUE(E309)
)"),56.23)</f>
        <v/>
      </c>
      <c r="G309" s="21">
        <f>F308-F309</f>
        <v/>
      </c>
      <c r="H309" s="21" t="n">
        <v>1.590000000000003</v>
      </c>
      <c r="I309" s="211">
        <f>C308</f>
        <v/>
      </c>
      <c r="J309" s="211">
        <f>C325</f>
        <v/>
      </c>
      <c r="K309" s="60">
        <f t="array" ref="K309">INDEX('Podium Target Times'!$C:$C, MATCH(A309&amp;B309, 'Podium Target Times'!$A:$A&amp;'Podium Target Times'!$B:$B, 0))
</f>
        <v/>
      </c>
      <c r="L309" s="24">
        <f>L311+G311</f>
        <v/>
      </c>
      <c r="M309" s="60">
        <f>TEXT(L309/86400, "mm:ss.00")</f>
        <v/>
      </c>
      <c r="N309" s="25">
        <f>IFERROR(__xludf.DUMMYFUNCTION("LET(
  gen,$A309, ev,$B309, t,$M309,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)"),669.0)</f>
        <v/>
      </c>
      <c r="O309" s="65" t="n"/>
      <c r="P309" s="69">
        <f>A309</f>
        <v/>
      </c>
      <c r="Q309" s="65">
        <f>B309</f>
        <v/>
      </c>
      <c r="R309" s="69">
        <f>C309</f>
        <v/>
      </c>
      <c r="S309" s="58">
        <f>M309</f>
        <v/>
      </c>
      <c r="T309" s="69">
        <f>N309</f>
        <v/>
      </c>
      <c r="U309" s="65" t="n"/>
      <c r="V309" s="65" t="n"/>
      <c r="W309" s="65" t="n"/>
    </row>
    <row r="310">
      <c r="A310" s="8" t="inlineStr">
        <is>
          <t>M</t>
        </is>
      </c>
      <c r="B310" s="9" t="inlineStr">
        <is>
          <t>100 Back</t>
        </is>
      </c>
      <c r="C310" s="9" t="n">
        <v>17</v>
      </c>
      <c r="D310" s="9" t="n">
        <v>2</v>
      </c>
      <c r="E310" s="41" t="inlineStr">
        <is>
          <t>56.79</t>
        </is>
      </c>
      <c r="F310" s="35">
        <f>IFERROR(__xludf.DUMMYFUNCTION("IF(
  REGEXMATCH(E310, "":""),
  60*VALUE(INDEX(SPLIT(E310, "":""),1,1)) + VALUE(INDEX(SPLIT(E310, "":""),1,2)),
  VALUE(E310)
)"),56.79)</f>
        <v/>
      </c>
      <c r="G310" s="35">
        <f>F308-F309</f>
        <v/>
      </c>
      <c r="H310" s="35" t="n">
        <v>1.590000000000003</v>
      </c>
      <c r="I310" s="215">
        <f>C308</f>
        <v/>
      </c>
      <c r="J310" s="215">
        <f>C325</f>
        <v/>
      </c>
      <c r="K310" s="43">
        <f t="array" ref="K310">INDEX('Podium Target Times'!$C:$C, MATCH(A310&amp;B310, 'Podium Target Times'!$A:$A&amp;'Podium Target Times'!$B:$B, 0))
</f>
        <v/>
      </c>
      <c r="L310" s="12">
        <f>L311+G311</f>
        <v/>
      </c>
      <c r="M310" s="43">
        <f>TEXT(L310/86400, "mm:ss.00")</f>
        <v/>
      </c>
      <c r="N310" s="14">
        <f>IFERROR(__xludf.DUMMYFUNCTION("LET(
  gen,$A310, ev,$B310, t,$M310,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)"),669.0)</f>
        <v/>
      </c>
      <c r="O310" s="65" t="n"/>
      <c r="P310" s="69">
        <f>A311</f>
        <v/>
      </c>
      <c r="Q310" s="65">
        <f>B311</f>
        <v/>
      </c>
      <c r="R310" s="69">
        <f>C311</f>
        <v/>
      </c>
      <c r="S310" s="58">
        <f>M311</f>
        <v/>
      </c>
      <c r="T310" s="69">
        <f>N311</f>
        <v/>
      </c>
      <c r="U310" s="65" t="n"/>
      <c r="V310" s="65" t="n"/>
      <c r="W310" s="65" t="n"/>
    </row>
    <row r="311">
      <c r="A311" s="17" t="inlineStr">
        <is>
          <t>M</t>
        </is>
      </c>
      <c r="B311" s="18" t="inlineStr">
        <is>
          <t>100 Back</t>
        </is>
      </c>
      <c r="C311" s="18" t="n">
        <v>18</v>
      </c>
      <c r="D311" s="18" t="n">
        <v>1</v>
      </c>
      <c r="E311" s="46" t="inlineStr">
        <is>
          <t>55.17</t>
        </is>
      </c>
      <c r="F311" s="21">
        <f>IFERROR(__xludf.DUMMYFUNCTION("IF(
  REGEXMATCH(E311, "":""),
  60*VALUE(INDEX(SPLIT(E311, "":""),1,1)) + VALUE(INDEX(SPLIT(E311, "":""),1,2)),
  VALUE(E311)
)"),55.17)</f>
        <v/>
      </c>
      <c r="G311" s="21">
        <f>average(F309-F311,F310-F312)</f>
        <v/>
      </c>
      <c r="H311" s="21" t="n">
        <v>1.064999999999998</v>
      </c>
      <c r="I311" s="211">
        <f>C308</f>
        <v/>
      </c>
      <c r="J311" s="211">
        <f>C325</f>
        <v/>
      </c>
      <c r="K311" s="60">
        <f t="array" ref="K311">INDEX('Podium Target Times'!$C:$C, MATCH(A311&amp;B311, 'Podium Target Times'!$A:$A&amp;'Podium Target Times'!$B:$B, 0))
</f>
        <v/>
      </c>
      <c r="L311" s="24">
        <f>L314+G314</f>
        <v/>
      </c>
      <c r="M311" s="60">
        <f>TEXT(L311/86400, "mm:ss.00")</f>
        <v/>
      </c>
      <c r="N311" s="25">
        <f>IFERROR(__xludf.DUMMYFUNCTION("LET(
  gen,$A311, ev,$B311, t,$M311,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311" s="65" t="n"/>
      <c r="P311" s="69">
        <f>A314</f>
        <v/>
      </c>
      <c r="Q311" s="65">
        <f>B314</f>
        <v/>
      </c>
      <c r="R311" s="69">
        <f>C314</f>
        <v/>
      </c>
      <c r="S311" s="58">
        <f>M314</f>
        <v/>
      </c>
      <c r="T311" s="69">
        <f>N314</f>
        <v/>
      </c>
      <c r="U311" s="65" t="n"/>
      <c r="V311" s="65" t="n"/>
      <c r="W311" s="65" t="n"/>
    </row>
    <row r="312">
      <c r="A312" s="8" t="inlineStr">
        <is>
          <t>M</t>
        </is>
      </c>
      <c r="B312" s="9" t="inlineStr">
        <is>
          <t>100 Back</t>
        </is>
      </c>
      <c r="C312" s="9" t="n">
        <v>18</v>
      </c>
      <c r="D312" s="9" t="n">
        <v>2</v>
      </c>
      <c r="E312" s="41" t="inlineStr">
        <is>
          <t>55.72</t>
        </is>
      </c>
      <c r="F312" s="35">
        <f>IFERROR(__xludf.DUMMYFUNCTION("IF(
  REGEXMATCH(E312, "":""),
  60*VALUE(INDEX(SPLIT(E312, "":""),1,1)) + VALUE(INDEX(SPLIT(E312, "":""),1,2)),
  VALUE(E312)
)"),55.72)</f>
        <v/>
      </c>
      <c r="G312" s="35">
        <f>average(F309-F311,F310-F312)</f>
        <v/>
      </c>
      <c r="H312" s="35" t="n">
        <v>1.064999999999998</v>
      </c>
      <c r="I312" s="215">
        <f>C308</f>
        <v/>
      </c>
      <c r="J312" s="215">
        <f>C325</f>
        <v/>
      </c>
      <c r="K312" s="43">
        <f t="array" ref="K312">INDEX('Podium Target Times'!$C:$C, MATCH(A312&amp;B312, 'Podium Target Times'!$A:$A&amp;'Podium Target Times'!$B:$B, 0))
</f>
        <v/>
      </c>
      <c r="L312" s="12">
        <f>L314+G314</f>
        <v/>
      </c>
      <c r="M312" s="43">
        <f>TEXT(L312/86400, "mm:ss.00")</f>
        <v/>
      </c>
      <c r="N312" s="14">
        <f>IFERROR(__xludf.DUMMYFUNCTION("LET(
  gen,$A312, ev,$B312, t,$M312,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312" s="65" t="n"/>
      <c r="P312" s="69">
        <f>A317</f>
        <v/>
      </c>
      <c r="Q312" s="65">
        <f>B317</f>
        <v/>
      </c>
      <c r="R312" s="69">
        <f>C317</f>
        <v/>
      </c>
      <c r="S312" s="58">
        <f>M317</f>
        <v/>
      </c>
      <c r="T312" s="69">
        <f>N317</f>
        <v/>
      </c>
      <c r="U312" s="65" t="n"/>
      <c r="V312" s="65" t="n"/>
      <c r="W312" s="65" t="n"/>
    </row>
    <row r="313">
      <c r="A313" s="17" t="inlineStr">
        <is>
          <t>M</t>
        </is>
      </c>
      <c r="B313" s="18" t="inlineStr">
        <is>
          <t>100 Back</t>
        </is>
      </c>
      <c r="C313" s="18" t="n">
        <v>18</v>
      </c>
      <c r="D313" s="18" t="n">
        <v>3</v>
      </c>
      <c r="E313" s="46" t="inlineStr">
        <is>
          <t>55.86</t>
        </is>
      </c>
      <c r="F313" s="21">
        <f>IFERROR(__xludf.DUMMYFUNCTION("IF(
  REGEXMATCH(E313, "":""),
  60*VALUE(INDEX(SPLIT(E313, "":""),1,1)) + VALUE(INDEX(SPLIT(E313, "":""),1,2)),
  VALUE(E313)
)"),55.86)</f>
        <v/>
      </c>
      <c r="G313" s="21">
        <f>average(F309-F311,F310-F312)</f>
        <v/>
      </c>
      <c r="H313" s="21" t="n">
        <v>1.064999999999998</v>
      </c>
      <c r="I313" s="211">
        <f>C308</f>
        <v/>
      </c>
      <c r="J313" s="211">
        <f>C325</f>
        <v/>
      </c>
      <c r="K313" s="60">
        <f t="array" ref="K313">INDEX('Podium Target Times'!$C:$C, MATCH(A313&amp;B313, 'Podium Target Times'!$A:$A&amp;'Podium Target Times'!$B:$B, 0))
</f>
        <v/>
      </c>
      <c r="L313" s="24">
        <f>L314+G314</f>
        <v/>
      </c>
      <c r="M313" s="60">
        <f>TEXT(L313/86400, "mm:ss.00")</f>
        <v/>
      </c>
      <c r="N313" s="25">
        <f>IFERROR(__xludf.DUMMYFUNCTION("LET(
  gen,$A313, ev,$B313, t,$M313,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313" s="65" t="n"/>
      <c r="P313" s="69">
        <f>A320</f>
        <v/>
      </c>
      <c r="Q313" s="65">
        <f>B320</f>
        <v/>
      </c>
      <c r="R313" s="69">
        <f>C320</f>
        <v/>
      </c>
      <c r="S313" s="58">
        <f>M320</f>
        <v/>
      </c>
      <c r="T313" s="69">
        <f>N320</f>
        <v/>
      </c>
      <c r="U313" s="65" t="n"/>
      <c r="V313" s="65" t="n"/>
      <c r="W313" s="65" t="n"/>
    </row>
    <row r="314">
      <c r="A314" s="8" t="inlineStr">
        <is>
          <t>M</t>
        </is>
      </c>
      <c r="B314" s="9" t="inlineStr">
        <is>
          <t>100 Back</t>
        </is>
      </c>
      <c r="C314" s="9" t="n">
        <v>19</v>
      </c>
      <c r="D314" s="9" t="n">
        <v>1</v>
      </c>
      <c r="E314" s="41" t="inlineStr">
        <is>
          <t>54.43</t>
        </is>
      </c>
      <c r="F314" s="35">
        <f>IFERROR(__xludf.DUMMYFUNCTION("IF(
  REGEXMATCH(E314, "":""),
  60*VALUE(INDEX(SPLIT(E314, "":""),1,1)) + VALUE(INDEX(SPLIT(E314, "":""),1,2)),
  VALUE(E314)
)"),54.43)</f>
        <v/>
      </c>
      <c r="G314" s="35">
        <f>average(F311-F314,F312-F315,F313-F316)</f>
        <v/>
      </c>
      <c r="H314" s="35" t="n">
        <v>0.740000000000002</v>
      </c>
      <c r="I314" s="215">
        <f>C308</f>
        <v/>
      </c>
      <c r="J314" s="215">
        <f>C325</f>
        <v/>
      </c>
      <c r="K314" s="43">
        <f t="array" ref="K314">INDEX('Podium Target Times'!$C:$C, MATCH(A314&amp;B314, 'Podium Target Times'!$A:$A&amp;'Podium Target Times'!$B:$B, 0))
</f>
        <v/>
      </c>
      <c r="L314" s="12">
        <f>L317+G317</f>
        <v/>
      </c>
      <c r="M314" s="43">
        <f>TEXT(L314/86400, "mm:ss.00")</f>
        <v/>
      </c>
      <c r="N314" s="14">
        <f>IFERROR(__xludf.DUMMYFUNCTION("LET(
  gen,$A314, ev,$B314, t,$M314,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314" s="65" t="n"/>
      <c r="P314" s="69">
        <f>A322</f>
        <v/>
      </c>
      <c r="Q314" s="65">
        <f>B322</f>
        <v/>
      </c>
      <c r="R314" s="69">
        <f>C322</f>
        <v/>
      </c>
      <c r="S314" s="58">
        <f>M322</f>
        <v/>
      </c>
      <c r="T314" s="69">
        <f>N322</f>
        <v/>
      </c>
      <c r="U314" s="65" t="n"/>
      <c r="V314" s="65" t="n"/>
      <c r="W314" s="65" t="n"/>
    </row>
    <row r="315">
      <c r="A315" s="17" t="inlineStr">
        <is>
          <t>M</t>
        </is>
      </c>
      <c r="B315" s="18" t="inlineStr">
        <is>
          <t>100 Back</t>
        </is>
      </c>
      <c r="C315" s="18" t="n">
        <v>19</v>
      </c>
      <c r="D315" s="18" t="n">
        <v>2</v>
      </c>
      <c r="E315" s="46" t="inlineStr">
        <is>
          <t>54.98</t>
        </is>
      </c>
      <c r="F315" s="21">
        <f>IFERROR(__xludf.DUMMYFUNCTION("IF(
  REGEXMATCH(E315, "":""),
  60*VALUE(INDEX(SPLIT(E315, "":""),1,1)) + VALUE(INDEX(SPLIT(E315, "":""),1,2)),
  VALUE(E315)
)"),54.98)</f>
        <v/>
      </c>
      <c r="G315" s="21">
        <f>average(F311-F314,F312-F315,F313-F316)</f>
        <v/>
      </c>
      <c r="H315" s="21" t="n">
        <v>0.740000000000002</v>
      </c>
      <c r="I315" s="211">
        <f>C308</f>
        <v/>
      </c>
      <c r="J315" s="211">
        <f>C325</f>
        <v/>
      </c>
      <c r="K315" s="60">
        <f t="array" ref="K315">INDEX('Podium Target Times'!$C:$C, MATCH(A315&amp;B315, 'Podium Target Times'!$A:$A&amp;'Podium Target Times'!$B:$B, 0))
</f>
        <v/>
      </c>
      <c r="L315" s="24">
        <f>L317+G317</f>
        <v/>
      </c>
      <c r="M315" s="60">
        <f>TEXT(L315/86400, "mm:ss.00")</f>
        <v/>
      </c>
      <c r="N315" s="25">
        <f>IFERROR(__xludf.DUMMYFUNCTION("LET(
  gen,$A315, ev,$B315, t,$M315,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315" s="65" t="n"/>
      <c r="P315" s="69">
        <f>A324</f>
        <v/>
      </c>
      <c r="Q315" s="65">
        <f>B324</f>
        <v/>
      </c>
      <c r="R315" s="69">
        <f>C324</f>
        <v/>
      </c>
      <c r="S315" s="58">
        <f>M324</f>
        <v/>
      </c>
      <c r="T315" s="69">
        <f>N324</f>
        <v/>
      </c>
      <c r="U315" s="65" t="n"/>
      <c r="V315" s="65" t="n"/>
      <c r="W315" s="65" t="n"/>
    </row>
    <row r="316">
      <c r="A316" s="8" t="inlineStr">
        <is>
          <t>M</t>
        </is>
      </c>
      <c r="B316" s="9" t="inlineStr">
        <is>
          <t>100 Back</t>
        </is>
      </c>
      <c r="C316" s="9" t="n">
        <v>19</v>
      </c>
      <c r="D316" s="9" t="n">
        <v>3</v>
      </c>
      <c r="E316" s="41" t="inlineStr">
        <is>
          <t>55.12</t>
        </is>
      </c>
      <c r="F316" s="35">
        <f>IFERROR(__xludf.DUMMYFUNCTION("IF(
  REGEXMATCH(E316, "":""),
  60*VALUE(INDEX(SPLIT(E316, "":""),1,1)) + VALUE(INDEX(SPLIT(E316, "":""),1,2)),
  VALUE(E316)
)"),55.12)</f>
        <v/>
      </c>
      <c r="G316" s="35">
        <f>average(F311-F314,F312-F315,F313-F316)</f>
        <v/>
      </c>
      <c r="H316" s="35" t="n">
        <v>0.740000000000002</v>
      </c>
      <c r="I316" s="215">
        <f>C308</f>
        <v/>
      </c>
      <c r="J316" s="215">
        <f>C325</f>
        <v/>
      </c>
      <c r="K316" s="43">
        <f t="array" ref="K316">INDEX('Podium Target Times'!$C:$C, MATCH(A316&amp;B316, 'Podium Target Times'!$A:$A&amp;'Podium Target Times'!$B:$B, 0))
</f>
        <v/>
      </c>
      <c r="L316" s="12">
        <f>L317+G317</f>
        <v/>
      </c>
      <c r="M316" s="43">
        <f>TEXT(L316/86400, "mm:ss.00")</f>
        <v/>
      </c>
      <c r="N316" s="14">
        <f>IFERROR(__xludf.DUMMYFUNCTION("LET(
  gen,$A316, ev,$B316, t,$M316,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316" s="65" t="n"/>
      <c r="P316" s="69">
        <f>A325</f>
        <v/>
      </c>
      <c r="Q316" s="65">
        <f>B325</f>
        <v/>
      </c>
      <c r="R316" s="69">
        <f>C325</f>
        <v/>
      </c>
      <c r="S316" s="58">
        <f>M325</f>
        <v/>
      </c>
      <c r="T316" s="69">
        <f>N325</f>
        <v/>
      </c>
      <c r="U316" s="65" t="n"/>
      <c r="V316" s="65" t="n"/>
      <c r="W316" s="65" t="n"/>
    </row>
    <row r="317">
      <c r="A317" s="17" t="inlineStr">
        <is>
          <t>M</t>
        </is>
      </c>
      <c r="B317" s="18" t="inlineStr">
        <is>
          <t>100 Back</t>
        </is>
      </c>
      <c r="C317" s="18" t="n">
        <v>20</v>
      </c>
      <c r="D317" s="18" t="n">
        <v>1</v>
      </c>
      <c r="E317" s="46" t="inlineStr">
        <is>
          <t>53.94</t>
        </is>
      </c>
      <c r="F317" s="21">
        <f>IFERROR(__xludf.DUMMYFUNCTION("IF(
  REGEXMATCH(E317, "":""),
  60*VALUE(INDEX(SPLIT(E317, "":""),1,1)) + VALUE(INDEX(SPLIT(E317, "":""),1,2)),
  VALUE(E317)
)"),53.94)</f>
        <v/>
      </c>
      <c r="G317" s="21">
        <f>average(F314-F317,F315-F318,F316-F319)</f>
        <v/>
      </c>
      <c r="H317" s="21" t="n">
        <v>0.4966666666666673</v>
      </c>
      <c r="I317" s="211">
        <f>C308</f>
        <v/>
      </c>
      <c r="J317" s="211">
        <f>C325</f>
        <v/>
      </c>
      <c r="K317" s="60">
        <f t="array" ref="K317">INDEX('Podium Target Times'!$C:$C, MATCH(A317&amp;B317, 'Podium Target Times'!$A:$A&amp;'Podium Target Times'!$B:$B, 0))
</f>
        <v/>
      </c>
      <c r="L317" s="24">
        <f>L320+G320</f>
        <v/>
      </c>
      <c r="M317" s="60">
        <f>TEXT(L317/86400, "mm:ss.00")</f>
        <v/>
      </c>
      <c r="N317" s="25">
        <f>IFERROR(__xludf.DUMMYFUNCTION("LET(
  gen,$A317, ev,$B317, t,$M317,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O317" s="65" t="n"/>
      <c r="P317" s="69" t="n"/>
      <c r="Q317" s="65" t="n"/>
      <c r="R317" s="69" t="n"/>
      <c r="S317" s="58" t="n"/>
      <c r="T317" s="69" t="n"/>
      <c r="U317" s="65" t="n"/>
      <c r="V317" s="65" t="n"/>
      <c r="W317" s="65" t="n"/>
    </row>
    <row r="318">
      <c r="A318" s="8" t="inlineStr">
        <is>
          <t>M</t>
        </is>
      </c>
      <c r="B318" s="9" t="inlineStr">
        <is>
          <t>100 Back</t>
        </is>
      </c>
      <c r="C318" s="9" t="n">
        <v>20</v>
      </c>
      <c r="D318" s="9" t="n">
        <v>2</v>
      </c>
      <c r="E318" s="41" t="inlineStr">
        <is>
          <t>54.48</t>
        </is>
      </c>
      <c r="F318" s="35">
        <f>IFERROR(__xludf.DUMMYFUNCTION("IF(
  REGEXMATCH(E318, "":""),
  60*VALUE(INDEX(SPLIT(E318, "":""),1,1)) + VALUE(INDEX(SPLIT(E318, "":""),1,2)),
  VALUE(E318)
)"),54.48)</f>
        <v/>
      </c>
      <c r="G318" s="35">
        <f>average(F314-F317,F315-F318,F316-F319)</f>
        <v/>
      </c>
      <c r="H318" s="35" t="n">
        <v>0.4966666666666673</v>
      </c>
      <c r="I318" s="215">
        <f>C308</f>
        <v/>
      </c>
      <c r="J318" s="215">
        <f>C325</f>
        <v/>
      </c>
      <c r="K318" s="43">
        <f t="array" ref="K318">INDEX('Podium Target Times'!$C:$C, MATCH(A318&amp;B318, 'Podium Target Times'!$A:$A&amp;'Podium Target Times'!$B:$B, 0))
</f>
        <v/>
      </c>
      <c r="L318" s="12">
        <f>L320+G320</f>
        <v/>
      </c>
      <c r="M318" s="43">
        <f>TEXT(L318/86400, "mm:ss.00")</f>
        <v/>
      </c>
      <c r="N318" s="14">
        <f>IFERROR(__xludf.DUMMYFUNCTION("LET(
  gen,$A318, ev,$B318, t,$M318,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O318" s="65" t="n"/>
      <c r="P318" s="69" t="n"/>
      <c r="Q318" s="65" t="n"/>
      <c r="R318" s="69" t="n"/>
      <c r="S318" s="58" t="n"/>
      <c r="T318" s="69" t="n"/>
      <c r="U318" s="65" t="n"/>
      <c r="V318" s="65" t="n"/>
      <c r="W318" s="65" t="n"/>
    </row>
    <row r="319">
      <c r="A319" s="17" t="inlineStr">
        <is>
          <t>M</t>
        </is>
      </c>
      <c r="B319" s="18" t="inlineStr">
        <is>
          <t>100 Back</t>
        </is>
      </c>
      <c r="C319" s="18" t="n">
        <v>20</v>
      </c>
      <c r="D319" s="18" t="n">
        <v>3</v>
      </c>
      <c r="E319" s="46" t="inlineStr">
        <is>
          <t>54.62</t>
        </is>
      </c>
      <c r="F319" s="21">
        <f>IFERROR(__xludf.DUMMYFUNCTION("IF(
  REGEXMATCH(E319, "":""),
  60*VALUE(INDEX(SPLIT(E319, "":""),1,1)) + VALUE(INDEX(SPLIT(E319, "":""),1,2)),
  VALUE(E319)
)"),54.62)</f>
        <v/>
      </c>
      <c r="G319" s="21">
        <f>average(F314-F317,F315-F318,F316-F319)</f>
        <v/>
      </c>
      <c r="H319" s="21" t="n">
        <v>0.4966666666666673</v>
      </c>
      <c r="I319" s="211">
        <f>C308</f>
        <v/>
      </c>
      <c r="J319" s="211">
        <f>C325</f>
        <v/>
      </c>
      <c r="K319" s="60">
        <f t="array" ref="K319">INDEX('Podium Target Times'!$C:$C, MATCH(A319&amp;B319, 'Podium Target Times'!$A:$A&amp;'Podium Target Times'!$B:$B, 0))
</f>
        <v/>
      </c>
      <c r="L319" s="24">
        <f>L320+G320</f>
        <v/>
      </c>
      <c r="M319" s="60">
        <f>TEXT(L319/86400, "mm:ss.00")</f>
        <v/>
      </c>
      <c r="N319" s="25">
        <f>IFERROR(__xludf.DUMMYFUNCTION("LET(
  gen,$A319, ev,$B319, t,$M319,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O319" s="65" t="n"/>
      <c r="P319" s="69" t="n"/>
      <c r="Q319" s="65" t="n"/>
      <c r="R319" s="69" t="n"/>
      <c r="S319" s="58" t="n"/>
      <c r="T319" s="69" t="n"/>
      <c r="U319" s="65" t="n"/>
      <c r="V319" s="65" t="n"/>
      <c r="W319" s="65" t="n"/>
    </row>
    <row r="320">
      <c r="A320" s="8" t="inlineStr">
        <is>
          <t>M</t>
        </is>
      </c>
      <c r="B320" s="9" t="inlineStr">
        <is>
          <t>100 Back</t>
        </is>
      </c>
      <c r="C320" s="9" t="n">
        <v>21</v>
      </c>
      <c r="D320" s="9" t="n">
        <v>2</v>
      </c>
      <c r="E320" s="41" t="inlineStr">
        <is>
          <t>54.15</t>
        </is>
      </c>
      <c r="F320" s="35">
        <f>IFERROR(__xludf.DUMMYFUNCTION("IF(
  REGEXMATCH(E320, "":""),
  60*VALUE(INDEX(SPLIT(E320, "":""),1,1)) + VALUE(INDEX(SPLIT(E320, "":""),1,2)),
  VALUE(E320)
)"),54.15)</f>
        <v/>
      </c>
      <c r="G320" s="35">
        <f>average(F318-F320,F319-F321)</f>
        <v/>
      </c>
      <c r="H320" s="35" t="n">
        <v>0.3349999999999973</v>
      </c>
      <c r="I320" s="215">
        <f>C308</f>
        <v/>
      </c>
      <c r="J320" s="215">
        <f>C325</f>
        <v/>
      </c>
      <c r="K320" s="43">
        <f t="array" ref="K320">INDEX('Podium Target Times'!$C:$C, MATCH(A320&amp;B320, 'Podium Target Times'!$A:$A&amp;'Podium Target Times'!$B:$B, 0))
</f>
        <v/>
      </c>
      <c r="L320" s="12">
        <f>L322+G322</f>
        <v/>
      </c>
      <c r="M320" s="43">
        <f>TEXT(L320/86400, "mm:ss.00")</f>
        <v/>
      </c>
      <c r="N320" s="14">
        <f>IFERROR(__xludf.DUMMYFUNCTION("LET(
  gen,$A320, ev,$B320, t,$M320,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
      </c>
      <c r="O320" s="65" t="n"/>
      <c r="P320" s="69" t="n"/>
      <c r="Q320" s="65" t="n"/>
      <c r="R320" s="69" t="n"/>
      <c r="S320" s="58" t="n"/>
      <c r="T320" s="69" t="n"/>
      <c r="U320" s="65" t="n"/>
      <c r="V320" s="65" t="n"/>
      <c r="W320" s="65" t="n"/>
    </row>
    <row r="321">
      <c r="A321" s="17" t="inlineStr">
        <is>
          <t>M</t>
        </is>
      </c>
      <c r="B321" s="18" t="inlineStr">
        <is>
          <t>100 Back</t>
        </is>
      </c>
      <c r="C321" s="18" t="n">
        <v>21</v>
      </c>
      <c r="D321" s="18" t="n">
        <v>3</v>
      </c>
      <c r="E321" s="46" t="inlineStr">
        <is>
          <t>54.28</t>
        </is>
      </c>
      <c r="F321" s="21">
        <f>IFERROR(__xludf.DUMMYFUNCTION("IF(
  REGEXMATCH(E321, "":""),
  60*VALUE(INDEX(SPLIT(E321, "":""),1,1)) + VALUE(INDEX(SPLIT(E321, "":""),1,2)),
  VALUE(E321)
)"),54.28)</f>
        <v/>
      </c>
      <c r="G321" s="21">
        <f>average(F318-F320,F319-F321)</f>
        <v/>
      </c>
      <c r="H321" s="21" t="n">
        <v>0.3349999999999973</v>
      </c>
      <c r="I321" s="211">
        <f>C308</f>
        <v/>
      </c>
      <c r="J321" s="211">
        <f>C325</f>
        <v/>
      </c>
      <c r="K321" s="60">
        <f t="array" ref="K321">INDEX('Podium Target Times'!$C:$C, MATCH(A321&amp;B321, 'Podium Target Times'!$A:$A&amp;'Podium Target Times'!$B:$B, 0))
</f>
        <v/>
      </c>
      <c r="L321" s="24">
        <f>L322+G322</f>
        <v/>
      </c>
      <c r="M321" s="60">
        <f>TEXT(L321/86400, "mm:ss.00")</f>
        <v/>
      </c>
      <c r="N321" s="25">
        <f>IFERROR(__xludf.DUMMYFUNCTION("LET(
  gen,$A321, ev,$B321, t,$M321,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
      </c>
      <c r="O321" s="65" t="n"/>
      <c r="P321" s="69" t="n"/>
      <c r="Q321" s="65" t="n"/>
      <c r="R321" s="69" t="n"/>
      <c r="S321" s="58" t="n"/>
      <c r="T321" s="69" t="n"/>
      <c r="U321" s="65" t="n"/>
      <c r="V321" s="65" t="n"/>
      <c r="W321" s="65" t="n"/>
    </row>
    <row r="322">
      <c r="A322" s="8" t="inlineStr">
        <is>
          <t>M</t>
        </is>
      </c>
      <c r="B322" s="9" t="inlineStr">
        <is>
          <t>100 Back</t>
        </is>
      </c>
      <c r="C322" s="9" t="n">
        <v>22</v>
      </c>
      <c r="D322" s="9" t="n">
        <v>2</v>
      </c>
      <c r="E322" s="41" t="inlineStr">
        <is>
          <t>53.94</t>
        </is>
      </c>
      <c r="F322" s="35">
        <f>IFERROR(__xludf.DUMMYFUNCTION("IF(
  REGEXMATCH(E322, "":""),
  60*VALUE(INDEX(SPLIT(E322, "":""),1,1)) + VALUE(INDEX(SPLIT(E322, "":""),1,2)),
  VALUE(E322)
)"),53.94)</f>
        <v/>
      </c>
      <c r="G322" s="35">
        <f>average(F320-F322,F321-F323)</f>
        <v/>
      </c>
      <c r="H322" s="35" t="n">
        <v>0.2050000000000018</v>
      </c>
      <c r="I322" s="215">
        <f>C308</f>
        <v/>
      </c>
      <c r="J322" s="215">
        <f>C325</f>
        <v/>
      </c>
      <c r="K322" s="43">
        <f t="array" ref="K322">INDEX('Podium Target Times'!$C:$C, MATCH(A322&amp;B322, 'Podium Target Times'!$A:$A&amp;'Podium Target Times'!$B:$B, 0))
</f>
        <v/>
      </c>
      <c r="L322" s="12">
        <f>L324+G324</f>
        <v/>
      </c>
      <c r="M322" s="43">
        <f>TEXT(L322/86400, "mm:ss.00")</f>
        <v/>
      </c>
      <c r="N322" s="14">
        <f>IFERROR(__xludf.DUMMYFUNCTION("LET(
  gen,$A322, ev,$B322, t,$M322,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
      </c>
      <c r="O322" s="65" t="n"/>
      <c r="P322" s="69" t="n"/>
      <c r="Q322" s="65" t="n"/>
      <c r="R322" s="69" t="n"/>
      <c r="S322" s="58" t="n"/>
      <c r="T322" s="69" t="n"/>
      <c r="U322" s="65" t="n"/>
      <c r="V322" s="65" t="n"/>
      <c r="W322" s="65" t="n"/>
    </row>
    <row r="323">
      <c r="A323" s="17" t="inlineStr">
        <is>
          <t>M</t>
        </is>
      </c>
      <c r="B323" s="18" t="inlineStr">
        <is>
          <t>100 Back</t>
        </is>
      </c>
      <c r="C323" s="18" t="n">
        <v>22</v>
      </c>
      <c r="D323" s="18" t="n">
        <v>3</v>
      </c>
      <c r="E323" s="46" t="inlineStr">
        <is>
          <t>54.08</t>
        </is>
      </c>
      <c r="F323" s="21">
        <f>IFERROR(__xludf.DUMMYFUNCTION("IF(
  REGEXMATCH(E323, "":""),
  60*VALUE(INDEX(SPLIT(E323, "":""),1,1)) + VALUE(INDEX(SPLIT(E323, "":""),1,2)),
  VALUE(E323)
)"),54.08)</f>
        <v/>
      </c>
      <c r="G323" s="21">
        <f>average(F320-F322,F321-F323)</f>
        <v/>
      </c>
      <c r="H323" s="21" t="n">
        <v>0.2050000000000018</v>
      </c>
      <c r="I323" s="211">
        <f>C308</f>
        <v/>
      </c>
      <c r="J323" s="211">
        <f>C325</f>
        <v/>
      </c>
      <c r="K323" s="60">
        <f t="array" ref="K323">INDEX('Podium Target Times'!$C:$C, MATCH(A323&amp;B323, 'Podium Target Times'!$A:$A&amp;'Podium Target Times'!$B:$B, 0))
</f>
        <v/>
      </c>
      <c r="L323" s="24">
        <f>L324+G324</f>
        <v/>
      </c>
      <c r="M323" s="60">
        <f>TEXT(L323/86400, "mm:ss.00")</f>
        <v/>
      </c>
      <c r="N323" s="25">
        <f>IFERROR(__xludf.DUMMYFUNCTION("LET(
  gen,$A323, ev,$B323, t,$M323,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
      </c>
      <c r="O323" s="65" t="n"/>
      <c r="P323" s="69" t="n"/>
      <c r="Q323" s="65" t="n"/>
      <c r="R323" s="69" t="n"/>
      <c r="S323" s="58" t="n"/>
      <c r="T323" s="69" t="n"/>
      <c r="U323" s="65" t="n"/>
      <c r="V323" s="65" t="n"/>
      <c r="W323" s="65" t="n"/>
    </row>
    <row r="324">
      <c r="A324" s="8" t="inlineStr">
        <is>
          <t>M</t>
        </is>
      </c>
      <c r="B324" s="9" t="inlineStr">
        <is>
          <t>100 Back</t>
        </is>
      </c>
      <c r="C324" s="9" t="n">
        <v>23</v>
      </c>
      <c r="D324" s="9" t="n">
        <v>3</v>
      </c>
      <c r="E324" s="41" t="inlineStr">
        <is>
          <t>53.97</t>
        </is>
      </c>
      <c r="F324" s="35">
        <f>IFERROR(__xludf.DUMMYFUNCTION("IF(
  REGEXMATCH(E324, "":""),
  60*VALUE(INDEX(SPLIT(E324, "":""),1,1)) + VALUE(INDEX(SPLIT(E324, "":""),1,2)),
  VALUE(E324)
)"),53.97)</f>
        <v/>
      </c>
      <c r="G324" s="35">
        <f>F323-F324</f>
        <v/>
      </c>
      <c r="H324" s="35" t="n">
        <v>0.1099999999999994</v>
      </c>
      <c r="I324" s="215">
        <f>C308</f>
        <v/>
      </c>
      <c r="J324" s="215">
        <f>C325</f>
        <v/>
      </c>
      <c r="K324" s="43">
        <f t="array" ref="K324">INDEX('Podium Target Times'!$C:$C, MATCH(A324&amp;B324, 'Podium Target Times'!$A:$A&amp;'Podium Target Times'!$B:$B, 0))
</f>
        <v/>
      </c>
      <c r="L324" s="12">
        <f>L325+G325</f>
        <v/>
      </c>
      <c r="M324" s="43">
        <f>TEXT(L324/86400, "mm:ss.00")</f>
        <v/>
      </c>
      <c r="N324" s="14">
        <f>IFERROR(__xludf.DUMMYFUNCTION("LET(
  gen,$A324, ev,$B324, t,$M324,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O324" s="65" t="n"/>
      <c r="P324" s="69" t="n"/>
      <c r="Q324" s="65" t="n"/>
      <c r="R324" s="69" t="n"/>
      <c r="S324" s="58" t="n"/>
      <c r="T324" s="69" t="n"/>
      <c r="U324" s="65" t="n"/>
      <c r="V324" s="65" t="n"/>
      <c r="W324" s="65" t="n"/>
    </row>
    <row r="325">
      <c r="A325" s="17" t="inlineStr">
        <is>
          <t>M</t>
        </is>
      </c>
      <c r="B325" s="18" t="inlineStr">
        <is>
          <t>100 Back</t>
        </is>
      </c>
      <c r="C325" s="18" t="n">
        <v>24</v>
      </c>
      <c r="D325" s="18" t="n">
        <v>3</v>
      </c>
      <c r="E325" s="46" t="inlineStr">
        <is>
          <t>53.94</t>
        </is>
      </c>
      <c r="F325" s="21">
        <f>IFERROR(__xludf.DUMMYFUNCTION("IF(
  REGEXMATCH(E325, "":""),
  60*VALUE(INDEX(SPLIT(E325, "":""),1,1)) + VALUE(INDEX(SPLIT(E325, "":""),1,2)),
  VALUE(E325)
)"),53.94)</f>
        <v/>
      </c>
      <c r="G325" s="21">
        <f>F324-F325</f>
        <v/>
      </c>
      <c r="H325" s="21" t="n">
        <v>0.03000000000000114</v>
      </c>
      <c r="I325" s="211">
        <f>C308</f>
        <v/>
      </c>
      <c r="J325" s="211">
        <f>C325</f>
        <v/>
      </c>
      <c r="K325" s="60">
        <f t="array" ref="K325">INDEX('Podium Target Times'!$C:$C, MATCH(A325&amp;B325, 'Podium Target Times'!$A:$A&amp;'Podium Target Times'!$B:$B, 0))
</f>
        <v/>
      </c>
      <c r="L325" s="211">
        <f>K325</f>
        <v/>
      </c>
      <c r="M325" s="60">
        <f>TEXT(L325/86400, "mm:ss.00")</f>
        <v/>
      </c>
      <c r="N325" s="25">
        <f>IFERROR(__xludf.DUMMYFUNCTION("LET(
  gen,$A325, ev,$B325, t,$M325,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O325" s="65" t="n"/>
      <c r="P325" s="69" t="n"/>
      <c r="Q325" s="65" t="n"/>
      <c r="R325" s="69" t="n"/>
      <c r="S325" s="58" t="n"/>
      <c r="T325" s="69" t="n"/>
      <c r="U325" s="65" t="n"/>
      <c r="V325" s="65" t="n"/>
      <c r="W325" s="65" t="n"/>
    </row>
    <row r="326">
      <c r="A326" s="8" t="inlineStr">
        <is>
          <t>M</t>
        </is>
      </c>
      <c r="B326" s="9" t="inlineStr">
        <is>
          <t>100 Breast</t>
        </is>
      </c>
      <c r="C326" s="9" t="n">
        <v>16</v>
      </c>
      <c r="D326" s="9" t="n">
        <v>1</v>
      </c>
      <c r="E326" s="41" t="inlineStr">
        <is>
          <t>1:04.06</t>
        </is>
      </c>
      <c r="F326" s="35">
        <f>IFERROR(__xludf.DUMMYFUNCTION("IF(
  REGEXMATCH(E326, "":""),
  60*VALUE(INDEX(SPLIT(E326, "":""),1,1)) + VALUE(INDEX(SPLIT(E326, "":""),1,2)),
  VALUE(E326)
)"),64.06)</f>
        <v/>
      </c>
      <c r="G326" s="12" t="n">
        <v>0</v>
      </c>
      <c r="H326" s="12" t="n">
        <v>0</v>
      </c>
      <c r="I326" s="43">
        <f>C326</f>
        <v/>
      </c>
      <c r="J326" s="43">
        <f>C343</f>
        <v/>
      </c>
      <c r="K326" s="43">
        <f t="array" ref="K326">INDEX('Podium Target Times'!$C:$C, MATCH(A326&amp;B326, 'Podium Target Times'!$A:$A&amp;'Podium Target Times'!$B:$B, 0))
</f>
        <v/>
      </c>
      <c r="L326" s="12">
        <f>L327+G327</f>
        <v/>
      </c>
      <c r="M326" s="43">
        <f>TEXT(L326/86400, "mm:ss.00")</f>
        <v/>
      </c>
      <c r="N326" s="14">
        <f>IFERROR(__xludf.DUMMYFUNCTION("LET(
  gen,$A326, ev,$B326, t,$M326,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)"),592.0)</f>
        <v/>
      </c>
      <c r="O326" s="65" t="n"/>
      <c r="P326" s="69">
        <f>A326</f>
        <v/>
      </c>
      <c r="Q326" s="65">
        <f>B326</f>
        <v/>
      </c>
      <c r="R326" s="69">
        <f>C326</f>
        <v/>
      </c>
      <c r="S326" s="58">
        <f>M326</f>
        <v/>
      </c>
      <c r="T326" s="69">
        <f>N326</f>
        <v/>
      </c>
      <c r="U326" s="65" t="n"/>
      <c r="V326" s="65" t="n"/>
      <c r="W326" s="65" t="n"/>
    </row>
    <row r="327">
      <c r="A327" s="17" t="inlineStr">
        <is>
          <t>M</t>
        </is>
      </c>
      <c r="B327" s="18" t="inlineStr">
        <is>
          <t>100 Breast</t>
        </is>
      </c>
      <c r="C327" s="18" t="n">
        <v>17</v>
      </c>
      <c r="D327" s="18" t="n">
        <v>1</v>
      </c>
      <c r="E327" s="46" t="inlineStr">
        <is>
          <t>1:02.45</t>
        </is>
      </c>
      <c r="F327" s="21">
        <f>IFERROR(__xludf.DUMMYFUNCTION("IF(
  REGEXMATCH(E327, "":""),
  60*VALUE(INDEX(SPLIT(E327, "":""),1,1)) + VALUE(INDEX(SPLIT(E327, "":""),1,2)),
  VALUE(E327)
)"),62.45)</f>
        <v/>
      </c>
      <c r="G327" s="21">
        <f>F326-F327</f>
        <v/>
      </c>
      <c r="H327" s="21" t="n">
        <v>1.609999999999999</v>
      </c>
      <c r="I327" s="211">
        <f>C326</f>
        <v/>
      </c>
      <c r="J327" s="211">
        <f>C343</f>
        <v/>
      </c>
      <c r="K327" s="60">
        <f t="array" ref="K327">INDEX('Podium Target Times'!$C:$C, MATCH(A327&amp;B327, 'Podium Target Times'!$A:$A&amp;'Podium Target Times'!$B:$B, 0))
</f>
        <v/>
      </c>
      <c r="L327" s="24">
        <f>L329+G329</f>
        <v/>
      </c>
      <c r="M327" s="60">
        <f>TEXT(L327/86400, "mm:ss.00")</f>
        <v/>
      </c>
      <c r="N327" s="25">
        <f>IFERROR(__xludf.DUMMYFUNCTION("LET(
  gen,$A327, ev,$B327, t,$M327,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)"),636.0)</f>
        <v/>
      </c>
      <c r="O327" s="65" t="n"/>
      <c r="P327" s="69">
        <f>A327</f>
        <v/>
      </c>
      <c r="Q327" s="65">
        <f>B327</f>
        <v/>
      </c>
      <c r="R327" s="69">
        <f>C327</f>
        <v/>
      </c>
      <c r="S327" s="58">
        <f>M327</f>
        <v/>
      </c>
      <c r="T327" s="69">
        <f>N327</f>
        <v/>
      </c>
      <c r="U327" s="65" t="n"/>
      <c r="V327" s="65" t="n"/>
      <c r="W327" s="65" t="n"/>
    </row>
    <row r="328">
      <c r="A328" s="8" t="inlineStr">
        <is>
          <t>M</t>
        </is>
      </c>
      <c r="B328" s="9" t="inlineStr">
        <is>
          <t>100 Breast</t>
        </is>
      </c>
      <c r="C328" s="9" t="n">
        <v>17</v>
      </c>
      <c r="D328" s="9" t="n">
        <v>2</v>
      </c>
      <c r="E328" s="41" t="inlineStr">
        <is>
          <t>1:03.26</t>
        </is>
      </c>
      <c r="F328" s="35">
        <f>IFERROR(__xludf.DUMMYFUNCTION("IF(
  REGEXMATCH(E328, "":""),
  60*VALUE(INDEX(SPLIT(E328, "":""),1,1)) + VALUE(INDEX(SPLIT(E328, "":""),1,2)),
  VALUE(E328)
)"),63.26)</f>
        <v/>
      </c>
      <c r="G328" s="35">
        <f>F326-F327</f>
        <v/>
      </c>
      <c r="H328" s="35" t="n">
        <v>1.609999999999999</v>
      </c>
      <c r="I328" s="215">
        <f>C326</f>
        <v/>
      </c>
      <c r="J328" s="215">
        <f>C343</f>
        <v/>
      </c>
      <c r="K328" s="43">
        <f t="array" ref="K328">INDEX('Podium Target Times'!$C:$C, MATCH(A328&amp;B328, 'Podium Target Times'!$A:$A&amp;'Podium Target Times'!$B:$B, 0))
</f>
        <v/>
      </c>
      <c r="L328" s="12">
        <f>L329+G329</f>
        <v/>
      </c>
      <c r="M328" s="43">
        <f>TEXT(L328/86400, "mm:ss.00")</f>
        <v/>
      </c>
      <c r="N328" s="14">
        <f>IFERROR(__xludf.DUMMYFUNCTION("LET(
  gen,$A328, ev,$B328, t,$M328,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)"),636.0)</f>
        <v/>
      </c>
      <c r="O328" s="65" t="n"/>
      <c r="P328" s="69">
        <f>A329</f>
        <v/>
      </c>
      <c r="Q328" s="65">
        <f>B329</f>
        <v/>
      </c>
      <c r="R328" s="69">
        <f>C329</f>
        <v/>
      </c>
      <c r="S328" s="58">
        <f>M329</f>
        <v/>
      </c>
      <c r="T328" s="69">
        <f>N329</f>
        <v/>
      </c>
      <c r="U328" s="65" t="n"/>
      <c r="V328" s="65" t="n"/>
      <c r="W328" s="65" t="n"/>
    </row>
    <row r="329">
      <c r="A329" s="17" t="inlineStr">
        <is>
          <t>M</t>
        </is>
      </c>
      <c r="B329" s="18" t="inlineStr">
        <is>
          <t>100 Breast</t>
        </is>
      </c>
      <c r="C329" s="18" t="n">
        <v>18</v>
      </c>
      <c r="D329" s="18" t="n">
        <v>1</v>
      </c>
      <c r="E329" s="46" t="inlineStr">
        <is>
          <t>1:01.25</t>
        </is>
      </c>
      <c r="F329" s="21">
        <f>IFERROR(__xludf.DUMMYFUNCTION("IF(
  REGEXMATCH(E329, "":""),
  60*VALUE(INDEX(SPLIT(E329, "":""),1,1)) + VALUE(INDEX(SPLIT(E329, "":""),1,2)),
  VALUE(E329)
)"),61.25)</f>
        <v/>
      </c>
      <c r="G329" s="21">
        <f>average(F327-F329,F328-F330)</f>
        <v/>
      </c>
      <c r="H329" s="21" t="n">
        <v>1.205000000000002</v>
      </c>
      <c r="I329" s="211">
        <f>C326</f>
        <v/>
      </c>
      <c r="J329" s="211">
        <f>C343</f>
        <v/>
      </c>
      <c r="K329" s="60">
        <f t="array" ref="K329">INDEX('Podium Target Times'!$C:$C, MATCH(A329&amp;B329, 'Podium Target Times'!$A:$A&amp;'Podium Target Times'!$B:$B, 0))
</f>
        <v/>
      </c>
      <c r="L329" s="24">
        <f>L332+G332</f>
        <v/>
      </c>
      <c r="M329" s="60">
        <f>TEXT(L329/86400, "mm:ss.00")</f>
        <v/>
      </c>
      <c r="N329" s="25">
        <f>IFERROR(__xludf.DUMMYFUNCTION("LET(
  gen,$A329, ev,$B329, t,$M329,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329" s="65" t="n"/>
      <c r="P329" s="69">
        <f>A332</f>
        <v/>
      </c>
      <c r="Q329" s="65">
        <f>B332</f>
        <v/>
      </c>
      <c r="R329" s="69">
        <f>C332</f>
        <v/>
      </c>
      <c r="S329" s="58">
        <f>M332</f>
        <v/>
      </c>
      <c r="T329" s="69">
        <f>N332</f>
        <v/>
      </c>
      <c r="U329" s="65" t="n"/>
      <c r="V329" s="65" t="n"/>
      <c r="W329" s="65" t="n"/>
    </row>
    <row r="330">
      <c r="A330" s="8" t="inlineStr">
        <is>
          <t>M</t>
        </is>
      </c>
      <c r="B330" s="9" t="inlineStr">
        <is>
          <t>100 Breast</t>
        </is>
      </c>
      <c r="C330" s="9" t="n">
        <v>18</v>
      </c>
      <c r="D330" s="9" t="n">
        <v>2</v>
      </c>
      <c r="E330" s="41" t="inlineStr">
        <is>
          <t>1:02.05</t>
        </is>
      </c>
      <c r="F330" s="35">
        <f>IFERROR(__xludf.DUMMYFUNCTION("IF(
  REGEXMATCH(E330, "":""),
  60*VALUE(INDEX(SPLIT(E330, "":""),1,1)) + VALUE(INDEX(SPLIT(E330, "":""),1,2)),
  VALUE(E330)
)"),62.05)</f>
        <v/>
      </c>
      <c r="G330" s="35">
        <f>average(F327-F329,F328-F330)</f>
        <v/>
      </c>
      <c r="H330" s="35" t="n">
        <v>1.205000000000002</v>
      </c>
      <c r="I330" s="215">
        <f>C326</f>
        <v/>
      </c>
      <c r="J330" s="215">
        <f>C343</f>
        <v/>
      </c>
      <c r="K330" s="43">
        <f t="array" ref="K330">INDEX('Podium Target Times'!$C:$C, MATCH(A330&amp;B330, 'Podium Target Times'!$A:$A&amp;'Podium Target Times'!$B:$B, 0))
</f>
        <v/>
      </c>
      <c r="L330" s="12">
        <f>L332+G332</f>
        <v/>
      </c>
      <c r="M330" s="43">
        <f>TEXT(L330/86400, "mm:ss.00")</f>
        <v/>
      </c>
      <c r="N330" s="14">
        <f>IFERROR(__xludf.DUMMYFUNCTION("LET(
  gen,$A330, ev,$B330, t,$M330,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330" s="65" t="n"/>
      <c r="P330" s="69">
        <f>A335</f>
        <v/>
      </c>
      <c r="Q330" s="65">
        <f>B335</f>
        <v/>
      </c>
      <c r="R330" s="69">
        <f>C335</f>
        <v/>
      </c>
      <c r="S330" s="58">
        <f>M335</f>
        <v/>
      </c>
      <c r="T330" s="69">
        <f>N335</f>
        <v/>
      </c>
      <c r="U330" s="65" t="n"/>
      <c r="V330" s="65" t="n"/>
      <c r="W330" s="65" t="n"/>
    </row>
    <row r="331">
      <c r="A331" s="17" t="inlineStr">
        <is>
          <t>M</t>
        </is>
      </c>
      <c r="B331" s="18" t="inlineStr">
        <is>
          <t>100 Breast</t>
        </is>
      </c>
      <c r="C331" s="18" t="n">
        <v>18</v>
      </c>
      <c r="D331" s="18" t="n">
        <v>3</v>
      </c>
      <c r="E331" s="46" t="inlineStr">
        <is>
          <t>1:02.46</t>
        </is>
      </c>
      <c r="F331" s="21">
        <f>IFERROR(__xludf.DUMMYFUNCTION("IF(
  REGEXMATCH(E331, "":""),
  60*VALUE(INDEX(SPLIT(E331, "":""),1,1)) + VALUE(INDEX(SPLIT(E331, "":""),1,2)),
  VALUE(E331)
)"),62.46)</f>
        <v/>
      </c>
      <c r="G331" s="21">
        <f>average(F327-F329,F328-F330)</f>
        <v/>
      </c>
      <c r="H331" s="21" t="n">
        <v>1.205000000000002</v>
      </c>
      <c r="I331" s="211">
        <f>C326</f>
        <v/>
      </c>
      <c r="J331" s="211">
        <f>C343</f>
        <v/>
      </c>
      <c r="K331" s="60">
        <f t="array" ref="K331">INDEX('Podium Target Times'!$C:$C, MATCH(A331&amp;B331, 'Podium Target Times'!$A:$A&amp;'Podium Target Times'!$B:$B, 0))
</f>
        <v/>
      </c>
      <c r="L331" s="24">
        <f>L332+G332</f>
        <v/>
      </c>
      <c r="M331" s="60">
        <f>TEXT(L331/86400, "mm:ss.00")</f>
        <v/>
      </c>
      <c r="N331" s="25">
        <f>IFERROR(__xludf.DUMMYFUNCTION("LET(
  gen,$A331, ev,$B331, t,$M331,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331" s="65" t="n"/>
      <c r="P331" s="69">
        <f>A338</f>
        <v/>
      </c>
      <c r="Q331" s="65">
        <f>B338</f>
        <v/>
      </c>
      <c r="R331" s="69">
        <f>C338</f>
        <v/>
      </c>
      <c r="S331" s="58">
        <f>M338</f>
        <v/>
      </c>
      <c r="T331" s="69">
        <f>N338</f>
        <v/>
      </c>
      <c r="U331" s="65" t="n"/>
      <c r="V331" s="65" t="n"/>
      <c r="W331" s="65" t="n"/>
    </row>
    <row r="332">
      <c r="A332" s="8" t="inlineStr">
        <is>
          <t>M</t>
        </is>
      </c>
      <c r="B332" s="9" t="inlineStr">
        <is>
          <t>100 Breast</t>
        </is>
      </c>
      <c r="C332" s="9" t="n">
        <v>19</v>
      </c>
      <c r="D332" s="9" t="n">
        <v>1</v>
      </c>
      <c r="E332" s="41" t="inlineStr">
        <is>
          <t>1:00.37</t>
        </is>
      </c>
      <c r="F332" s="35">
        <f>IFERROR(__xludf.DUMMYFUNCTION("IF(
  REGEXMATCH(E332, "":""),
  60*VALUE(INDEX(SPLIT(E332, "":""),1,1)) + VALUE(INDEX(SPLIT(E332, "":""),1,2)),
  VALUE(E332)
)"),60.37)</f>
        <v/>
      </c>
      <c r="G332" s="35">
        <f>average(F329-F332,F330-F333,F331-F334)</f>
        <v/>
      </c>
      <c r="H332" s="35" t="n">
        <v>0.8866666666666679</v>
      </c>
      <c r="I332" s="215">
        <f>C326</f>
        <v/>
      </c>
      <c r="J332" s="215">
        <f>C343</f>
        <v/>
      </c>
      <c r="K332" s="43">
        <f t="array" ref="K332">INDEX('Podium Target Times'!$C:$C, MATCH(A332&amp;B332, 'Podium Target Times'!$A:$A&amp;'Podium Target Times'!$B:$B, 0))
</f>
        <v/>
      </c>
      <c r="L332" s="12">
        <f>L335+G335</f>
        <v/>
      </c>
      <c r="M332" s="43">
        <f>TEXT(L332/86400, "mm:ss.00")</f>
        <v/>
      </c>
      <c r="N332" s="14">
        <f>IFERROR(__xludf.DUMMYFUNCTION("LET(
  gen,$A332, ev,$B332, t,$M332,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332" s="65" t="n"/>
      <c r="P332" s="69">
        <f>A340</f>
        <v/>
      </c>
      <c r="Q332" s="65">
        <f>B340</f>
        <v/>
      </c>
      <c r="R332" s="69">
        <f>C340</f>
        <v/>
      </c>
      <c r="S332" s="58">
        <f>M340</f>
        <v/>
      </c>
      <c r="T332" s="69">
        <f>N340</f>
        <v/>
      </c>
      <c r="U332" s="65" t="n"/>
      <c r="V332" s="65" t="n"/>
      <c r="W332" s="65" t="n"/>
    </row>
    <row r="333">
      <c r="A333" s="17" t="inlineStr">
        <is>
          <t>M</t>
        </is>
      </c>
      <c r="B333" s="18" t="inlineStr">
        <is>
          <t>100 Breast</t>
        </is>
      </c>
      <c r="C333" s="18" t="n">
        <v>19</v>
      </c>
      <c r="D333" s="18" t="n">
        <v>2</v>
      </c>
      <c r="E333" s="46" t="inlineStr">
        <is>
          <t>1:01.16</t>
        </is>
      </c>
      <c r="F333" s="21">
        <f>IFERROR(__xludf.DUMMYFUNCTION("IF(
  REGEXMATCH(E333, "":""),
  60*VALUE(INDEX(SPLIT(E333, "":""),1,1)) + VALUE(INDEX(SPLIT(E333, "":""),1,2)),
  VALUE(E333)
)"),61.16)</f>
        <v/>
      </c>
      <c r="G333" s="21">
        <f>average(F329-F332,F330-F333,F331-F334)</f>
        <v/>
      </c>
      <c r="H333" s="21" t="n">
        <v>0.8866666666666679</v>
      </c>
      <c r="I333" s="211">
        <f>C326</f>
        <v/>
      </c>
      <c r="J333" s="211">
        <f>C343</f>
        <v/>
      </c>
      <c r="K333" s="60">
        <f t="array" ref="K333">INDEX('Podium Target Times'!$C:$C, MATCH(A333&amp;B333, 'Podium Target Times'!$A:$A&amp;'Podium Target Times'!$B:$B, 0))
</f>
        <v/>
      </c>
      <c r="L333" s="24">
        <f>L335+G335</f>
        <v/>
      </c>
      <c r="M333" s="60">
        <f>TEXT(L333/86400, "mm:ss.00")</f>
        <v/>
      </c>
      <c r="N333" s="25">
        <f>IFERROR(__xludf.DUMMYFUNCTION("LET(
  gen,$A333, ev,$B333, t,$M333,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333" s="65" t="n"/>
      <c r="P333" s="69">
        <f>A342</f>
        <v/>
      </c>
      <c r="Q333" s="65">
        <f>B342</f>
        <v/>
      </c>
      <c r="R333" s="69">
        <f>C342</f>
        <v/>
      </c>
      <c r="S333" s="58">
        <f>M342</f>
        <v/>
      </c>
      <c r="T333" s="69">
        <f>N342</f>
        <v/>
      </c>
      <c r="U333" s="65" t="n"/>
      <c r="V333" s="65" t="n"/>
      <c r="W333" s="65" t="n"/>
    </row>
    <row r="334">
      <c r="A334" s="8" t="inlineStr">
        <is>
          <t>M</t>
        </is>
      </c>
      <c r="B334" s="9" t="inlineStr">
        <is>
          <t>100 Breast</t>
        </is>
      </c>
      <c r="C334" s="9" t="n">
        <v>19</v>
      </c>
      <c r="D334" s="9" t="n">
        <v>3</v>
      </c>
      <c r="E334" s="41" t="inlineStr">
        <is>
          <t>1:01.57</t>
        </is>
      </c>
      <c r="F334" s="35">
        <f>IFERROR(__xludf.DUMMYFUNCTION("IF(
  REGEXMATCH(E334, "":""),
  60*VALUE(INDEX(SPLIT(E334, "":""),1,1)) + VALUE(INDEX(SPLIT(E334, "":""),1,2)),
  VALUE(E334)
)"),61.57)</f>
        <v/>
      </c>
      <c r="G334" s="35">
        <f>average(F329-F332,F330-F333,F331-F334)</f>
        <v/>
      </c>
      <c r="H334" s="35" t="n">
        <v>0.8866666666666679</v>
      </c>
      <c r="I334" s="215">
        <f>C326</f>
        <v/>
      </c>
      <c r="J334" s="215">
        <f>C343</f>
        <v/>
      </c>
      <c r="K334" s="43">
        <f t="array" ref="K334">INDEX('Podium Target Times'!$C:$C, MATCH(A334&amp;B334, 'Podium Target Times'!$A:$A&amp;'Podium Target Times'!$B:$B, 0))
</f>
        <v/>
      </c>
      <c r="L334" s="12">
        <f>L335+G335</f>
        <v/>
      </c>
      <c r="M334" s="43">
        <f>TEXT(L334/86400, "mm:ss.00")</f>
        <v/>
      </c>
      <c r="N334" s="14">
        <f>IFERROR(__xludf.DUMMYFUNCTION("LET(
  gen,$A334, ev,$B334, t,$M334,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334" s="65" t="n"/>
      <c r="P334" s="69">
        <f>A343</f>
        <v/>
      </c>
      <c r="Q334" s="65">
        <f>B343</f>
        <v/>
      </c>
      <c r="R334" s="69">
        <f>C343</f>
        <v/>
      </c>
      <c r="S334" s="58">
        <f>M343</f>
        <v/>
      </c>
      <c r="T334" s="69">
        <f>N343</f>
        <v/>
      </c>
      <c r="U334" s="65" t="n"/>
      <c r="V334" s="65" t="n"/>
      <c r="W334" s="65" t="n"/>
    </row>
    <row r="335">
      <c r="A335" s="17" t="inlineStr">
        <is>
          <t>M</t>
        </is>
      </c>
      <c r="B335" s="18" t="inlineStr">
        <is>
          <t>100 Breast</t>
        </is>
      </c>
      <c r="C335" s="18" t="n">
        <v>20</v>
      </c>
      <c r="D335" s="18" t="n">
        <v>1</v>
      </c>
      <c r="E335" s="46" t="inlineStr">
        <is>
          <t>59.75</t>
        </is>
      </c>
      <c r="F335" s="21">
        <f>IFERROR(__xludf.DUMMYFUNCTION("IF(
  REGEXMATCH(E335, "":""),
  60*VALUE(INDEX(SPLIT(E335, "":""),1,1)) + VALUE(INDEX(SPLIT(E335, "":""),1,2)),
  VALUE(E335)
)"),59.75)</f>
        <v/>
      </c>
      <c r="G335" s="21">
        <f>average(F332-F335,F333-F336,F334-F337)</f>
        <v/>
      </c>
      <c r="H335" s="21" t="n">
        <v>0.6299999999999978</v>
      </c>
      <c r="I335" s="211">
        <f>C326</f>
        <v/>
      </c>
      <c r="J335" s="211">
        <f>C343</f>
        <v/>
      </c>
      <c r="K335" s="60">
        <f t="array" ref="K335">INDEX('Podium Target Times'!$C:$C, MATCH(A335&amp;B335, 'Podium Target Times'!$A:$A&amp;'Podium Target Times'!$B:$B, 0))
</f>
        <v/>
      </c>
      <c r="L335" s="24">
        <f>L338+G338</f>
        <v/>
      </c>
      <c r="M335" s="60">
        <f>TEXT(L335/86400, "mm:ss.00")</f>
        <v/>
      </c>
      <c r="N335" s="25">
        <f>IFERROR(__xludf.DUMMYFUNCTION("LET(
  gen,$A335, ev,$B335, t,$M335,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)"),722.0)</f>
        <v/>
      </c>
      <c r="O335" s="65" t="n"/>
      <c r="P335" s="69" t="n"/>
      <c r="Q335" s="65" t="n"/>
      <c r="R335" s="69" t="n"/>
      <c r="S335" s="58" t="n"/>
      <c r="T335" s="69" t="n"/>
      <c r="U335" s="65" t="n"/>
      <c r="V335" s="65" t="n"/>
      <c r="W335" s="65" t="n"/>
    </row>
    <row r="336">
      <c r="A336" s="8" t="inlineStr">
        <is>
          <t>M</t>
        </is>
      </c>
      <c r="B336" s="9" t="inlineStr">
        <is>
          <t>100 Breast</t>
        </is>
      </c>
      <c r="C336" s="9" t="n">
        <v>20</v>
      </c>
      <c r="D336" s="9" t="n">
        <v>2</v>
      </c>
      <c r="E336" s="41" t="inlineStr">
        <is>
          <t>1:00.53</t>
        </is>
      </c>
      <c r="F336" s="35">
        <f>IFERROR(__xludf.DUMMYFUNCTION("IF(
  REGEXMATCH(E336, "":""),
  60*VALUE(INDEX(SPLIT(E336, "":""),1,1)) + VALUE(INDEX(SPLIT(E336, "":""),1,2)),
  VALUE(E336)
)"),60.53)</f>
        <v/>
      </c>
      <c r="G336" s="35">
        <f>average(F332-F335,F333-F336,F334-F337)</f>
        <v/>
      </c>
      <c r="H336" s="35" t="n">
        <v>0.6299999999999978</v>
      </c>
      <c r="I336" s="215">
        <f>C326</f>
        <v/>
      </c>
      <c r="J336" s="215">
        <f>C343</f>
        <v/>
      </c>
      <c r="K336" s="43">
        <f t="array" ref="K336">INDEX('Podium Target Times'!$C:$C, MATCH(A336&amp;B336, 'Podium Target Times'!$A:$A&amp;'Podium Target Times'!$B:$B, 0))
</f>
        <v/>
      </c>
      <c r="L336" s="12">
        <f>L338+G338</f>
        <v/>
      </c>
      <c r="M336" s="43">
        <f>TEXT(L336/86400, "mm:ss.00")</f>
        <v/>
      </c>
      <c r="N336" s="14">
        <f>IFERROR(__xludf.DUMMYFUNCTION("LET(
  gen,$A336, ev,$B336, t,$M336,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)"),722.0)</f>
        <v/>
      </c>
      <c r="O336" s="65" t="n"/>
      <c r="P336" s="69" t="n"/>
      <c r="Q336" s="65" t="n"/>
      <c r="R336" s="69" t="n"/>
      <c r="S336" s="58" t="n"/>
      <c r="T336" s="69" t="n"/>
      <c r="U336" s="65" t="n"/>
      <c r="V336" s="65" t="n"/>
      <c r="W336" s="65" t="n"/>
    </row>
    <row r="337">
      <c r="A337" s="17" t="inlineStr">
        <is>
          <t>M</t>
        </is>
      </c>
      <c r="B337" s="18" t="inlineStr">
        <is>
          <t>100 Breast</t>
        </is>
      </c>
      <c r="C337" s="18" t="n">
        <v>20</v>
      </c>
      <c r="D337" s="18" t="n">
        <v>3</v>
      </c>
      <c r="E337" s="46" t="inlineStr">
        <is>
          <t>1:00.93</t>
        </is>
      </c>
      <c r="F337" s="21">
        <f>IFERROR(__xludf.DUMMYFUNCTION("IF(
  REGEXMATCH(E337, "":""),
  60*VALUE(INDEX(SPLIT(E337, "":""),1,1)) + VALUE(INDEX(SPLIT(E337, "":""),1,2)),
  VALUE(E337)
)"),60.93)</f>
        <v/>
      </c>
      <c r="G337" s="21">
        <f>average(F332-F335,F333-F336,F334-F337)</f>
        <v/>
      </c>
      <c r="H337" s="21" t="n">
        <v>0.6299999999999978</v>
      </c>
      <c r="I337" s="211">
        <f>C326</f>
        <v/>
      </c>
      <c r="J337" s="211">
        <f>C343</f>
        <v/>
      </c>
      <c r="K337" s="60">
        <f t="array" ref="K337">INDEX('Podium Target Times'!$C:$C, MATCH(A337&amp;B337, 'Podium Target Times'!$A:$A&amp;'Podium Target Times'!$B:$B, 0))
</f>
        <v/>
      </c>
      <c r="L337" s="24">
        <f>L338+G338</f>
        <v/>
      </c>
      <c r="M337" s="60">
        <f>TEXT(L337/86400, "mm:ss.00")</f>
        <v/>
      </c>
      <c r="N337" s="25">
        <f>IFERROR(__xludf.DUMMYFUNCTION("LET(
  gen,$A337, ev,$B337, t,$M337,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)"),722.0)</f>
        <v/>
      </c>
      <c r="O337" s="65" t="n"/>
      <c r="P337" s="69" t="n"/>
      <c r="Q337" s="65" t="n"/>
      <c r="R337" s="69" t="n"/>
      <c r="S337" s="58" t="n"/>
      <c r="T337" s="69" t="n"/>
      <c r="U337" s="65" t="n"/>
      <c r="V337" s="65" t="n"/>
      <c r="W337" s="65" t="n"/>
    </row>
    <row r="338">
      <c r="A338" s="8" t="inlineStr">
        <is>
          <t>M</t>
        </is>
      </c>
      <c r="B338" s="9" t="inlineStr">
        <is>
          <t>100 Breast</t>
        </is>
      </c>
      <c r="C338" s="9" t="n">
        <v>21</v>
      </c>
      <c r="D338" s="9" t="n">
        <v>2</v>
      </c>
      <c r="E338" s="41" t="inlineStr">
        <is>
          <t>1:00.09</t>
        </is>
      </c>
      <c r="F338" s="35">
        <f>IFERROR(__xludf.DUMMYFUNCTION("IF(
  REGEXMATCH(E338, "":""),
  60*VALUE(INDEX(SPLIT(E338, "":""),1,1)) + VALUE(INDEX(SPLIT(E338, "":""),1,2)),
  VALUE(E338)
)"),60.09)</f>
        <v/>
      </c>
      <c r="G338" s="35">
        <f>average(F336-F338,F337-F339)</f>
        <v/>
      </c>
      <c r="H338" s="35" t="n">
        <v>0.4450000000000003</v>
      </c>
      <c r="I338" s="215">
        <f>C326</f>
        <v/>
      </c>
      <c r="J338" s="215">
        <f>C343</f>
        <v/>
      </c>
      <c r="K338" s="43">
        <f t="array" ref="K338">INDEX('Podium Target Times'!$C:$C, MATCH(A338&amp;B338, 'Podium Target Times'!$A:$A&amp;'Podium Target Times'!$B:$B, 0))
</f>
        <v/>
      </c>
      <c r="L338" s="12">
        <f>L340+G340</f>
        <v/>
      </c>
      <c r="M338" s="43">
        <f>TEXT(L338/86400, "mm:ss.00")</f>
        <v/>
      </c>
      <c r="N338" s="14">
        <f>IFERROR(__xludf.DUMMYFUNCTION("LET(
  gen,$A338, ev,$B338, t,$M338,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O338" s="65" t="n"/>
      <c r="P338" s="69" t="n"/>
      <c r="Q338" s="65" t="n"/>
      <c r="R338" s="69" t="n"/>
      <c r="S338" s="58" t="n"/>
      <c r="T338" s="69" t="n"/>
      <c r="U338" s="65" t="n"/>
      <c r="V338" s="65" t="n"/>
      <c r="W338" s="65" t="n"/>
    </row>
    <row r="339">
      <c r="A339" s="17" t="inlineStr">
        <is>
          <t>M</t>
        </is>
      </c>
      <c r="B339" s="18" t="inlineStr">
        <is>
          <t>100 Breast</t>
        </is>
      </c>
      <c r="C339" s="18" t="n">
        <v>21</v>
      </c>
      <c r="D339" s="18" t="n">
        <v>3</v>
      </c>
      <c r="E339" s="46" t="inlineStr">
        <is>
          <t>1:00.48</t>
        </is>
      </c>
      <c r="F339" s="21">
        <f>IFERROR(__xludf.DUMMYFUNCTION("IF(
  REGEXMATCH(E339, "":""),
  60*VALUE(INDEX(SPLIT(E339, "":""),1,1)) + VALUE(INDEX(SPLIT(E339, "":""),1,2)),
  VALUE(E339)
)"),60.48)</f>
        <v/>
      </c>
      <c r="G339" s="21">
        <f>average(F336-F338,F337-F339)</f>
        <v/>
      </c>
      <c r="H339" s="21" t="n">
        <v>0.4450000000000003</v>
      </c>
      <c r="I339" s="211">
        <f>C326</f>
        <v/>
      </c>
      <c r="J339" s="211">
        <f>C343</f>
        <v/>
      </c>
      <c r="K339" s="60">
        <f t="array" ref="K339">INDEX('Podium Target Times'!$C:$C, MATCH(A339&amp;B339, 'Podium Target Times'!$A:$A&amp;'Podium Target Times'!$B:$B, 0))
</f>
        <v/>
      </c>
      <c r="L339" s="24">
        <f>L340+G340</f>
        <v/>
      </c>
      <c r="M339" s="60">
        <f>TEXT(L339/86400, "mm:ss.00")</f>
        <v/>
      </c>
      <c r="N339" s="25">
        <f>IFERROR(__xludf.DUMMYFUNCTION("LET(
  gen,$A339, ev,$B339, t,$M339,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O339" s="65" t="n"/>
      <c r="P339" s="69" t="n"/>
      <c r="Q339" s="65" t="n"/>
      <c r="R339" s="69" t="n"/>
      <c r="S339" s="58" t="n"/>
      <c r="T339" s="69" t="n"/>
      <c r="U339" s="65" t="n"/>
      <c r="V339" s="65" t="n"/>
      <c r="W339" s="65" t="n"/>
    </row>
    <row r="340">
      <c r="A340" s="8" t="inlineStr">
        <is>
          <t>M</t>
        </is>
      </c>
      <c r="B340" s="9" t="inlineStr">
        <is>
          <t>100 Breast</t>
        </is>
      </c>
      <c r="C340" s="9" t="n">
        <v>22</v>
      </c>
      <c r="D340" s="9" t="n">
        <v>2</v>
      </c>
      <c r="E340" s="41" t="inlineStr">
        <is>
          <t>59.75</t>
        </is>
      </c>
      <c r="F340" s="35">
        <f>IFERROR(__xludf.DUMMYFUNCTION("IF(
  REGEXMATCH(E340, "":""),
  60*VALUE(INDEX(SPLIT(E340, "":""),1,1)) + VALUE(INDEX(SPLIT(E340, "":""),1,2)),
  VALUE(E340)
)"),59.75)</f>
        <v/>
      </c>
      <c r="G340" s="35">
        <f>average(F338-F340,F339-F341)</f>
        <v/>
      </c>
      <c r="H340" s="35" t="n">
        <v>0.3399999999999999</v>
      </c>
      <c r="I340" s="215">
        <f>C326</f>
        <v/>
      </c>
      <c r="J340" s="215">
        <f>C343</f>
        <v/>
      </c>
      <c r="K340" s="43">
        <f t="array" ref="K340">INDEX('Podium Target Times'!$C:$C, MATCH(A340&amp;B340, 'Podium Target Times'!$A:$A&amp;'Podium Target Times'!$B:$B, 0))
</f>
        <v/>
      </c>
      <c r="L340" s="12">
        <f>L342+G342</f>
        <v/>
      </c>
      <c r="M340" s="43">
        <f>TEXT(L340/86400, "mm:ss.00")</f>
        <v/>
      </c>
      <c r="N340" s="14">
        <f>IFERROR(__xludf.DUMMYFUNCTION("LET(
  gen,$A340, ev,$B340, t,$M340,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
      </c>
      <c r="O340" s="65" t="n"/>
      <c r="P340" s="69" t="n"/>
      <c r="Q340" s="65" t="n"/>
      <c r="R340" s="69" t="n"/>
      <c r="S340" s="58" t="n"/>
      <c r="T340" s="69" t="n"/>
      <c r="U340" s="65" t="n"/>
      <c r="V340" s="65" t="n"/>
      <c r="W340" s="65" t="n"/>
    </row>
    <row r="341">
      <c r="A341" s="17" t="inlineStr">
        <is>
          <t>M</t>
        </is>
      </c>
      <c r="B341" s="18" t="inlineStr">
        <is>
          <t>100 Breast</t>
        </is>
      </c>
      <c r="C341" s="18" t="n">
        <v>22</v>
      </c>
      <c r="D341" s="18" t="n">
        <v>3</v>
      </c>
      <c r="E341" s="46" t="inlineStr">
        <is>
          <t>1:00.14</t>
        </is>
      </c>
      <c r="F341" s="21">
        <f>IFERROR(__xludf.DUMMYFUNCTION("IF(
  REGEXMATCH(E341, "":""),
  60*VALUE(INDEX(SPLIT(E341, "":""),1,1)) + VALUE(INDEX(SPLIT(E341, "":""),1,2)),
  VALUE(E341)
)"),60.14)</f>
        <v/>
      </c>
      <c r="G341" s="21">
        <f>average(F338-F340,F339-F341)</f>
        <v/>
      </c>
      <c r="H341" s="21" t="n">
        <v>0.3399999999999999</v>
      </c>
      <c r="I341" s="211">
        <f>C326</f>
        <v/>
      </c>
      <c r="J341" s="211">
        <f>C343</f>
        <v/>
      </c>
      <c r="K341" s="60">
        <f t="array" ref="K341">INDEX('Podium Target Times'!$C:$C, MATCH(A341&amp;B341, 'Podium Target Times'!$A:$A&amp;'Podium Target Times'!$B:$B, 0))
</f>
        <v/>
      </c>
      <c r="L341" s="24">
        <f>L342+G342</f>
        <v/>
      </c>
      <c r="M341" s="60">
        <f>TEXT(L341/86400, "mm:ss.00")</f>
        <v/>
      </c>
      <c r="N341" s="25">
        <f>IFERROR(__xludf.DUMMYFUNCTION("LET(
  gen,$A341, ev,$B341, t,$M341,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
      </c>
      <c r="O341" s="65" t="n"/>
      <c r="P341" s="69" t="n"/>
      <c r="Q341" s="65" t="n"/>
      <c r="R341" s="69" t="n"/>
      <c r="S341" s="58" t="n"/>
      <c r="T341" s="69" t="n"/>
      <c r="U341" s="65" t="n"/>
      <c r="V341" s="65" t="n"/>
      <c r="W341" s="65" t="n"/>
    </row>
    <row r="342">
      <c r="A342" s="8" t="inlineStr">
        <is>
          <t>M</t>
        </is>
      </c>
      <c r="B342" s="9" t="inlineStr">
        <is>
          <t>100 Breast</t>
        </is>
      </c>
      <c r="C342" s="9" t="n">
        <v>23</v>
      </c>
      <c r="D342" s="9" t="n">
        <v>3</v>
      </c>
      <c r="E342" s="41" t="inlineStr">
        <is>
          <t>59.91</t>
        </is>
      </c>
      <c r="F342" s="35">
        <f>IFERROR(__xludf.DUMMYFUNCTION("IF(
  REGEXMATCH(E342, "":""),
  60*VALUE(INDEX(SPLIT(E342, "":""),1,1)) + VALUE(INDEX(SPLIT(E342, "":""),1,2)),
  VALUE(E342)
)"),59.91)</f>
        <v/>
      </c>
      <c r="G342" s="35">
        <f>F341-F342</f>
        <v/>
      </c>
      <c r="H342" s="35" t="n">
        <v>0.230000000000004</v>
      </c>
      <c r="I342" s="215">
        <f>C326</f>
        <v/>
      </c>
      <c r="J342" s="215">
        <f>C343</f>
        <v/>
      </c>
      <c r="K342" s="43">
        <f t="array" ref="K342">INDEX('Podium Target Times'!$C:$C, MATCH(A342&amp;B342, 'Podium Target Times'!$A:$A&amp;'Podium Target Times'!$B:$B, 0))
</f>
        <v/>
      </c>
      <c r="L342" s="12">
        <f>L343+G343</f>
        <v/>
      </c>
      <c r="M342" s="43">
        <f>TEXT(L342/86400, "mm:ss.00")</f>
        <v/>
      </c>
      <c r="N342" s="14">
        <f>IFERROR(__xludf.DUMMYFUNCTION("LET(
  gen,$A342, ev,$B342, t,$M342,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
      </c>
      <c r="O342" s="65" t="n"/>
      <c r="P342" s="69" t="n"/>
      <c r="Q342" s="65" t="n"/>
      <c r="R342" s="69" t="n"/>
      <c r="S342" s="58" t="n"/>
      <c r="T342" s="69" t="n"/>
      <c r="U342" s="65" t="n"/>
      <c r="V342" s="65" t="n"/>
      <c r="W342" s="65" t="n"/>
    </row>
    <row r="343">
      <c r="A343" s="17" t="inlineStr">
        <is>
          <t>M</t>
        </is>
      </c>
      <c r="B343" s="18" t="inlineStr">
        <is>
          <t>100 Breast</t>
        </is>
      </c>
      <c r="C343" s="18" t="n">
        <v>24</v>
      </c>
      <c r="D343" s="18" t="n">
        <v>3</v>
      </c>
      <c r="E343" s="46" t="inlineStr">
        <is>
          <t>59.75</t>
        </is>
      </c>
      <c r="F343" s="21">
        <f>IFERROR(__xludf.DUMMYFUNCTION("IF(
  REGEXMATCH(E343, "":""),
  60*VALUE(INDEX(SPLIT(E343, "":""),1,1)) + VALUE(INDEX(SPLIT(E343, "":""),1,2)),
  VALUE(E343)
)"),59.75)</f>
        <v/>
      </c>
      <c r="G343" s="21">
        <f>F342-F343</f>
        <v/>
      </c>
      <c r="H343" s="21" t="n">
        <v>0.1599999999999966</v>
      </c>
      <c r="I343" s="211">
        <f>C326</f>
        <v/>
      </c>
      <c r="J343" s="211">
        <f>C343</f>
        <v/>
      </c>
      <c r="K343" s="60">
        <f t="array" ref="K343">INDEX('Podium Target Times'!$C:$C, MATCH(A343&amp;B343, 'Podium Target Times'!$A:$A&amp;'Podium Target Times'!$B:$B, 0))
</f>
        <v/>
      </c>
      <c r="L343" s="211">
        <f>K343</f>
        <v/>
      </c>
      <c r="M343" s="60">
        <f>TEXT(L343/86400, "mm:ss.00")</f>
        <v/>
      </c>
      <c r="N343" s="25">
        <f>IFERROR(__xludf.DUMMYFUNCTION("LET(
  gen,$A343, ev,$B343, t,$M343,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343" s="65" t="n"/>
      <c r="P343" s="69" t="n"/>
      <c r="Q343" s="65" t="n"/>
      <c r="R343" s="69" t="n"/>
      <c r="S343" s="58" t="n"/>
      <c r="T343" s="69" t="n"/>
      <c r="U343" s="65" t="n"/>
      <c r="V343" s="65" t="n"/>
      <c r="W343" s="65" t="n"/>
    </row>
    <row r="344">
      <c r="A344" s="8" t="inlineStr">
        <is>
          <t>M</t>
        </is>
      </c>
      <c r="B344" s="9" t="inlineStr">
        <is>
          <t>100 Fly</t>
        </is>
      </c>
      <c r="C344" s="9" t="n">
        <v>16</v>
      </c>
      <c r="D344" s="9" t="n">
        <v>1</v>
      </c>
      <c r="E344" s="483" t="inlineStr">
        <is>
          <t>55.15</t>
        </is>
      </c>
      <c r="F344" s="35">
        <f>IFERROR(__xludf.DUMMYFUNCTION("IF(
  REGEXMATCH(E344, "":""),
  60*VALUE(INDEX(SPLIT(E344, "":""),1,1)) + VALUE(INDEX(SPLIT(E344, "":""),1,2)),
  VALUE(E344)
)"),55.15)</f>
        <v/>
      </c>
      <c r="G344" s="12" t="n">
        <v>0</v>
      </c>
      <c r="H344" s="12" t="n">
        <v>0</v>
      </c>
      <c r="I344" s="43">
        <f>C344</f>
        <v/>
      </c>
      <c r="J344" s="43">
        <f>C361</f>
        <v/>
      </c>
      <c r="K344" s="43">
        <f t="array" ref="K344">INDEX('Podium Target Times'!$C:$C, MATCH(A344&amp;B344, 'Podium Target Times'!$A:$A&amp;'Podium Target Times'!$B:$B, 0))
</f>
        <v/>
      </c>
      <c r="L344" s="12">
        <f>L345+G345</f>
        <v/>
      </c>
      <c r="M344" s="43">
        <f>TEXT(L344/86400, "mm:ss.00")</f>
        <v/>
      </c>
      <c r="N344" s="14">
        <f>IFERROR(__xludf.DUMMYFUNCTION("LET(
  gen,$A344, ev,$B344, t,$M344,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)"),653.0)</f>
        <v/>
      </c>
      <c r="O344" s="65" t="n"/>
      <c r="P344" s="69">
        <f>A344</f>
        <v/>
      </c>
      <c r="Q344" s="65">
        <f>B344</f>
        <v/>
      </c>
      <c r="R344" s="69">
        <f>C344</f>
        <v/>
      </c>
      <c r="S344" s="58">
        <f>M344</f>
        <v/>
      </c>
      <c r="T344" s="69">
        <f>N344</f>
        <v/>
      </c>
      <c r="U344" s="65" t="n"/>
      <c r="V344" s="65" t="n"/>
      <c r="W344" s="65" t="n"/>
    </row>
    <row r="345">
      <c r="A345" s="17" t="inlineStr">
        <is>
          <t>M</t>
        </is>
      </c>
      <c r="B345" s="18" t="inlineStr">
        <is>
          <t>100 Fly</t>
        </is>
      </c>
      <c r="C345" s="18" t="n">
        <v>17</v>
      </c>
      <c r="D345" s="18" t="n">
        <v>1</v>
      </c>
      <c r="E345" s="46" t="inlineStr">
        <is>
          <t>53.75</t>
        </is>
      </c>
      <c r="F345" s="21">
        <f>IFERROR(__xludf.DUMMYFUNCTION("IF(
  REGEXMATCH(E345, "":""),
  60*VALUE(INDEX(SPLIT(E345, "":""),1,1)) + VALUE(INDEX(SPLIT(E345, "":""),1,2)),
  VALUE(E345)
)"),53.75)</f>
        <v/>
      </c>
      <c r="G345" s="21">
        <f>F344-F345</f>
        <v/>
      </c>
      <c r="H345" s="21" t="n">
        <v>1.399999999999999</v>
      </c>
      <c r="I345" s="211">
        <f>C344</f>
        <v/>
      </c>
      <c r="J345" s="211">
        <f>C361</f>
        <v/>
      </c>
      <c r="K345" s="60">
        <f t="array" ref="K345">INDEX('Podium Target Times'!$C:$C, MATCH(A345&amp;B345, 'Podium Target Times'!$A:$A&amp;'Podium Target Times'!$B:$B, 0))
</f>
        <v/>
      </c>
      <c r="L345" s="24">
        <f>L347+G347</f>
        <v/>
      </c>
      <c r="M345" s="60">
        <f>TEXT(L345/86400, "mm:ss.00")</f>
        <v/>
      </c>
      <c r="N345" s="25">
        <f>IFERROR(__xludf.DUMMYFUNCTION("LET(
  gen,$A345, ev,$B345, t,$M345,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
      </c>
      <c r="O345" s="65" t="n"/>
      <c r="P345" s="69">
        <f>A345</f>
        <v/>
      </c>
      <c r="Q345" s="65">
        <f>B345</f>
        <v/>
      </c>
      <c r="R345" s="69">
        <f>C345</f>
        <v/>
      </c>
      <c r="S345" s="58">
        <f>M345</f>
        <v/>
      </c>
      <c r="T345" s="69">
        <f>N345</f>
        <v/>
      </c>
      <c r="U345" s="65" t="n"/>
      <c r="V345" s="65" t="n"/>
      <c r="W345" s="65" t="n"/>
    </row>
    <row r="346">
      <c r="A346" s="8" t="inlineStr">
        <is>
          <t>M</t>
        </is>
      </c>
      <c r="B346" s="9" t="inlineStr">
        <is>
          <t>100 Fly</t>
        </is>
      </c>
      <c r="C346" s="9" t="n">
        <v>17</v>
      </c>
      <c r="D346" s="9" t="n">
        <v>2</v>
      </c>
      <c r="E346" s="41" t="inlineStr">
        <is>
          <t>54.31</t>
        </is>
      </c>
      <c r="F346" s="35">
        <f>IFERROR(__xludf.DUMMYFUNCTION("IF(
  REGEXMATCH(E346, "":""),
  60*VALUE(INDEX(SPLIT(E346, "":""),1,1)) + VALUE(INDEX(SPLIT(E346, "":""),1,2)),
  VALUE(E346)
)"),54.31)</f>
        <v/>
      </c>
      <c r="G346" s="35">
        <f>F344-F345</f>
        <v/>
      </c>
      <c r="H346" s="35" t="n">
        <v>1.399999999999999</v>
      </c>
      <c r="I346" s="215">
        <f>C344</f>
        <v/>
      </c>
      <c r="J346" s="215">
        <f>C361</f>
        <v/>
      </c>
      <c r="K346" s="43">
        <f t="array" ref="K346">INDEX('Podium Target Times'!$C:$C, MATCH(A346&amp;B346, 'Podium Target Times'!$A:$A&amp;'Podium Target Times'!$B:$B, 0))
</f>
        <v/>
      </c>
      <c r="L346" s="12">
        <f>L347+G347</f>
        <v/>
      </c>
      <c r="M346" s="43">
        <f>TEXT(L346/86400, "mm:ss.00")</f>
        <v/>
      </c>
      <c r="N346" s="14">
        <f>IFERROR(__xludf.DUMMYFUNCTION("LET(
  gen,$A346, ev,$B346, t,$M346,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
      </c>
      <c r="O346" s="65" t="n"/>
      <c r="P346" s="69">
        <f>A347</f>
        <v/>
      </c>
      <c r="Q346" s="65">
        <f>B347</f>
        <v/>
      </c>
      <c r="R346" s="69">
        <f>C347</f>
        <v/>
      </c>
      <c r="S346" s="58">
        <f>M347</f>
        <v/>
      </c>
      <c r="T346" s="69">
        <f>N347</f>
        <v/>
      </c>
      <c r="U346" s="65" t="n"/>
      <c r="V346" s="65" t="n"/>
      <c r="W346" s="65" t="n"/>
    </row>
    <row r="347">
      <c r="A347" s="17" t="inlineStr">
        <is>
          <t>M</t>
        </is>
      </c>
      <c r="B347" s="18" t="inlineStr">
        <is>
          <t>100 Fly</t>
        </is>
      </c>
      <c r="C347" s="18" t="n">
        <v>18</v>
      </c>
      <c r="D347" s="18" t="n">
        <v>1</v>
      </c>
      <c r="E347" s="46" t="inlineStr">
        <is>
          <t>52.83</t>
        </is>
      </c>
      <c r="F347" s="21">
        <f>IFERROR(__xludf.DUMMYFUNCTION("IF(
  REGEXMATCH(E347, "":""),
  60*VALUE(INDEX(SPLIT(E347, "":""),1,1)) + VALUE(INDEX(SPLIT(E347, "":""),1,2)),
  VALUE(E347)
)"),52.83)</f>
        <v/>
      </c>
      <c r="G347" s="21">
        <f>average(F345-F347,F346-F348)</f>
        <v/>
      </c>
      <c r="H347" s="21" t="n">
        <v>0.9250000000000007</v>
      </c>
      <c r="I347" s="211">
        <f>C344</f>
        <v/>
      </c>
      <c r="J347" s="211">
        <f>C361</f>
        <v/>
      </c>
      <c r="K347" s="60">
        <f t="array" ref="K347">INDEX('Podium Target Times'!$C:$C, MATCH(A347&amp;B347, 'Podium Target Times'!$A:$A&amp;'Podium Target Times'!$B:$B, 0))
</f>
        <v/>
      </c>
      <c r="L347" s="24">
        <f>L350+G350</f>
        <v/>
      </c>
      <c r="M347" s="60">
        <f>TEXT(L347/86400, "mm:ss.00")</f>
        <v/>
      </c>
      <c r="N347" s="25">
        <f>IFERROR(__xludf.DUMMYFUNCTION("LET(
  gen,$A347, ev,$B347, t,$M347,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347" s="65" t="n"/>
      <c r="P347" s="69">
        <f>A350</f>
        <v/>
      </c>
      <c r="Q347" s="65">
        <f>B350</f>
        <v/>
      </c>
      <c r="R347" s="69">
        <f>C350</f>
        <v/>
      </c>
      <c r="S347" s="58">
        <f>M350</f>
        <v/>
      </c>
      <c r="T347" s="69">
        <f>N350</f>
        <v/>
      </c>
      <c r="U347" s="65" t="n"/>
      <c r="V347" s="65" t="n"/>
      <c r="W347" s="65" t="n"/>
    </row>
    <row r="348">
      <c r="A348" s="8" t="inlineStr">
        <is>
          <t>M</t>
        </is>
      </c>
      <c r="B348" s="9" t="inlineStr">
        <is>
          <t>100 Fly</t>
        </is>
      </c>
      <c r="C348" s="9" t="n">
        <v>18</v>
      </c>
      <c r="D348" s="9" t="n">
        <v>2</v>
      </c>
      <c r="E348" s="41" t="inlineStr">
        <is>
          <t>53.38</t>
        </is>
      </c>
      <c r="F348" s="35">
        <f>IFERROR(__xludf.DUMMYFUNCTION("IF(
  REGEXMATCH(E348, "":""),
  60*VALUE(INDEX(SPLIT(E348, "":""),1,1)) + VALUE(INDEX(SPLIT(E348, "":""),1,2)),
  VALUE(E348)
)"),53.38)</f>
        <v/>
      </c>
      <c r="G348" s="35">
        <f>average(F345-F347,F346-F348)</f>
        <v/>
      </c>
      <c r="H348" s="35" t="n">
        <v>0.9250000000000007</v>
      </c>
      <c r="I348" s="215">
        <f>C344</f>
        <v/>
      </c>
      <c r="J348" s="215">
        <f>C361</f>
        <v/>
      </c>
      <c r="K348" s="43">
        <f t="array" ref="K348">INDEX('Podium Target Times'!$C:$C, MATCH(A348&amp;B348, 'Podium Target Times'!$A:$A&amp;'Podium Target Times'!$B:$B, 0))
</f>
        <v/>
      </c>
      <c r="L348" s="12">
        <f>L350+G350</f>
        <v/>
      </c>
      <c r="M348" s="43">
        <f>TEXT(L348/86400, "mm:ss.00")</f>
        <v/>
      </c>
      <c r="N348" s="14">
        <f>IFERROR(__xludf.DUMMYFUNCTION("LET(
  gen,$A348, ev,$B348, t,$M348,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348" s="65" t="n"/>
      <c r="P348" s="69">
        <f>A353</f>
        <v/>
      </c>
      <c r="Q348" s="65">
        <f>B353</f>
        <v/>
      </c>
      <c r="R348" s="69">
        <f>C353</f>
        <v/>
      </c>
      <c r="S348" s="58">
        <f>M353</f>
        <v/>
      </c>
      <c r="T348" s="69">
        <f>N353</f>
        <v/>
      </c>
      <c r="U348" s="65" t="n"/>
      <c r="V348" s="65" t="n"/>
      <c r="W348" s="65" t="n"/>
    </row>
    <row r="349">
      <c r="A349" s="17" t="inlineStr">
        <is>
          <t>M</t>
        </is>
      </c>
      <c r="B349" s="18" t="inlineStr">
        <is>
          <t>100 Fly</t>
        </is>
      </c>
      <c r="C349" s="18" t="n">
        <v>18</v>
      </c>
      <c r="D349" s="18" t="n">
        <v>3</v>
      </c>
      <c r="E349" s="46" t="inlineStr">
        <is>
          <t>53.52</t>
        </is>
      </c>
      <c r="F349" s="21">
        <f>IFERROR(__xludf.DUMMYFUNCTION("IF(
  REGEXMATCH(E349, "":""),
  60*VALUE(INDEX(SPLIT(E349, "":""),1,1)) + VALUE(INDEX(SPLIT(E349, "":""),1,2)),
  VALUE(E349)
)"),53.52)</f>
        <v/>
      </c>
      <c r="G349" s="21">
        <f>average(F345-F347,F346-F348)</f>
        <v/>
      </c>
      <c r="H349" s="21" t="n">
        <v>0.9250000000000007</v>
      </c>
      <c r="I349" s="211">
        <f>C344</f>
        <v/>
      </c>
      <c r="J349" s="211">
        <f>C361</f>
        <v/>
      </c>
      <c r="K349" s="60">
        <f t="array" ref="K349">INDEX('Podium Target Times'!$C:$C, MATCH(A349&amp;B349, 'Podium Target Times'!$A:$A&amp;'Podium Target Times'!$B:$B, 0))
</f>
        <v/>
      </c>
      <c r="L349" s="24">
        <f>L350+G350</f>
        <v/>
      </c>
      <c r="M349" s="60">
        <f>TEXT(L349/86400, "mm:ss.00")</f>
        <v/>
      </c>
      <c r="N349" s="25">
        <f>IFERROR(__xludf.DUMMYFUNCTION("LET(
  gen,$A349, ev,$B349, t,$M349,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349" s="65" t="n"/>
      <c r="P349" s="69">
        <f>A356</f>
        <v/>
      </c>
      <c r="Q349" s="65">
        <f>B356</f>
        <v/>
      </c>
      <c r="R349" s="69">
        <f>C356</f>
        <v/>
      </c>
      <c r="S349" s="58">
        <f>M356</f>
        <v/>
      </c>
      <c r="T349" s="69">
        <f>N356</f>
        <v/>
      </c>
      <c r="U349" s="65" t="n"/>
      <c r="V349" s="65" t="n"/>
      <c r="W349" s="65" t="n"/>
    </row>
    <row r="350">
      <c r="A350" s="8" t="inlineStr">
        <is>
          <t>M</t>
        </is>
      </c>
      <c r="B350" s="9" t="inlineStr">
        <is>
          <t>100 Fly</t>
        </is>
      </c>
      <c r="C350" s="9" t="n">
        <v>19</v>
      </c>
      <c r="D350" s="9" t="n">
        <v>1</v>
      </c>
      <c r="E350" s="41" t="inlineStr">
        <is>
          <t>52.22</t>
        </is>
      </c>
      <c r="F350" s="35">
        <f>IFERROR(__xludf.DUMMYFUNCTION("IF(
  REGEXMATCH(E350, "":""),
  60*VALUE(INDEX(SPLIT(E350, "":""),1,1)) + VALUE(INDEX(SPLIT(E350, "":""),1,2)),
  VALUE(E350)
)"),52.22)</f>
        <v/>
      </c>
      <c r="G350" s="35">
        <f>average(F347-F350,F348-F351,F349-F352)</f>
        <v/>
      </c>
      <c r="H350" s="35" t="n">
        <v>0.6166666666666695</v>
      </c>
      <c r="I350" s="215">
        <f>C344</f>
        <v/>
      </c>
      <c r="J350" s="215">
        <f>C361</f>
        <v/>
      </c>
      <c r="K350" s="43">
        <f t="array" ref="K350">INDEX('Podium Target Times'!$C:$C, MATCH(A350&amp;B350, 'Podium Target Times'!$A:$A&amp;'Podium Target Times'!$B:$B, 0))
</f>
        <v/>
      </c>
      <c r="L350" s="12">
        <f>L353+G353</f>
        <v/>
      </c>
      <c r="M350" s="43">
        <f>TEXT(L350/86400, "mm:ss.00")</f>
        <v/>
      </c>
      <c r="N350" s="14">
        <f>IFERROR(__xludf.DUMMYFUNCTION("LET(
  gen,$A350, ev,$B350, t,$M350,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350" s="65" t="n"/>
      <c r="P350" s="69">
        <f>A358</f>
        <v/>
      </c>
      <c r="Q350" s="65">
        <f>B358</f>
        <v/>
      </c>
      <c r="R350" s="69">
        <f>C358</f>
        <v/>
      </c>
      <c r="S350" s="58">
        <f>M358</f>
        <v/>
      </c>
      <c r="T350" s="69">
        <f>N358</f>
        <v/>
      </c>
      <c r="U350" s="65" t="n"/>
      <c r="V350" s="65" t="n"/>
      <c r="W350" s="65" t="n"/>
    </row>
    <row r="351">
      <c r="A351" s="17" t="inlineStr">
        <is>
          <t>M</t>
        </is>
      </c>
      <c r="B351" s="18" t="inlineStr">
        <is>
          <t>100 Fly</t>
        </is>
      </c>
      <c r="C351" s="18" t="n">
        <v>19</v>
      </c>
      <c r="D351" s="18" t="n">
        <v>2</v>
      </c>
      <c r="E351" s="46" t="inlineStr">
        <is>
          <t>52.76</t>
        </is>
      </c>
      <c r="F351" s="21">
        <f>IFERROR(__xludf.DUMMYFUNCTION("IF(
  REGEXMATCH(E351, "":""),
  60*VALUE(INDEX(SPLIT(E351, "":""),1,1)) + VALUE(INDEX(SPLIT(E351, "":""),1,2)),
  VALUE(E351)
)"),52.76)</f>
        <v/>
      </c>
      <c r="G351" s="21">
        <f>average(F347-F350,F348-F351,F349-F352)</f>
        <v/>
      </c>
      <c r="H351" s="21" t="n">
        <v>0.6166666666666695</v>
      </c>
      <c r="I351" s="211">
        <f>C344</f>
        <v/>
      </c>
      <c r="J351" s="211">
        <f>C361</f>
        <v/>
      </c>
      <c r="K351" s="60">
        <f t="array" ref="K351">INDEX('Podium Target Times'!$C:$C, MATCH(A351&amp;B351, 'Podium Target Times'!$A:$A&amp;'Podium Target Times'!$B:$B, 0))
</f>
        <v/>
      </c>
      <c r="L351" s="24">
        <f>L353+G353</f>
        <v/>
      </c>
      <c r="M351" s="60">
        <f>TEXT(L351/86400, "mm:ss.00")</f>
        <v/>
      </c>
      <c r="N351" s="25">
        <f>IFERROR(__xludf.DUMMYFUNCTION("LET(
  gen,$A351, ev,$B351, t,$M351,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351" s="65" t="n"/>
      <c r="P351" s="69">
        <f>A360</f>
        <v/>
      </c>
      <c r="Q351" s="65">
        <f>B360</f>
        <v/>
      </c>
      <c r="R351" s="69">
        <f>C360</f>
        <v/>
      </c>
      <c r="S351" s="58">
        <f>M360</f>
        <v/>
      </c>
      <c r="T351" s="69">
        <f>N360</f>
        <v/>
      </c>
      <c r="U351" s="65" t="n"/>
      <c r="V351" s="65" t="n"/>
      <c r="W351" s="65" t="n"/>
    </row>
    <row r="352">
      <c r="A352" s="8" t="inlineStr">
        <is>
          <t>M</t>
        </is>
      </c>
      <c r="B352" s="9" t="inlineStr">
        <is>
          <t>100 Fly</t>
        </is>
      </c>
      <c r="C352" s="9" t="n">
        <v>19</v>
      </c>
      <c r="D352" s="9" t="n">
        <v>3</v>
      </c>
      <c r="E352" s="41" t="inlineStr">
        <is>
          <t>52.90</t>
        </is>
      </c>
      <c r="F352" s="35">
        <f>IFERROR(__xludf.DUMMYFUNCTION("IF(
  REGEXMATCH(E352, "":""),
  60*VALUE(INDEX(SPLIT(E352, "":""),1,1)) + VALUE(INDEX(SPLIT(E352, "":""),1,2)),
  VALUE(E352)
)"),52.9)</f>
        <v/>
      </c>
      <c r="G352" s="35">
        <f>average(F347-F350,F348-F351,F349-F352)</f>
        <v/>
      </c>
      <c r="H352" s="35" t="n">
        <v>0.6166666666666695</v>
      </c>
      <c r="I352" s="215">
        <f>C344</f>
        <v/>
      </c>
      <c r="J352" s="215">
        <f>C361</f>
        <v/>
      </c>
      <c r="K352" s="43">
        <f t="array" ref="K352">INDEX('Podium Target Times'!$C:$C, MATCH(A352&amp;B352, 'Podium Target Times'!$A:$A&amp;'Podium Target Times'!$B:$B, 0))
</f>
        <v/>
      </c>
      <c r="L352" s="12">
        <f>L353+G353</f>
        <v/>
      </c>
      <c r="M352" s="43">
        <f>TEXT(L352/86400, "mm:ss.00")</f>
        <v/>
      </c>
      <c r="N352" s="14">
        <f>IFERROR(__xludf.DUMMYFUNCTION("LET(
  gen,$A352, ev,$B352, t,$M352,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352" s="65" t="n"/>
      <c r="P352" s="69">
        <f>A361</f>
        <v/>
      </c>
      <c r="Q352" s="65">
        <f>B361</f>
        <v/>
      </c>
      <c r="R352" s="69">
        <f>C361</f>
        <v/>
      </c>
      <c r="S352" s="58">
        <f>M361</f>
        <v/>
      </c>
      <c r="T352" s="69">
        <f>N361</f>
        <v/>
      </c>
      <c r="U352" s="65" t="n"/>
      <c r="V352" s="65" t="n"/>
      <c r="W352" s="65" t="n"/>
    </row>
    <row r="353">
      <c r="A353" s="17" t="inlineStr">
        <is>
          <t>M</t>
        </is>
      </c>
      <c r="B353" s="18" t="inlineStr">
        <is>
          <t>100 Fly</t>
        </is>
      </c>
      <c r="C353" s="18" t="n">
        <v>20</v>
      </c>
      <c r="D353" s="18" t="n">
        <v>1</v>
      </c>
      <c r="E353" s="46" t="inlineStr">
        <is>
          <t>51.77</t>
        </is>
      </c>
      <c r="F353" s="21">
        <f>IFERROR(__xludf.DUMMYFUNCTION("IF(
  REGEXMATCH(E353, "":""),
  60*VALUE(INDEX(SPLIT(E353, "":""),1,1)) + VALUE(INDEX(SPLIT(E353, "":""),1,2)),
  VALUE(E353)
)"),51.77)</f>
        <v/>
      </c>
      <c r="G353" s="21">
        <f>average(F350-F353,F351-F354,F352-F355)</f>
        <v/>
      </c>
      <c r="H353" s="21" t="n">
        <v>0.4499999999999957</v>
      </c>
      <c r="I353" s="211">
        <f>C344</f>
        <v/>
      </c>
      <c r="J353" s="211">
        <f>C361</f>
        <v/>
      </c>
      <c r="K353" s="60">
        <f t="array" ref="K353">INDEX('Podium Target Times'!$C:$C, MATCH(A353&amp;B353, 'Podium Target Times'!$A:$A&amp;'Podium Target Times'!$B:$B, 0))
</f>
        <v/>
      </c>
      <c r="L353" s="24">
        <f>L356+G356</f>
        <v/>
      </c>
      <c r="M353" s="60">
        <f>TEXT(L353/86400, "mm:ss.00")</f>
        <v/>
      </c>
      <c r="N353" s="25">
        <f>IFERROR(__xludf.DUMMYFUNCTION("LET(
  gen,$A353, ev,$B353, t,$M353,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)"),785.0)</f>
        <v/>
      </c>
      <c r="O353" s="65" t="n"/>
      <c r="P353" s="69" t="n"/>
      <c r="Q353" s="65" t="n"/>
      <c r="R353" s="69" t="n"/>
      <c r="S353" s="58" t="n"/>
      <c r="T353" s="69" t="n"/>
      <c r="U353" s="65" t="n"/>
      <c r="V353" s="65" t="n"/>
      <c r="W353" s="65" t="n"/>
    </row>
    <row r="354">
      <c r="A354" s="8" t="inlineStr">
        <is>
          <t>M</t>
        </is>
      </c>
      <c r="B354" s="9" t="inlineStr">
        <is>
          <t>100 Fly</t>
        </is>
      </c>
      <c r="C354" s="9" t="n">
        <v>20</v>
      </c>
      <c r="D354" s="9" t="n">
        <v>2</v>
      </c>
      <c r="E354" s="41" t="inlineStr">
        <is>
          <t>52.31</t>
        </is>
      </c>
      <c r="F354" s="35">
        <f>IFERROR(__xludf.DUMMYFUNCTION("IF(
  REGEXMATCH(E354, "":""),
  60*VALUE(INDEX(SPLIT(E354, "":""),1,1)) + VALUE(INDEX(SPLIT(E354, "":""),1,2)),
  VALUE(E354)
)"),52.31)</f>
        <v/>
      </c>
      <c r="G354" s="35">
        <f>average(F350-F353,F351-F354,F352-F355)</f>
        <v/>
      </c>
      <c r="H354" s="35" t="n">
        <v>0.4499999999999957</v>
      </c>
      <c r="I354" s="215">
        <f>C344</f>
        <v/>
      </c>
      <c r="J354" s="215">
        <f>C361</f>
        <v/>
      </c>
      <c r="K354" s="43">
        <f t="array" ref="K354">INDEX('Podium Target Times'!$C:$C, MATCH(A354&amp;B354, 'Podium Target Times'!$A:$A&amp;'Podium Target Times'!$B:$B, 0))
</f>
        <v/>
      </c>
      <c r="L354" s="12">
        <f>L356+G356</f>
        <v/>
      </c>
      <c r="M354" s="43">
        <f>TEXT(L354/86400, "mm:ss.00")</f>
        <v/>
      </c>
      <c r="N354" s="14">
        <f>IFERROR(__xludf.DUMMYFUNCTION("LET(
  gen,$A354, ev,$B354, t,$M354,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)"),785.0)</f>
        <v/>
      </c>
      <c r="O354" s="65" t="n"/>
      <c r="P354" s="69" t="n"/>
      <c r="Q354" s="65" t="n"/>
      <c r="R354" s="69" t="n"/>
      <c r="S354" s="58" t="n"/>
      <c r="T354" s="69" t="n"/>
      <c r="U354" s="65" t="n"/>
      <c r="V354" s="65" t="n"/>
      <c r="W354" s="65" t="n"/>
    </row>
    <row r="355">
      <c r="A355" s="17" t="inlineStr">
        <is>
          <t>M</t>
        </is>
      </c>
      <c r="B355" s="18" t="inlineStr">
        <is>
          <t>100 Fly</t>
        </is>
      </c>
      <c r="C355" s="18" t="n">
        <v>20</v>
      </c>
      <c r="D355" s="18" t="n">
        <v>3</v>
      </c>
      <c r="E355" s="46" t="inlineStr">
        <is>
          <t>52.45</t>
        </is>
      </c>
      <c r="F355" s="21">
        <f>IFERROR(__xludf.DUMMYFUNCTION("IF(
  REGEXMATCH(E355, "":""),
  60*VALUE(INDEX(SPLIT(E355, "":""),1,1)) + VALUE(INDEX(SPLIT(E355, "":""),1,2)),
  VALUE(E355)
)"),52.45)</f>
        <v/>
      </c>
      <c r="G355" s="21">
        <f>average(F350-F353,F351-F354,F352-F355)</f>
        <v/>
      </c>
      <c r="H355" s="21" t="n">
        <v>0.4499999999999957</v>
      </c>
      <c r="I355" s="211">
        <f>C344</f>
        <v/>
      </c>
      <c r="J355" s="211">
        <f>C361</f>
        <v/>
      </c>
      <c r="K355" s="60">
        <f t="array" ref="K355">INDEX('Podium Target Times'!$C:$C, MATCH(A355&amp;B355, 'Podium Target Times'!$A:$A&amp;'Podium Target Times'!$B:$B, 0))
</f>
        <v/>
      </c>
      <c r="L355" s="24">
        <f>L356+G356</f>
        <v/>
      </c>
      <c r="M355" s="60">
        <f>TEXT(L355/86400, "mm:ss.00")</f>
        <v/>
      </c>
      <c r="N355" s="25">
        <f>IFERROR(__xludf.DUMMYFUNCTION("LET(
  gen,$A355, ev,$B355, t,$M355,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)"),785.0)</f>
        <v/>
      </c>
      <c r="O355" s="65" t="n"/>
      <c r="P355" s="69" t="n"/>
      <c r="Q355" s="65" t="n"/>
      <c r="R355" s="69" t="n"/>
      <c r="S355" s="58" t="n"/>
      <c r="T355" s="69" t="n"/>
      <c r="U355" s="65" t="n"/>
      <c r="V355" s="65" t="n"/>
      <c r="W355" s="65" t="n"/>
    </row>
    <row r="356">
      <c r="A356" s="8" t="inlineStr">
        <is>
          <t>M</t>
        </is>
      </c>
      <c r="B356" s="9" t="inlineStr">
        <is>
          <t>100 Fly</t>
        </is>
      </c>
      <c r="C356" s="9" t="n">
        <v>21</v>
      </c>
      <c r="D356" s="9" t="n">
        <v>2</v>
      </c>
      <c r="E356" s="41" t="inlineStr">
        <is>
          <t>51.99</t>
        </is>
      </c>
      <c r="F356" s="35">
        <f>IFERROR(__xludf.DUMMYFUNCTION("IF(
  REGEXMATCH(E356, "":""),
  60*VALUE(INDEX(SPLIT(E356, "":""),1,1)) + VALUE(INDEX(SPLIT(E356, "":""),1,2)),
  VALUE(E356)
)"),51.99)</f>
        <v/>
      </c>
      <c r="G356" s="35">
        <f>average(F354-F356,F355-F357)</f>
        <v/>
      </c>
      <c r="H356" s="35" t="n">
        <v>0.3200000000000003</v>
      </c>
      <c r="I356" s="215">
        <f>C344</f>
        <v/>
      </c>
      <c r="J356" s="215">
        <f>C361</f>
        <v/>
      </c>
      <c r="K356" s="43">
        <f t="array" ref="K356">INDEX('Podium Target Times'!$C:$C, MATCH(A356&amp;B356, 'Podium Target Times'!$A:$A&amp;'Podium Target Times'!$B:$B, 0))
</f>
        <v/>
      </c>
      <c r="L356" s="12">
        <f>L358+G358</f>
        <v/>
      </c>
      <c r="M356" s="43">
        <f>TEXT(L356/86400, "mm:ss.00")</f>
        <v/>
      </c>
      <c r="N356" s="14">
        <f>IFERROR(__xludf.DUMMYFUNCTION("LET(
  gen,$A356, ev,$B356, t,$M356,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O356" s="65" t="n"/>
      <c r="P356" s="69" t="n"/>
      <c r="Q356" s="65" t="n"/>
      <c r="R356" s="69" t="n"/>
      <c r="S356" s="58" t="n"/>
      <c r="T356" s="69" t="n"/>
      <c r="U356" s="65" t="n"/>
      <c r="V356" s="65" t="n"/>
      <c r="W356" s="65" t="n"/>
    </row>
    <row r="357">
      <c r="A357" s="17" t="inlineStr">
        <is>
          <t>M</t>
        </is>
      </c>
      <c r="B357" s="18" t="inlineStr">
        <is>
          <t>100 Fly</t>
        </is>
      </c>
      <c r="C357" s="18" t="n">
        <v>21</v>
      </c>
      <c r="D357" s="18" t="n">
        <v>3</v>
      </c>
      <c r="E357" s="46" t="inlineStr">
        <is>
          <t>52.13</t>
        </is>
      </c>
      <c r="F357" s="21">
        <f>IFERROR(__xludf.DUMMYFUNCTION("IF(
  REGEXMATCH(E357, "":""),
  60*VALUE(INDEX(SPLIT(E357, "":""),1,1)) + VALUE(INDEX(SPLIT(E357, "":""),1,2)),
  VALUE(E357)
)"),52.13)</f>
        <v/>
      </c>
      <c r="G357" s="21">
        <f>average(F354-F356,F355-F357)</f>
        <v/>
      </c>
      <c r="H357" s="21" t="n">
        <v>0.3200000000000003</v>
      </c>
      <c r="I357" s="211">
        <f>C344</f>
        <v/>
      </c>
      <c r="J357" s="211">
        <f>C361</f>
        <v/>
      </c>
      <c r="K357" s="60">
        <f t="array" ref="K357">INDEX('Podium Target Times'!$C:$C, MATCH(A357&amp;B357, 'Podium Target Times'!$A:$A&amp;'Podium Target Times'!$B:$B, 0))
</f>
        <v/>
      </c>
      <c r="L357" s="24">
        <f>L358+G358</f>
        <v/>
      </c>
      <c r="M357" s="60">
        <f>TEXT(L357/86400, "mm:ss.00")</f>
        <v/>
      </c>
      <c r="N357" s="25">
        <f>IFERROR(__xludf.DUMMYFUNCTION("LET(
  gen,$A357, ev,$B357, t,$M357,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O357" s="65" t="n"/>
      <c r="P357" s="69" t="n"/>
      <c r="Q357" s="65" t="n"/>
      <c r="R357" s="69" t="n"/>
      <c r="S357" s="58" t="n"/>
      <c r="T357" s="69" t="n"/>
      <c r="U357" s="65" t="n"/>
      <c r="V357" s="65" t="n"/>
      <c r="W357" s="65" t="n"/>
    </row>
    <row r="358">
      <c r="A358" s="8" t="inlineStr">
        <is>
          <t>M</t>
        </is>
      </c>
      <c r="B358" s="9" t="inlineStr">
        <is>
          <t>100 Fly</t>
        </is>
      </c>
      <c r="C358" s="9" t="n">
        <v>22</v>
      </c>
      <c r="D358" s="9" t="n">
        <v>2</v>
      </c>
      <c r="E358" s="41" t="inlineStr">
        <is>
          <t>51.77</t>
        </is>
      </c>
      <c r="F358" s="35">
        <f>IFERROR(__xludf.DUMMYFUNCTION("IF(
  REGEXMATCH(E358, "":""),
  60*VALUE(INDEX(SPLIT(E358, "":""),1,1)) + VALUE(INDEX(SPLIT(E358, "":""),1,2)),
  VALUE(E358)
)"),51.77)</f>
        <v/>
      </c>
      <c r="G358" s="35">
        <f>average(F356-F358,F357-F359)</f>
        <v/>
      </c>
      <c r="H358" s="35" t="n">
        <v>0.2250000000000014</v>
      </c>
      <c r="I358" s="215">
        <f>C344</f>
        <v/>
      </c>
      <c r="J358" s="215">
        <f>C361</f>
        <v/>
      </c>
      <c r="K358" s="43">
        <f t="array" ref="K358">INDEX('Podium Target Times'!$C:$C, MATCH(A358&amp;B358, 'Podium Target Times'!$A:$A&amp;'Podium Target Times'!$B:$B, 0))
</f>
        <v/>
      </c>
      <c r="L358" s="12">
        <f>L360+G360</f>
        <v/>
      </c>
      <c r="M358" s="43">
        <f>TEXT(L358/86400, "mm:ss.00")</f>
        <v/>
      </c>
      <c r="N358" s="14">
        <f>IFERROR(__xludf.DUMMYFUNCTION("LET(
  gen,$A358, ev,$B358, t,$M358,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O358" s="65" t="n"/>
      <c r="P358" s="69" t="n"/>
      <c r="Q358" s="65" t="n"/>
      <c r="R358" s="69" t="n"/>
      <c r="S358" s="58" t="n"/>
      <c r="T358" s="69" t="n"/>
      <c r="U358" s="65" t="n"/>
      <c r="V358" s="65" t="n"/>
      <c r="W358" s="65" t="n"/>
    </row>
    <row r="359">
      <c r="A359" s="17" t="inlineStr">
        <is>
          <t>M</t>
        </is>
      </c>
      <c r="B359" s="18" t="inlineStr">
        <is>
          <t>100 Fly</t>
        </is>
      </c>
      <c r="C359" s="18" t="n">
        <v>22</v>
      </c>
      <c r="D359" s="18" t="n">
        <v>3</v>
      </c>
      <c r="E359" s="46" t="inlineStr">
        <is>
          <t>51.90</t>
        </is>
      </c>
      <c r="F359" s="21">
        <f>IFERROR(__xludf.DUMMYFUNCTION("IF(
  REGEXMATCH(E359, "":""),
  60*VALUE(INDEX(SPLIT(E359, "":""),1,1)) + VALUE(INDEX(SPLIT(E359, "":""),1,2)),
  VALUE(E359)
)"),51.9)</f>
        <v/>
      </c>
      <c r="G359" s="21">
        <f>average(F356-F358,F357-F359)</f>
        <v/>
      </c>
      <c r="H359" s="21" t="n">
        <v>0.2250000000000014</v>
      </c>
      <c r="I359" s="211">
        <f>C344</f>
        <v/>
      </c>
      <c r="J359" s="211">
        <f>C361</f>
        <v/>
      </c>
      <c r="K359" s="60">
        <f t="array" ref="K359">INDEX('Podium Target Times'!$C:$C, MATCH(A359&amp;B359, 'Podium Target Times'!$A:$A&amp;'Podium Target Times'!$B:$B, 0))
</f>
        <v/>
      </c>
      <c r="L359" s="24">
        <f>L360+G360</f>
        <v/>
      </c>
      <c r="M359" s="60">
        <f>TEXT(L359/86400, "mm:ss.00")</f>
        <v/>
      </c>
      <c r="N359" s="25">
        <f>IFERROR(__xludf.DUMMYFUNCTION("LET(
  gen,$A359, ev,$B359, t,$M359,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O359" s="65" t="n"/>
      <c r="P359" s="69" t="n"/>
      <c r="Q359" s="65" t="n"/>
      <c r="R359" s="69" t="n"/>
      <c r="S359" s="58" t="n"/>
      <c r="T359" s="69" t="n"/>
      <c r="U359" s="65" t="n"/>
      <c r="V359" s="65" t="n"/>
      <c r="W359" s="65" t="n"/>
    </row>
    <row r="360">
      <c r="A360" s="8" t="inlineStr">
        <is>
          <t>M</t>
        </is>
      </c>
      <c r="B360" s="9" t="inlineStr">
        <is>
          <t>100 Fly</t>
        </is>
      </c>
      <c r="C360" s="9" t="n">
        <v>23</v>
      </c>
      <c r="D360" s="9" t="n">
        <v>3</v>
      </c>
      <c r="E360" s="41" t="inlineStr">
        <is>
          <t>51.79</t>
        </is>
      </c>
      <c r="F360" s="35">
        <f>IFERROR(__xludf.DUMMYFUNCTION("IF(
  REGEXMATCH(E360, "":""),
  60*VALUE(INDEX(SPLIT(E360, "":""),1,1)) + VALUE(INDEX(SPLIT(E360, "":""),1,2)),
  VALUE(E360)
)"),51.79)</f>
        <v/>
      </c>
      <c r="G360" s="35">
        <f>F359-F360</f>
        <v/>
      </c>
      <c r="H360" s="35" t="n">
        <v>0.1099999999999994</v>
      </c>
      <c r="I360" s="215">
        <f>C344</f>
        <v/>
      </c>
      <c r="J360" s="215">
        <f>C361</f>
        <v/>
      </c>
      <c r="K360" s="43">
        <f t="array" ref="K360">INDEX('Podium Target Times'!$C:$C, MATCH(A360&amp;B360, 'Podium Target Times'!$A:$A&amp;'Podium Target Times'!$B:$B, 0))
</f>
        <v/>
      </c>
      <c r="L360" s="12">
        <f>L361+G361</f>
        <v/>
      </c>
      <c r="M360" s="43">
        <f>TEXT(L360/86400, "mm:ss.00")</f>
        <v/>
      </c>
      <c r="N360" s="14">
        <f>IFERROR(__xludf.DUMMYFUNCTION("LET(
  gen,$A360, ev,$B360, t,$M360,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
      </c>
      <c r="O360" s="65" t="n"/>
      <c r="P360" s="69" t="n"/>
      <c r="Q360" s="65" t="n"/>
      <c r="R360" s="69" t="n"/>
      <c r="S360" s="58" t="n"/>
      <c r="T360" s="69" t="n"/>
      <c r="U360" s="65" t="n"/>
      <c r="V360" s="65" t="n"/>
      <c r="W360" s="65" t="n"/>
    </row>
    <row r="361">
      <c r="A361" s="17" t="inlineStr">
        <is>
          <t>M</t>
        </is>
      </c>
      <c r="B361" s="18" t="inlineStr">
        <is>
          <t>100 Fly</t>
        </is>
      </c>
      <c r="C361" s="18" t="n">
        <v>24</v>
      </c>
      <c r="D361" s="18" t="n">
        <v>3</v>
      </c>
      <c r="E361" s="46" t="inlineStr">
        <is>
          <t>51.77</t>
        </is>
      </c>
      <c r="F361" s="21">
        <f>IFERROR(__xludf.DUMMYFUNCTION("IF(
  REGEXMATCH(E361, "":""),
  60*VALUE(INDEX(SPLIT(E361, "":""),1,1)) + VALUE(INDEX(SPLIT(E361, "":""),1,2)),
  VALUE(E361)
)"),51.77)</f>
        <v/>
      </c>
      <c r="G361" s="21">
        <f>F360-F361</f>
        <v/>
      </c>
      <c r="H361" s="21" t="n">
        <v>0.01999999999999602</v>
      </c>
      <c r="I361" s="211">
        <f>C344</f>
        <v/>
      </c>
      <c r="J361" s="211">
        <f>C361</f>
        <v/>
      </c>
      <c r="K361" s="60">
        <f t="array" ref="K361">INDEX('Podium Target Times'!$C:$C, MATCH(A361&amp;B361, 'Podium Target Times'!$A:$A&amp;'Podium Target Times'!$B:$B, 0))
</f>
        <v/>
      </c>
      <c r="L361" s="211">
        <f>K361</f>
        <v/>
      </c>
      <c r="M361" s="60">
        <f>TEXT(L361/86400, "mm:ss.00")</f>
        <v/>
      </c>
      <c r="N361" s="25">
        <f>IFERROR(__xludf.DUMMYFUNCTION("LET(
  gen,$A361, ev,$B361, t,$M361,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
      </c>
      <c r="O361" s="65" t="n"/>
      <c r="P361" s="69" t="n"/>
      <c r="Q361" s="65" t="n"/>
      <c r="R361" s="69" t="n"/>
      <c r="S361" s="58" t="n"/>
      <c r="T361" s="69" t="n"/>
      <c r="U361" s="65" t="n"/>
      <c r="V361" s="65" t="n"/>
      <c r="W361" s="65" t="n"/>
    </row>
    <row r="362">
      <c r="A362" s="8" t="inlineStr">
        <is>
          <t>M</t>
        </is>
      </c>
      <c r="B362" s="9" t="inlineStr">
        <is>
          <t>100 Free</t>
        </is>
      </c>
      <c r="C362" s="9" t="n">
        <v>15</v>
      </c>
      <c r="D362" s="9" t="n">
        <v>1</v>
      </c>
      <c r="E362" s="41" t="inlineStr">
        <is>
          <t>53.28</t>
        </is>
      </c>
      <c r="F362" s="35">
        <f>IFERROR(__xludf.DUMMYFUNCTION("IF(
  REGEXMATCH(E362, "":""),
  60*VALUE(INDEX(SPLIT(E362, "":""),1,1)) + VALUE(INDEX(SPLIT(E362, "":""),1,2)),
  VALUE(E362)
)"),53.28)</f>
        <v/>
      </c>
      <c r="G362" s="12" t="n">
        <v>0</v>
      </c>
      <c r="H362" s="12" t="n">
        <v>0</v>
      </c>
      <c r="I362" s="43">
        <f>C362</f>
        <v/>
      </c>
      <c r="J362" s="43">
        <f>C379</f>
        <v/>
      </c>
      <c r="K362" s="43">
        <f t="array" ref="K362">INDEX('Podium Target Times'!$C:$C, MATCH(A362&amp;B362, 'Podium Target Times'!$A:$A&amp;'Podium Target Times'!$B:$B, 0))
</f>
        <v/>
      </c>
      <c r="L362" s="12">
        <f>L363+G363</f>
        <v/>
      </c>
      <c r="M362" s="43">
        <f>TEXT(L362/86400, "mm:ss.00")</f>
        <v/>
      </c>
      <c r="N362" s="14">
        <f>IFERROR(__xludf.DUMMYFUNCTION("LET(
  gen,$A362, ev,$B362, t,$M362,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)"),569.0)</f>
        <v/>
      </c>
      <c r="O362" s="65" t="n"/>
      <c r="P362" s="69">
        <f>A362</f>
        <v/>
      </c>
      <c r="Q362" s="65">
        <f>B362</f>
        <v/>
      </c>
      <c r="R362" s="69">
        <f>C362</f>
        <v/>
      </c>
      <c r="S362" s="58">
        <f>M362</f>
        <v/>
      </c>
      <c r="T362" s="69">
        <f>N362</f>
        <v/>
      </c>
      <c r="U362" s="65" t="n"/>
      <c r="V362" s="65" t="n"/>
      <c r="W362" s="65" t="n"/>
    </row>
    <row r="363">
      <c r="A363" s="17" t="inlineStr">
        <is>
          <t>M</t>
        </is>
      </c>
      <c r="B363" s="18" t="inlineStr">
        <is>
          <t>100 Free</t>
        </is>
      </c>
      <c r="C363" s="18" t="n">
        <v>16</v>
      </c>
      <c r="D363" s="18" t="n">
        <v>1</v>
      </c>
      <c r="E363" s="46" t="inlineStr">
        <is>
          <t>51.48</t>
        </is>
      </c>
      <c r="F363" s="21">
        <f>IFERROR(__xludf.DUMMYFUNCTION("IF(
  REGEXMATCH(E363, "":""),
  60*VALUE(INDEX(SPLIT(E363, "":""),1,1)) + VALUE(INDEX(SPLIT(E363, "":""),1,2)),
  VALUE(E363)
)"),51.48)</f>
        <v/>
      </c>
      <c r="G363" s="21">
        <f>F362-F363</f>
        <v/>
      </c>
      <c r="H363" s="21" t="n">
        <v>1.800000000000004</v>
      </c>
      <c r="I363" s="211">
        <f>C362</f>
        <v/>
      </c>
      <c r="J363" s="211">
        <f>C379</f>
        <v/>
      </c>
      <c r="K363" s="60">
        <f t="array" ref="K363">INDEX('Podium Target Times'!$C:$C, MATCH(A363&amp;B363, 'Podium Target Times'!$A:$A&amp;'Podium Target Times'!$B:$B, 0))
</f>
        <v/>
      </c>
      <c r="L363" s="24">
        <f>L365+G365</f>
        <v/>
      </c>
      <c r="M363" s="60">
        <f>TEXT(L363/86400, "mm:ss.00")</f>
        <v/>
      </c>
      <c r="N363" s="25">
        <f>IFERROR(__xludf.DUMMYFUNCTION("LET(
  gen,$A363, ev,$B363, t,$M363,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)"),628.0)</f>
        <v/>
      </c>
      <c r="O363" s="65" t="n"/>
      <c r="P363" s="69">
        <f>A363</f>
        <v/>
      </c>
      <c r="Q363" s="65">
        <f>B363</f>
        <v/>
      </c>
      <c r="R363" s="69">
        <f>C363</f>
        <v/>
      </c>
      <c r="S363" s="58">
        <f>M363</f>
        <v/>
      </c>
      <c r="T363" s="69">
        <f>N363</f>
        <v/>
      </c>
      <c r="U363" s="65" t="n"/>
      <c r="V363" s="65" t="n"/>
      <c r="W363" s="65" t="n"/>
    </row>
    <row r="364">
      <c r="A364" s="8" t="inlineStr">
        <is>
          <t>M</t>
        </is>
      </c>
      <c r="B364" s="9" t="inlineStr">
        <is>
          <t>100 Free</t>
        </is>
      </c>
      <c r="C364" s="9" t="n">
        <v>16</v>
      </c>
      <c r="D364" s="9" t="n">
        <v>2</v>
      </c>
      <c r="E364" s="41" t="inlineStr">
        <is>
          <t>52.43</t>
        </is>
      </c>
      <c r="F364" s="35">
        <f>IFERROR(__xludf.DUMMYFUNCTION("IF(
  REGEXMATCH(E364, "":""),
  60*VALUE(INDEX(SPLIT(E364, "":""),1,1)) + VALUE(INDEX(SPLIT(E364, "":""),1,2)),
  VALUE(E364)
)"),52.43)</f>
        <v/>
      </c>
      <c r="G364" s="35">
        <f>F362-F363</f>
        <v/>
      </c>
      <c r="H364" s="35" t="n">
        <v>1.800000000000004</v>
      </c>
      <c r="I364" s="215">
        <f>C362</f>
        <v/>
      </c>
      <c r="J364" s="215">
        <f>C379</f>
        <v/>
      </c>
      <c r="K364" s="43">
        <f t="array" ref="K364">INDEX('Podium Target Times'!$C:$C, MATCH(A364&amp;B364, 'Podium Target Times'!$A:$A&amp;'Podium Target Times'!$B:$B, 0))
</f>
        <v/>
      </c>
      <c r="L364" s="12">
        <f>L365+G365</f>
        <v/>
      </c>
      <c r="M364" s="43">
        <f>TEXT(L364/86400, "mm:ss.00")</f>
        <v/>
      </c>
      <c r="N364" s="14">
        <f>IFERROR(__xludf.DUMMYFUNCTION("LET(
  gen,$A364, ev,$B364, t,$M364,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)"),628.0)</f>
        <v/>
      </c>
      <c r="O364" s="65" t="n"/>
      <c r="P364" s="69">
        <f>A365</f>
        <v/>
      </c>
      <c r="Q364" s="65">
        <f>B365</f>
        <v/>
      </c>
      <c r="R364" s="69">
        <f>C365</f>
        <v/>
      </c>
      <c r="S364" s="58">
        <f>M365</f>
        <v/>
      </c>
      <c r="T364" s="69">
        <f>N365</f>
        <v/>
      </c>
      <c r="U364" s="65" t="n"/>
      <c r="V364" s="65" t="n"/>
      <c r="W364" s="65" t="n"/>
    </row>
    <row r="365">
      <c r="A365" s="17" t="inlineStr">
        <is>
          <t>M</t>
        </is>
      </c>
      <c r="B365" s="18" t="inlineStr">
        <is>
          <t>100 Free</t>
        </is>
      </c>
      <c r="C365" s="18" t="n">
        <v>17</v>
      </c>
      <c r="D365" s="18" t="n">
        <v>1</v>
      </c>
      <c r="E365" s="46" t="inlineStr">
        <is>
          <t>50.09</t>
        </is>
      </c>
      <c r="F365" s="21">
        <f>IFERROR(__xludf.DUMMYFUNCTION("IF(
  REGEXMATCH(E365, "":""),
  60*VALUE(INDEX(SPLIT(E365, "":""),1,1)) + VALUE(INDEX(SPLIT(E365, "":""),1,2)),
  VALUE(E365)
)"),50.09)</f>
        <v/>
      </c>
      <c r="G365" s="21">
        <f>average(F363-F365,F364-F366)</f>
        <v/>
      </c>
      <c r="H365" s="21" t="n">
        <v>1.399999999999995</v>
      </c>
      <c r="I365" s="211">
        <f>C362</f>
        <v/>
      </c>
      <c r="J365" s="211">
        <f>C379</f>
        <v/>
      </c>
      <c r="K365" s="60">
        <f t="array" ref="K365">INDEX('Podium Target Times'!$C:$C, MATCH(A365&amp;B365, 'Podium Target Times'!$A:$A&amp;'Podium Target Times'!$B:$B, 0))
</f>
        <v/>
      </c>
      <c r="L365" s="24">
        <f>L368+G368</f>
        <v/>
      </c>
      <c r="M365" s="60">
        <f>TEXT(L365/86400, "mm:ss.00")</f>
        <v/>
      </c>
      <c r="N365" s="25">
        <f>IFERROR(__xludf.DUMMYFUNCTION("LET(
  gen,$A365, ev,$B365, t,$M365,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
      </c>
      <c r="O365" s="65" t="n"/>
      <c r="P365" s="69">
        <f>A368</f>
        <v/>
      </c>
      <c r="Q365" s="65">
        <f>B368</f>
        <v/>
      </c>
      <c r="R365" s="69">
        <f>C368</f>
        <v/>
      </c>
      <c r="S365" s="58">
        <f>M368</f>
        <v/>
      </c>
      <c r="T365" s="69">
        <f>N368</f>
        <v/>
      </c>
      <c r="U365" s="65" t="n"/>
      <c r="V365" s="65" t="n"/>
      <c r="W365" s="65" t="n"/>
    </row>
    <row r="366">
      <c r="A366" s="8" t="inlineStr">
        <is>
          <t>M</t>
        </is>
      </c>
      <c r="B366" s="9" t="inlineStr">
        <is>
          <t>100 Free</t>
        </is>
      </c>
      <c r="C366" s="9" t="n">
        <v>17</v>
      </c>
      <c r="D366" s="9" t="n">
        <v>2</v>
      </c>
      <c r="E366" s="41" t="inlineStr">
        <is>
          <t>51.02</t>
        </is>
      </c>
      <c r="F366" s="35">
        <f>IFERROR(__xludf.DUMMYFUNCTION("IF(
  REGEXMATCH(E366, "":""),
  60*VALUE(INDEX(SPLIT(E366, "":""),1,1)) + VALUE(INDEX(SPLIT(E366, "":""),1,2)),
  VALUE(E366)
)"),51.02)</f>
        <v/>
      </c>
      <c r="G366" s="35">
        <f>average(F363-F365,F364-F366)</f>
        <v/>
      </c>
      <c r="H366" s="35" t="n">
        <v>1.399999999999995</v>
      </c>
      <c r="I366" s="215">
        <f>C362</f>
        <v/>
      </c>
      <c r="J366" s="215">
        <f>C379</f>
        <v/>
      </c>
      <c r="K366" s="43">
        <f t="array" ref="K366">INDEX('Podium Target Times'!$C:$C, MATCH(A366&amp;B366, 'Podium Target Times'!$A:$A&amp;'Podium Target Times'!$B:$B, 0))
</f>
        <v/>
      </c>
      <c r="L366" s="12">
        <f>L368+G368</f>
        <v/>
      </c>
      <c r="M366" s="43">
        <f>TEXT(L366/86400, "mm:ss.00")</f>
        <v/>
      </c>
      <c r="N366" s="14">
        <f>IFERROR(__xludf.DUMMYFUNCTION("LET(
  gen,$A366, ev,$B366, t,$M366,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
      </c>
      <c r="O366" s="65" t="n"/>
      <c r="P366" s="69">
        <f>A371</f>
        <v/>
      </c>
      <c r="Q366" s="65">
        <f>B371</f>
        <v/>
      </c>
      <c r="R366" s="69">
        <f>C371</f>
        <v/>
      </c>
      <c r="S366" s="58">
        <f>M371</f>
        <v/>
      </c>
      <c r="T366" s="69">
        <f>N371</f>
        <v/>
      </c>
      <c r="U366" s="65" t="n"/>
      <c r="V366" s="65" t="n"/>
      <c r="W366" s="65" t="n"/>
    </row>
    <row r="367">
      <c r="A367" s="17" t="inlineStr">
        <is>
          <t>M</t>
        </is>
      </c>
      <c r="B367" s="18" t="inlineStr">
        <is>
          <t>100 Free</t>
        </is>
      </c>
      <c r="C367" s="18" t="n">
        <v>17</v>
      </c>
      <c r="D367" s="18" t="n">
        <v>3</v>
      </c>
      <c r="E367" s="46" t="inlineStr">
        <is>
          <t>51.44</t>
        </is>
      </c>
      <c r="F367" s="21">
        <f>IFERROR(__xludf.DUMMYFUNCTION("IF(
  REGEXMATCH(E367, "":""),
  60*VALUE(INDEX(SPLIT(E367, "":""),1,1)) + VALUE(INDEX(SPLIT(E367, "":""),1,2)),
  VALUE(E367)
)"),51.44)</f>
        <v/>
      </c>
      <c r="G367" s="21">
        <f>average(F363-F365,F364-F366)</f>
        <v/>
      </c>
      <c r="H367" s="21" t="n">
        <v>1.399999999999995</v>
      </c>
      <c r="I367" s="211">
        <f>C362</f>
        <v/>
      </c>
      <c r="J367" s="211">
        <f>C379</f>
        <v/>
      </c>
      <c r="K367" s="60">
        <f t="array" ref="K367">INDEX('Podium Target Times'!$C:$C, MATCH(A367&amp;B367, 'Podium Target Times'!$A:$A&amp;'Podium Target Times'!$B:$B, 0))
</f>
        <v/>
      </c>
      <c r="L367" s="24">
        <f>L368+G368</f>
        <v/>
      </c>
      <c r="M367" s="60">
        <f>TEXT(L367/86400, "mm:ss.00")</f>
        <v/>
      </c>
      <c r="N367" s="25">
        <f>IFERROR(__xludf.DUMMYFUNCTION("LET(
  gen,$A367, ev,$B367, t,$M367,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
      </c>
      <c r="O367" s="65" t="n"/>
      <c r="P367" s="69">
        <f>A374</f>
        <v/>
      </c>
      <c r="Q367" s="65">
        <f>B374</f>
        <v/>
      </c>
      <c r="R367" s="69">
        <f>C374</f>
        <v/>
      </c>
      <c r="S367" s="58">
        <f>M374</f>
        <v/>
      </c>
      <c r="T367" s="69">
        <f>N374</f>
        <v/>
      </c>
      <c r="U367" s="65" t="n"/>
      <c r="V367" s="65" t="n"/>
      <c r="W367" s="65" t="n"/>
    </row>
    <row r="368">
      <c r="A368" s="8" t="inlineStr">
        <is>
          <t>M</t>
        </is>
      </c>
      <c r="B368" s="9" t="inlineStr">
        <is>
          <t>100 Free</t>
        </is>
      </c>
      <c r="C368" s="9" t="n">
        <v>18</v>
      </c>
      <c r="D368" s="9" t="n">
        <v>1</v>
      </c>
      <c r="E368" s="41" t="inlineStr">
        <is>
          <t>49.07</t>
        </is>
      </c>
      <c r="F368" s="35">
        <f>IFERROR(__xludf.DUMMYFUNCTION("IF(
  REGEXMATCH(E368, "":""),
  60*VALUE(INDEX(SPLIT(E368, "":""),1,1)) + VALUE(INDEX(SPLIT(E368, "":""),1,2)),
  VALUE(E368)
)"),49.07)</f>
        <v/>
      </c>
      <c r="G368" s="35">
        <f>average(F365-F368,F366-F369,F367-F370)</f>
        <v/>
      </c>
      <c r="H368" s="35" t="n">
        <v>1.036666666666669</v>
      </c>
      <c r="I368" s="215">
        <f>C362</f>
        <v/>
      </c>
      <c r="J368" s="215">
        <f>C379</f>
        <v/>
      </c>
      <c r="K368" s="43">
        <f t="array" ref="K368">INDEX('Podium Target Times'!$C:$C, MATCH(A368&amp;B368, 'Podium Target Times'!$A:$A&amp;'Podium Target Times'!$B:$B, 0))
</f>
        <v/>
      </c>
      <c r="L368" s="12">
        <f>L371+G371</f>
        <v/>
      </c>
      <c r="M368" s="43">
        <f>TEXT(L368/86400, "mm:ss.00")</f>
        <v/>
      </c>
      <c r="N368" s="14">
        <f>IFERROR(__xludf.DUMMYFUNCTION("LET(
  gen,$A368, ev,$B368, t,$M368,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368" s="65" t="n"/>
      <c r="P368" s="69">
        <f>A376</f>
        <v/>
      </c>
      <c r="Q368" s="65">
        <f>B376</f>
        <v/>
      </c>
      <c r="R368" s="69">
        <f>C376</f>
        <v/>
      </c>
      <c r="S368" s="58">
        <f>M376</f>
        <v/>
      </c>
      <c r="T368" s="69">
        <f>N376</f>
        <v/>
      </c>
      <c r="U368" s="65" t="n"/>
      <c r="V368" s="65" t="n"/>
      <c r="W368" s="65" t="n"/>
    </row>
    <row r="369">
      <c r="A369" s="17" t="inlineStr">
        <is>
          <t>M</t>
        </is>
      </c>
      <c r="B369" s="18" t="inlineStr">
        <is>
          <t>100 Free</t>
        </is>
      </c>
      <c r="C369" s="18" t="n">
        <v>18</v>
      </c>
      <c r="D369" s="18" t="n">
        <v>2</v>
      </c>
      <c r="E369" s="46" t="inlineStr">
        <is>
          <t>49.98</t>
        </is>
      </c>
      <c r="F369" s="21">
        <f>IFERROR(__xludf.DUMMYFUNCTION("IF(
  REGEXMATCH(E369, "":""),
  60*VALUE(INDEX(SPLIT(E369, "":""),1,1)) + VALUE(INDEX(SPLIT(E369, "":""),1,2)),
  VALUE(E369)
)"),49.98)</f>
        <v/>
      </c>
      <c r="G369" s="21">
        <f>average(F365-F368,F366-F369,F367-F370)</f>
        <v/>
      </c>
      <c r="H369" s="21" t="n">
        <v>1.036666666666669</v>
      </c>
      <c r="I369" s="211">
        <f>C362</f>
        <v/>
      </c>
      <c r="J369" s="211">
        <f>C379</f>
        <v/>
      </c>
      <c r="K369" s="60">
        <f t="array" ref="K369">INDEX('Podium Target Times'!$C:$C, MATCH(A369&amp;B369, 'Podium Target Times'!$A:$A&amp;'Podium Target Times'!$B:$B, 0))
</f>
        <v/>
      </c>
      <c r="L369" s="24">
        <f>L371+G371</f>
        <v/>
      </c>
      <c r="M369" s="60">
        <f>TEXT(L369/86400, "mm:ss.00")</f>
        <v/>
      </c>
      <c r="N369" s="25">
        <f>IFERROR(__xludf.DUMMYFUNCTION("LET(
  gen,$A369, ev,$B369, t,$M369,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369" s="65" t="n"/>
      <c r="P369" s="69">
        <f>A378</f>
        <v/>
      </c>
      <c r="Q369" s="65">
        <f>B378</f>
        <v/>
      </c>
      <c r="R369" s="69">
        <f>C378</f>
        <v/>
      </c>
      <c r="S369" s="58">
        <f>M378</f>
        <v/>
      </c>
      <c r="T369" s="69">
        <f>N378</f>
        <v/>
      </c>
      <c r="U369" s="65" t="n"/>
      <c r="V369" s="65" t="n"/>
      <c r="W369" s="65" t="n"/>
    </row>
    <row r="370">
      <c r="A370" s="8" t="inlineStr">
        <is>
          <t>M</t>
        </is>
      </c>
      <c r="B370" s="9" t="inlineStr">
        <is>
          <t>100 Free</t>
        </is>
      </c>
      <c r="C370" s="9" t="n">
        <v>18</v>
      </c>
      <c r="D370" s="9" t="n">
        <v>3</v>
      </c>
      <c r="E370" s="41" t="inlineStr">
        <is>
          <t>50.39</t>
        </is>
      </c>
      <c r="F370" s="35">
        <f>IFERROR(__xludf.DUMMYFUNCTION("IF(
  REGEXMATCH(E370, "":""),
  60*VALUE(INDEX(SPLIT(E370, "":""),1,1)) + VALUE(INDEX(SPLIT(E370, "":""),1,2)),
  VALUE(E370)
)"),50.39)</f>
        <v/>
      </c>
      <c r="G370" s="35">
        <f>average(F365-F368,F366-F369,F367-F370)</f>
        <v/>
      </c>
      <c r="H370" s="35" t="n">
        <v>1.036666666666669</v>
      </c>
      <c r="I370" s="215">
        <f>C362</f>
        <v/>
      </c>
      <c r="J370" s="215">
        <f>C379</f>
        <v/>
      </c>
      <c r="K370" s="43">
        <f t="array" ref="K370">INDEX('Podium Target Times'!$C:$C, MATCH(A370&amp;B370, 'Podium Target Times'!$A:$A&amp;'Podium Target Times'!$B:$B, 0))
</f>
        <v/>
      </c>
      <c r="L370" s="12">
        <f>L371+G371</f>
        <v/>
      </c>
      <c r="M370" s="43">
        <f>TEXT(L370/86400, "mm:ss.00")</f>
        <v/>
      </c>
      <c r="N370" s="14">
        <f>IFERROR(__xludf.DUMMYFUNCTION("LET(
  gen,$A370, ev,$B370, t,$M370,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370" s="65" t="n"/>
      <c r="P370" s="69">
        <f>A379</f>
        <v/>
      </c>
      <c r="Q370" s="65">
        <f>B379</f>
        <v/>
      </c>
      <c r="R370" s="69">
        <f>C379</f>
        <v/>
      </c>
      <c r="S370" s="58">
        <f>M379</f>
        <v/>
      </c>
      <c r="T370" s="69">
        <f>N379</f>
        <v/>
      </c>
      <c r="U370" s="65" t="n"/>
      <c r="V370" s="65" t="n"/>
      <c r="W370" s="65" t="n"/>
    </row>
    <row r="371">
      <c r="A371" s="17" t="inlineStr">
        <is>
          <t>M</t>
        </is>
      </c>
      <c r="B371" s="18" t="inlineStr">
        <is>
          <t>100 Free</t>
        </is>
      </c>
      <c r="C371" s="18" t="n">
        <v>19</v>
      </c>
      <c r="D371" s="18" t="n">
        <v>1</v>
      </c>
      <c r="E371" s="46" t="inlineStr">
        <is>
          <t>48.34</t>
        </is>
      </c>
      <c r="F371" s="21">
        <f>IFERROR(__xludf.DUMMYFUNCTION("IF(
  REGEXMATCH(E371, "":""),
  60*VALUE(INDEX(SPLIT(E371, "":""),1,1)) + VALUE(INDEX(SPLIT(E371, "":""),1,2)),
  VALUE(E371)
)"),48.34)</f>
        <v/>
      </c>
      <c r="G371" s="21">
        <f>average(F368-F371,F369-F372,F370-F373)</f>
        <v/>
      </c>
      <c r="H371" s="21" t="n">
        <v>0.7433333333333323</v>
      </c>
      <c r="I371" s="211">
        <f>C362</f>
        <v/>
      </c>
      <c r="J371" s="211">
        <f>C379</f>
        <v/>
      </c>
      <c r="K371" s="60">
        <f t="array" ref="K371">INDEX('Podium Target Times'!$C:$C, MATCH(A371&amp;B371, 'Podium Target Times'!$A:$A&amp;'Podium Target Times'!$B:$B, 0))
</f>
        <v/>
      </c>
      <c r="L371" s="24">
        <f>L374+G374</f>
        <v/>
      </c>
      <c r="M371" s="60">
        <f>TEXT(L371/86400, "mm:ss.00")</f>
        <v/>
      </c>
      <c r="N371" s="25">
        <f>IFERROR(__xludf.DUMMYFUNCTION("LET(
  gen,$A371, ev,$B371, t,$M371,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
      </c>
      <c r="O371" s="65" t="n"/>
      <c r="P371" s="69" t="n"/>
      <c r="Q371" s="65" t="n"/>
      <c r="R371" s="69" t="n"/>
      <c r="S371" s="58" t="n"/>
      <c r="T371" s="69" t="n"/>
      <c r="U371" s="65" t="n"/>
      <c r="V371" s="65" t="n"/>
      <c r="W371" s="65" t="n"/>
    </row>
    <row r="372">
      <c r="A372" s="8" t="inlineStr">
        <is>
          <t>M</t>
        </is>
      </c>
      <c r="B372" s="9" t="inlineStr">
        <is>
          <t>100 Free</t>
        </is>
      </c>
      <c r="C372" s="9" t="n">
        <v>19</v>
      </c>
      <c r="D372" s="9" t="n">
        <v>2</v>
      </c>
      <c r="E372" s="41" t="inlineStr">
        <is>
          <t>49.23</t>
        </is>
      </c>
      <c r="F372" s="35">
        <f>IFERROR(__xludf.DUMMYFUNCTION("IF(
  REGEXMATCH(E372, "":""),
  60*VALUE(INDEX(SPLIT(E372, "":""),1,1)) + VALUE(INDEX(SPLIT(E372, "":""),1,2)),
  VALUE(E372)
)"),49.23)</f>
        <v/>
      </c>
      <c r="G372" s="35">
        <f>average(F368-F371,F369-F372,F370-F373)</f>
        <v/>
      </c>
      <c r="H372" s="35" t="n">
        <v>0.7433333333333323</v>
      </c>
      <c r="I372" s="215">
        <f>C362</f>
        <v/>
      </c>
      <c r="J372" s="215">
        <f>C379</f>
        <v/>
      </c>
      <c r="K372" s="43">
        <f t="array" ref="K372">INDEX('Podium Target Times'!$C:$C, MATCH(A372&amp;B372, 'Podium Target Times'!$A:$A&amp;'Podium Target Times'!$B:$B, 0))
</f>
        <v/>
      </c>
      <c r="L372" s="12">
        <f>L374+G374</f>
        <v/>
      </c>
      <c r="M372" s="43">
        <f>TEXT(L372/86400, "mm:ss.00")</f>
        <v/>
      </c>
      <c r="N372" s="14">
        <f>IFERROR(__xludf.DUMMYFUNCTION("LET(
  gen,$A372, ev,$B372, t,$M372,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
      </c>
      <c r="O372" s="65" t="n"/>
      <c r="P372" s="69" t="n"/>
      <c r="Q372" s="65" t="n"/>
      <c r="R372" s="69" t="n"/>
      <c r="S372" s="58" t="n"/>
      <c r="T372" s="69" t="n"/>
      <c r="U372" s="65" t="n"/>
      <c r="V372" s="65" t="n"/>
      <c r="W372" s="65" t="n"/>
    </row>
    <row r="373">
      <c r="A373" s="17" t="inlineStr">
        <is>
          <t>M</t>
        </is>
      </c>
      <c r="B373" s="18" t="inlineStr">
        <is>
          <t>100 Free</t>
        </is>
      </c>
      <c r="C373" s="18" t="n">
        <v>19</v>
      </c>
      <c r="D373" s="18" t="n">
        <v>3</v>
      </c>
      <c r="E373" s="46" t="inlineStr">
        <is>
          <t>49.64</t>
        </is>
      </c>
      <c r="F373" s="21">
        <f>IFERROR(__xludf.DUMMYFUNCTION("IF(
  REGEXMATCH(E373, "":""),
  60*VALUE(INDEX(SPLIT(E373, "":""),1,1)) + VALUE(INDEX(SPLIT(E373, "":""),1,2)),
  VALUE(E373)
)"),49.64)</f>
        <v/>
      </c>
      <c r="G373" s="21">
        <f>average(F368-F371,F369-F372,F370-F373)</f>
        <v/>
      </c>
      <c r="H373" s="21" t="n">
        <v>0.7433333333333323</v>
      </c>
      <c r="I373" s="211">
        <f>C362</f>
        <v/>
      </c>
      <c r="J373" s="211">
        <f>C379</f>
        <v/>
      </c>
      <c r="K373" s="60">
        <f t="array" ref="K373">INDEX('Podium Target Times'!$C:$C, MATCH(A373&amp;B373, 'Podium Target Times'!$A:$A&amp;'Podium Target Times'!$B:$B, 0))
</f>
        <v/>
      </c>
      <c r="L373" s="24">
        <f>L374+G374</f>
        <v/>
      </c>
      <c r="M373" s="60">
        <f>TEXT(L373/86400, "mm:ss.00")</f>
        <v/>
      </c>
      <c r="N373" s="25">
        <f>IFERROR(__xludf.DUMMYFUNCTION("LET(
  gen,$A373, ev,$B373, t,$M373,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
      </c>
      <c r="O373" s="65" t="n"/>
      <c r="P373" s="69" t="n"/>
      <c r="Q373" s="65" t="n"/>
      <c r="R373" s="69" t="n"/>
      <c r="S373" s="58" t="n"/>
      <c r="T373" s="69" t="n"/>
      <c r="U373" s="65" t="n"/>
      <c r="V373" s="65" t="n"/>
      <c r="W373" s="65" t="n"/>
    </row>
    <row r="374">
      <c r="A374" s="8" t="inlineStr">
        <is>
          <t>M</t>
        </is>
      </c>
      <c r="B374" s="9" t="inlineStr">
        <is>
          <t>100 Free</t>
        </is>
      </c>
      <c r="C374" s="9" t="n">
        <v>20</v>
      </c>
      <c r="D374" s="9" t="n">
        <v>2</v>
      </c>
      <c r="E374" s="41" t="inlineStr">
        <is>
          <t>48.72</t>
        </is>
      </c>
      <c r="F374" s="35">
        <f>IFERROR(__xludf.DUMMYFUNCTION("IF(
  REGEXMATCH(E374, "":""),
  60*VALUE(INDEX(SPLIT(E374, "":""),1,1)) + VALUE(INDEX(SPLIT(E374, "":""),1,2)),
  VALUE(E374)
)"),48.72)</f>
        <v/>
      </c>
      <c r="G374" s="35">
        <f>average(F372-F374,F373-F375)</f>
        <v/>
      </c>
      <c r="H374" s="35" t="n">
        <v>0.5150000000000006</v>
      </c>
      <c r="I374" s="215">
        <f>C362</f>
        <v/>
      </c>
      <c r="J374" s="215">
        <f>C379</f>
        <v/>
      </c>
      <c r="K374" s="43">
        <f t="array" ref="K374">INDEX('Podium Target Times'!$C:$C, MATCH(A374&amp;B374, 'Podium Target Times'!$A:$A&amp;'Podium Target Times'!$B:$B, 0))
</f>
        <v/>
      </c>
      <c r="L374" s="12">
        <f>L376+G376</f>
        <v/>
      </c>
      <c r="M374" s="43">
        <f>TEXT(L374/86400, "mm:ss.00")</f>
        <v/>
      </c>
      <c r="N374" s="14">
        <f>IFERROR(__xludf.DUMMYFUNCTION("LET(
  gen,$A374, ev,$B374, t,$M374,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O374" s="65" t="n"/>
      <c r="P374" s="69" t="n"/>
      <c r="Q374" s="65" t="n"/>
      <c r="R374" s="69" t="n"/>
      <c r="S374" s="58" t="n"/>
      <c r="T374" s="69" t="n"/>
      <c r="U374" s="65" t="n"/>
      <c r="V374" s="65" t="n"/>
      <c r="W374" s="65" t="n"/>
    </row>
    <row r="375">
      <c r="A375" s="17" t="inlineStr">
        <is>
          <t>M</t>
        </is>
      </c>
      <c r="B375" s="18" t="inlineStr">
        <is>
          <t>100 Free</t>
        </is>
      </c>
      <c r="C375" s="18" t="n">
        <v>20</v>
      </c>
      <c r="D375" s="18" t="n">
        <v>3</v>
      </c>
      <c r="E375" s="491" t="inlineStr">
        <is>
          <t>49.12</t>
        </is>
      </c>
      <c r="F375" s="21">
        <f>IFERROR(__xludf.DUMMYFUNCTION("IF(
  REGEXMATCH(E375, "":""),
  60*VALUE(INDEX(SPLIT(E375, "":""),1,1)) + VALUE(INDEX(SPLIT(E375, "":""),1,2)),
  VALUE(E375)
)"),49.12)</f>
        <v/>
      </c>
      <c r="G375" s="21">
        <f>average(F372-F374,F373-F375)</f>
        <v/>
      </c>
      <c r="H375" s="21" t="n">
        <v>0.5150000000000006</v>
      </c>
      <c r="I375" s="211">
        <f>C362</f>
        <v/>
      </c>
      <c r="J375" s="211">
        <f>C379</f>
        <v/>
      </c>
      <c r="K375" s="60">
        <f t="array" ref="K375">INDEX('Podium Target Times'!$C:$C, MATCH(A375&amp;B375, 'Podium Target Times'!$A:$A&amp;'Podium Target Times'!$B:$B, 0))
</f>
        <v/>
      </c>
      <c r="L375" s="24">
        <f>L376+G376</f>
        <v/>
      </c>
      <c r="M375" s="60">
        <f>TEXT(L375/86400, "mm:ss.00")</f>
        <v/>
      </c>
      <c r="N375" s="25">
        <f>IFERROR(__xludf.DUMMYFUNCTION("LET(
  gen,$A375, ev,$B375, t,$M375,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O375" s="65" t="n"/>
      <c r="P375" s="69" t="n"/>
      <c r="Q375" s="65" t="n"/>
      <c r="R375" s="69" t="n"/>
      <c r="S375" s="58" t="n"/>
      <c r="T375" s="69" t="n"/>
      <c r="U375" s="65" t="n"/>
      <c r="V375" s="65" t="n"/>
      <c r="W375" s="65" t="n"/>
    </row>
    <row r="376">
      <c r="A376" s="8" t="inlineStr">
        <is>
          <t>M</t>
        </is>
      </c>
      <c r="B376" s="9" t="inlineStr">
        <is>
          <t>100 Free</t>
        </is>
      </c>
      <c r="C376" s="9" t="n">
        <v>21</v>
      </c>
      <c r="D376" s="9" t="n">
        <v>2</v>
      </c>
      <c r="E376" s="41" t="inlineStr">
        <is>
          <t>48.34</t>
        </is>
      </c>
      <c r="F376" s="35">
        <f>IFERROR(__xludf.DUMMYFUNCTION("IF(
  REGEXMATCH(E376, "":""),
  60*VALUE(INDEX(SPLIT(E376, "":""),1,1)) + VALUE(INDEX(SPLIT(E376, "":""),1,2)),
  VALUE(E376)
)"),48.34)</f>
        <v/>
      </c>
      <c r="G376" s="35">
        <f>average(F374-F376,F375-F377)</f>
        <v/>
      </c>
      <c r="H376" s="35" t="n">
        <v>0.3799999999999955</v>
      </c>
      <c r="I376" s="215">
        <f>C362</f>
        <v/>
      </c>
      <c r="J376" s="215">
        <f>C379</f>
        <v/>
      </c>
      <c r="K376" s="43">
        <f t="array" ref="K376">INDEX('Podium Target Times'!$C:$C, MATCH(A376&amp;B376, 'Podium Target Times'!$A:$A&amp;'Podium Target Times'!$B:$B, 0))
</f>
        <v/>
      </c>
      <c r="L376" s="12">
        <f>L378+G378</f>
        <v/>
      </c>
      <c r="M376" s="43">
        <f>TEXT(L376/86400, "mm:ss.00")</f>
        <v/>
      </c>
      <c r="N376" s="14">
        <f>IFERROR(__xludf.DUMMYFUNCTION("LET(
  gen,$A376, ev,$B376, t,$M376,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
      </c>
      <c r="O376" s="65" t="n"/>
      <c r="P376" s="69" t="n"/>
      <c r="Q376" s="65" t="n"/>
      <c r="R376" s="69" t="n"/>
      <c r="S376" s="58" t="n"/>
      <c r="T376" s="69" t="n"/>
      <c r="U376" s="65" t="n"/>
      <c r="V376" s="65" t="n"/>
      <c r="W376" s="65" t="n"/>
    </row>
    <row r="377">
      <c r="A377" s="17" t="inlineStr">
        <is>
          <t>M</t>
        </is>
      </c>
      <c r="B377" s="18" t="inlineStr">
        <is>
          <t>100 Free</t>
        </is>
      </c>
      <c r="C377" s="18" t="n">
        <v>21</v>
      </c>
      <c r="D377" s="18" t="n">
        <v>3</v>
      </c>
      <c r="E377" s="46" t="inlineStr">
        <is>
          <t>48.74</t>
        </is>
      </c>
      <c r="F377" s="21">
        <f>IFERROR(__xludf.DUMMYFUNCTION("IF(
  REGEXMATCH(E377, "":""),
  60*VALUE(INDEX(SPLIT(E377, "":""),1,1)) + VALUE(INDEX(SPLIT(E377, "":""),1,2)),
  VALUE(E377)
)"),48.74)</f>
        <v/>
      </c>
      <c r="G377" s="21">
        <f>average(F374-F376,F375-F377)</f>
        <v/>
      </c>
      <c r="H377" s="21" t="n">
        <v>0.3799999999999955</v>
      </c>
      <c r="I377" s="211">
        <f>C362</f>
        <v/>
      </c>
      <c r="J377" s="211">
        <f>C379</f>
        <v/>
      </c>
      <c r="K377" s="60">
        <f t="array" ref="K377">INDEX('Podium Target Times'!$C:$C, MATCH(A377&amp;B377, 'Podium Target Times'!$A:$A&amp;'Podium Target Times'!$B:$B, 0))
</f>
        <v/>
      </c>
      <c r="L377" s="24">
        <f>L378+G378</f>
        <v/>
      </c>
      <c r="M377" s="60">
        <f>TEXT(L377/86400, "mm:ss.00")</f>
        <v/>
      </c>
      <c r="N377" s="25">
        <f>IFERROR(__xludf.DUMMYFUNCTION("LET(
  gen,$A377, ev,$B377, t,$M377,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
      </c>
      <c r="O377" s="65" t="n"/>
      <c r="P377" s="69" t="n"/>
      <c r="Q377" s="65" t="n"/>
      <c r="R377" s="69" t="n"/>
      <c r="S377" s="58" t="n"/>
      <c r="T377" s="69" t="n"/>
      <c r="U377" s="65" t="n"/>
      <c r="V377" s="65" t="n"/>
      <c r="W377" s="65" t="n"/>
    </row>
    <row r="378">
      <c r="A378" s="8" t="inlineStr">
        <is>
          <t>M</t>
        </is>
      </c>
      <c r="B378" s="9" t="inlineStr">
        <is>
          <t>100 Free</t>
        </is>
      </c>
      <c r="C378" s="9" t="n">
        <v>22</v>
      </c>
      <c r="D378" s="9" t="n">
        <v>3</v>
      </c>
      <c r="E378" s="41" t="inlineStr">
        <is>
          <t>48.49</t>
        </is>
      </c>
      <c r="F378" s="35">
        <f>IFERROR(__xludf.DUMMYFUNCTION("IF(
  REGEXMATCH(E378, "":""),
  60*VALUE(INDEX(SPLIT(E378, "":""),1,1)) + VALUE(INDEX(SPLIT(E378, "":""),1,2)),
  VALUE(E378)
)"),48.49)</f>
        <v/>
      </c>
      <c r="G378" s="35">
        <f>F377-F378</f>
        <v/>
      </c>
      <c r="H378" s="35" t="n">
        <v>0.25</v>
      </c>
      <c r="I378" s="215">
        <f>C362</f>
        <v/>
      </c>
      <c r="J378" s="215">
        <f>C379</f>
        <v/>
      </c>
      <c r="K378" s="43">
        <f t="array" ref="K378">INDEX('Podium Target Times'!$C:$C, MATCH(A378&amp;B378, 'Podium Target Times'!$A:$A&amp;'Podium Target Times'!$B:$B, 0))
</f>
        <v/>
      </c>
      <c r="L378" s="12">
        <f>L379+G379</f>
        <v/>
      </c>
      <c r="M378" s="43">
        <f>TEXT(L378/86400, "mm:ss.00")</f>
        <v/>
      </c>
      <c r="N378" s="14">
        <f>IFERROR(__xludf.DUMMYFUNCTION("LET(
  gen,$A378, ev,$B378, t,$M378,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
      </c>
      <c r="O378" s="65" t="n"/>
      <c r="P378" s="69" t="n"/>
      <c r="Q378" s="65" t="n"/>
      <c r="R378" s="69" t="n"/>
      <c r="S378" s="58" t="n"/>
      <c r="T378" s="69" t="n"/>
      <c r="U378" s="65" t="n"/>
      <c r="V378" s="65" t="n"/>
      <c r="W378" s="65" t="n"/>
    </row>
    <row r="379">
      <c r="A379" s="17" t="inlineStr">
        <is>
          <t>M</t>
        </is>
      </c>
      <c r="B379" s="18" t="inlineStr">
        <is>
          <t>100 Free</t>
        </is>
      </c>
      <c r="C379" s="18" t="n">
        <v>23</v>
      </c>
      <c r="D379" s="18" t="n">
        <v>3</v>
      </c>
      <c r="E379" s="46" t="inlineStr">
        <is>
          <t>48.34</t>
        </is>
      </c>
      <c r="F379" s="21">
        <f>IFERROR(__xludf.DUMMYFUNCTION("IF(
  REGEXMATCH(E379, "":""),
  60*VALUE(INDEX(SPLIT(E379, "":""),1,1)) + VALUE(INDEX(SPLIT(E379, "":""),1,2)),
  VALUE(E379)
)"),48.34)</f>
        <v/>
      </c>
      <c r="G379" s="21">
        <f>F378-F379</f>
        <v/>
      </c>
      <c r="H379" s="21" t="n">
        <v>0.1499999999999986</v>
      </c>
      <c r="I379" s="211">
        <f>C362</f>
        <v/>
      </c>
      <c r="J379" s="211">
        <f>C379</f>
        <v/>
      </c>
      <c r="K379" s="60">
        <f t="array" ref="K379">INDEX('Podium Target Times'!$C:$C, MATCH(A379&amp;B379, 'Podium Target Times'!$A:$A&amp;'Podium Target Times'!$B:$B, 0))
</f>
        <v/>
      </c>
      <c r="L379" s="211">
        <f>K379</f>
        <v/>
      </c>
      <c r="M379" s="60">
        <f>TEXT(L379/86400, "mm:ss.00")</f>
        <v/>
      </c>
      <c r="N379" s="25">
        <f>IFERROR(__xludf.DUMMYFUNCTION("LET(
  gen,$A379, ev,$B379, t,$M379,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
      </c>
      <c r="O379" s="65" t="n"/>
      <c r="P379" s="69" t="n"/>
      <c r="Q379" s="65" t="n"/>
      <c r="R379" s="69" t="n"/>
      <c r="S379" s="58" t="n"/>
      <c r="T379" s="69" t="n"/>
      <c r="U379" s="65" t="n"/>
      <c r="V379" s="65" t="n"/>
      <c r="W379" s="65" t="n"/>
    </row>
    <row r="380">
      <c r="A380" s="8" t="inlineStr">
        <is>
          <t>M</t>
        </is>
      </c>
      <c r="B380" s="9" t="inlineStr">
        <is>
          <t>1500 Free</t>
        </is>
      </c>
      <c r="C380" s="9" t="n">
        <v>15</v>
      </c>
      <c r="D380" s="9" t="n">
        <v>1</v>
      </c>
      <c r="E380" s="41" t="inlineStr">
        <is>
          <t>16:17.69</t>
        </is>
      </c>
      <c r="F380" s="35">
        <f>IFERROR(__xludf.DUMMYFUNCTION("IF(
  REGEXMATCH(E380, "":""),
  60*VALUE(INDEX(SPLIT(E380, "":""),1,1)) + VALUE(INDEX(SPLIT(E380, "":""),1,2)),
  VALUE(E380)
)"),977.69)</f>
        <v/>
      </c>
      <c r="G380" s="12" t="n">
        <v>0</v>
      </c>
      <c r="H380" s="12" t="n">
        <v>0</v>
      </c>
      <c r="I380" s="43">
        <f>C380</f>
        <v/>
      </c>
      <c r="J380" s="43">
        <f>C397</f>
        <v/>
      </c>
      <c r="K380" s="43">
        <f t="array" ref="K380">INDEX('Podium Target Times'!$C:$C, MATCH(A380&amp;B380, 'Podium Target Times'!$A:$A&amp;'Podium Target Times'!$B:$B, 0))
</f>
        <v/>
      </c>
      <c r="L380" s="12">
        <f>L381+G381</f>
        <v/>
      </c>
      <c r="M380" s="43">
        <f>TEXT(L380/86400, "mm:ss.00")</f>
        <v/>
      </c>
      <c r="N380" s="14">
        <f>IFERROR(__xludf.DUMMYFUNCTION("LET(
  gen,$A380, ev,$B380, t,$M380,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)"),612.0)</f>
        <v/>
      </c>
      <c r="O380" s="65" t="n"/>
      <c r="P380" s="69">
        <f>A380</f>
        <v/>
      </c>
      <c r="Q380" s="65">
        <f>B380</f>
        <v/>
      </c>
      <c r="R380" s="69">
        <f>C380</f>
        <v/>
      </c>
      <c r="S380" s="58">
        <f>M380</f>
        <v/>
      </c>
      <c r="T380" s="69">
        <f>N380</f>
        <v/>
      </c>
      <c r="U380" s="65" t="n"/>
      <c r="V380" s="65" t="n"/>
      <c r="W380" s="65" t="n"/>
    </row>
    <row r="381">
      <c r="A381" s="17" t="inlineStr">
        <is>
          <t>M</t>
        </is>
      </c>
      <c r="B381" s="18" t="inlineStr">
        <is>
          <t>1500 Free</t>
        </is>
      </c>
      <c r="C381" s="18" t="n">
        <v>16</v>
      </c>
      <c r="D381" s="18" t="n">
        <v>1</v>
      </c>
      <c r="E381" s="46" t="inlineStr">
        <is>
          <t>15:46.32</t>
        </is>
      </c>
      <c r="F381" s="21">
        <f>IFERROR(__xludf.DUMMYFUNCTION("IF(
  REGEXMATCH(E381, "":""),
  60*VALUE(INDEX(SPLIT(E381, "":""),1,1)) + VALUE(INDEX(SPLIT(E381, "":""),1,2)),
  VALUE(E381)
)"),946.32)</f>
        <v/>
      </c>
      <c r="G381" s="21">
        <f>F380-F381</f>
        <v/>
      </c>
      <c r="H381" s="21" t="n">
        <v>31.37</v>
      </c>
      <c r="I381" s="211">
        <f>C380</f>
        <v/>
      </c>
      <c r="J381" s="211">
        <f>C397</f>
        <v/>
      </c>
      <c r="K381" s="60">
        <f t="array" ref="K381">INDEX('Podium Target Times'!$C:$C, MATCH(A381&amp;B381, 'Podium Target Times'!$A:$A&amp;'Podium Target Times'!$B:$B, 0))
</f>
        <v/>
      </c>
      <c r="L381" s="24">
        <f>L383+G383</f>
        <v/>
      </c>
      <c r="M381" s="60">
        <f>TEXT(L381/86400, "mm:ss.00")</f>
        <v/>
      </c>
      <c r="N381" s="25">
        <f>IFERROR(__xludf.DUMMYFUNCTION("LET(
  gen,$A381, ev,$B381, t,$M381,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381" s="65" t="n"/>
      <c r="P381" s="69">
        <f>A381</f>
        <v/>
      </c>
      <c r="Q381" s="65">
        <f>B381</f>
        <v/>
      </c>
      <c r="R381" s="69">
        <f>C381</f>
        <v/>
      </c>
      <c r="S381" s="58">
        <f>M381</f>
        <v/>
      </c>
      <c r="T381" s="69">
        <f>N381</f>
        <v/>
      </c>
      <c r="U381" s="65" t="n"/>
      <c r="V381" s="65" t="n"/>
      <c r="W381" s="65" t="n"/>
    </row>
    <row r="382">
      <c r="A382" s="8" t="inlineStr">
        <is>
          <t>M</t>
        </is>
      </c>
      <c r="B382" s="9" t="inlineStr">
        <is>
          <t>1500 Free</t>
        </is>
      </c>
      <c r="C382" s="9" t="n">
        <v>16</v>
      </c>
      <c r="D382" s="9" t="n">
        <v>2</v>
      </c>
      <c r="E382" s="41" t="inlineStr">
        <is>
          <t>15:53.70</t>
        </is>
      </c>
      <c r="F382" s="35">
        <f>IFERROR(__xludf.DUMMYFUNCTION("IF(
  REGEXMATCH(E382, "":""),
  60*VALUE(INDEX(SPLIT(E382, "":""),1,1)) + VALUE(INDEX(SPLIT(E382, "":""),1,2)),
  VALUE(E382)
)"),953.7)</f>
        <v/>
      </c>
      <c r="G382" s="35">
        <f>F380-F381</f>
        <v/>
      </c>
      <c r="H382" s="35" t="n">
        <v>31.37</v>
      </c>
      <c r="I382" s="215">
        <f>C380</f>
        <v/>
      </c>
      <c r="J382" s="215">
        <f>C397</f>
        <v/>
      </c>
      <c r="K382" s="43">
        <f t="array" ref="K382">INDEX('Podium Target Times'!$C:$C, MATCH(A382&amp;B382, 'Podium Target Times'!$A:$A&amp;'Podium Target Times'!$B:$B, 0))
</f>
        <v/>
      </c>
      <c r="L382" s="12">
        <f>L383+G383</f>
        <v/>
      </c>
      <c r="M382" s="43">
        <f>TEXT(L382/86400, "mm:ss.00")</f>
        <v/>
      </c>
      <c r="N382" s="14">
        <f>IFERROR(__xludf.DUMMYFUNCTION("LET(
  gen,$A382, ev,$B382, t,$M382,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382" s="65" t="n"/>
      <c r="P382" s="69">
        <f>A383</f>
        <v/>
      </c>
      <c r="Q382" s="65">
        <f>B383</f>
        <v/>
      </c>
      <c r="R382" s="69">
        <f>C383</f>
        <v/>
      </c>
      <c r="S382" s="58">
        <f>M383</f>
        <v/>
      </c>
      <c r="T382" s="69">
        <f>N383</f>
        <v/>
      </c>
      <c r="U382" s="65" t="n"/>
      <c r="V382" s="65" t="n"/>
      <c r="W382" s="65" t="n"/>
    </row>
    <row r="383">
      <c r="A383" s="17" t="inlineStr">
        <is>
          <t>M</t>
        </is>
      </c>
      <c r="B383" s="18" t="inlineStr">
        <is>
          <t>1500 Free</t>
        </is>
      </c>
      <c r="C383" s="18" t="n">
        <v>17</v>
      </c>
      <c r="D383" s="18" t="n">
        <v>1</v>
      </c>
      <c r="E383" s="46" t="inlineStr">
        <is>
          <t>15:24.14</t>
        </is>
      </c>
      <c r="F383" s="21">
        <f>IFERROR(__xludf.DUMMYFUNCTION("IF(
  REGEXMATCH(E383, "":""),
  60*VALUE(INDEX(SPLIT(E383, "":""),1,1)) + VALUE(INDEX(SPLIT(E383, "":""),1,2)),
  VALUE(E383)
)"),924.14)</f>
        <v/>
      </c>
      <c r="G383" s="21">
        <f>average(F381-F383,F382-F384)</f>
        <v/>
      </c>
      <c r="H383" s="21" t="n">
        <v>22.27000000000004</v>
      </c>
      <c r="I383" s="211">
        <f>C380</f>
        <v/>
      </c>
      <c r="J383" s="211">
        <f>C397</f>
        <v/>
      </c>
      <c r="K383" s="60">
        <f t="array" ref="K383">INDEX('Podium Target Times'!$C:$C, MATCH(A383&amp;B383, 'Podium Target Times'!$A:$A&amp;'Podium Target Times'!$B:$B, 0))
</f>
        <v/>
      </c>
      <c r="L383" s="24">
        <f>L386+G386</f>
        <v/>
      </c>
      <c r="M383" s="60">
        <f>TEXT(L383/86400, "mm:ss.00")</f>
        <v/>
      </c>
      <c r="N383" s="25">
        <f>IFERROR(__xludf.DUMMYFUNCTION("LET(
  gen,$A383, ev,$B383, t,$M383,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)"),719.0)</f>
        <v/>
      </c>
      <c r="O383" s="65" t="n"/>
      <c r="P383" s="69">
        <f>A386</f>
        <v/>
      </c>
      <c r="Q383" s="65">
        <f>B386</f>
        <v/>
      </c>
      <c r="R383" s="69">
        <f>C386</f>
        <v/>
      </c>
      <c r="S383" s="58">
        <f>M386</f>
        <v/>
      </c>
      <c r="T383" s="69">
        <f>N386</f>
        <v/>
      </c>
      <c r="U383" s="65" t="n"/>
      <c r="V383" s="65" t="n"/>
      <c r="W383" s="65" t="n"/>
    </row>
    <row r="384">
      <c r="A384" s="8" t="inlineStr">
        <is>
          <t>M</t>
        </is>
      </c>
      <c r="B384" s="9" t="inlineStr">
        <is>
          <t>1500 Free</t>
        </is>
      </c>
      <c r="C384" s="9" t="n">
        <v>17</v>
      </c>
      <c r="D384" s="9" t="n">
        <v>2</v>
      </c>
      <c r="E384" s="41" t="inlineStr">
        <is>
          <t>15:31.34</t>
        </is>
      </c>
      <c r="F384" s="35">
        <f>IFERROR(__xludf.DUMMYFUNCTION("IF(
  REGEXMATCH(E384, "":""),
  60*VALUE(INDEX(SPLIT(E384, "":""),1,1)) + VALUE(INDEX(SPLIT(E384, "":""),1,2)),
  VALUE(E384)
)"),931.34)</f>
        <v/>
      </c>
      <c r="G384" s="35">
        <f>average(F381-F383,F382-F384)</f>
        <v/>
      </c>
      <c r="H384" s="35" t="n">
        <v>22.27000000000004</v>
      </c>
      <c r="I384" s="215">
        <f>C380</f>
        <v/>
      </c>
      <c r="J384" s="215">
        <f>C397</f>
        <v/>
      </c>
      <c r="K384" s="43">
        <f t="array" ref="K384">INDEX('Podium Target Times'!$C:$C, MATCH(A384&amp;B384, 'Podium Target Times'!$A:$A&amp;'Podium Target Times'!$B:$B, 0))
</f>
        <v/>
      </c>
      <c r="L384" s="12">
        <f>L386+G386</f>
        <v/>
      </c>
      <c r="M384" s="43">
        <f>TEXT(L384/86400, "mm:ss.00")</f>
        <v/>
      </c>
      <c r="N384" s="14">
        <f>IFERROR(__xludf.DUMMYFUNCTION("LET(
  gen,$A384, ev,$B384, t,$M384,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)"),719.0)</f>
        <v/>
      </c>
      <c r="O384" s="65" t="n"/>
      <c r="P384" s="69">
        <f>A389</f>
        <v/>
      </c>
      <c r="Q384" s="65">
        <f>B389</f>
        <v/>
      </c>
      <c r="R384" s="69">
        <f>C389</f>
        <v/>
      </c>
      <c r="S384" s="58">
        <f>M389</f>
        <v/>
      </c>
      <c r="T384" s="69">
        <f>N389</f>
        <v/>
      </c>
      <c r="U384" s="65" t="n"/>
      <c r="V384" s="65" t="n"/>
      <c r="W384" s="65" t="n"/>
    </row>
    <row r="385">
      <c r="A385" s="17" t="inlineStr">
        <is>
          <t>M</t>
        </is>
      </c>
      <c r="B385" s="18" t="inlineStr">
        <is>
          <t>1500 Free</t>
        </is>
      </c>
      <c r="C385" s="18" t="n">
        <v>17</v>
      </c>
      <c r="D385" s="18" t="n">
        <v>3</v>
      </c>
      <c r="E385" s="46" t="inlineStr">
        <is>
          <t>15:33.06</t>
        </is>
      </c>
      <c r="F385" s="21">
        <f>IFERROR(__xludf.DUMMYFUNCTION("IF(
  REGEXMATCH(E385, "":""),
  60*VALUE(INDEX(SPLIT(E385, "":""),1,1)) + VALUE(INDEX(SPLIT(E385, "":""),1,2)),
  VALUE(E385)
)"),933.06)</f>
        <v/>
      </c>
      <c r="G385" s="21">
        <f>average(F381-F383,F382-F384)</f>
        <v/>
      </c>
      <c r="H385" s="21" t="n">
        <v>22.27000000000004</v>
      </c>
      <c r="I385" s="211">
        <f>C380</f>
        <v/>
      </c>
      <c r="J385" s="211">
        <f>C397</f>
        <v/>
      </c>
      <c r="K385" s="60">
        <f t="array" ref="K385">INDEX('Podium Target Times'!$C:$C, MATCH(A385&amp;B385, 'Podium Target Times'!$A:$A&amp;'Podium Target Times'!$B:$B, 0))
</f>
        <v/>
      </c>
      <c r="L385" s="24">
        <f>L386+G386</f>
        <v/>
      </c>
      <c r="M385" s="60">
        <f>TEXT(L385/86400, "mm:ss.00")</f>
        <v/>
      </c>
      <c r="N385" s="25">
        <f>IFERROR(__xludf.DUMMYFUNCTION("LET(
  gen,$A385, ev,$B385, t,$M385,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)"),719.0)</f>
        <v/>
      </c>
      <c r="O385" s="65" t="n"/>
      <c r="P385" s="69">
        <f>A392</f>
        <v/>
      </c>
      <c r="Q385" s="65">
        <f>B392</f>
        <v/>
      </c>
      <c r="R385" s="69">
        <f>C392</f>
        <v/>
      </c>
      <c r="S385" s="58">
        <f>M392</f>
        <v/>
      </c>
      <c r="T385" s="69">
        <f>N392</f>
        <v/>
      </c>
      <c r="U385" s="65" t="n"/>
      <c r="V385" s="65" t="n"/>
      <c r="W385" s="65" t="n"/>
    </row>
    <row r="386">
      <c r="A386" s="8" t="inlineStr">
        <is>
          <t>M</t>
        </is>
      </c>
      <c r="B386" s="9" t="inlineStr">
        <is>
          <t>1500 Free</t>
        </is>
      </c>
      <c r="C386" s="9" t="n">
        <v>18</v>
      </c>
      <c r="D386" s="9" t="n">
        <v>1</v>
      </c>
      <c r="E386" s="41" t="inlineStr">
        <is>
          <t>15:10.35</t>
        </is>
      </c>
      <c r="F386" s="35">
        <f>IFERROR(__xludf.DUMMYFUNCTION("IF(
  REGEXMATCH(E386, "":""),
  60*VALUE(INDEX(SPLIT(E386, "":""),1,1)) + VALUE(INDEX(SPLIT(E386, "":""),1,2)),
  VALUE(E386)
)"),910.35)</f>
        <v/>
      </c>
      <c r="G386" s="35">
        <f>average(F383-F386,F384-F387,F385-F388)</f>
        <v/>
      </c>
      <c r="H386" s="35" t="n">
        <v>13.86999999999997</v>
      </c>
      <c r="I386" s="215">
        <f>C380</f>
        <v/>
      </c>
      <c r="J386" s="215">
        <f>C397</f>
        <v/>
      </c>
      <c r="K386" s="43">
        <f t="array" ref="K386">INDEX('Podium Target Times'!$C:$C, MATCH(A386&amp;B386, 'Podium Target Times'!$A:$A&amp;'Podium Target Times'!$B:$B, 0))
</f>
        <v/>
      </c>
      <c r="L386" s="12">
        <f>L389+G389</f>
        <v/>
      </c>
      <c r="M386" s="43">
        <f>TEXT(L386/86400, "mm:ss.00")</f>
        <v/>
      </c>
      <c r="N386" s="14">
        <f>IFERROR(__xludf.DUMMYFUNCTION("LET(
  gen,$A386, ev,$B386, t,$M386,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386" s="65" t="n"/>
      <c r="P386" s="69">
        <f>A394</f>
        <v/>
      </c>
      <c r="Q386" s="65">
        <f>B394</f>
        <v/>
      </c>
      <c r="R386" s="69">
        <f>C394</f>
        <v/>
      </c>
      <c r="S386" s="58">
        <f>M394</f>
        <v/>
      </c>
      <c r="T386" s="69">
        <f>N394</f>
        <v/>
      </c>
      <c r="U386" s="65" t="n"/>
      <c r="V386" s="65" t="n"/>
      <c r="W386" s="65" t="n"/>
    </row>
    <row r="387">
      <c r="A387" s="17" t="inlineStr">
        <is>
          <t>M</t>
        </is>
      </c>
      <c r="B387" s="18" t="inlineStr">
        <is>
          <t>1500 Free</t>
        </is>
      </c>
      <c r="C387" s="18" t="n">
        <v>18</v>
      </c>
      <c r="D387" s="18" t="n">
        <v>2</v>
      </c>
      <c r="E387" s="46" t="inlineStr">
        <is>
          <t>15:17.45</t>
        </is>
      </c>
      <c r="F387" s="21">
        <f>IFERROR(__xludf.DUMMYFUNCTION("IF(
  REGEXMATCH(E387, "":""),
  60*VALUE(INDEX(SPLIT(E387, "":""),1,1)) + VALUE(INDEX(SPLIT(E387, "":""),1,2)),
  VALUE(E387)
)"),917.45)</f>
        <v/>
      </c>
      <c r="G387" s="21">
        <f>average(F383-F386,F384-F387,F385-F388)</f>
        <v/>
      </c>
      <c r="H387" s="21" t="n">
        <v>13.86999999999997</v>
      </c>
      <c r="I387" s="211">
        <f>C380</f>
        <v/>
      </c>
      <c r="J387" s="211">
        <f>C397</f>
        <v/>
      </c>
      <c r="K387" s="60">
        <f t="array" ref="K387">INDEX('Podium Target Times'!$C:$C, MATCH(A387&amp;B387, 'Podium Target Times'!$A:$A&amp;'Podium Target Times'!$B:$B, 0))
</f>
        <v/>
      </c>
      <c r="L387" s="24">
        <f>L389+G389</f>
        <v/>
      </c>
      <c r="M387" s="60">
        <f>TEXT(L387/86400, "mm:ss.00")</f>
        <v/>
      </c>
      <c r="N387" s="25">
        <f>IFERROR(__xludf.DUMMYFUNCTION("LET(
  gen,$A387, ev,$B387, t,$M387,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387" s="65" t="n"/>
      <c r="P387" s="69">
        <f>A396</f>
        <v/>
      </c>
      <c r="Q387" s="65">
        <f>B396</f>
        <v/>
      </c>
      <c r="R387" s="69">
        <f>C396</f>
        <v/>
      </c>
      <c r="S387" s="58">
        <f>M396</f>
        <v/>
      </c>
      <c r="T387" s="69">
        <f>N396</f>
        <v/>
      </c>
      <c r="U387" s="65" t="n"/>
      <c r="V387" s="65" t="n"/>
      <c r="W387" s="65" t="n"/>
    </row>
    <row r="388">
      <c r="A388" s="8" t="inlineStr">
        <is>
          <t>M</t>
        </is>
      </c>
      <c r="B388" s="9" t="inlineStr">
        <is>
          <t>1500 Free</t>
        </is>
      </c>
      <c r="C388" s="9" t="n">
        <v>18</v>
      </c>
      <c r="D388" s="9" t="n">
        <v>3</v>
      </c>
      <c r="E388" s="41" t="inlineStr">
        <is>
          <t>15:19.13</t>
        </is>
      </c>
      <c r="F388" s="35">
        <f>IFERROR(__xludf.DUMMYFUNCTION("IF(
  REGEXMATCH(E388, "":""),
  60*VALUE(INDEX(SPLIT(E388, "":""),1,1)) + VALUE(INDEX(SPLIT(E388, "":""),1,2)),
  VALUE(E388)
)"),919.13)</f>
        <v/>
      </c>
      <c r="G388" s="35">
        <f>average(F383-F386,F384-F387,F385-F388)</f>
        <v/>
      </c>
      <c r="H388" s="35" t="n">
        <v>13.86999999999997</v>
      </c>
      <c r="I388" s="215">
        <f>C380</f>
        <v/>
      </c>
      <c r="J388" s="215">
        <f>C397</f>
        <v/>
      </c>
      <c r="K388" s="43">
        <f t="array" ref="K388">INDEX('Podium Target Times'!$C:$C, MATCH(A388&amp;B388, 'Podium Target Times'!$A:$A&amp;'Podium Target Times'!$B:$B, 0))
</f>
        <v/>
      </c>
      <c r="L388" s="12">
        <f>L389+G389</f>
        <v/>
      </c>
      <c r="M388" s="43">
        <f>TEXT(L388/86400, "mm:ss.00")</f>
        <v/>
      </c>
      <c r="N388" s="14">
        <f>IFERROR(__xludf.DUMMYFUNCTION("LET(
  gen,$A388, ev,$B388, t,$M388,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388" s="65" t="n"/>
      <c r="P388" s="69">
        <f>A397</f>
        <v/>
      </c>
      <c r="Q388" s="65">
        <f>B397</f>
        <v/>
      </c>
      <c r="R388" s="69">
        <f>C397</f>
        <v/>
      </c>
      <c r="S388" s="58">
        <f>M397</f>
        <v/>
      </c>
      <c r="T388" s="69">
        <f>N397</f>
        <v/>
      </c>
      <c r="U388" s="65" t="n"/>
      <c r="V388" s="65" t="n"/>
      <c r="W388" s="65" t="n"/>
    </row>
    <row r="389">
      <c r="A389" s="17" t="inlineStr">
        <is>
          <t>M</t>
        </is>
      </c>
      <c r="B389" s="18" t="inlineStr">
        <is>
          <t>1500 Free</t>
        </is>
      </c>
      <c r="C389" s="18" t="n">
        <v>19</v>
      </c>
      <c r="D389" s="18" t="n">
        <v>1</v>
      </c>
      <c r="E389" s="46" t="inlineStr">
        <is>
          <t>15:01.89</t>
        </is>
      </c>
      <c r="F389" s="21">
        <f>IFERROR(__xludf.DUMMYFUNCTION("IF(
  REGEXMATCH(E389, "":""),
  60*VALUE(INDEX(SPLIT(E389, "":""),1,1)) + VALUE(INDEX(SPLIT(E389, "":""),1,2)),
  VALUE(E389)
)"),901.89)</f>
        <v/>
      </c>
      <c r="G389" s="21">
        <f>average(F386-F389,F387-F390,F388-F391)</f>
        <v/>
      </c>
      <c r="H389" s="21" t="n">
        <v>8.510000000000028</v>
      </c>
      <c r="I389" s="211">
        <f>C380</f>
        <v/>
      </c>
      <c r="J389" s="211">
        <f>C397</f>
        <v/>
      </c>
      <c r="K389" s="60">
        <f t="array" ref="K389">INDEX('Podium Target Times'!$C:$C, MATCH(A389&amp;B389, 'Podium Target Times'!$A:$A&amp;'Podium Target Times'!$B:$B, 0))
</f>
        <v/>
      </c>
      <c r="L389" s="24">
        <f>L392+G392</f>
        <v/>
      </c>
      <c r="M389" s="60">
        <f>TEXT(L389/86400, "mm:ss.00")</f>
        <v/>
      </c>
      <c r="N389" s="25">
        <f>IFERROR(__xludf.DUMMYFUNCTION("LET(
  gen,$A389, ev,$B389, t,$M389,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
      </c>
      <c r="O389" s="65" t="n"/>
      <c r="P389" s="69" t="n"/>
      <c r="Q389" s="65" t="n"/>
      <c r="R389" s="69" t="n"/>
      <c r="S389" s="58" t="n"/>
      <c r="T389" s="69" t="n"/>
      <c r="U389" s="65" t="n"/>
      <c r="V389" s="65" t="n"/>
      <c r="W389" s="65" t="n"/>
    </row>
    <row r="390">
      <c r="A390" s="8" t="inlineStr">
        <is>
          <t>M</t>
        </is>
      </c>
      <c r="B390" s="9" t="inlineStr">
        <is>
          <t>1500 Free</t>
        </is>
      </c>
      <c r="C390" s="9" t="n">
        <v>19</v>
      </c>
      <c r="D390" s="9" t="n">
        <v>2</v>
      </c>
      <c r="E390" s="41" t="inlineStr">
        <is>
          <t>15:08.92</t>
        </is>
      </c>
      <c r="F390" s="35">
        <f>IFERROR(__xludf.DUMMYFUNCTION("IF(
  REGEXMATCH(E390, "":""),
  60*VALUE(INDEX(SPLIT(E390, "":""),1,1)) + VALUE(INDEX(SPLIT(E390, "":""),1,2)),
  VALUE(E390)
)"),908.92)</f>
        <v/>
      </c>
      <c r="G390" s="35">
        <f>average(F386-F389,F387-F390,F388-F391)</f>
        <v/>
      </c>
      <c r="H390" s="35" t="n">
        <v>8.510000000000028</v>
      </c>
      <c r="I390" s="215">
        <f>C380</f>
        <v/>
      </c>
      <c r="J390" s="215">
        <f>C397</f>
        <v/>
      </c>
      <c r="K390" s="43">
        <f t="array" ref="K390">INDEX('Podium Target Times'!$C:$C, MATCH(A390&amp;B390, 'Podium Target Times'!$A:$A&amp;'Podium Target Times'!$B:$B, 0))
</f>
        <v/>
      </c>
      <c r="L390" s="12">
        <f>L392+G392</f>
        <v/>
      </c>
      <c r="M390" s="43">
        <f>TEXT(L390/86400, "mm:ss.00")</f>
        <v/>
      </c>
      <c r="N390" s="14">
        <f>IFERROR(__xludf.DUMMYFUNCTION("LET(
  gen,$A390, ev,$B390, t,$M390,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
      </c>
      <c r="O390" s="65" t="n"/>
      <c r="P390" s="69" t="n"/>
      <c r="Q390" s="65" t="n"/>
      <c r="R390" s="69" t="n"/>
      <c r="S390" s="58" t="n"/>
      <c r="T390" s="69" t="n"/>
      <c r="U390" s="65" t="n"/>
      <c r="V390" s="65" t="n"/>
      <c r="W390" s="65" t="n"/>
    </row>
    <row r="391">
      <c r="A391" s="17" t="inlineStr">
        <is>
          <t>M</t>
        </is>
      </c>
      <c r="B391" s="18" t="inlineStr">
        <is>
          <t>1500 Free</t>
        </is>
      </c>
      <c r="C391" s="18" t="n">
        <v>19</v>
      </c>
      <c r="D391" s="18" t="n">
        <v>3</v>
      </c>
      <c r="E391" s="46" t="inlineStr">
        <is>
          <t>15:10.59</t>
        </is>
      </c>
      <c r="F391" s="21">
        <f>IFERROR(__xludf.DUMMYFUNCTION("IF(
  REGEXMATCH(E391, "":""),
  60*VALUE(INDEX(SPLIT(E391, "":""),1,1)) + VALUE(INDEX(SPLIT(E391, "":""),1,2)),
  VALUE(E391)
)"),910.59)</f>
        <v/>
      </c>
      <c r="G391" s="21">
        <f>average(F386-F389,F387-F390,F388-F391)</f>
        <v/>
      </c>
      <c r="H391" s="21" t="n">
        <v>8.510000000000028</v>
      </c>
      <c r="I391" s="211">
        <f>C380</f>
        <v/>
      </c>
      <c r="J391" s="211">
        <f>C397</f>
        <v/>
      </c>
      <c r="K391" s="60">
        <f t="array" ref="K391">INDEX('Podium Target Times'!$C:$C, MATCH(A391&amp;B391, 'Podium Target Times'!$A:$A&amp;'Podium Target Times'!$B:$B, 0))
</f>
        <v/>
      </c>
      <c r="L391" s="24">
        <f>L392+G392</f>
        <v/>
      </c>
      <c r="M391" s="60">
        <f>TEXT(L391/86400, "mm:ss.00")</f>
        <v/>
      </c>
      <c r="N391" s="25">
        <f>IFERROR(__xludf.DUMMYFUNCTION("LET(
  gen,$A391, ev,$B391, t,$M391,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
      </c>
      <c r="O391" s="65" t="n"/>
      <c r="P391" s="69" t="n"/>
      <c r="Q391" s="65" t="n"/>
      <c r="R391" s="69" t="n"/>
      <c r="S391" s="58" t="n"/>
      <c r="T391" s="69" t="n"/>
      <c r="U391" s="65" t="n"/>
      <c r="V391" s="65" t="n"/>
      <c r="W391" s="65" t="n"/>
    </row>
    <row r="392">
      <c r="A392" s="8" t="inlineStr">
        <is>
          <t>M</t>
        </is>
      </c>
      <c r="B392" s="9" t="inlineStr">
        <is>
          <t>1500 Free</t>
        </is>
      </c>
      <c r="C392" s="9" t="n">
        <v>20</v>
      </c>
      <c r="D392" s="9" t="n">
        <v>2</v>
      </c>
      <c r="E392" s="41" t="inlineStr">
        <is>
          <t>15:04.13</t>
        </is>
      </c>
      <c r="F392" s="35">
        <f>IFERROR(__xludf.DUMMYFUNCTION("IF(
  REGEXMATCH(E392, "":""),
  60*VALUE(INDEX(SPLIT(E392, "":""),1,1)) + VALUE(INDEX(SPLIT(E392, "":""),1,2)),
  VALUE(E392)
)"),904.13)</f>
        <v/>
      </c>
      <c r="G392" s="35">
        <f>average(F390-F392,F391-F393)</f>
        <v/>
      </c>
      <c r="H392" s="35" t="n">
        <v>4.795000000000016</v>
      </c>
      <c r="I392" s="215">
        <f>C380</f>
        <v/>
      </c>
      <c r="J392" s="215">
        <f>C397</f>
        <v/>
      </c>
      <c r="K392" s="43">
        <f t="array" ref="K392">INDEX('Podium Target Times'!$C:$C, MATCH(A392&amp;B392, 'Podium Target Times'!$A:$A&amp;'Podium Target Times'!$B:$B, 0))
</f>
        <v/>
      </c>
      <c r="L392" s="12">
        <f>L394+G394</f>
        <v/>
      </c>
      <c r="M392" s="43">
        <f>TEXT(L392/86400, "mm:ss.00")</f>
        <v/>
      </c>
      <c r="N392" s="14">
        <f>IFERROR(__xludf.DUMMYFUNCTION("LET(
  gen,$A392, ev,$B392, t,$M392,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392" s="65" t="n"/>
      <c r="P392" s="69" t="n"/>
      <c r="Q392" s="65" t="n"/>
      <c r="R392" s="69" t="n"/>
      <c r="S392" s="58" t="n"/>
      <c r="T392" s="69" t="n"/>
      <c r="U392" s="65" t="n"/>
      <c r="V392" s="65" t="n"/>
      <c r="W392" s="65" t="n"/>
    </row>
    <row r="393">
      <c r="A393" s="17" t="inlineStr">
        <is>
          <t>M</t>
        </is>
      </c>
      <c r="B393" s="18" t="inlineStr">
        <is>
          <t>1500 Free</t>
        </is>
      </c>
      <c r="C393" s="18" t="n">
        <v>20</v>
      </c>
      <c r="D393" s="18" t="n">
        <v>3</v>
      </c>
      <c r="E393" s="46" t="inlineStr">
        <is>
          <t>15:05.79</t>
        </is>
      </c>
      <c r="F393" s="21">
        <f>IFERROR(__xludf.DUMMYFUNCTION("IF(
  REGEXMATCH(E393, "":""),
  60*VALUE(INDEX(SPLIT(E393, "":""),1,1)) + VALUE(INDEX(SPLIT(E393, "":""),1,2)),
  VALUE(E393)
)"),905.79)</f>
        <v/>
      </c>
      <c r="G393" s="21">
        <f>average(F390-F392,F391-F393)</f>
        <v/>
      </c>
      <c r="H393" s="21" t="n">
        <v>4.795000000000016</v>
      </c>
      <c r="I393" s="211">
        <f>C380</f>
        <v/>
      </c>
      <c r="J393" s="211">
        <f>C397</f>
        <v/>
      </c>
      <c r="K393" s="60">
        <f t="array" ref="K393">INDEX('Podium Target Times'!$C:$C, MATCH(A393&amp;B393, 'Podium Target Times'!$A:$A&amp;'Podium Target Times'!$B:$B, 0))
</f>
        <v/>
      </c>
      <c r="L393" s="24">
        <f>L394+G394</f>
        <v/>
      </c>
      <c r="M393" s="60">
        <f>TEXT(L393/86400, "mm:ss.00")</f>
        <v/>
      </c>
      <c r="N393" s="25">
        <f>IFERROR(__xludf.DUMMYFUNCTION("LET(
  gen,$A393, ev,$B393, t,$M393,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393" s="65" t="n"/>
      <c r="P393" s="69" t="n"/>
      <c r="Q393" s="65" t="n"/>
      <c r="R393" s="69" t="n"/>
      <c r="S393" s="58" t="n"/>
      <c r="T393" s="69" t="n"/>
      <c r="U393" s="65" t="n"/>
      <c r="V393" s="65" t="n"/>
      <c r="W393" s="65" t="n"/>
    </row>
    <row r="394">
      <c r="A394" s="8" t="inlineStr">
        <is>
          <t>M</t>
        </is>
      </c>
      <c r="B394" s="9" t="inlineStr">
        <is>
          <t>1500 Free</t>
        </is>
      </c>
      <c r="C394" s="9" t="n">
        <v>21</v>
      </c>
      <c r="D394" s="9" t="n">
        <v>2</v>
      </c>
      <c r="E394" s="41" t="inlineStr">
        <is>
          <t>15:01.89</t>
        </is>
      </c>
      <c r="F394" s="35">
        <f>IFERROR(__xludf.DUMMYFUNCTION("IF(
  REGEXMATCH(E394, "":""),
  60*VALUE(INDEX(SPLIT(E394, "":""),1,1)) + VALUE(INDEX(SPLIT(E394, "":""),1,2)),
  VALUE(E394)
)"),901.89)</f>
        <v/>
      </c>
      <c r="G394" s="35">
        <f>average(F392-F394,F393-F395)</f>
        <v/>
      </c>
      <c r="H394" s="35" t="n">
        <v>2.240000000000009</v>
      </c>
      <c r="I394" s="215">
        <f>C380</f>
        <v/>
      </c>
      <c r="J394" s="215">
        <f>C397</f>
        <v/>
      </c>
      <c r="K394" s="43">
        <f t="array" ref="K394">INDEX('Podium Target Times'!$C:$C, MATCH(A394&amp;B394, 'Podium Target Times'!$A:$A&amp;'Podium Target Times'!$B:$B, 0))
</f>
        <v/>
      </c>
      <c r="L394" s="12">
        <f>L396+G396</f>
        <v/>
      </c>
      <c r="M394" s="43">
        <f>TEXT(L394/86400, "mm:ss.00")</f>
        <v/>
      </c>
      <c r="N394" s="14">
        <f>IFERROR(__xludf.DUMMYFUNCTION("LET(
  gen,$A394, ev,$B394, t,$M394,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
      </c>
      <c r="O394" s="65" t="n"/>
      <c r="P394" s="69" t="n"/>
      <c r="Q394" s="65" t="n"/>
      <c r="R394" s="69" t="n"/>
      <c r="S394" s="58" t="n"/>
      <c r="T394" s="69" t="n"/>
      <c r="U394" s="65" t="n"/>
      <c r="V394" s="65" t="n"/>
      <c r="W394" s="65" t="n"/>
    </row>
    <row r="395">
      <c r="A395" s="17" t="inlineStr">
        <is>
          <t>M</t>
        </is>
      </c>
      <c r="B395" s="18" t="inlineStr">
        <is>
          <t>1500 Free</t>
        </is>
      </c>
      <c r="C395" s="18" t="n">
        <v>21</v>
      </c>
      <c r="D395" s="18" t="n">
        <v>3</v>
      </c>
      <c r="E395" s="46" t="inlineStr">
        <is>
          <t>15:03.55</t>
        </is>
      </c>
      <c r="F395" s="21">
        <f>IFERROR(__xludf.DUMMYFUNCTION("IF(
  REGEXMATCH(E395, "":""),
  60*VALUE(INDEX(SPLIT(E395, "":""),1,1)) + VALUE(INDEX(SPLIT(E395, "":""),1,2)),
  VALUE(E395)
)"),903.55)</f>
        <v/>
      </c>
      <c r="G395" s="21">
        <f>average(F392-F394,F393-F395)</f>
        <v/>
      </c>
      <c r="H395" s="21" t="n">
        <v>2.240000000000009</v>
      </c>
      <c r="I395" s="211">
        <f>C380</f>
        <v/>
      </c>
      <c r="J395" s="211">
        <f>C397</f>
        <v/>
      </c>
      <c r="K395" s="60">
        <f t="array" ref="K395">INDEX('Podium Target Times'!$C:$C, MATCH(A395&amp;B395, 'Podium Target Times'!$A:$A&amp;'Podium Target Times'!$B:$B, 0))
</f>
        <v/>
      </c>
      <c r="L395" s="24">
        <f>L396+G396</f>
        <v/>
      </c>
      <c r="M395" s="60">
        <f>TEXT(L395/86400, "mm:ss.00")</f>
        <v/>
      </c>
      <c r="N395" s="25">
        <f>IFERROR(__xludf.DUMMYFUNCTION("LET(
  gen,$A395, ev,$B395, t,$M395,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
      </c>
      <c r="O395" s="65" t="n"/>
      <c r="P395" s="69" t="n"/>
      <c r="Q395" s="65" t="n"/>
      <c r="R395" s="69" t="n"/>
      <c r="S395" s="58" t="n"/>
      <c r="T395" s="69" t="n"/>
      <c r="U395" s="65" t="n"/>
      <c r="V395" s="65" t="n"/>
      <c r="W395" s="65" t="n"/>
    </row>
    <row r="396">
      <c r="A396" s="8" t="inlineStr">
        <is>
          <t>M</t>
        </is>
      </c>
      <c r="B396" s="9" t="inlineStr">
        <is>
          <t>1500 Free</t>
        </is>
      </c>
      <c r="C396" s="9" t="n">
        <v>22</v>
      </c>
      <c r="D396" s="9" t="n">
        <v>3</v>
      </c>
      <c r="E396" s="41" t="inlineStr">
        <is>
          <t>15:02.44</t>
        </is>
      </c>
      <c r="F396" s="35">
        <f>IFERROR(__xludf.DUMMYFUNCTION("IF(
  REGEXMATCH(E396, "":""),
  60*VALUE(INDEX(SPLIT(E396, "":""),1,1)) + VALUE(INDEX(SPLIT(E396, "":""),1,2)),
  VALUE(E396)
)"),902.44)</f>
        <v/>
      </c>
      <c r="G396" s="35">
        <f>F395-F396</f>
        <v/>
      </c>
      <c r="H396" s="35" t="n">
        <v>1.1099999999999</v>
      </c>
      <c r="I396" s="215">
        <f>C380</f>
        <v/>
      </c>
      <c r="J396" s="215">
        <f>C397</f>
        <v/>
      </c>
      <c r="K396" s="43">
        <f t="array" ref="K396">INDEX('Podium Target Times'!$C:$C, MATCH(A396&amp;B396, 'Podium Target Times'!$A:$A&amp;'Podium Target Times'!$B:$B, 0))
</f>
        <v/>
      </c>
      <c r="L396" s="12">
        <f>L397+G397</f>
        <v/>
      </c>
      <c r="M396" s="43">
        <f>TEXT(L396/86400, "mm:ss.00")</f>
        <v/>
      </c>
      <c r="N396" s="14">
        <f>IFERROR(__xludf.DUMMYFUNCTION("LET(
  gen,$A396, ev,$B396, t,$M396,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
      </c>
      <c r="O396" s="65" t="n"/>
      <c r="P396" s="69" t="n"/>
      <c r="Q396" s="65" t="n"/>
      <c r="R396" s="69" t="n"/>
      <c r="S396" s="58" t="n"/>
      <c r="T396" s="69" t="n"/>
      <c r="U396" s="65" t="n"/>
      <c r="V396" s="65" t="n"/>
      <c r="W396" s="65" t="n"/>
    </row>
    <row r="397">
      <c r="A397" s="17" t="inlineStr">
        <is>
          <t>M</t>
        </is>
      </c>
      <c r="B397" s="18" t="inlineStr">
        <is>
          <t>1500 Free</t>
        </is>
      </c>
      <c r="C397" s="18" t="n">
        <v>23</v>
      </c>
      <c r="D397" s="18" t="n">
        <v>3</v>
      </c>
      <c r="E397" s="46" t="inlineStr">
        <is>
          <t>15:01.89</t>
        </is>
      </c>
      <c r="F397" s="21">
        <f>IFERROR(__xludf.DUMMYFUNCTION("IF(
  REGEXMATCH(E397, "":""),
  60*VALUE(INDEX(SPLIT(E397, "":""),1,1)) + VALUE(INDEX(SPLIT(E397, "":""),1,2)),
  VALUE(E397)
)"),901.89)</f>
        <v/>
      </c>
      <c r="G397" s="21">
        <f>F396-F397</f>
        <v/>
      </c>
      <c r="H397" s="21" t="n">
        <v>0.5500000000000682</v>
      </c>
      <c r="I397" s="211">
        <f>C380</f>
        <v/>
      </c>
      <c r="J397" s="211">
        <f>C397</f>
        <v/>
      </c>
      <c r="K397" s="60">
        <f t="array" ref="K397">INDEX('Podium Target Times'!$C:$C, MATCH(A397&amp;B397, 'Podium Target Times'!$A:$A&amp;'Podium Target Times'!$B:$B, 0))
</f>
        <v/>
      </c>
      <c r="L397" s="211">
        <f>K397</f>
        <v/>
      </c>
      <c r="M397" s="60">
        <f>TEXT(L397/86400, "mm:ss.00")</f>
        <v/>
      </c>
      <c r="N397" s="25">
        <f>IFERROR(__xludf.DUMMYFUNCTION("LET(
  gen,$A397, ev,$B397, t,$M397,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O397" s="65" t="n"/>
      <c r="P397" s="69" t="n"/>
      <c r="Q397" s="65" t="n"/>
      <c r="R397" s="69" t="n"/>
      <c r="S397" s="58" t="n"/>
      <c r="T397" s="69" t="n"/>
      <c r="U397" s="65" t="n"/>
      <c r="V397" s="65" t="n"/>
      <c r="W397" s="65" t="n"/>
    </row>
    <row r="398">
      <c r="A398" s="8" t="inlineStr">
        <is>
          <t>M</t>
        </is>
      </c>
      <c r="B398" s="9" t="inlineStr">
        <is>
          <t>200 Back</t>
        </is>
      </c>
      <c r="C398" s="9" t="n">
        <v>15</v>
      </c>
      <c r="D398" s="9" t="n">
        <v>1</v>
      </c>
      <c r="E398" s="41" t="inlineStr">
        <is>
          <t>2:07.63</t>
        </is>
      </c>
      <c r="F398" s="35">
        <f>IFERROR(__xludf.DUMMYFUNCTION("IF(
  REGEXMATCH(E398, "":""),
  60*VALUE(INDEX(SPLIT(E398, "":""),1,1)) + VALUE(INDEX(SPLIT(E398, "":""),1,2)),
  VALUE(E398)
)"),127.63)</f>
        <v/>
      </c>
      <c r="G398" s="12" t="n">
        <v>0</v>
      </c>
      <c r="H398" s="12" t="n">
        <v>0</v>
      </c>
      <c r="I398" s="43">
        <f>C398</f>
        <v/>
      </c>
      <c r="J398" s="43">
        <f>C415</f>
        <v/>
      </c>
      <c r="K398" s="43">
        <f t="array" ref="K398">INDEX('Podium Target Times'!$C:$C, MATCH(A398&amp;B398, 'Podium Target Times'!$A:$A&amp;'Podium Target Times'!$B:$B, 0))
</f>
        <v/>
      </c>
      <c r="L398" s="12">
        <f>L399+G399</f>
        <v/>
      </c>
      <c r="M398" s="43">
        <f>TEXT(L398/86400, "mm:ss.00")</f>
        <v/>
      </c>
      <c r="N398" s="14">
        <f>IFERROR(__xludf.DUMMYFUNCTION("LET(
  gen,$A398, ev,$B398, t,$M398,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)"),600.0)</f>
        <v/>
      </c>
      <c r="O398" s="65" t="n"/>
      <c r="P398" s="69">
        <f>A398</f>
        <v/>
      </c>
      <c r="Q398" s="65">
        <f>B398</f>
        <v/>
      </c>
      <c r="R398" s="69">
        <f>C398</f>
        <v/>
      </c>
      <c r="S398" s="58">
        <f>M398</f>
        <v/>
      </c>
      <c r="T398" s="69">
        <f>N398</f>
        <v/>
      </c>
      <c r="U398" s="65" t="n"/>
      <c r="V398" s="65" t="n"/>
      <c r="W398" s="65" t="n"/>
    </row>
    <row r="399">
      <c r="A399" s="17" t="inlineStr">
        <is>
          <t>M</t>
        </is>
      </c>
      <c r="B399" s="18" t="inlineStr">
        <is>
          <t>200 Back</t>
        </is>
      </c>
      <c r="C399" s="18" t="n">
        <v>16</v>
      </c>
      <c r="D399" s="18" t="n">
        <v>1</v>
      </c>
      <c r="E399" s="46" t="inlineStr">
        <is>
          <t>2:03.66</t>
        </is>
      </c>
      <c r="F399" s="21">
        <f>IFERROR(__xludf.DUMMYFUNCTION("IF(
  REGEXMATCH(E399, "":""),
  60*VALUE(INDEX(SPLIT(E399, "":""),1,1)) + VALUE(INDEX(SPLIT(E399, "":""),1,2)),
  VALUE(E399)
)"),123.66)</f>
        <v/>
      </c>
      <c r="G399" s="21">
        <f>F398-F399</f>
        <v/>
      </c>
      <c r="H399" s="21" t="n">
        <v>3.969999999999999</v>
      </c>
      <c r="I399" s="211">
        <f>C398</f>
        <v/>
      </c>
      <c r="J399" s="211">
        <f>C415</f>
        <v/>
      </c>
      <c r="K399" s="60">
        <f t="array" ref="K399">INDEX('Podium Target Times'!$C:$C, MATCH(A399&amp;B399, 'Podium Target Times'!$A:$A&amp;'Podium Target Times'!$B:$B, 0))
</f>
        <v/>
      </c>
      <c r="L399" s="24">
        <f>L401+G401</f>
        <v/>
      </c>
      <c r="M399" s="60">
        <f>TEXT(L399/86400, "mm:ss.00")</f>
        <v/>
      </c>
      <c r="N399" s="25">
        <f>IFERROR(__xludf.DUMMYFUNCTION("LET(
  gen,$A399, ev,$B399, t,$M399,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)"),657.0)</f>
        <v/>
      </c>
      <c r="O399" s="65" t="n"/>
      <c r="P399" s="69">
        <f>A399</f>
        <v/>
      </c>
      <c r="Q399" s="65">
        <f>B399</f>
        <v/>
      </c>
      <c r="R399" s="69">
        <f>C399</f>
        <v/>
      </c>
      <c r="S399" s="58">
        <f>M399</f>
        <v/>
      </c>
      <c r="T399" s="69">
        <f>N399</f>
        <v/>
      </c>
      <c r="U399" s="65" t="n"/>
      <c r="V399" s="65" t="n"/>
      <c r="W399" s="65" t="n"/>
    </row>
    <row r="400">
      <c r="A400" s="8" t="inlineStr">
        <is>
          <t>M</t>
        </is>
      </c>
      <c r="B400" s="9" t="inlineStr">
        <is>
          <t>200 Back</t>
        </is>
      </c>
      <c r="C400" s="9" t="n">
        <v>16</v>
      </c>
      <c r="D400" s="9" t="n">
        <v>2</v>
      </c>
      <c r="E400" s="41" t="inlineStr">
        <is>
          <t>2:04.75</t>
        </is>
      </c>
      <c r="F400" s="35">
        <f>IFERROR(__xludf.DUMMYFUNCTION("IF(
  REGEXMATCH(E400, "":""),
  60*VALUE(INDEX(SPLIT(E400, "":""),1,1)) + VALUE(INDEX(SPLIT(E400, "":""),1,2)),
  VALUE(E400)
)"),124.75)</f>
        <v/>
      </c>
      <c r="G400" s="35">
        <f>F398-F399</f>
        <v/>
      </c>
      <c r="H400" s="35" t="n">
        <v>3.969999999999999</v>
      </c>
      <c r="I400" s="215">
        <f>C398</f>
        <v/>
      </c>
      <c r="J400" s="215">
        <f>C415</f>
        <v/>
      </c>
      <c r="K400" s="43">
        <f t="array" ref="K400">INDEX('Podium Target Times'!$C:$C, MATCH(A400&amp;B400, 'Podium Target Times'!$A:$A&amp;'Podium Target Times'!$B:$B, 0))
</f>
        <v/>
      </c>
      <c r="L400" s="12">
        <f>L401+G401</f>
        <v/>
      </c>
      <c r="M400" s="43">
        <f>TEXT(L400/86400, "mm:ss.00")</f>
        <v/>
      </c>
      <c r="N400" s="14">
        <f>IFERROR(__xludf.DUMMYFUNCTION("LET(
  gen,$A400, ev,$B400, t,$M400,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)"),657.0)</f>
        <v/>
      </c>
      <c r="O400" s="65" t="n"/>
      <c r="P400" s="69">
        <f>A401</f>
        <v/>
      </c>
      <c r="Q400" s="65">
        <f>B401</f>
        <v/>
      </c>
      <c r="R400" s="69">
        <f>C401</f>
        <v/>
      </c>
      <c r="S400" s="58">
        <f>M401</f>
        <v/>
      </c>
      <c r="T400" s="69">
        <f>N401</f>
        <v/>
      </c>
      <c r="U400" s="65" t="n"/>
      <c r="V400" s="65" t="n"/>
      <c r="W400" s="65" t="n"/>
    </row>
    <row r="401">
      <c r="A401" s="17" t="inlineStr">
        <is>
          <t>M</t>
        </is>
      </c>
      <c r="B401" s="18" t="inlineStr">
        <is>
          <t>200 Back</t>
        </is>
      </c>
      <c r="C401" s="18" t="n">
        <v>17</v>
      </c>
      <c r="D401" s="18" t="n">
        <v>1</v>
      </c>
      <c r="E401" s="46" t="inlineStr">
        <is>
          <t>2:00.86</t>
        </is>
      </c>
      <c r="F401" s="21">
        <f>IFERROR(__xludf.DUMMYFUNCTION("IF(
  REGEXMATCH(E401, "":""),
  60*VALUE(INDEX(SPLIT(E401, "":""),1,1)) + VALUE(INDEX(SPLIT(E401, "":""),1,2)),
  VALUE(E401)
)"),120.86)</f>
        <v/>
      </c>
      <c r="G401" s="21">
        <f>average(F399-F401,F400-F402)</f>
        <v/>
      </c>
      <c r="H401" s="21" t="n">
        <v>2.809999999999995</v>
      </c>
      <c r="I401" s="211">
        <f>C398</f>
        <v/>
      </c>
      <c r="J401" s="211">
        <f>C415</f>
        <v/>
      </c>
      <c r="K401" s="60">
        <f t="array" ref="K401">INDEX('Podium Target Times'!$C:$C, MATCH(A401&amp;B401, 'Podium Target Times'!$A:$A&amp;'Podium Target Times'!$B:$B, 0))
</f>
        <v/>
      </c>
      <c r="L401" s="24">
        <f>L404+G404</f>
        <v/>
      </c>
      <c r="M401" s="60">
        <f>TEXT(L401/86400, "mm:ss.00")</f>
        <v/>
      </c>
      <c r="N401" s="25">
        <f>IFERROR(__xludf.DUMMYFUNCTION("LET(
  gen,$A401, ev,$B401, t,$M401,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
      </c>
      <c r="O401" s="65" t="n"/>
      <c r="P401" s="69">
        <f>A404</f>
        <v/>
      </c>
      <c r="Q401" s="65">
        <f>B404</f>
        <v/>
      </c>
      <c r="R401" s="69">
        <f>C404</f>
        <v/>
      </c>
      <c r="S401" s="58">
        <f>M404</f>
        <v/>
      </c>
      <c r="T401" s="69">
        <f>N404</f>
        <v/>
      </c>
      <c r="U401" s="65" t="n"/>
      <c r="V401" s="65" t="n"/>
      <c r="W401" s="65" t="n"/>
    </row>
    <row r="402">
      <c r="A402" s="8" t="inlineStr">
        <is>
          <t>M</t>
        </is>
      </c>
      <c r="B402" s="9" t="inlineStr">
        <is>
          <t>200 Back</t>
        </is>
      </c>
      <c r="C402" s="9" t="n">
        <v>17</v>
      </c>
      <c r="D402" s="9" t="n">
        <v>2</v>
      </c>
      <c r="E402" s="41" t="inlineStr">
        <is>
          <t>2:01.93</t>
        </is>
      </c>
      <c r="F402" s="35">
        <f>IFERROR(__xludf.DUMMYFUNCTION("IF(
  REGEXMATCH(E402, "":""),
  60*VALUE(INDEX(SPLIT(E402, "":""),1,1)) + VALUE(INDEX(SPLIT(E402, "":""),1,2)),
  VALUE(E402)
)"),121.93)</f>
        <v/>
      </c>
      <c r="G402" s="35">
        <f>average(F399-F401,F400-F402)</f>
        <v/>
      </c>
      <c r="H402" s="35" t="n">
        <v>2.809999999999995</v>
      </c>
      <c r="I402" s="215">
        <f>C398</f>
        <v/>
      </c>
      <c r="J402" s="215">
        <f>C415</f>
        <v/>
      </c>
      <c r="K402" s="43">
        <f t="array" ref="K402">INDEX('Podium Target Times'!$C:$C, MATCH(A402&amp;B402, 'Podium Target Times'!$A:$A&amp;'Podium Target Times'!$B:$B, 0))
</f>
        <v/>
      </c>
      <c r="L402" s="12">
        <f>L404+G404</f>
        <v/>
      </c>
      <c r="M402" s="43">
        <f>TEXT(L402/86400, "mm:ss.00")</f>
        <v/>
      </c>
      <c r="N402" s="14">
        <f>IFERROR(__xludf.DUMMYFUNCTION("LET(
  gen,$A402, ev,$B402, t,$M402,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
      </c>
      <c r="O402" s="65" t="n"/>
      <c r="P402" s="69">
        <f>A407</f>
        <v/>
      </c>
      <c r="Q402" s="65">
        <f>B407</f>
        <v/>
      </c>
      <c r="R402" s="69">
        <f>C407</f>
        <v/>
      </c>
      <c r="S402" s="58">
        <f>M407</f>
        <v/>
      </c>
      <c r="T402" s="69">
        <f>N407</f>
        <v/>
      </c>
      <c r="U402" s="65" t="n"/>
      <c r="V402" s="65" t="n"/>
      <c r="W402" s="65" t="n"/>
    </row>
    <row r="403">
      <c r="A403" s="17" t="inlineStr">
        <is>
          <t>M</t>
        </is>
      </c>
      <c r="B403" s="18" t="inlineStr">
        <is>
          <t>200 Back</t>
        </is>
      </c>
      <c r="C403" s="18" t="n">
        <v>17</v>
      </c>
      <c r="D403" s="18" t="n">
        <v>3</v>
      </c>
      <c r="E403" s="46" t="inlineStr">
        <is>
          <t>2:02.23</t>
        </is>
      </c>
      <c r="F403" s="21">
        <f>IFERROR(__xludf.DUMMYFUNCTION("IF(
  REGEXMATCH(E403, "":""),
  60*VALUE(INDEX(SPLIT(E403, "":""),1,1)) + VALUE(INDEX(SPLIT(E403, "":""),1,2)),
  VALUE(E403)
)"),122.23)</f>
        <v/>
      </c>
      <c r="G403" s="21">
        <f>average(F399-F401,F400-F402)</f>
        <v/>
      </c>
      <c r="H403" s="21" t="n">
        <v>2.809999999999995</v>
      </c>
      <c r="I403" s="211">
        <f>C398</f>
        <v/>
      </c>
      <c r="J403" s="211">
        <f>C415</f>
        <v/>
      </c>
      <c r="K403" s="60">
        <f t="array" ref="K403">INDEX('Podium Target Times'!$C:$C, MATCH(A403&amp;B403, 'Podium Target Times'!$A:$A&amp;'Podium Target Times'!$B:$B, 0))
</f>
        <v/>
      </c>
      <c r="L403" s="24">
        <f>L404+G404</f>
        <v/>
      </c>
      <c r="M403" s="60">
        <f>TEXT(L403/86400, "mm:ss.00")</f>
        <v/>
      </c>
      <c r="N403" s="25">
        <f>IFERROR(__xludf.DUMMYFUNCTION("LET(
  gen,$A403, ev,$B403, t,$M403,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
      </c>
      <c r="O403" s="65" t="n"/>
      <c r="P403" s="69">
        <f>A410</f>
        <v/>
      </c>
      <c r="Q403" s="65">
        <f>B410</f>
        <v/>
      </c>
      <c r="R403" s="69">
        <f>C410</f>
        <v/>
      </c>
      <c r="S403" s="58">
        <f>M410</f>
        <v/>
      </c>
      <c r="T403" s="69">
        <f>N410</f>
        <v/>
      </c>
      <c r="U403" s="65" t="n"/>
      <c r="V403" s="65" t="n"/>
      <c r="W403" s="65" t="n"/>
    </row>
    <row r="404">
      <c r="A404" s="8" t="inlineStr">
        <is>
          <t>M</t>
        </is>
      </c>
      <c r="B404" s="9" t="inlineStr">
        <is>
          <t>200 Back</t>
        </is>
      </c>
      <c r="C404" s="9" t="n">
        <v>18</v>
      </c>
      <c r="D404" s="9" t="n">
        <v>1</v>
      </c>
      <c r="E404" s="41" t="inlineStr">
        <is>
          <t>1:59.15</t>
        </is>
      </c>
      <c r="F404" s="35">
        <f>IFERROR(__xludf.DUMMYFUNCTION("IF(
  REGEXMATCH(E404, "":""),
  60*VALUE(INDEX(SPLIT(E404, "":""),1,1)) + VALUE(INDEX(SPLIT(E404, "":""),1,2)),
  VALUE(E404)
)"),119.15)</f>
        <v/>
      </c>
      <c r="G404" s="35">
        <f>average(F401-F404,F402-F405,F403-F406)</f>
        <v/>
      </c>
      <c r="H404" s="35" t="n">
        <v>1.716666666666669</v>
      </c>
      <c r="I404" s="215">
        <f>C398</f>
        <v/>
      </c>
      <c r="J404" s="215">
        <f>C415</f>
        <v/>
      </c>
      <c r="K404" s="43">
        <f t="array" ref="K404">INDEX('Podium Target Times'!$C:$C, MATCH(A404&amp;B404, 'Podium Target Times'!$A:$A&amp;'Podium Target Times'!$B:$B, 0))
</f>
        <v/>
      </c>
      <c r="L404" s="12">
        <f>L407+G407</f>
        <v/>
      </c>
      <c r="M404" s="43">
        <f>TEXT(L404/86400, "mm:ss.00")</f>
        <v/>
      </c>
      <c r="N404" s="14">
        <f>IFERROR(__xludf.DUMMYFUNCTION("LET(
  gen,$A404, ev,$B404, t,$M404,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404" s="65" t="n"/>
      <c r="P404" s="69">
        <f>A412</f>
        <v/>
      </c>
      <c r="Q404" s="65">
        <f>B412</f>
        <v/>
      </c>
      <c r="R404" s="69">
        <f>C412</f>
        <v/>
      </c>
      <c r="S404" s="58">
        <f>M412</f>
        <v/>
      </c>
      <c r="T404" s="69">
        <f>N412</f>
        <v/>
      </c>
      <c r="U404" s="65" t="n"/>
      <c r="V404" s="65" t="n"/>
      <c r="W404" s="65" t="n"/>
    </row>
    <row r="405">
      <c r="A405" s="17" t="inlineStr">
        <is>
          <t>M</t>
        </is>
      </c>
      <c r="B405" s="18" t="inlineStr">
        <is>
          <t>200 Back</t>
        </is>
      </c>
      <c r="C405" s="18" t="n">
        <v>18</v>
      </c>
      <c r="D405" s="18" t="n">
        <v>2</v>
      </c>
      <c r="E405" s="46" t="inlineStr">
        <is>
          <t>2:00.21</t>
        </is>
      </c>
      <c r="F405" s="21">
        <f>IFERROR(__xludf.DUMMYFUNCTION("IF(
  REGEXMATCH(E405, "":""),
  60*VALUE(INDEX(SPLIT(E405, "":""),1,1)) + VALUE(INDEX(SPLIT(E405, "":""),1,2)),
  VALUE(E405)
)"),120.21)</f>
        <v/>
      </c>
      <c r="G405" s="21">
        <f>average(F401-F404,F402-F405,F403-F406)</f>
        <v/>
      </c>
      <c r="H405" s="21" t="n">
        <v>1.716666666666669</v>
      </c>
      <c r="I405" s="211">
        <f>C398</f>
        <v/>
      </c>
      <c r="J405" s="211">
        <f>C415</f>
        <v/>
      </c>
      <c r="K405" s="60">
        <f t="array" ref="K405">INDEX('Podium Target Times'!$C:$C, MATCH(A405&amp;B405, 'Podium Target Times'!$A:$A&amp;'Podium Target Times'!$B:$B, 0))
</f>
        <v/>
      </c>
      <c r="L405" s="24">
        <f>L407+G407</f>
        <v/>
      </c>
      <c r="M405" s="60">
        <f>TEXT(L405/86400, "mm:ss.00")</f>
        <v/>
      </c>
      <c r="N405" s="25">
        <f>IFERROR(__xludf.DUMMYFUNCTION("LET(
  gen,$A405, ev,$B405, t,$M405,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405" s="65" t="n"/>
      <c r="P405" s="69">
        <f>A414</f>
        <v/>
      </c>
      <c r="Q405" s="65">
        <f>B414</f>
        <v/>
      </c>
      <c r="R405" s="69">
        <f>C414</f>
        <v/>
      </c>
      <c r="S405" s="58">
        <f>M414</f>
        <v/>
      </c>
      <c r="T405" s="69">
        <f>N414</f>
        <v/>
      </c>
      <c r="U405" s="65" t="n"/>
      <c r="V405" s="65" t="n"/>
      <c r="W405" s="65" t="n"/>
    </row>
    <row r="406">
      <c r="A406" s="8" t="inlineStr">
        <is>
          <t>M</t>
        </is>
      </c>
      <c r="B406" s="9" t="inlineStr">
        <is>
          <t>200 Back</t>
        </is>
      </c>
      <c r="C406" s="9" t="n">
        <v>18</v>
      </c>
      <c r="D406" s="9" t="n">
        <v>3</v>
      </c>
      <c r="E406" s="41" t="inlineStr">
        <is>
          <t>2:00.51</t>
        </is>
      </c>
      <c r="F406" s="35">
        <f>IFERROR(__xludf.DUMMYFUNCTION("IF(
  REGEXMATCH(E406, "":""),
  60*VALUE(INDEX(SPLIT(E406, "":""),1,1)) + VALUE(INDEX(SPLIT(E406, "":""),1,2)),
  VALUE(E406)
)"),120.51)</f>
        <v/>
      </c>
      <c r="G406" s="35">
        <f>average(F401-F404,F402-F405,F403-F406)</f>
        <v/>
      </c>
      <c r="H406" s="35" t="n">
        <v>1.716666666666669</v>
      </c>
      <c r="I406" s="215">
        <f>C398</f>
        <v/>
      </c>
      <c r="J406" s="215">
        <f>C415</f>
        <v/>
      </c>
      <c r="K406" s="43">
        <f t="array" ref="K406">INDEX('Podium Target Times'!$C:$C, MATCH(A406&amp;B406, 'Podium Target Times'!$A:$A&amp;'Podium Target Times'!$B:$B, 0))
</f>
        <v/>
      </c>
      <c r="L406" s="12">
        <f>L407+G407</f>
        <v/>
      </c>
      <c r="M406" s="43">
        <f>TEXT(L406/86400, "mm:ss.00")</f>
        <v/>
      </c>
      <c r="N406" s="14">
        <f>IFERROR(__xludf.DUMMYFUNCTION("LET(
  gen,$A406, ev,$B406, t,$M406,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406" s="65" t="n"/>
      <c r="P406" s="69">
        <f>A415</f>
        <v/>
      </c>
      <c r="Q406" s="65">
        <f>B415</f>
        <v/>
      </c>
      <c r="R406" s="69">
        <f>C415</f>
        <v/>
      </c>
      <c r="S406" s="58">
        <f>M415</f>
        <v/>
      </c>
      <c r="T406" s="69">
        <f>N415</f>
        <v/>
      </c>
      <c r="U406" s="65" t="n"/>
      <c r="V406" s="65" t="n"/>
      <c r="W406" s="65" t="n"/>
    </row>
    <row r="407">
      <c r="A407" s="17" t="inlineStr">
        <is>
          <t>M</t>
        </is>
      </c>
      <c r="B407" s="18" t="inlineStr">
        <is>
          <t>200 Back</t>
        </is>
      </c>
      <c r="C407" s="18" t="n">
        <v>19</v>
      </c>
      <c r="D407" s="18" t="n">
        <v>1</v>
      </c>
      <c r="E407" s="46" t="inlineStr">
        <is>
          <t>1:58.07</t>
        </is>
      </c>
      <c r="F407" s="21">
        <f>IFERROR(__xludf.DUMMYFUNCTION("IF(
  REGEXMATCH(E407, "":""),
  60*VALUE(INDEX(SPLIT(E407, "":""),1,1)) + VALUE(INDEX(SPLIT(E407, "":""),1,2)),
  VALUE(E407)
)"),118.07)</f>
        <v/>
      </c>
      <c r="G407" s="21">
        <f>average(F404-F407,F405-F408,F406-F409)</f>
        <v/>
      </c>
      <c r="H407" s="21" t="n">
        <v>1.090000000000003</v>
      </c>
      <c r="I407" s="211">
        <f>C398</f>
        <v/>
      </c>
      <c r="J407" s="211">
        <f>C415</f>
        <v/>
      </c>
      <c r="K407" s="60">
        <f t="array" ref="K407">INDEX('Podium Target Times'!$C:$C, MATCH(A407&amp;B407, 'Podium Target Times'!$A:$A&amp;'Podium Target Times'!$B:$B, 0))
</f>
        <v/>
      </c>
      <c r="L407" s="24">
        <f>L410+G410</f>
        <v/>
      </c>
      <c r="M407" s="60">
        <f>TEXT(L407/86400, "mm:ss.00")</f>
        <v/>
      </c>
      <c r="N407" s="25">
        <f>IFERROR(__xludf.DUMMYFUNCTION("LET(
  gen,$A407, ev,$B407, t,$M407,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407" s="65" t="n"/>
      <c r="P407" s="69" t="n"/>
      <c r="Q407" s="65" t="n"/>
      <c r="R407" s="69" t="n"/>
      <c r="S407" s="58" t="n"/>
      <c r="T407" s="69" t="n"/>
      <c r="U407" s="65" t="n"/>
      <c r="V407" s="65" t="n"/>
      <c r="W407" s="65" t="n"/>
    </row>
    <row r="408">
      <c r="A408" s="8" t="inlineStr">
        <is>
          <t>M</t>
        </is>
      </c>
      <c r="B408" s="9" t="inlineStr">
        <is>
          <t>200 Back</t>
        </is>
      </c>
      <c r="C408" s="9" t="n">
        <v>19</v>
      </c>
      <c r="D408" s="9" t="n">
        <v>2</v>
      </c>
      <c r="E408" s="41" t="inlineStr">
        <is>
          <t>1:59.12</t>
        </is>
      </c>
      <c r="F408" s="35">
        <f>IFERROR(__xludf.DUMMYFUNCTION("IF(
  REGEXMATCH(E408, "":""),
  60*VALUE(INDEX(SPLIT(E408, "":""),1,1)) + VALUE(INDEX(SPLIT(E408, "":""),1,2)),
  VALUE(E408)
)"),119.12)</f>
        <v/>
      </c>
      <c r="G408" s="35">
        <f>average(F404-F407,F405-F408,F406-F409)</f>
        <v/>
      </c>
      <c r="H408" s="35" t="n">
        <v>1.090000000000003</v>
      </c>
      <c r="I408" s="215">
        <f>C398</f>
        <v/>
      </c>
      <c r="J408" s="215">
        <f>C415</f>
        <v/>
      </c>
      <c r="K408" s="43">
        <f t="array" ref="K408">INDEX('Podium Target Times'!$C:$C, MATCH(A408&amp;B408, 'Podium Target Times'!$A:$A&amp;'Podium Target Times'!$B:$B, 0))
</f>
        <v/>
      </c>
      <c r="L408" s="12">
        <f>L410+G410</f>
        <v/>
      </c>
      <c r="M408" s="43">
        <f>TEXT(L408/86400, "mm:ss.00")</f>
        <v/>
      </c>
      <c r="N408" s="14">
        <f>IFERROR(__xludf.DUMMYFUNCTION("LET(
  gen,$A408, ev,$B408, t,$M408,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408" s="65" t="n"/>
      <c r="P408" s="69" t="n"/>
      <c r="Q408" s="65" t="n"/>
      <c r="R408" s="69" t="n"/>
      <c r="S408" s="58" t="n"/>
      <c r="T408" s="69" t="n"/>
      <c r="U408" s="65" t="n"/>
      <c r="V408" s="65" t="n"/>
      <c r="W408" s="65" t="n"/>
    </row>
    <row r="409">
      <c r="A409" s="17" t="inlineStr">
        <is>
          <t>M</t>
        </is>
      </c>
      <c r="B409" s="18" t="inlineStr">
        <is>
          <t>200 Back</t>
        </is>
      </c>
      <c r="C409" s="18" t="n">
        <v>19</v>
      </c>
      <c r="D409" s="18" t="n">
        <v>3</v>
      </c>
      <c r="E409" s="46" t="inlineStr">
        <is>
          <t>1:59.41</t>
        </is>
      </c>
      <c r="F409" s="21">
        <f>IFERROR(__xludf.DUMMYFUNCTION("IF(
  REGEXMATCH(E409, "":""),
  60*VALUE(INDEX(SPLIT(E409, "":""),1,1)) + VALUE(INDEX(SPLIT(E409, "":""),1,2)),
  VALUE(E409)
)"),119.41)</f>
        <v/>
      </c>
      <c r="G409" s="21">
        <f>average(F404-F407,F405-F408,F406-F409)</f>
        <v/>
      </c>
      <c r="H409" s="21" t="n">
        <v>1.090000000000003</v>
      </c>
      <c r="I409" s="211">
        <f>C398</f>
        <v/>
      </c>
      <c r="J409" s="211">
        <f>C415</f>
        <v/>
      </c>
      <c r="K409" s="60">
        <f t="array" ref="K409">INDEX('Podium Target Times'!$C:$C, MATCH(A409&amp;B409, 'Podium Target Times'!$A:$A&amp;'Podium Target Times'!$B:$B, 0))
</f>
        <v/>
      </c>
      <c r="L409" s="24">
        <f>L410+G410</f>
        <v/>
      </c>
      <c r="M409" s="60">
        <f>TEXT(L409/86400, "mm:ss.00")</f>
        <v/>
      </c>
      <c r="N409" s="25">
        <f>IFERROR(__xludf.DUMMYFUNCTION("LET(
  gen,$A409, ev,$B409, t,$M409,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409" s="65" t="n"/>
      <c r="P409" s="69" t="n"/>
      <c r="Q409" s="65" t="n"/>
      <c r="R409" s="69" t="n"/>
      <c r="S409" s="58" t="n"/>
      <c r="T409" s="69" t="n"/>
      <c r="U409" s="65" t="n"/>
      <c r="V409" s="65" t="n"/>
      <c r="W409" s="65" t="n"/>
    </row>
    <row r="410">
      <c r="A410" s="8" t="inlineStr">
        <is>
          <t>M</t>
        </is>
      </c>
      <c r="B410" s="9" t="inlineStr">
        <is>
          <t>200 Back</t>
        </is>
      </c>
      <c r="C410" s="9" t="n">
        <v>20</v>
      </c>
      <c r="D410" s="9" t="n">
        <v>2</v>
      </c>
      <c r="E410" s="41" t="inlineStr">
        <is>
          <t>1:58.48</t>
        </is>
      </c>
      <c r="F410" s="35">
        <f>IFERROR(__xludf.DUMMYFUNCTION("IF(
  REGEXMATCH(E410, "":""),
  60*VALUE(INDEX(SPLIT(E410, "":""),1,1)) + VALUE(INDEX(SPLIT(E410, "":""),1,2)),
  VALUE(E410)
)"),118.47999999999999)</f>
        <v/>
      </c>
      <c r="G410" s="35">
        <f>average(F408-F410,F409-F411)</f>
        <v/>
      </c>
      <c r="H410" s="35" t="n">
        <v>0.6400000000000006</v>
      </c>
      <c r="I410" s="215">
        <f>C398</f>
        <v/>
      </c>
      <c r="J410" s="215">
        <f>C415</f>
        <v/>
      </c>
      <c r="K410" s="43">
        <f t="array" ref="K410">INDEX('Podium Target Times'!$C:$C, MATCH(A410&amp;B410, 'Podium Target Times'!$A:$A&amp;'Podium Target Times'!$B:$B, 0))
</f>
        <v/>
      </c>
      <c r="L410" s="12">
        <f>L412+G412</f>
        <v/>
      </c>
      <c r="M410" s="43">
        <f>TEXT(L410/86400, "mm:ss.00")</f>
        <v/>
      </c>
      <c r="N410" s="14">
        <f>IFERROR(__xludf.DUMMYFUNCTION("LET(
  gen,$A410, ev,$B410, t,$M410,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410" s="65" t="n"/>
      <c r="P410" s="69" t="n"/>
      <c r="Q410" s="65" t="n"/>
      <c r="R410" s="69" t="n"/>
      <c r="S410" s="58" t="n"/>
      <c r="T410" s="69" t="n"/>
      <c r="U410" s="65" t="n"/>
      <c r="V410" s="65" t="n"/>
      <c r="W410" s="65" t="n"/>
    </row>
    <row r="411">
      <c r="A411" s="17" t="inlineStr">
        <is>
          <t>M</t>
        </is>
      </c>
      <c r="B411" s="18" t="inlineStr">
        <is>
          <t>200 Back</t>
        </is>
      </c>
      <c r="C411" s="18" t="n">
        <v>20</v>
      </c>
      <c r="D411" s="18" t="n">
        <v>3</v>
      </c>
      <c r="E411" s="46" t="inlineStr">
        <is>
          <t>1:58.77</t>
        </is>
      </c>
      <c r="F411" s="21">
        <f>IFERROR(__xludf.DUMMYFUNCTION("IF(
  REGEXMATCH(E411, "":""),
  60*VALUE(INDEX(SPLIT(E411, "":""),1,1)) + VALUE(INDEX(SPLIT(E411, "":""),1,2)),
  VALUE(E411)
)"),118.77000000000001)</f>
        <v/>
      </c>
      <c r="G411" s="21">
        <f>average(F408-F410,F409-F411)</f>
        <v/>
      </c>
      <c r="H411" s="21" t="n">
        <v>0.6400000000000006</v>
      </c>
      <c r="I411" s="211">
        <f>C398</f>
        <v/>
      </c>
      <c r="J411" s="211">
        <f>C415</f>
        <v/>
      </c>
      <c r="K411" s="60">
        <f t="array" ref="K411">INDEX('Podium Target Times'!$C:$C, MATCH(A411&amp;B411, 'Podium Target Times'!$A:$A&amp;'Podium Target Times'!$B:$B, 0))
</f>
        <v/>
      </c>
      <c r="L411" s="24">
        <f>L412+G412</f>
        <v/>
      </c>
      <c r="M411" s="60">
        <f>TEXT(L411/86400, "mm:ss.00")</f>
        <v/>
      </c>
      <c r="N411" s="25">
        <f>IFERROR(__xludf.DUMMYFUNCTION("LET(
  gen,$A411, ev,$B411, t,$M411,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411" s="65" t="n"/>
      <c r="P411" s="69" t="n"/>
      <c r="Q411" s="65" t="n"/>
      <c r="R411" s="69" t="n"/>
      <c r="S411" s="58" t="n"/>
      <c r="T411" s="69" t="n"/>
      <c r="U411" s="65" t="n"/>
      <c r="V411" s="65" t="n"/>
      <c r="W411" s="65" t="n"/>
    </row>
    <row r="412">
      <c r="A412" s="8" t="inlineStr">
        <is>
          <t>M</t>
        </is>
      </c>
      <c r="B412" s="9" t="inlineStr">
        <is>
          <t>200 Back</t>
        </is>
      </c>
      <c r="C412" s="9" t="n">
        <v>21</v>
      </c>
      <c r="D412" s="9" t="n">
        <v>2</v>
      </c>
      <c r="E412" s="41" t="inlineStr">
        <is>
          <t>1:58.07</t>
        </is>
      </c>
      <c r="F412" s="35">
        <f>IFERROR(__xludf.DUMMYFUNCTION("IF(
  REGEXMATCH(E412, "":""),
  60*VALUE(INDEX(SPLIT(E412, "":""),1,1)) + VALUE(INDEX(SPLIT(E412, "":""),1,2)),
  VALUE(E412)
)"),118.07)</f>
        <v/>
      </c>
      <c r="G412" s="35">
        <f>average(F410-F412,F411-F413)</f>
        <v/>
      </c>
      <c r="H412" s="35" t="n">
        <v>0.4100000000000037</v>
      </c>
      <c r="I412" s="215">
        <f>C398</f>
        <v/>
      </c>
      <c r="J412" s="215">
        <f>C415</f>
        <v/>
      </c>
      <c r="K412" s="43">
        <f t="array" ref="K412">INDEX('Podium Target Times'!$C:$C, MATCH(A412&amp;B412, 'Podium Target Times'!$A:$A&amp;'Podium Target Times'!$B:$B, 0))
</f>
        <v/>
      </c>
      <c r="L412" s="12">
        <f>L414+G414</f>
        <v/>
      </c>
      <c r="M412" s="43">
        <f>TEXT(L412/86400, "mm:ss.00")</f>
        <v/>
      </c>
      <c r="N412" s="14">
        <f>IFERROR(__xludf.DUMMYFUNCTION("LET(
  gen,$A412, ev,$B412, t,$M412,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
      </c>
      <c r="O412" s="65" t="n"/>
      <c r="P412" s="69" t="n"/>
      <c r="Q412" s="65" t="n"/>
      <c r="R412" s="69" t="n"/>
      <c r="S412" s="58" t="n"/>
      <c r="T412" s="69" t="n"/>
      <c r="U412" s="65" t="n"/>
      <c r="V412" s="65" t="n"/>
      <c r="W412" s="65" t="n"/>
    </row>
    <row r="413">
      <c r="A413" s="17" t="inlineStr">
        <is>
          <t>M</t>
        </is>
      </c>
      <c r="B413" s="18" t="inlineStr">
        <is>
          <t>200 Back</t>
        </is>
      </c>
      <c r="C413" s="18" t="n">
        <v>21</v>
      </c>
      <c r="D413" s="18" t="n">
        <v>3</v>
      </c>
      <c r="E413" s="46" t="inlineStr">
        <is>
          <t>1:58.36</t>
        </is>
      </c>
      <c r="F413" s="21">
        <f>IFERROR(__xludf.DUMMYFUNCTION("IF(
  REGEXMATCH(E413, "":""),
  60*VALUE(INDEX(SPLIT(E413, "":""),1,1)) + VALUE(INDEX(SPLIT(E413, "":""),1,2)),
  VALUE(E413)
)"),118.36)</f>
        <v/>
      </c>
      <c r="G413" s="21">
        <f>average(F410-F412,F411-F413)</f>
        <v/>
      </c>
      <c r="H413" s="21" t="n">
        <v>0.4100000000000037</v>
      </c>
      <c r="I413" s="211">
        <f>C398</f>
        <v/>
      </c>
      <c r="J413" s="211">
        <f>C415</f>
        <v/>
      </c>
      <c r="K413" s="60">
        <f t="array" ref="K413">INDEX('Podium Target Times'!$C:$C, MATCH(A413&amp;B413, 'Podium Target Times'!$A:$A&amp;'Podium Target Times'!$B:$B, 0))
</f>
        <v/>
      </c>
      <c r="L413" s="24">
        <f>L414+G414</f>
        <v/>
      </c>
      <c r="M413" s="60">
        <f>TEXT(L413/86400, "mm:ss.00")</f>
        <v/>
      </c>
      <c r="N413" s="25">
        <f>IFERROR(__xludf.DUMMYFUNCTION("LET(
  gen,$A413, ev,$B413, t,$M413,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
      </c>
      <c r="O413" s="65" t="n"/>
      <c r="P413" s="69" t="n"/>
      <c r="Q413" s="65" t="n"/>
      <c r="R413" s="69" t="n"/>
      <c r="S413" s="58" t="n"/>
      <c r="T413" s="69" t="n"/>
      <c r="U413" s="65" t="n"/>
      <c r="V413" s="65" t="n"/>
      <c r="W413" s="65" t="n"/>
    </row>
    <row r="414">
      <c r="A414" s="8" t="inlineStr">
        <is>
          <t>M</t>
        </is>
      </c>
      <c r="B414" s="9" t="inlineStr">
        <is>
          <t>200 Back</t>
        </is>
      </c>
      <c r="C414" s="9" t="n">
        <v>22</v>
      </c>
      <c r="D414" s="9" t="n">
        <v>3</v>
      </c>
      <c r="E414" s="41" t="inlineStr">
        <is>
          <t>1:58.13</t>
        </is>
      </c>
      <c r="F414" s="35">
        <f>IFERROR(__xludf.DUMMYFUNCTION("IF(
  REGEXMATCH(E414, "":""),
  60*VALUE(INDEX(SPLIT(E414, "":""),1,1)) + VALUE(INDEX(SPLIT(E414, "":""),1,2)),
  VALUE(E414)
)"),118.13)</f>
        <v/>
      </c>
      <c r="G414" s="35">
        <f>F413-F414</f>
        <v/>
      </c>
      <c r="H414" s="35" t="n">
        <v>0.230000000000004</v>
      </c>
      <c r="I414" s="215">
        <f>C398</f>
        <v/>
      </c>
      <c r="J414" s="215">
        <f>C415</f>
        <v/>
      </c>
      <c r="K414" s="43">
        <f t="array" ref="K414">INDEX('Podium Target Times'!$C:$C, MATCH(A414&amp;B414, 'Podium Target Times'!$A:$A&amp;'Podium Target Times'!$B:$B, 0))
</f>
        <v/>
      </c>
      <c r="L414" s="12">
        <f>L415+G415</f>
        <v/>
      </c>
      <c r="M414" s="43">
        <f>TEXT(L414/86400, "mm:ss.00")</f>
        <v/>
      </c>
      <c r="N414" s="14">
        <f>IFERROR(__xludf.DUMMYFUNCTION("LET(
  gen,$A414, ev,$B414, t,$M414,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414" s="65" t="n"/>
      <c r="P414" s="69" t="n"/>
      <c r="Q414" s="65" t="n"/>
      <c r="R414" s="69" t="n"/>
      <c r="S414" s="58" t="n"/>
      <c r="T414" s="69" t="n"/>
      <c r="U414" s="65" t="n"/>
      <c r="V414" s="65" t="n"/>
      <c r="W414" s="65" t="n"/>
    </row>
    <row r="415">
      <c r="A415" s="17" t="inlineStr">
        <is>
          <t>M</t>
        </is>
      </c>
      <c r="B415" s="18" t="inlineStr">
        <is>
          <t>200 Back</t>
        </is>
      </c>
      <c r="C415" s="18" t="n">
        <v>23</v>
      </c>
      <c r="D415" s="18" t="n">
        <v>3</v>
      </c>
      <c r="E415" s="46" t="inlineStr">
        <is>
          <t>1:58.07</t>
        </is>
      </c>
      <c r="F415" s="21">
        <f>IFERROR(__xludf.DUMMYFUNCTION("IF(
  REGEXMATCH(E415, "":""),
  60*VALUE(INDEX(SPLIT(E415, "":""),1,1)) + VALUE(INDEX(SPLIT(E415, "":""),1,2)),
  VALUE(E415)
)"),118.07)</f>
        <v/>
      </c>
      <c r="G415" s="21">
        <f>F414-F415</f>
        <v/>
      </c>
      <c r="H415" s="21" t="n">
        <v>0.06000000000000227</v>
      </c>
      <c r="I415" s="211">
        <f>C398</f>
        <v/>
      </c>
      <c r="J415" s="211">
        <f>C415</f>
        <v/>
      </c>
      <c r="K415" s="60">
        <f t="array" ref="K415">INDEX('Podium Target Times'!$C:$C, MATCH(A415&amp;B415, 'Podium Target Times'!$A:$A&amp;'Podium Target Times'!$B:$B, 0))
</f>
        <v/>
      </c>
      <c r="L415" s="211">
        <f>K415</f>
        <v/>
      </c>
      <c r="M415" s="60">
        <f>TEXT(L415/86400, "mm:ss.00")</f>
        <v/>
      </c>
      <c r="N415" s="25">
        <f>IFERROR(__xludf.DUMMYFUNCTION("LET(
  gen,$A415, ev,$B415, t,$M415,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O415" s="65" t="n"/>
      <c r="P415" s="69" t="n"/>
      <c r="Q415" s="65" t="n"/>
      <c r="R415" s="69" t="n"/>
      <c r="S415" s="58" t="n"/>
      <c r="T415" s="69" t="n"/>
      <c r="U415" s="65" t="n"/>
      <c r="V415" s="65" t="n"/>
      <c r="W415" s="65" t="n"/>
    </row>
    <row r="416">
      <c r="A416" s="8" t="inlineStr">
        <is>
          <t>M</t>
        </is>
      </c>
      <c r="B416" s="9" t="inlineStr">
        <is>
          <t>200 Breast</t>
        </is>
      </c>
      <c r="C416" s="9" t="n">
        <v>15</v>
      </c>
      <c r="D416" s="9" t="n">
        <v>1</v>
      </c>
      <c r="E416" s="41" t="inlineStr">
        <is>
          <t>2:23.31</t>
        </is>
      </c>
      <c r="F416" s="35">
        <f>IFERROR(__xludf.DUMMYFUNCTION("IF(
  REGEXMATCH(E416, "":""),
  60*VALUE(INDEX(SPLIT(E416, "":""),1,1)) + VALUE(INDEX(SPLIT(E416, "":""),1,2)),
  VALUE(E416)
)"),143.31)</f>
        <v/>
      </c>
      <c r="G416" s="12" t="n">
        <v>0</v>
      </c>
      <c r="H416" s="12" t="n">
        <v>0</v>
      </c>
      <c r="I416" s="43">
        <f>C416</f>
        <v/>
      </c>
      <c r="J416" s="43">
        <f>C433</f>
        <v/>
      </c>
      <c r="K416" s="43">
        <f t="array" ref="K416">INDEX('Podium Target Times'!$C:$C, MATCH(A416&amp;B416, 'Podium Target Times'!$A:$A&amp;'Podium Target Times'!$B:$B, 0))
</f>
        <v/>
      </c>
      <c r="L416" s="12">
        <f>L417+G417</f>
        <v/>
      </c>
      <c r="M416" s="43">
        <f>TEXT(L416/86400, "mm:ss.00")</f>
        <v/>
      </c>
      <c r="N416" s="14">
        <f>IFERROR(__xludf.DUMMYFUNCTION("LET(
  gen,$A416, ev,$B416, t,$M416,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)"),578.0)</f>
        <v/>
      </c>
      <c r="O416" s="65" t="n"/>
      <c r="P416" s="69">
        <f>A416</f>
        <v/>
      </c>
      <c r="Q416" s="65">
        <f>B416</f>
        <v/>
      </c>
      <c r="R416" s="69">
        <f>C416</f>
        <v/>
      </c>
      <c r="S416" s="58">
        <f>M416</f>
        <v/>
      </c>
      <c r="T416" s="69">
        <f>N416</f>
        <v/>
      </c>
      <c r="U416" s="65" t="n"/>
      <c r="V416" s="65" t="n"/>
      <c r="W416" s="65" t="n"/>
    </row>
    <row r="417">
      <c r="A417" s="17" t="inlineStr">
        <is>
          <t>M</t>
        </is>
      </c>
      <c r="B417" s="18" t="inlineStr">
        <is>
          <t>200 Breast</t>
        </is>
      </c>
      <c r="C417" s="18" t="n">
        <v>16</v>
      </c>
      <c r="D417" s="18" t="n">
        <v>1</v>
      </c>
      <c r="E417" s="46" t="inlineStr">
        <is>
          <t>2:18.55</t>
        </is>
      </c>
      <c r="F417" s="21">
        <f>IFERROR(__xludf.DUMMYFUNCTION("IF(
  REGEXMATCH(E417, "":""),
  60*VALUE(INDEX(SPLIT(E417, "":""),1,1)) + VALUE(INDEX(SPLIT(E417, "":""),1,2)),
  VALUE(E417)
)"),138.55)</f>
        <v/>
      </c>
      <c r="G417" s="21">
        <f>F416-F417</f>
        <v/>
      </c>
      <c r="H417" s="21" t="n">
        <v>4.759999999999991</v>
      </c>
      <c r="I417" s="211">
        <f>C416</f>
        <v/>
      </c>
      <c r="J417" s="211">
        <f>C433</f>
        <v/>
      </c>
      <c r="K417" s="60">
        <f t="array" ref="K417">INDEX('Podium Target Times'!$C:$C, MATCH(A417&amp;B417, 'Podium Target Times'!$A:$A&amp;'Podium Target Times'!$B:$B, 0))
</f>
        <v/>
      </c>
      <c r="L417" s="24">
        <f>L419+G419</f>
        <v/>
      </c>
      <c r="M417" s="60">
        <f>TEXT(L417/86400, "mm:ss.00")</f>
        <v/>
      </c>
      <c r="N417" s="25">
        <f>IFERROR(__xludf.DUMMYFUNCTION("LET(
  gen,$A417, ev,$B417, t,$M417,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)"),636.0)</f>
        <v/>
      </c>
      <c r="O417" s="65" t="n"/>
      <c r="P417" s="69">
        <f>A417</f>
        <v/>
      </c>
      <c r="Q417" s="65">
        <f>B417</f>
        <v/>
      </c>
      <c r="R417" s="69">
        <f>C417</f>
        <v/>
      </c>
      <c r="S417" s="58">
        <f>M417</f>
        <v/>
      </c>
      <c r="T417" s="69">
        <f>N417</f>
        <v/>
      </c>
      <c r="U417" s="65" t="n"/>
      <c r="V417" s="65" t="n"/>
      <c r="W417" s="65" t="n"/>
    </row>
    <row r="418">
      <c r="A418" s="8" t="inlineStr">
        <is>
          <t>M</t>
        </is>
      </c>
      <c r="B418" s="9" t="inlineStr">
        <is>
          <t>200 Breast</t>
        </is>
      </c>
      <c r="C418" s="9" t="n">
        <v>16</v>
      </c>
      <c r="D418" s="9" t="n">
        <v>2</v>
      </c>
      <c r="E418" s="41" t="inlineStr">
        <is>
          <t>2:20.95</t>
        </is>
      </c>
      <c r="F418" s="35">
        <f>IFERROR(__xludf.DUMMYFUNCTION("IF(
  REGEXMATCH(E418, "":""),
  60*VALUE(INDEX(SPLIT(E418, "":""),1,1)) + VALUE(INDEX(SPLIT(E418, "":""),1,2)),
  VALUE(E418)
)"),140.95)</f>
        <v/>
      </c>
      <c r="G418" s="35">
        <f>F416-F417</f>
        <v/>
      </c>
      <c r="H418" s="35" t="n">
        <v>4.759999999999991</v>
      </c>
      <c r="I418" s="215">
        <f>C416</f>
        <v/>
      </c>
      <c r="J418" s="215">
        <f>C433</f>
        <v/>
      </c>
      <c r="K418" s="43">
        <f t="array" ref="K418">INDEX('Podium Target Times'!$C:$C, MATCH(A418&amp;B418, 'Podium Target Times'!$A:$A&amp;'Podium Target Times'!$B:$B, 0))
</f>
        <v/>
      </c>
      <c r="L418" s="12">
        <f>L419+G419</f>
        <v/>
      </c>
      <c r="M418" s="43">
        <f>TEXT(L418/86400, "mm:ss.00")</f>
        <v/>
      </c>
      <c r="N418" s="14">
        <f>IFERROR(__xludf.DUMMYFUNCTION("LET(
  gen,$A418, ev,$B418, t,$M418,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)"),636.0)</f>
        <v/>
      </c>
      <c r="O418" s="65" t="n"/>
      <c r="P418" s="69">
        <f>A419</f>
        <v/>
      </c>
      <c r="Q418" s="65">
        <f>B419</f>
        <v/>
      </c>
      <c r="R418" s="69">
        <f>C419</f>
        <v/>
      </c>
      <c r="S418" s="58">
        <f>M419</f>
        <v/>
      </c>
      <c r="T418" s="69">
        <f>N419</f>
        <v/>
      </c>
      <c r="U418" s="65" t="n"/>
      <c r="V418" s="65" t="n"/>
      <c r="W418" s="65" t="n"/>
    </row>
    <row r="419">
      <c r="A419" s="17" t="inlineStr">
        <is>
          <t>M</t>
        </is>
      </c>
      <c r="B419" s="18" t="inlineStr">
        <is>
          <t>200 Breast</t>
        </is>
      </c>
      <c r="C419" s="18" t="n">
        <v>17</v>
      </c>
      <c r="D419" s="18" t="n">
        <v>1</v>
      </c>
      <c r="E419" s="46" t="inlineStr">
        <is>
          <t>2:14.89</t>
        </is>
      </c>
      <c r="F419" s="21">
        <f>IFERROR(__xludf.DUMMYFUNCTION("IF(
  REGEXMATCH(E419, "":""),
  60*VALUE(INDEX(SPLIT(E419, "":""),1,1)) + VALUE(INDEX(SPLIT(E419, "":""),1,2)),
  VALUE(E419)
)"),134.89)</f>
        <v/>
      </c>
      <c r="G419" s="21">
        <f>average(F417-F419,F418-F420)</f>
        <v/>
      </c>
      <c r="H419" s="21" t="n">
        <v>3.685000000000002</v>
      </c>
      <c r="I419" s="211">
        <f>C416</f>
        <v/>
      </c>
      <c r="J419" s="211">
        <f>C433</f>
        <v/>
      </c>
      <c r="K419" s="60">
        <f t="array" ref="K419">INDEX('Podium Target Times'!$C:$C, MATCH(A419&amp;B419, 'Podium Target Times'!$A:$A&amp;'Podium Target Times'!$B:$B, 0))
</f>
        <v/>
      </c>
      <c r="L419" s="24">
        <f>L422+G422</f>
        <v/>
      </c>
      <c r="M419" s="60">
        <f>TEXT(L419/86400, "mm:ss.00")</f>
        <v/>
      </c>
      <c r="N419" s="25">
        <f>IFERROR(__xludf.DUMMYFUNCTION("LET(
  gen,$A419, ev,$B419, t,$M419,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419" s="65" t="n"/>
      <c r="P419" s="69">
        <f>A422</f>
        <v/>
      </c>
      <c r="Q419" s="65">
        <f>B422</f>
        <v/>
      </c>
      <c r="R419" s="69">
        <f>C422</f>
        <v/>
      </c>
      <c r="S419" s="58">
        <f>M422</f>
        <v/>
      </c>
      <c r="T419" s="69">
        <f>N422</f>
        <v/>
      </c>
      <c r="U419" s="65" t="n"/>
      <c r="V419" s="65" t="n"/>
      <c r="W419" s="65" t="n"/>
    </row>
    <row r="420">
      <c r="A420" s="8" t="inlineStr">
        <is>
          <t>M</t>
        </is>
      </c>
      <c r="B420" s="9" t="inlineStr">
        <is>
          <t>200 Breast</t>
        </is>
      </c>
      <c r="C420" s="9" t="n">
        <v>17</v>
      </c>
      <c r="D420" s="9" t="n">
        <v>2</v>
      </c>
      <c r="E420" s="41" t="inlineStr">
        <is>
          <t>2:17.24</t>
        </is>
      </c>
      <c r="F420" s="35">
        <f>IFERROR(__xludf.DUMMYFUNCTION("IF(
  REGEXMATCH(E420, "":""),
  60*VALUE(INDEX(SPLIT(E420, "":""),1,1)) + VALUE(INDEX(SPLIT(E420, "":""),1,2)),
  VALUE(E420)
)"),137.24)</f>
        <v/>
      </c>
      <c r="G420" s="35">
        <f>average(F417-F419,F418-F420)</f>
        <v/>
      </c>
      <c r="H420" s="35" t="n">
        <v>3.685000000000002</v>
      </c>
      <c r="I420" s="215">
        <f>C416</f>
        <v/>
      </c>
      <c r="J420" s="215">
        <f>C433</f>
        <v/>
      </c>
      <c r="K420" s="43">
        <f t="array" ref="K420">INDEX('Podium Target Times'!$C:$C, MATCH(A420&amp;B420, 'Podium Target Times'!$A:$A&amp;'Podium Target Times'!$B:$B, 0))
</f>
        <v/>
      </c>
      <c r="L420" s="12">
        <f>L422+G422</f>
        <v/>
      </c>
      <c r="M420" s="43">
        <f>TEXT(L420/86400, "mm:ss.00")</f>
        <v/>
      </c>
      <c r="N420" s="14">
        <f>IFERROR(__xludf.DUMMYFUNCTION("LET(
  gen,$A420, ev,$B420, t,$M420,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420" s="65" t="n"/>
      <c r="P420" s="69">
        <f>A425</f>
        <v/>
      </c>
      <c r="Q420" s="65">
        <f>B425</f>
        <v/>
      </c>
      <c r="R420" s="69">
        <f>C425</f>
        <v/>
      </c>
      <c r="S420" s="58">
        <f>M425</f>
        <v/>
      </c>
      <c r="T420" s="69">
        <f>N425</f>
        <v/>
      </c>
      <c r="U420" s="65" t="n"/>
      <c r="V420" s="65" t="n"/>
      <c r="W420" s="65" t="n"/>
    </row>
    <row r="421">
      <c r="A421" s="17" t="inlineStr">
        <is>
          <t>M</t>
        </is>
      </c>
      <c r="B421" s="18" t="inlineStr">
        <is>
          <t>200 Breast</t>
        </is>
      </c>
      <c r="C421" s="18" t="n">
        <v>17</v>
      </c>
      <c r="D421" s="18" t="n">
        <v>3</v>
      </c>
      <c r="E421" s="46" t="inlineStr">
        <is>
          <t>2:18.23</t>
        </is>
      </c>
      <c r="F421" s="21">
        <f>IFERROR(__xludf.DUMMYFUNCTION("IF(
  REGEXMATCH(E421, "":""),
  60*VALUE(INDEX(SPLIT(E421, "":""),1,1)) + VALUE(INDEX(SPLIT(E421, "":""),1,2)),
  VALUE(E421)
)"),138.23)</f>
        <v/>
      </c>
      <c r="G421" s="21">
        <f>average(F417-F419,F418-F420)</f>
        <v/>
      </c>
      <c r="H421" s="21" t="n">
        <v>3.685000000000002</v>
      </c>
      <c r="I421" s="211">
        <f>C416</f>
        <v/>
      </c>
      <c r="J421" s="211">
        <f>C433</f>
        <v/>
      </c>
      <c r="K421" s="60">
        <f t="array" ref="K421">INDEX('Podium Target Times'!$C:$C, MATCH(A421&amp;B421, 'Podium Target Times'!$A:$A&amp;'Podium Target Times'!$B:$B, 0))
</f>
        <v/>
      </c>
      <c r="L421" s="24">
        <f>L422+G422</f>
        <v/>
      </c>
      <c r="M421" s="60">
        <f>TEXT(L421/86400, "mm:ss.00")</f>
        <v/>
      </c>
      <c r="N421" s="25">
        <f>IFERROR(__xludf.DUMMYFUNCTION("LET(
  gen,$A421, ev,$B421, t,$M421,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421" s="65" t="n"/>
      <c r="P421" s="69">
        <f>A428</f>
        <v/>
      </c>
      <c r="Q421" s="65">
        <f>B428</f>
        <v/>
      </c>
      <c r="R421" s="69">
        <f>C428</f>
        <v/>
      </c>
      <c r="S421" s="58">
        <f>M428</f>
        <v/>
      </c>
      <c r="T421" s="69">
        <f>N428</f>
        <v/>
      </c>
      <c r="U421" s="65" t="n"/>
      <c r="V421" s="65" t="n"/>
      <c r="W421" s="65" t="n"/>
    </row>
    <row r="422">
      <c r="A422" s="8" t="inlineStr">
        <is>
          <t>M</t>
        </is>
      </c>
      <c r="B422" s="9" t="inlineStr">
        <is>
          <t>200 Breast</t>
        </is>
      </c>
      <c r="C422" s="9" t="n">
        <v>18</v>
      </c>
      <c r="D422" s="9" t="n">
        <v>1</v>
      </c>
      <c r="E422" s="41" t="inlineStr">
        <is>
          <t>2:12.22</t>
        </is>
      </c>
      <c r="F422" s="35">
        <f>IFERROR(__xludf.DUMMYFUNCTION("IF(
  REGEXMATCH(E422, "":""),
  60*VALUE(INDEX(SPLIT(E422, "":""),1,1)) + VALUE(INDEX(SPLIT(E422, "":""),1,2)),
  VALUE(E422)
)"),132.22)</f>
        <v/>
      </c>
      <c r="G422" s="35">
        <f>average(F419-F422,F420-F423,F421-F424)</f>
        <v/>
      </c>
      <c r="H422" s="35" t="n">
        <v>2.716666666666669</v>
      </c>
      <c r="I422" s="215">
        <f>C416</f>
        <v/>
      </c>
      <c r="J422" s="215">
        <f>C433</f>
        <v/>
      </c>
      <c r="K422" s="43">
        <f t="array" ref="K422">INDEX('Podium Target Times'!$C:$C, MATCH(A422&amp;B422, 'Podium Target Times'!$A:$A&amp;'Podium Target Times'!$B:$B, 0))
</f>
        <v/>
      </c>
      <c r="L422" s="12">
        <f>L425+G425</f>
        <v/>
      </c>
      <c r="M422" s="43">
        <f>TEXT(L422/86400, "mm:ss.00")</f>
        <v/>
      </c>
      <c r="N422" s="14">
        <f>IFERROR(__xludf.DUMMYFUNCTION("LET(
  gen,$A422, ev,$B422, t,$M422,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O422" s="65" t="n"/>
      <c r="P422" s="69">
        <f>A430</f>
        <v/>
      </c>
      <c r="Q422" s="65">
        <f>B430</f>
        <v/>
      </c>
      <c r="R422" s="69">
        <f>C430</f>
        <v/>
      </c>
      <c r="S422" s="58">
        <f>M430</f>
        <v/>
      </c>
      <c r="T422" s="69">
        <f>N430</f>
        <v/>
      </c>
      <c r="U422" s="65" t="n"/>
      <c r="V422" s="65" t="n"/>
      <c r="W422" s="65" t="n"/>
    </row>
    <row r="423">
      <c r="A423" s="17" t="inlineStr">
        <is>
          <t>M</t>
        </is>
      </c>
      <c r="B423" s="18" t="inlineStr">
        <is>
          <t>200 Breast</t>
        </is>
      </c>
      <c r="C423" s="18" t="n">
        <v>18</v>
      </c>
      <c r="D423" s="18" t="n">
        <v>2</v>
      </c>
      <c r="E423" s="46" t="inlineStr">
        <is>
          <t>2:14.51</t>
        </is>
      </c>
      <c r="F423" s="21">
        <f>IFERROR(__xludf.DUMMYFUNCTION("IF(
  REGEXMATCH(E423, "":""),
  60*VALUE(INDEX(SPLIT(E423, "":""),1,1)) + VALUE(INDEX(SPLIT(E423, "":""),1,2)),
  VALUE(E423)
)"),134.51)</f>
        <v/>
      </c>
      <c r="G423" s="21">
        <f>average(F419-F422,F420-F423,F421-F424)</f>
        <v/>
      </c>
      <c r="H423" s="21" t="n">
        <v>2.716666666666669</v>
      </c>
      <c r="I423" s="211">
        <f>C416</f>
        <v/>
      </c>
      <c r="J423" s="211">
        <f>C433</f>
        <v/>
      </c>
      <c r="K423" s="60">
        <f t="array" ref="K423">INDEX('Podium Target Times'!$C:$C, MATCH(A423&amp;B423, 'Podium Target Times'!$A:$A&amp;'Podium Target Times'!$B:$B, 0))
</f>
        <v/>
      </c>
      <c r="L423" s="24">
        <f>L425+G425</f>
        <v/>
      </c>
      <c r="M423" s="60">
        <f>TEXT(L423/86400, "mm:ss.00")</f>
        <v/>
      </c>
      <c r="N423" s="25">
        <f>IFERROR(__xludf.DUMMYFUNCTION("LET(
  gen,$A423, ev,$B423, t,$M423,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O423" s="65" t="n"/>
      <c r="P423" s="69">
        <f>A432</f>
        <v/>
      </c>
      <c r="Q423" s="65">
        <f>B432</f>
        <v/>
      </c>
      <c r="R423" s="69">
        <f>C432</f>
        <v/>
      </c>
      <c r="S423" s="58">
        <f>M432</f>
        <v/>
      </c>
      <c r="T423" s="69">
        <f>N432</f>
        <v/>
      </c>
      <c r="U423" s="65" t="n"/>
      <c r="V423" s="65" t="n"/>
      <c r="W423" s="65" t="n"/>
    </row>
    <row r="424">
      <c r="A424" s="8" t="inlineStr">
        <is>
          <t>M</t>
        </is>
      </c>
      <c r="B424" s="9" t="inlineStr">
        <is>
          <t>200 Breast</t>
        </is>
      </c>
      <c r="C424" s="9" t="n">
        <v>18</v>
      </c>
      <c r="D424" s="9" t="n">
        <v>3</v>
      </c>
      <c r="E424" s="41" t="inlineStr">
        <is>
          <t>2:15.48</t>
        </is>
      </c>
      <c r="F424" s="35">
        <f>IFERROR(__xludf.DUMMYFUNCTION("IF(
  REGEXMATCH(E424, "":""),
  60*VALUE(INDEX(SPLIT(E424, "":""),1,1)) + VALUE(INDEX(SPLIT(E424, "":""),1,2)),
  VALUE(E424)
)"),135.48)</f>
        <v/>
      </c>
      <c r="G424" s="35">
        <f>average(F419-F422,F420-F423,F421-F424)</f>
        <v/>
      </c>
      <c r="H424" s="35" t="n">
        <v>2.716666666666669</v>
      </c>
      <c r="I424" s="215">
        <f>C416</f>
        <v/>
      </c>
      <c r="J424" s="215">
        <f>C433</f>
        <v/>
      </c>
      <c r="K424" s="43">
        <f t="array" ref="K424">INDEX('Podium Target Times'!$C:$C, MATCH(A424&amp;B424, 'Podium Target Times'!$A:$A&amp;'Podium Target Times'!$B:$B, 0))
</f>
        <v/>
      </c>
      <c r="L424" s="12">
        <f>L425+G425</f>
        <v/>
      </c>
      <c r="M424" s="43">
        <f>TEXT(L424/86400, "mm:ss.00")</f>
        <v/>
      </c>
      <c r="N424" s="14">
        <f>IFERROR(__xludf.DUMMYFUNCTION("LET(
  gen,$A424, ev,$B424, t,$M424,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O424" s="65" t="n"/>
      <c r="P424" s="69">
        <f>A433</f>
        <v/>
      </c>
      <c r="Q424" s="65">
        <f>B433</f>
        <v/>
      </c>
      <c r="R424" s="69">
        <f>C433</f>
        <v/>
      </c>
      <c r="S424" s="58">
        <f>M433</f>
        <v/>
      </c>
      <c r="T424" s="69">
        <f>N433</f>
        <v/>
      </c>
      <c r="U424" s="65" t="n"/>
      <c r="V424" s="65" t="n"/>
      <c r="W424" s="65" t="n"/>
    </row>
    <row r="425">
      <c r="A425" s="17" t="inlineStr">
        <is>
          <t>M</t>
        </is>
      </c>
      <c r="B425" s="18" t="inlineStr">
        <is>
          <t>200 Breast</t>
        </is>
      </c>
      <c r="C425" s="18" t="n">
        <v>19</v>
      </c>
      <c r="D425" s="18" t="n">
        <v>1</v>
      </c>
      <c r="E425" s="46" t="inlineStr">
        <is>
          <t>2:10.32</t>
        </is>
      </c>
      <c r="F425" s="21">
        <f>IFERROR(__xludf.DUMMYFUNCTION("IF(
  REGEXMATCH(E425, "":""),
  60*VALUE(INDEX(SPLIT(E425, "":""),1,1)) + VALUE(INDEX(SPLIT(E425, "":""),1,2)),
  VALUE(E425)
)"),130.32)</f>
        <v/>
      </c>
      <c r="G425" s="21">
        <f>average(F422-F425,F423-F426,F424-F427)</f>
        <v/>
      </c>
      <c r="H425" s="21" t="n">
        <v>1.923333333333327</v>
      </c>
      <c r="I425" s="211">
        <f>C416</f>
        <v/>
      </c>
      <c r="J425" s="211">
        <f>C433</f>
        <v/>
      </c>
      <c r="K425" s="60">
        <f t="array" ref="K425">INDEX('Podium Target Times'!$C:$C, MATCH(A425&amp;B425, 'Podium Target Times'!$A:$A&amp;'Podium Target Times'!$B:$B, 0))
</f>
        <v/>
      </c>
      <c r="L425" s="24">
        <f>L428+G428</f>
        <v/>
      </c>
      <c r="M425" s="60">
        <f>TEXT(L425/86400, "mm:ss.00")</f>
        <v/>
      </c>
      <c r="N425" s="25">
        <f>IFERROR(__xludf.DUMMYFUNCTION("LET(
  gen,$A425, ev,$B425, t,$M425,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
      </c>
      <c r="O425" s="65" t="n"/>
      <c r="P425" s="69" t="n"/>
      <c r="Q425" s="65" t="n"/>
      <c r="R425" s="69" t="n"/>
      <c r="S425" s="58" t="n"/>
      <c r="T425" s="69" t="n"/>
      <c r="U425" s="65" t="n"/>
      <c r="V425" s="65" t="n"/>
      <c r="W425" s="65" t="n"/>
    </row>
    <row r="426">
      <c r="A426" s="8" t="inlineStr">
        <is>
          <t>M</t>
        </is>
      </c>
      <c r="B426" s="9" t="inlineStr">
        <is>
          <t>200 Breast</t>
        </is>
      </c>
      <c r="C426" s="9" t="n">
        <v>19</v>
      </c>
      <c r="D426" s="9" t="n">
        <v>2</v>
      </c>
      <c r="E426" s="41" t="inlineStr">
        <is>
          <t>2:12.58</t>
        </is>
      </c>
      <c r="F426" s="35">
        <f>IFERROR(__xludf.DUMMYFUNCTION("IF(
  REGEXMATCH(E426, "":""),
  60*VALUE(INDEX(SPLIT(E426, "":""),1,1)) + VALUE(INDEX(SPLIT(E426, "":""),1,2)),
  VALUE(E426)
)"),132.58)</f>
        <v/>
      </c>
      <c r="G426" s="35">
        <f>average(F422-F425,F423-F426,F424-F427)</f>
        <v/>
      </c>
      <c r="H426" s="35" t="n">
        <v>1.923333333333327</v>
      </c>
      <c r="I426" s="215">
        <f>C416</f>
        <v/>
      </c>
      <c r="J426" s="215">
        <f>C433</f>
        <v/>
      </c>
      <c r="K426" s="43">
        <f t="array" ref="K426">INDEX('Podium Target Times'!$C:$C, MATCH(A426&amp;B426, 'Podium Target Times'!$A:$A&amp;'Podium Target Times'!$B:$B, 0))
</f>
        <v/>
      </c>
      <c r="L426" s="12">
        <f>L428+G428</f>
        <v/>
      </c>
      <c r="M426" s="43">
        <f>TEXT(L426/86400, "mm:ss.00")</f>
        <v/>
      </c>
      <c r="N426" s="14">
        <f>IFERROR(__xludf.DUMMYFUNCTION("LET(
  gen,$A426, ev,$B426, t,$M426,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
      </c>
      <c r="O426" s="65" t="n"/>
      <c r="P426" s="69" t="n"/>
      <c r="Q426" s="65" t="n"/>
      <c r="R426" s="69" t="n"/>
      <c r="S426" s="58" t="n"/>
      <c r="T426" s="69" t="n"/>
      <c r="U426" s="65" t="n"/>
      <c r="V426" s="65" t="n"/>
      <c r="W426" s="65" t="n"/>
    </row>
    <row r="427">
      <c r="A427" s="17" t="inlineStr">
        <is>
          <t>M</t>
        </is>
      </c>
      <c r="B427" s="18" t="inlineStr">
        <is>
          <t>200 Breast</t>
        </is>
      </c>
      <c r="C427" s="18" t="n">
        <v>19</v>
      </c>
      <c r="D427" s="18" t="n">
        <v>3</v>
      </c>
      <c r="E427" s="46" t="inlineStr">
        <is>
          <t>2:13.54</t>
        </is>
      </c>
      <c r="F427" s="21">
        <f>IFERROR(__xludf.DUMMYFUNCTION("IF(
  REGEXMATCH(E427, "":""),
  60*VALUE(INDEX(SPLIT(E427, "":""),1,1)) + VALUE(INDEX(SPLIT(E427, "":""),1,2)),
  VALUE(E427)
)"),133.54)</f>
        <v/>
      </c>
      <c r="G427" s="21">
        <f>average(F422-F425,F423-F426,F424-F427)</f>
        <v/>
      </c>
      <c r="H427" s="21" t="n">
        <v>1.923333333333327</v>
      </c>
      <c r="I427" s="211">
        <f>C416</f>
        <v/>
      </c>
      <c r="J427" s="211">
        <f>C433</f>
        <v/>
      </c>
      <c r="K427" s="60">
        <f t="array" ref="K427">INDEX('Podium Target Times'!$C:$C, MATCH(A427&amp;B427, 'Podium Target Times'!$A:$A&amp;'Podium Target Times'!$B:$B, 0))
</f>
        <v/>
      </c>
      <c r="L427" s="24">
        <f>L428+G428</f>
        <v/>
      </c>
      <c r="M427" s="60">
        <f>TEXT(L427/86400, "mm:ss.00")</f>
        <v/>
      </c>
      <c r="N427" s="25">
        <f>IFERROR(__xludf.DUMMYFUNCTION("LET(
  gen,$A427, ev,$B427, t,$M427,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
      </c>
      <c r="O427" s="65" t="n"/>
      <c r="P427" s="69" t="n"/>
      <c r="Q427" s="65" t="n"/>
      <c r="R427" s="69" t="n"/>
      <c r="S427" s="58" t="n"/>
      <c r="T427" s="69" t="n"/>
      <c r="U427" s="65" t="n"/>
      <c r="V427" s="65" t="n"/>
      <c r="W427" s="65" t="n"/>
    </row>
    <row r="428">
      <c r="A428" s="8" t="inlineStr">
        <is>
          <t>M</t>
        </is>
      </c>
      <c r="B428" s="9" t="inlineStr">
        <is>
          <t>200 Breast</t>
        </is>
      </c>
      <c r="C428" s="9" t="n">
        <v>20</v>
      </c>
      <c r="D428" s="9" t="n">
        <v>2</v>
      </c>
      <c r="E428" s="41" t="inlineStr">
        <is>
          <t>2:11.26</t>
        </is>
      </c>
      <c r="F428" s="35">
        <f>IFERROR(__xludf.DUMMYFUNCTION("IF(
  REGEXMATCH(E428, "":""),
  60*VALUE(INDEX(SPLIT(E428, "":""),1,1)) + VALUE(INDEX(SPLIT(E428, "":""),1,2)),
  VALUE(E428)
)"),131.26)</f>
        <v/>
      </c>
      <c r="G428" s="35">
        <f>average(F426-F428,F427-F429)</f>
        <v/>
      </c>
      <c r="H428" s="35" t="n">
        <v>1.325000000000003</v>
      </c>
      <c r="I428" s="215">
        <f>C416</f>
        <v/>
      </c>
      <c r="J428" s="215">
        <f>C433</f>
        <v/>
      </c>
      <c r="K428" s="43">
        <f t="array" ref="K428">INDEX('Podium Target Times'!$C:$C, MATCH(A428&amp;B428, 'Podium Target Times'!$A:$A&amp;'Podium Target Times'!$B:$B, 0))
</f>
        <v/>
      </c>
      <c r="L428" s="12">
        <f>L430+G430</f>
        <v/>
      </c>
      <c r="M428" s="43">
        <f>TEXT(L428/86400, "mm:ss.00")</f>
        <v/>
      </c>
      <c r="N428" s="14">
        <f>IFERROR(__xludf.DUMMYFUNCTION("LET(
  gen,$A428, ev,$B428, t,$M428,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O428" s="65" t="n"/>
      <c r="P428" s="69" t="n"/>
      <c r="Q428" s="65" t="n"/>
      <c r="R428" s="69" t="n"/>
      <c r="S428" s="58" t="n"/>
      <c r="T428" s="69" t="n"/>
      <c r="U428" s="65" t="n"/>
      <c r="V428" s="65" t="n"/>
      <c r="W428" s="65" t="n"/>
    </row>
    <row r="429">
      <c r="A429" s="17" t="inlineStr">
        <is>
          <t>M</t>
        </is>
      </c>
      <c r="B429" s="18" t="inlineStr">
        <is>
          <t>200 Breast</t>
        </is>
      </c>
      <c r="C429" s="18" t="n">
        <v>20</v>
      </c>
      <c r="D429" s="18" t="n">
        <v>3</v>
      </c>
      <c r="E429" s="46" t="inlineStr">
        <is>
          <t>2:12.21</t>
        </is>
      </c>
      <c r="F429" s="21">
        <f>IFERROR(__xludf.DUMMYFUNCTION("IF(
  REGEXMATCH(E429, "":""),
  60*VALUE(INDEX(SPLIT(E429, "":""),1,1)) + VALUE(INDEX(SPLIT(E429, "":""),1,2)),
  VALUE(E429)
)"),132.21)</f>
        <v/>
      </c>
      <c r="G429" s="21">
        <f>average(F426-F428,F427-F429)</f>
        <v/>
      </c>
      <c r="H429" s="21" t="n">
        <v>1.325000000000003</v>
      </c>
      <c r="I429" s="211">
        <f>C416</f>
        <v/>
      </c>
      <c r="J429" s="211">
        <f>C433</f>
        <v/>
      </c>
      <c r="K429" s="60">
        <f t="array" ref="K429">INDEX('Podium Target Times'!$C:$C, MATCH(A429&amp;B429, 'Podium Target Times'!$A:$A&amp;'Podium Target Times'!$B:$B, 0))
</f>
        <v/>
      </c>
      <c r="L429" s="24">
        <f>L430+G430</f>
        <v/>
      </c>
      <c r="M429" s="60">
        <f>TEXT(L429/86400, "mm:ss.00")</f>
        <v/>
      </c>
      <c r="N429" s="25">
        <f>IFERROR(__xludf.DUMMYFUNCTION("LET(
  gen,$A429, ev,$B429, t,$M429,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O429" s="65" t="n"/>
      <c r="P429" s="69" t="n"/>
      <c r="Q429" s="65" t="n"/>
      <c r="R429" s="69" t="n"/>
      <c r="S429" s="58" t="n"/>
      <c r="T429" s="69" t="n"/>
      <c r="U429" s="65" t="n"/>
      <c r="V429" s="65" t="n"/>
      <c r="W429" s="65" t="n"/>
    </row>
    <row r="430">
      <c r="A430" s="8" t="inlineStr">
        <is>
          <t>M</t>
        </is>
      </c>
      <c r="B430" s="9" t="inlineStr">
        <is>
          <t>200 Breast</t>
        </is>
      </c>
      <c r="C430" s="9" t="n">
        <v>21</v>
      </c>
      <c r="D430" s="9" t="n">
        <v>2</v>
      </c>
      <c r="E430" s="41" t="inlineStr">
        <is>
          <t>2:10.32</t>
        </is>
      </c>
      <c r="F430" s="35">
        <f>IFERROR(__xludf.DUMMYFUNCTION("IF(
  REGEXMATCH(E430, "":""),
  60*VALUE(INDEX(SPLIT(E430, "":""),1,1)) + VALUE(INDEX(SPLIT(E430, "":""),1,2)),
  VALUE(E430)
)"),130.32)</f>
        <v/>
      </c>
      <c r="G430" s="35">
        <f>average(F428-F430,F429-F431)</f>
        <v/>
      </c>
      <c r="H430" s="35" t="n">
        <v>0.9450000000000074</v>
      </c>
      <c r="I430" s="215">
        <f>C416</f>
        <v/>
      </c>
      <c r="J430" s="215">
        <f>C433</f>
        <v/>
      </c>
      <c r="K430" s="43">
        <f t="array" ref="K430">INDEX('Podium Target Times'!$C:$C, MATCH(A430&amp;B430, 'Podium Target Times'!$A:$A&amp;'Podium Target Times'!$B:$B, 0))
</f>
        <v/>
      </c>
      <c r="L430" s="12">
        <f>L432+G432</f>
        <v/>
      </c>
      <c r="M430" s="43">
        <f>TEXT(L430/86400, "mm:ss.00")</f>
        <v/>
      </c>
      <c r="N430" s="14">
        <f>IFERROR(__xludf.DUMMYFUNCTION("LET(
  gen,$A430, ev,$B430, t,$M430,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
      </c>
      <c r="O430" s="65" t="n"/>
      <c r="P430" s="69" t="n"/>
      <c r="Q430" s="65" t="n"/>
      <c r="R430" s="69" t="n"/>
      <c r="S430" s="58" t="n"/>
      <c r="T430" s="69" t="n"/>
      <c r="U430" s="65" t="n"/>
      <c r="V430" s="65" t="n"/>
      <c r="W430" s="65" t="n"/>
    </row>
    <row r="431">
      <c r="A431" s="17" t="inlineStr">
        <is>
          <t>M</t>
        </is>
      </c>
      <c r="B431" s="18" t="inlineStr">
        <is>
          <t>200 Breast</t>
        </is>
      </c>
      <c r="C431" s="18" t="n">
        <v>21</v>
      </c>
      <c r="D431" s="18" t="n">
        <v>3</v>
      </c>
      <c r="E431" s="46" t="inlineStr">
        <is>
          <t>2:11.26</t>
        </is>
      </c>
      <c r="F431" s="21">
        <f>IFERROR(__xludf.DUMMYFUNCTION("IF(
  REGEXMATCH(E431, "":""),
  60*VALUE(INDEX(SPLIT(E431, "":""),1,1)) + VALUE(INDEX(SPLIT(E431, "":""),1,2)),
  VALUE(E431)
)"),131.26)</f>
        <v/>
      </c>
      <c r="G431" s="21">
        <f>average(F428-F430,F429-F431)</f>
        <v/>
      </c>
      <c r="H431" s="21" t="n">
        <v>0.9450000000000074</v>
      </c>
      <c r="I431" s="211">
        <f>C416</f>
        <v/>
      </c>
      <c r="J431" s="211">
        <f>C433</f>
        <v/>
      </c>
      <c r="K431" s="60">
        <f t="array" ref="K431">INDEX('Podium Target Times'!$C:$C, MATCH(A431&amp;B431, 'Podium Target Times'!$A:$A&amp;'Podium Target Times'!$B:$B, 0))
</f>
        <v/>
      </c>
      <c r="L431" s="24">
        <f>L432+G432</f>
        <v/>
      </c>
      <c r="M431" s="60">
        <f>TEXT(L431/86400, "mm:ss.00")</f>
        <v/>
      </c>
      <c r="N431" s="25">
        <f>IFERROR(__xludf.DUMMYFUNCTION("LET(
  gen,$A431, ev,$B431, t,$M431,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
      </c>
      <c r="O431" s="65" t="n"/>
      <c r="P431" s="69" t="n"/>
      <c r="Q431" s="65" t="n"/>
      <c r="R431" s="69" t="n"/>
      <c r="S431" s="58" t="n"/>
      <c r="T431" s="69" t="n"/>
      <c r="U431" s="65" t="n"/>
      <c r="V431" s="65" t="n"/>
      <c r="W431" s="65" t="n"/>
    </row>
    <row r="432">
      <c r="A432" s="8" t="inlineStr">
        <is>
          <t>M</t>
        </is>
      </c>
      <c r="B432" s="9" t="inlineStr">
        <is>
          <t>200 Breast</t>
        </is>
      </c>
      <c r="C432" s="9" t="n">
        <v>22</v>
      </c>
      <c r="D432" s="9" t="n">
        <v>3</v>
      </c>
      <c r="E432" s="41" t="inlineStr">
        <is>
          <t>2:10.66</t>
        </is>
      </c>
      <c r="F432" s="35">
        <f>IFERROR(__xludf.DUMMYFUNCTION("IF(
  REGEXMATCH(E432, "":""),
  60*VALUE(INDEX(SPLIT(E432, "":""),1,1)) + VALUE(INDEX(SPLIT(E432, "":""),1,2)),
  VALUE(E432)
)"),130.66)</f>
        <v/>
      </c>
      <c r="G432" s="35">
        <f>F431-F432</f>
        <v/>
      </c>
      <c r="H432" s="35" t="n">
        <v>0.5999999999999943</v>
      </c>
      <c r="I432" s="215">
        <f>C416</f>
        <v/>
      </c>
      <c r="J432" s="215">
        <f>C433</f>
        <v/>
      </c>
      <c r="K432" s="43">
        <f t="array" ref="K432">INDEX('Podium Target Times'!$C:$C, MATCH(A432&amp;B432, 'Podium Target Times'!$A:$A&amp;'Podium Target Times'!$B:$B, 0))
</f>
        <v/>
      </c>
      <c r="L432" s="12">
        <f>L433+G433</f>
        <v/>
      </c>
      <c r="M432" s="43">
        <f>TEXT(L432/86400, "mm:ss.00")</f>
        <v/>
      </c>
      <c r="N432" s="14">
        <f>IFERROR(__xludf.DUMMYFUNCTION("LET(
  gen,$A432, ev,$B432, t,$M432,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)"),809.0)</f>
        <v/>
      </c>
      <c r="O432" s="65" t="n"/>
      <c r="P432" s="69" t="n"/>
      <c r="Q432" s="65" t="n"/>
      <c r="R432" s="69" t="n"/>
      <c r="S432" s="58" t="n"/>
      <c r="T432" s="69" t="n"/>
      <c r="U432" s="65" t="n"/>
      <c r="V432" s="65" t="n"/>
      <c r="W432" s="65" t="n"/>
    </row>
    <row r="433">
      <c r="A433" s="17" t="inlineStr">
        <is>
          <t>M</t>
        </is>
      </c>
      <c r="B433" s="18" t="inlineStr">
        <is>
          <t>200 Breast</t>
        </is>
      </c>
      <c r="C433" s="18" t="n">
        <v>23</v>
      </c>
      <c r="D433" s="18" t="n">
        <v>3</v>
      </c>
      <c r="E433" s="46" t="inlineStr">
        <is>
          <t>2:10.32</t>
        </is>
      </c>
      <c r="F433" s="21">
        <f>IFERROR(__xludf.DUMMYFUNCTION("IF(
  REGEXMATCH(E433, "":""),
  60*VALUE(INDEX(SPLIT(E433, "":""),1,1)) + VALUE(INDEX(SPLIT(E433, "":""),1,2)),
  VALUE(E433)
)"),130.32)</f>
        <v/>
      </c>
      <c r="G433" s="21">
        <f>F432-F433</f>
        <v/>
      </c>
      <c r="H433" s="21" t="n">
        <v>0.3400000000000034</v>
      </c>
      <c r="I433" s="211">
        <f>C416</f>
        <v/>
      </c>
      <c r="J433" s="211">
        <f>C433</f>
        <v/>
      </c>
      <c r="K433" s="60">
        <f t="array" ref="K433">INDEX('Podium Target Times'!$C:$C, MATCH(A433&amp;B433, 'Podium Target Times'!$A:$A&amp;'Podium Target Times'!$B:$B, 0))
</f>
        <v/>
      </c>
      <c r="L433" s="211">
        <f>K433</f>
        <v/>
      </c>
      <c r="M433" s="60">
        <f>TEXT(L433/86400, "mm:ss.00")</f>
        <v/>
      </c>
      <c r="N433" s="25">
        <f>IFERROR(__xludf.DUMMYFUNCTION("LET(
  gen,$A433, ev,$B433, t,$M433,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
      </c>
      <c r="O433" s="65" t="n"/>
      <c r="P433" s="69" t="n"/>
      <c r="Q433" s="65" t="n"/>
      <c r="R433" s="69" t="n"/>
      <c r="S433" s="58" t="n"/>
      <c r="T433" s="69" t="n"/>
      <c r="U433" s="65" t="n"/>
      <c r="V433" s="65" t="n"/>
      <c r="W433" s="65" t="n"/>
    </row>
    <row r="434">
      <c r="A434" s="8" t="inlineStr">
        <is>
          <t>M</t>
        </is>
      </c>
      <c r="B434" s="9" t="inlineStr">
        <is>
          <t>200 Fly</t>
        </is>
      </c>
      <c r="C434" s="9" t="n">
        <v>15</v>
      </c>
      <c r="D434" s="9" t="n">
        <v>1</v>
      </c>
      <c r="E434" s="43" t="inlineStr">
        <is>
          <t>2:07.69</t>
        </is>
      </c>
      <c r="F434" s="35">
        <f>IFERROR(__xludf.DUMMYFUNCTION("IF(
  REGEXMATCH(E434, "":""),
  60*VALUE(INDEX(SPLIT(E434, "":""),1,1)) + VALUE(INDEX(SPLIT(E434, "":""),1,2)),
  VALUE(E434)
)"),127.69)</f>
        <v/>
      </c>
      <c r="G434" s="12" t="n">
        <v>0</v>
      </c>
      <c r="H434" s="12" t="n">
        <v>0</v>
      </c>
      <c r="I434" s="43">
        <f>C434</f>
        <v/>
      </c>
      <c r="J434" s="43">
        <f>C451</f>
        <v/>
      </c>
      <c r="K434" s="43">
        <f t="array" ref="K434">INDEX('Podium Target Times'!$C:$C, MATCH(A434&amp;B434, 'Podium Target Times'!$A:$A&amp;'Podium Target Times'!$B:$B, 0))
</f>
        <v/>
      </c>
      <c r="L434" s="12">
        <f>L435+G435</f>
        <v/>
      </c>
      <c r="M434" s="43">
        <f>TEXT(L434/86400, "mm:ss.00")</f>
        <v/>
      </c>
      <c r="N434" s="14">
        <f>IFERROR(__xludf.DUMMYFUNCTION("LET(
  gen,$A434, ev,$B434, t,$M434,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)"),562.0)</f>
        <v/>
      </c>
      <c r="O434" s="65" t="n"/>
      <c r="P434" s="69">
        <f>A434</f>
        <v/>
      </c>
      <c r="Q434" s="65">
        <f>B434</f>
        <v/>
      </c>
      <c r="R434" s="69">
        <f>C434</f>
        <v/>
      </c>
      <c r="S434" s="58">
        <f>M434</f>
        <v/>
      </c>
      <c r="T434" s="69">
        <f>N434</f>
        <v/>
      </c>
      <c r="U434" s="65" t="n"/>
      <c r="V434" s="65" t="n"/>
      <c r="W434" s="65" t="n"/>
    </row>
    <row r="435">
      <c r="A435" s="17" t="inlineStr">
        <is>
          <t>M</t>
        </is>
      </c>
      <c r="B435" s="18" t="inlineStr">
        <is>
          <t>200 Fly</t>
        </is>
      </c>
      <c r="C435" s="18" t="n">
        <v>16</v>
      </c>
      <c r="D435" s="18" t="n">
        <v>1</v>
      </c>
      <c r="E435" s="60" t="inlineStr">
        <is>
          <t>2:03.12</t>
        </is>
      </c>
      <c r="F435" s="21">
        <f>IFERROR(__xludf.DUMMYFUNCTION("IF(
  REGEXMATCH(E435, "":""),
  60*VALUE(INDEX(SPLIT(E435, "":""),1,1)) + VALUE(INDEX(SPLIT(E435, "":""),1,2)),
  VALUE(E435)
)"),123.12)</f>
        <v/>
      </c>
      <c r="G435" s="21">
        <f>F434-F435</f>
        <v/>
      </c>
      <c r="H435" s="21" t="n">
        <v>4.569999999999993</v>
      </c>
      <c r="I435" s="211">
        <f>C434</f>
        <v/>
      </c>
      <c r="J435" s="211">
        <f>C451</f>
        <v/>
      </c>
      <c r="K435" s="60">
        <f t="array" ref="K435">INDEX('Podium Target Times'!$C:$C, MATCH(A435&amp;B435, 'Podium Target Times'!$A:$A&amp;'Podium Target Times'!$B:$B, 0))
</f>
        <v/>
      </c>
      <c r="L435" s="24">
        <f>L437+G437</f>
        <v/>
      </c>
      <c r="M435" s="60">
        <f>TEXT(L435/86400, "mm:ss.00")</f>
        <v/>
      </c>
      <c r="N435" s="25">
        <f>IFERROR(__xludf.DUMMYFUNCTION("LET(
  gen,$A435, ev,$B435, t,$M435,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)"),624.0)</f>
        <v/>
      </c>
      <c r="O435" s="65" t="n"/>
      <c r="P435" s="69">
        <f>A435</f>
        <v/>
      </c>
      <c r="Q435" s="65">
        <f>B435</f>
        <v/>
      </c>
      <c r="R435" s="69">
        <f>C435</f>
        <v/>
      </c>
      <c r="S435" s="58">
        <f>M435</f>
        <v/>
      </c>
      <c r="T435" s="69">
        <f>N435</f>
        <v/>
      </c>
      <c r="U435" s="65" t="n"/>
      <c r="V435" s="65" t="n"/>
      <c r="W435" s="65" t="n"/>
    </row>
    <row r="436">
      <c r="A436" s="8" t="inlineStr">
        <is>
          <t>M</t>
        </is>
      </c>
      <c r="B436" s="9" t="inlineStr">
        <is>
          <t>200 Fly</t>
        </is>
      </c>
      <c r="C436" s="9" t="n">
        <v>16</v>
      </c>
      <c r="D436" s="9" t="n">
        <v>2</v>
      </c>
      <c r="E436" s="41" t="inlineStr">
        <is>
          <t>2:04.65</t>
        </is>
      </c>
      <c r="F436" s="35">
        <f>IFERROR(__xludf.DUMMYFUNCTION("IF(
  REGEXMATCH(E436, "":""),
  60*VALUE(INDEX(SPLIT(E436, "":""),1,1)) + VALUE(INDEX(SPLIT(E436, "":""),1,2)),
  VALUE(E436)
)"),124.65)</f>
        <v/>
      </c>
      <c r="G436" s="35">
        <f>F434-F435</f>
        <v/>
      </c>
      <c r="H436" s="35" t="n">
        <v>4.569999999999993</v>
      </c>
      <c r="I436" s="215">
        <f>C434</f>
        <v/>
      </c>
      <c r="J436" s="215">
        <f>C451</f>
        <v/>
      </c>
      <c r="K436" s="43">
        <f t="array" ref="K436">INDEX('Podium Target Times'!$C:$C, MATCH(A436&amp;B436, 'Podium Target Times'!$A:$A&amp;'Podium Target Times'!$B:$B, 0))
</f>
        <v/>
      </c>
      <c r="L436" s="12">
        <f>L437+G437</f>
        <v/>
      </c>
      <c r="M436" s="43">
        <f>TEXT(L436/86400, "mm:ss.00")</f>
        <v/>
      </c>
      <c r="N436" s="14">
        <f>IFERROR(__xludf.DUMMYFUNCTION("LET(
  gen,$A436, ev,$B436, t,$M436,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)"),624.0)</f>
        <v/>
      </c>
      <c r="O436" s="65" t="n"/>
      <c r="P436" s="69">
        <f>A437</f>
        <v/>
      </c>
      <c r="Q436" s="65">
        <f>B437</f>
        <v/>
      </c>
      <c r="R436" s="69">
        <f>C437</f>
        <v/>
      </c>
      <c r="S436" s="58">
        <f>M437</f>
        <v/>
      </c>
      <c r="T436" s="69">
        <f>N437</f>
        <v/>
      </c>
      <c r="U436" s="65" t="n"/>
      <c r="V436" s="65" t="n"/>
      <c r="W436" s="65" t="n"/>
    </row>
    <row r="437">
      <c r="A437" s="17" t="inlineStr">
        <is>
          <t>M</t>
        </is>
      </c>
      <c r="B437" s="18" t="inlineStr">
        <is>
          <t>200 Fly</t>
        </is>
      </c>
      <c r="C437" s="18" t="n">
        <v>17</v>
      </c>
      <c r="D437" s="18" t="n">
        <v>1</v>
      </c>
      <c r="E437" s="46" t="inlineStr">
        <is>
          <t>1:59.88</t>
        </is>
      </c>
      <c r="F437" s="21">
        <f>IFERROR(__xludf.DUMMYFUNCTION("IF(
  REGEXMATCH(E437, "":""),
  60*VALUE(INDEX(SPLIT(E437, "":""),1,1)) + VALUE(INDEX(SPLIT(E437, "":""),1,2)),
  VALUE(E437)
)"),119.88)</f>
        <v/>
      </c>
      <c r="G437" s="21">
        <f>average(F435-F437,F436-F438)</f>
        <v/>
      </c>
      <c r="H437" s="21" t="n">
        <v>3.260000000000005</v>
      </c>
      <c r="I437" s="211">
        <f>C434</f>
        <v/>
      </c>
      <c r="J437" s="211">
        <f>C451</f>
        <v/>
      </c>
      <c r="K437" s="60">
        <f t="array" ref="K437">INDEX('Podium Target Times'!$C:$C, MATCH(A437&amp;B437, 'Podium Target Times'!$A:$A&amp;'Podium Target Times'!$B:$B, 0))
</f>
        <v/>
      </c>
      <c r="L437" s="24">
        <f>L440+G440</f>
        <v/>
      </c>
      <c r="M437" s="60">
        <f>TEXT(L437/86400, "mm:ss.00")</f>
        <v/>
      </c>
      <c r="N437" s="25">
        <f>IFERROR(__xludf.DUMMYFUNCTION("LET(
  gen,$A437, ev,$B437, t,$M437,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
      </c>
      <c r="O437" s="65" t="n"/>
      <c r="P437" s="69">
        <f>A440</f>
        <v/>
      </c>
      <c r="Q437" s="65">
        <f>B440</f>
        <v/>
      </c>
      <c r="R437" s="69">
        <f>C440</f>
        <v/>
      </c>
      <c r="S437" s="58">
        <f>M440</f>
        <v/>
      </c>
      <c r="T437" s="69">
        <f>N440</f>
        <v/>
      </c>
      <c r="U437" s="65" t="n"/>
      <c r="V437" s="65" t="n"/>
      <c r="W437" s="65" t="n"/>
    </row>
    <row r="438">
      <c r="A438" s="8" t="inlineStr">
        <is>
          <t>M</t>
        </is>
      </c>
      <c r="B438" s="9" t="inlineStr">
        <is>
          <t>200 Fly</t>
        </is>
      </c>
      <c r="C438" s="9" t="n">
        <v>17</v>
      </c>
      <c r="D438" s="9" t="n">
        <v>2</v>
      </c>
      <c r="E438" s="41" t="inlineStr">
        <is>
          <t>2:01.37</t>
        </is>
      </c>
      <c r="F438" s="35">
        <f>IFERROR(__xludf.DUMMYFUNCTION("IF(
  REGEXMATCH(E438, "":""),
  60*VALUE(INDEX(SPLIT(E438, "":""),1,1)) + VALUE(INDEX(SPLIT(E438, "":""),1,2)),
  VALUE(E438)
)"),121.37)</f>
        <v/>
      </c>
      <c r="G438" s="35">
        <f>average(F435-F437,F436-F438)</f>
        <v/>
      </c>
      <c r="H438" s="35" t="n">
        <v>3.260000000000005</v>
      </c>
      <c r="I438" s="215">
        <f>C434</f>
        <v/>
      </c>
      <c r="J438" s="215">
        <f>C451</f>
        <v/>
      </c>
      <c r="K438" s="43">
        <f t="array" ref="K438">INDEX('Podium Target Times'!$C:$C, MATCH(A438&amp;B438, 'Podium Target Times'!$A:$A&amp;'Podium Target Times'!$B:$B, 0))
</f>
        <v/>
      </c>
      <c r="L438" s="12">
        <f>L440+G440</f>
        <v/>
      </c>
      <c r="M438" s="43">
        <f>TEXT(L438/86400, "mm:ss.00")</f>
        <v/>
      </c>
      <c r="N438" s="14">
        <f>IFERROR(__xludf.DUMMYFUNCTION("LET(
  gen,$A438, ev,$B438, t,$M438,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
      </c>
      <c r="O438" s="65" t="n"/>
      <c r="P438" s="69">
        <f>A443</f>
        <v/>
      </c>
      <c r="Q438" s="65">
        <f>B443</f>
        <v/>
      </c>
      <c r="R438" s="69">
        <f>C443</f>
        <v/>
      </c>
      <c r="S438" s="58">
        <f>M443</f>
        <v/>
      </c>
      <c r="T438" s="69">
        <f>N443</f>
        <v/>
      </c>
      <c r="U438" s="65" t="n"/>
      <c r="V438" s="65" t="n"/>
      <c r="W438" s="65" t="n"/>
    </row>
    <row r="439">
      <c r="A439" s="17" t="inlineStr">
        <is>
          <t>M</t>
        </is>
      </c>
      <c r="B439" s="18" t="inlineStr">
        <is>
          <t>200 Fly</t>
        </is>
      </c>
      <c r="C439" s="18" t="n">
        <v>17</v>
      </c>
      <c r="D439" s="18" t="n">
        <v>3</v>
      </c>
      <c r="E439" s="46" t="inlineStr">
        <is>
          <t>2:01.77</t>
        </is>
      </c>
      <c r="F439" s="21">
        <f>IFERROR(__xludf.DUMMYFUNCTION("IF(
  REGEXMATCH(E439, "":""),
  60*VALUE(INDEX(SPLIT(E439, "":""),1,1)) + VALUE(INDEX(SPLIT(E439, "":""),1,2)),
  VALUE(E439)
)"),121.77)</f>
        <v/>
      </c>
      <c r="G439" s="21">
        <f>average(F435-F437,F436-F438)</f>
        <v/>
      </c>
      <c r="H439" s="21" t="n">
        <v>3.260000000000005</v>
      </c>
      <c r="I439" s="211">
        <f>C434</f>
        <v/>
      </c>
      <c r="J439" s="211">
        <f>C451</f>
        <v/>
      </c>
      <c r="K439" s="60">
        <f t="array" ref="K439">INDEX('Podium Target Times'!$C:$C, MATCH(A439&amp;B439, 'Podium Target Times'!$A:$A&amp;'Podium Target Times'!$B:$B, 0))
</f>
        <v/>
      </c>
      <c r="L439" s="24">
        <f>L440+G440</f>
        <v/>
      </c>
      <c r="M439" s="60">
        <f>TEXT(L439/86400, "mm:ss.00")</f>
        <v/>
      </c>
      <c r="N439" s="25">
        <f>IFERROR(__xludf.DUMMYFUNCTION("LET(
  gen,$A439, ev,$B439, t,$M439,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
      </c>
      <c r="O439" s="65" t="n"/>
      <c r="P439" s="69">
        <f>A446</f>
        <v/>
      </c>
      <c r="Q439" s="65">
        <f>B446</f>
        <v/>
      </c>
      <c r="R439" s="69">
        <f>C446</f>
        <v/>
      </c>
      <c r="S439" s="58">
        <f>M446</f>
        <v/>
      </c>
      <c r="T439" s="69">
        <f>N446</f>
        <v/>
      </c>
      <c r="U439" s="65" t="n"/>
      <c r="V439" s="65" t="n"/>
      <c r="W439" s="65" t="n"/>
    </row>
    <row r="440">
      <c r="A440" s="8" t="inlineStr">
        <is>
          <t>M</t>
        </is>
      </c>
      <c r="B440" s="9" t="inlineStr">
        <is>
          <t>200 Fly</t>
        </is>
      </c>
      <c r="C440" s="9" t="n">
        <v>18</v>
      </c>
      <c r="D440" s="9" t="n">
        <v>1</v>
      </c>
      <c r="E440" s="41" t="inlineStr">
        <is>
          <t>1:57.84</t>
        </is>
      </c>
      <c r="F440" s="35">
        <f>IFERROR(__xludf.DUMMYFUNCTION("IF(
  REGEXMATCH(E440, "":""),
  60*VALUE(INDEX(SPLIT(E440, "":""),1,1)) + VALUE(INDEX(SPLIT(E440, "":""),1,2)),
  VALUE(E440)
)"),117.84)</f>
        <v/>
      </c>
      <c r="G440" s="35">
        <f>average(F437-F440,F438-F441,F439-F442)</f>
        <v/>
      </c>
      <c r="H440" s="35" t="n">
        <v>2.059999999999997</v>
      </c>
      <c r="I440" s="215">
        <f>C434</f>
        <v/>
      </c>
      <c r="J440" s="215">
        <f>C451</f>
        <v/>
      </c>
      <c r="K440" s="43">
        <f t="array" ref="K440">INDEX('Podium Target Times'!$C:$C, MATCH(A440&amp;B440, 'Podium Target Times'!$A:$A&amp;'Podium Target Times'!$B:$B, 0))
</f>
        <v/>
      </c>
      <c r="L440" s="12">
        <f>L443+G443</f>
        <v/>
      </c>
      <c r="M440" s="43">
        <f>TEXT(L440/86400, "mm:ss.00")</f>
        <v/>
      </c>
      <c r="N440" s="14">
        <f>IFERROR(__xludf.DUMMYFUNCTION("LET(
  gen,$A440, ev,$B440, t,$M440,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440" s="65" t="n"/>
      <c r="P440" s="69">
        <f>A448</f>
        <v/>
      </c>
      <c r="Q440" s="65">
        <f>B448</f>
        <v/>
      </c>
      <c r="R440" s="69">
        <f>C448</f>
        <v/>
      </c>
      <c r="S440" s="58">
        <f>M448</f>
        <v/>
      </c>
      <c r="T440" s="69">
        <f>N448</f>
        <v/>
      </c>
      <c r="U440" s="65" t="n"/>
      <c r="V440" s="65" t="n"/>
      <c r="W440" s="65" t="n"/>
    </row>
    <row r="441">
      <c r="A441" s="17" t="inlineStr">
        <is>
          <t>M</t>
        </is>
      </c>
      <c r="B441" s="18" t="inlineStr">
        <is>
          <t>200 Fly</t>
        </is>
      </c>
      <c r="C441" s="18" t="n">
        <v>18</v>
      </c>
      <c r="D441" s="18" t="n">
        <v>2</v>
      </c>
      <c r="E441" s="46" t="inlineStr">
        <is>
          <t>1:59.30</t>
        </is>
      </c>
      <c r="F441" s="21">
        <f>IFERROR(__xludf.DUMMYFUNCTION("IF(
  REGEXMATCH(E441, "":""),
  60*VALUE(INDEX(SPLIT(E441, "":""),1,1)) + VALUE(INDEX(SPLIT(E441, "":""),1,2)),
  VALUE(E441)
)"),119.3)</f>
        <v/>
      </c>
      <c r="G441" s="21">
        <f>average(F437-F440,F438-F441,F439-F442)</f>
        <v/>
      </c>
      <c r="H441" s="21" t="n">
        <v>2.059999999999997</v>
      </c>
      <c r="I441" s="211">
        <f>C434</f>
        <v/>
      </c>
      <c r="J441" s="211">
        <f>C451</f>
        <v/>
      </c>
      <c r="K441" s="60">
        <f t="array" ref="K441">INDEX('Podium Target Times'!$C:$C, MATCH(A441&amp;B441, 'Podium Target Times'!$A:$A&amp;'Podium Target Times'!$B:$B, 0))
</f>
        <v/>
      </c>
      <c r="L441" s="24">
        <f>L443+G443</f>
        <v/>
      </c>
      <c r="M441" s="60">
        <f>TEXT(L441/86400, "mm:ss.00")</f>
        <v/>
      </c>
      <c r="N441" s="25">
        <f>IFERROR(__xludf.DUMMYFUNCTION("LET(
  gen,$A441, ev,$B441, t,$M441,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441" s="65" t="n"/>
      <c r="P441" s="69">
        <f>A450</f>
        <v/>
      </c>
      <c r="Q441" s="65">
        <f>B450</f>
        <v/>
      </c>
      <c r="R441" s="69">
        <f>C450</f>
        <v/>
      </c>
      <c r="S441" s="58">
        <f>M450</f>
        <v/>
      </c>
      <c r="T441" s="69">
        <f>N450</f>
        <v/>
      </c>
      <c r="U441" s="65" t="n"/>
      <c r="V441" s="65" t="n"/>
      <c r="W441" s="65" t="n"/>
    </row>
    <row r="442">
      <c r="A442" s="8" t="inlineStr">
        <is>
          <t>M</t>
        </is>
      </c>
      <c r="B442" s="9" t="inlineStr">
        <is>
          <t>200 Fly</t>
        </is>
      </c>
      <c r="C442" s="9" t="n">
        <v>18</v>
      </c>
      <c r="D442" s="9" t="n">
        <v>3</v>
      </c>
      <c r="E442" s="41" t="inlineStr">
        <is>
          <t>1:59.70</t>
        </is>
      </c>
      <c r="F442" s="35">
        <f>IFERROR(__xludf.DUMMYFUNCTION("IF(
  REGEXMATCH(E442, "":""),
  60*VALUE(INDEX(SPLIT(E442, "":""),1,1)) + VALUE(INDEX(SPLIT(E442, "":""),1,2)),
  VALUE(E442)
)"),119.7)</f>
        <v/>
      </c>
      <c r="G442" s="35">
        <f>average(F437-F440,F438-F441,F439-F442)</f>
        <v/>
      </c>
      <c r="H442" s="35" t="n">
        <v>2.059999999999997</v>
      </c>
      <c r="I442" s="215">
        <f>C434</f>
        <v/>
      </c>
      <c r="J442" s="215">
        <f>C451</f>
        <v/>
      </c>
      <c r="K442" s="43">
        <f t="array" ref="K442">INDEX('Podium Target Times'!$C:$C, MATCH(A442&amp;B442, 'Podium Target Times'!$A:$A&amp;'Podium Target Times'!$B:$B, 0))
</f>
        <v/>
      </c>
      <c r="L442" s="12">
        <f>L443+G443</f>
        <v/>
      </c>
      <c r="M442" s="43">
        <f>TEXT(L442/86400, "mm:ss.00")</f>
        <v/>
      </c>
      <c r="N442" s="14">
        <f>IFERROR(__xludf.DUMMYFUNCTION("LET(
  gen,$A442, ev,$B442, t,$M442,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442" s="65" t="n"/>
      <c r="P442" s="69">
        <f>A451</f>
        <v/>
      </c>
      <c r="Q442" s="65">
        <f>B451</f>
        <v/>
      </c>
      <c r="R442" s="69">
        <f>C451</f>
        <v/>
      </c>
      <c r="S442" s="58">
        <f>M451</f>
        <v/>
      </c>
      <c r="T442" s="69">
        <f>N451</f>
        <v/>
      </c>
      <c r="U442" s="65" t="n"/>
      <c r="V442" s="65" t="n"/>
      <c r="W442" s="65" t="n"/>
    </row>
    <row r="443">
      <c r="A443" s="17" t="inlineStr">
        <is>
          <t>M</t>
        </is>
      </c>
      <c r="B443" s="18" t="inlineStr">
        <is>
          <t>200 Fly</t>
        </is>
      </c>
      <c r="C443" s="18" t="n">
        <v>19</v>
      </c>
      <c r="D443" s="18" t="n">
        <v>1</v>
      </c>
      <c r="E443" s="46" t="inlineStr">
        <is>
          <t>1:56.51</t>
        </is>
      </c>
      <c r="F443" s="21">
        <f>IFERROR(__xludf.DUMMYFUNCTION("IF(
  REGEXMATCH(E443, "":""),
  60*VALUE(INDEX(SPLIT(E443, "":""),1,1)) + VALUE(INDEX(SPLIT(E443, "":""),1,2)),
  VALUE(E443)
)"),116.50999999999999)</f>
        <v/>
      </c>
      <c r="G443" s="21">
        <f>average(F440-F443,F441-F444,F442-F445)</f>
        <v/>
      </c>
      <c r="H443" s="21" t="n">
        <v>1.343333333333338</v>
      </c>
      <c r="I443" s="211">
        <f>C434</f>
        <v/>
      </c>
      <c r="J443" s="211">
        <f>C451</f>
        <v/>
      </c>
      <c r="K443" s="60">
        <f t="array" ref="K443">INDEX('Podium Target Times'!$C:$C, MATCH(A443&amp;B443, 'Podium Target Times'!$A:$A&amp;'Podium Target Times'!$B:$B, 0))
</f>
        <v/>
      </c>
      <c r="L443" s="24">
        <f>L446+G446</f>
        <v/>
      </c>
      <c r="M443" s="60">
        <f>TEXT(L443/86400, "mm:ss.00")</f>
        <v/>
      </c>
      <c r="N443" s="25">
        <f>IFERROR(__xludf.DUMMYFUNCTION("LET(
  gen,$A443, ev,$B443, t,$M443,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
      </c>
      <c r="O443" s="65" t="n"/>
      <c r="P443" s="69" t="n"/>
      <c r="Q443" s="65" t="n"/>
      <c r="R443" s="69" t="n"/>
      <c r="S443" s="58" t="n"/>
      <c r="T443" s="69" t="n"/>
      <c r="U443" s="65" t="n"/>
      <c r="V443" s="65" t="n"/>
      <c r="W443" s="65" t="n"/>
    </row>
    <row r="444">
      <c r="A444" s="8" t="inlineStr">
        <is>
          <t>M</t>
        </is>
      </c>
      <c r="B444" s="9" t="inlineStr">
        <is>
          <t>200 Fly</t>
        </is>
      </c>
      <c r="C444" s="9" t="n">
        <v>19</v>
      </c>
      <c r="D444" s="9" t="n">
        <v>2</v>
      </c>
      <c r="E444" s="41" t="inlineStr">
        <is>
          <t>1:57.95</t>
        </is>
      </c>
      <c r="F444" s="35">
        <f>IFERROR(__xludf.DUMMYFUNCTION("IF(
  REGEXMATCH(E444, "":""),
  60*VALUE(INDEX(SPLIT(E444, "":""),1,1)) + VALUE(INDEX(SPLIT(E444, "":""),1,2)),
  VALUE(E444)
)"),117.95)</f>
        <v/>
      </c>
      <c r="G444" s="35">
        <f>average(F440-F443,F441-F444,F442-F445)</f>
        <v/>
      </c>
      <c r="H444" s="35" t="n">
        <v>1.343333333333338</v>
      </c>
      <c r="I444" s="215">
        <f>C434</f>
        <v/>
      </c>
      <c r="J444" s="215">
        <f>C451</f>
        <v/>
      </c>
      <c r="K444" s="43">
        <f t="array" ref="K444">INDEX('Podium Target Times'!$C:$C, MATCH(A444&amp;B444, 'Podium Target Times'!$A:$A&amp;'Podium Target Times'!$B:$B, 0))
</f>
        <v/>
      </c>
      <c r="L444" s="12">
        <f>L446+G446</f>
        <v/>
      </c>
      <c r="M444" s="43">
        <f>TEXT(L444/86400, "mm:ss.00")</f>
        <v/>
      </c>
      <c r="N444" s="14">
        <f>IFERROR(__xludf.DUMMYFUNCTION("LET(
  gen,$A444, ev,$B444, t,$M444,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
      </c>
      <c r="O444" s="65" t="n"/>
      <c r="P444" s="69" t="n"/>
      <c r="Q444" s="65" t="n"/>
      <c r="R444" s="69" t="n"/>
      <c r="S444" s="58" t="n"/>
      <c r="T444" s="69" t="n"/>
      <c r="U444" s="65" t="n"/>
      <c r="V444" s="65" t="n"/>
      <c r="W444" s="65" t="n"/>
    </row>
    <row r="445">
      <c r="A445" s="17" t="inlineStr">
        <is>
          <t>M</t>
        </is>
      </c>
      <c r="B445" s="18" t="inlineStr">
        <is>
          <t>200 Fly</t>
        </is>
      </c>
      <c r="C445" s="18" t="n">
        <v>19</v>
      </c>
      <c r="D445" s="18" t="n">
        <v>3</v>
      </c>
      <c r="E445" s="46" t="inlineStr">
        <is>
          <t>1:58.35</t>
        </is>
      </c>
      <c r="F445" s="21">
        <f>IFERROR(__xludf.DUMMYFUNCTION("IF(
  REGEXMATCH(E445, "":""),
  60*VALUE(INDEX(SPLIT(E445, "":""),1,1)) + VALUE(INDEX(SPLIT(E445, "":""),1,2)),
  VALUE(E445)
)"),118.35)</f>
        <v/>
      </c>
      <c r="G445" s="21">
        <f>average(F440-F443,F441-F444,F442-F445)</f>
        <v/>
      </c>
      <c r="H445" s="21" t="n">
        <v>1.343333333333338</v>
      </c>
      <c r="I445" s="211">
        <f>C434</f>
        <v/>
      </c>
      <c r="J445" s="211">
        <f>C451</f>
        <v/>
      </c>
      <c r="K445" s="60">
        <f t="array" ref="K445">INDEX('Podium Target Times'!$C:$C, MATCH(A445&amp;B445, 'Podium Target Times'!$A:$A&amp;'Podium Target Times'!$B:$B, 0))
</f>
        <v/>
      </c>
      <c r="L445" s="24">
        <f>L446+G446</f>
        <v/>
      </c>
      <c r="M445" s="60">
        <f>TEXT(L445/86400, "mm:ss.00")</f>
        <v/>
      </c>
      <c r="N445" s="25">
        <f>IFERROR(__xludf.DUMMYFUNCTION("LET(
  gen,$A445, ev,$B445, t,$M445,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
      </c>
      <c r="O445" s="65" t="n"/>
      <c r="P445" s="69" t="n"/>
      <c r="Q445" s="65" t="n"/>
      <c r="R445" s="69" t="n"/>
      <c r="S445" s="58" t="n"/>
      <c r="T445" s="69" t="n"/>
      <c r="U445" s="65" t="n"/>
      <c r="V445" s="65" t="n"/>
      <c r="W445" s="65" t="n"/>
    </row>
    <row r="446">
      <c r="A446" s="8" t="inlineStr">
        <is>
          <t>M</t>
        </is>
      </c>
      <c r="B446" s="9" t="inlineStr">
        <is>
          <t>200 Fly</t>
        </is>
      </c>
      <c r="C446" s="9" t="n">
        <v>20</v>
      </c>
      <c r="D446" s="9" t="n">
        <v>2</v>
      </c>
      <c r="E446" s="41" t="inlineStr">
        <is>
          <t>1:57.06</t>
        </is>
      </c>
      <c r="F446" s="35">
        <f>IFERROR(__xludf.DUMMYFUNCTION("IF(
  REGEXMATCH(E446, "":""),
  60*VALUE(INDEX(SPLIT(E446, "":""),1,1)) + VALUE(INDEX(SPLIT(E446, "":""),1,2)),
  VALUE(E446)
)"),117.06)</f>
        <v/>
      </c>
      <c r="G446" s="35">
        <f>average(F444-F446,F445-F447)</f>
        <v/>
      </c>
      <c r="H446" s="35" t="n">
        <v>0.894999999999996</v>
      </c>
      <c r="I446" s="215">
        <f>C434</f>
        <v/>
      </c>
      <c r="J446" s="215">
        <f>C451</f>
        <v/>
      </c>
      <c r="K446" s="43">
        <f t="array" ref="K446">INDEX('Podium Target Times'!$C:$C, MATCH(A446&amp;B446, 'Podium Target Times'!$A:$A&amp;'Podium Target Times'!$B:$B, 0))
</f>
        <v/>
      </c>
      <c r="L446" s="12">
        <f>L448+G448</f>
        <v/>
      </c>
      <c r="M446" s="43">
        <f>TEXT(L446/86400, "mm:ss.00")</f>
        <v/>
      </c>
      <c r="N446" s="14">
        <f>IFERROR(__xludf.DUMMYFUNCTION("LET(
  gen,$A446, ev,$B446, t,$M446,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O446" s="65" t="n"/>
      <c r="P446" s="69" t="n"/>
      <c r="Q446" s="65" t="n"/>
      <c r="R446" s="69" t="n"/>
      <c r="S446" s="58" t="n"/>
      <c r="T446" s="69" t="n"/>
      <c r="U446" s="65" t="n"/>
      <c r="V446" s="65" t="n"/>
      <c r="W446" s="65" t="n"/>
    </row>
    <row r="447">
      <c r="A447" s="17" t="inlineStr">
        <is>
          <t>M</t>
        </is>
      </c>
      <c r="B447" s="18" t="inlineStr">
        <is>
          <t>200 Fly</t>
        </is>
      </c>
      <c r="C447" s="18" t="n">
        <v>20</v>
      </c>
      <c r="D447" s="18" t="n">
        <v>3</v>
      </c>
      <c r="E447" s="46" t="inlineStr">
        <is>
          <t>1:57.45</t>
        </is>
      </c>
      <c r="F447" s="21">
        <f>IFERROR(__xludf.DUMMYFUNCTION("IF(
  REGEXMATCH(E447, "":""),
  60*VALUE(INDEX(SPLIT(E447, "":""),1,1)) + VALUE(INDEX(SPLIT(E447, "":""),1,2)),
  VALUE(E447)
)"),117.45)</f>
        <v/>
      </c>
      <c r="G447" s="21">
        <f>average(F444-F446,F445-F447)</f>
        <v/>
      </c>
      <c r="H447" s="21" t="n">
        <v>0.894999999999996</v>
      </c>
      <c r="I447" s="211">
        <f>C434</f>
        <v/>
      </c>
      <c r="J447" s="211">
        <f>C451</f>
        <v/>
      </c>
      <c r="K447" s="60">
        <f t="array" ref="K447">INDEX('Podium Target Times'!$C:$C, MATCH(A447&amp;B447, 'Podium Target Times'!$A:$A&amp;'Podium Target Times'!$B:$B, 0))
</f>
        <v/>
      </c>
      <c r="L447" s="24">
        <f>L448+G448</f>
        <v/>
      </c>
      <c r="M447" s="60">
        <f>TEXT(L447/86400, "mm:ss.00")</f>
        <v/>
      </c>
      <c r="N447" s="25">
        <f>IFERROR(__xludf.DUMMYFUNCTION("LET(
  gen,$A447, ev,$B447, t,$M447,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O447" s="65" t="n"/>
      <c r="P447" s="69" t="n"/>
      <c r="Q447" s="65" t="n"/>
      <c r="R447" s="69" t="n"/>
      <c r="S447" s="58" t="n"/>
      <c r="T447" s="69" t="n"/>
      <c r="U447" s="65" t="n"/>
      <c r="V447" s="65" t="n"/>
      <c r="W447" s="65" t="n"/>
    </row>
    <row r="448">
      <c r="A448" s="8" t="inlineStr">
        <is>
          <t>M</t>
        </is>
      </c>
      <c r="B448" s="9" t="inlineStr">
        <is>
          <t>200 Fly</t>
        </is>
      </c>
      <c r="C448" s="9" t="n">
        <v>21</v>
      </c>
      <c r="D448" s="9" t="n">
        <v>2</v>
      </c>
      <c r="E448" s="41" t="inlineStr">
        <is>
          <t>1:56.51</t>
        </is>
      </c>
      <c r="F448" s="35">
        <f>IFERROR(__xludf.DUMMYFUNCTION("IF(
  REGEXMATCH(E448, "":""),
  60*VALUE(INDEX(SPLIT(E448, "":""),1,1)) + VALUE(INDEX(SPLIT(E448, "":""),1,2)),
  VALUE(E448)
)"),116.50999999999999)</f>
        <v/>
      </c>
      <c r="G448" s="35">
        <f>average(F446-F448,F447-F449)</f>
        <v/>
      </c>
      <c r="H448" s="35" t="n">
        <v>0.5500000000000043</v>
      </c>
      <c r="I448" s="215">
        <f>C434</f>
        <v/>
      </c>
      <c r="J448" s="215">
        <f>C451</f>
        <v/>
      </c>
      <c r="K448" s="43">
        <f t="array" ref="K448">INDEX('Podium Target Times'!$C:$C, MATCH(A448&amp;B448, 'Podium Target Times'!$A:$A&amp;'Podium Target Times'!$B:$B, 0))
</f>
        <v/>
      </c>
      <c r="L448" s="12">
        <f>L450+G450</f>
        <v/>
      </c>
      <c r="M448" s="43">
        <f>TEXT(L448/86400, "mm:ss.00")</f>
        <v/>
      </c>
      <c r="N448" s="14">
        <f>IFERROR(__xludf.DUMMYFUNCTION("LET(
  gen,$A448, ev,$B448, t,$M448,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
      </c>
      <c r="O448" s="65" t="n"/>
      <c r="P448" s="69" t="n"/>
      <c r="Q448" s="65" t="n"/>
      <c r="R448" s="69" t="n"/>
      <c r="S448" s="58" t="n"/>
      <c r="T448" s="69" t="n"/>
      <c r="U448" s="65" t="n"/>
      <c r="V448" s="65" t="n"/>
      <c r="W448" s="65" t="n"/>
    </row>
    <row r="449">
      <c r="A449" s="17" t="inlineStr">
        <is>
          <t>M</t>
        </is>
      </c>
      <c r="B449" s="18" t="inlineStr">
        <is>
          <t>200 Fly</t>
        </is>
      </c>
      <c r="C449" s="18" t="n">
        <v>21</v>
      </c>
      <c r="D449" s="18" t="n">
        <v>3</v>
      </c>
      <c r="E449" s="46" t="inlineStr">
        <is>
          <t>1:56.90</t>
        </is>
      </c>
      <c r="F449" s="21">
        <f>IFERROR(__xludf.DUMMYFUNCTION("IF(
  REGEXMATCH(E449, "":""),
  60*VALUE(INDEX(SPLIT(E449, "":""),1,1)) + VALUE(INDEX(SPLIT(E449, "":""),1,2)),
  VALUE(E449)
)"),116.9)</f>
        <v/>
      </c>
      <c r="G449" s="21">
        <f>average(F446-F448,F447-F449)</f>
        <v/>
      </c>
      <c r="H449" s="21" t="n">
        <v>0.5500000000000043</v>
      </c>
      <c r="I449" s="211">
        <f>C434</f>
        <v/>
      </c>
      <c r="J449" s="211">
        <f>C451</f>
        <v/>
      </c>
      <c r="K449" s="60">
        <f t="array" ref="K449">INDEX('Podium Target Times'!$C:$C, MATCH(A449&amp;B449, 'Podium Target Times'!$A:$A&amp;'Podium Target Times'!$B:$B, 0))
</f>
        <v/>
      </c>
      <c r="L449" s="24">
        <f>L450+G450</f>
        <v/>
      </c>
      <c r="M449" s="60">
        <f>TEXT(L449/86400, "mm:ss.00")</f>
        <v/>
      </c>
      <c r="N449" s="25">
        <f>IFERROR(__xludf.DUMMYFUNCTION("LET(
  gen,$A449, ev,$B449, t,$M449,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
      </c>
      <c r="O449" s="65" t="n"/>
      <c r="P449" s="69" t="n"/>
      <c r="Q449" s="65" t="n"/>
      <c r="R449" s="69" t="n"/>
      <c r="S449" s="58" t="n"/>
      <c r="T449" s="69" t="n"/>
      <c r="U449" s="65" t="n"/>
      <c r="V449" s="65" t="n"/>
      <c r="W449" s="65" t="n"/>
    </row>
    <row r="450">
      <c r="A450" s="8" t="inlineStr">
        <is>
          <t>M</t>
        </is>
      </c>
      <c r="B450" s="9" t="inlineStr">
        <is>
          <t>200 Fly</t>
        </is>
      </c>
      <c r="C450" s="9" t="n">
        <v>22</v>
      </c>
      <c r="D450" s="9" t="n">
        <v>3</v>
      </c>
      <c r="E450" s="41" t="inlineStr">
        <is>
          <t>1:56.60</t>
        </is>
      </c>
      <c r="F450" s="35">
        <f>IFERROR(__xludf.DUMMYFUNCTION("IF(
  REGEXMATCH(E450, "":""),
  60*VALUE(INDEX(SPLIT(E450, "":""),1,1)) + VALUE(INDEX(SPLIT(E450, "":""),1,2)),
  VALUE(E450)
)"),116.6)</f>
        <v/>
      </c>
      <c r="G450" s="35">
        <f>F449-F450</f>
        <v/>
      </c>
      <c r="H450" s="35" t="n">
        <v>0.3000000000000114</v>
      </c>
      <c r="I450" s="215">
        <f>C434</f>
        <v/>
      </c>
      <c r="J450" s="215">
        <f>C451</f>
        <v/>
      </c>
      <c r="K450" s="43">
        <f t="array" ref="K450">INDEX('Podium Target Times'!$C:$C, MATCH(A450&amp;B450, 'Podium Target Times'!$A:$A&amp;'Podium Target Times'!$B:$B, 0))
</f>
        <v/>
      </c>
      <c r="L450" s="12">
        <f>L451+G451</f>
        <v/>
      </c>
      <c r="M450" s="43">
        <f>TEXT(L450/86400, "mm:ss.00")</f>
        <v/>
      </c>
      <c r="N450" s="14">
        <f>IFERROR(__xludf.DUMMYFUNCTION("LET(
  gen,$A450, ev,$B450, t,$M450,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
      </c>
      <c r="O450" s="65" t="n"/>
      <c r="P450" s="69" t="n"/>
      <c r="Q450" s="65" t="n"/>
      <c r="R450" s="69" t="n"/>
      <c r="S450" s="58" t="n"/>
      <c r="T450" s="69" t="n"/>
      <c r="U450" s="65" t="n"/>
      <c r="V450" s="65" t="n"/>
      <c r="W450" s="65" t="n"/>
    </row>
    <row r="451">
      <c r="A451" s="17" t="inlineStr">
        <is>
          <t>M</t>
        </is>
      </c>
      <c r="B451" s="18" t="inlineStr">
        <is>
          <t>200 Fly</t>
        </is>
      </c>
      <c r="C451" s="18" t="n">
        <v>23</v>
      </c>
      <c r="D451" s="18" t="n">
        <v>3</v>
      </c>
      <c r="E451" s="46" t="inlineStr">
        <is>
          <t>1:56.51</t>
        </is>
      </c>
      <c r="F451" s="21">
        <f>IFERROR(__xludf.DUMMYFUNCTION("IF(
  REGEXMATCH(E451, "":""),
  60*VALUE(INDEX(SPLIT(E451, "":""),1,1)) + VALUE(INDEX(SPLIT(E451, "":""),1,2)),
  VALUE(E451)
)"),116.50999999999999)</f>
        <v/>
      </c>
      <c r="G451" s="21">
        <f>F450-F451</f>
        <v/>
      </c>
      <c r="H451" s="21" t="n">
        <v>0.09000000000000341</v>
      </c>
      <c r="I451" s="211">
        <f>C434</f>
        <v/>
      </c>
      <c r="J451" s="211">
        <f>C451</f>
        <v/>
      </c>
      <c r="K451" s="60">
        <f t="array" ref="K451">INDEX('Podium Target Times'!$C:$C, MATCH(A451&amp;B451, 'Podium Target Times'!$A:$A&amp;'Podium Target Times'!$B:$B, 0))
</f>
        <v/>
      </c>
      <c r="L451" s="211">
        <f>K451</f>
        <v/>
      </c>
      <c r="M451" s="60">
        <f>TEXT(L451/86400, "mm:ss.00")</f>
        <v/>
      </c>
      <c r="N451" s="25">
        <f>IFERROR(__xludf.DUMMYFUNCTION("LET(
  gen,$A451, ev,$B451, t,$M451,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O451" s="65" t="n"/>
      <c r="P451" s="69" t="n"/>
      <c r="Q451" s="65" t="n"/>
      <c r="R451" s="69" t="n"/>
      <c r="S451" s="58" t="n"/>
      <c r="T451" s="69" t="n"/>
      <c r="U451" s="65" t="n"/>
      <c r="V451" s="65" t="n"/>
      <c r="W451" s="65" t="n"/>
    </row>
    <row r="452">
      <c r="A452" s="8" t="inlineStr">
        <is>
          <t>M</t>
        </is>
      </c>
      <c r="B452" s="9" t="inlineStr">
        <is>
          <t>200 Free</t>
        </is>
      </c>
      <c r="C452" s="9" t="n">
        <v>15</v>
      </c>
      <c r="D452" s="9" t="n">
        <v>1</v>
      </c>
      <c r="E452" s="41" t="inlineStr">
        <is>
          <t>1:56.62</t>
        </is>
      </c>
      <c r="F452" s="35">
        <f>IFERROR(__xludf.DUMMYFUNCTION("IF(
  REGEXMATCH(E452, "":""),
  60*VALUE(INDEX(SPLIT(E452, "":""),1,1)) + VALUE(INDEX(SPLIT(E452, "":""),1,2)),
  VALUE(E452)
)"),116.62)</f>
        <v/>
      </c>
      <c r="G452" s="12" t="n">
        <v>0</v>
      </c>
      <c r="H452" s="12" t="n">
        <v>0</v>
      </c>
      <c r="I452" s="43">
        <f>C452</f>
        <v/>
      </c>
      <c r="J452" s="43">
        <f>C469</f>
        <v/>
      </c>
      <c r="K452" s="43">
        <f t="array" ref="K452">INDEX('Podium Target Times'!$C:$C, MATCH(A452&amp;B452, 'Podium Target Times'!$A:$A&amp;'Podium Target Times'!$B:$B, 0))
</f>
        <v/>
      </c>
      <c r="L452" s="12">
        <f>L453+G453</f>
        <v/>
      </c>
      <c r="M452" s="43">
        <f>TEXT(L452/86400, "mm:ss.00")</f>
        <v/>
      </c>
      <c r="N452" s="14">
        <f>IFERROR(__xludf.DUMMYFUNCTION("LET(
  gen,$A452, ev,$B452, t,$M452,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)"),594.0)</f>
        <v/>
      </c>
      <c r="O452" s="65" t="n"/>
      <c r="P452" s="69">
        <f>A452</f>
        <v/>
      </c>
      <c r="Q452" s="65">
        <f>B452</f>
        <v/>
      </c>
      <c r="R452" s="69">
        <f>C452</f>
        <v/>
      </c>
      <c r="S452" s="58">
        <f>M452</f>
        <v/>
      </c>
      <c r="T452" s="69">
        <f>N452</f>
        <v/>
      </c>
      <c r="U452" s="65" t="n"/>
      <c r="V452" s="65" t="n"/>
      <c r="W452" s="65" t="n"/>
    </row>
    <row r="453">
      <c r="A453" s="17" t="inlineStr">
        <is>
          <t>M</t>
        </is>
      </c>
      <c r="B453" s="18" t="inlineStr">
        <is>
          <t>200 Free</t>
        </is>
      </c>
      <c r="C453" s="18" t="n">
        <v>16</v>
      </c>
      <c r="D453" s="18" t="n">
        <v>1</v>
      </c>
      <c r="E453" s="46" t="inlineStr">
        <is>
          <t>1:52.75</t>
        </is>
      </c>
      <c r="F453" s="21">
        <f>IFERROR(__xludf.DUMMYFUNCTION("IF(
  REGEXMATCH(E453, "":""),
  60*VALUE(INDEX(SPLIT(E453, "":""),1,1)) + VALUE(INDEX(SPLIT(E453, "":""),1,2)),
  VALUE(E453)
)"),112.75)</f>
        <v/>
      </c>
      <c r="G453" s="21">
        <f>F452-F453</f>
        <v/>
      </c>
      <c r="H453" s="21" t="n">
        <v>3.870000000000005</v>
      </c>
      <c r="I453" s="211">
        <f>C452</f>
        <v/>
      </c>
      <c r="J453" s="211">
        <f>C469</f>
        <v/>
      </c>
      <c r="K453" s="60">
        <f t="array" ref="K453">INDEX('Podium Target Times'!$C:$C, MATCH(A453&amp;B453, 'Podium Target Times'!$A:$A&amp;'Podium Target Times'!$B:$B, 0))
</f>
        <v/>
      </c>
      <c r="L453" s="24">
        <f>L455+G455</f>
        <v/>
      </c>
      <c r="M453" s="60">
        <f>TEXT(L453/86400, "mm:ss.00")</f>
        <v/>
      </c>
      <c r="N453" s="25">
        <f>IFERROR(__xludf.DUMMYFUNCTION("LET(
  gen,$A453, ev,$B453, t,$M453,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
      </c>
      <c r="O453" s="65" t="n"/>
      <c r="P453" s="69">
        <f>A453</f>
        <v/>
      </c>
      <c r="Q453" s="65">
        <f>B453</f>
        <v/>
      </c>
      <c r="R453" s="69">
        <f>C453</f>
        <v/>
      </c>
      <c r="S453" s="58">
        <f>M453</f>
        <v/>
      </c>
      <c r="T453" s="69">
        <f>N453</f>
        <v/>
      </c>
      <c r="U453" s="65" t="n"/>
      <c r="V453" s="65" t="n"/>
      <c r="W453" s="65" t="n"/>
    </row>
    <row r="454">
      <c r="A454" s="8" t="inlineStr">
        <is>
          <t>M</t>
        </is>
      </c>
      <c r="B454" s="9" t="inlineStr">
        <is>
          <t>200 Free</t>
        </is>
      </c>
      <c r="C454" s="9" t="n">
        <v>16</v>
      </c>
      <c r="D454" s="9" t="n">
        <v>2</v>
      </c>
      <c r="E454" s="41" t="inlineStr">
        <is>
          <t>1:54.33</t>
        </is>
      </c>
      <c r="F454" s="35">
        <f>IFERROR(__xludf.DUMMYFUNCTION("IF(
  REGEXMATCH(E454, "":""),
  60*VALUE(INDEX(SPLIT(E454, "":""),1,1)) + VALUE(INDEX(SPLIT(E454, "":""),1,2)),
  VALUE(E454)
)"),114.33)</f>
        <v/>
      </c>
      <c r="G454" s="35">
        <f>F452-F453</f>
        <v/>
      </c>
      <c r="H454" s="35" t="n">
        <v>3.870000000000005</v>
      </c>
      <c r="I454" s="215">
        <f>C452</f>
        <v/>
      </c>
      <c r="J454" s="215">
        <f>C469</f>
        <v/>
      </c>
      <c r="K454" s="43">
        <f t="array" ref="K454">INDEX('Podium Target Times'!$C:$C, MATCH(A454&amp;B454, 'Podium Target Times'!$A:$A&amp;'Podium Target Times'!$B:$B, 0))
</f>
        <v/>
      </c>
      <c r="L454" s="12">
        <f>L455+G455</f>
        <v/>
      </c>
      <c r="M454" s="43">
        <f>TEXT(L454/86400, "mm:ss.00")</f>
        <v/>
      </c>
      <c r="N454" s="14">
        <f>IFERROR(__xludf.DUMMYFUNCTION("LET(
  gen,$A454, ev,$B454, t,$M454,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
      </c>
      <c r="O454" s="65" t="n"/>
      <c r="P454" s="69">
        <f>A455</f>
        <v/>
      </c>
      <c r="Q454" s="65">
        <f>B455</f>
        <v/>
      </c>
      <c r="R454" s="69">
        <f>C455</f>
        <v/>
      </c>
      <c r="S454" s="58">
        <f>M455</f>
        <v/>
      </c>
      <c r="T454" s="69">
        <f>N455</f>
        <v/>
      </c>
      <c r="U454" s="65" t="n"/>
      <c r="V454" s="65" t="n"/>
      <c r="W454" s="65" t="n"/>
    </row>
    <row r="455">
      <c r="A455" s="17" t="inlineStr">
        <is>
          <t>M</t>
        </is>
      </c>
      <c r="B455" s="18" t="inlineStr">
        <is>
          <t>200 Free</t>
        </is>
      </c>
      <c r="C455" s="18" t="n">
        <v>17</v>
      </c>
      <c r="D455" s="18" t="n">
        <v>1</v>
      </c>
      <c r="E455" s="46" t="inlineStr">
        <is>
          <t>1:49.93</t>
        </is>
      </c>
      <c r="F455" s="21">
        <f>IFERROR(__xludf.DUMMYFUNCTION("IF(
  REGEXMATCH(E455, "":""),
  60*VALUE(INDEX(SPLIT(E455, "":""),1,1)) + VALUE(INDEX(SPLIT(E455, "":""),1,2)),
  VALUE(E455)
)"),109.93)</f>
        <v/>
      </c>
      <c r="G455" s="21">
        <f>average(F453-F455,F454-F456)</f>
        <v/>
      </c>
      <c r="H455" s="21" t="n">
        <v>2.839999999999996</v>
      </c>
      <c r="I455" s="211">
        <f>C452</f>
        <v/>
      </c>
      <c r="J455" s="211">
        <f>C469</f>
        <v/>
      </c>
      <c r="K455" s="60">
        <f t="array" ref="K455">INDEX('Podium Target Times'!$C:$C, MATCH(A455&amp;B455, 'Podium Target Times'!$A:$A&amp;'Podium Target Times'!$B:$B, 0))
</f>
        <v/>
      </c>
      <c r="L455" s="24">
        <f>L458+G458</f>
        <v/>
      </c>
      <c r="M455" s="60">
        <f>TEXT(L455/86400, "mm:ss.00")</f>
        <v/>
      </c>
      <c r="N455" s="25">
        <f>IFERROR(__xludf.DUMMYFUNCTION("LET(
  gen,$A455, ev,$B455, t,$M455,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
      </c>
      <c r="O455" s="65" t="n"/>
      <c r="P455" s="69">
        <f>A458</f>
        <v/>
      </c>
      <c r="Q455" s="65">
        <f>B458</f>
        <v/>
      </c>
      <c r="R455" s="69">
        <f>C458</f>
        <v/>
      </c>
      <c r="S455" s="58">
        <f>M458</f>
        <v/>
      </c>
      <c r="T455" s="69">
        <f>N458</f>
        <v/>
      </c>
      <c r="U455" s="65" t="n"/>
      <c r="V455" s="65" t="n"/>
      <c r="W455" s="65" t="n"/>
    </row>
    <row r="456">
      <c r="A456" s="8" t="inlineStr">
        <is>
          <t>M</t>
        </is>
      </c>
      <c r="B456" s="9" t="inlineStr">
        <is>
          <t>200 Free</t>
        </is>
      </c>
      <c r="C456" s="9" t="n">
        <v>17</v>
      </c>
      <c r="D456" s="9" t="n">
        <v>2</v>
      </c>
      <c r="E456" s="41" t="inlineStr">
        <is>
          <t>1:51.47</t>
        </is>
      </c>
      <c r="F456" s="35">
        <f>IFERROR(__xludf.DUMMYFUNCTION("IF(
  REGEXMATCH(E456, "":""),
  60*VALUE(INDEX(SPLIT(E456, "":""),1,1)) + VALUE(INDEX(SPLIT(E456, "":""),1,2)),
  VALUE(E456)
)"),111.47)</f>
        <v/>
      </c>
      <c r="G456" s="35">
        <f>average(F453-F455,F454-F456)</f>
        <v/>
      </c>
      <c r="H456" s="35" t="n">
        <v>2.839999999999996</v>
      </c>
      <c r="I456" s="215">
        <f>C452</f>
        <v/>
      </c>
      <c r="J456" s="215">
        <f>C469</f>
        <v/>
      </c>
      <c r="K456" s="43">
        <f t="array" ref="K456">INDEX('Podium Target Times'!$C:$C, MATCH(A456&amp;B456, 'Podium Target Times'!$A:$A&amp;'Podium Target Times'!$B:$B, 0))
</f>
        <v/>
      </c>
      <c r="L456" s="12">
        <f>L458+G458</f>
        <v/>
      </c>
      <c r="M456" s="43">
        <f>TEXT(L456/86400, "mm:ss.00")</f>
        <v/>
      </c>
      <c r="N456" s="14">
        <f>IFERROR(__xludf.DUMMYFUNCTION("LET(
  gen,$A456, ev,$B456, t,$M456,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
      </c>
      <c r="O456" s="65" t="n"/>
      <c r="P456" s="69">
        <f>A461</f>
        <v/>
      </c>
      <c r="Q456" s="65">
        <f>B461</f>
        <v/>
      </c>
      <c r="R456" s="69">
        <f>C461</f>
        <v/>
      </c>
      <c r="S456" s="58">
        <f>M461</f>
        <v/>
      </c>
      <c r="T456" s="69">
        <f>N461</f>
        <v/>
      </c>
      <c r="U456" s="65" t="n"/>
      <c r="V456" s="65" t="n"/>
      <c r="W456" s="65" t="n"/>
    </row>
    <row r="457">
      <c r="A457" s="17" t="inlineStr">
        <is>
          <t>M</t>
        </is>
      </c>
      <c r="B457" s="18" t="inlineStr">
        <is>
          <t>200 Free</t>
        </is>
      </c>
      <c r="C457" s="18" t="n">
        <v>17</v>
      </c>
      <c r="D457" s="18" t="n">
        <v>3</v>
      </c>
      <c r="E457" s="46" t="inlineStr">
        <is>
          <t>1:52.04</t>
        </is>
      </c>
      <c r="F457" s="21">
        <f>IFERROR(__xludf.DUMMYFUNCTION("IF(
  REGEXMATCH(E457, "":""),
  60*VALUE(INDEX(SPLIT(E457, "":""),1,1)) + VALUE(INDEX(SPLIT(E457, "":""),1,2)),
  VALUE(E457)
)"),112.03999999999999)</f>
        <v/>
      </c>
      <c r="G457" s="21">
        <f>average(F453-F455,F454-F456)</f>
        <v/>
      </c>
      <c r="H457" s="21" t="n">
        <v>2.839999999999996</v>
      </c>
      <c r="I457" s="211">
        <f>C452</f>
        <v/>
      </c>
      <c r="J457" s="211">
        <f>C469</f>
        <v/>
      </c>
      <c r="K457" s="60">
        <f t="array" ref="K457">INDEX('Podium Target Times'!$C:$C, MATCH(A457&amp;B457, 'Podium Target Times'!$A:$A&amp;'Podium Target Times'!$B:$B, 0))
</f>
        <v/>
      </c>
      <c r="L457" s="24">
        <f>L458+G458</f>
        <v/>
      </c>
      <c r="M457" s="60">
        <f>TEXT(L457/86400, "mm:ss.00")</f>
        <v/>
      </c>
      <c r="N457" s="25">
        <f>IFERROR(__xludf.DUMMYFUNCTION("LET(
  gen,$A457, ev,$B457, t,$M457,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
      </c>
      <c r="O457" s="65" t="n"/>
      <c r="P457" s="69">
        <f>A464</f>
        <v/>
      </c>
      <c r="Q457" s="65">
        <f>B464</f>
        <v/>
      </c>
      <c r="R457" s="69">
        <f>C464</f>
        <v/>
      </c>
      <c r="S457" s="58">
        <f>M464</f>
        <v/>
      </c>
      <c r="T457" s="69">
        <f>N464</f>
        <v/>
      </c>
      <c r="U457" s="65" t="n"/>
      <c r="V457" s="65" t="n"/>
      <c r="W457" s="65" t="n"/>
    </row>
    <row r="458">
      <c r="A458" s="8" t="inlineStr">
        <is>
          <t>M</t>
        </is>
      </c>
      <c r="B458" s="9" t="inlineStr">
        <is>
          <t>200 Free</t>
        </is>
      </c>
      <c r="C458" s="9" t="n">
        <v>18</v>
      </c>
      <c r="D458" s="9" t="n">
        <v>1</v>
      </c>
      <c r="E458" s="41" t="inlineStr">
        <is>
          <t>1:48.02</t>
        </is>
      </c>
      <c r="F458" s="35">
        <f>IFERROR(__xludf.DUMMYFUNCTION("IF(
  REGEXMATCH(E458, "":""),
  60*VALUE(INDEX(SPLIT(E458, "":""),1,1)) + VALUE(INDEX(SPLIT(E458, "":""),1,2)),
  VALUE(E458)
)"),108.02000000000001)</f>
        <v/>
      </c>
      <c r="G458" s="35">
        <f>average(F455-F458,F456-F459,F457-F460)</f>
        <v/>
      </c>
      <c r="H458" s="35" t="n">
        <v>1.933333333333328</v>
      </c>
      <c r="I458" s="215">
        <f>C452</f>
        <v/>
      </c>
      <c r="J458" s="215">
        <f>C469</f>
        <v/>
      </c>
      <c r="K458" s="43">
        <f t="array" ref="K458">INDEX('Podium Target Times'!$C:$C, MATCH(A458&amp;B458, 'Podium Target Times'!$A:$A&amp;'Podium Target Times'!$B:$B, 0))
</f>
        <v/>
      </c>
      <c r="L458" s="12">
        <f>L461+G461</f>
        <v/>
      </c>
      <c r="M458" s="43">
        <f>TEXT(L458/86400, "mm:ss.00")</f>
        <v/>
      </c>
      <c r="N458" s="14">
        <f>IFERROR(__xludf.DUMMYFUNCTION("LET(
  gen,$A458, ev,$B458, t,$M458,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458" s="65" t="n"/>
      <c r="P458" s="69">
        <f>A466</f>
        <v/>
      </c>
      <c r="Q458" s="65">
        <f>B466</f>
        <v/>
      </c>
      <c r="R458" s="69">
        <f>C466</f>
        <v/>
      </c>
      <c r="S458" s="58">
        <f>M466</f>
        <v/>
      </c>
      <c r="T458" s="69">
        <f>N466</f>
        <v/>
      </c>
      <c r="U458" s="65" t="n"/>
      <c r="V458" s="65" t="n"/>
      <c r="W458" s="65" t="n"/>
    </row>
    <row r="459">
      <c r="A459" s="17" t="inlineStr">
        <is>
          <t>M</t>
        </is>
      </c>
      <c r="B459" s="18" t="inlineStr">
        <is>
          <t>200 Free</t>
        </is>
      </c>
      <c r="C459" s="18" t="n">
        <v>18</v>
      </c>
      <c r="D459" s="18" t="n">
        <v>2</v>
      </c>
      <c r="E459" s="46" t="inlineStr">
        <is>
          <t>1:49.53</t>
        </is>
      </c>
      <c r="F459" s="21">
        <f>IFERROR(__xludf.DUMMYFUNCTION("IF(
  REGEXMATCH(E459, "":""),
  60*VALUE(INDEX(SPLIT(E459, "":""),1,1)) + VALUE(INDEX(SPLIT(E459, "":""),1,2)),
  VALUE(E459)
)"),109.53)</f>
        <v/>
      </c>
      <c r="G459" s="21">
        <f>average(F455-F458,F456-F459,F457-F460)</f>
        <v/>
      </c>
      <c r="H459" s="21" t="n">
        <v>1.933333333333328</v>
      </c>
      <c r="I459" s="211">
        <f>C452</f>
        <v/>
      </c>
      <c r="J459" s="211">
        <f>C469</f>
        <v/>
      </c>
      <c r="K459" s="60">
        <f t="array" ref="K459">INDEX('Podium Target Times'!$C:$C, MATCH(A459&amp;B459, 'Podium Target Times'!$A:$A&amp;'Podium Target Times'!$B:$B, 0))
</f>
        <v/>
      </c>
      <c r="L459" s="24">
        <f>L461+G461</f>
        <v/>
      </c>
      <c r="M459" s="60">
        <f>TEXT(L459/86400, "mm:ss.00")</f>
        <v/>
      </c>
      <c r="N459" s="25">
        <f>IFERROR(__xludf.DUMMYFUNCTION("LET(
  gen,$A459, ev,$B459, t,$M459,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459" s="65" t="n"/>
      <c r="P459" s="69">
        <f>A468</f>
        <v/>
      </c>
      <c r="Q459" s="65">
        <f>B468</f>
        <v/>
      </c>
      <c r="R459" s="69">
        <f>C468</f>
        <v/>
      </c>
      <c r="S459" s="58">
        <f>M468</f>
        <v/>
      </c>
      <c r="T459" s="69">
        <f>N468</f>
        <v/>
      </c>
      <c r="U459" s="65" t="n"/>
      <c r="V459" s="65" t="n"/>
      <c r="W459" s="65" t="n"/>
    </row>
    <row r="460">
      <c r="A460" s="8" t="inlineStr">
        <is>
          <t>M</t>
        </is>
      </c>
      <c r="B460" s="9" t="inlineStr">
        <is>
          <t>200 Free</t>
        </is>
      </c>
      <c r="C460" s="9" t="n">
        <v>18</v>
      </c>
      <c r="D460" s="9" t="n">
        <v>3</v>
      </c>
      <c r="E460" s="41" t="inlineStr">
        <is>
          <t>1:50.09</t>
        </is>
      </c>
      <c r="F460" s="35">
        <f>IFERROR(__xludf.DUMMYFUNCTION("IF(
  REGEXMATCH(E460, "":""),
  60*VALUE(INDEX(SPLIT(E460, "":""),1,1)) + VALUE(INDEX(SPLIT(E460, "":""),1,2)),
  VALUE(E460)
)"),110.09)</f>
        <v/>
      </c>
      <c r="G460" s="35">
        <f>average(F455-F458,F456-F459,F457-F460)</f>
        <v/>
      </c>
      <c r="H460" s="35" t="n">
        <v>1.933333333333328</v>
      </c>
      <c r="I460" s="215">
        <f>C452</f>
        <v/>
      </c>
      <c r="J460" s="215">
        <f>C469</f>
        <v/>
      </c>
      <c r="K460" s="43">
        <f t="array" ref="K460">INDEX('Podium Target Times'!$C:$C, MATCH(A460&amp;B460, 'Podium Target Times'!$A:$A&amp;'Podium Target Times'!$B:$B, 0))
</f>
        <v/>
      </c>
      <c r="L460" s="12">
        <f>L461+G461</f>
        <v/>
      </c>
      <c r="M460" s="43">
        <f>TEXT(L460/86400, "mm:ss.00")</f>
        <v/>
      </c>
      <c r="N460" s="14">
        <f>IFERROR(__xludf.DUMMYFUNCTION("LET(
  gen,$A460, ev,$B460, t,$M460,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460" s="65" t="n"/>
      <c r="P460" s="69">
        <f>A469</f>
        <v/>
      </c>
      <c r="Q460" s="65">
        <f>B469</f>
        <v/>
      </c>
      <c r="R460" s="69">
        <f>C469</f>
        <v/>
      </c>
      <c r="S460" s="58">
        <f>M469</f>
        <v/>
      </c>
      <c r="T460" s="69">
        <f>N469</f>
        <v/>
      </c>
      <c r="U460" s="65" t="n"/>
      <c r="V460" s="65" t="n"/>
      <c r="W460" s="65" t="n"/>
    </row>
    <row r="461">
      <c r="A461" s="17" t="inlineStr">
        <is>
          <t>M</t>
        </is>
      </c>
      <c r="B461" s="18" t="inlineStr">
        <is>
          <t>200 Free</t>
        </is>
      </c>
      <c r="C461" s="18" t="n">
        <v>19</v>
      </c>
      <c r="D461" s="18" t="n">
        <v>1</v>
      </c>
      <c r="E461" s="46" t="inlineStr">
        <is>
          <t>1:46.70</t>
        </is>
      </c>
      <c r="F461" s="21">
        <f>IFERROR(__xludf.DUMMYFUNCTION("IF(
  REGEXMATCH(E461, "":""),
  60*VALUE(INDEX(SPLIT(E461, "":""),1,1)) + VALUE(INDEX(SPLIT(E461, "":""),1,2)),
  VALUE(E461)
)"),106.7)</f>
        <v/>
      </c>
      <c r="G461" s="21">
        <f>average(F458-F461,F459-F462,F460-F463)</f>
        <v/>
      </c>
      <c r="H461" s="21" t="n">
        <v>1.330000000000003</v>
      </c>
      <c r="I461" s="211">
        <f>C452</f>
        <v/>
      </c>
      <c r="J461" s="211">
        <f>C469</f>
        <v/>
      </c>
      <c r="K461" s="60">
        <f t="array" ref="K461">INDEX('Podium Target Times'!$C:$C, MATCH(A461&amp;B461, 'Podium Target Times'!$A:$A&amp;'Podium Target Times'!$B:$B, 0))
</f>
        <v/>
      </c>
      <c r="L461" s="24">
        <f>L464+G464</f>
        <v/>
      </c>
      <c r="M461" s="60">
        <f>TEXT(L461/86400, "mm:ss.00")</f>
        <v/>
      </c>
      <c r="N461" s="25">
        <f>IFERROR(__xludf.DUMMYFUNCTION("LET(
  gen,$A461, ev,$B461, t,$M461,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
      </c>
      <c r="O461" s="65" t="n"/>
      <c r="P461" s="69" t="n"/>
      <c r="Q461" s="65" t="n"/>
      <c r="R461" s="69" t="n"/>
      <c r="S461" s="58" t="n"/>
      <c r="T461" s="69" t="n"/>
      <c r="U461" s="65" t="n"/>
      <c r="V461" s="65" t="n"/>
      <c r="W461" s="65" t="n"/>
    </row>
    <row r="462">
      <c r="A462" s="8" t="inlineStr">
        <is>
          <t>M</t>
        </is>
      </c>
      <c r="B462" s="9" t="inlineStr">
        <is>
          <t>200 Free</t>
        </is>
      </c>
      <c r="C462" s="9" t="n">
        <v>19</v>
      </c>
      <c r="D462" s="9" t="n">
        <v>2</v>
      </c>
      <c r="E462" s="41" t="inlineStr">
        <is>
          <t>1:48.20</t>
        </is>
      </c>
      <c r="F462" s="35">
        <f>IFERROR(__xludf.DUMMYFUNCTION("IF(
  REGEXMATCH(E462, "":""),
  60*VALUE(INDEX(SPLIT(E462, "":""),1,1)) + VALUE(INDEX(SPLIT(E462, "":""),1,2)),
  VALUE(E462)
)"),108.2)</f>
        <v/>
      </c>
      <c r="G462" s="35">
        <f>average(F458-F461,F459-F462,F460-F463)</f>
        <v/>
      </c>
      <c r="H462" s="35" t="n">
        <v>1.330000000000003</v>
      </c>
      <c r="I462" s="215">
        <f>C452</f>
        <v/>
      </c>
      <c r="J462" s="215">
        <f>C469</f>
        <v/>
      </c>
      <c r="K462" s="43">
        <f t="array" ref="K462">INDEX('Podium Target Times'!$C:$C, MATCH(A462&amp;B462, 'Podium Target Times'!$A:$A&amp;'Podium Target Times'!$B:$B, 0))
</f>
        <v/>
      </c>
      <c r="L462" s="12">
        <f>L464+G464</f>
        <v/>
      </c>
      <c r="M462" s="43">
        <f>TEXT(L462/86400, "mm:ss.00")</f>
        <v/>
      </c>
      <c r="N462" s="14">
        <f>IFERROR(__xludf.DUMMYFUNCTION("LET(
  gen,$A462, ev,$B462, t,$M462,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
      </c>
      <c r="O462" s="65" t="n"/>
      <c r="P462" s="69" t="n"/>
      <c r="Q462" s="65" t="n"/>
      <c r="R462" s="69" t="n"/>
      <c r="S462" s="58" t="n"/>
      <c r="T462" s="69" t="n"/>
      <c r="U462" s="65" t="n"/>
      <c r="V462" s="65" t="n"/>
      <c r="W462" s="65" t="n"/>
    </row>
    <row r="463">
      <c r="A463" s="17" t="inlineStr">
        <is>
          <t>M</t>
        </is>
      </c>
      <c r="B463" s="18" t="inlineStr">
        <is>
          <t>200 Free</t>
        </is>
      </c>
      <c r="C463" s="18" t="n">
        <v>19</v>
      </c>
      <c r="D463" s="18" t="n">
        <v>3</v>
      </c>
      <c r="E463" s="46" t="inlineStr">
        <is>
          <t>1:48.75</t>
        </is>
      </c>
      <c r="F463" s="21">
        <f>IFERROR(__xludf.DUMMYFUNCTION("IF(
  REGEXMATCH(E463, "":""),
  60*VALUE(INDEX(SPLIT(E463, "":""),1,1)) + VALUE(INDEX(SPLIT(E463, "":""),1,2)),
  VALUE(E463)
)"),108.75)</f>
        <v/>
      </c>
      <c r="G463" s="21">
        <f>average(F458-F461,F459-F462,F460-F463)</f>
        <v/>
      </c>
      <c r="H463" s="21" t="n">
        <v>1.330000000000003</v>
      </c>
      <c r="I463" s="211">
        <f>C452</f>
        <v/>
      </c>
      <c r="J463" s="211">
        <f>C469</f>
        <v/>
      </c>
      <c r="K463" s="60">
        <f t="array" ref="K463">INDEX('Podium Target Times'!$C:$C, MATCH(A463&amp;B463, 'Podium Target Times'!$A:$A&amp;'Podium Target Times'!$B:$B, 0))
</f>
        <v/>
      </c>
      <c r="L463" s="24">
        <f>L464+G464</f>
        <v/>
      </c>
      <c r="M463" s="60">
        <f>TEXT(L463/86400, "mm:ss.00")</f>
        <v/>
      </c>
      <c r="N463" s="25">
        <f>IFERROR(__xludf.DUMMYFUNCTION("LET(
  gen,$A463, ev,$B463, t,$M463,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)"),768.0)</f>
        <v/>
      </c>
      <c r="O463" s="65" t="n"/>
      <c r="P463" s="69" t="n"/>
      <c r="Q463" s="65" t="n"/>
      <c r="R463" s="69" t="n"/>
      <c r="S463" s="58" t="n"/>
      <c r="T463" s="69" t="n"/>
      <c r="U463" s="65" t="n"/>
      <c r="V463" s="65" t="n"/>
      <c r="W463" s="65" t="n"/>
    </row>
    <row r="464">
      <c r="A464" s="8" t="inlineStr">
        <is>
          <t>M</t>
        </is>
      </c>
      <c r="B464" s="9" t="inlineStr">
        <is>
          <t>200 Free</t>
        </is>
      </c>
      <c r="C464" s="9" t="n">
        <v>20</v>
      </c>
      <c r="D464" s="9" t="n">
        <v>2</v>
      </c>
      <c r="E464" s="41" t="inlineStr">
        <is>
          <t>1:47.30</t>
        </is>
      </c>
      <c r="F464" s="35">
        <f>IFERROR(__xludf.DUMMYFUNCTION("IF(
  REGEXMATCH(E464, "":""),
  60*VALUE(INDEX(SPLIT(E464, "":""),1,1)) + VALUE(INDEX(SPLIT(E464, "":""),1,2)),
  VALUE(E464)
)"),107.3)</f>
        <v/>
      </c>
      <c r="G464" s="35">
        <f>average(F462-F464,F463-F465)</f>
        <v/>
      </c>
      <c r="H464" s="35" t="n">
        <v>0.9050000000000011</v>
      </c>
      <c r="I464" s="215">
        <f>C452</f>
        <v/>
      </c>
      <c r="J464" s="215">
        <f>C469</f>
        <v/>
      </c>
      <c r="K464" s="43">
        <f t="array" ref="K464">INDEX('Podium Target Times'!$C:$C, MATCH(A464&amp;B464, 'Podium Target Times'!$A:$A&amp;'Podium Target Times'!$B:$B, 0))
</f>
        <v/>
      </c>
      <c r="L464" s="12">
        <f>L466+G466</f>
        <v/>
      </c>
      <c r="M464" s="43">
        <f>TEXT(L464/86400, "mm:ss.00")</f>
        <v/>
      </c>
      <c r="N464" s="14">
        <f>IFERROR(__xludf.DUMMYFUNCTION("LET(
  gen,$A464, ev,$B464, t,$M464,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
      </c>
      <c r="O464" s="65" t="n"/>
      <c r="P464" s="69" t="n"/>
      <c r="Q464" s="65" t="n"/>
      <c r="R464" s="69" t="n"/>
      <c r="S464" s="58" t="n"/>
      <c r="T464" s="69" t="n"/>
      <c r="U464" s="65" t="n"/>
      <c r="V464" s="65" t="n"/>
      <c r="W464" s="65" t="n"/>
    </row>
    <row r="465">
      <c r="A465" s="17" t="inlineStr">
        <is>
          <t>M</t>
        </is>
      </c>
      <c r="B465" s="18" t="inlineStr">
        <is>
          <t>200 Free</t>
        </is>
      </c>
      <c r="C465" s="18" t="n">
        <v>20</v>
      </c>
      <c r="D465" s="18" t="n">
        <v>3</v>
      </c>
      <c r="E465" s="46" t="inlineStr">
        <is>
          <t>1:47.84</t>
        </is>
      </c>
      <c r="F465" s="21">
        <f>IFERROR(__xludf.DUMMYFUNCTION("IF(
  REGEXMATCH(E465, "":""),
  60*VALUE(INDEX(SPLIT(E465, "":""),1,1)) + VALUE(INDEX(SPLIT(E465, "":""),1,2)),
  VALUE(E465)
)"),107.84)</f>
        <v/>
      </c>
      <c r="G465" s="21">
        <f>average(F462-F464,F463-F465)</f>
        <v/>
      </c>
      <c r="H465" s="21" t="n">
        <v>0.9050000000000011</v>
      </c>
      <c r="I465" s="211">
        <f>C452</f>
        <v/>
      </c>
      <c r="J465" s="211">
        <f>C469</f>
        <v/>
      </c>
      <c r="K465" s="60">
        <f t="array" ref="K465">INDEX('Podium Target Times'!$C:$C, MATCH(A465&amp;B465, 'Podium Target Times'!$A:$A&amp;'Podium Target Times'!$B:$B, 0))
</f>
        <v/>
      </c>
      <c r="L465" s="24">
        <f>L466+G466</f>
        <v/>
      </c>
      <c r="M465" s="60">
        <f>TEXT(L465/86400, "mm:ss.00")</f>
        <v/>
      </c>
      <c r="N465" s="25">
        <f>IFERROR(__xludf.DUMMYFUNCTION("LET(
  gen,$A465, ev,$B465, t,$M465,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
      </c>
      <c r="O465" s="65" t="n"/>
      <c r="P465" s="69" t="n"/>
      <c r="Q465" s="65" t="n"/>
      <c r="R465" s="69" t="n"/>
      <c r="S465" s="58" t="n"/>
      <c r="T465" s="69" t="n"/>
      <c r="U465" s="65" t="n"/>
      <c r="V465" s="65" t="n"/>
      <c r="W465" s="65" t="n"/>
    </row>
    <row r="466">
      <c r="A466" s="8" t="inlineStr">
        <is>
          <t>M</t>
        </is>
      </c>
      <c r="B466" s="9" t="inlineStr">
        <is>
          <t>200 Free</t>
        </is>
      </c>
      <c r="C466" s="9" t="n">
        <v>21</v>
      </c>
      <c r="D466" s="9" t="n">
        <v>2</v>
      </c>
      <c r="E466" s="41" t="inlineStr">
        <is>
          <t>1:46.70</t>
        </is>
      </c>
      <c r="F466" s="35">
        <f>IFERROR(__xludf.DUMMYFUNCTION("IF(
  REGEXMATCH(E466, "":""),
  60*VALUE(INDEX(SPLIT(E466, "":""),1,1)) + VALUE(INDEX(SPLIT(E466, "":""),1,2)),
  VALUE(E466)
)"),106.7)</f>
        <v/>
      </c>
      <c r="G466" s="35">
        <f>average(F464-F466,F465-F467)</f>
        <v/>
      </c>
      <c r="H466" s="35" t="n">
        <v>0.5999999999999943</v>
      </c>
      <c r="I466" s="215">
        <f>C452</f>
        <v/>
      </c>
      <c r="J466" s="215">
        <f>C469</f>
        <v/>
      </c>
      <c r="K466" s="43">
        <f t="array" ref="K466">INDEX('Podium Target Times'!$C:$C, MATCH(A466&amp;B466, 'Podium Target Times'!$A:$A&amp;'Podium Target Times'!$B:$B, 0))
</f>
        <v/>
      </c>
      <c r="L466" s="12">
        <f>L468+G468</f>
        <v/>
      </c>
      <c r="M466" s="43">
        <f>TEXT(L466/86400, "mm:ss.00")</f>
        <v/>
      </c>
      <c r="N466" s="14">
        <f>IFERROR(__xludf.DUMMYFUNCTION("LET(
  gen,$A466, ev,$B466, t,$M466,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
      </c>
      <c r="O466" s="65" t="n"/>
      <c r="P466" s="69" t="n"/>
      <c r="Q466" s="65" t="n"/>
      <c r="R466" s="69" t="n"/>
      <c r="S466" s="58" t="n"/>
      <c r="T466" s="69" t="n"/>
      <c r="U466" s="65" t="n"/>
      <c r="V466" s="65" t="n"/>
      <c r="W466" s="65" t="n"/>
    </row>
    <row r="467">
      <c r="A467" s="17" t="inlineStr">
        <is>
          <t>M</t>
        </is>
      </c>
      <c r="B467" s="18" t="inlineStr">
        <is>
          <t>200 Free</t>
        </is>
      </c>
      <c r="C467" s="18" t="n">
        <v>21</v>
      </c>
      <c r="D467" s="18" t="n">
        <v>3</v>
      </c>
      <c r="E467" s="46" t="inlineStr">
        <is>
          <t>1:47.24</t>
        </is>
      </c>
      <c r="F467" s="21">
        <f>IFERROR(__xludf.DUMMYFUNCTION("IF(
  REGEXMATCH(E467, "":""),
  60*VALUE(INDEX(SPLIT(E467, "":""),1,1)) + VALUE(INDEX(SPLIT(E467, "":""),1,2)),
  VALUE(E467)
)"),107.24000000000001)</f>
        <v/>
      </c>
      <c r="G467" s="21">
        <f>average(F464-F466,F465-F467)</f>
        <v/>
      </c>
      <c r="H467" s="21" t="n">
        <v>0.5999999999999943</v>
      </c>
      <c r="I467" s="211">
        <f>C452</f>
        <v/>
      </c>
      <c r="J467" s="211">
        <f>C469</f>
        <v/>
      </c>
      <c r="K467" s="60">
        <f t="array" ref="K467">INDEX('Podium Target Times'!$C:$C, MATCH(A467&amp;B467, 'Podium Target Times'!$A:$A&amp;'Podium Target Times'!$B:$B, 0))
</f>
        <v/>
      </c>
      <c r="L467" s="24">
        <f>L468+G468</f>
        <v/>
      </c>
      <c r="M467" s="60">
        <f>TEXT(L467/86400, "mm:ss.00")</f>
        <v/>
      </c>
      <c r="N467" s="25">
        <f>IFERROR(__xludf.DUMMYFUNCTION("LET(
  gen,$A467, ev,$B467, t,$M467,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
      </c>
      <c r="O467" s="65" t="n"/>
      <c r="P467" s="69" t="n"/>
      <c r="Q467" s="65" t="n"/>
      <c r="R467" s="69" t="n"/>
      <c r="S467" s="58" t="n"/>
      <c r="T467" s="69" t="n"/>
      <c r="U467" s="65" t="n"/>
      <c r="V467" s="65" t="n"/>
      <c r="W467" s="65" t="n"/>
    </row>
    <row r="468">
      <c r="A468" s="8" t="inlineStr">
        <is>
          <t>M</t>
        </is>
      </c>
      <c r="B468" s="9" t="inlineStr">
        <is>
          <t>200 Free</t>
        </is>
      </c>
      <c r="C468" s="9" t="n">
        <v>22</v>
      </c>
      <c r="D468" s="9" t="n">
        <v>3</v>
      </c>
      <c r="E468" s="41" t="inlineStr">
        <is>
          <t>1:46.88</t>
        </is>
      </c>
      <c r="F468" s="35">
        <f>IFERROR(__xludf.DUMMYFUNCTION("IF(
  REGEXMATCH(E468, "":""),
  60*VALUE(INDEX(SPLIT(E468, "":""),1,1)) + VALUE(INDEX(SPLIT(E468, "":""),1,2)),
  VALUE(E468)
)"),106.88)</f>
        <v/>
      </c>
      <c r="G468" s="35">
        <f>F467-F468</f>
        <v/>
      </c>
      <c r="H468" s="35" t="n">
        <v>0.3600000000000136</v>
      </c>
      <c r="I468" s="215">
        <f>C452</f>
        <v/>
      </c>
      <c r="J468" s="215">
        <f>C469</f>
        <v/>
      </c>
      <c r="K468" s="43">
        <f t="array" ref="K468">INDEX('Podium Target Times'!$C:$C, MATCH(A468&amp;B468, 'Podium Target Times'!$A:$A&amp;'Podium Target Times'!$B:$B, 0))
</f>
        <v/>
      </c>
      <c r="L468" s="12">
        <f>L469+G469</f>
        <v/>
      </c>
      <c r="M468" s="43">
        <f>TEXT(L468/86400, "mm:ss.00")</f>
        <v/>
      </c>
      <c r="N468" s="14">
        <f>IFERROR(__xludf.DUMMYFUNCTION("LET(
  gen,$A468, ev,$B468, t,$M468,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
      </c>
      <c r="O468" s="65" t="n"/>
      <c r="P468" s="69" t="n"/>
      <c r="Q468" s="65" t="n"/>
      <c r="R468" s="69" t="n"/>
      <c r="S468" s="58" t="n"/>
      <c r="T468" s="69" t="n"/>
      <c r="U468" s="65" t="n"/>
      <c r="V468" s="65" t="n"/>
      <c r="W468" s="65" t="n"/>
    </row>
    <row r="469">
      <c r="A469" s="17" t="inlineStr">
        <is>
          <t>M</t>
        </is>
      </c>
      <c r="B469" s="18" t="inlineStr">
        <is>
          <t>200 Free</t>
        </is>
      </c>
      <c r="C469" s="18" t="n">
        <v>23</v>
      </c>
      <c r="D469" s="18" t="n">
        <v>3</v>
      </c>
      <c r="E469" s="46" t="inlineStr">
        <is>
          <t>1:46.70</t>
        </is>
      </c>
      <c r="F469" s="21">
        <f>IFERROR(__xludf.DUMMYFUNCTION("IF(
  REGEXMATCH(E469, "":""),
  60*VALUE(INDEX(SPLIT(E469, "":""),1,1)) + VALUE(INDEX(SPLIT(E469, "":""),1,2)),
  VALUE(E469)
)"),106.7)</f>
        <v/>
      </c>
      <c r="G469" s="21">
        <f>F468-F469</f>
        <v/>
      </c>
      <c r="H469" s="21" t="n">
        <v>0.1799999999999926</v>
      </c>
      <c r="I469" s="211">
        <f>C452</f>
        <v/>
      </c>
      <c r="J469" s="211">
        <f>C469</f>
        <v/>
      </c>
      <c r="K469" s="60">
        <f t="array" ref="K469">INDEX('Podium Target Times'!$C:$C, MATCH(A469&amp;B469, 'Podium Target Times'!$A:$A&amp;'Podium Target Times'!$B:$B, 0))
</f>
        <v/>
      </c>
      <c r="L469" s="211">
        <f>K469</f>
        <v/>
      </c>
      <c r="M469" s="60">
        <f>TEXT(L469/86400, "mm:ss.00")</f>
        <v/>
      </c>
      <c r="N469" s="25">
        <f>IFERROR(__xludf.DUMMYFUNCTION("LET(
  gen,$A469, ev,$B469, t,$M469,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
      </c>
      <c r="O469" s="65" t="n"/>
      <c r="P469" s="69" t="n"/>
      <c r="Q469" s="65" t="n"/>
      <c r="R469" s="69" t="n"/>
      <c r="S469" s="58" t="n"/>
      <c r="T469" s="69" t="n"/>
      <c r="U469" s="65" t="n"/>
      <c r="V469" s="65" t="n"/>
      <c r="W469" s="65" t="n"/>
    </row>
    <row r="470">
      <c r="A470" s="8" t="inlineStr">
        <is>
          <t>M</t>
        </is>
      </c>
      <c r="B470" s="9" t="inlineStr">
        <is>
          <t>200 IM</t>
        </is>
      </c>
      <c r="C470" s="9" t="n">
        <v>16</v>
      </c>
      <c r="D470" s="9" t="n">
        <v>1</v>
      </c>
      <c r="E470" s="41" t="inlineStr">
        <is>
          <t>2:06.50</t>
        </is>
      </c>
      <c r="F470" s="35">
        <f>IFERROR(__xludf.DUMMYFUNCTION("IF(
  REGEXMATCH(E470, "":""),
  60*VALUE(INDEX(SPLIT(E470, "":""),1,1)) + VALUE(INDEX(SPLIT(E470, "":""),1,2)),
  VALUE(E470)
)"),126.5)</f>
        <v/>
      </c>
      <c r="G470" s="12" t="n">
        <v>0</v>
      </c>
      <c r="H470" s="12" t="n">
        <v>0</v>
      </c>
      <c r="I470" s="43">
        <f>C470</f>
        <v/>
      </c>
      <c r="J470" s="43">
        <f>C487</f>
        <v/>
      </c>
      <c r="K470" s="43">
        <f t="array" ref="K470">INDEX('Podium Target Times'!$C:$C, MATCH(A470&amp;B470, 'Podium Target Times'!$A:$A&amp;'Podium Target Times'!$B:$B, 0))
</f>
        <v/>
      </c>
      <c r="L470" s="12">
        <f>L471+G471</f>
        <v/>
      </c>
      <c r="M470" s="43">
        <f>TEXT(L470/86400, "mm:ss.00")</f>
        <v/>
      </c>
      <c r="N470" s="14">
        <f>IFERROR(__xludf.DUMMYFUNCTION("LET(
  gen,$A470, ev,$B470, t,$M470,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)"),656.0)</f>
        <v/>
      </c>
      <c r="O470" s="65" t="n"/>
      <c r="P470" s="69">
        <f>A470</f>
        <v/>
      </c>
      <c r="Q470" s="65">
        <f>B470</f>
        <v/>
      </c>
      <c r="R470" s="69">
        <f>C470</f>
        <v/>
      </c>
      <c r="S470" s="58">
        <f>M470</f>
        <v/>
      </c>
      <c r="T470" s="69">
        <f>N470</f>
        <v/>
      </c>
      <c r="U470" s="65" t="n"/>
      <c r="V470" s="65" t="n"/>
      <c r="W470" s="65" t="n"/>
    </row>
    <row r="471">
      <c r="A471" s="17" t="inlineStr">
        <is>
          <t>M</t>
        </is>
      </c>
      <c r="B471" s="18" t="inlineStr">
        <is>
          <t>200 IM</t>
        </is>
      </c>
      <c r="C471" s="18" t="n">
        <v>17</v>
      </c>
      <c r="D471" s="18" t="n">
        <v>1</v>
      </c>
      <c r="E471" s="46" t="inlineStr">
        <is>
          <t>2:03.32</t>
        </is>
      </c>
      <c r="F471" s="21">
        <f>IFERROR(__xludf.DUMMYFUNCTION("IF(
  REGEXMATCH(E471, "":""),
  60*VALUE(INDEX(SPLIT(E471, "":""),1,1)) + VALUE(INDEX(SPLIT(E471, "":""),1,2)),
  VALUE(E471)
)"),123.32)</f>
        <v/>
      </c>
      <c r="G471" s="21">
        <f>F470-F471</f>
        <v/>
      </c>
      <c r="H471" s="21" t="n">
        <v>3.180000000000007</v>
      </c>
      <c r="I471" s="211">
        <f>C470</f>
        <v/>
      </c>
      <c r="J471" s="211">
        <f>C487</f>
        <v/>
      </c>
      <c r="K471" s="60">
        <f t="array" ref="K471">INDEX('Podium Target Times'!$C:$C, MATCH(A471&amp;B471, 'Podium Target Times'!$A:$A&amp;'Podium Target Times'!$B:$B, 0))
</f>
        <v/>
      </c>
      <c r="L471" s="24">
        <f>L473+G473</f>
        <v/>
      </c>
      <c r="M471" s="60">
        <f>TEXT(L471/86400, "mm:ss.00")</f>
        <v/>
      </c>
      <c r="N471" s="25">
        <f>IFERROR(__xludf.DUMMYFUNCTION("LET(
  gen,$A471, ev,$B471, t,$M471,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471" s="65" t="n"/>
      <c r="P471" s="69">
        <f>A471</f>
        <v/>
      </c>
      <c r="Q471" s="65">
        <f>B471</f>
        <v/>
      </c>
      <c r="R471" s="69">
        <f>C471</f>
        <v/>
      </c>
      <c r="S471" s="58">
        <f>M471</f>
        <v/>
      </c>
      <c r="T471" s="69">
        <f>N471</f>
        <v/>
      </c>
      <c r="U471" s="65" t="n"/>
      <c r="V471" s="65" t="n"/>
      <c r="W471" s="65" t="n"/>
    </row>
    <row r="472">
      <c r="A472" s="8" t="inlineStr">
        <is>
          <t>M</t>
        </is>
      </c>
      <c r="B472" s="9" t="inlineStr">
        <is>
          <t>200 IM</t>
        </is>
      </c>
      <c r="C472" s="9" t="n">
        <v>17</v>
      </c>
      <c r="D472" s="9" t="n">
        <v>2</v>
      </c>
      <c r="E472" s="41" t="inlineStr">
        <is>
          <t>2:04.42</t>
        </is>
      </c>
      <c r="F472" s="35">
        <f>IFERROR(__xludf.DUMMYFUNCTION("IF(
  REGEXMATCH(E472, "":""),
  60*VALUE(INDEX(SPLIT(E472, "":""),1,1)) + VALUE(INDEX(SPLIT(E472, "":""),1,2)),
  VALUE(E472)
)"),124.42)</f>
        <v/>
      </c>
      <c r="G472" s="35">
        <f>F470-F471</f>
        <v/>
      </c>
      <c r="H472" s="35" t="n">
        <v>3.180000000000007</v>
      </c>
      <c r="I472" s="215">
        <f>C470</f>
        <v/>
      </c>
      <c r="J472" s="215">
        <f>C487</f>
        <v/>
      </c>
      <c r="K472" s="43">
        <f t="array" ref="K472">INDEX('Podium Target Times'!$C:$C, MATCH(A472&amp;B472, 'Podium Target Times'!$A:$A&amp;'Podium Target Times'!$B:$B, 0))
</f>
        <v/>
      </c>
      <c r="L472" s="12">
        <f>L473+G473</f>
        <v/>
      </c>
      <c r="M472" s="43">
        <f>TEXT(L472/86400, "mm:ss.00")</f>
        <v/>
      </c>
      <c r="N472" s="14">
        <f>IFERROR(__xludf.DUMMYFUNCTION("LET(
  gen,$A472, ev,$B472, t,$M472,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472" s="65" t="n"/>
      <c r="P472" s="69">
        <f>A473</f>
        <v/>
      </c>
      <c r="Q472" s="65">
        <f>B473</f>
        <v/>
      </c>
      <c r="R472" s="69">
        <f>C473</f>
        <v/>
      </c>
      <c r="S472" s="58">
        <f>M473</f>
        <v/>
      </c>
      <c r="T472" s="69">
        <f>N473</f>
        <v/>
      </c>
      <c r="U472" s="65" t="n"/>
      <c r="V472" s="65" t="n"/>
      <c r="W472" s="65" t="n"/>
    </row>
    <row r="473">
      <c r="A473" s="17" t="inlineStr">
        <is>
          <t>M</t>
        </is>
      </c>
      <c r="B473" s="18" t="inlineStr">
        <is>
          <t>200 IM</t>
        </is>
      </c>
      <c r="C473" s="18" t="n">
        <v>18</v>
      </c>
      <c r="D473" s="18" t="n">
        <v>1</v>
      </c>
      <c r="E473" s="46" t="inlineStr">
        <is>
          <t>2:01.30</t>
        </is>
      </c>
      <c r="F473" s="21">
        <f>IFERROR(__xludf.DUMMYFUNCTION("IF(
  REGEXMATCH(E473, "":""),
  60*VALUE(INDEX(SPLIT(E473, "":""),1,1)) + VALUE(INDEX(SPLIT(E473, "":""),1,2)),
  VALUE(E473)
)"),121.3)</f>
        <v/>
      </c>
      <c r="G473" s="21">
        <f>average(F471-F473,F472-F474)</f>
        <v/>
      </c>
      <c r="H473" s="21" t="n">
        <v>2.024999999999999</v>
      </c>
      <c r="I473" s="211">
        <f>C470</f>
        <v/>
      </c>
      <c r="J473" s="211">
        <f>C487</f>
        <v/>
      </c>
      <c r="K473" s="60">
        <f t="array" ref="K473">INDEX('Podium Target Times'!$C:$C, MATCH(A473&amp;B473, 'Podium Target Times'!$A:$A&amp;'Podium Target Times'!$B:$B, 0))
</f>
        <v/>
      </c>
      <c r="L473" s="24">
        <f>L476+G476</f>
        <v/>
      </c>
      <c r="M473" s="60">
        <f>TEXT(L473/86400, "mm:ss.00")</f>
        <v/>
      </c>
      <c r="N473" s="25">
        <f>IFERROR(__xludf.DUMMYFUNCTION("LET(
  gen,$A473, ev,$B473, t,$M473,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473" s="65" t="n"/>
      <c r="P473" s="69">
        <f>A476</f>
        <v/>
      </c>
      <c r="Q473" s="65">
        <f>B476</f>
        <v/>
      </c>
      <c r="R473" s="69">
        <f>C476</f>
        <v/>
      </c>
      <c r="S473" s="58">
        <f>M476</f>
        <v/>
      </c>
      <c r="T473" s="69">
        <f>N476</f>
        <v/>
      </c>
      <c r="U473" s="65" t="n"/>
      <c r="V473" s="65" t="n"/>
      <c r="W473" s="65" t="n"/>
    </row>
    <row r="474">
      <c r="A474" s="8" t="inlineStr">
        <is>
          <t>M</t>
        </is>
      </c>
      <c r="B474" s="9" t="inlineStr">
        <is>
          <t>200 IM</t>
        </is>
      </c>
      <c r="C474" s="9" t="n">
        <v>18</v>
      </c>
      <c r="D474" s="9" t="n">
        <v>2</v>
      </c>
      <c r="E474" s="41" t="inlineStr">
        <is>
          <t>2:02.39</t>
        </is>
      </c>
      <c r="F474" s="35">
        <f>IFERROR(__xludf.DUMMYFUNCTION("IF(
  REGEXMATCH(E474, "":""),
  60*VALUE(INDEX(SPLIT(E474, "":""),1,1)) + VALUE(INDEX(SPLIT(E474, "":""),1,2)),
  VALUE(E474)
)"),122.39)</f>
        <v/>
      </c>
      <c r="G474" s="35">
        <f>average(F471-F473,F472-F474)</f>
        <v/>
      </c>
      <c r="H474" s="35" t="n">
        <v>2.024999999999999</v>
      </c>
      <c r="I474" s="215">
        <f>C470</f>
        <v/>
      </c>
      <c r="J474" s="215">
        <f>C487</f>
        <v/>
      </c>
      <c r="K474" s="43">
        <f t="array" ref="K474">INDEX('Podium Target Times'!$C:$C, MATCH(A474&amp;B474, 'Podium Target Times'!$A:$A&amp;'Podium Target Times'!$B:$B, 0))
</f>
        <v/>
      </c>
      <c r="L474" s="12">
        <f>L476+G476</f>
        <v/>
      </c>
      <c r="M474" s="43">
        <f>TEXT(L474/86400, "mm:ss.00")</f>
        <v/>
      </c>
      <c r="N474" s="14">
        <f>IFERROR(__xludf.DUMMYFUNCTION("LET(
  gen,$A474, ev,$B474, t,$M474,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474" s="65" t="n"/>
      <c r="P474" s="69">
        <f>A479</f>
        <v/>
      </c>
      <c r="Q474" s="65">
        <f>B479</f>
        <v/>
      </c>
      <c r="R474" s="69">
        <f>C479</f>
        <v/>
      </c>
      <c r="S474" s="58">
        <f>M479</f>
        <v/>
      </c>
      <c r="T474" s="69">
        <f>N479</f>
        <v/>
      </c>
      <c r="U474" s="65" t="n"/>
      <c r="V474" s="65" t="n"/>
      <c r="W474" s="65" t="n"/>
    </row>
    <row r="475">
      <c r="A475" s="17" t="inlineStr">
        <is>
          <t>M</t>
        </is>
      </c>
      <c r="B475" s="18" t="inlineStr">
        <is>
          <t>200 IM</t>
        </is>
      </c>
      <c r="C475" s="18" t="n">
        <v>18</v>
      </c>
      <c r="D475" s="18" t="n">
        <v>3</v>
      </c>
      <c r="E475" s="46" t="inlineStr">
        <is>
          <t>2:02.59</t>
        </is>
      </c>
      <c r="F475" s="21">
        <f>IFERROR(__xludf.DUMMYFUNCTION("IF(
  REGEXMATCH(E475, "":""),
  60*VALUE(INDEX(SPLIT(E475, "":""),1,1)) + VALUE(INDEX(SPLIT(E475, "":""),1,2)),
  VALUE(E475)
)"),122.59)</f>
        <v/>
      </c>
      <c r="G475" s="21">
        <f>average(F471-F473,F472-F474)</f>
        <v/>
      </c>
      <c r="H475" s="21" t="n">
        <v>2.024999999999999</v>
      </c>
      <c r="I475" s="211">
        <f>C470</f>
        <v/>
      </c>
      <c r="J475" s="211">
        <f>C487</f>
        <v/>
      </c>
      <c r="K475" s="60">
        <f t="array" ref="K475">INDEX('Podium Target Times'!$C:$C, MATCH(A475&amp;B475, 'Podium Target Times'!$A:$A&amp;'Podium Target Times'!$B:$B, 0))
</f>
        <v/>
      </c>
      <c r="L475" s="24">
        <f>L476+G476</f>
        <v/>
      </c>
      <c r="M475" s="60">
        <f>TEXT(L475/86400, "mm:ss.00")</f>
        <v/>
      </c>
      <c r="N475" s="25">
        <f>IFERROR(__xludf.DUMMYFUNCTION("LET(
  gen,$A475, ev,$B475, t,$M475,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475" s="65" t="n"/>
      <c r="P475" s="69">
        <f>A482</f>
        <v/>
      </c>
      <c r="Q475" s="65">
        <f>B482</f>
        <v/>
      </c>
      <c r="R475" s="69">
        <f>C482</f>
        <v/>
      </c>
      <c r="S475" s="58">
        <f>M482</f>
        <v/>
      </c>
      <c r="T475" s="69">
        <f>N482</f>
        <v/>
      </c>
      <c r="U475" s="65" t="n"/>
      <c r="V475" s="65" t="n"/>
      <c r="W475" s="65" t="n"/>
    </row>
    <row r="476">
      <c r="A476" s="8" t="inlineStr">
        <is>
          <t>M</t>
        </is>
      </c>
      <c r="B476" s="9" t="inlineStr">
        <is>
          <t>200 IM</t>
        </is>
      </c>
      <c r="C476" s="9" t="n">
        <v>19</v>
      </c>
      <c r="D476" s="9" t="n">
        <v>1</v>
      </c>
      <c r="E476" s="41" t="inlineStr">
        <is>
          <t>1:59.95</t>
        </is>
      </c>
      <c r="F476" s="35">
        <f>IFERROR(__xludf.DUMMYFUNCTION("IF(
  REGEXMATCH(E476, "":""),
  60*VALUE(INDEX(SPLIT(E476, "":""),1,1)) + VALUE(INDEX(SPLIT(E476, "":""),1,2)),
  VALUE(E476)
)"),119.95)</f>
        <v/>
      </c>
      <c r="G476" s="35">
        <f>average(F473-F476,F474-F477,F475-F478)</f>
        <v/>
      </c>
      <c r="H476" s="35" t="n">
        <v>1.359999999999999</v>
      </c>
      <c r="I476" s="215">
        <f>C470</f>
        <v/>
      </c>
      <c r="J476" s="215">
        <f>C487</f>
        <v/>
      </c>
      <c r="K476" s="43">
        <f t="array" ref="K476">INDEX('Podium Target Times'!$C:$C, MATCH(A476&amp;B476, 'Podium Target Times'!$A:$A&amp;'Podium Target Times'!$B:$B, 0))
</f>
        <v/>
      </c>
      <c r="L476" s="12">
        <f>L479+G479</f>
        <v/>
      </c>
      <c r="M476" s="43">
        <f>TEXT(L476/86400, "mm:ss.00")</f>
        <v/>
      </c>
      <c r="N476" s="14">
        <f>IFERROR(__xludf.DUMMYFUNCTION("LET(
  gen,$A476, ev,$B476, t,$M476,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476" s="65" t="n"/>
      <c r="P476" s="69">
        <f>A484</f>
        <v/>
      </c>
      <c r="Q476" s="65">
        <f>B484</f>
        <v/>
      </c>
      <c r="R476" s="69">
        <f>C484</f>
        <v/>
      </c>
      <c r="S476" s="58">
        <f>M484</f>
        <v/>
      </c>
      <c r="T476" s="69">
        <f>N484</f>
        <v/>
      </c>
      <c r="U476" s="65" t="n"/>
      <c r="V476" s="65" t="n"/>
      <c r="W476" s="65" t="n"/>
    </row>
    <row r="477">
      <c r="A477" s="17" t="inlineStr">
        <is>
          <t>M</t>
        </is>
      </c>
      <c r="B477" s="18" t="inlineStr">
        <is>
          <t>200 IM</t>
        </is>
      </c>
      <c r="C477" s="18" t="n">
        <v>19</v>
      </c>
      <c r="D477" s="18" t="n">
        <v>2</v>
      </c>
      <c r="E477" s="46" t="inlineStr">
        <is>
          <t>2:01.03</t>
        </is>
      </c>
      <c r="F477" s="21">
        <f>IFERROR(__xludf.DUMMYFUNCTION("IF(
  REGEXMATCH(E477, "":""),
  60*VALUE(INDEX(SPLIT(E477, "":""),1,1)) + VALUE(INDEX(SPLIT(E477, "":""),1,2)),
  VALUE(E477)
)"),121.03)</f>
        <v/>
      </c>
      <c r="G477" s="21">
        <f>average(F473-F476,F474-F477,F475-F478)</f>
        <v/>
      </c>
      <c r="H477" s="21" t="n">
        <v>1.359999999999999</v>
      </c>
      <c r="I477" s="211">
        <f>C470</f>
        <v/>
      </c>
      <c r="J477" s="211">
        <f>C487</f>
        <v/>
      </c>
      <c r="K477" s="60">
        <f t="array" ref="K477">INDEX('Podium Target Times'!$C:$C, MATCH(A477&amp;B477, 'Podium Target Times'!$A:$A&amp;'Podium Target Times'!$B:$B, 0))
</f>
        <v/>
      </c>
      <c r="L477" s="24">
        <f>L479+G479</f>
        <v/>
      </c>
      <c r="M477" s="60">
        <f>TEXT(L477/86400, "mm:ss.00")</f>
        <v/>
      </c>
      <c r="N477" s="25">
        <f>IFERROR(__xludf.DUMMYFUNCTION("LET(
  gen,$A477, ev,$B477, t,$M477,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477" s="65" t="n"/>
      <c r="P477" s="69">
        <f>A486</f>
        <v/>
      </c>
      <c r="Q477" s="65">
        <f>B486</f>
        <v/>
      </c>
      <c r="R477" s="69">
        <f>C486</f>
        <v/>
      </c>
      <c r="S477" s="58">
        <f>M486</f>
        <v/>
      </c>
      <c r="T477" s="69">
        <f>N486</f>
        <v/>
      </c>
      <c r="U477" s="65" t="n"/>
      <c r="V477" s="65" t="n"/>
      <c r="W477" s="65" t="n"/>
    </row>
    <row r="478">
      <c r="A478" s="8" t="inlineStr">
        <is>
          <t>M</t>
        </is>
      </c>
      <c r="B478" s="9" t="inlineStr">
        <is>
          <t>200 IM</t>
        </is>
      </c>
      <c r="C478" s="9" t="n">
        <v>19</v>
      </c>
      <c r="D478" s="9" t="n">
        <v>3</v>
      </c>
      <c r="E478" s="41" t="inlineStr">
        <is>
          <t>2:01.22</t>
        </is>
      </c>
      <c r="F478" s="35">
        <f>IFERROR(__xludf.DUMMYFUNCTION("IF(
  REGEXMATCH(E478, "":""),
  60*VALUE(INDEX(SPLIT(E478, "":""),1,1)) + VALUE(INDEX(SPLIT(E478, "":""),1,2)),
  VALUE(E478)
)"),121.22)</f>
        <v/>
      </c>
      <c r="G478" s="35">
        <f>average(F473-F476,F474-F477,F475-F478)</f>
        <v/>
      </c>
      <c r="H478" s="35" t="n">
        <v>1.359999999999999</v>
      </c>
      <c r="I478" s="215">
        <f>C470</f>
        <v/>
      </c>
      <c r="J478" s="215">
        <f>C487</f>
        <v/>
      </c>
      <c r="K478" s="43">
        <f t="array" ref="K478">INDEX('Podium Target Times'!$C:$C, MATCH(A478&amp;B478, 'Podium Target Times'!$A:$A&amp;'Podium Target Times'!$B:$B, 0))
</f>
        <v/>
      </c>
      <c r="L478" s="12">
        <f>L479+G479</f>
        <v/>
      </c>
      <c r="M478" s="43">
        <f>TEXT(L478/86400, "mm:ss.00")</f>
        <v/>
      </c>
      <c r="N478" s="14">
        <f>IFERROR(__xludf.DUMMYFUNCTION("LET(
  gen,$A478, ev,$B478, t,$M478,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478" s="65" t="n"/>
      <c r="P478" s="69">
        <f>A487</f>
        <v/>
      </c>
      <c r="Q478" s="65">
        <f>B487</f>
        <v/>
      </c>
      <c r="R478" s="69">
        <f>C487</f>
        <v/>
      </c>
      <c r="S478" s="58">
        <f>M487</f>
        <v/>
      </c>
      <c r="T478" s="69">
        <f>N487</f>
        <v/>
      </c>
      <c r="U478" s="65" t="n"/>
      <c r="V478" s="65" t="n"/>
      <c r="W478" s="65" t="n"/>
    </row>
    <row r="479">
      <c r="A479" s="17" t="inlineStr">
        <is>
          <t>M</t>
        </is>
      </c>
      <c r="B479" s="18" t="inlineStr">
        <is>
          <t>200 IM</t>
        </is>
      </c>
      <c r="C479" s="18" t="n">
        <v>20</v>
      </c>
      <c r="D479" s="18" t="n">
        <v>1</v>
      </c>
      <c r="E479" s="46" t="inlineStr">
        <is>
          <t>1:59.05</t>
        </is>
      </c>
      <c r="F479" s="21">
        <f>IFERROR(__xludf.DUMMYFUNCTION("IF(
  REGEXMATCH(E479, "":""),
  60*VALUE(INDEX(SPLIT(E479, "":""),1,1)) + VALUE(INDEX(SPLIT(E479, "":""),1,2)),
  VALUE(E479)
)"),119.05)</f>
        <v/>
      </c>
      <c r="G479" s="21">
        <f>average(F476-F479,F477-F480,F478-F481)</f>
        <v/>
      </c>
      <c r="H479" s="21" t="n">
        <v>0.9066666666666663</v>
      </c>
      <c r="I479" s="211">
        <f>C470</f>
        <v/>
      </c>
      <c r="J479" s="211">
        <f>C487</f>
        <v/>
      </c>
      <c r="K479" s="60">
        <f t="array" ref="K479">INDEX('Podium Target Times'!$C:$C, MATCH(A479&amp;B479, 'Podium Target Times'!$A:$A&amp;'Podium Target Times'!$B:$B, 0))
</f>
        <v/>
      </c>
      <c r="L479" s="24">
        <f>L482+G482</f>
        <v/>
      </c>
      <c r="M479" s="60">
        <f>TEXT(L479/86400, "mm:ss.00")</f>
        <v/>
      </c>
      <c r="N479" s="25">
        <f>IFERROR(__xludf.DUMMYFUNCTION("LET(
  gen,$A479, ev,$B479, t,$M479,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479" s="65" t="n"/>
      <c r="P479" s="69" t="n"/>
      <c r="Q479" s="65" t="n"/>
      <c r="R479" s="69" t="n"/>
      <c r="S479" s="58" t="n"/>
      <c r="T479" s="69" t="n"/>
      <c r="U479" s="65" t="n"/>
      <c r="V479" s="65" t="n"/>
      <c r="W479" s="65" t="n"/>
    </row>
    <row r="480">
      <c r="A480" s="8" t="inlineStr">
        <is>
          <t>M</t>
        </is>
      </c>
      <c r="B480" s="9" t="inlineStr">
        <is>
          <t>200 IM</t>
        </is>
      </c>
      <c r="C480" s="9" t="n">
        <v>20</v>
      </c>
      <c r="D480" s="9" t="n">
        <v>2</v>
      </c>
      <c r="E480" s="41" t="inlineStr">
        <is>
          <t>2:00.12</t>
        </is>
      </c>
      <c r="F480" s="35">
        <f>IFERROR(__xludf.DUMMYFUNCTION("IF(
  REGEXMATCH(E480, "":""),
  60*VALUE(INDEX(SPLIT(E480, "":""),1,1)) + VALUE(INDEX(SPLIT(E480, "":""),1,2)),
  VALUE(E480)
)"),120.12)</f>
        <v/>
      </c>
      <c r="G480" s="35">
        <f>average(F476-F479,F477-F480,F478-F481)</f>
        <v/>
      </c>
      <c r="H480" s="35" t="n">
        <v>0.9066666666666663</v>
      </c>
      <c r="I480" s="215">
        <f>C470</f>
        <v/>
      </c>
      <c r="J480" s="215">
        <f>C487</f>
        <v/>
      </c>
      <c r="K480" s="43">
        <f t="array" ref="K480">INDEX('Podium Target Times'!$C:$C, MATCH(A480&amp;B480, 'Podium Target Times'!$A:$A&amp;'Podium Target Times'!$B:$B, 0))
</f>
        <v/>
      </c>
      <c r="L480" s="12">
        <f>L482+G482</f>
        <v/>
      </c>
      <c r="M480" s="43">
        <f>TEXT(L480/86400, "mm:ss.00")</f>
        <v/>
      </c>
      <c r="N480" s="14">
        <f>IFERROR(__xludf.DUMMYFUNCTION("LET(
  gen,$A480, ev,$B480, t,$M480,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480" s="65" t="n"/>
      <c r="P480" s="69" t="n"/>
      <c r="Q480" s="65" t="n"/>
      <c r="R480" s="69" t="n"/>
      <c r="S480" s="58" t="n"/>
      <c r="T480" s="69" t="n"/>
      <c r="U480" s="65" t="n"/>
      <c r="V480" s="65" t="n"/>
      <c r="W480" s="65" t="n"/>
    </row>
    <row r="481">
      <c r="A481" s="17" t="inlineStr">
        <is>
          <t>M</t>
        </is>
      </c>
      <c r="B481" s="18" t="inlineStr">
        <is>
          <t>200 IM</t>
        </is>
      </c>
      <c r="C481" s="18" t="n">
        <v>20</v>
      </c>
      <c r="D481" s="18" t="n">
        <v>3</v>
      </c>
      <c r="E481" s="46" t="inlineStr">
        <is>
          <t>2:00.31</t>
        </is>
      </c>
      <c r="F481" s="21">
        <f>IFERROR(__xludf.DUMMYFUNCTION("IF(
  REGEXMATCH(E481, "":""),
  60*VALUE(INDEX(SPLIT(E481, "":""),1,1)) + VALUE(INDEX(SPLIT(E481, "":""),1,2)),
  VALUE(E481)
)"),120.31)</f>
        <v/>
      </c>
      <c r="G481" s="21">
        <f>average(F476-F479,F477-F480,F478-F481)</f>
        <v/>
      </c>
      <c r="H481" s="21" t="n">
        <v>0.9066666666666663</v>
      </c>
      <c r="I481" s="211">
        <f>C470</f>
        <v/>
      </c>
      <c r="J481" s="211">
        <f>C487</f>
        <v/>
      </c>
      <c r="K481" s="60">
        <f t="array" ref="K481">INDEX('Podium Target Times'!$C:$C, MATCH(A481&amp;B481, 'Podium Target Times'!$A:$A&amp;'Podium Target Times'!$B:$B, 0))
</f>
        <v/>
      </c>
      <c r="L481" s="24">
        <f>L482+G482</f>
        <v/>
      </c>
      <c r="M481" s="60">
        <f>TEXT(L481/86400, "mm:ss.00")</f>
        <v/>
      </c>
      <c r="N481" s="25">
        <f>IFERROR(__xludf.DUMMYFUNCTION("LET(
  gen,$A481, ev,$B481, t,$M481,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481" s="65" t="n"/>
      <c r="P481" s="69" t="n"/>
      <c r="Q481" s="65" t="n"/>
      <c r="R481" s="69" t="n"/>
      <c r="S481" s="58" t="n"/>
      <c r="T481" s="69" t="n"/>
      <c r="U481" s="65" t="n"/>
      <c r="V481" s="65" t="n"/>
      <c r="W481" s="65" t="n"/>
    </row>
    <row r="482">
      <c r="A482" s="8" t="inlineStr">
        <is>
          <t>M</t>
        </is>
      </c>
      <c r="B482" s="9" t="inlineStr">
        <is>
          <t>200 IM</t>
        </is>
      </c>
      <c r="C482" s="9" t="n">
        <v>21</v>
      </c>
      <c r="D482" s="9" t="n">
        <v>2</v>
      </c>
      <c r="E482" s="41" t="inlineStr">
        <is>
          <t>1:59.49</t>
        </is>
      </c>
      <c r="F482" s="35">
        <f>IFERROR(__xludf.DUMMYFUNCTION("IF(
  REGEXMATCH(E482, "":""),
  60*VALUE(INDEX(SPLIT(E482, "":""),1,1)) + VALUE(INDEX(SPLIT(E482, "":""),1,2)),
  VALUE(E482)
)"),119.49000000000001)</f>
        <v/>
      </c>
      <c r="G482" s="35">
        <f>average(F480-F482,F481-F483)</f>
        <v/>
      </c>
      <c r="H482" s="35" t="n">
        <v>0.625</v>
      </c>
      <c r="I482" s="215">
        <f>C470</f>
        <v/>
      </c>
      <c r="J482" s="215">
        <f>C487</f>
        <v/>
      </c>
      <c r="K482" s="43">
        <f t="array" ref="K482">INDEX('Podium Target Times'!$C:$C, MATCH(A482&amp;B482, 'Podium Target Times'!$A:$A&amp;'Podium Target Times'!$B:$B, 0))
</f>
        <v/>
      </c>
      <c r="L482" s="12">
        <f>L484+G484</f>
        <v/>
      </c>
      <c r="M482" s="43">
        <f>TEXT(L482/86400, "mm:ss.00")</f>
        <v/>
      </c>
      <c r="N482" s="14">
        <f>IFERROR(__xludf.DUMMYFUNCTION("LET(
  gen,$A482, ev,$B482, t,$M482,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
      </c>
      <c r="O482" s="65" t="n"/>
      <c r="P482" s="69" t="n"/>
      <c r="Q482" s="65" t="n"/>
      <c r="R482" s="69" t="n"/>
      <c r="S482" s="58" t="n"/>
      <c r="T482" s="69" t="n"/>
      <c r="U482" s="65" t="n"/>
      <c r="V482" s="65" t="n"/>
      <c r="W482" s="65" t="n"/>
    </row>
    <row r="483">
      <c r="A483" s="17" t="inlineStr">
        <is>
          <t>M</t>
        </is>
      </c>
      <c r="B483" s="18" t="inlineStr">
        <is>
          <t>200 IM</t>
        </is>
      </c>
      <c r="C483" s="18" t="n">
        <v>21</v>
      </c>
      <c r="D483" s="18" t="n">
        <v>3</v>
      </c>
      <c r="E483" s="46" t="inlineStr">
        <is>
          <t>1:59.69</t>
        </is>
      </c>
      <c r="F483" s="21">
        <f>IFERROR(__xludf.DUMMYFUNCTION("IF(
  REGEXMATCH(E483, "":""),
  60*VALUE(INDEX(SPLIT(E483, "":""),1,1)) + VALUE(INDEX(SPLIT(E483, "":""),1,2)),
  VALUE(E483)
)"),119.69)</f>
        <v/>
      </c>
      <c r="G483" s="21">
        <f>average(F480-F482,F481-F483)</f>
        <v/>
      </c>
      <c r="H483" s="21" t="n">
        <v>0.625</v>
      </c>
      <c r="I483" s="211">
        <f>C470</f>
        <v/>
      </c>
      <c r="J483" s="211">
        <f>C487</f>
        <v/>
      </c>
      <c r="K483" s="60">
        <f t="array" ref="K483">INDEX('Podium Target Times'!$C:$C, MATCH(A483&amp;B483, 'Podium Target Times'!$A:$A&amp;'Podium Target Times'!$B:$B, 0))
</f>
        <v/>
      </c>
      <c r="L483" s="24">
        <f>L484+G484</f>
        <v/>
      </c>
      <c r="M483" s="60">
        <f>TEXT(L483/86400, "mm:ss.00")</f>
        <v/>
      </c>
      <c r="N483" s="25">
        <f>IFERROR(__xludf.DUMMYFUNCTION("LET(
  gen,$A483, ev,$B483, t,$M483,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
      </c>
      <c r="O483" s="65" t="n"/>
      <c r="P483" s="69" t="n"/>
      <c r="Q483" s="65" t="n"/>
      <c r="R483" s="69" t="n"/>
      <c r="S483" s="58" t="n"/>
      <c r="T483" s="69" t="n"/>
      <c r="U483" s="65" t="n"/>
      <c r="V483" s="65" t="n"/>
      <c r="W483" s="65" t="n"/>
    </row>
    <row r="484">
      <c r="A484" s="8" t="inlineStr">
        <is>
          <t>M</t>
        </is>
      </c>
      <c r="B484" s="9" t="inlineStr">
        <is>
          <t>200 IM</t>
        </is>
      </c>
      <c r="C484" s="9" t="n">
        <v>22</v>
      </c>
      <c r="D484" s="9" t="n">
        <v>2</v>
      </c>
      <c r="E484" s="41" t="inlineStr">
        <is>
          <t>1:59.05</t>
        </is>
      </c>
      <c r="F484" s="35">
        <f>IFERROR(__xludf.DUMMYFUNCTION("IF(
  REGEXMATCH(E484, "":""),
  60*VALUE(INDEX(SPLIT(E484, "":""),1,1)) + VALUE(INDEX(SPLIT(E484, "":""),1,2)),
  VALUE(E484)
)"),119.05)</f>
        <v/>
      </c>
      <c r="G484" s="35">
        <f>average(F482-F484,F483-F485)</f>
        <v/>
      </c>
      <c r="H484" s="35" t="n">
        <v>0.4450000000000003</v>
      </c>
      <c r="I484" s="215">
        <f>C470</f>
        <v/>
      </c>
      <c r="J484" s="215">
        <f>C487</f>
        <v/>
      </c>
      <c r="K484" s="43">
        <f t="array" ref="K484">INDEX('Podium Target Times'!$C:$C, MATCH(A484&amp;B484, 'Podium Target Times'!$A:$A&amp;'Podium Target Times'!$B:$B, 0))
</f>
        <v/>
      </c>
      <c r="L484" s="12">
        <f>L486+G486</f>
        <v/>
      </c>
      <c r="M484" s="43">
        <f>TEXT(L484/86400, "mm:ss.00")</f>
        <v/>
      </c>
      <c r="N484" s="14">
        <f>IFERROR(__xludf.DUMMYFUNCTION("LET(
  gen,$A484, ev,$B484, t,$M484,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
      </c>
      <c r="O484" s="65" t="n"/>
      <c r="P484" s="69" t="n"/>
      <c r="Q484" s="65" t="n"/>
      <c r="R484" s="69" t="n"/>
      <c r="S484" s="58" t="n"/>
      <c r="T484" s="69" t="n"/>
      <c r="U484" s="65" t="n"/>
      <c r="V484" s="65" t="n"/>
      <c r="W484" s="65" t="n"/>
    </row>
    <row r="485">
      <c r="A485" s="17" t="inlineStr">
        <is>
          <t>M</t>
        </is>
      </c>
      <c r="B485" s="18" t="inlineStr">
        <is>
          <t>200 IM</t>
        </is>
      </c>
      <c r="C485" s="18" t="n">
        <v>22</v>
      </c>
      <c r="D485" s="18" t="n">
        <v>3</v>
      </c>
      <c r="E485" s="46" t="inlineStr">
        <is>
          <t>1:59.24</t>
        </is>
      </c>
      <c r="F485" s="21">
        <f>IFERROR(__xludf.DUMMYFUNCTION("IF(
  REGEXMATCH(E485, "":""),
  60*VALUE(INDEX(SPLIT(E485, "":""),1,1)) + VALUE(INDEX(SPLIT(E485, "":""),1,2)),
  VALUE(E485)
)"),119.24000000000001)</f>
        <v/>
      </c>
      <c r="G485" s="21">
        <f>average(F482-F484,F483-F485)</f>
        <v/>
      </c>
      <c r="H485" s="21" t="n">
        <v>0.4450000000000003</v>
      </c>
      <c r="I485" s="211">
        <f>C470</f>
        <v/>
      </c>
      <c r="J485" s="211">
        <f>C487</f>
        <v/>
      </c>
      <c r="K485" s="60">
        <f t="array" ref="K485">INDEX('Podium Target Times'!$C:$C, MATCH(A485&amp;B485, 'Podium Target Times'!$A:$A&amp;'Podium Target Times'!$B:$B, 0))
</f>
        <v/>
      </c>
      <c r="L485" s="24">
        <f>L486+G486</f>
        <v/>
      </c>
      <c r="M485" s="60">
        <f>TEXT(L485/86400, "mm:ss.00")</f>
        <v/>
      </c>
      <c r="N485" s="25">
        <f>IFERROR(__xludf.DUMMYFUNCTION("LET(
  gen,$A485, ev,$B485, t,$M485,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
      </c>
      <c r="O485" s="65" t="n"/>
      <c r="P485" s="69" t="n"/>
      <c r="Q485" s="65" t="n"/>
      <c r="R485" s="69" t="n"/>
      <c r="S485" s="58" t="n"/>
      <c r="T485" s="69" t="n"/>
      <c r="U485" s="65" t="n"/>
      <c r="V485" s="65" t="n"/>
      <c r="W485" s="65" t="n"/>
    </row>
    <row r="486">
      <c r="A486" s="8" t="inlineStr">
        <is>
          <t>M</t>
        </is>
      </c>
      <c r="B486" s="9" t="inlineStr">
        <is>
          <t>200 IM</t>
        </is>
      </c>
      <c r="C486" s="9" t="n">
        <v>23</v>
      </c>
      <c r="D486" s="9" t="n">
        <v>3</v>
      </c>
      <c r="E486" s="41" t="inlineStr">
        <is>
          <t>1:59.05</t>
        </is>
      </c>
      <c r="F486" s="35">
        <f>IFERROR(__xludf.DUMMYFUNCTION("IF(
  REGEXMATCH(E486, "":""),
  60*VALUE(INDEX(SPLIT(E486, "":""),1,1)) + VALUE(INDEX(SPLIT(E486, "":""),1,2)),
  VALUE(E486)
)"),119.05)</f>
        <v/>
      </c>
      <c r="G486" s="35">
        <f>F485-F486</f>
        <v/>
      </c>
      <c r="H486" s="35" t="n">
        <v>0.1900000000000119</v>
      </c>
      <c r="I486" s="215">
        <f>C470</f>
        <v/>
      </c>
      <c r="J486" s="215">
        <f>C487</f>
        <v/>
      </c>
      <c r="K486" s="43">
        <f t="array" ref="K486">INDEX('Podium Target Times'!$C:$C, MATCH(A486&amp;B486, 'Podium Target Times'!$A:$A&amp;'Podium Target Times'!$B:$B, 0))
</f>
        <v/>
      </c>
      <c r="L486" s="12">
        <f>L487+G487</f>
        <v/>
      </c>
      <c r="M486" s="43">
        <f>TEXT(L486/86400, "mm:ss.00")</f>
        <v/>
      </c>
      <c r="N486" s="14">
        <f>IFERROR(__xludf.DUMMYFUNCTION("LET(
  gen,$A486, ev,$B486, t,$M486,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O486" s="65" t="n"/>
      <c r="P486" s="69" t="n"/>
      <c r="Q486" s="65" t="n"/>
      <c r="R486" s="69" t="n"/>
      <c r="S486" s="58" t="n"/>
      <c r="T486" s="69" t="n"/>
      <c r="U486" s="65" t="n"/>
      <c r="V486" s="65" t="n"/>
      <c r="W486" s="65" t="n"/>
    </row>
    <row r="487">
      <c r="A487" s="17" t="inlineStr">
        <is>
          <t>M</t>
        </is>
      </c>
      <c r="B487" s="18" t="inlineStr">
        <is>
          <t>200 IM</t>
        </is>
      </c>
      <c r="C487" s="18" t="n">
        <v>24</v>
      </c>
      <c r="D487" s="18" t="n">
        <v>3</v>
      </c>
      <c r="E487" s="46" t="inlineStr">
        <is>
          <t>1:59.05</t>
        </is>
      </c>
      <c r="F487" s="21">
        <f>IFERROR(__xludf.DUMMYFUNCTION("IF(
  REGEXMATCH(E487, "":""),
  60*VALUE(INDEX(SPLIT(E487, "":""),1,1)) + VALUE(INDEX(SPLIT(E487, "":""),1,2)),
  VALUE(E487)
)"),119.05)</f>
        <v/>
      </c>
      <c r="G487" s="21">
        <f>F486-F487</f>
        <v/>
      </c>
      <c r="H487" s="21" t="n">
        <v>0</v>
      </c>
      <c r="I487" s="211">
        <f>C470</f>
        <v/>
      </c>
      <c r="J487" s="211">
        <f>C487</f>
        <v/>
      </c>
      <c r="K487" s="60">
        <f t="array" ref="K487">INDEX('Podium Target Times'!$C:$C, MATCH(A487&amp;B487, 'Podium Target Times'!$A:$A&amp;'Podium Target Times'!$B:$B, 0))
</f>
        <v/>
      </c>
      <c r="L487" s="211">
        <f>K487</f>
        <v/>
      </c>
      <c r="M487" s="60">
        <f>TEXT(L487/86400, "mm:ss.00")</f>
        <v/>
      </c>
      <c r="N487" s="25">
        <f>IFERROR(__xludf.DUMMYFUNCTION("LET(
  gen,$A487, ev,$B487, t,$M487,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O487" s="65" t="n"/>
      <c r="P487" s="69" t="n"/>
      <c r="Q487" s="65" t="n"/>
      <c r="R487" s="69" t="n"/>
      <c r="S487" s="58" t="n"/>
      <c r="T487" s="69" t="n"/>
      <c r="U487" s="65" t="n"/>
      <c r="V487" s="65" t="n"/>
      <c r="W487" s="65" t="n"/>
    </row>
    <row r="488">
      <c r="A488" s="8" t="inlineStr">
        <is>
          <t>M</t>
        </is>
      </c>
      <c r="B488" s="9" t="inlineStr">
        <is>
          <t>400 Free</t>
        </is>
      </c>
      <c r="C488" s="9" t="n">
        <v>15</v>
      </c>
      <c r="D488" s="9" t="n">
        <v>1</v>
      </c>
      <c r="E488" s="41" t="inlineStr">
        <is>
          <t>4:08.91</t>
        </is>
      </c>
      <c r="F488" s="35">
        <f>IFERROR(__xludf.DUMMYFUNCTION("IF(
  REGEXMATCH(E488, "":""),
  60*VALUE(INDEX(SPLIT(E488, "":""),1,1)) + VALUE(INDEX(SPLIT(E488, "":""),1,2)),
  VALUE(E488)
)"),248.91)</f>
        <v/>
      </c>
      <c r="G488" s="12" t="n">
        <v>0</v>
      </c>
      <c r="H488" s="12" t="n">
        <v>0</v>
      </c>
      <c r="I488" s="43">
        <f>C488</f>
        <v/>
      </c>
      <c r="J488" s="43">
        <f>C505</f>
        <v/>
      </c>
      <c r="K488" s="43">
        <f t="array" ref="K488">INDEX('Podium Target Times'!$C:$C, MATCH(A488&amp;B488, 'Podium Target Times'!$A:$A&amp;'Podium Target Times'!$B:$B, 0))
</f>
        <v/>
      </c>
      <c r="L488" s="12">
        <f>L489+G489</f>
        <v/>
      </c>
      <c r="M488" s="43">
        <f>TEXT(L488/86400, "mm:ss.00")</f>
        <v/>
      </c>
      <c r="N488" s="14">
        <f>IFERROR(__xludf.DUMMYFUNCTION("LET(
  gen,$A488, ev,$B488, t,$M488,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)"),621.0)</f>
        <v/>
      </c>
      <c r="O488" s="65" t="n"/>
      <c r="P488" s="69">
        <f>A488</f>
        <v/>
      </c>
      <c r="Q488" s="65">
        <f>B488</f>
        <v/>
      </c>
      <c r="R488" s="69">
        <f>C488</f>
        <v/>
      </c>
      <c r="S488" s="58">
        <f>M488</f>
        <v/>
      </c>
      <c r="T488" s="69">
        <f>N488</f>
        <v/>
      </c>
      <c r="U488" s="65" t="n"/>
      <c r="V488" s="65" t="n"/>
      <c r="W488" s="65" t="n"/>
    </row>
    <row r="489">
      <c r="A489" s="17" t="inlineStr">
        <is>
          <t>M</t>
        </is>
      </c>
      <c r="B489" s="18" t="inlineStr">
        <is>
          <t>400 Free</t>
        </is>
      </c>
      <c r="C489" s="18" t="n">
        <v>16</v>
      </c>
      <c r="D489" s="18" t="n">
        <v>1</v>
      </c>
      <c r="E489" s="46" t="inlineStr">
        <is>
          <t>4:00.79</t>
        </is>
      </c>
      <c r="F489" s="21">
        <f>IFERROR(__xludf.DUMMYFUNCTION("IF(
  REGEXMATCH(E489, "":""),
  60*VALUE(INDEX(SPLIT(E489, "":""),1,1)) + VALUE(INDEX(SPLIT(E489, "":""),1,2)),
  VALUE(E489)
)"),240.79)</f>
        <v/>
      </c>
      <c r="G489" s="21">
        <f>F488-F489</f>
        <v/>
      </c>
      <c r="H489" s="21" t="n">
        <v>8.120000000000005</v>
      </c>
      <c r="I489" s="211">
        <f>C488</f>
        <v/>
      </c>
      <c r="J489" s="211">
        <f>C505</f>
        <v/>
      </c>
      <c r="K489" s="60">
        <f t="array" ref="K489">INDEX('Podium Target Times'!$C:$C, MATCH(A489&amp;B489, 'Podium Target Times'!$A:$A&amp;'Podium Target Times'!$B:$B, 0))
</f>
        <v/>
      </c>
      <c r="L489" s="24">
        <f>L491+G491</f>
        <v/>
      </c>
      <c r="M489" s="60">
        <f>TEXT(L489/86400, "mm:ss.00")</f>
        <v/>
      </c>
      <c r="N489" s="25">
        <f>IFERROR(__xludf.DUMMYFUNCTION("LET(
  gen,$A489, ev,$B489, t,$M489,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
      </c>
      <c r="O489" s="65" t="n"/>
      <c r="P489" s="69">
        <f>A489</f>
        <v/>
      </c>
      <c r="Q489" s="65">
        <f>B489</f>
        <v/>
      </c>
      <c r="R489" s="69">
        <f>C489</f>
        <v/>
      </c>
      <c r="S489" s="58">
        <f>M489</f>
        <v/>
      </c>
      <c r="T489" s="69">
        <f>N489</f>
        <v/>
      </c>
      <c r="U489" s="65" t="n"/>
      <c r="V489" s="65" t="n"/>
      <c r="W489" s="65" t="n"/>
    </row>
    <row r="490">
      <c r="A490" s="8" t="inlineStr">
        <is>
          <t>M</t>
        </is>
      </c>
      <c r="B490" s="9" t="inlineStr">
        <is>
          <t>400 Free</t>
        </is>
      </c>
      <c r="C490" s="9" t="n">
        <v>16</v>
      </c>
      <c r="D490" s="9" t="n">
        <v>2</v>
      </c>
      <c r="E490" s="41" t="inlineStr">
        <is>
          <t>4:03.63</t>
        </is>
      </c>
      <c r="F490" s="35">
        <f>IFERROR(__xludf.DUMMYFUNCTION("IF(
  REGEXMATCH(E490, "":""),
  60*VALUE(INDEX(SPLIT(E490, "":""),1,1)) + VALUE(INDEX(SPLIT(E490, "":""),1,2)),
  VALUE(E490)
)"),243.63)</f>
        <v/>
      </c>
      <c r="G490" s="35">
        <f>F488-F489</f>
        <v/>
      </c>
      <c r="H490" s="35" t="n">
        <v>8.120000000000005</v>
      </c>
      <c r="I490" s="215">
        <f>C488</f>
        <v/>
      </c>
      <c r="J490" s="215">
        <f>C505</f>
        <v/>
      </c>
      <c r="K490" s="43">
        <f t="array" ref="K490">INDEX('Podium Target Times'!$C:$C, MATCH(A490&amp;B490, 'Podium Target Times'!$A:$A&amp;'Podium Target Times'!$B:$B, 0))
</f>
        <v/>
      </c>
      <c r="L490" s="12">
        <f>L491+G491</f>
        <v/>
      </c>
      <c r="M490" s="43">
        <f>TEXT(L490/86400, "mm:ss.00")</f>
        <v/>
      </c>
      <c r="N490" s="14">
        <f>IFERROR(__xludf.DUMMYFUNCTION("LET(
  gen,$A490, ev,$B490, t,$M490,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
      </c>
      <c r="O490" s="65" t="n"/>
      <c r="P490" s="69">
        <f>A491</f>
        <v/>
      </c>
      <c r="Q490" s="65">
        <f>B491</f>
        <v/>
      </c>
      <c r="R490" s="69">
        <f>C491</f>
        <v/>
      </c>
      <c r="S490" s="58">
        <f>M491</f>
        <v/>
      </c>
      <c r="T490" s="69">
        <f>N491</f>
        <v/>
      </c>
      <c r="U490" s="65" t="n"/>
      <c r="V490" s="65" t="n"/>
      <c r="W490" s="65" t="n"/>
    </row>
    <row r="491">
      <c r="A491" s="17" t="inlineStr">
        <is>
          <t>M</t>
        </is>
      </c>
      <c r="B491" s="18" t="inlineStr">
        <is>
          <t>400 Free</t>
        </is>
      </c>
      <c r="C491" s="18" t="n">
        <v>17</v>
      </c>
      <c r="D491" s="18" t="n">
        <v>1</v>
      </c>
      <c r="E491" s="46" t="inlineStr">
        <is>
          <t>3:54.84</t>
        </is>
      </c>
      <c r="F491" s="21">
        <f>IFERROR(__xludf.DUMMYFUNCTION("IF(
  REGEXMATCH(E491, "":""),
  60*VALUE(INDEX(SPLIT(E491, "":""),1,1)) + VALUE(INDEX(SPLIT(E491, "":""),1,2)),
  VALUE(E491)
)"),234.84)</f>
        <v/>
      </c>
      <c r="G491" s="21">
        <f>average(F489-F491,F490-F492)</f>
        <v/>
      </c>
      <c r="H491" s="21" t="n">
        <v>5.984999999999985</v>
      </c>
      <c r="I491" s="211">
        <f>C488</f>
        <v/>
      </c>
      <c r="J491" s="211">
        <f>C505</f>
        <v/>
      </c>
      <c r="K491" s="60">
        <f t="array" ref="K491">INDEX('Podium Target Times'!$C:$C, MATCH(A491&amp;B491, 'Podium Target Times'!$A:$A&amp;'Podium Target Times'!$B:$B, 0))
</f>
        <v/>
      </c>
      <c r="L491" s="24">
        <f>L494+G494</f>
        <v/>
      </c>
      <c r="M491" s="60">
        <f>TEXT(L491/86400, "mm:ss.00")</f>
        <v/>
      </c>
      <c r="N491" s="25">
        <f>IFERROR(__xludf.DUMMYFUNCTION("LET(
  gen,$A491, ev,$B491, t,$M491,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491" s="65" t="n"/>
      <c r="P491" s="69">
        <f>A494</f>
        <v/>
      </c>
      <c r="Q491" s="65">
        <f>B494</f>
        <v/>
      </c>
      <c r="R491" s="69">
        <f>C494</f>
        <v/>
      </c>
      <c r="S491" s="58">
        <f>M494</f>
        <v/>
      </c>
      <c r="T491" s="69">
        <f>N494</f>
        <v/>
      </c>
      <c r="U491" s="65" t="n"/>
      <c r="V491" s="65" t="n"/>
      <c r="W491" s="65" t="n"/>
    </row>
    <row r="492">
      <c r="A492" s="8" t="inlineStr">
        <is>
          <t>M</t>
        </is>
      </c>
      <c r="B492" s="9" t="inlineStr">
        <is>
          <t>400 Free</t>
        </is>
      </c>
      <c r="C492" s="9" t="n">
        <v>17</v>
      </c>
      <c r="D492" s="9" t="n">
        <v>2</v>
      </c>
      <c r="E492" s="41" t="inlineStr">
        <is>
          <t>3:57.61</t>
        </is>
      </c>
      <c r="F492" s="35">
        <f>IFERROR(__xludf.DUMMYFUNCTION("IF(
  REGEXMATCH(E492, "":""),
  60*VALUE(INDEX(SPLIT(E492, "":""),1,1)) + VALUE(INDEX(SPLIT(E492, "":""),1,2)),
  VALUE(E492)
)"),237.61)</f>
        <v/>
      </c>
      <c r="G492" s="35">
        <f>average(F489-F491,F490-F492)</f>
        <v/>
      </c>
      <c r="H492" s="35" t="n">
        <v>5.984999999999985</v>
      </c>
      <c r="I492" s="215">
        <f>C488</f>
        <v/>
      </c>
      <c r="J492" s="215">
        <f>C505</f>
        <v/>
      </c>
      <c r="K492" s="43">
        <f t="array" ref="K492">INDEX('Podium Target Times'!$C:$C, MATCH(A492&amp;B492, 'Podium Target Times'!$A:$A&amp;'Podium Target Times'!$B:$B, 0))
</f>
        <v/>
      </c>
      <c r="L492" s="12">
        <f>L494+G494</f>
        <v/>
      </c>
      <c r="M492" s="43">
        <f>TEXT(L492/86400, "mm:ss.00")</f>
        <v/>
      </c>
      <c r="N492" s="14">
        <f>IFERROR(__xludf.DUMMYFUNCTION("LET(
  gen,$A492, ev,$B492, t,$M492,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492" s="65" t="n"/>
      <c r="P492" s="69">
        <f>A497</f>
        <v/>
      </c>
      <c r="Q492" s="65">
        <f>B497</f>
        <v/>
      </c>
      <c r="R492" s="69">
        <f>C497</f>
        <v/>
      </c>
      <c r="S492" s="58">
        <f>M497</f>
        <v/>
      </c>
      <c r="T492" s="69">
        <f>N497</f>
        <v/>
      </c>
      <c r="U492" s="65" t="n"/>
      <c r="V492" s="65" t="n"/>
      <c r="W492" s="65" t="n"/>
    </row>
    <row r="493">
      <c r="A493" s="17" t="inlineStr">
        <is>
          <t>M</t>
        </is>
      </c>
      <c r="B493" s="18" t="inlineStr">
        <is>
          <t>400 Free</t>
        </is>
      </c>
      <c r="C493" s="18" t="n">
        <v>17</v>
      </c>
      <c r="D493" s="18" t="n">
        <v>3</v>
      </c>
      <c r="E493" s="46" t="inlineStr">
        <is>
          <t>3:58.24</t>
        </is>
      </c>
      <c r="F493" s="21">
        <f>IFERROR(__xludf.DUMMYFUNCTION("IF(
  REGEXMATCH(E493, "":""),
  60*VALUE(INDEX(SPLIT(E493, "":""),1,1)) + VALUE(INDEX(SPLIT(E493, "":""),1,2)),
  VALUE(E493)
)"),238.24)</f>
        <v/>
      </c>
      <c r="G493" s="21">
        <f>average(F489-F491,F490-F492)</f>
        <v/>
      </c>
      <c r="H493" s="21" t="n">
        <v>5.984999999999985</v>
      </c>
      <c r="I493" s="211">
        <f>C488</f>
        <v/>
      </c>
      <c r="J493" s="211">
        <f>C505</f>
        <v/>
      </c>
      <c r="K493" s="60">
        <f t="array" ref="K493">INDEX('Podium Target Times'!$C:$C, MATCH(A493&amp;B493, 'Podium Target Times'!$A:$A&amp;'Podium Target Times'!$B:$B, 0))
</f>
        <v/>
      </c>
      <c r="L493" s="24">
        <f>L494+G494</f>
        <v/>
      </c>
      <c r="M493" s="60">
        <f>TEXT(L493/86400, "mm:ss.00")</f>
        <v/>
      </c>
      <c r="N493" s="25">
        <f>IFERROR(__xludf.DUMMYFUNCTION("LET(
  gen,$A493, ev,$B493, t,$M493,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493" s="65" t="n"/>
      <c r="P493" s="69">
        <f>A500</f>
        <v/>
      </c>
      <c r="Q493" s="65">
        <f>B500</f>
        <v/>
      </c>
      <c r="R493" s="69">
        <f>C500</f>
        <v/>
      </c>
      <c r="S493" s="58">
        <f>M500</f>
        <v/>
      </c>
      <c r="T493" s="69">
        <f>N500</f>
        <v/>
      </c>
      <c r="U493" s="65" t="n"/>
      <c r="V493" s="65" t="n"/>
      <c r="W493" s="65" t="n"/>
    </row>
    <row r="494">
      <c r="A494" s="8" t="inlineStr">
        <is>
          <t>M</t>
        </is>
      </c>
      <c r="B494" s="9" t="inlineStr">
        <is>
          <t>400 Free</t>
        </is>
      </c>
      <c r="C494" s="9" t="n">
        <v>18</v>
      </c>
      <c r="D494" s="9" t="n">
        <v>1</v>
      </c>
      <c r="E494" s="41" t="inlineStr">
        <is>
          <t>3:50.84</t>
        </is>
      </c>
      <c r="F494" s="35">
        <f>IFERROR(__xludf.DUMMYFUNCTION("IF(
  REGEXMATCH(E494, "":""),
  60*VALUE(INDEX(SPLIT(E494, "":""),1,1)) + VALUE(INDEX(SPLIT(E494, "":""),1,2)),
  VALUE(E494)
)"),230.84)</f>
        <v/>
      </c>
      <c r="G494" s="35">
        <f>average(F491-F494,F492-F495,F493-F496)</f>
        <v/>
      </c>
      <c r="H494" s="35" t="n">
        <v>4.036666666666672</v>
      </c>
      <c r="I494" s="215">
        <f>C488</f>
        <v/>
      </c>
      <c r="J494" s="215">
        <f>C505</f>
        <v/>
      </c>
      <c r="K494" s="43">
        <f t="array" ref="K494">INDEX('Podium Target Times'!$C:$C, MATCH(A494&amp;B494, 'Podium Target Times'!$A:$A&amp;'Podium Target Times'!$B:$B, 0))
</f>
        <v/>
      </c>
      <c r="L494" s="12">
        <f>L497+G497</f>
        <v/>
      </c>
      <c r="M494" s="43">
        <f>TEXT(L494/86400, "mm:ss.00")</f>
        <v/>
      </c>
      <c r="N494" s="14">
        <f>IFERROR(__xludf.DUMMYFUNCTION("LET(
  gen,$A494, ev,$B494, t,$M494,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
      </c>
      <c r="O494" s="65" t="n"/>
      <c r="P494" s="69">
        <f>A502</f>
        <v/>
      </c>
      <c r="Q494" s="65">
        <f>B502</f>
        <v/>
      </c>
      <c r="R494" s="69">
        <f>C502</f>
        <v/>
      </c>
      <c r="S494" s="58">
        <f>M502</f>
        <v/>
      </c>
      <c r="T494" s="69">
        <f>N502</f>
        <v/>
      </c>
      <c r="U494" s="65" t="n"/>
      <c r="V494" s="65" t="n"/>
      <c r="W494" s="65" t="n"/>
    </row>
    <row r="495">
      <c r="A495" s="17" t="inlineStr">
        <is>
          <t>M</t>
        </is>
      </c>
      <c r="B495" s="18" t="inlineStr">
        <is>
          <t>400 Free</t>
        </is>
      </c>
      <c r="C495" s="18" t="n">
        <v>18</v>
      </c>
      <c r="D495" s="18" t="n">
        <v>2</v>
      </c>
      <c r="E495" s="46" t="inlineStr">
        <is>
          <t>3:53.56</t>
        </is>
      </c>
      <c r="F495" s="21">
        <f>IFERROR(__xludf.DUMMYFUNCTION("IF(
  REGEXMATCH(E495, "":""),
  60*VALUE(INDEX(SPLIT(E495, "":""),1,1)) + VALUE(INDEX(SPLIT(E495, "":""),1,2)),
  VALUE(E495)
)"),233.56)</f>
        <v/>
      </c>
      <c r="G495" s="21">
        <f>average(F491-F494,F492-F495,F493-F496)</f>
        <v/>
      </c>
      <c r="H495" s="21" t="n">
        <v>4.036666666666672</v>
      </c>
      <c r="I495" s="211">
        <f>C488</f>
        <v/>
      </c>
      <c r="J495" s="211">
        <f>C505</f>
        <v/>
      </c>
      <c r="K495" s="60">
        <f t="array" ref="K495">INDEX('Podium Target Times'!$C:$C, MATCH(A495&amp;B495, 'Podium Target Times'!$A:$A&amp;'Podium Target Times'!$B:$B, 0))
</f>
        <v/>
      </c>
      <c r="L495" s="24">
        <f>L497+G497</f>
        <v/>
      </c>
      <c r="M495" s="60">
        <f>TEXT(L495/86400, "mm:ss.00")</f>
        <v/>
      </c>
      <c r="N495" s="25">
        <f>IFERROR(__xludf.DUMMYFUNCTION("LET(
  gen,$A495, ev,$B495, t,$M495,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
      </c>
      <c r="O495" s="65" t="n"/>
      <c r="P495" s="69">
        <f>A504</f>
        <v/>
      </c>
      <c r="Q495" s="65">
        <f>B504</f>
        <v/>
      </c>
      <c r="R495" s="69">
        <f>C504</f>
        <v/>
      </c>
      <c r="S495" s="58">
        <f>M504</f>
        <v/>
      </c>
      <c r="T495" s="69">
        <f>N504</f>
        <v/>
      </c>
      <c r="U495" s="65" t="n"/>
      <c r="V495" s="65" t="n"/>
      <c r="W495" s="65" t="n"/>
    </row>
    <row r="496">
      <c r="A496" s="8" t="inlineStr">
        <is>
          <t>M</t>
        </is>
      </c>
      <c r="B496" s="9" t="inlineStr">
        <is>
          <t>400 Free</t>
        </is>
      </c>
      <c r="C496" s="9" t="n">
        <v>18</v>
      </c>
      <c r="D496" s="9" t="n">
        <v>3</v>
      </c>
      <c r="E496" s="41" t="inlineStr">
        <is>
          <t>3:54.18</t>
        </is>
      </c>
      <c r="F496" s="35">
        <f>IFERROR(__xludf.DUMMYFUNCTION("IF(
  REGEXMATCH(E496, "":""),
  60*VALUE(INDEX(SPLIT(E496, "":""),1,1)) + VALUE(INDEX(SPLIT(E496, "":""),1,2)),
  VALUE(E496)
)"),234.18)</f>
        <v/>
      </c>
      <c r="G496" s="35">
        <f>average(F491-F494,F492-F495,F493-F496)</f>
        <v/>
      </c>
      <c r="H496" s="35" t="n">
        <v>4.036666666666672</v>
      </c>
      <c r="I496" s="215">
        <f>C488</f>
        <v/>
      </c>
      <c r="J496" s="215">
        <f>C505</f>
        <v/>
      </c>
      <c r="K496" s="43">
        <f t="array" ref="K496">INDEX('Podium Target Times'!$C:$C, MATCH(A496&amp;B496, 'Podium Target Times'!$A:$A&amp;'Podium Target Times'!$B:$B, 0))
</f>
        <v/>
      </c>
      <c r="L496" s="12">
        <f>L497+G497</f>
        <v/>
      </c>
      <c r="M496" s="43">
        <f>TEXT(L496/86400, "mm:ss.00")</f>
        <v/>
      </c>
      <c r="N496" s="14">
        <f>IFERROR(__xludf.DUMMYFUNCTION("LET(
  gen,$A496, ev,$B496, t,$M496,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
      </c>
      <c r="O496" s="65" t="n"/>
      <c r="P496" s="69">
        <f>A505</f>
        <v/>
      </c>
      <c r="Q496" s="65">
        <f>B505</f>
        <v/>
      </c>
      <c r="R496" s="69">
        <f>C505</f>
        <v/>
      </c>
      <c r="S496" s="58">
        <f>M505</f>
        <v/>
      </c>
      <c r="T496" s="69">
        <f>N505</f>
        <v/>
      </c>
      <c r="U496" s="65" t="n"/>
      <c r="V496" s="65" t="n"/>
      <c r="W496" s="65" t="n"/>
    </row>
    <row r="497">
      <c r="A497" s="17" t="inlineStr">
        <is>
          <t>M</t>
        </is>
      </c>
      <c r="B497" s="18" t="inlineStr">
        <is>
          <t>400 Free</t>
        </is>
      </c>
      <c r="C497" s="18" t="n">
        <v>19</v>
      </c>
      <c r="D497" s="18" t="n">
        <v>1</v>
      </c>
      <c r="E497" s="46" t="inlineStr">
        <is>
          <t>3:48.15</t>
        </is>
      </c>
      <c r="F497" s="21">
        <f>IFERROR(__xludf.DUMMYFUNCTION("IF(
  REGEXMATCH(E497, "":""),
  60*VALUE(INDEX(SPLIT(E497, "":""),1,1)) + VALUE(INDEX(SPLIT(E497, "":""),1,2)),
  VALUE(E497)
)"),228.15)</f>
        <v/>
      </c>
      <c r="G497" s="21">
        <f>average(F494-F497,F495-F498,F496-F499)</f>
        <v/>
      </c>
      <c r="H497" s="21" t="n">
        <v>2.713333333333338</v>
      </c>
      <c r="I497" s="211">
        <f>C488</f>
        <v/>
      </c>
      <c r="J497" s="211">
        <f>C505</f>
        <v/>
      </c>
      <c r="K497" s="60">
        <f t="array" ref="K497">INDEX('Podium Target Times'!$C:$C, MATCH(A497&amp;B497, 'Podium Target Times'!$A:$A&amp;'Podium Target Times'!$B:$B, 0))
</f>
        <v/>
      </c>
      <c r="L497" s="24">
        <f>L500+G500</f>
        <v/>
      </c>
      <c r="M497" s="60">
        <f>TEXT(L497/86400, "mm:ss.00")</f>
        <v/>
      </c>
      <c r="N497" s="25">
        <f>IFERROR(__xludf.DUMMYFUNCTION("LET(
  gen,$A497, ev,$B497, t,$M497,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O497" s="65" t="n"/>
      <c r="P497" s="69" t="n"/>
      <c r="Q497" s="65" t="n"/>
      <c r="R497" s="69" t="n"/>
      <c r="S497" s="58" t="n"/>
      <c r="T497" s="69" t="n"/>
      <c r="U497" s="65" t="n"/>
      <c r="V497" s="65" t="n"/>
      <c r="W497" s="65" t="n"/>
    </row>
    <row r="498">
      <c r="A498" s="8" t="inlineStr">
        <is>
          <t>M</t>
        </is>
      </c>
      <c r="B498" s="9" t="inlineStr">
        <is>
          <t>400 Free</t>
        </is>
      </c>
      <c r="C498" s="9" t="n">
        <v>19</v>
      </c>
      <c r="D498" s="9" t="n">
        <v>2</v>
      </c>
      <c r="E498" s="41" t="inlineStr">
        <is>
          <t>3:50.84</t>
        </is>
      </c>
      <c r="F498" s="35">
        <f>IFERROR(__xludf.DUMMYFUNCTION("IF(
  REGEXMATCH(E498, "":""),
  60*VALUE(INDEX(SPLIT(E498, "":""),1,1)) + VALUE(INDEX(SPLIT(E498, "":""),1,2)),
  VALUE(E498)
)"),230.84)</f>
        <v/>
      </c>
      <c r="G498" s="35">
        <f>average(F494-F497,F495-F498,F496-F499)</f>
        <v/>
      </c>
      <c r="H498" s="35" t="n">
        <v>2.713333333333338</v>
      </c>
      <c r="I498" s="215">
        <f>C488</f>
        <v/>
      </c>
      <c r="J498" s="215">
        <f>C505</f>
        <v/>
      </c>
      <c r="K498" s="43">
        <f t="array" ref="K498">INDEX('Podium Target Times'!$C:$C, MATCH(A498&amp;B498, 'Podium Target Times'!$A:$A&amp;'Podium Target Times'!$B:$B, 0))
</f>
        <v/>
      </c>
      <c r="L498" s="12">
        <f>L500+G500</f>
        <v/>
      </c>
      <c r="M498" s="43">
        <f>TEXT(L498/86400, "mm:ss.00")</f>
        <v/>
      </c>
      <c r="N498" s="14">
        <f>IFERROR(__xludf.DUMMYFUNCTION("LET(
  gen,$A498, ev,$B498, t,$M498,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O498" s="65" t="n"/>
      <c r="P498" s="69" t="n"/>
      <c r="Q498" s="65" t="n"/>
      <c r="R498" s="69" t="n"/>
      <c r="S498" s="58" t="n"/>
      <c r="T498" s="69" t="n"/>
      <c r="U498" s="65" t="n"/>
      <c r="V498" s="65" t="n"/>
      <c r="W498" s="65" t="n"/>
    </row>
    <row r="499">
      <c r="A499" s="17" t="inlineStr">
        <is>
          <t>M</t>
        </is>
      </c>
      <c r="B499" s="18" t="inlineStr">
        <is>
          <t>400 Free</t>
        </is>
      </c>
      <c r="C499" s="18" t="n">
        <v>19</v>
      </c>
      <c r="D499" s="18" t="n">
        <v>3</v>
      </c>
      <c r="E499" s="46" t="inlineStr">
        <is>
          <t>3:51.45</t>
        </is>
      </c>
      <c r="F499" s="21">
        <f>IFERROR(__xludf.DUMMYFUNCTION("IF(
  REGEXMATCH(E499, "":""),
  60*VALUE(INDEX(SPLIT(E499, "":""),1,1)) + VALUE(INDEX(SPLIT(E499, "":""),1,2)),
  VALUE(E499)
)"),231.45)</f>
        <v/>
      </c>
      <c r="G499" s="21">
        <f>average(F494-F497,F495-F498,F496-F499)</f>
        <v/>
      </c>
      <c r="H499" s="21" t="n">
        <v>2.713333333333338</v>
      </c>
      <c r="I499" s="211">
        <f>C488</f>
        <v/>
      </c>
      <c r="J499" s="211">
        <f>C505</f>
        <v/>
      </c>
      <c r="K499" s="60">
        <f t="array" ref="K499">INDEX('Podium Target Times'!$C:$C, MATCH(A499&amp;B499, 'Podium Target Times'!$A:$A&amp;'Podium Target Times'!$B:$B, 0))
</f>
        <v/>
      </c>
      <c r="L499" s="24">
        <f>L500+G500</f>
        <v/>
      </c>
      <c r="M499" s="60">
        <f>TEXT(L499/86400, "mm:ss.00")</f>
        <v/>
      </c>
      <c r="N499" s="25">
        <f>IFERROR(__xludf.DUMMYFUNCTION("LET(
  gen,$A499, ev,$B499, t,$M499,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O499" s="65" t="n"/>
      <c r="P499" s="69" t="n"/>
      <c r="Q499" s="65" t="n"/>
      <c r="R499" s="69" t="n"/>
      <c r="S499" s="58" t="n"/>
      <c r="T499" s="69" t="n"/>
      <c r="U499" s="65" t="n"/>
      <c r="V499" s="65" t="n"/>
      <c r="W499" s="65" t="n"/>
    </row>
    <row r="500">
      <c r="A500" s="8" t="inlineStr">
        <is>
          <t>M</t>
        </is>
      </c>
      <c r="B500" s="9" t="inlineStr">
        <is>
          <t>400 Free</t>
        </is>
      </c>
      <c r="C500" s="9" t="n">
        <v>20</v>
      </c>
      <c r="D500" s="9" t="n">
        <v>2</v>
      </c>
      <c r="E500" s="41" t="inlineStr">
        <is>
          <t>3:49.11</t>
        </is>
      </c>
      <c r="F500" s="35">
        <f>IFERROR(__xludf.DUMMYFUNCTION("IF(
  REGEXMATCH(E500, "":""),
  60*VALUE(INDEX(SPLIT(E500, "":""),1,1)) + VALUE(INDEX(SPLIT(E500, "":""),1,2)),
  VALUE(E500)
)"),229.11)</f>
        <v/>
      </c>
      <c r="G500" s="35">
        <f>average(F498-F500,F499-F501)</f>
        <v/>
      </c>
      <c r="H500" s="35" t="n">
        <v>1.72999999999999</v>
      </c>
      <c r="I500" s="215">
        <f>C488</f>
        <v/>
      </c>
      <c r="J500" s="215">
        <f>C505</f>
        <v/>
      </c>
      <c r="K500" s="43">
        <f t="array" ref="K500">INDEX('Podium Target Times'!$C:$C, MATCH(A500&amp;B500, 'Podium Target Times'!$A:$A&amp;'Podium Target Times'!$B:$B, 0))
</f>
        <v/>
      </c>
      <c r="L500" s="12">
        <f>L502+G502</f>
        <v/>
      </c>
      <c r="M500" s="43">
        <f>TEXT(L500/86400, "mm:ss.00")</f>
        <v/>
      </c>
      <c r="N500" s="14">
        <f>IFERROR(__xludf.DUMMYFUNCTION("LET(
  gen,$A500, ev,$B500, t,$M500,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
      </c>
      <c r="O500" s="65" t="n"/>
      <c r="P500" s="69" t="n"/>
      <c r="Q500" s="65" t="n"/>
      <c r="R500" s="69" t="n"/>
      <c r="S500" s="58" t="n"/>
      <c r="T500" s="69" t="n"/>
      <c r="U500" s="65" t="n"/>
      <c r="V500" s="65" t="n"/>
      <c r="W500" s="65" t="n"/>
    </row>
    <row r="501">
      <c r="A501" s="17" t="inlineStr">
        <is>
          <t>M</t>
        </is>
      </c>
      <c r="B501" s="18" t="inlineStr">
        <is>
          <t>400 Free</t>
        </is>
      </c>
      <c r="C501" s="18" t="n">
        <v>20</v>
      </c>
      <c r="D501" s="18" t="n">
        <v>3</v>
      </c>
      <c r="E501" s="46" t="inlineStr">
        <is>
          <t>3:49.72</t>
        </is>
      </c>
      <c r="F501" s="21">
        <f>IFERROR(__xludf.DUMMYFUNCTION("IF(
  REGEXMATCH(E501, "":""),
  60*VALUE(INDEX(SPLIT(E501, "":""),1,1)) + VALUE(INDEX(SPLIT(E501, "":""),1,2)),
  VALUE(E501)
)"),229.72)</f>
        <v/>
      </c>
      <c r="G501" s="21">
        <f>average(F498-F500,F499-F501)</f>
        <v/>
      </c>
      <c r="H501" s="21" t="n">
        <v>1.72999999999999</v>
      </c>
      <c r="I501" s="211">
        <f>C488</f>
        <v/>
      </c>
      <c r="J501" s="211">
        <f>C505</f>
        <v/>
      </c>
      <c r="K501" s="60">
        <f t="array" ref="K501">INDEX('Podium Target Times'!$C:$C, MATCH(A501&amp;B501, 'Podium Target Times'!$A:$A&amp;'Podium Target Times'!$B:$B, 0))
</f>
        <v/>
      </c>
      <c r="L501" s="24">
        <f>L502+G502</f>
        <v/>
      </c>
      <c r="M501" s="60">
        <f>TEXT(L501/86400, "mm:ss.00")</f>
        <v/>
      </c>
      <c r="N501" s="25">
        <f>IFERROR(__xludf.DUMMYFUNCTION("LET(
  gen,$A501, ev,$B501, t,$M501,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)"),817.0)</f>
        <v/>
      </c>
      <c r="O501" s="65" t="n"/>
      <c r="P501" s="69" t="n"/>
      <c r="Q501" s="65" t="n"/>
      <c r="R501" s="69" t="n"/>
      <c r="S501" s="58" t="n"/>
      <c r="T501" s="69" t="n"/>
      <c r="U501" s="65" t="n"/>
      <c r="V501" s="65" t="n"/>
      <c r="W501" s="65" t="n"/>
    </row>
    <row r="502">
      <c r="A502" s="8" t="inlineStr">
        <is>
          <t>M</t>
        </is>
      </c>
      <c r="B502" s="9" t="inlineStr">
        <is>
          <t>400 Free</t>
        </is>
      </c>
      <c r="C502" s="9" t="n">
        <v>21</v>
      </c>
      <c r="D502" s="9" t="n">
        <v>2</v>
      </c>
      <c r="E502" s="41" t="inlineStr">
        <is>
          <t>3:48.15</t>
        </is>
      </c>
      <c r="F502" s="35">
        <f>IFERROR(__xludf.DUMMYFUNCTION("IF(
  REGEXMATCH(E502, "":""),
  60*VALUE(INDEX(SPLIT(E502, "":""),1,1)) + VALUE(INDEX(SPLIT(E502, "":""),1,2)),
  VALUE(E502)
)"),228.15)</f>
        <v/>
      </c>
      <c r="G502" s="35">
        <f>average(F500-F502,F501-F503)</f>
        <v/>
      </c>
      <c r="H502" s="35" t="n">
        <v>0.9650000000000034</v>
      </c>
      <c r="I502" s="215">
        <f>C488</f>
        <v/>
      </c>
      <c r="J502" s="215">
        <f>C505</f>
        <v/>
      </c>
      <c r="K502" s="43">
        <f t="array" ref="K502">INDEX('Podium Target Times'!$C:$C, MATCH(A502&amp;B502, 'Podium Target Times'!$A:$A&amp;'Podium Target Times'!$B:$B, 0))
</f>
        <v/>
      </c>
      <c r="L502" s="12">
        <f>L504+G504</f>
        <v/>
      </c>
      <c r="M502" s="43">
        <f>TEXT(L502/86400, "mm:ss.00")</f>
        <v/>
      </c>
      <c r="N502" s="14">
        <f>IFERROR(__xludf.DUMMYFUNCTION("LET(
  gen,$A502, ev,$B502, t,$M502,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
      </c>
      <c r="O502" s="65" t="n"/>
      <c r="P502" s="69" t="n"/>
      <c r="Q502" s="65" t="n"/>
      <c r="R502" s="69" t="n"/>
      <c r="S502" s="58" t="n"/>
      <c r="T502" s="69" t="n"/>
      <c r="U502" s="65" t="n"/>
      <c r="V502" s="65" t="n"/>
      <c r="W502" s="65" t="n"/>
    </row>
    <row r="503">
      <c r="A503" s="17" t="inlineStr">
        <is>
          <t>M</t>
        </is>
      </c>
      <c r="B503" s="18" t="inlineStr">
        <is>
          <t>400 Free</t>
        </is>
      </c>
      <c r="C503" s="18" t="n">
        <v>21</v>
      </c>
      <c r="D503" s="18" t="n">
        <v>3</v>
      </c>
      <c r="E503" s="46" t="inlineStr">
        <is>
          <t>3:48.75</t>
        </is>
      </c>
      <c r="F503" s="21">
        <f>IFERROR(__xludf.DUMMYFUNCTION("IF(
  REGEXMATCH(E503, "":""),
  60*VALUE(INDEX(SPLIT(E503, "":""),1,1)) + VALUE(INDEX(SPLIT(E503, "":""),1,2)),
  VALUE(E503)
)"),228.75)</f>
        <v/>
      </c>
      <c r="G503" s="21">
        <f>average(F500-F502,F501-F503)</f>
        <v/>
      </c>
      <c r="H503" s="21" t="n">
        <v>0.9650000000000034</v>
      </c>
      <c r="I503" s="211">
        <f>C488</f>
        <v/>
      </c>
      <c r="J503" s="211">
        <f>C505</f>
        <v/>
      </c>
      <c r="K503" s="60">
        <f t="array" ref="K503">INDEX('Podium Target Times'!$C:$C, MATCH(A503&amp;B503, 'Podium Target Times'!$A:$A&amp;'Podium Target Times'!$B:$B, 0))
</f>
        <v/>
      </c>
      <c r="L503" s="24">
        <f>L504+G504</f>
        <v/>
      </c>
      <c r="M503" s="60">
        <f>TEXT(L503/86400, "mm:ss.00")</f>
        <v/>
      </c>
      <c r="N503" s="25">
        <f>IFERROR(__xludf.DUMMYFUNCTION("LET(
  gen,$A503, ev,$B503, t,$M503,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)"),827.0)</f>
        <v/>
      </c>
      <c r="O503" s="65" t="n"/>
      <c r="P503" s="69" t="n"/>
      <c r="Q503" s="65" t="n"/>
      <c r="R503" s="69" t="n"/>
      <c r="S503" s="58" t="n"/>
      <c r="T503" s="69" t="n"/>
      <c r="U503" s="65" t="n"/>
      <c r="V503" s="65" t="n"/>
      <c r="W503" s="65" t="n"/>
    </row>
    <row r="504">
      <c r="A504" s="8" t="inlineStr">
        <is>
          <t>M</t>
        </is>
      </c>
      <c r="B504" s="9" t="inlineStr">
        <is>
          <t>400 Free</t>
        </is>
      </c>
      <c r="C504" s="9" t="n">
        <v>22</v>
      </c>
      <c r="D504" s="9" t="n">
        <v>3</v>
      </c>
      <c r="E504" s="41" t="inlineStr">
        <is>
          <t>3:48.27</t>
        </is>
      </c>
      <c r="F504" s="35">
        <f>IFERROR(__xludf.DUMMYFUNCTION("IF(
  REGEXMATCH(E504, "":""),
  60*VALUE(INDEX(SPLIT(E504, "":""),1,1)) + VALUE(INDEX(SPLIT(E504, "":""),1,2)),
  VALUE(E504)
)"),228.27)</f>
        <v/>
      </c>
      <c r="G504" s="35">
        <f>F503-F504</f>
        <v/>
      </c>
      <c r="H504" s="35" t="n">
        <v>0.4799999999999898</v>
      </c>
      <c r="I504" s="215">
        <f>C488</f>
        <v/>
      </c>
      <c r="J504" s="215">
        <f>C505</f>
        <v/>
      </c>
      <c r="K504" s="43">
        <f t="array" ref="K504">INDEX('Podium Target Times'!$C:$C, MATCH(A504&amp;B504, 'Podium Target Times'!$A:$A&amp;'Podium Target Times'!$B:$B, 0))
</f>
        <v/>
      </c>
      <c r="L504" s="12">
        <f>L505+G505</f>
        <v/>
      </c>
      <c r="M504" s="43">
        <f>TEXT(L504/86400, "mm:ss.00")</f>
        <v/>
      </c>
      <c r="N504" s="14">
        <f>IFERROR(__xludf.DUMMYFUNCTION("LET(
  gen,$A504, ev,$B504, t,$M504,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)"),832.0)</f>
        <v/>
      </c>
      <c r="O504" s="65" t="n"/>
      <c r="P504" s="69" t="n"/>
      <c r="Q504" s="65" t="n"/>
      <c r="R504" s="69" t="n"/>
      <c r="S504" s="58" t="n"/>
      <c r="T504" s="69" t="n"/>
      <c r="U504" s="65" t="n"/>
      <c r="V504" s="65" t="n"/>
      <c r="W504" s="65" t="n"/>
    </row>
    <row r="505">
      <c r="A505" s="17" t="inlineStr">
        <is>
          <t>M</t>
        </is>
      </c>
      <c r="B505" s="18" t="inlineStr">
        <is>
          <t>400 Free</t>
        </is>
      </c>
      <c r="C505" s="18" t="n">
        <v>23</v>
      </c>
      <c r="D505" s="18" t="n">
        <v>3</v>
      </c>
      <c r="E505" s="46" t="inlineStr">
        <is>
          <t>3:48.15</t>
        </is>
      </c>
      <c r="F505" s="21">
        <f>IFERROR(__xludf.DUMMYFUNCTION("IF(
  REGEXMATCH(E505, "":""),
  60*VALUE(INDEX(SPLIT(E505, "":""),1,1)) + VALUE(INDEX(SPLIT(E505, "":""),1,2)),
  VALUE(E505)
)"),228.15)</f>
        <v/>
      </c>
      <c r="G505" s="21">
        <f>F504-F505</f>
        <v/>
      </c>
      <c r="H505" s="21" t="n">
        <v>0.1200000000000045</v>
      </c>
      <c r="I505" s="211">
        <f>C488</f>
        <v/>
      </c>
      <c r="J505" s="211">
        <f>C505</f>
        <v/>
      </c>
      <c r="K505" s="60">
        <f t="array" ref="K505">INDEX('Podium Target Times'!$C:$C, MATCH(A505&amp;B505, 'Podium Target Times'!$A:$A&amp;'Podium Target Times'!$B:$B, 0))
</f>
        <v/>
      </c>
      <c r="L505" s="211">
        <f>K505</f>
        <v/>
      </c>
      <c r="M505" s="60">
        <f>TEXT(L505/86400, "mm:ss.00")</f>
        <v/>
      </c>
      <c r="N505" s="25">
        <f>IFERROR(__xludf.DUMMYFUNCTION("LET(
  gen,$A505, ev,$B505, t,$M505,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
      </c>
      <c r="O505" s="65" t="n"/>
      <c r="P505" s="69" t="n"/>
      <c r="Q505" s="65" t="n"/>
      <c r="R505" s="69" t="n"/>
      <c r="S505" s="58" t="n"/>
      <c r="T505" s="69" t="n"/>
      <c r="U505" s="65" t="n"/>
      <c r="V505" s="65" t="n"/>
      <c r="W505" s="65" t="n"/>
    </row>
    <row r="506">
      <c r="A506" s="8" t="inlineStr">
        <is>
          <t>M</t>
        </is>
      </c>
      <c r="B506" s="9" t="inlineStr">
        <is>
          <t>400 IM</t>
        </is>
      </c>
      <c r="C506" s="9" t="n">
        <v>15</v>
      </c>
      <c r="D506" s="9" t="n">
        <v>1</v>
      </c>
      <c r="E506" s="41" t="inlineStr">
        <is>
          <t>4:38.79</t>
        </is>
      </c>
      <c r="F506" s="35">
        <f>IFERROR(__xludf.DUMMYFUNCTION("IF(
  REGEXMATCH(E506, "":""),
  60*VALUE(INDEX(SPLIT(E506, "":""),1,1)) + VALUE(INDEX(SPLIT(E506, "":""),1,2)),
  VALUE(E506)
)"),278.79)</f>
        <v/>
      </c>
      <c r="G506" s="12" t="n">
        <v>0</v>
      </c>
      <c r="H506" s="12" t="n">
        <v>0</v>
      </c>
      <c r="I506" s="43">
        <f>C506</f>
        <v/>
      </c>
      <c r="J506" s="43">
        <f>C523</f>
        <v/>
      </c>
      <c r="K506" s="43">
        <f t="array" ref="K506">INDEX('Podium Target Times'!$C:$C, MATCH(A506&amp;B506, 'Podium Target Times'!$A:$A&amp;'Podium Target Times'!$B:$B, 0))
</f>
        <v/>
      </c>
      <c r="L506" s="12">
        <f>L507+G507</f>
        <v/>
      </c>
      <c r="M506" s="43">
        <f>TEXT(L506/86400, "mm:ss.00")</f>
        <v/>
      </c>
      <c r="N506" s="14">
        <f>IFERROR(__xludf.DUMMYFUNCTION("LET(
  gen,$A506, ev,$B506, t,$M506,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)"),591.0)</f>
        <v/>
      </c>
      <c r="O506" s="65" t="n"/>
      <c r="P506" s="69">
        <f>A506</f>
        <v/>
      </c>
      <c r="Q506" s="65">
        <f>B506</f>
        <v/>
      </c>
      <c r="R506" s="69">
        <f>C506</f>
        <v/>
      </c>
      <c r="S506" s="58">
        <f>M506</f>
        <v/>
      </c>
      <c r="T506" s="69">
        <f>N506</f>
        <v/>
      </c>
      <c r="U506" s="65" t="n"/>
      <c r="V506" s="65" t="n"/>
      <c r="W506" s="65" t="n"/>
    </row>
    <row r="507">
      <c r="A507" s="17" t="inlineStr">
        <is>
          <t>M</t>
        </is>
      </c>
      <c r="B507" s="18" t="inlineStr">
        <is>
          <t>400 IM</t>
        </is>
      </c>
      <c r="C507" s="18" t="n">
        <v>16</v>
      </c>
      <c r="D507" s="18" t="n">
        <v>1</v>
      </c>
      <c r="E507" s="46" t="inlineStr">
        <is>
          <t>4:30.33</t>
        </is>
      </c>
      <c r="F507" s="21">
        <f>IFERROR(__xludf.DUMMYFUNCTION("IF(
  REGEXMATCH(E507, "":""),
  60*VALUE(INDEX(SPLIT(E507, "":""),1,1)) + VALUE(INDEX(SPLIT(E507, "":""),1,2)),
  VALUE(E507)
)"),270.33)</f>
        <v/>
      </c>
      <c r="G507" s="21">
        <f>F506-F507</f>
        <v/>
      </c>
      <c r="H507" s="21" t="n">
        <v>8.460000000000036</v>
      </c>
      <c r="I507" s="211">
        <f>C506</f>
        <v/>
      </c>
      <c r="J507" s="211">
        <f>C523</f>
        <v/>
      </c>
      <c r="K507" s="60">
        <f t="array" ref="K507">INDEX('Podium Target Times'!$C:$C, MATCH(A507&amp;B507, 'Podium Target Times'!$A:$A&amp;'Podium Target Times'!$B:$B, 0))
</f>
        <v/>
      </c>
      <c r="L507" s="24">
        <f>L509+G509</f>
        <v/>
      </c>
      <c r="M507" s="60">
        <f>TEXT(L507/86400, "mm:ss.00")</f>
        <v/>
      </c>
      <c r="N507" s="25">
        <f>IFERROR(__xludf.DUMMYFUNCTION("LET(
  gen,$A507, ev,$B507, t,$M507,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
      </c>
      <c r="O507" s="65" t="n"/>
      <c r="P507" s="69">
        <f>A507</f>
        <v/>
      </c>
      <c r="Q507" s="65">
        <f>B507</f>
        <v/>
      </c>
      <c r="R507" s="69">
        <f>C507</f>
        <v/>
      </c>
      <c r="S507" s="58">
        <f>M507</f>
        <v/>
      </c>
      <c r="T507" s="69">
        <f>N507</f>
        <v/>
      </c>
      <c r="U507" s="65" t="n"/>
      <c r="V507" s="65" t="n"/>
      <c r="W507" s="65" t="n"/>
    </row>
    <row r="508">
      <c r="A508" s="8" t="inlineStr">
        <is>
          <t>M</t>
        </is>
      </c>
      <c r="B508" s="9" t="inlineStr">
        <is>
          <t>400 IM</t>
        </is>
      </c>
      <c r="C508" s="9" t="n">
        <v>16</v>
      </c>
      <c r="D508" s="9" t="n">
        <v>2</v>
      </c>
      <c r="E508" s="41" t="inlineStr">
        <is>
          <t>4:34.00</t>
        </is>
      </c>
      <c r="F508" s="35">
        <f>IFERROR(__xludf.DUMMYFUNCTION("IF(
  REGEXMATCH(E508, "":""),
  60*VALUE(INDEX(SPLIT(E508, "":""),1,1)) + VALUE(INDEX(SPLIT(E508, "":""),1,2)),
  VALUE(E508)
)"),274.0)</f>
        <v/>
      </c>
      <c r="G508" s="35">
        <f>F506-F507</f>
        <v/>
      </c>
      <c r="H508" s="35" t="n">
        <v>8.460000000000036</v>
      </c>
      <c r="I508" s="215">
        <f>C506</f>
        <v/>
      </c>
      <c r="J508" s="215">
        <f>C523</f>
        <v/>
      </c>
      <c r="K508" s="43">
        <f t="array" ref="K508">INDEX('Podium Target Times'!$C:$C, MATCH(A508&amp;B508, 'Podium Target Times'!$A:$A&amp;'Podium Target Times'!$B:$B, 0))
</f>
        <v/>
      </c>
      <c r="L508" s="12">
        <f>L509+G509</f>
        <v/>
      </c>
      <c r="M508" s="43">
        <f>TEXT(L508/86400, "mm:ss.00")</f>
        <v/>
      </c>
      <c r="N508" s="14">
        <f>IFERROR(__xludf.DUMMYFUNCTION("LET(
  gen,$A508, ev,$B508, t,$M508,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
      </c>
      <c r="O508" s="65" t="n"/>
      <c r="P508" s="69">
        <f>A509</f>
        <v/>
      </c>
      <c r="Q508" s="65">
        <f>B509</f>
        <v/>
      </c>
      <c r="R508" s="69">
        <f>C509</f>
        <v/>
      </c>
      <c r="S508" s="58">
        <f>M509</f>
        <v/>
      </c>
      <c r="T508" s="69">
        <f>N509</f>
        <v/>
      </c>
      <c r="U508" s="65" t="n"/>
      <c r="V508" s="65" t="n"/>
      <c r="W508" s="65" t="n"/>
    </row>
    <row r="509">
      <c r="A509" s="17" t="inlineStr">
        <is>
          <t>M</t>
        </is>
      </c>
      <c r="B509" s="18" t="inlineStr">
        <is>
          <t>400 IM</t>
        </is>
      </c>
      <c r="C509" s="18" t="n">
        <v>17</v>
      </c>
      <c r="D509" s="18" t="n">
        <v>1</v>
      </c>
      <c r="E509" s="46" t="inlineStr">
        <is>
          <t>4:24.32</t>
        </is>
      </c>
      <c r="F509" s="21">
        <f>IFERROR(__xludf.DUMMYFUNCTION("IF(
  REGEXMATCH(E509, "":""),
  60*VALUE(INDEX(SPLIT(E509, "":""),1,1)) + VALUE(INDEX(SPLIT(E509, "":""),1,2)),
  VALUE(E509)
)"),264.32)</f>
        <v/>
      </c>
      <c r="G509" s="21">
        <f>average(F507-F509,F508-F510)</f>
        <v/>
      </c>
      <c r="H509" s="21" t="n">
        <v>6.049999999999983</v>
      </c>
      <c r="I509" s="211">
        <f>C506</f>
        <v/>
      </c>
      <c r="J509" s="211">
        <f>C523</f>
        <v/>
      </c>
      <c r="K509" s="60">
        <f t="array" ref="K509">INDEX('Podium Target Times'!$C:$C, MATCH(A509&amp;B509, 'Podium Target Times'!$A:$A&amp;'Podium Target Times'!$B:$B, 0))
</f>
        <v/>
      </c>
      <c r="L509" s="24">
        <f>L512+G512</f>
        <v/>
      </c>
      <c r="M509" s="60">
        <f>TEXT(L509/86400, "mm:ss.00")</f>
        <v/>
      </c>
      <c r="N509" s="25">
        <f>IFERROR(__xludf.DUMMYFUNCTION("LET(
  gen,$A509, ev,$B509, t,$M509,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09" s="65" t="n"/>
      <c r="P509" s="69">
        <f>A512</f>
        <v/>
      </c>
      <c r="Q509" s="65">
        <f>B512</f>
        <v/>
      </c>
      <c r="R509" s="69">
        <f>C512</f>
        <v/>
      </c>
      <c r="S509" s="58">
        <f>M512</f>
        <v/>
      </c>
      <c r="T509" s="69">
        <f>N512</f>
        <v/>
      </c>
      <c r="U509" s="65" t="n"/>
      <c r="V509" s="65" t="n"/>
      <c r="W509" s="65" t="n"/>
    </row>
    <row r="510">
      <c r="A510" s="8" t="inlineStr">
        <is>
          <t>M</t>
        </is>
      </c>
      <c r="B510" s="9" t="inlineStr">
        <is>
          <t>400 IM</t>
        </is>
      </c>
      <c r="C510" s="9" t="n">
        <v>17</v>
      </c>
      <c r="D510" s="9" t="n">
        <v>2</v>
      </c>
      <c r="E510" s="41" t="inlineStr">
        <is>
          <t>4:27.91</t>
        </is>
      </c>
      <c r="F510" s="35">
        <f>IFERROR(__xludf.DUMMYFUNCTION("IF(
  REGEXMATCH(E510, "":""),
  60*VALUE(INDEX(SPLIT(E510, "":""),1,1)) + VALUE(INDEX(SPLIT(E510, "":""),1,2)),
  VALUE(E510)
)"),267.91)</f>
        <v/>
      </c>
      <c r="G510" s="35">
        <f>average(F507-F509,F508-F510)</f>
        <v/>
      </c>
      <c r="H510" s="35" t="n">
        <v>6.049999999999983</v>
      </c>
      <c r="I510" s="215">
        <f>C506</f>
        <v/>
      </c>
      <c r="J510" s="215">
        <f>C523</f>
        <v/>
      </c>
      <c r="K510" s="43">
        <f t="array" ref="K510">INDEX('Podium Target Times'!$C:$C, MATCH(A510&amp;B510, 'Podium Target Times'!$A:$A&amp;'Podium Target Times'!$B:$B, 0))
</f>
        <v/>
      </c>
      <c r="L510" s="12">
        <f>L512+G512</f>
        <v/>
      </c>
      <c r="M510" s="43">
        <f>TEXT(L510/86400, "mm:ss.00")</f>
        <v/>
      </c>
      <c r="N510" s="14">
        <f>IFERROR(__xludf.DUMMYFUNCTION("LET(
  gen,$A510, ev,$B510, t,$M510,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10" s="65" t="n"/>
      <c r="P510" s="69">
        <f>A515</f>
        <v/>
      </c>
      <c r="Q510" s="65">
        <f>B515</f>
        <v/>
      </c>
      <c r="R510" s="69">
        <f>C515</f>
        <v/>
      </c>
      <c r="S510" s="58">
        <f>M515</f>
        <v/>
      </c>
      <c r="T510" s="69">
        <f>N515</f>
        <v/>
      </c>
      <c r="U510" s="65" t="n"/>
      <c r="V510" s="65" t="n"/>
      <c r="W510" s="65" t="n"/>
    </row>
    <row r="511">
      <c r="A511" s="17" t="inlineStr">
        <is>
          <t>M</t>
        </is>
      </c>
      <c r="B511" s="18" t="inlineStr">
        <is>
          <t>400 IM</t>
        </is>
      </c>
      <c r="C511" s="18" t="n">
        <v>17</v>
      </c>
      <c r="D511" s="18" t="n">
        <v>3</v>
      </c>
      <c r="E511" s="46" t="inlineStr">
        <is>
          <t>4:28.61</t>
        </is>
      </c>
      <c r="F511" s="21">
        <f>IFERROR(__xludf.DUMMYFUNCTION("IF(
  REGEXMATCH(E511, "":""),
  60*VALUE(INDEX(SPLIT(E511, "":""),1,1)) + VALUE(INDEX(SPLIT(E511, "":""),1,2)),
  VALUE(E511)
)"),268.61)</f>
        <v/>
      </c>
      <c r="G511" s="21">
        <f>average(F507-F509,F508-F510)</f>
        <v/>
      </c>
      <c r="H511" s="21" t="n">
        <v>6.049999999999983</v>
      </c>
      <c r="I511" s="211">
        <f>C506</f>
        <v/>
      </c>
      <c r="J511" s="211">
        <f>C523</f>
        <v/>
      </c>
      <c r="K511" s="60">
        <f t="array" ref="K511">INDEX('Podium Target Times'!$C:$C, MATCH(A511&amp;B511, 'Podium Target Times'!$A:$A&amp;'Podium Target Times'!$B:$B, 0))
</f>
        <v/>
      </c>
      <c r="L511" s="24">
        <f>L512+G512</f>
        <v/>
      </c>
      <c r="M511" s="60">
        <f>TEXT(L511/86400, "mm:ss.00")</f>
        <v/>
      </c>
      <c r="N511" s="25">
        <f>IFERROR(__xludf.DUMMYFUNCTION("LET(
  gen,$A511, ev,$B511, t,$M511,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11" s="65" t="n"/>
      <c r="P511" s="69">
        <f>A518</f>
        <v/>
      </c>
      <c r="Q511" s="65">
        <f>B518</f>
        <v/>
      </c>
      <c r="R511" s="69">
        <f>C518</f>
        <v/>
      </c>
      <c r="S511" s="58">
        <f>M518</f>
        <v/>
      </c>
      <c r="T511" s="69">
        <f>N518</f>
        <v/>
      </c>
      <c r="U511" s="65" t="n"/>
      <c r="V511" s="65" t="n"/>
      <c r="W511" s="65" t="n"/>
    </row>
    <row r="512">
      <c r="A512" s="8" t="inlineStr">
        <is>
          <t>M</t>
        </is>
      </c>
      <c r="B512" s="9" t="inlineStr">
        <is>
          <t>400 IM</t>
        </is>
      </c>
      <c r="C512" s="9" t="n">
        <v>18</v>
      </c>
      <c r="D512" s="9" t="n">
        <v>1</v>
      </c>
      <c r="E512" s="41" t="inlineStr">
        <is>
          <t>4:20.41</t>
        </is>
      </c>
      <c r="F512" s="35">
        <f>IFERROR(__xludf.DUMMYFUNCTION("IF(
  REGEXMATCH(E512, "":""),
  60*VALUE(INDEX(SPLIT(E512, "":""),1,1)) + VALUE(INDEX(SPLIT(E512, "":""),1,2)),
  VALUE(E512)
)"),260.41)</f>
        <v/>
      </c>
      <c r="G512" s="35">
        <f>average(F509-F512,F510-F513,F511-F514)</f>
        <v/>
      </c>
      <c r="H512" s="35" t="n">
        <v>3.953333333333338</v>
      </c>
      <c r="I512" s="215">
        <f>C506</f>
        <v/>
      </c>
      <c r="J512" s="215">
        <f>C523</f>
        <v/>
      </c>
      <c r="K512" s="43">
        <f t="array" ref="K512">INDEX('Podium Target Times'!$C:$C, MATCH(A512&amp;B512, 'Podium Target Times'!$A:$A&amp;'Podium Target Times'!$B:$B, 0))
</f>
        <v/>
      </c>
      <c r="L512" s="12">
        <f>L515+G515</f>
        <v/>
      </c>
      <c r="M512" s="43">
        <f>TEXT(L512/86400, "mm:ss.00")</f>
        <v/>
      </c>
      <c r="N512" s="14">
        <f>IFERROR(__xludf.DUMMYFUNCTION("LET(
  gen,$A512, ev,$B512, t,$M512,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512" s="65" t="n"/>
      <c r="P512" s="69">
        <f>A520</f>
        <v/>
      </c>
      <c r="Q512" s="65">
        <f>B520</f>
        <v/>
      </c>
      <c r="R512" s="69">
        <f>C520</f>
        <v/>
      </c>
      <c r="S512" s="58">
        <f>M520</f>
        <v/>
      </c>
      <c r="T512" s="69">
        <f>N520</f>
        <v/>
      </c>
      <c r="U512" s="65" t="n"/>
      <c r="V512" s="65" t="n"/>
      <c r="W512" s="65" t="n"/>
    </row>
    <row r="513">
      <c r="A513" s="17" t="inlineStr">
        <is>
          <t>M</t>
        </is>
      </c>
      <c r="B513" s="18" t="inlineStr">
        <is>
          <t>400 IM</t>
        </is>
      </c>
      <c r="C513" s="18" t="n">
        <v>18</v>
      </c>
      <c r="D513" s="18" t="n">
        <v>2</v>
      </c>
      <c r="E513" s="46" t="inlineStr">
        <is>
          <t>4:23.94</t>
        </is>
      </c>
      <c r="F513" s="21">
        <f>IFERROR(__xludf.DUMMYFUNCTION("IF(
  REGEXMATCH(E513, "":""),
  60*VALUE(INDEX(SPLIT(E513, "":""),1,1)) + VALUE(INDEX(SPLIT(E513, "":""),1,2)),
  VALUE(E513)
)"),263.94)</f>
        <v/>
      </c>
      <c r="G513" s="21">
        <f>average(F509-F512,F510-F513,F511-F514)</f>
        <v/>
      </c>
      <c r="H513" s="21" t="n">
        <v>3.953333333333338</v>
      </c>
      <c r="I513" s="211">
        <f>C506</f>
        <v/>
      </c>
      <c r="J513" s="211">
        <f>C523</f>
        <v/>
      </c>
      <c r="K513" s="60">
        <f t="array" ref="K513">INDEX('Podium Target Times'!$C:$C, MATCH(A513&amp;B513, 'Podium Target Times'!$A:$A&amp;'Podium Target Times'!$B:$B, 0))
</f>
        <v/>
      </c>
      <c r="L513" s="24">
        <f>L515+G515</f>
        <v/>
      </c>
      <c r="M513" s="60">
        <f>TEXT(L513/86400, "mm:ss.00")</f>
        <v/>
      </c>
      <c r="N513" s="25">
        <f>IFERROR(__xludf.DUMMYFUNCTION("LET(
  gen,$A513, ev,$B513, t,$M513,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513" s="65" t="n"/>
      <c r="P513" s="69">
        <f>A522</f>
        <v/>
      </c>
      <c r="Q513" s="65">
        <f>B522</f>
        <v/>
      </c>
      <c r="R513" s="69">
        <f>C522</f>
        <v/>
      </c>
      <c r="S513" s="58">
        <f>M522</f>
        <v/>
      </c>
      <c r="T513" s="69">
        <f>N522</f>
        <v/>
      </c>
      <c r="U513" s="65" t="n"/>
      <c r="V513" s="65" t="n"/>
      <c r="W513" s="65" t="n"/>
    </row>
    <row r="514">
      <c r="A514" s="8" t="inlineStr">
        <is>
          <t>M</t>
        </is>
      </c>
      <c r="B514" s="9" t="inlineStr">
        <is>
          <t>400 IM</t>
        </is>
      </c>
      <c r="C514" s="9" t="n">
        <v>18</v>
      </c>
      <c r="D514" s="9" t="n">
        <v>3</v>
      </c>
      <c r="E514" s="41" t="inlineStr">
        <is>
          <t>4:24.63</t>
        </is>
      </c>
      <c r="F514" s="35">
        <f>IFERROR(__xludf.DUMMYFUNCTION("IF(
  REGEXMATCH(E514, "":""),
  60*VALUE(INDEX(SPLIT(E514, "":""),1,1)) + VALUE(INDEX(SPLIT(E514, "":""),1,2)),
  VALUE(E514)
)"),264.63)</f>
        <v/>
      </c>
      <c r="G514" s="35">
        <f>average(F509-F512,F510-F513,F511-F514)</f>
        <v/>
      </c>
      <c r="H514" s="35" t="n">
        <v>3.953333333333338</v>
      </c>
      <c r="I514" s="215">
        <f>C506</f>
        <v/>
      </c>
      <c r="J514" s="215">
        <f>C523</f>
        <v/>
      </c>
      <c r="K514" s="43">
        <f t="array" ref="K514">INDEX('Podium Target Times'!$C:$C, MATCH(A514&amp;B514, 'Podium Target Times'!$A:$A&amp;'Podium Target Times'!$B:$B, 0))
</f>
        <v/>
      </c>
      <c r="L514" s="12">
        <f>L515+G515</f>
        <v/>
      </c>
      <c r="M514" s="43">
        <f>TEXT(L514/86400, "mm:ss.00")</f>
        <v/>
      </c>
      <c r="N514" s="14">
        <f>IFERROR(__xludf.DUMMYFUNCTION("LET(
  gen,$A514, ev,$B514, t,$M514,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514" s="65" t="n"/>
      <c r="P514" s="69">
        <f>A523</f>
        <v/>
      </c>
      <c r="Q514" s="65">
        <f>B523</f>
        <v/>
      </c>
      <c r="R514" s="69">
        <f>C523</f>
        <v/>
      </c>
      <c r="S514" s="58">
        <f>M523</f>
        <v/>
      </c>
      <c r="T514" s="69">
        <f>N523</f>
        <v/>
      </c>
      <c r="U514" s="65" t="n"/>
      <c r="V514" s="65" t="n"/>
      <c r="W514" s="65" t="n"/>
    </row>
    <row r="515">
      <c r="A515" s="17" t="inlineStr">
        <is>
          <t>M</t>
        </is>
      </c>
      <c r="B515" s="18" t="inlineStr">
        <is>
          <t>400 IM</t>
        </is>
      </c>
      <c r="C515" s="18" t="n">
        <v>19</v>
      </c>
      <c r="D515" s="18" t="n">
        <v>1</v>
      </c>
      <c r="E515" s="46" t="inlineStr">
        <is>
          <t>4:17.48</t>
        </is>
      </c>
      <c r="F515" s="21">
        <f>IFERROR(__xludf.DUMMYFUNCTION("IF(
  REGEXMATCH(E515, "":""),
  60*VALUE(INDEX(SPLIT(E515, "":""),1,1)) + VALUE(INDEX(SPLIT(E515, "":""),1,2)),
  VALUE(E515)
)"),257.48)</f>
        <v/>
      </c>
      <c r="G515" s="21">
        <f>average(F512-F515,F513-F516,F514-F517)</f>
        <v/>
      </c>
      <c r="H515" s="21" t="n">
        <v>2.953333333333319</v>
      </c>
      <c r="I515" s="211">
        <f>C506</f>
        <v/>
      </c>
      <c r="J515" s="211">
        <f>C523</f>
        <v/>
      </c>
      <c r="K515" s="60">
        <f t="array" ref="K515">INDEX('Podium Target Times'!$C:$C, MATCH(A515&amp;B515, 'Podium Target Times'!$A:$A&amp;'Podium Target Times'!$B:$B, 0))
</f>
        <v/>
      </c>
      <c r="L515" s="24">
        <f>L518+G518</f>
        <v/>
      </c>
      <c r="M515" s="60">
        <f>TEXT(L515/86400, "mm:ss.00")</f>
        <v/>
      </c>
      <c r="N515" s="25">
        <f>IFERROR(__xludf.DUMMYFUNCTION("LET(
  gen,$A515, ev,$B515, t,$M515,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15" s="65" t="n"/>
      <c r="P515" s="69" t="n"/>
      <c r="Q515" s="65" t="n"/>
      <c r="R515" s="69" t="n"/>
      <c r="S515" s="58" t="n"/>
      <c r="T515" s="69" t="n"/>
      <c r="U515" s="65" t="n"/>
      <c r="V515" s="65" t="n"/>
      <c r="W515" s="65" t="n"/>
    </row>
    <row r="516">
      <c r="A516" s="8" t="inlineStr">
        <is>
          <t>M</t>
        </is>
      </c>
      <c r="B516" s="9" t="inlineStr">
        <is>
          <t>400 IM</t>
        </is>
      </c>
      <c r="C516" s="9" t="n">
        <v>19</v>
      </c>
      <c r="D516" s="9" t="n">
        <v>2</v>
      </c>
      <c r="E516" s="41" t="inlineStr">
        <is>
          <t>4:20.98</t>
        </is>
      </c>
      <c r="F516" s="35">
        <f>IFERROR(__xludf.DUMMYFUNCTION("IF(
  REGEXMATCH(E516, "":""),
  60*VALUE(INDEX(SPLIT(E516, "":""),1,1)) + VALUE(INDEX(SPLIT(E516, "":""),1,2)),
  VALUE(E516)
)"),260.98)</f>
        <v/>
      </c>
      <c r="G516" s="35">
        <f>average(F512-F515,F513-F516,F514-F517)</f>
        <v/>
      </c>
      <c r="H516" s="35" t="n">
        <v>2.953333333333319</v>
      </c>
      <c r="I516" s="215">
        <f>C506</f>
        <v/>
      </c>
      <c r="J516" s="215">
        <f>C523</f>
        <v/>
      </c>
      <c r="K516" s="43">
        <f t="array" ref="K516">INDEX('Podium Target Times'!$C:$C, MATCH(A516&amp;B516, 'Podium Target Times'!$A:$A&amp;'Podium Target Times'!$B:$B, 0))
</f>
        <v/>
      </c>
      <c r="L516" s="12">
        <f>L518+G518</f>
        <v/>
      </c>
      <c r="M516" s="43">
        <f>TEXT(L516/86400, "mm:ss.00")</f>
        <v/>
      </c>
      <c r="N516" s="14">
        <f>IFERROR(__xludf.DUMMYFUNCTION("LET(
  gen,$A516, ev,$B516, t,$M516,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16" s="65" t="n"/>
      <c r="P516" s="69" t="n"/>
      <c r="Q516" s="65" t="n"/>
      <c r="R516" s="69" t="n"/>
      <c r="S516" s="58" t="n"/>
      <c r="T516" s="69" t="n"/>
      <c r="U516" s="65" t="n"/>
      <c r="V516" s="65" t="n"/>
      <c r="W516" s="65" t="n"/>
    </row>
    <row r="517">
      <c r="A517" s="17" t="inlineStr">
        <is>
          <t>M</t>
        </is>
      </c>
      <c r="B517" s="18" t="inlineStr">
        <is>
          <t>400 IM</t>
        </is>
      </c>
      <c r="C517" s="18" t="n">
        <v>19</v>
      </c>
      <c r="D517" s="18" t="n">
        <v>3</v>
      </c>
      <c r="E517" s="46" t="inlineStr">
        <is>
          <t>4:21.66</t>
        </is>
      </c>
      <c r="F517" s="21">
        <f>IFERROR(__xludf.DUMMYFUNCTION("IF(
  REGEXMATCH(E517, "":""),
  60*VALUE(INDEX(SPLIT(E517, "":""),1,1)) + VALUE(INDEX(SPLIT(E517, "":""),1,2)),
  VALUE(E517)
)"),261.66)</f>
        <v/>
      </c>
      <c r="G517" s="21">
        <f>average(F512-F515,F513-F516,F514-F517)</f>
        <v/>
      </c>
      <c r="H517" s="21" t="n">
        <v>2.953333333333319</v>
      </c>
      <c r="I517" s="211">
        <f>C506</f>
        <v/>
      </c>
      <c r="J517" s="211">
        <f>C523</f>
        <v/>
      </c>
      <c r="K517" s="60">
        <f t="array" ref="K517">INDEX('Podium Target Times'!$C:$C, MATCH(A517&amp;B517, 'Podium Target Times'!$A:$A&amp;'Podium Target Times'!$B:$B, 0))
</f>
        <v/>
      </c>
      <c r="L517" s="24">
        <f>L518+G518</f>
        <v/>
      </c>
      <c r="M517" s="60">
        <f>TEXT(L517/86400, "mm:ss.00")</f>
        <v/>
      </c>
      <c r="N517" s="25">
        <f>IFERROR(__xludf.DUMMYFUNCTION("LET(
  gen,$A517, ev,$B517, t,$M517,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17" s="65" t="n"/>
      <c r="P517" s="69" t="n"/>
      <c r="Q517" s="65" t="n"/>
      <c r="R517" s="69" t="n"/>
      <c r="S517" s="58" t="n"/>
      <c r="T517" s="69" t="n"/>
      <c r="U517" s="65" t="n"/>
      <c r="V517" s="65" t="n"/>
      <c r="W517" s="65" t="n"/>
    </row>
    <row r="518">
      <c r="A518" s="8" t="inlineStr">
        <is>
          <t>M</t>
        </is>
      </c>
      <c r="B518" s="9" t="inlineStr">
        <is>
          <t>400 IM</t>
        </is>
      </c>
      <c r="C518" s="9" t="n">
        <v>20</v>
      </c>
      <c r="D518" s="9" t="n">
        <v>2</v>
      </c>
      <c r="E518" s="41" t="inlineStr">
        <is>
          <t>4:18.85</t>
        </is>
      </c>
      <c r="F518" s="35">
        <f>IFERROR(__xludf.DUMMYFUNCTION("IF(
  REGEXMATCH(E518, "":""),
  60*VALUE(INDEX(SPLIT(E518, "":""),1,1)) + VALUE(INDEX(SPLIT(E518, "":""),1,2)),
  VALUE(E518)
)"),258.85)</f>
        <v/>
      </c>
      <c r="G518" s="35">
        <f>average(F516-F518,F517-F519)</f>
        <v/>
      </c>
      <c r="H518" s="35" t="n">
        <v>2.130000000000024</v>
      </c>
      <c r="I518" s="215">
        <f>C506</f>
        <v/>
      </c>
      <c r="J518" s="215">
        <f>C523</f>
        <v/>
      </c>
      <c r="K518" s="43">
        <f t="array" ref="K518">INDEX('Podium Target Times'!$C:$C, MATCH(A518&amp;B518, 'Podium Target Times'!$A:$A&amp;'Podium Target Times'!$B:$B, 0))
</f>
        <v/>
      </c>
      <c r="L518" s="12">
        <f>L520+G520</f>
        <v/>
      </c>
      <c r="M518" s="43">
        <f>TEXT(L518/86400, "mm:ss.00")</f>
        <v/>
      </c>
      <c r="N518" s="14">
        <f>IFERROR(__xludf.DUMMYFUNCTION("LET(
  gen,$A518, ev,$B518, t,$M518,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518" s="65" t="n"/>
      <c r="P518" s="69" t="n"/>
      <c r="Q518" s="65" t="n"/>
      <c r="R518" s="69" t="n"/>
      <c r="S518" s="58" t="n"/>
      <c r="T518" s="69" t="n"/>
      <c r="U518" s="65" t="n"/>
      <c r="V518" s="65" t="n"/>
      <c r="W518" s="65" t="n"/>
    </row>
    <row r="519">
      <c r="A519" s="17" t="inlineStr">
        <is>
          <t>M</t>
        </is>
      </c>
      <c r="B519" s="18" t="inlineStr">
        <is>
          <t>400 IM</t>
        </is>
      </c>
      <c r="C519" s="18" t="n">
        <v>20</v>
      </c>
      <c r="D519" s="18" t="n">
        <v>3</v>
      </c>
      <c r="E519" s="46" t="inlineStr">
        <is>
          <t>4:19.53</t>
        </is>
      </c>
      <c r="F519" s="21">
        <f>IFERROR(__xludf.DUMMYFUNCTION("IF(
  REGEXMATCH(E519, "":""),
  60*VALUE(INDEX(SPLIT(E519, "":""),1,1)) + VALUE(INDEX(SPLIT(E519, "":""),1,2)),
  VALUE(E519)
)"),259.53)</f>
        <v/>
      </c>
      <c r="G519" s="21">
        <f>average(F516-F518,F517-F519)</f>
        <v/>
      </c>
      <c r="H519" s="21" t="n">
        <v>2.130000000000024</v>
      </c>
      <c r="I519" s="211">
        <f>C506</f>
        <v/>
      </c>
      <c r="J519" s="211">
        <f>C523</f>
        <v/>
      </c>
      <c r="K519" s="60">
        <f t="array" ref="K519">INDEX('Podium Target Times'!$C:$C, MATCH(A519&amp;B519, 'Podium Target Times'!$A:$A&amp;'Podium Target Times'!$B:$B, 0))
</f>
        <v/>
      </c>
      <c r="L519" s="24">
        <f>L520+G520</f>
        <v/>
      </c>
      <c r="M519" s="60">
        <f>TEXT(L519/86400, "mm:ss.00")</f>
        <v/>
      </c>
      <c r="N519" s="25">
        <f>IFERROR(__xludf.DUMMYFUNCTION("LET(
  gen,$A519, ev,$B519, t,$M519,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519" s="65" t="n"/>
      <c r="P519" s="69" t="n"/>
      <c r="Q519" s="65" t="n"/>
      <c r="R519" s="69" t="n"/>
      <c r="S519" s="58" t="n"/>
      <c r="T519" s="69" t="n"/>
      <c r="U519" s="65" t="n"/>
      <c r="V519" s="65" t="n"/>
      <c r="W519" s="65" t="n"/>
    </row>
    <row r="520">
      <c r="A520" s="8" t="inlineStr">
        <is>
          <t>M</t>
        </is>
      </c>
      <c r="B520" s="9" t="inlineStr">
        <is>
          <t>400 IM</t>
        </is>
      </c>
      <c r="C520" s="9" t="n">
        <v>21</v>
      </c>
      <c r="D520" s="9" t="n">
        <v>2</v>
      </c>
      <c r="E520" s="41" t="inlineStr">
        <is>
          <t>4:17.48</t>
        </is>
      </c>
      <c r="F520" s="35">
        <f>IFERROR(__xludf.DUMMYFUNCTION("IF(
  REGEXMATCH(E520, "":""),
  60*VALUE(INDEX(SPLIT(E520, "":""),1,1)) + VALUE(INDEX(SPLIT(E520, "":""),1,2)),
  VALUE(E520)
)"),257.48)</f>
        <v/>
      </c>
      <c r="G520" s="35">
        <f>average(F518-F520,F519-F521)</f>
        <v/>
      </c>
      <c r="H520" s="35" t="n">
        <v>1.375</v>
      </c>
      <c r="I520" s="215">
        <f>C506</f>
        <v/>
      </c>
      <c r="J520" s="215">
        <f>C523</f>
        <v/>
      </c>
      <c r="K520" s="43">
        <f t="array" ref="K520">INDEX('Podium Target Times'!$C:$C, MATCH(A520&amp;B520, 'Podium Target Times'!$A:$A&amp;'Podium Target Times'!$B:$B, 0))
</f>
        <v/>
      </c>
      <c r="L520" s="12">
        <f>L522+G522</f>
        <v/>
      </c>
      <c r="M520" s="43">
        <f>TEXT(L520/86400, "mm:ss.00")</f>
        <v/>
      </c>
      <c r="N520" s="14">
        <f>IFERROR(__xludf.DUMMYFUNCTION("LET(
  gen,$A520, ev,$B520, t,$M520,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520" s="65" t="n"/>
      <c r="P520" s="69" t="n"/>
      <c r="Q520" s="65" t="n"/>
      <c r="R520" s="69" t="n"/>
      <c r="S520" s="58" t="n"/>
      <c r="T520" s="69" t="n"/>
      <c r="U520" s="65" t="n"/>
      <c r="V520" s="65" t="n"/>
      <c r="W520" s="65" t="n"/>
    </row>
    <row r="521">
      <c r="A521" s="17" t="inlineStr">
        <is>
          <t>M</t>
        </is>
      </c>
      <c r="B521" s="18" t="inlineStr">
        <is>
          <t>400 IM</t>
        </is>
      </c>
      <c r="C521" s="18" t="n">
        <v>21</v>
      </c>
      <c r="D521" s="18" t="n">
        <v>3</v>
      </c>
      <c r="E521" s="46" t="inlineStr">
        <is>
          <t>4:18.15</t>
        </is>
      </c>
      <c r="F521" s="21">
        <f>IFERROR(__xludf.DUMMYFUNCTION("IF(
  REGEXMATCH(E521, "":""),
  60*VALUE(INDEX(SPLIT(E521, "":""),1,1)) + VALUE(INDEX(SPLIT(E521, "":""),1,2)),
  VALUE(E521)
)"),258.15)</f>
        <v/>
      </c>
      <c r="G521" s="21">
        <f>average(F518-F520,F519-F521)</f>
        <v/>
      </c>
      <c r="H521" s="21" t="n">
        <v>1.375</v>
      </c>
      <c r="I521" s="211">
        <f>C506</f>
        <v/>
      </c>
      <c r="J521" s="211">
        <f>C523</f>
        <v/>
      </c>
      <c r="K521" s="60">
        <f t="array" ref="K521">INDEX('Podium Target Times'!$C:$C, MATCH(A521&amp;B521, 'Podium Target Times'!$A:$A&amp;'Podium Target Times'!$B:$B, 0))
</f>
        <v/>
      </c>
      <c r="L521" s="24">
        <f>L522+G522</f>
        <v/>
      </c>
      <c r="M521" s="60">
        <f>TEXT(L521/86400, "mm:ss.00")</f>
        <v/>
      </c>
      <c r="N521" s="25">
        <f>IFERROR(__xludf.DUMMYFUNCTION("LET(
  gen,$A521, ev,$B521, t,$M521,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521" s="65" t="n"/>
      <c r="P521" s="69" t="n"/>
      <c r="Q521" s="65" t="n"/>
      <c r="R521" s="69" t="n"/>
      <c r="S521" s="58" t="n"/>
      <c r="T521" s="69" t="n"/>
      <c r="U521" s="65" t="n"/>
      <c r="V521" s="65" t="n"/>
      <c r="W521" s="65" t="n"/>
    </row>
    <row r="522">
      <c r="A522" s="8" t="inlineStr">
        <is>
          <t>M</t>
        </is>
      </c>
      <c r="B522" s="9" t="inlineStr">
        <is>
          <t>400 IM</t>
        </is>
      </c>
      <c r="C522" s="9" t="n">
        <v>22</v>
      </c>
      <c r="D522" s="9" t="n">
        <v>3</v>
      </c>
      <c r="E522" s="41" t="inlineStr">
        <is>
          <t>4:17.46</t>
        </is>
      </c>
      <c r="F522" s="35">
        <f>IFERROR(__xludf.DUMMYFUNCTION("IF(
  REGEXMATCH(E522, "":""),
  60*VALUE(INDEX(SPLIT(E522, "":""),1,1)) + VALUE(INDEX(SPLIT(E522, "":""),1,2)),
  VALUE(E522)
)"),257.46)</f>
        <v/>
      </c>
      <c r="G522" s="35">
        <f>F521-F522</f>
        <v/>
      </c>
      <c r="H522" s="35" t="n">
        <v>0.6899999999999977</v>
      </c>
      <c r="I522" s="215">
        <f>C506</f>
        <v/>
      </c>
      <c r="J522" s="215">
        <f>C523</f>
        <v/>
      </c>
      <c r="K522" s="43">
        <f t="array" ref="K522">INDEX('Podium Target Times'!$C:$C, MATCH(A522&amp;B522, 'Podium Target Times'!$A:$A&amp;'Podium Target Times'!$B:$B, 0))
</f>
        <v/>
      </c>
      <c r="L522" s="12">
        <f>L523+G523</f>
        <v/>
      </c>
      <c r="M522" s="43">
        <f>TEXT(L522/86400, "mm:ss.00")</f>
        <v/>
      </c>
      <c r="N522" s="14">
        <f>IFERROR(__xludf.DUMMYFUNCTION("LET(
  gen,$A522, ev,$B522, t,$M522,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O522" s="65" t="n"/>
      <c r="P522" s="69" t="n"/>
      <c r="Q522" s="65" t="n"/>
      <c r="R522" s="69" t="n"/>
      <c r="S522" s="58" t="n"/>
      <c r="T522" s="69" t="n"/>
      <c r="U522" s="65" t="n"/>
      <c r="V522" s="65" t="n"/>
      <c r="W522" s="65" t="n"/>
    </row>
    <row r="523">
      <c r="A523" s="17" t="inlineStr">
        <is>
          <t>M</t>
        </is>
      </c>
      <c r="B523" s="18" t="inlineStr">
        <is>
          <t>400 IM</t>
        </is>
      </c>
      <c r="C523" s="18" t="n">
        <v>23</v>
      </c>
      <c r="D523" s="18" t="n">
        <v>3</v>
      </c>
      <c r="E523" s="211" t="inlineStr">
        <is>
          <t>4:17.46</t>
        </is>
      </c>
      <c r="F523" s="21">
        <f>IFERROR(__xludf.DUMMYFUNCTION("IF(
  REGEXMATCH(E523, "":""),
  60*VALUE(INDEX(SPLIT(E523, "":""),1,1)) + VALUE(INDEX(SPLIT(E523, "":""),1,2)),
  VALUE(E523)
)"),257.46)</f>
        <v/>
      </c>
      <c r="G523" s="21">
        <f>F522-F523</f>
        <v/>
      </c>
      <c r="H523" s="21" t="n">
        <v>0</v>
      </c>
      <c r="I523" s="211">
        <f>C506</f>
        <v/>
      </c>
      <c r="J523" s="211">
        <f>C523</f>
        <v/>
      </c>
      <c r="K523" s="60">
        <f t="array" ref="K523">INDEX('Podium Target Times'!$C:$C, MATCH(A523&amp;B523, 'Podium Target Times'!$A:$A&amp;'Podium Target Times'!$B:$B, 0))
</f>
        <v/>
      </c>
      <c r="L523" s="211">
        <f>K523</f>
        <v/>
      </c>
      <c r="M523" s="60">
        <f>TEXT(L523/86400, "mm:ss.00")</f>
        <v/>
      </c>
      <c r="N523" s="25">
        <f>IFERROR(__xludf.DUMMYFUNCTION("LET(
  gen,$A523, ev,$B523, t,$M523,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O523" s="65" t="n"/>
      <c r="P523" s="69" t="n"/>
      <c r="Q523" s="65" t="n"/>
      <c r="R523" s="69" t="n"/>
      <c r="S523" s="58" t="n"/>
      <c r="T523" s="69" t="n"/>
      <c r="U523" s="65" t="n"/>
      <c r="V523" s="65" t="n"/>
      <c r="W523" s="65" t="n"/>
    </row>
    <row r="524">
      <c r="A524" s="8" t="inlineStr">
        <is>
          <t>M</t>
        </is>
      </c>
      <c r="B524" s="9" t="inlineStr">
        <is>
          <t>50 Back</t>
        </is>
      </c>
      <c r="C524" s="9" t="n">
        <v>16</v>
      </c>
      <c r="D524" s="9" t="n">
        <v>1</v>
      </c>
      <c r="E524" s="41" t="inlineStr">
        <is>
          <t>27.26</t>
        </is>
      </c>
      <c r="F524" s="35">
        <f>IFERROR(__xludf.DUMMYFUNCTION("IF(
  REGEXMATCH(E524, "":""),
  60*VALUE(INDEX(SPLIT(E524, "":""),1,1)) + VALUE(INDEX(SPLIT(E524, "":""),1,2)),
  VALUE(E524)
)"),27.26)</f>
        <v/>
      </c>
      <c r="G524" s="12" t="n">
        <v>0</v>
      </c>
      <c r="H524" s="12" t="n">
        <v>0</v>
      </c>
      <c r="I524" s="43">
        <f>C524</f>
        <v/>
      </c>
      <c r="J524" s="43">
        <f>C541</f>
        <v/>
      </c>
      <c r="K524" s="43">
        <f t="array" ref="K524">INDEX('Podium Target Times'!$C:$C, MATCH(A524&amp;B524, 'Podium Target Times'!$A:$A&amp;'Podium Target Times'!$B:$B, 0))
</f>
        <v/>
      </c>
      <c r="L524" s="12">
        <f>L525+G525</f>
        <v/>
      </c>
      <c r="M524" s="43">
        <f>TEXT(L524/86400, "mm:ss.00")</f>
        <v/>
      </c>
      <c r="N524" s="14">
        <f>IFERROR(__xludf.DUMMYFUNCTION("LET(
  gen,$A524, ev,$B524, t,$M524,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)"),591.0)</f>
        <v/>
      </c>
      <c r="O524" s="65" t="n"/>
      <c r="P524" s="69">
        <f>A524</f>
        <v/>
      </c>
      <c r="Q524" s="65">
        <f>B524</f>
        <v/>
      </c>
      <c r="R524" s="69">
        <f>C524</f>
        <v/>
      </c>
      <c r="S524" s="58">
        <f>M524</f>
        <v/>
      </c>
      <c r="T524" s="69">
        <f>N524</f>
        <v/>
      </c>
      <c r="U524" s="65" t="n"/>
      <c r="V524" s="65" t="n"/>
      <c r="W524" s="65" t="n"/>
    </row>
    <row r="525">
      <c r="A525" s="17" t="inlineStr">
        <is>
          <t>M</t>
        </is>
      </c>
      <c r="B525" s="18" t="inlineStr">
        <is>
          <t>50 Back</t>
        </is>
      </c>
      <c r="C525" s="18" t="n">
        <v>17</v>
      </c>
      <c r="D525" s="18" t="n">
        <v>1</v>
      </c>
      <c r="E525" s="211" t="inlineStr">
        <is>
          <t>26.47</t>
        </is>
      </c>
      <c r="F525" s="21">
        <f>IFERROR(__xludf.DUMMYFUNCTION("IF(
  REGEXMATCH(E525, "":""),
  60*VALUE(INDEX(SPLIT(E525, "":""),1,1)) + VALUE(INDEX(SPLIT(E525, "":""),1,2)),
  VALUE(E525)
)"),26.47)</f>
        <v/>
      </c>
      <c r="G525" s="21">
        <f>F524-F525</f>
        <v/>
      </c>
      <c r="H525" s="21" t="n">
        <v>0.7900000000000027</v>
      </c>
      <c r="I525" s="211">
        <f>C524</f>
        <v/>
      </c>
      <c r="J525" s="211">
        <f>C541</f>
        <v/>
      </c>
      <c r="K525" s="60">
        <f t="array" ref="K525">INDEX('Podium Target Times'!$C:$C, MATCH(A525&amp;B525, 'Podium Target Times'!$A:$A&amp;'Podium Target Times'!$B:$B, 0))
</f>
        <v/>
      </c>
      <c r="L525" s="24">
        <f>L527+G527</f>
        <v/>
      </c>
      <c r="M525" s="60">
        <f>TEXT(L525/86400, "mm:ss.00")</f>
        <v/>
      </c>
      <c r="N525" s="25">
        <f>IFERROR(__xludf.DUMMYFUNCTION("LET(
  gen,$A525, ev,$B525, t,$M525,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)"),644.0)</f>
        <v/>
      </c>
      <c r="O525" s="65" t="n"/>
      <c r="P525" s="69">
        <f>A525</f>
        <v/>
      </c>
      <c r="Q525" s="65">
        <f>B525</f>
        <v/>
      </c>
      <c r="R525" s="69">
        <f>C525</f>
        <v/>
      </c>
      <c r="S525" s="58">
        <f>M525</f>
        <v/>
      </c>
      <c r="T525" s="69">
        <f>N525</f>
        <v/>
      </c>
      <c r="U525" s="65" t="n"/>
      <c r="V525" s="65" t="n"/>
      <c r="W525" s="65" t="n"/>
    </row>
    <row r="526">
      <c r="A526" s="8" t="inlineStr">
        <is>
          <t>M</t>
        </is>
      </c>
      <c r="B526" s="9" t="inlineStr">
        <is>
          <t>50 Back</t>
        </is>
      </c>
      <c r="C526" s="9" t="n">
        <v>17</v>
      </c>
      <c r="D526" s="9" t="n">
        <v>2</v>
      </c>
      <c r="E526" s="215" t="inlineStr">
        <is>
          <t>26.73</t>
        </is>
      </c>
      <c r="F526" s="35">
        <f>IFERROR(__xludf.DUMMYFUNCTION("IF(
  REGEXMATCH(E526, "":""),
  60*VALUE(INDEX(SPLIT(E526, "":""),1,1)) + VALUE(INDEX(SPLIT(E526, "":""),1,2)),
  VALUE(E526)
)"),26.73)</f>
        <v/>
      </c>
      <c r="G526" s="35">
        <f>F524-F525</f>
        <v/>
      </c>
      <c r="H526" s="35" t="n">
        <v>0.7900000000000027</v>
      </c>
      <c r="I526" s="215">
        <f>C524</f>
        <v/>
      </c>
      <c r="J526" s="215">
        <f>C541</f>
        <v/>
      </c>
      <c r="K526" s="43">
        <f t="array" ref="K526">INDEX('Podium Target Times'!$C:$C, MATCH(A526&amp;B526, 'Podium Target Times'!$A:$A&amp;'Podium Target Times'!$B:$B, 0))
</f>
        <v/>
      </c>
      <c r="L526" s="12">
        <f>L527+G527</f>
        <v/>
      </c>
      <c r="M526" s="43">
        <f>TEXT(L526/86400, "mm:ss.00")</f>
        <v/>
      </c>
      <c r="N526" s="14">
        <f>IFERROR(__xludf.DUMMYFUNCTION("LET(
  gen,$A526, ev,$B526, t,$M526,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)"),644.0)</f>
        <v/>
      </c>
      <c r="O526" s="65" t="n"/>
      <c r="P526" s="69">
        <f>A527</f>
        <v/>
      </c>
      <c r="Q526" s="65">
        <f>B527</f>
        <v/>
      </c>
      <c r="R526" s="69">
        <f>C527</f>
        <v/>
      </c>
      <c r="S526" s="58">
        <f>M527</f>
        <v/>
      </c>
      <c r="T526" s="69">
        <f>N527</f>
        <v/>
      </c>
      <c r="U526" s="65" t="n"/>
      <c r="V526" s="65" t="n"/>
      <c r="W526" s="65" t="n"/>
    </row>
    <row r="527">
      <c r="A527" s="17" t="inlineStr">
        <is>
          <t>M</t>
        </is>
      </c>
      <c r="B527" s="18" t="inlineStr">
        <is>
          <t>50 Back</t>
        </is>
      </c>
      <c r="C527" s="18" t="n">
        <v>18</v>
      </c>
      <c r="D527" s="18" t="n">
        <v>1</v>
      </c>
      <c r="E527" s="491" t="inlineStr">
        <is>
          <t>25.85</t>
        </is>
      </c>
      <c r="F527" s="21">
        <f>IFERROR(__xludf.DUMMYFUNCTION("IF(
  REGEXMATCH(E527, "":""),
  60*VALUE(INDEX(SPLIT(E527, "":""),1,1)) + VALUE(INDEX(SPLIT(E527, "":""),1,2)),
  VALUE(E527)
)"),25.85)</f>
        <v/>
      </c>
      <c r="G527" s="21">
        <f>average(F525-F527,F526-F528)</f>
        <v/>
      </c>
      <c r="H527" s="21" t="n">
        <v>0.6249999999999982</v>
      </c>
      <c r="I527" s="211">
        <f>C524</f>
        <v/>
      </c>
      <c r="J527" s="211">
        <f>C541</f>
        <v/>
      </c>
      <c r="K527" s="60">
        <f t="array" ref="K527">INDEX('Podium Target Times'!$C:$C, MATCH(A527&amp;B527, 'Podium Target Times'!$A:$A&amp;'Podium Target Times'!$B:$B, 0))
</f>
        <v/>
      </c>
      <c r="L527" s="24">
        <f>L530+G530</f>
        <v/>
      </c>
      <c r="M527" s="60">
        <f>TEXT(L527/86400, "mm:ss.00")</f>
        <v/>
      </c>
      <c r="N527" s="25">
        <f>IFERROR(__xludf.DUMMYFUNCTION("LET(
  gen,$A527, ev,$B527, t,$M527,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27" s="65" t="n"/>
      <c r="P527" s="69">
        <f>A530</f>
        <v/>
      </c>
      <c r="Q527" s="65">
        <f>B530</f>
        <v/>
      </c>
      <c r="R527" s="69">
        <f>C530</f>
        <v/>
      </c>
      <c r="S527" s="58">
        <f>M530</f>
        <v/>
      </c>
      <c r="T527" s="69">
        <f>N530</f>
        <v/>
      </c>
      <c r="U527" s="65" t="n"/>
      <c r="V527" s="65" t="n"/>
      <c r="W527" s="65" t="n"/>
    </row>
    <row r="528">
      <c r="A528" s="8" t="inlineStr">
        <is>
          <t>M</t>
        </is>
      </c>
      <c r="B528" s="9" t="inlineStr">
        <is>
          <t>50 Back</t>
        </is>
      </c>
      <c r="C528" s="9" t="n">
        <v>18</v>
      </c>
      <c r="D528" s="9" t="n">
        <v>2</v>
      </c>
      <c r="E528" s="41" t="inlineStr">
        <is>
          <t>26.10</t>
        </is>
      </c>
      <c r="F528" s="35">
        <f>IFERROR(__xludf.DUMMYFUNCTION("IF(
  REGEXMATCH(E528, "":""),
  60*VALUE(INDEX(SPLIT(E528, "":""),1,1)) + VALUE(INDEX(SPLIT(E528, "":""),1,2)),
  VALUE(E528)
)"),26.1)</f>
        <v/>
      </c>
      <c r="G528" s="35">
        <f>average(F525-F527,F526-F528)</f>
        <v/>
      </c>
      <c r="H528" s="35" t="n">
        <v>0.6249999999999982</v>
      </c>
      <c r="I528" s="215">
        <f>C524</f>
        <v/>
      </c>
      <c r="J528" s="215">
        <f>C541</f>
        <v/>
      </c>
      <c r="K528" s="43">
        <f t="array" ref="K528">INDEX('Podium Target Times'!$C:$C, MATCH(A528&amp;B528, 'Podium Target Times'!$A:$A&amp;'Podium Target Times'!$B:$B, 0))
</f>
        <v/>
      </c>
      <c r="L528" s="12">
        <f>L530+G530</f>
        <v/>
      </c>
      <c r="M528" s="43">
        <f>TEXT(L528/86400, "mm:ss.00")</f>
        <v/>
      </c>
      <c r="N528" s="14">
        <f>IFERROR(__xludf.DUMMYFUNCTION("LET(
  gen,$A528, ev,$B528, t,$M528,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28" s="65" t="n"/>
      <c r="P528" s="69">
        <f>A533</f>
        <v/>
      </c>
      <c r="Q528" s="65">
        <f>B533</f>
        <v/>
      </c>
      <c r="R528" s="69">
        <f>C533</f>
        <v/>
      </c>
      <c r="S528" s="58">
        <f>M533</f>
        <v/>
      </c>
      <c r="T528" s="69">
        <f>N533</f>
        <v/>
      </c>
      <c r="U528" s="65" t="n"/>
      <c r="V528" s="65" t="n"/>
      <c r="W528" s="65" t="n"/>
    </row>
    <row r="529">
      <c r="A529" s="17" t="inlineStr">
        <is>
          <t>M</t>
        </is>
      </c>
      <c r="B529" s="18" t="inlineStr">
        <is>
          <t>50 Back</t>
        </is>
      </c>
      <c r="C529" s="18" t="n">
        <v>18</v>
      </c>
      <c r="D529" s="18" t="n">
        <v>3</v>
      </c>
      <c r="E529" s="46" t="inlineStr">
        <is>
          <t>26.15</t>
        </is>
      </c>
      <c r="F529" s="21">
        <f>IFERROR(__xludf.DUMMYFUNCTION("IF(
  REGEXMATCH(E529, "":""),
  60*VALUE(INDEX(SPLIT(E529, "":""),1,1)) + VALUE(INDEX(SPLIT(E529, "":""),1,2)),
  VALUE(E529)
)"),26.15)</f>
        <v/>
      </c>
      <c r="G529" s="21">
        <f>average(F525-F527,F526-F528)</f>
        <v/>
      </c>
      <c r="H529" s="21" t="n">
        <v>0.6249999999999982</v>
      </c>
      <c r="I529" s="211">
        <f>C524</f>
        <v/>
      </c>
      <c r="J529" s="211">
        <f>C541</f>
        <v/>
      </c>
      <c r="K529" s="60">
        <f t="array" ref="K529">INDEX('Podium Target Times'!$C:$C, MATCH(A529&amp;B529, 'Podium Target Times'!$A:$A&amp;'Podium Target Times'!$B:$B, 0))
</f>
        <v/>
      </c>
      <c r="L529" s="24">
        <f>L530+G530</f>
        <v/>
      </c>
      <c r="M529" s="60">
        <f>TEXT(L529/86400, "mm:ss.00")</f>
        <v/>
      </c>
      <c r="N529" s="25">
        <f>IFERROR(__xludf.DUMMYFUNCTION("LET(
  gen,$A529, ev,$B529, t,$M529,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29" s="65" t="n"/>
      <c r="P529" s="69">
        <f>A536</f>
        <v/>
      </c>
      <c r="Q529" s="65">
        <f>B536</f>
        <v/>
      </c>
      <c r="R529" s="69">
        <f>C536</f>
        <v/>
      </c>
      <c r="S529" s="58">
        <f>M536</f>
        <v/>
      </c>
      <c r="T529" s="69">
        <f>N536</f>
        <v/>
      </c>
      <c r="U529" s="65" t="n"/>
      <c r="V529" s="65" t="n"/>
      <c r="W529" s="65" t="n"/>
    </row>
    <row r="530">
      <c r="A530" s="8" t="inlineStr">
        <is>
          <t>M</t>
        </is>
      </c>
      <c r="B530" s="9" t="inlineStr">
        <is>
          <t>50 Back</t>
        </is>
      </c>
      <c r="C530" s="9" t="n">
        <v>19</v>
      </c>
      <c r="D530" s="9" t="n">
        <v>1</v>
      </c>
      <c r="E530" s="41" t="inlineStr">
        <is>
          <t>25.40</t>
        </is>
      </c>
      <c r="F530" s="35">
        <f>IFERROR(__xludf.DUMMYFUNCTION("IF(
  REGEXMATCH(E530, "":""),
  60*VALUE(INDEX(SPLIT(E530, "":""),1,1)) + VALUE(INDEX(SPLIT(E530, "":""),1,2)),
  VALUE(E530)
)"),25.4)</f>
        <v/>
      </c>
      <c r="G530" s="35">
        <f>average(F527-F530,F528-F531,F529-F532)</f>
        <v/>
      </c>
      <c r="H530" s="35" t="n">
        <v>0.456666666666667</v>
      </c>
      <c r="I530" s="215">
        <f>C524</f>
        <v/>
      </c>
      <c r="J530" s="215">
        <f>C541</f>
        <v/>
      </c>
      <c r="K530" s="43">
        <f t="array" ref="K530">INDEX('Podium Target Times'!$C:$C, MATCH(A530&amp;B530, 'Podium Target Times'!$A:$A&amp;'Podium Target Times'!$B:$B, 0))
</f>
        <v/>
      </c>
      <c r="L530" s="12">
        <f>L533+G533</f>
        <v/>
      </c>
      <c r="M530" s="43">
        <f>TEXT(L530/86400, "mm:ss.00")</f>
        <v/>
      </c>
      <c r="N530" s="14">
        <f>IFERROR(__xludf.DUMMYFUNCTION("LET(
  gen,$A530, ev,$B530, t,$M530,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530" s="65" t="n"/>
      <c r="P530" s="69">
        <f>A538</f>
        <v/>
      </c>
      <c r="Q530" s="65">
        <f>B538</f>
        <v/>
      </c>
      <c r="R530" s="69">
        <f>C538</f>
        <v/>
      </c>
      <c r="S530" s="58">
        <f>M538</f>
        <v/>
      </c>
      <c r="T530" s="69">
        <f>N538</f>
        <v/>
      </c>
      <c r="U530" s="65" t="n"/>
      <c r="V530" s="65" t="n"/>
      <c r="W530" s="65" t="n"/>
    </row>
    <row r="531">
      <c r="A531" s="17" t="inlineStr">
        <is>
          <t>M</t>
        </is>
      </c>
      <c r="B531" s="18" t="inlineStr">
        <is>
          <t>50 Back</t>
        </is>
      </c>
      <c r="C531" s="18" t="n">
        <v>19</v>
      </c>
      <c r="D531" s="18" t="n">
        <v>2</v>
      </c>
      <c r="E531" s="46" t="inlineStr">
        <is>
          <t>25.64</t>
        </is>
      </c>
      <c r="F531" s="21">
        <f>IFERROR(__xludf.DUMMYFUNCTION("IF(
  REGEXMATCH(E531, "":""),
  60*VALUE(INDEX(SPLIT(E531, "":""),1,1)) + VALUE(INDEX(SPLIT(E531, "":""),1,2)),
  VALUE(E531)
)"),25.64)</f>
        <v/>
      </c>
      <c r="G531" s="21">
        <f>average(F527-F530,F528-F531,F529-F532)</f>
        <v/>
      </c>
      <c r="H531" s="21" t="n">
        <v>0.456666666666667</v>
      </c>
      <c r="I531" s="211">
        <f>C524</f>
        <v/>
      </c>
      <c r="J531" s="211">
        <f>C541</f>
        <v/>
      </c>
      <c r="K531" s="60">
        <f t="array" ref="K531">INDEX('Podium Target Times'!$C:$C, MATCH(A531&amp;B531, 'Podium Target Times'!$A:$A&amp;'Podium Target Times'!$B:$B, 0))
</f>
        <v/>
      </c>
      <c r="L531" s="24">
        <f>L533+G533</f>
        <v/>
      </c>
      <c r="M531" s="60">
        <f>TEXT(L531/86400, "mm:ss.00")</f>
        <v/>
      </c>
      <c r="N531" s="25">
        <f>IFERROR(__xludf.DUMMYFUNCTION("LET(
  gen,$A531, ev,$B531, t,$M531,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531" s="65" t="n"/>
      <c r="P531" s="69">
        <f>A540</f>
        <v/>
      </c>
      <c r="Q531" s="65">
        <f>B540</f>
        <v/>
      </c>
      <c r="R531" s="69">
        <f>C540</f>
        <v/>
      </c>
      <c r="S531" s="58">
        <f>M540</f>
        <v/>
      </c>
      <c r="T531" s="69">
        <f>N540</f>
        <v/>
      </c>
      <c r="U531" s="65" t="n"/>
      <c r="V531" s="65" t="n"/>
      <c r="W531" s="65" t="n"/>
    </row>
    <row r="532">
      <c r="A532" s="8" t="inlineStr">
        <is>
          <t>M</t>
        </is>
      </c>
      <c r="B532" s="9" t="inlineStr">
        <is>
          <t>50 Back</t>
        </is>
      </c>
      <c r="C532" s="9" t="n">
        <v>19</v>
      </c>
      <c r="D532" s="9" t="n">
        <v>3</v>
      </c>
      <c r="E532" s="41" t="inlineStr">
        <is>
          <t>25.69</t>
        </is>
      </c>
      <c r="F532" s="35">
        <f>IFERROR(__xludf.DUMMYFUNCTION("IF(
  REGEXMATCH(E532, "":""),
  60*VALUE(INDEX(SPLIT(E532, "":""),1,1)) + VALUE(INDEX(SPLIT(E532, "":""),1,2)),
  VALUE(E532)
)"),25.69)</f>
        <v/>
      </c>
      <c r="G532" s="35">
        <f>average(F527-F530,F528-F531,F529-F532)</f>
        <v/>
      </c>
      <c r="H532" s="35" t="n">
        <v>0.456666666666667</v>
      </c>
      <c r="I532" s="215">
        <f>C524</f>
        <v/>
      </c>
      <c r="J532" s="215">
        <f>C541</f>
        <v/>
      </c>
      <c r="K532" s="43">
        <f t="array" ref="K532">INDEX('Podium Target Times'!$C:$C, MATCH(A532&amp;B532, 'Podium Target Times'!$A:$A&amp;'Podium Target Times'!$B:$B, 0))
</f>
        <v/>
      </c>
      <c r="L532" s="12">
        <f>L533+G533</f>
        <v/>
      </c>
      <c r="M532" s="43">
        <f>TEXT(L532/86400, "mm:ss.00")</f>
        <v/>
      </c>
      <c r="N532" s="14">
        <f>IFERROR(__xludf.DUMMYFUNCTION("LET(
  gen,$A532, ev,$B532, t,$M532,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532" s="65" t="n"/>
      <c r="P532" s="69">
        <f>A541</f>
        <v/>
      </c>
      <c r="Q532" s="65">
        <f>B541</f>
        <v/>
      </c>
      <c r="R532" s="69">
        <f>C541</f>
        <v/>
      </c>
      <c r="S532" s="58">
        <f>M541</f>
        <v/>
      </c>
      <c r="T532" s="69">
        <f>N541</f>
        <v/>
      </c>
      <c r="U532" s="65" t="n"/>
      <c r="V532" s="65" t="n"/>
      <c r="W532" s="65" t="n"/>
    </row>
    <row r="533">
      <c r="A533" s="17" t="inlineStr">
        <is>
          <t>M</t>
        </is>
      </c>
      <c r="B533" s="18" t="inlineStr">
        <is>
          <t>50 Back</t>
        </is>
      </c>
      <c r="C533" s="18" t="n">
        <v>20</v>
      </c>
      <c r="D533" s="18" t="n">
        <v>1</v>
      </c>
      <c r="E533" s="46" t="inlineStr">
        <is>
          <t>25.11</t>
        </is>
      </c>
      <c r="F533" s="21">
        <f>IFERROR(__xludf.DUMMYFUNCTION("IF(
  REGEXMATCH(E533, "":""),
  60*VALUE(INDEX(SPLIT(E533, "":""),1,1)) + VALUE(INDEX(SPLIT(E533, "":""),1,2)),
  VALUE(E533)
)"),25.11)</f>
        <v/>
      </c>
      <c r="G533" s="21">
        <f>average(F530-F533,F531-F534,F532-F535)</f>
        <v/>
      </c>
      <c r="H533" s="21" t="n">
        <v>0.2900000000000003</v>
      </c>
      <c r="I533" s="211">
        <f>C524</f>
        <v/>
      </c>
      <c r="J533" s="211">
        <f>C541</f>
        <v/>
      </c>
      <c r="K533" s="60">
        <f t="array" ref="K533">INDEX('Podium Target Times'!$C:$C, MATCH(A533&amp;B533, 'Podium Target Times'!$A:$A&amp;'Podium Target Times'!$B:$B, 0))
</f>
        <v/>
      </c>
      <c r="L533" s="24">
        <f>L536+G536</f>
        <v/>
      </c>
      <c r="M533" s="60">
        <f>TEXT(L533/86400, "mm:ss.00")</f>
        <v/>
      </c>
      <c r="N533" s="25">
        <f>IFERROR(__xludf.DUMMYFUNCTION("LET(
  gen,$A533, ev,$B533, t,$M533,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533" s="65" t="n"/>
      <c r="P533" s="69" t="n"/>
      <c r="Q533" s="65" t="n"/>
      <c r="R533" s="69" t="n"/>
      <c r="S533" s="58" t="n"/>
      <c r="T533" s="69" t="n"/>
      <c r="U533" s="65" t="n"/>
      <c r="V533" s="65" t="n"/>
      <c r="W533" s="65" t="n"/>
    </row>
    <row r="534">
      <c r="A534" s="8" t="inlineStr">
        <is>
          <t>M</t>
        </is>
      </c>
      <c r="B534" s="9" t="inlineStr">
        <is>
          <t>50 Back</t>
        </is>
      </c>
      <c r="C534" s="9" t="n">
        <v>20</v>
      </c>
      <c r="D534" s="9" t="n">
        <v>2</v>
      </c>
      <c r="E534" s="41" t="inlineStr">
        <is>
          <t>25.35</t>
        </is>
      </c>
      <c r="F534" s="35">
        <f>IFERROR(__xludf.DUMMYFUNCTION("IF(
  REGEXMATCH(E534, "":""),
  60*VALUE(INDEX(SPLIT(E534, "":""),1,1)) + VALUE(INDEX(SPLIT(E534, "":""),1,2)),
  VALUE(E534)
)"),25.35)</f>
        <v/>
      </c>
      <c r="G534" s="35">
        <f>average(F530-F533,F531-F534,F532-F535)</f>
        <v/>
      </c>
      <c r="H534" s="35" t="n">
        <v>0.2900000000000003</v>
      </c>
      <c r="I534" s="215">
        <f>C524</f>
        <v/>
      </c>
      <c r="J534" s="215">
        <f>C541</f>
        <v/>
      </c>
      <c r="K534" s="43">
        <f t="array" ref="K534">INDEX('Podium Target Times'!$C:$C, MATCH(A534&amp;B534, 'Podium Target Times'!$A:$A&amp;'Podium Target Times'!$B:$B, 0))
</f>
        <v/>
      </c>
      <c r="L534" s="12">
        <f>L536+G536</f>
        <v/>
      </c>
      <c r="M534" s="43">
        <f>TEXT(L534/86400, "mm:ss.00")</f>
        <v/>
      </c>
      <c r="N534" s="14">
        <f>IFERROR(__xludf.DUMMYFUNCTION("LET(
  gen,$A534, ev,$B534, t,$M534,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534" s="65" t="n"/>
      <c r="P534" s="69" t="n"/>
      <c r="Q534" s="65" t="n"/>
      <c r="R534" s="69" t="n"/>
      <c r="S534" s="58" t="n"/>
      <c r="T534" s="69" t="n"/>
      <c r="U534" s="65" t="n"/>
      <c r="V534" s="65" t="n"/>
      <c r="W534" s="65" t="n"/>
    </row>
    <row r="535">
      <c r="A535" s="17" t="inlineStr">
        <is>
          <t>M</t>
        </is>
      </c>
      <c r="B535" s="18" t="inlineStr">
        <is>
          <t>50 Back</t>
        </is>
      </c>
      <c r="C535" s="18" t="n">
        <v>20</v>
      </c>
      <c r="D535" s="18" t="n">
        <v>3</v>
      </c>
      <c r="E535" s="46" t="inlineStr">
        <is>
          <t>25.40</t>
        </is>
      </c>
      <c r="F535" s="21">
        <f>IFERROR(__xludf.DUMMYFUNCTION("IF(
  REGEXMATCH(E535, "":""),
  60*VALUE(INDEX(SPLIT(E535, "":""),1,1)) + VALUE(INDEX(SPLIT(E535, "":""),1,2)),
  VALUE(E535)
)"),25.4)</f>
        <v/>
      </c>
      <c r="G535" s="21">
        <f>average(F530-F533,F531-F534,F532-F535)</f>
        <v/>
      </c>
      <c r="H535" s="21" t="n">
        <v>0.2900000000000003</v>
      </c>
      <c r="I535" s="211">
        <f>C524</f>
        <v/>
      </c>
      <c r="J535" s="211">
        <f>C541</f>
        <v/>
      </c>
      <c r="K535" s="60">
        <f t="array" ref="K535">INDEX('Podium Target Times'!$C:$C, MATCH(A535&amp;B535, 'Podium Target Times'!$A:$A&amp;'Podium Target Times'!$B:$B, 0))
</f>
        <v/>
      </c>
      <c r="L535" s="24">
        <f>L536+G536</f>
        <v/>
      </c>
      <c r="M535" s="60">
        <f>TEXT(L535/86400, "mm:ss.00")</f>
        <v/>
      </c>
      <c r="N535" s="25">
        <f>IFERROR(__xludf.DUMMYFUNCTION("LET(
  gen,$A535, ev,$B535, t,$M535,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535" s="65" t="n"/>
      <c r="P535" s="69" t="n"/>
      <c r="Q535" s="65" t="n"/>
      <c r="R535" s="69" t="n"/>
      <c r="S535" s="58" t="n"/>
      <c r="T535" s="69" t="n"/>
      <c r="U535" s="65" t="n"/>
      <c r="V535" s="65" t="n"/>
      <c r="W535" s="65" t="n"/>
    </row>
    <row r="536">
      <c r="A536" s="8" t="inlineStr">
        <is>
          <t>M</t>
        </is>
      </c>
      <c r="B536" s="9" t="inlineStr">
        <is>
          <t>50 Back</t>
        </is>
      </c>
      <c r="C536" s="9" t="n">
        <v>21</v>
      </c>
      <c r="D536" s="9" t="n">
        <v>2</v>
      </c>
      <c r="E536" s="41" t="inlineStr">
        <is>
          <t>25.19</t>
        </is>
      </c>
      <c r="F536" s="35">
        <f>IFERROR(__xludf.DUMMYFUNCTION("IF(
  REGEXMATCH(E536, "":""),
  60*VALUE(INDEX(SPLIT(E536, "":""),1,1)) + VALUE(INDEX(SPLIT(E536, "":""),1,2)),
  VALUE(E536)
)"),25.19)</f>
        <v/>
      </c>
      <c r="G536" s="35">
        <f>average(F534-F536,F535-F537)</f>
        <v/>
      </c>
      <c r="H536" s="35" t="n">
        <v>0.1600000000000001</v>
      </c>
      <c r="I536" s="215">
        <f>C524</f>
        <v/>
      </c>
      <c r="J536" s="215">
        <f>C541</f>
        <v/>
      </c>
      <c r="K536" s="43">
        <f t="array" ref="K536">INDEX('Podium Target Times'!$C:$C, MATCH(A536&amp;B536, 'Podium Target Times'!$A:$A&amp;'Podium Target Times'!$B:$B, 0))
</f>
        <v/>
      </c>
      <c r="L536" s="12">
        <f>L538+G538</f>
        <v/>
      </c>
      <c r="M536" s="43">
        <f>TEXT(L536/86400, "mm:ss.00")</f>
        <v/>
      </c>
      <c r="N536" s="14">
        <f>IFERROR(__xludf.DUMMYFUNCTION("LET(
  gen,$A536, ev,$B536, t,$M536,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O536" s="65" t="n"/>
      <c r="P536" s="69" t="n"/>
      <c r="Q536" s="65" t="n"/>
      <c r="R536" s="69" t="n"/>
      <c r="S536" s="58" t="n"/>
      <c r="T536" s="69" t="n"/>
      <c r="U536" s="65" t="n"/>
      <c r="V536" s="65" t="n"/>
      <c r="W536" s="65" t="n"/>
    </row>
    <row r="537">
      <c r="A537" s="17" t="inlineStr">
        <is>
          <t>M</t>
        </is>
      </c>
      <c r="B537" s="18" t="inlineStr">
        <is>
          <t>50 Back</t>
        </is>
      </c>
      <c r="C537" s="18" t="n">
        <v>21</v>
      </c>
      <c r="D537" s="18" t="n">
        <v>3</v>
      </c>
      <c r="E537" s="46" t="inlineStr">
        <is>
          <t>25.24</t>
        </is>
      </c>
      <c r="F537" s="21">
        <f>IFERROR(__xludf.DUMMYFUNCTION("IF(
  REGEXMATCH(E537, "":""),
  60*VALUE(INDEX(SPLIT(E537, "":""),1,1)) + VALUE(INDEX(SPLIT(E537, "":""),1,2)),
  VALUE(E537)
)"),25.24)</f>
        <v/>
      </c>
      <c r="G537" s="21">
        <f>average(F534-F536,F535-F537)</f>
        <v/>
      </c>
      <c r="H537" s="21" t="n">
        <v>0.1600000000000001</v>
      </c>
      <c r="I537" s="211">
        <f>C524</f>
        <v/>
      </c>
      <c r="J537" s="211">
        <f>C541</f>
        <v/>
      </c>
      <c r="K537" s="60">
        <f t="array" ref="K537">INDEX('Podium Target Times'!$C:$C, MATCH(A537&amp;B537, 'Podium Target Times'!$A:$A&amp;'Podium Target Times'!$B:$B, 0))
</f>
        <v/>
      </c>
      <c r="L537" s="24">
        <f>L538+G538</f>
        <v/>
      </c>
      <c r="M537" s="60">
        <f>TEXT(L537/86400, "mm:ss.00")</f>
        <v/>
      </c>
      <c r="N537" s="25">
        <f>IFERROR(__xludf.DUMMYFUNCTION("LET(
  gen,$A537, ev,$B537, t,$M537,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O537" s="65" t="n"/>
      <c r="P537" s="69" t="n"/>
      <c r="Q537" s="65" t="n"/>
      <c r="R537" s="69" t="n"/>
      <c r="S537" s="58" t="n"/>
      <c r="T537" s="69" t="n"/>
      <c r="U537" s="65" t="n"/>
      <c r="V537" s="65" t="n"/>
      <c r="W537" s="65" t="n"/>
    </row>
    <row r="538">
      <c r="A538" s="8" t="inlineStr">
        <is>
          <t>M</t>
        </is>
      </c>
      <c r="B538" s="9" t="inlineStr">
        <is>
          <t>50 Back</t>
        </is>
      </c>
      <c r="C538" s="9" t="n">
        <v>22</v>
      </c>
      <c r="D538" s="9" t="n">
        <v>2</v>
      </c>
      <c r="E538" s="41" t="inlineStr">
        <is>
          <t>25.11</t>
        </is>
      </c>
      <c r="F538" s="35">
        <f>IFERROR(__xludf.DUMMYFUNCTION("IF(
  REGEXMATCH(E538, "":""),
  60*VALUE(INDEX(SPLIT(E538, "":""),1,1)) + VALUE(INDEX(SPLIT(E538, "":""),1,2)),
  VALUE(E538)
)"),25.11)</f>
        <v/>
      </c>
      <c r="G538" s="35">
        <f>average(F536-F538,F537-F539)</f>
        <v/>
      </c>
      <c r="H538" s="35" t="n">
        <v>0.08500000000000085</v>
      </c>
      <c r="I538" s="215">
        <f>C524</f>
        <v/>
      </c>
      <c r="J538" s="215">
        <f>C541</f>
        <v/>
      </c>
      <c r="K538" s="43">
        <f t="array" ref="K538">INDEX('Podium Target Times'!$C:$C, MATCH(A538&amp;B538, 'Podium Target Times'!$A:$A&amp;'Podium Target Times'!$B:$B, 0))
</f>
        <v/>
      </c>
      <c r="L538" s="12">
        <f>L540+G540</f>
        <v/>
      </c>
      <c r="M538" s="43">
        <f>TEXT(L538/86400, "mm:ss.00")</f>
        <v/>
      </c>
      <c r="N538" s="14">
        <f>IFERROR(__xludf.DUMMYFUNCTION("LET(
  gen,$A538, ev,$B538, t,$M538,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
      </c>
      <c r="O538" s="65" t="n"/>
      <c r="P538" s="69" t="n"/>
      <c r="Q538" s="65" t="n"/>
      <c r="R538" s="69" t="n"/>
      <c r="S538" s="58" t="n"/>
      <c r="T538" s="69" t="n"/>
      <c r="U538" s="65" t="n"/>
      <c r="V538" s="65" t="n"/>
      <c r="W538" s="65" t="n"/>
    </row>
    <row r="539">
      <c r="A539" s="17" t="inlineStr">
        <is>
          <t>M</t>
        </is>
      </c>
      <c r="B539" s="18" t="inlineStr">
        <is>
          <t>50 Back</t>
        </is>
      </c>
      <c r="C539" s="18" t="n">
        <v>22</v>
      </c>
      <c r="D539" s="18" t="n">
        <v>3</v>
      </c>
      <c r="E539" s="46" t="inlineStr">
        <is>
          <t>25.15</t>
        </is>
      </c>
      <c r="F539" s="21">
        <f>IFERROR(__xludf.DUMMYFUNCTION("IF(
  REGEXMATCH(E539, "":""),
  60*VALUE(INDEX(SPLIT(E539, "":""),1,1)) + VALUE(INDEX(SPLIT(E539, "":""),1,2)),
  VALUE(E539)
)"),25.15)</f>
        <v/>
      </c>
      <c r="G539" s="21">
        <f>average(F536-F538,F537-F539)</f>
        <v/>
      </c>
      <c r="H539" s="21" t="n">
        <v>0.08500000000000085</v>
      </c>
      <c r="I539" s="211">
        <f>C524</f>
        <v/>
      </c>
      <c r="J539" s="211">
        <f>C541</f>
        <v/>
      </c>
      <c r="K539" s="60">
        <f t="array" ref="K539">INDEX('Podium Target Times'!$C:$C, MATCH(A539&amp;B539, 'Podium Target Times'!$A:$A&amp;'Podium Target Times'!$B:$B, 0))
</f>
        <v/>
      </c>
      <c r="L539" s="24">
        <f>L540+G540</f>
        <v/>
      </c>
      <c r="M539" s="60">
        <f>TEXT(L539/86400, "mm:ss.00")</f>
        <v/>
      </c>
      <c r="N539" s="25">
        <f>IFERROR(__xludf.DUMMYFUNCTION("LET(
  gen,$A539, ev,$B539, t,$M539,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
      </c>
      <c r="O539" s="65" t="n"/>
      <c r="P539" s="69" t="n"/>
      <c r="Q539" s="65" t="n"/>
      <c r="R539" s="69" t="n"/>
      <c r="S539" s="58" t="n"/>
      <c r="T539" s="69" t="n"/>
      <c r="U539" s="65" t="n"/>
      <c r="V539" s="65" t="n"/>
      <c r="W539" s="65" t="n"/>
    </row>
    <row r="540">
      <c r="A540" s="8" t="inlineStr">
        <is>
          <t>M</t>
        </is>
      </c>
      <c r="B540" s="9" t="inlineStr">
        <is>
          <t>50 Back</t>
        </is>
      </c>
      <c r="C540" s="9" t="n">
        <v>23</v>
      </c>
      <c r="D540" s="9" t="n">
        <v>3</v>
      </c>
      <c r="E540" s="41" t="inlineStr">
        <is>
          <t>25.12</t>
        </is>
      </c>
      <c r="F540" s="35">
        <f>IFERROR(__xludf.DUMMYFUNCTION("IF(
  REGEXMATCH(E540, "":""),
  60*VALUE(INDEX(SPLIT(E540, "":""),1,1)) + VALUE(INDEX(SPLIT(E540, "":""),1,2)),
  VALUE(E540)
)"),25.12)</f>
        <v/>
      </c>
      <c r="G540" s="35">
        <f>F539-F540</f>
        <v/>
      </c>
      <c r="H540" s="35" t="n">
        <v>0.02999999999999758</v>
      </c>
      <c r="I540" s="215">
        <f>C524</f>
        <v/>
      </c>
      <c r="J540" s="215">
        <f>C541</f>
        <v/>
      </c>
      <c r="K540" s="43">
        <f t="array" ref="K540">INDEX('Podium Target Times'!$C:$C, MATCH(A540&amp;B540, 'Podium Target Times'!$A:$A&amp;'Podium Target Times'!$B:$B, 0))
</f>
        <v/>
      </c>
      <c r="L540" s="12">
        <f>L541+G541</f>
        <v/>
      </c>
      <c r="M540" s="43">
        <f>TEXT(L540/86400, "mm:ss.00")</f>
        <v/>
      </c>
      <c r="N540" s="14">
        <f>IFERROR(__xludf.DUMMYFUNCTION("LET(
  gen,$A540, ev,$B540, t,$M540,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
      </c>
      <c r="O540" s="65" t="n"/>
      <c r="P540" s="69" t="n"/>
      <c r="Q540" s="65" t="n"/>
      <c r="R540" s="69" t="n"/>
      <c r="S540" s="58" t="n"/>
      <c r="T540" s="69" t="n"/>
      <c r="U540" s="65" t="n"/>
      <c r="V540" s="65" t="n"/>
      <c r="W540" s="65" t="n"/>
    </row>
    <row r="541">
      <c r="A541" s="17" t="inlineStr">
        <is>
          <t>M</t>
        </is>
      </c>
      <c r="B541" s="18" t="inlineStr">
        <is>
          <t>50 Back</t>
        </is>
      </c>
      <c r="C541" s="18" t="n">
        <v>24</v>
      </c>
      <c r="D541" s="18" t="n">
        <v>3</v>
      </c>
      <c r="E541" s="46" t="inlineStr">
        <is>
          <t>25.11</t>
        </is>
      </c>
      <c r="F541" s="21">
        <f>IFERROR(__xludf.DUMMYFUNCTION("IF(
  REGEXMATCH(E541, "":""),
  60*VALUE(INDEX(SPLIT(E541, "":""),1,1)) + VALUE(INDEX(SPLIT(E541, "":""),1,2)),
  VALUE(E541)
)"),25.11)</f>
        <v/>
      </c>
      <c r="G541" s="21">
        <f>F540-F541</f>
        <v/>
      </c>
      <c r="H541" s="21" t="n">
        <v>0.01000000000000156</v>
      </c>
      <c r="I541" s="211">
        <f>C524</f>
        <v/>
      </c>
      <c r="J541" s="211">
        <f>C541</f>
        <v/>
      </c>
      <c r="K541" s="60">
        <f t="array" ref="K541">INDEX('Podium Target Times'!$C:$C, MATCH(A541&amp;B541, 'Podium Target Times'!$A:$A&amp;'Podium Target Times'!$B:$B, 0))
</f>
        <v/>
      </c>
      <c r="L541" s="211">
        <f>K541</f>
        <v/>
      </c>
      <c r="M541" s="60">
        <f>TEXT(L541/86400, "mm:ss.00")</f>
        <v/>
      </c>
      <c r="N541" s="25">
        <f>IFERROR(__xludf.DUMMYFUNCTION("LET(
  gen,$A541, ev,$B541, t,$M541,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O541" s="65" t="n"/>
      <c r="P541" s="69" t="n"/>
      <c r="Q541" s="65" t="n"/>
      <c r="R541" s="69" t="n"/>
      <c r="S541" s="58" t="n"/>
      <c r="T541" s="69" t="n"/>
      <c r="U541" s="65" t="n"/>
      <c r="V541" s="65" t="n"/>
      <c r="W541" s="65" t="n"/>
    </row>
    <row r="542">
      <c r="A542" s="8" t="inlineStr">
        <is>
          <t>M</t>
        </is>
      </c>
      <c r="B542" s="9" t="inlineStr">
        <is>
          <t>50 Breast</t>
        </is>
      </c>
      <c r="C542" s="9" t="n">
        <v>18</v>
      </c>
      <c r="D542" s="9" t="n">
        <v>1</v>
      </c>
      <c r="E542" s="41" t="inlineStr">
        <is>
          <t>28.68</t>
        </is>
      </c>
      <c r="F542" s="35">
        <f>IFERROR(__xludf.DUMMYFUNCTION("IF(
  REGEXMATCH(E542, "":""),
  60*VALUE(INDEX(SPLIT(E542, "":""),1,1)) + VALUE(INDEX(SPLIT(E542, "":""),1,2)),
  VALUE(E542)
)"),28.68)</f>
        <v/>
      </c>
      <c r="G542" s="12" t="n">
        <v>0</v>
      </c>
      <c r="H542" s="12" t="n">
        <v>0</v>
      </c>
      <c r="I542" s="43">
        <f>C542</f>
        <v/>
      </c>
      <c r="J542" s="43">
        <f>C559</f>
        <v/>
      </c>
      <c r="K542" s="43">
        <f t="array" ref="K542">INDEX('Podium Target Times'!$C:$C, MATCH(A542&amp;B542, 'Podium Target Times'!$A:$A&amp;'Podium Target Times'!$B:$B, 0))
</f>
        <v/>
      </c>
      <c r="L542" s="12">
        <f>L543+G543</f>
        <v/>
      </c>
      <c r="M542" s="43">
        <f>TEXT(L542/86400, "mm:ss.00")</f>
        <v/>
      </c>
      <c r="N542" s="14">
        <f>IFERROR(__xludf.DUMMYFUNCTION("LET(
  gen,$A542, ev,$B542, t,$M542,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
      </c>
      <c r="O542" s="65" t="n"/>
      <c r="P542" s="69">
        <f>A542</f>
        <v/>
      </c>
      <c r="Q542" s="65">
        <f>B542</f>
        <v/>
      </c>
      <c r="R542" s="69">
        <f>C542</f>
        <v/>
      </c>
      <c r="S542" s="58">
        <f>M542</f>
        <v/>
      </c>
      <c r="T542" s="69">
        <f>N542</f>
        <v/>
      </c>
      <c r="U542" s="65" t="n"/>
      <c r="V542" s="65" t="n"/>
      <c r="W542" s="65" t="n"/>
    </row>
    <row r="543">
      <c r="A543" s="17" t="inlineStr">
        <is>
          <t>M</t>
        </is>
      </c>
      <c r="B543" s="18" t="inlineStr">
        <is>
          <t>50 Breast</t>
        </is>
      </c>
      <c r="C543" s="18" t="n">
        <v>19</v>
      </c>
      <c r="D543" s="18" t="n">
        <v>1</v>
      </c>
      <c r="E543" s="46" t="inlineStr">
        <is>
          <t>28.17</t>
        </is>
      </c>
      <c r="F543" s="21">
        <f>IFERROR(__xludf.DUMMYFUNCTION("IF(
  REGEXMATCH(E543, "":""),
  60*VALUE(INDEX(SPLIT(E543, "":""),1,1)) + VALUE(INDEX(SPLIT(E543, "":""),1,2)),
  VALUE(E543)
)"),28.17)</f>
        <v/>
      </c>
      <c r="G543" s="21">
        <f>F542-F543</f>
        <v/>
      </c>
      <c r="H543" s="21" t="n">
        <v>0.509999999999998</v>
      </c>
      <c r="I543" s="211">
        <f>C542</f>
        <v/>
      </c>
      <c r="J543" s="211">
        <f>C559</f>
        <v/>
      </c>
      <c r="K543" s="60">
        <f t="array" ref="K543">INDEX('Podium Target Times'!$C:$C, MATCH(A543&amp;B543, 'Podium Target Times'!$A:$A&amp;'Podium Target Times'!$B:$B, 0))
</f>
        <v/>
      </c>
      <c r="L543" s="24">
        <f>L545+G545</f>
        <v/>
      </c>
      <c r="M543" s="60">
        <f>TEXT(L543/86400, "mm:ss.00")</f>
        <v/>
      </c>
      <c r="N543" s="25">
        <f>IFERROR(__xludf.DUMMYFUNCTION("LET(
  gen,$A543, ev,$B543, t,$M543,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543" s="65" t="n"/>
      <c r="P543" s="69">
        <f>A543</f>
        <v/>
      </c>
      <c r="Q543" s="65">
        <f>B543</f>
        <v/>
      </c>
      <c r="R543" s="69">
        <f>C543</f>
        <v/>
      </c>
      <c r="S543" s="58">
        <f>M543</f>
        <v/>
      </c>
      <c r="T543" s="69">
        <f>N543</f>
        <v/>
      </c>
      <c r="U543" s="65" t="n"/>
      <c r="V543" s="65" t="n"/>
      <c r="W543" s="65" t="n"/>
    </row>
    <row r="544">
      <c r="A544" s="8" t="inlineStr">
        <is>
          <t>M</t>
        </is>
      </c>
      <c r="B544" s="9" t="inlineStr">
        <is>
          <t>50 Breast</t>
        </is>
      </c>
      <c r="C544" s="9" t="n">
        <v>19</v>
      </c>
      <c r="D544" s="9" t="n">
        <v>2</v>
      </c>
      <c r="E544" s="41" t="inlineStr">
        <is>
          <t>28.40</t>
        </is>
      </c>
      <c r="F544" s="35">
        <f>IFERROR(__xludf.DUMMYFUNCTION("IF(
  REGEXMATCH(E544, "":""),
  60*VALUE(INDEX(SPLIT(E544, "":""),1,1)) + VALUE(INDEX(SPLIT(E544, "":""),1,2)),
  VALUE(E544)
)"),28.4)</f>
        <v/>
      </c>
      <c r="G544" s="35">
        <f>F542-F543</f>
        <v/>
      </c>
      <c r="H544" s="35" t="n">
        <v>0.509999999999998</v>
      </c>
      <c r="I544" s="215">
        <f>C542</f>
        <v/>
      </c>
      <c r="J544" s="215">
        <f>C559</f>
        <v/>
      </c>
      <c r="K544" s="43">
        <f t="array" ref="K544">INDEX('Podium Target Times'!$C:$C, MATCH(A544&amp;B544, 'Podium Target Times'!$A:$A&amp;'Podium Target Times'!$B:$B, 0))
</f>
        <v/>
      </c>
      <c r="L544" s="12">
        <f>L545+G545</f>
        <v/>
      </c>
      <c r="M544" s="43">
        <f>TEXT(L544/86400, "mm:ss.00")</f>
        <v/>
      </c>
      <c r="N544" s="14">
        <f>IFERROR(__xludf.DUMMYFUNCTION("LET(
  gen,$A544, ev,$B544, t,$M544,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544" s="65" t="n"/>
      <c r="P544" s="69">
        <f>A545</f>
        <v/>
      </c>
      <c r="Q544" s="65">
        <f>B545</f>
        <v/>
      </c>
      <c r="R544" s="69">
        <f>C545</f>
        <v/>
      </c>
      <c r="S544" s="58">
        <f>M545</f>
        <v/>
      </c>
      <c r="T544" s="69">
        <f>N545</f>
        <v/>
      </c>
      <c r="U544" s="65" t="n"/>
      <c r="V544" s="65" t="n"/>
      <c r="W544" s="65" t="n"/>
    </row>
    <row r="545">
      <c r="A545" s="17" t="inlineStr">
        <is>
          <t>M</t>
        </is>
      </c>
      <c r="B545" s="18" t="inlineStr">
        <is>
          <t>50 Breast</t>
        </is>
      </c>
      <c r="C545" s="18" t="n">
        <v>20</v>
      </c>
      <c r="D545" s="18" t="n">
        <v>1</v>
      </c>
      <c r="E545" s="46" t="inlineStr">
        <is>
          <t>27.79</t>
        </is>
      </c>
      <c r="F545" s="21">
        <f>IFERROR(__xludf.DUMMYFUNCTION("IF(
  REGEXMATCH(E545, "":""),
  60*VALUE(INDEX(SPLIT(E545, "":""),1,1)) + VALUE(INDEX(SPLIT(E545, "":""),1,2)),
  VALUE(E545)
)"),27.79)</f>
        <v/>
      </c>
      <c r="G545" s="21">
        <f>average(F543-F545,F544-F546)</f>
        <v/>
      </c>
      <c r="H545" s="21" t="n">
        <v>0.3849999999999998</v>
      </c>
      <c r="I545" s="211">
        <f>C542</f>
        <v/>
      </c>
      <c r="J545" s="211">
        <f>C559</f>
        <v/>
      </c>
      <c r="K545" s="60">
        <f t="array" ref="K545">INDEX('Podium Target Times'!$C:$C, MATCH(A545&amp;B545, 'Podium Target Times'!$A:$A&amp;'Podium Target Times'!$B:$B, 0))
</f>
        <v/>
      </c>
      <c r="L545" s="24">
        <f>L548+G548</f>
        <v/>
      </c>
      <c r="M545" s="60">
        <f>TEXT(L545/86400, "mm:ss.00")</f>
        <v/>
      </c>
      <c r="N545" s="25">
        <f>IFERROR(__xludf.DUMMYFUNCTION("LET(
  gen,$A545, ev,$B545, t,$M545,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545" s="65" t="n"/>
      <c r="P545" s="69">
        <f>A548</f>
        <v/>
      </c>
      <c r="Q545" s="65">
        <f>B548</f>
        <v/>
      </c>
      <c r="R545" s="69">
        <f>C548</f>
        <v/>
      </c>
      <c r="S545" s="58">
        <f>M548</f>
        <v/>
      </c>
      <c r="T545" s="69">
        <f>N548</f>
        <v/>
      </c>
      <c r="U545" s="65" t="n"/>
      <c r="V545" s="65" t="n"/>
      <c r="W545" s="65" t="n"/>
    </row>
    <row r="546">
      <c r="A546" s="8" t="inlineStr">
        <is>
          <t>M</t>
        </is>
      </c>
      <c r="B546" s="9" t="inlineStr">
        <is>
          <t>50 Breast</t>
        </is>
      </c>
      <c r="C546" s="9" t="n">
        <v>20</v>
      </c>
      <c r="D546" s="9" t="n">
        <v>2</v>
      </c>
      <c r="E546" s="41" t="inlineStr">
        <is>
          <t>28.01</t>
        </is>
      </c>
      <c r="F546" s="35">
        <f>IFERROR(__xludf.DUMMYFUNCTION("IF(
  REGEXMATCH(E546, "":""),
  60*VALUE(INDEX(SPLIT(E546, "":""),1,1)) + VALUE(INDEX(SPLIT(E546, "":""),1,2)),
  VALUE(E546)
)"),28.01)</f>
        <v/>
      </c>
      <c r="G546" s="35">
        <f>average(F543-F545,F544-F546)</f>
        <v/>
      </c>
      <c r="H546" s="35" t="n">
        <v>0.3849999999999998</v>
      </c>
      <c r="I546" s="215">
        <f>C542</f>
        <v/>
      </c>
      <c r="J546" s="215">
        <f>C559</f>
        <v/>
      </c>
      <c r="K546" s="43">
        <f t="array" ref="K546">INDEX('Podium Target Times'!$C:$C, MATCH(A546&amp;B546, 'Podium Target Times'!$A:$A&amp;'Podium Target Times'!$B:$B, 0))
</f>
        <v/>
      </c>
      <c r="L546" s="12">
        <f>L548+G548</f>
        <v/>
      </c>
      <c r="M546" s="43">
        <f>TEXT(L546/86400, "mm:ss.00")</f>
        <v/>
      </c>
      <c r="N546" s="14">
        <f>IFERROR(__xludf.DUMMYFUNCTION("LET(
  gen,$A546, ev,$B546, t,$M546,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546" s="65" t="n"/>
      <c r="P546" s="69">
        <f>A551</f>
        <v/>
      </c>
      <c r="Q546" s="65">
        <f>B551</f>
        <v/>
      </c>
      <c r="R546" s="69">
        <f>C551</f>
        <v/>
      </c>
      <c r="S546" s="58">
        <f>M551</f>
        <v/>
      </c>
      <c r="T546" s="69">
        <f>N551</f>
        <v/>
      </c>
      <c r="U546" s="65" t="n"/>
      <c r="V546" s="65" t="n"/>
      <c r="W546" s="65" t="n"/>
    </row>
    <row r="547">
      <c r="A547" s="17" t="inlineStr">
        <is>
          <t>M</t>
        </is>
      </c>
      <c r="B547" s="18" t="inlineStr">
        <is>
          <t>50 Breast</t>
        </is>
      </c>
      <c r="C547" s="18" t="n">
        <v>20</v>
      </c>
      <c r="D547" s="18" t="n">
        <v>3</v>
      </c>
      <c r="E547" s="46" t="inlineStr">
        <is>
          <t>28.07</t>
        </is>
      </c>
      <c r="F547" s="21">
        <f>IFERROR(__xludf.DUMMYFUNCTION("IF(
  REGEXMATCH(E547, "":""),
  60*VALUE(INDEX(SPLIT(E547, "":""),1,1)) + VALUE(INDEX(SPLIT(E547, "":""),1,2)),
  VALUE(E547)
)"),28.07)</f>
        <v/>
      </c>
      <c r="G547" s="21">
        <f>average(F543-F545,F544-F546)</f>
        <v/>
      </c>
      <c r="H547" s="21" t="n">
        <v>0.3849999999999998</v>
      </c>
      <c r="I547" s="211">
        <f>C542</f>
        <v/>
      </c>
      <c r="J547" s="211">
        <f>C559</f>
        <v/>
      </c>
      <c r="K547" s="60">
        <f t="array" ref="K547">INDEX('Podium Target Times'!$C:$C, MATCH(A547&amp;B547, 'Podium Target Times'!$A:$A&amp;'Podium Target Times'!$B:$B, 0))
</f>
        <v/>
      </c>
      <c r="L547" s="24">
        <f>L548+G548</f>
        <v/>
      </c>
      <c r="M547" s="60">
        <f>TEXT(L547/86400, "mm:ss.00")</f>
        <v/>
      </c>
      <c r="N547" s="25">
        <f>IFERROR(__xludf.DUMMYFUNCTION("LET(
  gen,$A547, ev,$B547, t,$M547,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547" s="65" t="n"/>
      <c r="P547" s="69">
        <f>A554</f>
        <v/>
      </c>
      <c r="Q547" s="65">
        <f>B554</f>
        <v/>
      </c>
      <c r="R547" s="69">
        <f>C554</f>
        <v/>
      </c>
      <c r="S547" s="58">
        <f>M554</f>
        <v/>
      </c>
      <c r="T547" s="69">
        <f>N554</f>
        <v/>
      </c>
      <c r="U547" s="65" t="n"/>
      <c r="V547" s="65" t="n"/>
      <c r="W547" s="65" t="n"/>
    </row>
    <row r="548">
      <c r="A548" s="8" t="inlineStr">
        <is>
          <t>M</t>
        </is>
      </c>
      <c r="B548" s="9" t="inlineStr">
        <is>
          <t>50 Breast</t>
        </is>
      </c>
      <c r="C548" s="9" t="n">
        <v>21</v>
      </c>
      <c r="D548" s="9" t="n">
        <v>1</v>
      </c>
      <c r="E548" s="41" t="inlineStr">
        <is>
          <t>27.53</t>
        </is>
      </c>
      <c r="F548" s="35">
        <f>IFERROR(__xludf.DUMMYFUNCTION("IF(
  REGEXMATCH(E548, "":""),
  60*VALUE(INDEX(SPLIT(E548, "":""),1,1)) + VALUE(INDEX(SPLIT(E548, "":""),1,2)),
  VALUE(E548)
)"),27.53)</f>
        <v/>
      </c>
      <c r="G548" s="35">
        <f>average(F545-F548,F546-F549,F547-F550)</f>
        <v/>
      </c>
      <c r="H548" s="35" t="n">
        <v>0.2600000000000004</v>
      </c>
      <c r="I548" s="215">
        <f>C542</f>
        <v/>
      </c>
      <c r="J548" s="215">
        <f>C559</f>
        <v/>
      </c>
      <c r="K548" s="43">
        <f t="array" ref="K548">INDEX('Podium Target Times'!$C:$C, MATCH(A548&amp;B548, 'Podium Target Times'!$A:$A&amp;'Podium Target Times'!$B:$B, 0))
</f>
        <v/>
      </c>
      <c r="L548" s="12">
        <f>L551+G551</f>
        <v/>
      </c>
      <c r="M548" s="43">
        <f>TEXT(L548/86400, "mm:ss.00")</f>
        <v/>
      </c>
      <c r="N548" s="14">
        <f>IFERROR(__xludf.DUMMYFUNCTION("LET(
  gen,$A548, ev,$B548, t,$M548,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O548" s="65" t="n"/>
      <c r="P548" s="69">
        <f>A556</f>
        <v/>
      </c>
      <c r="Q548" s="65">
        <f>B556</f>
        <v/>
      </c>
      <c r="R548" s="69">
        <f>C556</f>
        <v/>
      </c>
      <c r="S548" s="58">
        <f>M556</f>
        <v/>
      </c>
      <c r="T548" s="69">
        <f>N556</f>
        <v/>
      </c>
      <c r="U548" s="65" t="n"/>
      <c r="V548" s="65" t="n"/>
      <c r="W548" s="65" t="n"/>
    </row>
    <row r="549">
      <c r="A549" s="17" t="inlineStr">
        <is>
          <t>M</t>
        </is>
      </c>
      <c r="B549" s="18" t="inlineStr">
        <is>
          <t>50 Breast</t>
        </is>
      </c>
      <c r="C549" s="18" t="n">
        <v>21</v>
      </c>
      <c r="D549" s="18" t="n">
        <v>2</v>
      </c>
      <c r="E549" s="46" t="inlineStr">
        <is>
          <t>27.75</t>
        </is>
      </c>
      <c r="F549" s="21">
        <f>IFERROR(__xludf.DUMMYFUNCTION("IF(
  REGEXMATCH(E549, "":""),
  60*VALUE(INDEX(SPLIT(E549, "":""),1,1)) + VALUE(INDEX(SPLIT(E549, "":""),1,2)),
  VALUE(E549)
)"),27.75)</f>
        <v/>
      </c>
      <c r="G549" s="21">
        <f>average(F545-F548,F546-F549,F547-F550)</f>
        <v/>
      </c>
      <c r="H549" s="21" t="n">
        <v>0.2600000000000004</v>
      </c>
      <c r="I549" s="211">
        <f>C542</f>
        <v/>
      </c>
      <c r="J549" s="211">
        <f>C559</f>
        <v/>
      </c>
      <c r="K549" s="60">
        <f t="array" ref="K549">INDEX('Podium Target Times'!$C:$C, MATCH(A549&amp;B549, 'Podium Target Times'!$A:$A&amp;'Podium Target Times'!$B:$B, 0))
</f>
        <v/>
      </c>
      <c r="L549" s="24">
        <f>L551+G551</f>
        <v/>
      </c>
      <c r="M549" s="60">
        <f>TEXT(L549/86400, "mm:ss.00")</f>
        <v/>
      </c>
      <c r="N549" s="25">
        <f>IFERROR(__xludf.DUMMYFUNCTION("LET(
  gen,$A549, ev,$B549, t,$M549,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O549" s="65" t="n"/>
      <c r="P549" s="69">
        <f>A558</f>
        <v/>
      </c>
      <c r="Q549" s="65">
        <f>B558</f>
        <v/>
      </c>
      <c r="R549" s="69">
        <f>C558</f>
        <v/>
      </c>
      <c r="S549" s="58">
        <f>M558</f>
        <v/>
      </c>
      <c r="T549" s="69">
        <f>N558</f>
        <v/>
      </c>
      <c r="U549" s="65" t="n"/>
      <c r="V549" s="65" t="n"/>
      <c r="W549" s="65" t="n"/>
    </row>
    <row r="550">
      <c r="A550" s="8" t="inlineStr">
        <is>
          <t>M</t>
        </is>
      </c>
      <c r="B550" s="9" t="inlineStr">
        <is>
          <t>50 Breast</t>
        </is>
      </c>
      <c r="C550" s="9" t="n">
        <v>21</v>
      </c>
      <c r="D550" s="9" t="n">
        <v>3</v>
      </c>
      <c r="E550" s="41" t="inlineStr">
        <is>
          <t>27.81</t>
        </is>
      </c>
      <c r="F550" s="35">
        <f>IFERROR(__xludf.DUMMYFUNCTION("IF(
  REGEXMATCH(E550, "":""),
  60*VALUE(INDEX(SPLIT(E550, "":""),1,1)) + VALUE(INDEX(SPLIT(E550, "":""),1,2)),
  VALUE(E550)
)"),27.81)</f>
        <v/>
      </c>
      <c r="G550" s="35">
        <f>average(F545-F548,F546-F549,F547-F550)</f>
        <v/>
      </c>
      <c r="H550" s="35" t="n">
        <v>0.2600000000000004</v>
      </c>
      <c r="I550" s="215">
        <f>C542</f>
        <v/>
      </c>
      <c r="J550" s="215">
        <f>C559</f>
        <v/>
      </c>
      <c r="K550" s="43">
        <f t="array" ref="K550">INDEX('Podium Target Times'!$C:$C, MATCH(A550&amp;B550, 'Podium Target Times'!$A:$A&amp;'Podium Target Times'!$B:$B, 0))
</f>
        <v/>
      </c>
      <c r="L550" s="12">
        <f>L551+G551</f>
        <v/>
      </c>
      <c r="M550" s="43">
        <f>TEXT(L550/86400, "mm:ss.00")</f>
        <v/>
      </c>
      <c r="N550" s="14">
        <f>IFERROR(__xludf.DUMMYFUNCTION("LET(
  gen,$A550, ev,$B550, t,$M550,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O550" s="65" t="n"/>
      <c r="P550" s="69">
        <f>A559</f>
        <v/>
      </c>
      <c r="Q550" s="65">
        <f>B559</f>
        <v/>
      </c>
      <c r="R550" s="69">
        <f>C559</f>
        <v/>
      </c>
      <c r="S550" s="58">
        <f>M559</f>
        <v/>
      </c>
      <c r="T550" s="69">
        <f>N559</f>
        <v/>
      </c>
      <c r="U550" s="65" t="n"/>
      <c r="V550" s="65" t="n"/>
      <c r="W550" s="65" t="n"/>
    </row>
    <row r="551">
      <c r="A551" s="17" t="inlineStr">
        <is>
          <t>M</t>
        </is>
      </c>
      <c r="B551" s="18" t="inlineStr">
        <is>
          <t>50 Breast</t>
        </is>
      </c>
      <c r="C551" s="18" t="n">
        <v>22</v>
      </c>
      <c r="D551" s="18" t="n">
        <v>1</v>
      </c>
      <c r="E551" s="46" t="inlineStr">
        <is>
          <t>27.33</t>
        </is>
      </c>
      <c r="F551" s="21">
        <f>IFERROR(__xludf.DUMMYFUNCTION("IF(
  REGEXMATCH(E551, "":""),
  60*VALUE(INDEX(SPLIT(E551, "":""),1,1)) + VALUE(INDEX(SPLIT(E551, "":""),1,2)),
  VALUE(E551)
)"),27.33)</f>
        <v/>
      </c>
      <c r="G551" s="21">
        <f>average(F548-F551,F549-F552,F550-F553)</f>
        <v/>
      </c>
      <c r="H551" s="21" t="n">
        <v>0.2000000000000005</v>
      </c>
      <c r="I551" s="211">
        <f>C542</f>
        <v/>
      </c>
      <c r="J551" s="211">
        <f>C559</f>
        <v/>
      </c>
      <c r="K551" s="60">
        <f t="array" ref="K551">INDEX('Podium Target Times'!$C:$C, MATCH(A551&amp;B551, 'Podium Target Times'!$A:$A&amp;'Podium Target Times'!$B:$B, 0))
</f>
        <v/>
      </c>
      <c r="L551" s="24">
        <f>L554+G554</f>
        <v/>
      </c>
      <c r="M551" s="60">
        <f>TEXT(L551/86400, "mm:ss.00")</f>
        <v/>
      </c>
      <c r="N551" s="25">
        <f>IFERROR(__xludf.DUMMYFUNCTION("LET(
  gen,$A551, ev,$B551, t,$M551,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
      </c>
      <c r="O551" s="65" t="n"/>
      <c r="P551" s="69" t="n"/>
      <c r="Q551" s="65" t="n"/>
      <c r="R551" s="69" t="n"/>
      <c r="S551" s="58" t="n"/>
      <c r="T551" s="69" t="n"/>
      <c r="U551" s="65" t="n"/>
      <c r="V551" s="65" t="n"/>
      <c r="W551" s="65" t="n"/>
    </row>
    <row r="552">
      <c r="A552" s="8" t="inlineStr">
        <is>
          <t>M</t>
        </is>
      </c>
      <c r="B552" s="9" t="inlineStr">
        <is>
          <t>50 Breast</t>
        </is>
      </c>
      <c r="C552" s="9" t="n">
        <v>22</v>
      </c>
      <c r="D552" s="9" t="n">
        <v>2</v>
      </c>
      <c r="E552" s="483" t="inlineStr">
        <is>
          <t>27.55</t>
        </is>
      </c>
      <c r="F552" s="35">
        <f>IFERROR(__xludf.DUMMYFUNCTION("IF(
  REGEXMATCH(E552, "":""),
  60*VALUE(INDEX(SPLIT(E552, "":""),1,1)) + VALUE(INDEX(SPLIT(E552, "":""),1,2)),
  VALUE(E552)
)"),27.55)</f>
        <v/>
      </c>
      <c r="G552" s="35">
        <f>average(F548-F551,F549-F552,F550-F553)</f>
        <v/>
      </c>
      <c r="H552" s="35" t="n">
        <v>0.2000000000000005</v>
      </c>
      <c r="I552" s="215">
        <f>C542</f>
        <v/>
      </c>
      <c r="J552" s="215">
        <f>C559</f>
        <v/>
      </c>
      <c r="K552" s="43">
        <f t="array" ref="K552">INDEX('Podium Target Times'!$C:$C, MATCH(A552&amp;B552, 'Podium Target Times'!$A:$A&amp;'Podium Target Times'!$B:$B, 0))
</f>
        <v/>
      </c>
      <c r="L552" s="12">
        <f>L554+G554</f>
        <v/>
      </c>
      <c r="M552" s="43">
        <f>TEXT(L552/86400, "mm:ss.00")</f>
        <v/>
      </c>
      <c r="N552" s="14">
        <f>IFERROR(__xludf.DUMMYFUNCTION("LET(
  gen,$A552, ev,$B552, t,$M552,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
      </c>
      <c r="O552" s="65" t="n"/>
      <c r="P552" s="69" t="n"/>
      <c r="Q552" s="65" t="n"/>
      <c r="R552" s="69" t="n"/>
      <c r="S552" s="58" t="n"/>
      <c r="T552" s="69" t="n"/>
      <c r="U552" s="65" t="n"/>
      <c r="V552" s="65" t="n"/>
      <c r="W552" s="65" t="n"/>
    </row>
    <row r="553">
      <c r="A553" s="17" t="inlineStr">
        <is>
          <t>M</t>
        </is>
      </c>
      <c r="B553" s="18" t="inlineStr">
        <is>
          <t>50 Breast</t>
        </is>
      </c>
      <c r="C553" s="18" t="n">
        <v>22</v>
      </c>
      <c r="D553" s="18" t="n">
        <v>3</v>
      </c>
      <c r="E553" s="46" t="inlineStr">
        <is>
          <t>27.61</t>
        </is>
      </c>
      <c r="F553" s="21">
        <f>IFERROR(__xludf.DUMMYFUNCTION("IF(
  REGEXMATCH(E553, "":""),
  60*VALUE(INDEX(SPLIT(E553, "":""),1,1)) + VALUE(INDEX(SPLIT(E553, "":""),1,2)),
  VALUE(E553)
)"),27.61)</f>
        <v/>
      </c>
      <c r="G553" s="21">
        <f>average(F548-F551,F549-F552,F550-F553)</f>
        <v/>
      </c>
      <c r="H553" s="21" t="n">
        <v>0.2000000000000005</v>
      </c>
      <c r="I553" s="211">
        <f>C542</f>
        <v/>
      </c>
      <c r="J553" s="211">
        <f>C559</f>
        <v/>
      </c>
      <c r="K553" s="60">
        <f t="array" ref="K553">INDEX('Podium Target Times'!$C:$C, MATCH(A553&amp;B553, 'Podium Target Times'!$A:$A&amp;'Podium Target Times'!$B:$B, 0))
</f>
        <v/>
      </c>
      <c r="L553" s="24">
        <f>L554+G554</f>
        <v/>
      </c>
      <c r="M553" s="60">
        <f>TEXT(L553/86400, "mm:ss.00")</f>
        <v/>
      </c>
      <c r="N553" s="25">
        <f>IFERROR(__xludf.DUMMYFUNCTION("LET(
  gen,$A553, ev,$B553, t,$M553,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
      </c>
      <c r="O553" s="65" t="n"/>
      <c r="P553" s="69" t="n"/>
      <c r="Q553" s="65" t="n"/>
      <c r="R553" s="69" t="n"/>
      <c r="S553" s="58" t="n"/>
      <c r="T553" s="69" t="n"/>
      <c r="U553" s="65" t="n"/>
      <c r="V553" s="65" t="n"/>
      <c r="W553" s="65" t="n"/>
    </row>
    <row r="554">
      <c r="A554" s="8" t="inlineStr">
        <is>
          <t>M</t>
        </is>
      </c>
      <c r="B554" s="9" t="inlineStr">
        <is>
          <t>50 Breast</t>
        </is>
      </c>
      <c r="C554" s="9" t="n">
        <v>23</v>
      </c>
      <c r="D554" s="9" t="n">
        <v>2</v>
      </c>
      <c r="E554" s="41" t="inlineStr">
        <is>
          <t>27.41</t>
        </is>
      </c>
      <c r="F554" s="35">
        <f>IFERROR(__xludf.DUMMYFUNCTION("IF(
  REGEXMATCH(E554, "":""),
  60*VALUE(INDEX(SPLIT(E554, "":""),1,1)) + VALUE(INDEX(SPLIT(E554, "":""),1,2)),
  VALUE(E554)
)"),27.41)</f>
        <v/>
      </c>
      <c r="G554" s="35">
        <f>average(F552-F554,F553-F555)</f>
        <v/>
      </c>
      <c r="H554" s="35" t="n">
        <v>0.1400000000000006</v>
      </c>
      <c r="I554" s="215">
        <f>C542</f>
        <v/>
      </c>
      <c r="J554" s="215">
        <f>C559</f>
        <v/>
      </c>
      <c r="K554" s="43">
        <f t="array" ref="K554">INDEX('Podium Target Times'!$C:$C, MATCH(A554&amp;B554, 'Podium Target Times'!$A:$A&amp;'Podium Target Times'!$B:$B, 0))
</f>
        <v/>
      </c>
      <c r="L554" s="12">
        <f>L556+G556</f>
        <v/>
      </c>
      <c r="M554" s="43">
        <f>TEXT(L554/86400, "mm:ss.00")</f>
        <v/>
      </c>
      <c r="N554" s="14">
        <f>IFERROR(__xludf.DUMMYFUNCTION("LET(
  gen,$A554, ev,$B554, t,$M554,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554" s="65" t="n"/>
      <c r="P554" s="69" t="n"/>
      <c r="Q554" s="65" t="n"/>
      <c r="R554" s="69" t="n"/>
      <c r="S554" s="58" t="n"/>
      <c r="T554" s="69" t="n"/>
      <c r="U554" s="65" t="n"/>
      <c r="V554" s="65" t="n"/>
      <c r="W554" s="65" t="n"/>
    </row>
    <row r="555">
      <c r="A555" s="17" t="inlineStr">
        <is>
          <t>M</t>
        </is>
      </c>
      <c r="B555" s="18" t="inlineStr">
        <is>
          <t>50 Breast</t>
        </is>
      </c>
      <c r="C555" s="18" t="n">
        <v>23</v>
      </c>
      <c r="D555" s="18" t="n">
        <v>3</v>
      </c>
      <c r="E555" s="46" t="inlineStr">
        <is>
          <t>27.47</t>
        </is>
      </c>
      <c r="F555" s="21">
        <f>IFERROR(__xludf.DUMMYFUNCTION("IF(
  REGEXMATCH(E555, "":""),
  60*VALUE(INDEX(SPLIT(E555, "":""),1,1)) + VALUE(INDEX(SPLIT(E555, "":""),1,2)),
  VALUE(E555)
)"),27.47)</f>
        <v/>
      </c>
      <c r="G555" s="21">
        <f>average(F552-F554,F553-F555)</f>
        <v/>
      </c>
      <c r="H555" s="21" t="n">
        <v>0.1400000000000006</v>
      </c>
      <c r="I555" s="211">
        <f>C542</f>
        <v/>
      </c>
      <c r="J555" s="211">
        <f>C559</f>
        <v/>
      </c>
      <c r="K555" s="60">
        <f t="array" ref="K555">INDEX('Podium Target Times'!$C:$C, MATCH(A555&amp;B555, 'Podium Target Times'!$A:$A&amp;'Podium Target Times'!$B:$B, 0))
</f>
        <v/>
      </c>
      <c r="L555" s="24">
        <f>L556+G556</f>
        <v/>
      </c>
      <c r="M555" s="60">
        <f>TEXT(L555/86400, "mm:ss.00")</f>
        <v/>
      </c>
      <c r="N555" s="25">
        <f>IFERROR(__xludf.DUMMYFUNCTION("LET(
  gen,$A555, ev,$B555, t,$M555,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555" s="65" t="n"/>
      <c r="P555" s="69" t="n"/>
      <c r="Q555" s="65" t="n"/>
      <c r="R555" s="69" t="n"/>
      <c r="S555" s="58" t="n"/>
      <c r="T555" s="69" t="n"/>
      <c r="U555" s="65" t="n"/>
      <c r="V555" s="65" t="n"/>
      <c r="W555" s="65" t="n"/>
    </row>
    <row r="556">
      <c r="A556" s="8" t="inlineStr">
        <is>
          <t>M</t>
        </is>
      </c>
      <c r="B556" s="9" t="inlineStr">
        <is>
          <t>50 Breast</t>
        </is>
      </c>
      <c r="C556" s="9" t="n">
        <v>24</v>
      </c>
      <c r="D556" s="9" t="n">
        <v>2</v>
      </c>
      <c r="E556" s="41" t="inlineStr">
        <is>
          <t>27.33</t>
        </is>
      </c>
      <c r="F556" s="35">
        <f>IFERROR(__xludf.DUMMYFUNCTION("IF(
  REGEXMATCH(E556, "":""),
  60*VALUE(INDEX(SPLIT(E556, "":""),1,1)) + VALUE(INDEX(SPLIT(E556, "":""),1,2)),
  VALUE(E556)
)"),27.33)</f>
        <v/>
      </c>
      <c r="G556" s="35">
        <f>average(F554-F556,F555-F557)</f>
        <v/>
      </c>
      <c r="H556" s="35" t="n">
        <v>0.08500000000000085</v>
      </c>
      <c r="I556" s="215">
        <f>C542</f>
        <v/>
      </c>
      <c r="J556" s="215">
        <f>C559</f>
        <v/>
      </c>
      <c r="K556" s="43">
        <f t="array" ref="K556">INDEX('Podium Target Times'!$C:$C, MATCH(A556&amp;B556, 'Podium Target Times'!$A:$A&amp;'Podium Target Times'!$B:$B, 0))
</f>
        <v/>
      </c>
      <c r="L556" s="12">
        <f>L558+G558</f>
        <v/>
      </c>
      <c r="M556" s="43">
        <f>TEXT(L556/86400, "mm:ss.00")</f>
        <v/>
      </c>
      <c r="N556" s="14">
        <f>IFERROR(__xludf.DUMMYFUNCTION("LET(
  gen,$A556, ev,$B556, t,$M556,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O556" s="65" t="n"/>
      <c r="P556" s="69" t="n"/>
      <c r="Q556" s="65" t="n"/>
      <c r="R556" s="69" t="n"/>
      <c r="S556" s="58" t="n"/>
      <c r="T556" s="69" t="n"/>
      <c r="U556" s="65" t="n"/>
      <c r="V556" s="65" t="n"/>
      <c r="W556" s="65" t="n"/>
    </row>
    <row r="557">
      <c r="A557" s="17" t="inlineStr">
        <is>
          <t>M</t>
        </is>
      </c>
      <c r="B557" s="18" t="inlineStr">
        <is>
          <t>50 Breast</t>
        </is>
      </c>
      <c r="C557" s="18" t="n">
        <v>24</v>
      </c>
      <c r="D557" s="18" t="n">
        <v>3</v>
      </c>
      <c r="E557" s="46" t="inlineStr">
        <is>
          <t>27.38</t>
        </is>
      </c>
      <c r="F557" s="21">
        <f>IFERROR(__xludf.DUMMYFUNCTION("IF(
  REGEXMATCH(E557, "":""),
  60*VALUE(INDEX(SPLIT(E557, "":""),1,1)) + VALUE(INDEX(SPLIT(E557, "":""),1,2)),
  VALUE(E557)
)"),27.38)</f>
        <v/>
      </c>
      <c r="G557" s="21">
        <f>average(F554-F556,F555-F557)</f>
        <v/>
      </c>
      <c r="H557" s="21" t="n">
        <v>0.08500000000000085</v>
      </c>
      <c r="I557" s="211">
        <f>C542</f>
        <v/>
      </c>
      <c r="J557" s="211">
        <f>C559</f>
        <v/>
      </c>
      <c r="K557" s="60">
        <f t="array" ref="K557">INDEX('Podium Target Times'!$C:$C, MATCH(A557&amp;B557, 'Podium Target Times'!$A:$A&amp;'Podium Target Times'!$B:$B, 0))
</f>
        <v/>
      </c>
      <c r="L557" s="24">
        <f>L558+G558</f>
        <v/>
      </c>
      <c r="M557" s="60">
        <f>TEXT(L557/86400, "mm:ss.00")</f>
        <v/>
      </c>
      <c r="N557" s="25">
        <f>IFERROR(__xludf.DUMMYFUNCTION("LET(
  gen,$A557, ev,$B557, t,$M557,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O557" s="65" t="n"/>
      <c r="P557" s="69" t="n"/>
      <c r="Q557" s="65" t="n"/>
      <c r="R557" s="69" t="n"/>
      <c r="S557" s="58" t="n"/>
      <c r="T557" s="69" t="n"/>
      <c r="U557" s="65" t="n"/>
      <c r="V557" s="65" t="n"/>
      <c r="W557" s="65" t="n"/>
    </row>
    <row r="558">
      <c r="A558" s="8" t="inlineStr">
        <is>
          <t>M</t>
        </is>
      </c>
      <c r="B558" s="9" t="inlineStr">
        <is>
          <t>50 Breast</t>
        </is>
      </c>
      <c r="C558" s="9" t="n">
        <v>25</v>
      </c>
      <c r="D558" s="9" t="n">
        <v>3</v>
      </c>
      <c r="E558" s="483" t="inlineStr">
        <is>
          <t>27.34</t>
        </is>
      </c>
      <c r="F558" s="35">
        <f>IFERROR(__xludf.DUMMYFUNCTION("IF(
  REGEXMATCH(E558, "":""),
  60*VALUE(INDEX(SPLIT(E558, "":""),1,1)) + VALUE(INDEX(SPLIT(E558, "":""),1,2)),
  VALUE(E558)
)"),27.34)</f>
        <v/>
      </c>
      <c r="G558" s="35">
        <f>F557-F558</f>
        <v/>
      </c>
      <c r="H558" s="35" t="n">
        <v>0.03999999999999915</v>
      </c>
      <c r="I558" s="215">
        <f>C542</f>
        <v/>
      </c>
      <c r="J558" s="215">
        <f>C559</f>
        <v/>
      </c>
      <c r="K558" s="43">
        <f t="array" ref="K558">INDEX('Podium Target Times'!$C:$C, MATCH(A558&amp;B558, 'Podium Target Times'!$A:$A&amp;'Podium Target Times'!$B:$B, 0))
</f>
        <v/>
      </c>
      <c r="L558" s="12">
        <f>L559+G559</f>
        <v/>
      </c>
      <c r="M558" s="43">
        <f>TEXT(L558/86400, "mm:ss.00")</f>
        <v/>
      </c>
      <c r="N558" s="14">
        <f>IFERROR(__xludf.DUMMYFUNCTION("LET(
  gen,$A558, ev,$B558, t,$M558,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
      </c>
      <c r="O558" s="65" t="n"/>
      <c r="P558" s="69" t="n"/>
      <c r="Q558" s="65" t="n"/>
      <c r="R558" s="69" t="n"/>
      <c r="S558" s="58" t="n"/>
      <c r="T558" s="69" t="n"/>
      <c r="U558" s="65" t="n"/>
      <c r="V558" s="65" t="n"/>
      <c r="W558" s="65" t="n"/>
    </row>
    <row r="559">
      <c r="A559" s="17" t="inlineStr">
        <is>
          <t>M</t>
        </is>
      </c>
      <c r="B559" s="18" t="inlineStr">
        <is>
          <t>50 Breast</t>
        </is>
      </c>
      <c r="C559" s="18" t="n">
        <v>26</v>
      </c>
      <c r="D559" s="18" t="n">
        <v>3</v>
      </c>
      <c r="E559" s="491" t="inlineStr">
        <is>
          <t>27.33</t>
        </is>
      </c>
      <c r="F559" s="21">
        <f>IFERROR(__xludf.DUMMYFUNCTION("IF(
  REGEXMATCH(E559, "":""),
  60*VALUE(INDEX(SPLIT(E559, "":""),1,1)) + VALUE(INDEX(SPLIT(E559, "":""),1,2)),
  VALUE(E559)
)"),27.33)</f>
        <v/>
      </c>
      <c r="G559" s="21">
        <f>F558-F559</f>
        <v/>
      </c>
      <c r="H559" s="21" t="n">
        <v>0.01000000000000156</v>
      </c>
      <c r="I559" s="211">
        <f>C542</f>
        <v/>
      </c>
      <c r="J559" s="211">
        <f>C559</f>
        <v/>
      </c>
      <c r="K559" s="60">
        <f t="array" ref="K559">INDEX('Podium Target Times'!$C:$C, MATCH(A559&amp;B559, 'Podium Target Times'!$A:$A&amp;'Podium Target Times'!$B:$B, 0))
</f>
        <v/>
      </c>
      <c r="L559" s="211">
        <f>K559</f>
        <v/>
      </c>
      <c r="M559" s="60">
        <f>TEXT(L559/86400, "mm:ss.00")</f>
        <v/>
      </c>
      <c r="N559" s="25">
        <f>IFERROR(__xludf.DUMMYFUNCTION("LET(
  gen,$A559, ev,$B559, t,$M559,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O559" s="65" t="n"/>
      <c r="P559" s="69" t="n"/>
      <c r="Q559" s="65" t="n"/>
      <c r="R559" s="69" t="n"/>
      <c r="S559" s="58" t="n"/>
      <c r="T559" s="69" t="n"/>
      <c r="U559" s="65" t="n"/>
      <c r="V559" s="65" t="n"/>
      <c r="W559" s="65" t="n"/>
    </row>
    <row r="560">
      <c r="A560" s="8" t="inlineStr">
        <is>
          <t>M</t>
        </is>
      </c>
      <c r="B560" s="9" t="inlineStr">
        <is>
          <t>50 Fly</t>
        </is>
      </c>
      <c r="C560" s="9" t="n">
        <v>17</v>
      </c>
      <c r="D560" s="9" t="n">
        <v>1</v>
      </c>
      <c r="E560" s="41" t="inlineStr">
        <is>
          <t>24.61</t>
        </is>
      </c>
      <c r="F560" s="35">
        <f>IFERROR(__xludf.DUMMYFUNCTION("IF(
  REGEXMATCH(E560, "":""),
  60*VALUE(INDEX(SPLIT(E560, "":""),1,1)) + VALUE(INDEX(SPLIT(E560, "":""),1,2)),
  VALUE(E560)
)"),24.61)</f>
        <v/>
      </c>
      <c r="G560" s="12" t="n">
        <v>0</v>
      </c>
      <c r="H560" s="12" t="n">
        <v>0</v>
      </c>
      <c r="I560" s="43">
        <f>C560</f>
        <v/>
      </c>
      <c r="J560" s="43">
        <f>C577</f>
        <v/>
      </c>
      <c r="K560" s="43">
        <f t="array" ref="K560">INDEX('Podium Target Times'!$C:$C, MATCH(A560&amp;B560, 'Podium Target Times'!$A:$A&amp;'Podium Target Times'!$B:$B, 0))
</f>
        <v/>
      </c>
      <c r="L560" s="12">
        <f>L561+G561</f>
        <v/>
      </c>
      <c r="M560" s="43">
        <f>TEXT(L560/86400, "mm:ss.00")</f>
        <v/>
      </c>
      <c r="N560" s="14">
        <f>IFERROR(__xludf.DUMMYFUNCTION("LET(
  gen,$A560, ev,$B560, t,$M560,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560" s="65" t="n"/>
      <c r="P560" s="69">
        <f>A560</f>
        <v/>
      </c>
      <c r="Q560" s="65">
        <f>B560</f>
        <v/>
      </c>
      <c r="R560" s="69">
        <f>C560</f>
        <v/>
      </c>
      <c r="S560" s="58">
        <f>M560</f>
        <v/>
      </c>
      <c r="T560" s="69">
        <f>N560</f>
        <v/>
      </c>
      <c r="U560" s="65" t="n"/>
      <c r="V560" s="65" t="n"/>
      <c r="W560" s="65" t="n"/>
    </row>
    <row r="561">
      <c r="A561" s="17" t="inlineStr">
        <is>
          <t>M</t>
        </is>
      </c>
      <c r="B561" s="18" t="inlineStr">
        <is>
          <t>50 Fly</t>
        </is>
      </c>
      <c r="C561" s="18" t="n">
        <v>18</v>
      </c>
      <c r="D561" s="18" t="n">
        <v>1</v>
      </c>
      <c r="E561" s="46" t="inlineStr">
        <is>
          <t>24.10</t>
        </is>
      </c>
      <c r="F561" s="21">
        <f>IFERROR(__xludf.DUMMYFUNCTION("IF(
  REGEXMATCH(E561, "":""),
  60*VALUE(INDEX(SPLIT(E561, "":""),1,1)) + VALUE(INDEX(SPLIT(E561, "":""),1,2)),
  VALUE(E561)
)"),24.1)</f>
        <v/>
      </c>
      <c r="G561" s="21">
        <f>F560-F561</f>
        <v/>
      </c>
      <c r="H561" s="21" t="n">
        <v>0.509999999999998</v>
      </c>
      <c r="I561" s="211">
        <f>C560</f>
        <v/>
      </c>
      <c r="J561" s="211">
        <f>C577</f>
        <v/>
      </c>
      <c r="K561" s="60">
        <f t="array" ref="K561">INDEX('Podium Target Times'!$C:$C, MATCH(A561&amp;B561, 'Podium Target Times'!$A:$A&amp;'Podium Target Times'!$B:$B, 0))
</f>
        <v/>
      </c>
      <c r="L561" s="24">
        <f>L563+G563</f>
        <v/>
      </c>
      <c r="M561" s="60">
        <f>TEXT(L561/86400, "mm:ss.00")</f>
        <v/>
      </c>
      <c r="N561" s="25">
        <f>IFERROR(__xludf.DUMMYFUNCTION("LET(
  gen,$A561, ev,$B561, t,$M561,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O561" s="65" t="n"/>
      <c r="P561" s="69">
        <f>A561</f>
        <v/>
      </c>
      <c r="Q561" s="65">
        <f>B561</f>
        <v/>
      </c>
      <c r="R561" s="69">
        <f>C561</f>
        <v/>
      </c>
      <c r="S561" s="58">
        <f>M561</f>
        <v/>
      </c>
      <c r="T561" s="69">
        <f>N561</f>
        <v/>
      </c>
      <c r="U561" s="65" t="n"/>
      <c r="V561" s="65" t="n"/>
      <c r="W561" s="65" t="n"/>
    </row>
    <row r="562">
      <c r="A562" s="8" t="inlineStr">
        <is>
          <t>M</t>
        </is>
      </c>
      <c r="B562" s="9" t="inlineStr">
        <is>
          <t>50 Fly</t>
        </is>
      </c>
      <c r="C562" s="9" t="n">
        <v>18</v>
      </c>
      <c r="D562" s="9" t="n">
        <v>2</v>
      </c>
      <c r="E562" s="41" t="inlineStr">
        <is>
          <t>24.31</t>
        </is>
      </c>
      <c r="F562" s="35">
        <f>IFERROR(__xludf.DUMMYFUNCTION("IF(
  REGEXMATCH(E562, "":""),
  60*VALUE(INDEX(SPLIT(E562, "":""),1,1)) + VALUE(INDEX(SPLIT(E562, "":""),1,2)),
  VALUE(E562)
)"),24.31)</f>
        <v/>
      </c>
      <c r="G562" s="35">
        <f>F560-F561</f>
        <v/>
      </c>
      <c r="H562" s="35" t="n">
        <v>0.509999999999998</v>
      </c>
      <c r="I562" s="215">
        <f>C560</f>
        <v/>
      </c>
      <c r="J562" s="215">
        <f>C577</f>
        <v/>
      </c>
      <c r="K562" s="43">
        <f t="array" ref="K562">INDEX('Podium Target Times'!$C:$C, MATCH(A562&amp;B562, 'Podium Target Times'!$A:$A&amp;'Podium Target Times'!$B:$B, 0))
</f>
        <v/>
      </c>
      <c r="L562" s="12">
        <f>L563+G563</f>
        <v/>
      </c>
      <c r="M562" s="43">
        <f>TEXT(L562/86400, "mm:ss.00")</f>
        <v/>
      </c>
      <c r="N562" s="14">
        <f>IFERROR(__xludf.DUMMYFUNCTION("LET(
  gen,$A562, ev,$B562, t,$M562,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O562" s="65" t="n"/>
      <c r="P562" s="69">
        <f>A563</f>
        <v/>
      </c>
      <c r="Q562" s="65">
        <f>B563</f>
        <v/>
      </c>
      <c r="R562" s="69">
        <f>C563</f>
        <v/>
      </c>
      <c r="S562" s="58">
        <f>M563</f>
        <v/>
      </c>
      <c r="T562" s="69">
        <f>N563</f>
        <v/>
      </c>
      <c r="U562" s="65" t="n"/>
      <c r="V562" s="65" t="n"/>
      <c r="W562" s="65" t="n"/>
    </row>
    <row r="563">
      <c r="A563" s="17" t="inlineStr">
        <is>
          <t>M</t>
        </is>
      </c>
      <c r="B563" s="18" t="inlineStr">
        <is>
          <t>50 Fly</t>
        </is>
      </c>
      <c r="C563" s="18" t="n">
        <v>19</v>
      </c>
      <c r="D563" s="18" t="n">
        <v>1</v>
      </c>
      <c r="E563" s="46" t="inlineStr">
        <is>
          <t>23.75</t>
        </is>
      </c>
      <c r="F563" s="21">
        <f>IFERROR(__xludf.DUMMYFUNCTION("IF(
  REGEXMATCH(E563, "":""),
  60*VALUE(INDEX(SPLIT(E563, "":""),1,1)) + VALUE(INDEX(SPLIT(E563, "":""),1,2)),
  VALUE(E563)
)"),23.75)</f>
        <v/>
      </c>
      <c r="G563" s="21">
        <f>average(F561-F563,F562-F564)</f>
        <v/>
      </c>
      <c r="H563" s="21" t="n">
        <v>0.3499999999999996</v>
      </c>
      <c r="I563" s="211">
        <f>C560</f>
        <v/>
      </c>
      <c r="J563" s="211">
        <f>C577</f>
        <v/>
      </c>
      <c r="K563" s="60">
        <f t="array" ref="K563">INDEX('Podium Target Times'!$C:$C, MATCH(A563&amp;B563, 'Podium Target Times'!$A:$A&amp;'Podium Target Times'!$B:$B, 0))
</f>
        <v/>
      </c>
      <c r="L563" s="24">
        <f>L566+G566</f>
        <v/>
      </c>
      <c r="M563" s="60">
        <f>TEXT(L563/86400, "mm:ss.00")</f>
        <v/>
      </c>
      <c r="N563" s="25">
        <f>IFERROR(__xludf.DUMMYFUNCTION("LET(
  gen,$A563, ev,$B563, t,$M563,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63" s="65" t="n"/>
      <c r="P563" s="69">
        <f>A566</f>
        <v/>
      </c>
      <c r="Q563" s="65">
        <f>B566</f>
        <v/>
      </c>
      <c r="R563" s="69">
        <f>C566</f>
        <v/>
      </c>
      <c r="S563" s="58">
        <f>M566</f>
        <v/>
      </c>
      <c r="T563" s="69">
        <f>N566</f>
        <v/>
      </c>
      <c r="U563" s="65" t="n"/>
      <c r="V563" s="65" t="n"/>
      <c r="W563" s="65" t="n"/>
    </row>
    <row r="564">
      <c r="A564" s="8" t="inlineStr">
        <is>
          <t>M</t>
        </is>
      </c>
      <c r="B564" s="9" t="inlineStr">
        <is>
          <t>50 Fly</t>
        </is>
      </c>
      <c r="C564" s="9" t="n">
        <v>19</v>
      </c>
      <c r="D564" s="9" t="n">
        <v>2</v>
      </c>
      <c r="E564" s="41" t="inlineStr">
        <is>
          <t>23.96</t>
        </is>
      </c>
      <c r="F564" s="35">
        <f>IFERROR(__xludf.DUMMYFUNCTION("IF(
  REGEXMATCH(E564, "":""),
  60*VALUE(INDEX(SPLIT(E564, "":""),1,1)) + VALUE(INDEX(SPLIT(E564, "":""),1,2)),
  VALUE(E564)
)"),23.96)</f>
        <v/>
      </c>
      <c r="G564" s="35">
        <f>average(F561-F563,F562-F564)</f>
        <v/>
      </c>
      <c r="H564" s="35" t="n">
        <v>0.3499999999999996</v>
      </c>
      <c r="I564" s="215">
        <f>C560</f>
        <v/>
      </c>
      <c r="J564" s="215">
        <f>C577</f>
        <v/>
      </c>
      <c r="K564" s="43">
        <f t="array" ref="K564">INDEX('Podium Target Times'!$C:$C, MATCH(A564&amp;B564, 'Podium Target Times'!$A:$A&amp;'Podium Target Times'!$B:$B, 0))
</f>
        <v/>
      </c>
      <c r="L564" s="12">
        <f>L566+G566</f>
        <v/>
      </c>
      <c r="M564" s="43">
        <f>TEXT(L564/86400, "mm:ss.00")</f>
        <v/>
      </c>
      <c r="N564" s="14">
        <f>IFERROR(__xludf.DUMMYFUNCTION("LET(
  gen,$A564, ev,$B564, t,$M564,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64" s="65" t="n"/>
      <c r="P564" s="69">
        <f>A569</f>
        <v/>
      </c>
      <c r="Q564" s="65">
        <f>B569</f>
        <v/>
      </c>
      <c r="R564" s="69">
        <f>C569</f>
        <v/>
      </c>
      <c r="S564" s="58">
        <f>M569</f>
        <v/>
      </c>
      <c r="T564" s="69">
        <f>N569</f>
        <v/>
      </c>
      <c r="U564" s="65" t="n"/>
      <c r="V564" s="65" t="n"/>
      <c r="W564" s="65" t="n"/>
    </row>
    <row r="565">
      <c r="A565" s="17" t="inlineStr">
        <is>
          <t>M</t>
        </is>
      </c>
      <c r="B565" s="18" t="inlineStr">
        <is>
          <t>50 Fly</t>
        </is>
      </c>
      <c r="C565" s="18" t="n">
        <v>19</v>
      </c>
      <c r="D565" s="18" t="n">
        <v>3</v>
      </c>
      <c r="E565" s="46" t="inlineStr">
        <is>
          <t>24.04</t>
        </is>
      </c>
      <c r="F565" s="21">
        <f>IFERROR(__xludf.DUMMYFUNCTION("IF(
  REGEXMATCH(E565, "":""),
  60*VALUE(INDEX(SPLIT(E565, "":""),1,1)) + VALUE(INDEX(SPLIT(E565, "":""),1,2)),
  VALUE(E565)
)"),24.04)</f>
        <v/>
      </c>
      <c r="G565" s="21">
        <f>average(F561-F563,F562-F564)</f>
        <v/>
      </c>
      <c r="H565" s="21" t="n">
        <v>0.3499999999999996</v>
      </c>
      <c r="I565" s="211">
        <f>C560</f>
        <v/>
      </c>
      <c r="J565" s="211">
        <f>C577</f>
        <v/>
      </c>
      <c r="K565" s="60">
        <f t="array" ref="K565">INDEX('Podium Target Times'!$C:$C, MATCH(A565&amp;B565, 'Podium Target Times'!$A:$A&amp;'Podium Target Times'!$B:$B, 0))
</f>
        <v/>
      </c>
      <c r="L565" s="24">
        <f>L566+G566</f>
        <v/>
      </c>
      <c r="M565" s="60">
        <f>TEXT(L565/86400, "mm:ss.00")</f>
        <v/>
      </c>
      <c r="N565" s="25">
        <f>IFERROR(__xludf.DUMMYFUNCTION("LET(
  gen,$A565, ev,$B565, t,$M565,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65" s="65" t="n"/>
      <c r="P565" s="69">
        <f>A572</f>
        <v/>
      </c>
      <c r="Q565" s="65">
        <f>B572</f>
        <v/>
      </c>
      <c r="R565" s="69">
        <f>C572</f>
        <v/>
      </c>
      <c r="S565" s="58">
        <f>M572</f>
        <v/>
      </c>
      <c r="T565" s="69">
        <f>N572</f>
        <v/>
      </c>
      <c r="U565" s="65" t="n"/>
      <c r="V565" s="65" t="n"/>
      <c r="W565" s="65" t="n"/>
    </row>
    <row r="566">
      <c r="A566" s="8" t="inlineStr">
        <is>
          <t>M</t>
        </is>
      </c>
      <c r="B566" s="9" t="inlineStr">
        <is>
          <t>50 Fly</t>
        </is>
      </c>
      <c r="C566" s="9" t="n">
        <v>20</v>
      </c>
      <c r="D566" s="9" t="n">
        <v>1</v>
      </c>
      <c r="E566" s="41" t="inlineStr">
        <is>
          <t>23.52</t>
        </is>
      </c>
      <c r="F566" s="35">
        <f>IFERROR(__xludf.DUMMYFUNCTION("IF(
  REGEXMATCH(E566, "":""),
  60*VALUE(INDEX(SPLIT(E566, "":""),1,1)) + VALUE(INDEX(SPLIT(E566, "":""),1,2)),
  VALUE(E566)
)"),23.52)</f>
        <v/>
      </c>
      <c r="G566" s="35">
        <f>average(F563-F566,F564-F567,F565-F568)</f>
        <v/>
      </c>
      <c r="H566" s="35" t="n">
        <v>0.2300000000000004</v>
      </c>
      <c r="I566" s="215">
        <f>C560</f>
        <v/>
      </c>
      <c r="J566" s="215">
        <f>C577</f>
        <v/>
      </c>
      <c r="K566" s="43">
        <f t="array" ref="K566">INDEX('Podium Target Times'!$C:$C, MATCH(A566&amp;B566, 'Podium Target Times'!$A:$A&amp;'Podium Target Times'!$B:$B, 0))
</f>
        <v/>
      </c>
      <c r="L566" s="12">
        <f>L569+G569</f>
        <v/>
      </c>
      <c r="M566" s="43">
        <f>TEXT(L566/86400, "mm:ss.00")</f>
        <v/>
      </c>
      <c r="N566" s="14">
        <f>IFERROR(__xludf.DUMMYFUNCTION("LET(
  gen,$A566, ev,$B566, t,$M566,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566" s="65" t="n"/>
      <c r="P566" s="69">
        <f>A574</f>
        <v/>
      </c>
      <c r="Q566" s="65">
        <f>B574</f>
        <v/>
      </c>
      <c r="R566" s="69">
        <f>C574</f>
        <v/>
      </c>
      <c r="S566" s="58">
        <f>M574</f>
        <v/>
      </c>
      <c r="T566" s="69">
        <f>N574</f>
        <v/>
      </c>
      <c r="U566" s="65" t="n"/>
      <c r="V566" s="65" t="n"/>
      <c r="W566" s="65" t="n"/>
    </row>
    <row r="567">
      <c r="A567" s="17" t="inlineStr">
        <is>
          <t>M</t>
        </is>
      </c>
      <c r="B567" s="18" t="inlineStr">
        <is>
          <t>50 Fly</t>
        </is>
      </c>
      <c r="C567" s="18" t="n">
        <v>20</v>
      </c>
      <c r="D567" s="18" t="n">
        <v>2</v>
      </c>
      <c r="E567" s="46" t="inlineStr">
        <is>
          <t>23.73</t>
        </is>
      </c>
      <c r="F567" s="21">
        <f>IFERROR(__xludf.DUMMYFUNCTION("IF(
  REGEXMATCH(E567, "":""),
  60*VALUE(INDEX(SPLIT(E567, "":""),1,1)) + VALUE(INDEX(SPLIT(E567, "":""),1,2)),
  VALUE(E567)
)"),23.73)</f>
        <v/>
      </c>
      <c r="G567" s="21">
        <f>average(F563-F566,F564-F567,F565-F568)</f>
        <v/>
      </c>
      <c r="H567" s="21" t="n">
        <v>0.2300000000000004</v>
      </c>
      <c r="I567" s="211">
        <f>C560</f>
        <v/>
      </c>
      <c r="J567" s="211">
        <f>C577</f>
        <v/>
      </c>
      <c r="K567" s="60">
        <f t="array" ref="K567">INDEX('Podium Target Times'!$C:$C, MATCH(A567&amp;B567, 'Podium Target Times'!$A:$A&amp;'Podium Target Times'!$B:$B, 0))
</f>
        <v/>
      </c>
      <c r="L567" s="24">
        <f>L569+G569</f>
        <v/>
      </c>
      <c r="M567" s="60">
        <f>TEXT(L567/86400, "mm:ss.00")</f>
        <v/>
      </c>
      <c r="N567" s="25">
        <f>IFERROR(__xludf.DUMMYFUNCTION("LET(
  gen,$A567, ev,$B567, t,$M567,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567" s="65" t="n"/>
      <c r="P567" s="69">
        <f>A576</f>
        <v/>
      </c>
      <c r="Q567" s="65">
        <f>B576</f>
        <v/>
      </c>
      <c r="R567" s="69">
        <f>C576</f>
        <v/>
      </c>
      <c r="S567" s="58">
        <f>M576</f>
        <v/>
      </c>
      <c r="T567" s="69">
        <f>N576</f>
        <v/>
      </c>
      <c r="U567" s="65" t="n"/>
      <c r="V567" s="65" t="n"/>
      <c r="W567" s="65" t="n"/>
    </row>
    <row r="568">
      <c r="A568" s="8" t="inlineStr">
        <is>
          <t>M</t>
        </is>
      </c>
      <c r="B568" s="9" t="inlineStr">
        <is>
          <t>50 Fly</t>
        </is>
      </c>
      <c r="C568" s="9" t="n">
        <v>20</v>
      </c>
      <c r="D568" s="9" t="n">
        <v>3</v>
      </c>
      <c r="E568" s="41" t="inlineStr">
        <is>
          <t>23.81</t>
        </is>
      </c>
      <c r="F568" s="35">
        <f>IFERROR(__xludf.DUMMYFUNCTION("IF(
  REGEXMATCH(E568, "":""),
  60*VALUE(INDEX(SPLIT(E568, "":""),1,1)) + VALUE(INDEX(SPLIT(E568, "":""),1,2)),
  VALUE(E568)
)"),23.81)</f>
        <v/>
      </c>
      <c r="G568" s="35">
        <f>average(F563-F566,F564-F567,F565-F568)</f>
        <v/>
      </c>
      <c r="H568" s="35" t="n">
        <v>0.2300000000000004</v>
      </c>
      <c r="I568" s="215">
        <f>C560</f>
        <v/>
      </c>
      <c r="J568" s="215">
        <f>C577</f>
        <v/>
      </c>
      <c r="K568" s="43">
        <f t="array" ref="K568">INDEX('Podium Target Times'!$C:$C, MATCH(A568&amp;B568, 'Podium Target Times'!$A:$A&amp;'Podium Target Times'!$B:$B, 0))
</f>
        <v/>
      </c>
      <c r="L568" s="12">
        <f>L569+G569</f>
        <v/>
      </c>
      <c r="M568" s="43">
        <f>TEXT(L568/86400, "mm:ss.00")</f>
        <v/>
      </c>
      <c r="N568" s="14">
        <f>IFERROR(__xludf.DUMMYFUNCTION("LET(
  gen,$A568, ev,$B568, t,$M568,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568" s="65" t="n"/>
      <c r="P568" s="69">
        <f>A577</f>
        <v/>
      </c>
      <c r="Q568" s="65">
        <f>B577</f>
        <v/>
      </c>
      <c r="R568" s="69">
        <f>C577</f>
        <v/>
      </c>
      <c r="S568" s="58">
        <f>M577</f>
        <v/>
      </c>
      <c r="T568" s="69">
        <f>N577</f>
        <v/>
      </c>
      <c r="U568" s="65" t="n"/>
      <c r="V568" s="65" t="n"/>
      <c r="W568" s="65" t="n"/>
    </row>
    <row r="569">
      <c r="A569" s="17" t="inlineStr">
        <is>
          <t>M</t>
        </is>
      </c>
      <c r="B569" s="18" t="inlineStr">
        <is>
          <t>50 Fly</t>
        </is>
      </c>
      <c r="C569" s="18" t="n">
        <v>21</v>
      </c>
      <c r="D569" s="18" t="n">
        <v>1</v>
      </c>
      <c r="E569" s="46" t="inlineStr">
        <is>
          <t>23.36</t>
        </is>
      </c>
      <c r="F569" s="21">
        <f>IFERROR(__xludf.DUMMYFUNCTION("IF(
  REGEXMATCH(E569, "":""),
  60*VALUE(INDEX(SPLIT(E569, "":""),1,1)) + VALUE(INDEX(SPLIT(E569, "":""),1,2)),
  VALUE(E569)
)"),23.36)</f>
        <v/>
      </c>
      <c r="G569" s="21">
        <f>average(F566-F569,F567-F570,F568-F571)</f>
        <v/>
      </c>
      <c r="H569" s="21" t="n">
        <v>0.1633333333333328</v>
      </c>
      <c r="I569" s="211">
        <f>C560</f>
        <v/>
      </c>
      <c r="J569" s="211">
        <f>C577</f>
        <v/>
      </c>
      <c r="K569" s="60">
        <f t="array" ref="K569">INDEX('Podium Target Times'!$C:$C, MATCH(A569&amp;B569, 'Podium Target Times'!$A:$A&amp;'Podium Target Times'!$B:$B, 0))
</f>
        <v/>
      </c>
      <c r="L569" s="24">
        <f>L572+G572</f>
        <v/>
      </c>
      <c r="M569" s="60">
        <f>TEXT(L569/86400, "mm:ss.00")</f>
        <v/>
      </c>
      <c r="N569" s="25">
        <f>IFERROR(__xludf.DUMMYFUNCTION("LET(
  gen,$A569, ev,$B569, t,$M569,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O569" s="65" t="n"/>
      <c r="P569" s="69" t="n"/>
      <c r="Q569" s="65" t="n"/>
      <c r="R569" s="69" t="n"/>
      <c r="S569" s="58" t="n"/>
      <c r="T569" s="69" t="n"/>
      <c r="U569" s="65" t="n"/>
      <c r="V569" s="65" t="n"/>
      <c r="W569" s="65" t="n"/>
    </row>
    <row r="570">
      <c r="A570" s="8" t="inlineStr">
        <is>
          <t>M</t>
        </is>
      </c>
      <c r="B570" s="9" t="inlineStr">
        <is>
          <t>50 Fly</t>
        </is>
      </c>
      <c r="C570" s="9" t="n">
        <v>21</v>
      </c>
      <c r="D570" s="9" t="n">
        <v>2</v>
      </c>
      <c r="E570" s="41" t="inlineStr">
        <is>
          <t>23.57</t>
        </is>
      </c>
      <c r="F570" s="35">
        <f>IFERROR(__xludf.DUMMYFUNCTION("IF(
  REGEXMATCH(E570, "":""),
  60*VALUE(INDEX(SPLIT(E570, "":""),1,1)) + VALUE(INDEX(SPLIT(E570, "":""),1,2)),
  VALUE(E570)
)"),23.57)</f>
        <v/>
      </c>
      <c r="G570" s="35">
        <f>average(F566-F569,F567-F570,F568-F571)</f>
        <v/>
      </c>
      <c r="H570" s="35" t="n">
        <v>0.1633333333333328</v>
      </c>
      <c r="I570" s="215">
        <f>C560</f>
        <v/>
      </c>
      <c r="J570" s="215">
        <f>C577</f>
        <v/>
      </c>
      <c r="K570" s="43">
        <f t="array" ref="K570">INDEX('Podium Target Times'!$C:$C, MATCH(A570&amp;B570, 'Podium Target Times'!$A:$A&amp;'Podium Target Times'!$B:$B, 0))
</f>
        <v/>
      </c>
      <c r="L570" s="12">
        <f>L572+G572</f>
        <v/>
      </c>
      <c r="M570" s="43">
        <f>TEXT(L570/86400, "mm:ss.00")</f>
        <v/>
      </c>
      <c r="N570" s="14">
        <f>IFERROR(__xludf.DUMMYFUNCTION("LET(
  gen,$A570, ev,$B570, t,$M570,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O570" s="65" t="n"/>
      <c r="P570" s="69" t="n"/>
      <c r="Q570" s="65" t="n"/>
      <c r="R570" s="69" t="n"/>
      <c r="S570" s="58" t="n"/>
      <c r="T570" s="69" t="n"/>
      <c r="U570" s="65" t="n"/>
      <c r="V570" s="65" t="n"/>
      <c r="W570" s="65" t="n"/>
    </row>
    <row r="571">
      <c r="A571" s="17" t="inlineStr">
        <is>
          <t>M</t>
        </is>
      </c>
      <c r="B571" s="18" t="inlineStr">
        <is>
          <t>50 Fly</t>
        </is>
      </c>
      <c r="C571" s="18" t="n">
        <v>21</v>
      </c>
      <c r="D571" s="18" t="n">
        <v>3</v>
      </c>
      <c r="E571" s="46" t="inlineStr">
        <is>
          <t>23.64</t>
        </is>
      </c>
      <c r="F571" s="21">
        <f>IFERROR(__xludf.DUMMYFUNCTION("IF(
  REGEXMATCH(E571, "":""),
  60*VALUE(INDEX(SPLIT(E571, "":""),1,1)) + VALUE(INDEX(SPLIT(E571, "":""),1,2)),
  VALUE(E571)
)"),23.64)</f>
        <v/>
      </c>
      <c r="G571" s="21">
        <f>average(F566-F569,F567-F570,F568-F571)</f>
        <v/>
      </c>
      <c r="H571" s="21" t="n">
        <v>0.1633333333333328</v>
      </c>
      <c r="I571" s="211">
        <f>C560</f>
        <v/>
      </c>
      <c r="J571" s="211">
        <f>C577</f>
        <v/>
      </c>
      <c r="K571" s="60">
        <f t="array" ref="K571">INDEX('Podium Target Times'!$C:$C, MATCH(A571&amp;B571, 'Podium Target Times'!$A:$A&amp;'Podium Target Times'!$B:$B, 0))
</f>
        <v/>
      </c>
      <c r="L571" s="24">
        <f>L572+G572</f>
        <v/>
      </c>
      <c r="M571" s="60">
        <f>TEXT(L571/86400, "mm:ss.00")</f>
        <v/>
      </c>
      <c r="N571" s="25">
        <f>IFERROR(__xludf.DUMMYFUNCTION("LET(
  gen,$A571, ev,$B571, t,$M571,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O571" s="65" t="n"/>
      <c r="P571" s="69" t="n"/>
      <c r="Q571" s="65" t="n"/>
      <c r="R571" s="69" t="n"/>
      <c r="S571" s="58" t="n"/>
      <c r="T571" s="69" t="n"/>
      <c r="U571" s="65" t="n"/>
      <c r="V571" s="65" t="n"/>
      <c r="W571" s="65" t="n"/>
    </row>
    <row r="572">
      <c r="A572" s="8" t="inlineStr">
        <is>
          <t>M</t>
        </is>
      </c>
      <c r="B572" s="9" t="inlineStr">
        <is>
          <t>50 Fly</t>
        </is>
      </c>
      <c r="C572" s="9" t="n">
        <v>22</v>
      </c>
      <c r="D572" s="9" t="n">
        <v>2</v>
      </c>
      <c r="E572" s="41" t="inlineStr">
        <is>
          <t>23.45</t>
        </is>
      </c>
      <c r="F572" s="35">
        <f>IFERROR(__xludf.DUMMYFUNCTION("IF(
  REGEXMATCH(E572, "":""),
  60*VALUE(INDEX(SPLIT(E572, "":""),1,1)) + VALUE(INDEX(SPLIT(E572, "":""),1,2)),
  VALUE(E572)
)"),23.45)</f>
        <v/>
      </c>
      <c r="G572" s="35">
        <f>average(F570-F572,F571-F573)</f>
        <v/>
      </c>
      <c r="H572" s="35" t="n">
        <v>0.120000000000001</v>
      </c>
      <c r="I572" s="215">
        <f>C560</f>
        <v/>
      </c>
      <c r="J572" s="215">
        <f>C577</f>
        <v/>
      </c>
      <c r="K572" s="43">
        <f t="array" ref="K572">INDEX('Podium Target Times'!$C:$C, MATCH(A572&amp;B572, 'Podium Target Times'!$A:$A&amp;'Podium Target Times'!$B:$B, 0))
</f>
        <v/>
      </c>
      <c r="L572" s="12">
        <f>L574+G574</f>
        <v/>
      </c>
      <c r="M572" s="43">
        <f>TEXT(L572/86400, "mm:ss.00")</f>
        <v/>
      </c>
      <c r="N572" s="14">
        <f>IFERROR(__xludf.DUMMYFUNCTION("LET(
  gen,$A572, ev,$B572, t,$M572,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O572" s="65" t="n"/>
      <c r="P572" s="69" t="n"/>
      <c r="Q572" s="65" t="n"/>
      <c r="R572" s="69" t="n"/>
      <c r="S572" s="58" t="n"/>
      <c r="T572" s="69" t="n"/>
      <c r="U572" s="65" t="n"/>
      <c r="V572" s="65" t="n"/>
      <c r="W572" s="65" t="n"/>
    </row>
    <row r="573">
      <c r="A573" s="17" t="inlineStr">
        <is>
          <t>M</t>
        </is>
      </c>
      <c r="B573" s="18" t="inlineStr">
        <is>
          <t>50 Fly</t>
        </is>
      </c>
      <c r="C573" s="18" t="n">
        <v>22</v>
      </c>
      <c r="D573" s="18" t="n">
        <v>3</v>
      </c>
      <c r="E573" s="46" t="inlineStr">
        <is>
          <t>23.52</t>
        </is>
      </c>
      <c r="F573" s="21">
        <f>IFERROR(__xludf.DUMMYFUNCTION("IF(
  REGEXMATCH(E573, "":""),
  60*VALUE(INDEX(SPLIT(E573, "":""),1,1)) + VALUE(INDEX(SPLIT(E573, "":""),1,2)),
  VALUE(E573)
)"),23.52)</f>
        <v/>
      </c>
      <c r="G573" s="21">
        <f>average(F570-F572,F571-F573)</f>
        <v/>
      </c>
      <c r="H573" s="21" t="n">
        <v>0.120000000000001</v>
      </c>
      <c r="I573" s="211">
        <f>C560</f>
        <v/>
      </c>
      <c r="J573" s="211">
        <f>C577</f>
        <v/>
      </c>
      <c r="K573" s="60">
        <f t="array" ref="K573">INDEX('Podium Target Times'!$C:$C, MATCH(A573&amp;B573, 'Podium Target Times'!$A:$A&amp;'Podium Target Times'!$B:$B, 0))
</f>
        <v/>
      </c>
      <c r="L573" s="24">
        <f>L574+G574</f>
        <v/>
      </c>
      <c r="M573" s="60">
        <f>TEXT(L573/86400, "mm:ss.00")</f>
        <v/>
      </c>
      <c r="N573" s="25">
        <f>IFERROR(__xludf.DUMMYFUNCTION("LET(
  gen,$A573, ev,$B573, t,$M573,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O573" s="65" t="n"/>
      <c r="P573" s="69" t="n"/>
      <c r="Q573" s="65" t="n"/>
      <c r="R573" s="69" t="n"/>
      <c r="S573" s="58" t="n"/>
      <c r="T573" s="69" t="n"/>
      <c r="U573" s="65" t="n"/>
      <c r="V573" s="65" t="n"/>
      <c r="W573" s="65" t="n"/>
    </row>
    <row r="574">
      <c r="A574" s="8" t="inlineStr">
        <is>
          <t>M</t>
        </is>
      </c>
      <c r="B574" s="9" t="inlineStr">
        <is>
          <t>50 Fly</t>
        </is>
      </c>
      <c r="C574" s="9" t="n">
        <v>23</v>
      </c>
      <c r="D574" s="9" t="n">
        <v>2</v>
      </c>
      <c r="E574" s="41" t="inlineStr">
        <is>
          <t>23.36</t>
        </is>
      </c>
      <c r="F574" s="35">
        <f>IFERROR(__xludf.DUMMYFUNCTION("IF(
  REGEXMATCH(E574, "":""),
  60*VALUE(INDEX(SPLIT(E574, "":""),1,1)) + VALUE(INDEX(SPLIT(E574, "":""),1,2)),
  VALUE(E574)
)"),23.36)</f>
        <v/>
      </c>
      <c r="G574" s="35">
        <f>average(F572-F574,F573-F575)</f>
        <v/>
      </c>
      <c r="H574" s="35" t="n">
        <v>0.08999999999999986</v>
      </c>
      <c r="I574" s="215">
        <f>C560</f>
        <v/>
      </c>
      <c r="J574" s="215">
        <f>C577</f>
        <v/>
      </c>
      <c r="K574" s="43">
        <f t="array" ref="K574">INDEX('Podium Target Times'!$C:$C, MATCH(A574&amp;B574, 'Podium Target Times'!$A:$A&amp;'Podium Target Times'!$B:$B, 0))
</f>
        <v/>
      </c>
      <c r="L574" s="12">
        <f>L576+G576</f>
        <v/>
      </c>
      <c r="M574" s="43">
        <f>TEXT(L574/86400, "mm:ss.00")</f>
        <v/>
      </c>
      <c r="N574" s="14">
        <f>IFERROR(__xludf.DUMMYFUNCTION("LET(
  gen,$A574, ev,$B574, t,$M574,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
      </c>
      <c r="O574" s="65" t="n"/>
      <c r="P574" s="69" t="n"/>
      <c r="Q574" s="65" t="n"/>
      <c r="R574" s="69" t="n"/>
      <c r="S574" s="58" t="n"/>
      <c r="T574" s="69" t="n"/>
      <c r="U574" s="65" t="n"/>
      <c r="V574" s="65" t="n"/>
      <c r="W574" s="65" t="n"/>
    </row>
    <row r="575">
      <c r="A575" s="17" t="inlineStr">
        <is>
          <t>M</t>
        </is>
      </c>
      <c r="B575" s="18" t="inlineStr">
        <is>
          <t>50 Fly</t>
        </is>
      </c>
      <c r="C575" s="18" t="n">
        <v>23</v>
      </c>
      <c r="D575" s="18" t="n">
        <v>3</v>
      </c>
      <c r="E575" s="46" t="inlineStr">
        <is>
          <t>23.43</t>
        </is>
      </c>
      <c r="F575" s="21">
        <f>IFERROR(__xludf.DUMMYFUNCTION("IF(
  REGEXMATCH(E575, "":""),
  60*VALUE(INDEX(SPLIT(E575, "":""),1,1)) + VALUE(INDEX(SPLIT(E575, "":""),1,2)),
  VALUE(E575)
)"),23.43)</f>
        <v/>
      </c>
      <c r="G575" s="21">
        <f>average(F572-F574,F573-F575)</f>
        <v/>
      </c>
      <c r="H575" s="21" t="n">
        <v>0.08999999999999986</v>
      </c>
      <c r="I575" s="211">
        <f>C560</f>
        <v/>
      </c>
      <c r="J575" s="211">
        <f>C577</f>
        <v/>
      </c>
      <c r="K575" s="60">
        <f t="array" ref="K575">INDEX('Podium Target Times'!$C:$C, MATCH(A575&amp;B575, 'Podium Target Times'!$A:$A&amp;'Podium Target Times'!$B:$B, 0))
</f>
        <v/>
      </c>
      <c r="L575" s="24">
        <f>L576+G576</f>
        <v/>
      </c>
      <c r="M575" s="60">
        <f>TEXT(L575/86400, "mm:ss.00")</f>
        <v/>
      </c>
      <c r="N575" s="25">
        <f>IFERROR(__xludf.DUMMYFUNCTION("LET(
  gen,$A575, ev,$B575, t,$M575,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
      </c>
      <c r="O575" s="65" t="n"/>
      <c r="P575" s="69" t="n"/>
      <c r="Q575" s="65" t="n"/>
      <c r="R575" s="69" t="n"/>
      <c r="S575" s="58" t="n"/>
      <c r="T575" s="69" t="n"/>
      <c r="U575" s="65" t="n"/>
      <c r="V575" s="65" t="n"/>
      <c r="W575" s="65" t="n"/>
    </row>
    <row r="576">
      <c r="A576" s="8" t="inlineStr">
        <is>
          <t>M</t>
        </is>
      </c>
      <c r="B576" s="9" t="inlineStr">
        <is>
          <t>50 Fly</t>
        </is>
      </c>
      <c r="C576" s="9" t="n">
        <v>24</v>
      </c>
      <c r="D576" s="9" t="n">
        <v>3</v>
      </c>
      <c r="E576" s="41" t="inlineStr">
        <is>
          <t>23.38</t>
        </is>
      </c>
      <c r="F576" s="35">
        <f>IFERROR(__xludf.DUMMYFUNCTION("IF(
  REGEXMATCH(E576, "":""),
  60*VALUE(INDEX(SPLIT(E576, "":""),1,1)) + VALUE(INDEX(SPLIT(E576, "":""),1,2)),
  VALUE(E576)
)"),23.38)</f>
        <v/>
      </c>
      <c r="G576" s="35">
        <f>F575-F576</f>
        <v/>
      </c>
      <c r="H576" s="35" t="n">
        <v>0.05000000000000071</v>
      </c>
      <c r="I576" s="215">
        <f>C560</f>
        <v/>
      </c>
      <c r="J576" s="215">
        <f>C577</f>
        <v/>
      </c>
      <c r="K576" s="43">
        <f t="array" ref="K576">INDEX('Podium Target Times'!$C:$C, MATCH(A576&amp;B576, 'Podium Target Times'!$A:$A&amp;'Podium Target Times'!$B:$B, 0))
</f>
        <v/>
      </c>
      <c r="L576" s="12">
        <f>L577+G577</f>
        <v/>
      </c>
      <c r="M576" s="43">
        <f>TEXT(L576/86400, "mm:ss.00")</f>
        <v/>
      </c>
      <c r="N576" s="14">
        <f>IFERROR(__xludf.DUMMYFUNCTION("LET(
  gen,$A576, ev,$B576, t,$M576,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
      </c>
      <c r="O576" s="65" t="n"/>
      <c r="P576" s="69" t="n"/>
      <c r="Q576" s="65" t="n"/>
      <c r="R576" s="69" t="n"/>
      <c r="S576" s="58" t="n"/>
      <c r="T576" s="69" t="n"/>
      <c r="U576" s="65" t="n"/>
      <c r="V576" s="65" t="n"/>
      <c r="W576" s="65" t="n"/>
    </row>
    <row r="577">
      <c r="A577" s="17" t="inlineStr">
        <is>
          <t>M</t>
        </is>
      </c>
      <c r="B577" s="18" t="inlineStr">
        <is>
          <t>50 Fly</t>
        </is>
      </c>
      <c r="C577" s="18" t="n">
        <v>25</v>
      </c>
      <c r="D577" s="18" t="n">
        <v>3</v>
      </c>
      <c r="E577" s="46" t="inlineStr">
        <is>
          <t>23.36</t>
        </is>
      </c>
      <c r="F577" s="21">
        <f>IFERROR(__xludf.DUMMYFUNCTION("IF(
  REGEXMATCH(E577, "":""),
  60*VALUE(INDEX(SPLIT(E577, "":""),1,1)) + VALUE(INDEX(SPLIT(E577, "":""),1,2)),
  VALUE(E577)
)"),23.36)</f>
        <v/>
      </c>
      <c r="G577" s="21">
        <f>F576-F577</f>
        <v/>
      </c>
      <c r="H577" s="21" t="n">
        <v>0.01999999999999957</v>
      </c>
      <c r="I577" s="211">
        <f>C560</f>
        <v/>
      </c>
      <c r="J577" s="211">
        <f>C577</f>
        <v/>
      </c>
      <c r="K577" s="60">
        <f t="array" ref="K577">INDEX('Podium Target Times'!$C:$C, MATCH(A577&amp;B577, 'Podium Target Times'!$A:$A&amp;'Podium Target Times'!$B:$B, 0))
</f>
        <v/>
      </c>
      <c r="L577" s="211">
        <f>K577</f>
        <v/>
      </c>
      <c r="M577" s="60">
        <f>TEXT(L577/86400, "mm:ss.00")</f>
        <v/>
      </c>
      <c r="N577" s="25">
        <f>IFERROR(__xludf.DUMMYFUNCTION("LET(
  gen,$A577, ev,$B577, t,$M577,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O577" s="65" t="n"/>
      <c r="P577" s="69" t="n"/>
      <c r="Q577" s="65" t="n"/>
      <c r="R577" s="69" t="n"/>
      <c r="S577" s="58" t="n"/>
      <c r="T577" s="69" t="n"/>
      <c r="U577" s="65" t="n"/>
      <c r="V577" s="65" t="n"/>
      <c r="W577" s="65" t="n"/>
    </row>
    <row r="578">
      <c r="A578" s="8" t="inlineStr">
        <is>
          <t>M</t>
        </is>
      </c>
      <c r="B578" s="9" t="inlineStr">
        <is>
          <t>50 Free</t>
        </is>
      </c>
      <c r="C578" s="9" t="n">
        <v>17</v>
      </c>
      <c r="D578" s="9" t="n">
        <v>1</v>
      </c>
      <c r="E578" s="41" t="inlineStr">
        <is>
          <t>23.44</t>
        </is>
      </c>
      <c r="F578" s="35">
        <f>IFERROR(__xludf.DUMMYFUNCTION("IF(
  REGEXMATCH(E578, "":""),
  60*VALUE(INDEX(SPLIT(E578, "":""),1,1)) + VALUE(INDEX(SPLIT(E578, "":""),1,2)),
  VALUE(E578)
)"),23.44)</f>
        <v/>
      </c>
      <c r="G578" s="12" t="n">
        <v>0</v>
      </c>
      <c r="H578" s="12" t="n">
        <v>0</v>
      </c>
      <c r="I578" s="43">
        <f>C578</f>
        <v/>
      </c>
      <c r="J578" s="43">
        <f>C595</f>
        <v/>
      </c>
      <c r="K578" s="43">
        <f t="array" ref="K578">INDEX('Podium Target Times'!$C:$C, MATCH(A578&amp;B578, 'Podium Target Times'!$A:$A&amp;'Podium Target Times'!$B:$B, 0))
</f>
        <v/>
      </c>
      <c r="L578" s="12">
        <f>L579+G579</f>
        <v/>
      </c>
      <c r="M578" s="43">
        <f>TEXT(L578/86400, "mm:ss.00")</f>
        <v/>
      </c>
      <c r="N578" s="14">
        <f>IFERROR(__xludf.DUMMYFUNCTION("LET(
  gen,$A578, ev,$B578, t,$M578,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)"),625.0)</f>
        <v/>
      </c>
      <c r="O578" s="65" t="n"/>
      <c r="P578" s="69">
        <f>A578</f>
        <v/>
      </c>
      <c r="Q578" s="65">
        <f>B578</f>
        <v/>
      </c>
      <c r="R578" s="69">
        <f>C578</f>
        <v/>
      </c>
      <c r="S578" s="58">
        <f>M578</f>
        <v/>
      </c>
      <c r="T578" s="69">
        <f>N578</f>
        <v/>
      </c>
      <c r="U578" s="65" t="n"/>
      <c r="V578" s="65" t="n"/>
      <c r="W578" s="65" t="n"/>
    </row>
    <row r="579">
      <c r="A579" s="17" t="inlineStr">
        <is>
          <t>M</t>
        </is>
      </c>
      <c r="B579" s="18" t="inlineStr">
        <is>
          <t>50 Free</t>
        </is>
      </c>
      <c r="C579" s="18" t="n">
        <v>18</v>
      </c>
      <c r="D579" s="18" t="n">
        <v>1</v>
      </c>
      <c r="E579" s="46" t="inlineStr">
        <is>
          <t>22.91</t>
        </is>
      </c>
      <c r="F579" s="21">
        <f>IFERROR(__xludf.DUMMYFUNCTION("IF(
  REGEXMATCH(E579, "":""),
  60*VALUE(INDEX(SPLIT(E579, "":""),1,1)) + VALUE(INDEX(SPLIT(E579, "":""),1,2)),
  VALUE(E579)
)"),22.91)</f>
        <v/>
      </c>
      <c r="G579" s="21">
        <f>F578-F579</f>
        <v/>
      </c>
      <c r="H579" s="21" t="n">
        <v>0.5300000000000011</v>
      </c>
      <c r="I579" s="211">
        <f>C578</f>
        <v/>
      </c>
      <c r="J579" s="211">
        <f>C595</f>
        <v/>
      </c>
      <c r="K579" s="60">
        <f t="array" ref="K579">INDEX('Podium Target Times'!$C:$C, MATCH(A579&amp;B579, 'Podium Target Times'!$A:$A&amp;'Podium Target Times'!$B:$B, 0))
</f>
        <v/>
      </c>
      <c r="L579" s="24">
        <f>L581+G581</f>
        <v/>
      </c>
      <c r="M579" s="60">
        <f>TEXT(L579/86400, "mm:ss.00")</f>
        <v/>
      </c>
      <c r="N579" s="25">
        <f>IFERROR(__xludf.DUMMYFUNCTION("LET(
  gen,$A579, ev,$B579, t,$M579,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579" s="65" t="n"/>
      <c r="P579" s="69">
        <f>A579</f>
        <v/>
      </c>
      <c r="Q579" s="65">
        <f>B579</f>
        <v/>
      </c>
      <c r="R579" s="69">
        <f>C579</f>
        <v/>
      </c>
      <c r="S579" s="58">
        <f>M579</f>
        <v/>
      </c>
      <c r="T579" s="69">
        <f>N579</f>
        <v/>
      </c>
      <c r="U579" s="65" t="n"/>
      <c r="V579" s="65" t="n"/>
      <c r="W579" s="65" t="n"/>
    </row>
    <row r="580">
      <c r="A580" s="8" t="inlineStr">
        <is>
          <t>M</t>
        </is>
      </c>
      <c r="B580" s="9" t="inlineStr">
        <is>
          <t>50 Free</t>
        </is>
      </c>
      <c r="C580" s="9" t="n">
        <v>18</v>
      </c>
      <c r="D580" s="9" t="n">
        <v>2</v>
      </c>
      <c r="E580" s="41" t="inlineStr">
        <is>
          <t>23.09</t>
        </is>
      </c>
      <c r="F580" s="35">
        <f>IFERROR(__xludf.DUMMYFUNCTION("IF(
  REGEXMATCH(E580, "":""),
  60*VALUE(INDEX(SPLIT(E580, "":""),1,1)) + VALUE(INDEX(SPLIT(E580, "":""),1,2)),
  VALUE(E580)
)"),23.09)</f>
        <v/>
      </c>
      <c r="G580" s="35">
        <f>F578-F579</f>
        <v/>
      </c>
      <c r="H580" s="35" t="n">
        <v>0.5300000000000011</v>
      </c>
      <c r="I580" s="215">
        <f>C578</f>
        <v/>
      </c>
      <c r="J580" s="215">
        <f>C595</f>
        <v/>
      </c>
      <c r="K580" s="43">
        <f t="array" ref="K580">INDEX('Podium Target Times'!$C:$C, MATCH(A580&amp;B580, 'Podium Target Times'!$A:$A&amp;'Podium Target Times'!$B:$B, 0))
</f>
        <v/>
      </c>
      <c r="L580" s="12">
        <f>L581+G581</f>
        <v/>
      </c>
      <c r="M580" s="43">
        <f>TEXT(L580/86400, "mm:ss.00")</f>
        <v/>
      </c>
      <c r="N580" s="14">
        <f>IFERROR(__xludf.DUMMYFUNCTION("LET(
  gen,$A580, ev,$B580, t,$M580,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580" s="65" t="n"/>
      <c r="P580" s="69">
        <f>A581</f>
        <v/>
      </c>
      <c r="Q580" s="65">
        <f>B581</f>
        <v/>
      </c>
      <c r="R580" s="69">
        <f>C581</f>
        <v/>
      </c>
      <c r="S580" s="58">
        <f>M581</f>
        <v/>
      </c>
      <c r="T580" s="69">
        <f>N581</f>
        <v/>
      </c>
      <c r="U580" s="65" t="n"/>
      <c r="V580" s="65" t="n"/>
      <c r="W580" s="65" t="n"/>
    </row>
    <row r="581">
      <c r="A581" s="17" t="inlineStr">
        <is>
          <t>M</t>
        </is>
      </c>
      <c r="B581" s="18" t="inlineStr">
        <is>
          <t>50 Free</t>
        </is>
      </c>
      <c r="C581" s="18" t="n">
        <v>19</v>
      </c>
      <c r="D581" s="18" t="n">
        <v>1</v>
      </c>
      <c r="E581" s="46" t="inlineStr">
        <is>
          <t>22.52</t>
        </is>
      </c>
      <c r="F581" s="21">
        <f>IFERROR(__xludf.DUMMYFUNCTION("IF(
  REGEXMATCH(E581, "":""),
  60*VALUE(INDEX(SPLIT(E581, "":""),1,1)) + VALUE(INDEX(SPLIT(E581, "":""),1,2)),
  VALUE(E581)
)"),22.52)</f>
        <v/>
      </c>
      <c r="G581" s="21">
        <f>average(F579-F581,F580-F582)</f>
        <v/>
      </c>
      <c r="H581" s="21" t="n">
        <v>0.3949999999999996</v>
      </c>
      <c r="I581" s="211">
        <f>C578</f>
        <v/>
      </c>
      <c r="J581" s="211">
        <f>C595</f>
        <v/>
      </c>
      <c r="K581" s="60">
        <f t="array" ref="K581">INDEX('Podium Target Times'!$C:$C, MATCH(A581&amp;B581, 'Podium Target Times'!$A:$A&amp;'Podium Target Times'!$B:$B, 0))
</f>
        <v/>
      </c>
      <c r="L581" s="24">
        <f>L584+G584</f>
        <v/>
      </c>
      <c r="M581" s="60">
        <f>TEXT(L581/86400, "mm:ss.00")</f>
        <v/>
      </c>
      <c r="N581" s="25">
        <f>IFERROR(__xludf.DUMMYFUNCTION("LET(
  gen,$A581, ev,$B581, t,$M581,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581" s="65" t="n"/>
      <c r="P581" s="69">
        <f>A584</f>
        <v/>
      </c>
      <c r="Q581" s="65">
        <f>B584</f>
        <v/>
      </c>
      <c r="R581" s="69">
        <f>C584</f>
        <v/>
      </c>
      <c r="S581" s="58">
        <f>M584</f>
        <v/>
      </c>
      <c r="T581" s="69">
        <f>N584</f>
        <v/>
      </c>
      <c r="U581" s="65" t="n"/>
      <c r="V581" s="65" t="n"/>
      <c r="W581" s="65" t="n"/>
    </row>
    <row r="582">
      <c r="A582" s="8" t="inlineStr">
        <is>
          <t>M</t>
        </is>
      </c>
      <c r="B582" s="9" t="inlineStr">
        <is>
          <t>50 Free</t>
        </is>
      </c>
      <c r="C582" s="9" t="n">
        <v>19</v>
      </c>
      <c r="D582" s="9" t="n">
        <v>2</v>
      </c>
      <c r="E582" s="41" t="inlineStr">
        <is>
          <t>22.69</t>
        </is>
      </c>
      <c r="F582" s="35">
        <f>IFERROR(__xludf.DUMMYFUNCTION("IF(
  REGEXMATCH(E582, "":""),
  60*VALUE(INDEX(SPLIT(E582, "":""),1,1)) + VALUE(INDEX(SPLIT(E582, "":""),1,2)),
  VALUE(E582)
)"),22.69)</f>
        <v/>
      </c>
      <c r="G582" s="35">
        <f>average(F579-F581,F580-F582)</f>
        <v/>
      </c>
      <c r="H582" s="35" t="n">
        <v>0.3949999999999996</v>
      </c>
      <c r="I582" s="215">
        <f>C578</f>
        <v/>
      </c>
      <c r="J582" s="215">
        <f>C595</f>
        <v/>
      </c>
      <c r="K582" s="43">
        <f t="array" ref="K582">INDEX('Podium Target Times'!$C:$C, MATCH(A582&amp;B582, 'Podium Target Times'!$A:$A&amp;'Podium Target Times'!$B:$B, 0))
</f>
        <v/>
      </c>
      <c r="L582" s="12">
        <f>L584+G584</f>
        <v/>
      </c>
      <c r="M582" s="43">
        <f>TEXT(L582/86400, "mm:ss.00")</f>
        <v/>
      </c>
      <c r="N582" s="14">
        <f>IFERROR(__xludf.DUMMYFUNCTION("LET(
  gen,$A582, ev,$B582, t,$M582,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582" s="65" t="n"/>
      <c r="P582" s="69">
        <f>A587</f>
        <v/>
      </c>
      <c r="Q582" s="65">
        <f>B587</f>
        <v/>
      </c>
      <c r="R582" s="69">
        <f>C587</f>
        <v/>
      </c>
      <c r="S582" s="58">
        <f>M587</f>
        <v/>
      </c>
      <c r="T582" s="69">
        <f>N587</f>
        <v/>
      </c>
      <c r="U582" s="65" t="n"/>
      <c r="V582" s="65" t="n"/>
      <c r="W582" s="65" t="n"/>
    </row>
    <row r="583">
      <c r="A583" s="17" t="inlineStr">
        <is>
          <t>M</t>
        </is>
      </c>
      <c r="B583" s="18" t="inlineStr">
        <is>
          <t>50 Free</t>
        </is>
      </c>
      <c r="C583" s="18" t="n">
        <v>19</v>
      </c>
      <c r="D583" s="18" t="n">
        <v>3</v>
      </c>
      <c r="E583" s="46" t="inlineStr">
        <is>
          <t>22.74</t>
        </is>
      </c>
      <c r="F583" s="21">
        <f>IFERROR(__xludf.DUMMYFUNCTION("IF(
  REGEXMATCH(E583, "":""),
  60*VALUE(INDEX(SPLIT(E583, "":""),1,1)) + VALUE(INDEX(SPLIT(E583, "":""),1,2)),
  VALUE(E583)
)"),22.74)</f>
        <v/>
      </c>
      <c r="G583" s="21">
        <f>average(F579-F581,F580-F582)</f>
        <v/>
      </c>
      <c r="H583" s="21" t="n">
        <v>0.3949999999999996</v>
      </c>
      <c r="I583" s="211">
        <f>C578</f>
        <v/>
      </c>
      <c r="J583" s="211">
        <f>C595</f>
        <v/>
      </c>
      <c r="K583" s="60">
        <f t="array" ref="K583">INDEX('Podium Target Times'!$C:$C, MATCH(A583&amp;B583, 'Podium Target Times'!$A:$A&amp;'Podium Target Times'!$B:$B, 0))
</f>
        <v/>
      </c>
      <c r="L583" s="24">
        <f>L584+G584</f>
        <v/>
      </c>
      <c r="M583" s="60">
        <f>TEXT(L583/86400, "mm:ss.00")</f>
        <v/>
      </c>
      <c r="N583" s="25">
        <f>IFERROR(__xludf.DUMMYFUNCTION("LET(
  gen,$A583, ev,$B583, t,$M583,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583" s="65" t="n"/>
      <c r="P583" s="69">
        <f>A590</f>
        <v/>
      </c>
      <c r="Q583" s="65">
        <f>B590</f>
        <v/>
      </c>
      <c r="R583" s="69">
        <f>C590</f>
        <v/>
      </c>
      <c r="S583" s="58">
        <f>M590</f>
        <v/>
      </c>
      <c r="T583" s="69">
        <f>N590</f>
        <v/>
      </c>
      <c r="U583" s="65" t="n"/>
      <c r="V583" s="65" t="n"/>
      <c r="W583" s="65" t="n"/>
    </row>
    <row r="584">
      <c r="A584" s="8" t="inlineStr">
        <is>
          <t>M</t>
        </is>
      </c>
      <c r="B584" s="9" t="inlineStr">
        <is>
          <t>50 Free</t>
        </is>
      </c>
      <c r="C584" s="9" t="n">
        <v>20</v>
      </c>
      <c r="D584" s="9" t="n">
        <v>1</v>
      </c>
      <c r="E584" s="41" t="inlineStr">
        <is>
          <t>22.24</t>
        </is>
      </c>
      <c r="F584" s="35">
        <f>IFERROR(__xludf.DUMMYFUNCTION("IF(
  REGEXMATCH(E584, "":""),
  60*VALUE(INDEX(SPLIT(E584, "":""),1,1)) + VALUE(INDEX(SPLIT(E584, "":""),1,2)),
  VALUE(E584)
)"),22.24)</f>
        <v/>
      </c>
      <c r="G584" s="35">
        <f>average(F581-F584,F582-F585,F583-F586)</f>
        <v/>
      </c>
      <c r="H584" s="35" t="n">
        <v>0.28</v>
      </c>
      <c r="I584" s="215">
        <f>C578</f>
        <v/>
      </c>
      <c r="J584" s="215">
        <f>C595</f>
        <v/>
      </c>
      <c r="K584" s="43">
        <f t="array" ref="K584">INDEX('Podium Target Times'!$C:$C, MATCH(A584&amp;B584, 'Podium Target Times'!$A:$A&amp;'Podium Target Times'!$B:$B, 0))
</f>
        <v/>
      </c>
      <c r="L584" s="12">
        <f>L587+G587</f>
        <v/>
      </c>
      <c r="M584" s="43">
        <f>TEXT(L584/86400, "mm:ss.00")</f>
        <v/>
      </c>
      <c r="N584" s="14">
        <f>IFERROR(__xludf.DUMMYFUNCTION("LET(
  gen,$A584, ev,$B584, t,$M584,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584" s="65" t="n"/>
      <c r="P584" s="69">
        <f>A592</f>
        <v/>
      </c>
      <c r="Q584" s="65">
        <f>B592</f>
        <v/>
      </c>
      <c r="R584" s="69">
        <f>C592</f>
        <v/>
      </c>
      <c r="S584" s="58">
        <f>M592</f>
        <v/>
      </c>
      <c r="T584" s="69">
        <f>N592</f>
        <v/>
      </c>
      <c r="U584" s="65" t="n"/>
      <c r="V584" s="65" t="n"/>
      <c r="W584" s="65" t="n"/>
    </row>
    <row r="585">
      <c r="A585" s="17" t="inlineStr">
        <is>
          <t>M</t>
        </is>
      </c>
      <c r="B585" s="18" t="inlineStr">
        <is>
          <t>50 Free</t>
        </is>
      </c>
      <c r="C585" s="18" t="n">
        <v>20</v>
      </c>
      <c r="D585" s="18" t="n">
        <v>2</v>
      </c>
      <c r="E585" s="46" t="inlineStr">
        <is>
          <t>22.41</t>
        </is>
      </c>
      <c r="F585" s="21">
        <f>IFERROR(__xludf.DUMMYFUNCTION("IF(
  REGEXMATCH(E585, "":""),
  60*VALUE(INDEX(SPLIT(E585, "":""),1,1)) + VALUE(INDEX(SPLIT(E585, "":""),1,2)),
  VALUE(E585)
)"),22.41)</f>
        <v/>
      </c>
      <c r="G585" s="21">
        <f>average(F581-F584,F582-F585,F583-F586)</f>
        <v/>
      </c>
      <c r="H585" s="21" t="n">
        <v>0.28</v>
      </c>
      <c r="I585" s="211">
        <f>C578</f>
        <v/>
      </c>
      <c r="J585" s="211">
        <f>C595</f>
        <v/>
      </c>
      <c r="K585" s="60">
        <f t="array" ref="K585">INDEX('Podium Target Times'!$C:$C, MATCH(A585&amp;B585, 'Podium Target Times'!$A:$A&amp;'Podium Target Times'!$B:$B, 0))
</f>
        <v/>
      </c>
      <c r="L585" s="24">
        <f>L587+G587</f>
        <v/>
      </c>
      <c r="M585" s="60">
        <f>TEXT(L585/86400, "mm:ss.00")</f>
        <v/>
      </c>
      <c r="N585" s="25">
        <f>IFERROR(__xludf.DUMMYFUNCTION("LET(
  gen,$A585, ev,$B585, t,$M585,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585" s="65" t="n"/>
      <c r="P585" s="69">
        <f>A594</f>
        <v/>
      </c>
      <c r="Q585" s="65">
        <f>B594</f>
        <v/>
      </c>
      <c r="R585" s="69">
        <f>C594</f>
        <v/>
      </c>
      <c r="S585" s="58">
        <f>M594</f>
        <v/>
      </c>
      <c r="T585" s="69">
        <f>N594</f>
        <v/>
      </c>
      <c r="U585" s="65" t="n"/>
      <c r="V585" s="65" t="n"/>
      <c r="W585" s="65" t="n"/>
    </row>
    <row r="586">
      <c r="A586" s="8" t="inlineStr">
        <is>
          <t>M</t>
        </is>
      </c>
      <c r="B586" s="9" t="inlineStr">
        <is>
          <t>50 Free</t>
        </is>
      </c>
      <c r="C586" s="9" t="n">
        <v>20</v>
      </c>
      <c r="D586" s="9" t="n">
        <v>3</v>
      </c>
      <c r="E586" s="41" t="inlineStr">
        <is>
          <t>22.46</t>
        </is>
      </c>
      <c r="F586" s="35">
        <f>IFERROR(__xludf.DUMMYFUNCTION("IF(
  REGEXMATCH(E586, "":""),
  60*VALUE(INDEX(SPLIT(E586, "":""),1,1)) + VALUE(INDEX(SPLIT(E586, "":""),1,2)),
  VALUE(E586)
)"),22.46)</f>
        <v/>
      </c>
      <c r="G586" s="35">
        <f>average(F581-F584,F582-F585,F583-F586)</f>
        <v/>
      </c>
      <c r="H586" s="35" t="n">
        <v>0.28</v>
      </c>
      <c r="I586" s="215">
        <f>C578</f>
        <v/>
      </c>
      <c r="J586" s="215">
        <f>C595</f>
        <v/>
      </c>
      <c r="K586" s="43">
        <f t="array" ref="K586">INDEX('Podium Target Times'!$C:$C, MATCH(A586&amp;B586, 'Podium Target Times'!$A:$A&amp;'Podium Target Times'!$B:$B, 0))
</f>
        <v/>
      </c>
      <c r="L586" s="12">
        <f>L587+G587</f>
        <v/>
      </c>
      <c r="M586" s="43">
        <f>TEXT(L586/86400, "mm:ss.00")</f>
        <v/>
      </c>
      <c r="N586" s="14">
        <f>IFERROR(__xludf.DUMMYFUNCTION("LET(
  gen,$A586, ev,$B586, t,$M586,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586" s="65" t="n"/>
      <c r="P586" s="69">
        <f>A595</f>
        <v/>
      </c>
      <c r="Q586" s="65">
        <f>B595</f>
        <v/>
      </c>
      <c r="R586" s="69">
        <f>C595</f>
        <v/>
      </c>
      <c r="S586" s="58">
        <f>M595</f>
        <v/>
      </c>
      <c r="T586" s="69">
        <f>N595</f>
        <v/>
      </c>
      <c r="U586" s="65" t="n"/>
      <c r="V586" s="65" t="n"/>
      <c r="W586" s="65" t="n"/>
    </row>
    <row r="587">
      <c r="A587" s="17" t="inlineStr">
        <is>
          <t>M</t>
        </is>
      </c>
      <c r="B587" s="18" t="inlineStr">
        <is>
          <t>50 Free</t>
        </is>
      </c>
      <c r="C587" s="18" t="n">
        <v>21</v>
      </c>
      <c r="D587" s="18" t="n">
        <v>1</v>
      </c>
      <c r="E587" s="46" t="inlineStr">
        <is>
          <t>22.05</t>
        </is>
      </c>
      <c r="F587" s="21">
        <f>IFERROR(__xludf.DUMMYFUNCTION("IF(
  REGEXMATCH(E587, "":""),
  60*VALUE(INDEX(SPLIT(E587, "":""),1,1)) + VALUE(INDEX(SPLIT(E587, "":""),1,2)),
  VALUE(E587)
)"),22.05)</f>
        <v/>
      </c>
      <c r="G587" s="21">
        <f>average(F584-F587,F585-F588,F586-F589)</f>
        <v/>
      </c>
      <c r="H587" s="21" t="n">
        <v>0.1900000000000001</v>
      </c>
      <c r="I587" s="211">
        <f>C578</f>
        <v/>
      </c>
      <c r="J587" s="211">
        <f>C595</f>
        <v/>
      </c>
      <c r="K587" s="60">
        <f t="array" ref="K587">INDEX('Podium Target Times'!$C:$C, MATCH(A587&amp;B587, 'Podium Target Times'!$A:$A&amp;'Podium Target Times'!$B:$B, 0))
</f>
        <v/>
      </c>
      <c r="L587" s="24">
        <f>L590+G590</f>
        <v/>
      </c>
      <c r="M587" s="60">
        <f>TEXT(L587/86400, "mm:ss.00")</f>
        <v/>
      </c>
      <c r="N587" s="25">
        <f>IFERROR(__xludf.DUMMYFUNCTION("LET(
  gen,$A587, ev,$B587, t,$M587,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87" s="65" t="n"/>
      <c r="P587" s="69" t="n"/>
      <c r="Q587" s="65" t="n"/>
      <c r="R587" s="69" t="n"/>
      <c r="S587" s="58" t="n"/>
      <c r="T587" s="69" t="n"/>
      <c r="U587" s="65" t="n"/>
      <c r="V587" s="65" t="n"/>
      <c r="W587" s="65" t="n"/>
    </row>
    <row r="588">
      <c r="A588" s="8" t="inlineStr">
        <is>
          <t>M</t>
        </is>
      </c>
      <c r="B588" s="9" t="inlineStr">
        <is>
          <t>50 Free</t>
        </is>
      </c>
      <c r="C588" s="9" t="n">
        <v>21</v>
      </c>
      <c r="D588" s="9" t="n">
        <v>2</v>
      </c>
      <c r="E588" s="41" t="inlineStr">
        <is>
          <t>22.22</t>
        </is>
      </c>
      <c r="F588" s="35">
        <f>IFERROR(__xludf.DUMMYFUNCTION("IF(
  REGEXMATCH(E588, "":""),
  60*VALUE(INDEX(SPLIT(E588, "":""),1,1)) + VALUE(INDEX(SPLIT(E588, "":""),1,2)),
  VALUE(E588)
)"),22.22)</f>
        <v/>
      </c>
      <c r="G588" s="35">
        <f>average(F584-F587,F585-F588,F586-F589)</f>
        <v/>
      </c>
      <c r="H588" s="35" t="n">
        <v>0.1900000000000001</v>
      </c>
      <c r="I588" s="215">
        <f>C578</f>
        <v/>
      </c>
      <c r="J588" s="215">
        <f>C595</f>
        <v/>
      </c>
      <c r="K588" s="43">
        <f t="array" ref="K588">INDEX('Podium Target Times'!$C:$C, MATCH(A588&amp;B588, 'Podium Target Times'!$A:$A&amp;'Podium Target Times'!$B:$B, 0))
</f>
        <v/>
      </c>
      <c r="L588" s="12">
        <f>L590+G590</f>
        <v/>
      </c>
      <c r="M588" s="43">
        <f>TEXT(L588/86400, "mm:ss.00")</f>
        <v/>
      </c>
      <c r="N588" s="14">
        <f>IFERROR(__xludf.DUMMYFUNCTION("LET(
  gen,$A588, ev,$B588, t,$M588,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88" s="65" t="n"/>
      <c r="P588" s="69" t="n"/>
      <c r="Q588" s="65" t="n"/>
      <c r="R588" s="69" t="n"/>
      <c r="S588" s="58" t="n"/>
      <c r="T588" s="69" t="n"/>
      <c r="U588" s="65" t="n"/>
      <c r="V588" s="65" t="n"/>
      <c r="W588" s="65" t="n"/>
    </row>
    <row r="589">
      <c r="A589" s="17" t="inlineStr">
        <is>
          <t>M</t>
        </is>
      </c>
      <c r="B589" s="18" t="inlineStr">
        <is>
          <t>50 Free</t>
        </is>
      </c>
      <c r="C589" s="18" t="n">
        <v>21</v>
      </c>
      <c r="D589" s="18" t="n">
        <v>3</v>
      </c>
      <c r="E589" s="46" t="inlineStr">
        <is>
          <t>22.27</t>
        </is>
      </c>
      <c r="F589" s="21">
        <f>IFERROR(__xludf.DUMMYFUNCTION("IF(
  REGEXMATCH(E589, "":""),
  60*VALUE(INDEX(SPLIT(E589, "":""),1,1)) + VALUE(INDEX(SPLIT(E589, "":""),1,2)),
  VALUE(E589)
)"),22.27)</f>
        <v/>
      </c>
      <c r="G589" s="21">
        <f>average(F584-F587,F585-F588,F586-F589)</f>
        <v/>
      </c>
      <c r="H589" s="21" t="n">
        <v>0.1900000000000001</v>
      </c>
      <c r="I589" s="211">
        <f>C578</f>
        <v/>
      </c>
      <c r="J589" s="211">
        <f>C595</f>
        <v/>
      </c>
      <c r="K589" s="60">
        <f t="array" ref="K589">INDEX('Podium Target Times'!$C:$C, MATCH(A589&amp;B589, 'Podium Target Times'!$A:$A&amp;'Podium Target Times'!$B:$B, 0))
</f>
        <v/>
      </c>
      <c r="L589" s="24">
        <f>L590+G590</f>
        <v/>
      </c>
      <c r="M589" s="60">
        <f>TEXT(L589/86400, "mm:ss.00")</f>
        <v/>
      </c>
      <c r="N589" s="25">
        <f>IFERROR(__xludf.DUMMYFUNCTION("LET(
  gen,$A589, ev,$B589, t,$M589,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89" s="65" t="n"/>
      <c r="P589" s="69" t="n"/>
      <c r="Q589" s="65" t="n"/>
      <c r="R589" s="69" t="n"/>
      <c r="S589" s="58" t="n"/>
      <c r="T589" s="69" t="n"/>
      <c r="U589" s="65" t="n"/>
      <c r="V589" s="65" t="n"/>
      <c r="W589" s="65" t="n"/>
    </row>
    <row r="590">
      <c r="A590" s="8" t="inlineStr">
        <is>
          <t>M</t>
        </is>
      </c>
      <c r="B590" s="9" t="inlineStr">
        <is>
          <t>50 Free</t>
        </is>
      </c>
      <c r="C590" s="9" t="n">
        <v>22</v>
      </c>
      <c r="D590" s="9" t="n">
        <v>2</v>
      </c>
      <c r="E590" s="41" t="inlineStr">
        <is>
          <t>22.11</t>
        </is>
      </c>
      <c r="F590" s="35">
        <f>IFERROR(__xludf.DUMMYFUNCTION("IF(
  REGEXMATCH(E590, "":""),
  60*VALUE(INDEX(SPLIT(E590, "":""),1,1)) + VALUE(INDEX(SPLIT(E590, "":""),1,2)),
  VALUE(E590)
)"),22.11)</f>
        <v/>
      </c>
      <c r="G590" s="35">
        <f>average(F588-F590,F589-F591)</f>
        <v/>
      </c>
      <c r="H590" s="35" t="n">
        <v>0.1150000000000002</v>
      </c>
      <c r="I590" s="215">
        <f>C578</f>
        <v/>
      </c>
      <c r="J590" s="215">
        <f>C595</f>
        <v/>
      </c>
      <c r="K590" s="43">
        <f t="array" ref="K590">INDEX('Podium Target Times'!$C:$C, MATCH(A590&amp;B590, 'Podium Target Times'!$A:$A&amp;'Podium Target Times'!$B:$B, 0))
</f>
        <v/>
      </c>
      <c r="L590" s="12">
        <f>L592+G592</f>
        <v/>
      </c>
      <c r="M590" s="43">
        <f>TEXT(L590/86400, "mm:ss.00")</f>
        <v/>
      </c>
      <c r="N590" s="14">
        <f>IFERROR(__xludf.DUMMYFUNCTION("LET(
  gen,$A590, ev,$B590, t,$M590,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O590" s="65" t="n"/>
      <c r="P590" s="69" t="n"/>
      <c r="Q590" s="65" t="n"/>
      <c r="R590" s="69" t="n"/>
      <c r="S590" s="58" t="n"/>
      <c r="T590" s="69" t="n"/>
      <c r="U590" s="65" t="n"/>
      <c r="V590" s="65" t="n"/>
      <c r="W590" s="65" t="n"/>
    </row>
    <row r="591">
      <c r="A591" s="17" t="inlineStr">
        <is>
          <t>M</t>
        </is>
      </c>
      <c r="B591" s="18" t="inlineStr">
        <is>
          <t>50 Free</t>
        </is>
      </c>
      <c r="C591" s="18" t="n">
        <v>22</v>
      </c>
      <c r="D591" s="18" t="n">
        <v>3</v>
      </c>
      <c r="E591" s="46" t="inlineStr">
        <is>
          <t>22.15</t>
        </is>
      </c>
      <c r="F591" s="21">
        <f>IFERROR(__xludf.DUMMYFUNCTION("IF(
  REGEXMATCH(E591, "":""),
  60*VALUE(INDEX(SPLIT(E591, "":""),1,1)) + VALUE(INDEX(SPLIT(E591, "":""),1,2)),
  VALUE(E591)
)"),22.15)</f>
        <v/>
      </c>
      <c r="G591" s="21">
        <f>average(F588-F590,F589-F591)</f>
        <v/>
      </c>
      <c r="H591" s="21" t="n">
        <v>0.1150000000000002</v>
      </c>
      <c r="I591" s="211">
        <f>C578</f>
        <v/>
      </c>
      <c r="J591" s="211">
        <f>C595</f>
        <v/>
      </c>
      <c r="K591" s="60">
        <f t="array" ref="K591">INDEX('Podium Target Times'!$C:$C, MATCH(A591&amp;B591, 'Podium Target Times'!$A:$A&amp;'Podium Target Times'!$B:$B, 0))
</f>
        <v/>
      </c>
      <c r="L591" s="24">
        <f>L592+G592</f>
        <v/>
      </c>
      <c r="M591" s="60">
        <f>TEXT(L591/86400, "mm:ss.00")</f>
        <v/>
      </c>
      <c r="N591" s="25">
        <f>IFERROR(__xludf.DUMMYFUNCTION("LET(
  gen,$A591, ev,$B591, t,$M591,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O591" s="65" t="n"/>
      <c r="P591" s="69" t="n"/>
      <c r="Q591" s="65" t="n"/>
      <c r="R591" s="69" t="n"/>
      <c r="S591" s="58" t="n"/>
      <c r="T591" s="69" t="n"/>
      <c r="U591" s="65" t="n"/>
      <c r="V591" s="65" t="n"/>
      <c r="W591" s="65" t="n"/>
    </row>
    <row r="592">
      <c r="A592" s="8" t="inlineStr">
        <is>
          <t>M</t>
        </is>
      </c>
      <c r="B592" s="9" t="inlineStr">
        <is>
          <t>50 Free</t>
        </is>
      </c>
      <c r="C592" s="9" t="n">
        <v>23</v>
      </c>
      <c r="D592" s="9" t="n">
        <v>2</v>
      </c>
      <c r="E592" s="41" t="inlineStr">
        <is>
          <t>22.05</t>
        </is>
      </c>
      <c r="F592" s="35">
        <f>IFERROR(__xludf.DUMMYFUNCTION("IF(
  REGEXMATCH(E592, "":""),
  60*VALUE(INDEX(SPLIT(E592, "":""),1,1)) + VALUE(INDEX(SPLIT(E592, "":""),1,2)),
  VALUE(E592)
)"),22.05)</f>
        <v/>
      </c>
      <c r="G592" s="35">
        <f>average(F590-F592,F591-F593)</f>
        <v/>
      </c>
      <c r="H592" s="35" t="n">
        <v>0.05999999999999872</v>
      </c>
      <c r="I592" s="215">
        <f>C578</f>
        <v/>
      </c>
      <c r="J592" s="215">
        <f>C595</f>
        <v/>
      </c>
      <c r="K592" s="43">
        <f t="array" ref="K592">INDEX('Podium Target Times'!$C:$C, MATCH(A592&amp;B592, 'Podium Target Times'!$A:$A&amp;'Podium Target Times'!$B:$B, 0))
</f>
        <v/>
      </c>
      <c r="L592" s="12">
        <f>L594+G594</f>
        <v/>
      </c>
      <c r="M592" s="43">
        <f>TEXT(L592/86400, "mm:ss.00")</f>
        <v/>
      </c>
      <c r="N592" s="14">
        <f>IFERROR(__xludf.DUMMYFUNCTION("LET(
  gen,$A592, ev,$B592, t,$M592,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592" s="65" t="n"/>
      <c r="P592" s="69" t="n"/>
      <c r="Q592" s="65" t="n"/>
      <c r="R592" s="69" t="n"/>
      <c r="S592" s="58" t="n"/>
      <c r="T592" s="69" t="n"/>
      <c r="U592" s="65" t="n"/>
      <c r="V592" s="65" t="n"/>
      <c r="W592" s="65" t="n"/>
    </row>
    <row r="593">
      <c r="A593" s="17" t="inlineStr">
        <is>
          <t>M</t>
        </is>
      </c>
      <c r="B593" s="18" t="inlineStr">
        <is>
          <t>50 Free</t>
        </is>
      </c>
      <c r="C593" s="18" t="n">
        <v>23</v>
      </c>
      <c r="D593" s="18" t="n">
        <v>3</v>
      </c>
      <c r="E593" s="46" t="inlineStr">
        <is>
          <t>22.09</t>
        </is>
      </c>
      <c r="F593" s="21">
        <f>IFERROR(__xludf.DUMMYFUNCTION("IF(
  REGEXMATCH(E593, "":""),
  60*VALUE(INDEX(SPLIT(E593, "":""),1,1)) + VALUE(INDEX(SPLIT(E593, "":""),1,2)),
  VALUE(E593)
)"),22.09)</f>
        <v/>
      </c>
      <c r="G593" s="21">
        <f>average(F590-F592,F591-F593)</f>
        <v/>
      </c>
      <c r="H593" s="21" t="n">
        <v>0.05999999999999872</v>
      </c>
      <c r="I593" s="211">
        <f>C578</f>
        <v/>
      </c>
      <c r="J593" s="211">
        <f>C595</f>
        <v/>
      </c>
      <c r="K593" s="60">
        <f t="array" ref="K593">INDEX('Podium Target Times'!$C:$C, MATCH(A593&amp;B593, 'Podium Target Times'!$A:$A&amp;'Podium Target Times'!$B:$B, 0))
</f>
        <v/>
      </c>
      <c r="L593" s="24">
        <f>L594+G594</f>
        <v/>
      </c>
      <c r="M593" s="60">
        <f>TEXT(L593/86400, "mm:ss.00")</f>
        <v/>
      </c>
      <c r="N593" s="25">
        <f>IFERROR(__xludf.DUMMYFUNCTION("LET(
  gen,$A593, ev,$B593, t,$M593,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593" s="65" t="n"/>
      <c r="P593" s="69" t="n"/>
      <c r="Q593" s="65" t="n"/>
      <c r="R593" s="69" t="n"/>
      <c r="S593" s="58" t="n"/>
      <c r="T593" s="69" t="n"/>
      <c r="U593" s="65" t="n"/>
      <c r="V593" s="65" t="n"/>
      <c r="W593" s="65" t="n"/>
    </row>
    <row r="594">
      <c r="A594" s="8" t="inlineStr">
        <is>
          <t>M</t>
        </is>
      </c>
      <c r="B594" s="9" t="inlineStr">
        <is>
          <t>50 Free</t>
        </is>
      </c>
      <c r="C594" s="9" t="n">
        <v>24</v>
      </c>
      <c r="D594" s="9" t="n">
        <v>3</v>
      </c>
      <c r="E594" s="41" t="inlineStr">
        <is>
          <t>22.06</t>
        </is>
      </c>
      <c r="F594" s="35">
        <f>IFERROR(__xludf.DUMMYFUNCTION("IF(
  REGEXMATCH(E594, "":""),
  60*VALUE(INDEX(SPLIT(E594, "":""),1,1)) + VALUE(INDEX(SPLIT(E594, "":""),1,2)),
  VALUE(E594)
)"),22.06)</f>
        <v/>
      </c>
      <c r="G594" s="35">
        <f>F593-F594</f>
        <v/>
      </c>
      <c r="H594" s="35" t="n">
        <v>0.03000000000000114</v>
      </c>
      <c r="I594" s="215">
        <f>C578</f>
        <v/>
      </c>
      <c r="J594" s="215">
        <f>C595</f>
        <v/>
      </c>
      <c r="K594" s="43">
        <f t="array" ref="K594">INDEX('Podium Target Times'!$C:$C, MATCH(A594&amp;B594, 'Podium Target Times'!$A:$A&amp;'Podium Target Times'!$B:$B, 0))
</f>
        <v/>
      </c>
      <c r="L594" s="12">
        <f>L595+G595</f>
        <v/>
      </c>
      <c r="M594" s="43">
        <f>TEXT(L594/86400, "mm:ss.00")</f>
        <v/>
      </c>
      <c r="N594" s="14">
        <f>IFERROR(__xludf.DUMMYFUNCTION("LET(
  gen,$A594, ev,$B594, t,$M594,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594" s="65" t="n"/>
      <c r="P594" s="69" t="n"/>
      <c r="Q594" s="65" t="n"/>
      <c r="R594" s="69" t="n"/>
      <c r="S594" s="58" t="n"/>
      <c r="T594" s="69" t="n"/>
      <c r="U594" s="65" t="n"/>
      <c r="V594" s="65" t="n"/>
      <c r="W594" s="65" t="n"/>
    </row>
    <row r="595">
      <c r="A595" s="17" t="inlineStr">
        <is>
          <t>M</t>
        </is>
      </c>
      <c r="B595" s="18" t="inlineStr">
        <is>
          <t>50 Free</t>
        </is>
      </c>
      <c r="C595" s="18" t="n">
        <v>25</v>
      </c>
      <c r="D595" s="18" t="n">
        <v>3</v>
      </c>
      <c r="E595" s="46" t="inlineStr">
        <is>
          <t>22.05</t>
        </is>
      </c>
      <c r="F595" s="21">
        <f>IFERROR(__xludf.DUMMYFUNCTION("IF(
  REGEXMATCH(E595, "":""),
  60*VALUE(INDEX(SPLIT(E595, "":""),1,1)) + VALUE(INDEX(SPLIT(E595, "":""),1,2)),
  VALUE(E595)
)"),22.05)</f>
        <v/>
      </c>
      <c r="G595" s="21">
        <f>F594-F595</f>
        <v/>
      </c>
      <c r="H595" s="21" t="n">
        <v>0.00999999999999801</v>
      </c>
      <c r="I595" s="211">
        <f>C578</f>
        <v/>
      </c>
      <c r="J595" s="211">
        <f>C595</f>
        <v/>
      </c>
      <c r="K595" s="60">
        <f t="array" ref="K595">INDEX('Podium Target Times'!$C:$C, MATCH(A595&amp;B595, 'Podium Target Times'!$A:$A&amp;'Podium Target Times'!$B:$B, 0))
</f>
        <v/>
      </c>
      <c r="L595" s="211">
        <f>K595</f>
        <v/>
      </c>
      <c r="M595" s="60">
        <f>TEXT(L595/86400, "mm:ss.00")</f>
        <v/>
      </c>
      <c r="N595" s="25">
        <f>IFERROR(__xludf.DUMMYFUNCTION("LET(
  gen,$A595, ev,$B595, t,$M595,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O595" s="65" t="n"/>
      <c r="P595" s="69" t="n"/>
      <c r="Q595" s="65" t="n"/>
      <c r="R595" s="69" t="n"/>
      <c r="S595" s="58" t="n"/>
      <c r="T595" s="69" t="n"/>
      <c r="U595" s="65" t="n"/>
      <c r="V595" s="65" t="n"/>
      <c r="W595" s="65" t="n"/>
    </row>
    <row r="596">
      <c r="A596" s="8" t="inlineStr">
        <is>
          <t>M</t>
        </is>
      </c>
      <c r="B596" s="9" t="inlineStr">
        <is>
          <t>800 Free</t>
        </is>
      </c>
      <c r="C596" s="9" t="n">
        <v>15</v>
      </c>
      <c r="D596" s="9" t="n">
        <v>1</v>
      </c>
      <c r="E596" s="41" t="inlineStr">
        <is>
          <t>8:31.10</t>
        </is>
      </c>
      <c r="F596" s="35">
        <f>IFERROR(__xludf.DUMMYFUNCTION("IF(
  REGEXMATCH(E596, "":""),
  60*VALUE(INDEX(SPLIT(E596, "":""),1,1)) + VALUE(INDEX(SPLIT(E596, "":""),1,2)),
  VALUE(E596)
)"),511.1)</f>
        <v/>
      </c>
      <c r="G596" s="12" t="n">
        <v>0</v>
      </c>
      <c r="H596" s="12" t="n">
        <v>0</v>
      </c>
      <c r="I596" s="43">
        <f>C596</f>
        <v/>
      </c>
      <c r="J596" s="43">
        <f>C613</f>
        <v/>
      </c>
      <c r="K596" s="43">
        <f t="array" ref="K596">INDEX('Podium Target Times'!$C:$C, MATCH(A596&amp;B596, 'Podium Target Times'!$A:$A&amp;'Podium Target Times'!$B:$B, 0))
</f>
        <v/>
      </c>
      <c r="L596" s="12">
        <f>L597+G597</f>
        <v/>
      </c>
      <c r="M596" s="43">
        <f>TEXT(L596/86400, "mm:ss.00")</f>
        <v/>
      </c>
      <c r="N596" s="14">
        <f>IFERROR(__xludf.DUMMYFUNCTION("LET(
  gen,$A596, ev,$B596, t,$M596,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)"),598.0)</f>
        <v/>
      </c>
      <c r="O596" s="65" t="n"/>
      <c r="P596" s="69" t="n"/>
      <c r="Q596" s="65" t="n"/>
      <c r="R596" s="69" t="n"/>
      <c r="S596" s="58" t="n"/>
      <c r="T596" s="69" t="n"/>
      <c r="U596" s="65" t="n"/>
      <c r="V596" s="65" t="n"/>
      <c r="W596" s="65" t="n"/>
    </row>
    <row r="597">
      <c r="A597" s="17" t="inlineStr">
        <is>
          <t>M</t>
        </is>
      </c>
      <c r="B597" s="18" t="inlineStr">
        <is>
          <t>800 Free</t>
        </is>
      </c>
      <c r="C597" s="18" t="n">
        <v>16</v>
      </c>
      <c r="D597" s="18" t="n">
        <v>1</v>
      </c>
      <c r="E597" s="46" t="inlineStr">
        <is>
          <t>8:14.62</t>
        </is>
      </c>
      <c r="F597" s="21">
        <f>IFERROR(__xludf.DUMMYFUNCTION("IF(
  REGEXMATCH(E597, "":""),
  60*VALUE(INDEX(SPLIT(E597, "":""),1,1)) + VALUE(INDEX(SPLIT(E597, "":""),1,2)),
  VALUE(E597)
)"),494.62)</f>
        <v/>
      </c>
      <c r="G597" s="21">
        <f>F596-F597</f>
        <v/>
      </c>
      <c r="H597" s="21" t="n">
        <v>16.48000000000002</v>
      </c>
      <c r="I597" s="211">
        <f>C596</f>
        <v/>
      </c>
      <c r="J597" s="211">
        <f>C613</f>
        <v/>
      </c>
      <c r="K597" s="60">
        <f t="array" ref="K597">INDEX('Podium Target Times'!$C:$C, MATCH(A597&amp;B597, 'Podium Target Times'!$A:$A&amp;'Podium Target Times'!$B:$B, 0))
</f>
        <v/>
      </c>
      <c r="L597" s="24">
        <f>L599+G599</f>
        <v/>
      </c>
      <c r="M597" s="60">
        <f>TEXT(L597/86400, "mm:ss.00")</f>
        <v/>
      </c>
      <c r="N597" s="25">
        <f>IFERROR(__xludf.DUMMYFUNCTION("LET(
  gen,$A597, ev,$B597, t,$M597,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)"),657.0)</f>
        <v/>
      </c>
      <c r="O597" s="65" t="n"/>
      <c r="P597" s="69" t="n"/>
      <c r="Q597" s="65" t="n"/>
      <c r="R597" s="69" t="n"/>
      <c r="S597" s="58" t="n"/>
      <c r="T597" s="69" t="n"/>
      <c r="U597" s="65" t="n"/>
      <c r="V597" s="65" t="n"/>
      <c r="W597" s="65" t="n"/>
    </row>
    <row r="598">
      <c r="A598" s="8" t="inlineStr">
        <is>
          <t>M</t>
        </is>
      </c>
      <c r="B598" s="9" t="inlineStr">
        <is>
          <t>800 Free</t>
        </is>
      </c>
      <c r="C598" s="9" t="n">
        <v>16</v>
      </c>
      <c r="D598" s="9" t="n">
        <v>2</v>
      </c>
      <c r="E598" s="41" t="inlineStr">
        <is>
          <t>8:20.18</t>
        </is>
      </c>
      <c r="F598" s="35">
        <f>IFERROR(__xludf.DUMMYFUNCTION("IF(
  REGEXMATCH(E598, "":""),
  60*VALUE(INDEX(SPLIT(E598, "":""),1,1)) + VALUE(INDEX(SPLIT(E598, "":""),1,2)),
  VALUE(E598)
)"),500.18)</f>
        <v/>
      </c>
      <c r="G598" s="35">
        <f>F596-F597</f>
        <v/>
      </c>
      <c r="H598" s="35" t="n">
        <v>16.48000000000002</v>
      </c>
      <c r="I598" s="215">
        <f>C596</f>
        <v/>
      </c>
      <c r="J598" s="215">
        <f>C613</f>
        <v/>
      </c>
      <c r="K598" s="43">
        <f t="array" ref="K598">INDEX('Podium Target Times'!$C:$C, MATCH(A598&amp;B598, 'Podium Target Times'!$A:$A&amp;'Podium Target Times'!$B:$B, 0))
</f>
        <v/>
      </c>
      <c r="L598" s="12">
        <f>L599+G599</f>
        <v/>
      </c>
      <c r="M598" s="43">
        <f>TEXT(L598/86400, "mm:ss.00")</f>
        <v/>
      </c>
      <c r="N598" s="14">
        <f>IFERROR(__xludf.DUMMYFUNCTION("LET(
  gen,$A598, ev,$B598, t,$M598,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)"),657.0)</f>
        <v/>
      </c>
      <c r="O598" s="65" t="n"/>
      <c r="P598" s="69" t="n"/>
      <c r="Q598" s="65" t="n"/>
      <c r="R598" s="69" t="n"/>
      <c r="S598" s="58" t="n"/>
      <c r="T598" s="69" t="n"/>
      <c r="U598" s="65" t="n"/>
      <c r="V598" s="65" t="n"/>
      <c r="W598" s="65" t="n"/>
    </row>
    <row r="599">
      <c r="A599" s="17" t="inlineStr">
        <is>
          <t>M</t>
        </is>
      </c>
      <c r="B599" s="18" t="inlineStr">
        <is>
          <t>800 Free</t>
        </is>
      </c>
      <c r="C599" s="18" t="n">
        <v>17</v>
      </c>
      <c r="D599" s="18" t="n">
        <v>1</v>
      </c>
      <c r="E599" s="46" t="inlineStr">
        <is>
          <t>8:02.43</t>
        </is>
      </c>
      <c r="F599" s="21">
        <f>IFERROR(__xludf.DUMMYFUNCTION("IF(
  REGEXMATCH(E599, "":""),
  60*VALUE(INDEX(SPLIT(E599, "":""),1,1)) + VALUE(INDEX(SPLIT(E599, "":""),1,2)),
  VALUE(E599)
)"),482.43)</f>
        <v/>
      </c>
      <c r="G599" s="21">
        <f>average(F597-F599,F598-F600)</f>
        <v/>
      </c>
      <c r="H599" s="21" t="n">
        <v>12.25999999999999</v>
      </c>
      <c r="I599" s="211">
        <f>C596</f>
        <v/>
      </c>
      <c r="J599" s="211">
        <f>C613</f>
        <v/>
      </c>
      <c r="K599" s="60">
        <f t="array" ref="K599">INDEX('Podium Target Times'!$C:$C, MATCH(A599&amp;B599, 'Podium Target Times'!$A:$A&amp;'Podium Target Times'!$B:$B, 0))
</f>
        <v/>
      </c>
      <c r="L599" s="24">
        <f>L602+G602</f>
        <v/>
      </c>
      <c r="M599" s="60">
        <f>TEXT(L599/86400, "mm:ss.00")</f>
        <v/>
      </c>
      <c r="N599" s="25">
        <f>IFERROR(__xludf.DUMMYFUNCTION("LET(
  gen,$A599, ev,$B599, t,$M599,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599" s="65" t="n"/>
      <c r="P599" s="69" t="n"/>
      <c r="Q599" s="65" t="n"/>
      <c r="R599" s="69" t="n"/>
      <c r="S599" s="58" t="n"/>
      <c r="T599" s="69" t="n"/>
      <c r="U599" s="65" t="n"/>
      <c r="V599" s="65" t="n"/>
      <c r="W599" s="65" t="n"/>
    </row>
    <row r="600">
      <c r="A600" s="8" t="inlineStr">
        <is>
          <t>M</t>
        </is>
      </c>
      <c r="B600" s="9" t="inlineStr">
        <is>
          <t>800 Free</t>
        </is>
      </c>
      <c r="C600" s="9" t="n">
        <v>17</v>
      </c>
      <c r="D600" s="9" t="n">
        <v>2</v>
      </c>
      <c r="E600" s="41" t="inlineStr">
        <is>
          <t>8:07.85</t>
        </is>
      </c>
      <c r="F600" s="35">
        <f>IFERROR(__xludf.DUMMYFUNCTION("IF(
  REGEXMATCH(E600, "":""),
  60*VALUE(INDEX(SPLIT(E600, "":""),1,1)) + VALUE(INDEX(SPLIT(E600, "":""),1,2)),
  VALUE(E600)
)"),487.85)</f>
        <v/>
      </c>
      <c r="G600" s="35">
        <f>average(F597-F599,F598-F600)</f>
        <v/>
      </c>
      <c r="H600" s="35" t="n">
        <v>12.25999999999999</v>
      </c>
      <c r="I600" s="215">
        <f>C596</f>
        <v/>
      </c>
      <c r="J600" s="215">
        <f>C613</f>
        <v/>
      </c>
      <c r="K600" s="43">
        <f t="array" ref="K600">INDEX('Podium Target Times'!$C:$C, MATCH(A600&amp;B600, 'Podium Target Times'!$A:$A&amp;'Podium Target Times'!$B:$B, 0))
</f>
        <v/>
      </c>
      <c r="L600" s="12">
        <f>L602+G602</f>
        <v/>
      </c>
      <c r="M600" s="43">
        <f>TEXT(L600/86400, "mm:ss.00")</f>
        <v/>
      </c>
      <c r="N600" s="14">
        <f>IFERROR(__xludf.DUMMYFUNCTION("LET(
  gen,$A600, ev,$B600, t,$M600,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600" s="65" t="n"/>
      <c r="P600" s="69" t="n"/>
      <c r="Q600" s="65" t="n"/>
      <c r="R600" s="69" t="n"/>
      <c r="S600" s="58" t="n"/>
      <c r="T600" s="69" t="n"/>
      <c r="U600" s="65" t="n"/>
      <c r="V600" s="65" t="n"/>
      <c r="W600" s="65" t="n"/>
    </row>
    <row r="601">
      <c r="A601" s="17" t="inlineStr">
        <is>
          <t>M</t>
        </is>
      </c>
      <c r="B601" s="18" t="inlineStr">
        <is>
          <t>800 Free</t>
        </is>
      </c>
      <c r="C601" s="18" t="n">
        <v>17</v>
      </c>
      <c r="D601" s="18" t="n">
        <v>3</v>
      </c>
      <c r="E601" s="46" t="inlineStr">
        <is>
          <t>8:09.69</t>
        </is>
      </c>
      <c r="F601" s="21">
        <f>IFERROR(__xludf.DUMMYFUNCTION("IF(
  REGEXMATCH(E601, "":""),
  60*VALUE(INDEX(SPLIT(E601, "":""),1,1)) + VALUE(INDEX(SPLIT(E601, "":""),1,2)),
  VALUE(E601)
)"),489.69)</f>
        <v/>
      </c>
      <c r="G601" s="21">
        <f>average(F597-F599,F598-F600)</f>
        <v/>
      </c>
      <c r="H601" s="21" t="n">
        <v>12.25999999999999</v>
      </c>
      <c r="I601" s="211">
        <f>C596</f>
        <v/>
      </c>
      <c r="J601" s="211">
        <f>C613</f>
        <v/>
      </c>
      <c r="K601" s="60">
        <f t="array" ref="K601">INDEX('Podium Target Times'!$C:$C, MATCH(A601&amp;B601, 'Podium Target Times'!$A:$A&amp;'Podium Target Times'!$B:$B, 0))
</f>
        <v/>
      </c>
      <c r="L601" s="24">
        <f>L602+G602</f>
        <v/>
      </c>
      <c r="M601" s="60">
        <f>TEXT(L601/86400, "mm:ss.00")</f>
        <v/>
      </c>
      <c r="N601" s="25">
        <f>IFERROR(__xludf.DUMMYFUNCTION("LET(
  gen,$A601, ev,$B601, t,$M601,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601" s="65" t="n"/>
      <c r="P601" s="69" t="n"/>
      <c r="Q601" s="65" t="n"/>
      <c r="R601" s="69" t="n"/>
      <c r="S601" s="58" t="n"/>
      <c r="T601" s="69" t="n"/>
      <c r="U601" s="65" t="n"/>
      <c r="V601" s="65" t="n"/>
      <c r="W601" s="65" t="n"/>
    </row>
    <row r="602">
      <c r="A602" s="8" t="inlineStr">
        <is>
          <t>M</t>
        </is>
      </c>
      <c r="B602" s="9" t="inlineStr">
        <is>
          <t>800 Free</t>
        </is>
      </c>
      <c r="C602" s="9" t="n">
        <v>18</v>
      </c>
      <c r="D602" s="9" t="n">
        <v>1</v>
      </c>
      <c r="E602" s="41" t="inlineStr">
        <is>
          <t>7:54.03</t>
        </is>
      </c>
      <c r="F602" s="35">
        <f>IFERROR(__xludf.DUMMYFUNCTION("IF(
  REGEXMATCH(E602, "":""),
  60*VALUE(INDEX(SPLIT(E602, "":""),1,1)) + VALUE(INDEX(SPLIT(E602, "":""),1,2)),
  VALUE(E602)
)"),474.03)</f>
        <v/>
      </c>
      <c r="G602" s="35">
        <f>average(F599-F602,F600-F603,F601-F604)</f>
        <v/>
      </c>
      <c r="H602" s="35" t="n">
        <v>8.473333333333338</v>
      </c>
      <c r="I602" s="215">
        <f>C596</f>
        <v/>
      </c>
      <c r="J602" s="215">
        <f>C613</f>
        <v/>
      </c>
      <c r="K602" s="43">
        <f t="array" ref="K602">INDEX('Podium Target Times'!$C:$C, MATCH(A602&amp;B602, 'Podium Target Times'!$A:$A&amp;'Podium Target Times'!$B:$B, 0))
</f>
        <v/>
      </c>
      <c r="L602" s="12">
        <f>L605+G605</f>
        <v/>
      </c>
      <c r="M602" s="43">
        <f>TEXT(L602/86400, "mm:ss.00")</f>
        <v/>
      </c>
      <c r="N602" s="14">
        <f>IFERROR(__xludf.DUMMYFUNCTION("LET(
  gen,$A602, ev,$B602, t,$M602,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
      </c>
      <c r="O602" s="65" t="n"/>
      <c r="P602" s="69" t="n"/>
      <c r="Q602" s="65" t="n"/>
      <c r="R602" s="69" t="n"/>
      <c r="S602" s="58" t="n"/>
      <c r="T602" s="69" t="n"/>
      <c r="U602" s="65" t="n"/>
      <c r="V602" s="65" t="n"/>
      <c r="W602" s="65" t="n"/>
    </row>
    <row r="603">
      <c r="A603" s="17" t="inlineStr">
        <is>
          <t>M</t>
        </is>
      </c>
      <c r="B603" s="18" t="inlineStr">
        <is>
          <t>800 Free</t>
        </is>
      </c>
      <c r="C603" s="18" t="n">
        <v>18</v>
      </c>
      <c r="D603" s="18" t="n">
        <v>2</v>
      </c>
      <c r="E603" s="46" t="inlineStr">
        <is>
          <t>7:59.36</t>
        </is>
      </c>
      <c r="F603" s="21">
        <f>IFERROR(__xludf.DUMMYFUNCTION("IF(
  REGEXMATCH(E603, "":""),
  60*VALUE(INDEX(SPLIT(E603, "":""),1,1)) + VALUE(INDEX(SPLIT(E603, "":""),1,2)),
  VALUE(E603)
)"),479.36)</f>
        <v/>
      </c>
      <c r="G603" s="21">
        <f>average(F599-F602,F600-F603,F601-F604)</f>
        <v/>
      </c>
      <c r="H603" s="21" t="n">
        <v>8.473333333333338</v>
      </c>
      <c r="I603" s="211">
        <f>C596</f>
        <v/>
      </c>
      <c r="J603" s="211">
        <f>C613</f>
        <v/>
      </c>
      <c r="K603" s="60">
        <f t="array" ref="K603">INDEX('Podium Target Times'!$C:$C, MATCH(A603&amp;B603, 'Podium Target Times'!$A:$A&amp;'Podium Target Times'!$B:$B, 0))
</f>
        <v/>
      </c>
      <c r="L603" s="24">
        <f>L605+G605</f>
        <v/>
      </c>
      <c r="M603" s="60">
        <f>TEXT(L603/86400, "mm:ss.00")</f>
        <v/>
      </c>
      <c r="N603" s="25">
        <f>IFERROR(__xludf.DUMMYFUNCTION("LET(
  gen,$A603, ev,$B603, t,$M603,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
      </c>
      <c r="O603" s="65" t="n"/>
      <c r="P603" s="69" t="n"/>
      <c r="Q603" s="65" t="n"/>
      <c r="R603" s="69" t="n"/>
      <c r="S603" s="58" t="n"/>
      <c r="T603" s="69" t="n"/>
      <c r="U603" s="65" t="n"/>
      <c r="V603" s="65" t="n"/>
      <c r="W603" s="65" t="n"/>
    </row>
    <row r="604">
      <c r="A604" s="8" t="inlineStr">
        <is>
          <t>M</t>
        </is>
      </c>
      <c r="B604" s="9" t="inlineStr">
        <is>
          <t>800 Free</t>
        </is>
      </c>
      <c r="C604" s="9" t="n">
        <v>18</v>
      </c>
      <c r="D604" s="9" t="n">
        <v>3</v>
      </c>
      <c r="E604" s="41" t="inlineStr">
        <is>
          <t>8:01.16</t>
        </is>
      </c>
      <c r="F604" s="35">
        <f>IFERROR(__xludf.DUMMYFUNCTION("IF(
  REGEXMATCH(E604, "":""),
  60*VALUE(INDEX(SPLIT(E604, "":""),1,1)) + VALUE(INDEX(SPLIT(E604, "":""),1,2)),
  VALUE(E604)
)"),481.16)</f>
        <v/>
      </c>
      <c r="G604" s="35">
        <f>average(F599-F602,F600-F603,F601-F604)</f>
        <v/>
      </c>
      <c r="H604" s="35" t="n">
        <v>8.473333333333338</v>
      </c>
      <c r="I604" s="215">
        <f>C596</f>
        <v/>
      </c>
      <c r="J604" s="215">
        <f>C613</f>
        <v/>
      </c>
      <c r="K604" s="43">
        <f t="array" ref="K604">INDEX('Podium Target Times'!$C:$C, MATCH(A604&amp;B604, 'Podium Target Times'!$A:$A&amp;'Podium Target Times'!$B:$B, 0))
</f>
        <v/>
      </c>
      <c r="L604" s="12">
        <f>L605+G605</f>
        <v/>
      </c>
      <c r="M604" s="43">
        <f>TEXT(L604/86400, "mm:ss.00")</f>
        <v/>
      </c>
      <c r="N604" s="14">
        <f>IFERROR(__xludf.DUMMYFUNCTION("LET(
  gen,$A604, ev,$B604, t,$M604,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
      </c>
      <c r="O604" s="65" t="n"/>
      <c r="P604" s="69" t="n"/>
      <c r="Q604" s="65" t="n"/>
      <c r="R604" s="69" t="n"/>
      <c r="S604" s="58" t="n"/>
      <c r="T604" s="69" t="n"/>
      <c r="U604" s="65" t="n"/>
      <c r="V604" s="65" t="n"/>
      <c r="W604" s="65" t="n"/>
    </row>
    <row r="605">
      <c r="A605" s="17" t="inlineStr">
        <is>
          <t>M</t>
        </is>
      </c>
      <c r="B605" s="18" t="inlineStr">
        <is>
          <t>800 Free</t>
        </is>
      </c>
      <c r="C605" s="18" t="n">
        <v>19</v>
      </c>
      <c r="D605" s="18" t="n">
        <v>1</v>
      </c>
      <c r="E605" s="46" t="inlineStr">
        <is>
          <t>7:48.66</t>
        </is>
      </c>
      <c r="F605" s="21">
        <f>IFERROR(__xludf.DUMMYFUNCTION("IF(
  REGEXMATCH(E605, "":""),
  60*VALUE(INDEX(SPLIT(E605, "":""),1,1)) + VALUE(INDEX(SPLIT(E605, "":""),1,2)),
  VALUE(E605)
)"),468.65999999999997)</f>
        <v/>
      </c>
      <c r="G605" s="21">
        <f>average(F602-F605,F603-F606,F604-F607)</f>
        <v/>
      </c>
      <c r="H605" s="21" t="n">
        <v>5.416666666666686</v>
      </c>
      <c r="I605" s="211">
        <f>C596</f>
        <v/>
      </c>
      <c r="J605" s="211">
        <f>C613</f>
        <v/>
      </c>
      <c r="K605" s="60">
        <f t="array" ref="K605">INDEX('Podium Target Times'!$C:$C, MATCH(A605&amp;B605, 'Podium Target Times'!$A:$A&amp;'Podium Target Times'!$B:$B, 0))
</f>
        <v/>
      </c>
      <c r="L605" s="24">
        <f>L608+G608</f>
        <v/>
      </c>
      <c r="M605" s="60">
        <f>TEXT(L605/86400, "mm:ss.00")</f>
        <v/>
      </c>
      <c r="N605" s="25">
        <f>IFERROR(__xludf.DUMMYFUNCTION("LET(
  gen,$A605, ev,$B605, t,$M605,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O605" s="65" t="n"/>
      <c r="P605" s="69" t="n"/>
      <c r="Q605" s="65" t="n"/>
      <c r="R605" s="69" t="n"/>
      <c r="S605" s="58" t="n"/>
      <c r="T605" s="69" t="n"/>
      <c r="U605" s="65" t="n"/>
      <c r="V605" s="65" t="n"/>
      <c r="W605" s="65" t="n"/>
    </row>
    <row r="606">
      <c r="A606" s="8" t="inlineStr">
        <is>
          <t>M</t>
        </is>
      </c>
      <c r="B606" s="9" t="inlineStr">
        <is>
          <t>800 Free</t>
        </is>
      </c>
      <c r="C606" s="9" t="n">
        <v>19</v>
      </c>
      <c r="D606" s="9" t="n">
        <v>2</v>
      </c>
      <c r="E606" s="41" t="inlineStr">
        <is>
          <t>7:53.93</t>
        </is>
      </c>
      <c r="F606" s="35">
        <f>IFERROR(__xludf.DUMMYFUNCTION("IF(
  REGEXMATCH(E606, "":""),
  60*VALUE(INDEX(SPLIT(E606, "":""),1,1)) + VALUE(INDEX(SPLIT(E606, "":""),1,2)),
  VALUE(E606)
)"),473.93)</f>
        <v/>
      </c>
      <c r="G606" s="35">
        <f>average(F602-F605,F603-F606,F604-F607)</f>
        <v/>
      </c>
      <c r="H606" s="35" t="n">
        <v>5.416666666666686</v>
      </c>
      <c r="I606" s="215">
        <f>C596</f>
        <v/>
      </c>
      <c r="J606" s="215">
        <f>C613</f>
        <v/>
      </c>
      <c r="K606" s="43">
        <f t="array" ref="K606">INDEX('Podium Target Times'!$C:$C, MATCH(A606&amp;B606, 'Podium Target Times'!$A:$A&amp;'Podium Target Times'!$B:$B, 0))
</f>
        <v/>
      </c>
      <c r="L606" s="12">
        <f>L608+G608</f>
        <v/>
      </c>
      <c r="M606" s="43">
        <f>TEXT(L606/86400, "mm:ss.00")</f>
        <v/>
      </c>
      <c r="N606" s="14">
        <f>IFERROR(__xludf.DUMMYFUNCTION("LET(
  gen,$A606, ev,$B606, t,$M606,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O606" s="65" t="n"/>
      <c r="P606" s="69" t="n"/>
      <c r="Q606" s="65" t="n"/>
      <c r="R606" s="69" t="n"/>
      <c r="S606" s="58" t="n"/>
      <c r="T606" s="69" t="n"/>
      <c r="U606" s="65" t="n"/>
      <c r="V606" s="65" t="n"/>
      <c r="W606" s="65" t="n"/>
    </row>
    <row r="607">
      <c r="A607" s="17" t="inlineStr">
        <is>
          <t>M</t>
        </is>
      </c>
      <c r="B607" s="18" t="inlineStr">
        <is>
          <t>800 Free</t>
        </is>
      </c>
      <c r="C607" s="18" t="n">
        <v>19</v>
      </c>
      <c r="D607" s="18" t="n">
        <v>3</v>
      </c>
      <c r="E607" s="46" t="inlineStr">
        <is>
          <t>7:55.71</t>
        </is>
      </c>
      <c r="F607" s="21">
        <f>IFERROR(__xludf.DUMMYFUNCTION("IF(
  REGEXMATCH(E607, "":""),
  60*VALUE(INDEX(SPLIT(E607, "":""),1,1)) + VALUE(INDEX(SPLIT(E607, "":""),1,2)),
  VALUE(E607)
)"),475.71)</f>
        <v/>
      </c>
      <c r="G607" s="21">
        <f>average(F602-F605,F603-F606,F604-F607)</f>
        <v/>
      </c>
      <c r="H607" s="21" t="n">
        <v>5.416666666666686</v>
      </c>
      <c r="I607" s="211">
        <f>C596</f>
        <v/>
      </c>
      <c r="J607" s="211">
        <f>C613</f>
        <v/>
      </c>
      <c r="K607" s="60">
        <f t="array" ref="K607">INDEX('Podium Target Times'!$C:$C, MATCH(A607&amp;B607, 'Podium Target Times'!$A:$A&amp;'Podium Target Times'!$B:$B, 0))
</f>
        <v/>
      </c>
      <c r="L607" s="24">
        <f>L608+G608</f>
        <v/>
      </c>
      <c r="M607" s="60">
        <f>TEXT(L607/86400, "mm:ss.00")</f>
        <v/>
      </c>
      <c r="N607" s="25">
        <f>IFERROR(__xludf.DUMMYFUNCTION("LET(
  gen,$A607, ev,$B607, t,$M607,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O607" s="65" t="n"/>
      <c r="P607" s="69" t="n"/>
      <c r="Q607" s="65" t="n"/>
      <c r="R607" s="69" t="n"/>
      <c r="S607" s="58" t="n"/>
      <c r="T607" s="69" t="n"/>
      <c r="U607" s="65" t="n"/>
      <c r="V607" s="65" t="n"/>
      <c r="W607" s="65" t="n"/>
    </row>
    <row r="608">
      <c r="A608" s="8" t="inlineStr">
        <is>
          <t>M</t>
        </is>
      </c>
      <c r="B608" s="9" t="inlineStr">
        <is>
          <t>800 Free</t>
        </is>
      </c>
      <c r="C608" s="9" t="n">
        <v>20</v>
      </c>
      <c r="D608" s="9" t="n">
        <v>2</v>
      </c>
      <c r="E608" s="41" t="inlineStr">
        <is>
          <t>7:50.66</t>
        </is>
      </c>
      <c r="F608" s="35">
        <f>IFERROR(__xludf.DUMMYFUNCTION("IF(
  REGEXMATCH(E608, "":""),
  60*VALUE(INDEX(SPLIT(E608, "":""),1,1)) + VALUE(INDEX(SPLIT(E608, "":""),1,2)),
  VALUE(E608)
)"),470.65999999999997)</f>
        <v/>
      </c>
      <c r="G608" s="35">
        <f>average(F606-F608,F607-F609)</f>
        <v/>
      </c>
      <c r="H608" s="35" t="n">
        <v>3.275000000000006</v>
      </c>
      <c r="I608" s="215">
        <f>C596</f>
        <v/>
      </c>
      <c r="J608" s="215">
        <f>C613</f>
        <v/>
      </c>
      <c r="K608" s="43">
        <f t="array" ref="K608">INDEX('Podium Target Times'!$C:$C, MATCH(A608&amp;B608, 'Podium Target Times'!$A:$A&amp;'Podium Target Times'!$B:$B, 0))
</f>
        <v/>
      </c>
      <c r="L608" s="12">
        <f>L610+G610</f>
        <v/>
      </c>
      <c r="M608" s="43">
        <f>TEXT(L608/86400, "mm:ss.00")</f>
        <v/>
      </c>
      <c r="N608" s="14">
        <f>IFERROR(__xludf.DUMMYFUNCTION("LET(
  gen,$A608, ev,$B608, t,$M608,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608" s="65" t="n"/>
      <c r="P608" s="69" t="n"/>
      <c r="Q608" s="65" t="n"/>
      <c r="R608" s="69" t="n"/>
      <c r="S608" s="58" t="n"/>
      <c r="T608" s="69" t="n"/>
      <c r="U608" s="65" t="n"/>
      <c r="V608" s="65" t="n"/>
      <c r="W608" s="65" t="n"/>
    </row>
    <row r="609">
      <c r="A609" s="17" t="inlineStr">
        <is>
          <t>M</t>
        </is>
      </c>
      <c r="B609" s="18" t="inlineStr">
        <is>
          <t>800 Free</t>
        </is>
      </c>
      <c r="C609" s="18" t="n">
        <v>20</v>
      </c>
      <c r="D609" s="18" t="n">
        <v>3</v>
      </c>
      <c r="E609" s="46" t="inlineStr">
        <is>
          <t>7:52.43</t>
        </is>
      </c>
      <c r="F609" s="21">
        <f>IFERROR(__xludf.DUMMYFUNCTION("IF(
  REGEXMATCH(E609, "":""),
  60*VALUE(INDEX(SPLIT(E609, "":""),1,1)) + VALUE(INDEX(SPLIT(E609, "":""),1,2)),
  VALUE(E609)
)"),472.43)</f>
        <v/>
      </c>
      <c r="G609" s="21">
        <f>average(F606-F608,F607-F609)</f>
        <v/>
      </c>
      <c r="H609" s="21" t="n">
        <v>3.275000000000006</v>
      </c>
      <c r="I609" s="211">
        <f>C596</f>
        <v/>
      </c>
      <c r="J609" s="211">
        <f>C613</f>
        <v/>
      </c>
      <c r="K609" s="60">
        <f t="array" ref="K609">INDEX('Podium Target Times'!$C:$C, MATCH(A609&amp;B609, 'Podium Target Times'!$A:$A&amp;'Podium Target Times'!$B:$B, 0))
</f>
        <v/>
      </c>
      <c r="L609" s="24">
        <f>L610+G610</f>
        <v/>
      </c>
      <c r="M609" s="60">
        <f>TEXT(L609/86400, "mm:ss.00")</f>
        <v/>
      </c>
      <c r="N609" s="25">
        <f>IFERROR(__xludf.DUMMYFUNCTION("LET(
  gen,$A609, ev,$B609, t,$M609,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609" s="65" t="n"/>
      <c r="P609" s="69" t="n"/>
      <c r="Q609" s="65" t="n"/>
      <c r="R609" s="69" t="n"/>
      <c r="S609" s="58" t="n"/>
      <c r="T609" s="69" t="n"/>
      <c r="U609" s="65" t="n"/>
      <c r="V609" s="65" t="n"/>
      <c r="W609" s="65" t="n"/>
    </row>
    <row r="610">
      <c r="A610" s="8" t="inlineStr">
        <is>
          <t>M</t>
        </is>
      </c>
      <c r="B610" s="9" t="inlineStr">
        <is>
          <t>800 Free</t>
        </is>
      </c>
      <c r="C610" s="9" t="n">
        <v>21</v>
      </c>
      <c r="D610" s="9" t="n">
        <v>2</v>
      </c>
      <c r="E610" s="41" t="inlineStr">
        <is>
          <t>7:48.66</t>
        </is>
      </c>
      <c r="F610" s="35">
        <f>IFERROR(__xludf.DUMMYFUNCTION("IF(
  REGEXMATCH(E610, "":""),
  60*VALUE(INDEX(SPLIT(E610, "":""),1,1)) + VALUE(INDEX(SPLIT(E610, "":""),1,2)),
  VALUE(E610)
)"),468.65999999999997)</f>
        <v/>
      </c>
      <c r="G610" s="35">
        <f>average(F608-F610,F609-F611)</f>
        <v/>
      </c>
      <c r="H610" s="35" t="n">
        <v>2.004999999999995</v>
      </c>
      <c r="I610" s="215">
        <f>C596</f>
        <v/>
      </c>
      <c r="J610" s="215">
        <f>C613</f>
        <v/>
      </c>
      <c r="K610" s="43">
        <f t="array" ref="K610">INDEX('Podium Target Times'!$C:$C, MATCH(A610&amp;B610, 'Podium Target Times'!$A:$A&amp;'Podium Target Times'!$B:$B, 0))
</f>
        <v/>
      </c>
      <c r="L610" s="12">
        <f>L612+G612</f>
        <v/>
      </c>
      <c r="M610" s="43">
        <f>TEXT(L610/86400, "mm:ss.00")</f>
        <v/>
      </c>
      <c r="N610" s="14">
        <f>IFERROR(__xludf.DUMMYFUNCTION("LET(
  gen,$A610, ev,$B610, t,$M610,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
      </c>
      <c r="O610" s="65" t="n"/>
      <c r="P610" s="69" t="n"/>
      <c r="Q610" s="65" t="n"/>
      <c r="R610" s="69" t="n"/>
      <c r="S610" s="58" t="n"/>
      <c r="T610" s="69" t="n"/>
      <c r="U610" s="65" t="n"/>
      <c r="V610" s="65" t="n"/>
      <c r="W610" s="65" t="n"/>
    </row>
    <row r="611">
      <c r="A611" s="17" t="inlineStr">
        <is>
          <t>M</t>
        </is>
      </c>
      <c r="B611" s="18" t="inlineStr">
        <is>
          <t>800 Free</t>
        </is>
      </c>
      <c r="C611" s="18" t="n">
        <v>21</v>
      </c>
      <c r="D611" s="18" t="n">
        <v>3</v>
      </c>
      <c r="E611" s="46" t="inlineStr">
        <is>
          <t>7:50.42</t>
        </is>
      </c>
      <c r="F611" s="21">
        <f>IFERROR(__xludf.DUMMYFUNCTION("IF(
  REGEXMATCH(E611, "":""),
  60*VALUE(INDEX(SPLIT(E611, "":""),1,1)) + VALUE(INDEX(SPLIT(E611, "":""),1,2)),
  VALUE(E611)
)"),470.42)</f>
        <v/>
      </c>
      <c r="G611" s="21">
        <f>average(F608-F610,F609-F611)</f>
        <v/>
      </c>
      <c r="H611" s="21" t="n">
        <v>2.004999999999995</v>
      </c>
      <c r="I611" s="211">
        <f>C596</f>
        <v/>
      </c>
      <c r="J611" s="211">
        <f>C613</f>
        <v/>
      </c>
      <c r="K611" s="60">
        <f t="array" ref="K611">INDEX('Podium Target Times'!$C:$C, MATCH(A611&amp;B611, 'Podium Target Times'!$A:$A&amp;'Podium Target Times'!$B:$B, 0))
</f>
        <v/>
      </c>
      <c r="L611" s="24">
        <f>L612+G612</f>
        <v/>
      </c>
      <c r="M611" s="60">
        <f>TEXT(L611/86400, "mm:ss.00")</f>
        <v/>
      </c>
      <c r="N611" s="25">
        <f>IFERROR(__xludf.DUMMYFUNCTION("LET(
  gen,$A611, ev,$B611, t,$M611,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
      </c>
      <c r="O611" s="65" t="n"/>
      <c r="P611" s="69" t="n"/>
      <c r="Q611" s="65" t="n"/>
      <c r="R611" s="69" t="n"/>
      <c r="S611" s="58" t="n"/>
      <c r="T611" s="69" t="n"/>
      <c r="U611" s="65" t="n"/>
      <c r="V611" s="65" t="n"/>
      <c r="W611" s="65" t="n"/>
    </row>
    <row r="612">
      <c r="A612" s="8" t="inlineStr">
        <is>
          <t>M</t>
        </is>
      </c>
      <c r="B612" s="9" t="inlineStr">
        <is>
          <t>800 Free</t>
        </is>
      </c>
      <c r="C612" s="9" t="n">
        <v>22</v>
      </c>
      <c r="D612" s="9" t="n">
        <v>3</v>
      </c>
      <c r="E612" s="41" t="inlineStr">
        <is>
          <t>7:49.18</t>
        </is>
      </c>
      <c r="F612" s="35">
        <f>IFERROR(__xludf.DUMMYFUNCTION("IF(
  REGEXMATCH(E612, "":""),
  60*VALUE(INDEX(SPLIT(E612, "":""),1,1)) + VALUE(INDEX(SPLIT(E612, "":""),1,2)),
  VALUE(E612)
)"),469.18)</f>
        <v/>
      </c>
      <c r="G612" s="35">
        <f>F611-F612</f>
        <v/>
      </c>
      <c r="H612" s="35" t="n">
        <v>1.240000000000009</v>
      </c>
      <c r="I612" s="215">
        <f>C596</f>
        <v/>
      </c>
      <c r="J612" s="215">
        <f>C613</f>
        <v/>
      </c>
      <c r="K612" s="43">
        <f t="array" ref="K612">INDEX('Podium Target Times'!$C:$C, MATCH(A612&amp;B612, 'Podium Target Times'!$A:$A&amp;'Podium Target Times'!$B:$B, 0))
</f>
        <v/>
      </c>
      <c r="L612" s="12">
        <f>L613+G613</f>
        <v/>
      </c>
      <c r="M612" s="43">
        <f>TEXT(L612/86400, "mm:ss.00")</f>
        <v/>
      </c>
      <c r="N612" s="14">
        <f>IFERROR(__xludf.DUMMYFUNCTION("LET(
  gen,$A612, ev,$B612, t,$M612,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O612" s="65" t="n"/>
      <c r="P612" s="69" t="n"/>
      <c r="Q612" s="65" t="n"/>
      <c r="R612" s="69" t="n"/>
      <c r="S612" s="58" t="n"/>
      <c r="T612" s="69" t="n"/>
      <c r="U612" s="65" t="n"/>
      <c r="V612" s="65" t="n"/>
      <c r="W612" s="65" t="n"/>
    </row>
    <row r="613">
      <c r="A613" s="49" t="inlineStr">
        <is>
          <t>M</t>
        </is>
      </c>
      <c r="B613" s="50" t="inlineStr">
        <is>
          <t>800 Free</t>
        </is>
      </c>
      <c r="C613" s="50" t="n">
        <v>23</v>
      </c>
      <c r="D613" s="50" t="n">
        <v>3</v>
      </c>
      <c r="E613" s="51" t="inlineStr">
        <is>
          <t>7:48.66</t>
        </is>
      </c>
      <c r="F613" s="53">
        <f>IFERROR(__xludf.DUMMYFUNCTION("IF(
  REGEXMATCH(E613, "":""),
  60*VALUE(INDEX(SPLIT(E613, "":""),1,1)) + VALUE(INDEX(SPLIT(E613, "":""),1,2)),
  VALUE(E613)
)"),468.65999999999997)</f>
        <v/>
      </c>
      <c r="G613" s="53">
        <f>F612-F613</f>
        <v/>
      </c>
      <c r="H613" s="53" t="n">
        <v>0.5200000000000387</v>
      </c>
      <c r="I613" s="755">
        <f>C596</f>
        <v/>
      </c>
      <c r="J613" s="755">
        <f>C613</f>
        <v/>
      </c>
      <c r="K613" s="55">
        <f t="array" ref="K613">INDEX('Podium Target Times'!$C:$C, MATCH(A613&amp;B613, 'Podium Target Times'!$A:$A&amp;'Podium Target Times'!$B:$B, 0))
</f>
        <v/>
      </c>
      <c r="L613" s="755">
        <f>K613</f>
        <v/>
      </c>
      <c r="M613" s="55">
        <f>TEXT(L613/86400, "mm:ss.00")</f>
        <v/>
      </c>
      <c r="N613" s="56">
        <f>IFERROR(__xludf.DUMMYFUNCTION("LET(
  gen,$A613, ev,$B613, t,$M613,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
      </c>
      <c r="O613" s="65" t="n"/>
      <c r="P613" s="69" t="n"/>
      <c r="Q613" s="65" t="n"/>
      <c r="R613" s="69" t="n"/>
      <c r="S613" s="58" t="n"/>
      <c r="T613" s="69" t="n"/>
      <c r="U613" s="65" t="n"/>
      <c r="V613" s="65" t="n"/>
      <c r="W613" s="65" t="n"/>
    </row>
  </sheetData>
  <mergeCells count="1">
    <mergeCell ref="P1:T1"/>
  </mergeCells>
  <dataValidations count="2">
    <dataValidation sqref="F2:G613" showDropDown="1" showInputMessage="0" showErrorMessage="0" allowBlank="1" type="custom">
      <formula1>AND(ISNUMBER(F2),(NOT(OR(NOT(ISERROR(DATEVALUE(F2))), AND(ISNUMBER(F2), LEFT(CELL("format", F2))="D")))))</formula1>
    </dataValidation>
    <dataValidation sqref="E2:E613" showDropDown="1" showInputMessage="0" showErrorMessage="0" allowBlank="1"/>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W677"/>
  <sheetViews>
    <sheetView workbookViewId="0">
      <pane ySplit="1" topLeftCell="A2" activePane="bottomLeft" state="frozen"/>
      <selection pane="bottomLeft" activeCell="B3" sqref="B3"/>
    </sheetView>
  </sheetViews>
  <sheetFormatPr baseColWidth="8" defaultColWidth="12.63" defaultRowHeight="15.75" customHeight="1"/>
  <cols>
    <col width="10.88" customWidth="1" style="763" min="1" max="1"/>
    <col width="9.630000000000001" customWidth="1" style="763" min="2" max="2"/>
    <col width="8.380000000000001" customWidth="1" style="763" min="3" max="3"/>
    <col width="11.25" customWidth="1" style="763" min="4" max="4"/>
    <col width="11.38" customWidth="1" style="763" min="5" max="5"/>
    <col width="12" customWidth="1" style="763" min="6" max="6"/>
    <col width="15.63" customWidth="1" style="763" min="7" max="7"/>
    <col width="14.63" customWidth="1" style="763" min="8" max="8"/>
    <col width="14.5" customWidth="1" style="763" min="10" max="10"/>
    <col width="13.5" customWidth="1" style="763" min="11" max="11"/>
    <col width="10.25" customWidth="1" style="763" min="14" max="14"/>
  </cols>
  <sheetData>
    <row r="1">
      <c r="A1" s="1" t="inlineStr">
        <is>
          <t>Gender</t>
        </is>
      </c>
      <c r="B1" s="4" t="inlineStr">
        <is>
          <t>Event</t>
        </is>
      </c>
      <c r="C1" s="4" t="inlineStr">
        <is>
          <t>Age</t>
        </is>
      </c>
      <c r="D1" s="4" t="inlineStr">
        <is>
          <t>Canada Track</t>
        </is>
      </c>
      <c r="E1" s="4" t="inlineStr">
        <is>
          <t>Canada Track Time</t>
        </is>
      </c>
      <c r="F1" s="3" t="inlineStr">
        <is>
          <t>Canada Track Time in Seconds</t>
        </is>
      </c>
      <c r="G1" s="4" t="inlineStr">
        <is>
          <t>Average Progression Delta</t>
        </is>
      </c>
      <c r="H1" s="4" t="inlineStr">
        <is>
          <t>Average Progression Delta VALUE ONLY</t>
        </is>
      </c>
      <c r="I1" s="4" t="inlineStr">
        <is>
          <t>Canada Entry Age</t>
        </is>
      </c>
      <c r="J1" s="4" t="inlineStr">
        <is>
          <t>Canada Arrival Age</t>
        </is>
      </c>
      <c r="K1" s="4" t="inlineStr">
        <is>
          <t>Malaysia Arrival Time (SEA BRONZE)</t>
        </is>
      </c>
      <c r="L1" s="4" t="inlineStr">
        <is>
          <t>Malaysia Track Time in Seconds</t>
        </is>
      </c>
      <c r="M1" s="4" t="inlineStr">
        <is>
          <t>Malaysia Track Time</t>
        </is>
      </c>
      <c r="N1" s="5" t="inlineStr">
        <is>
          <t>Malaysia Track AQUA</t>
        </is>
      </c>
      <c r="O1" s="65" t="n"/>
      <c r="P1" s="7" t="inlineStr">
        <is>
          <t>Data must be sorted by Gender, Event, Age for the Average Progression Delta forumula to work, values copied in Average Progression Delta VALUE ONLY for refernce if it gets corrupted</t>
        </is>
      </c>
      <c r="U1" s="65" t="n"/>
      <c r="V1" s="65" t="n"/>
      <c r="W1" s="65" t="n"/>
    </row>
    <row r="2">
      <c r="A2" s="8" t="inlineStr">
        <is>
          <t>F</t>
        </is>
      </c>
      <c r="B2" s="9" t="inlineStr">
        <is>
          <t>100 Back</t>
        </is>
      </c>
      <c r="C2" s="9" t="n">
        <v>13</v>
      </c>
      <c r="D2" s="9" t="n">
        <v>1</v>
      </c>
      <c r="E2" s="41" t="inlineStr">
        <is>
          <t>1:05.85</t>
        </is>
      </c>
      <c r="F2" s="35">
        <f>IFERROR(__xludf.DUMMYFUNCTION("IF(
  REGEXMATCH(E2, "":""),
  60*VALUE(INDEX(SPLIT(E2, "":""),1,1)) + VALUE(INDEX(SPLIT(E2, "":""),1,2)),
  VALUE(E2)
)"),65.85)</f>
        <v/>
      </c>
      <c r="G2" s="12" t="n">
        <v>0</v>
      </c>
      <c r="H2" s="12" t="n">
        <v>0</v>
      </c>
      <c r="I2" s="43">
        <f>C2</f>
        <v/>
      </c>
      <c r="J2" s="43">
        <f>C19</f>
        <v/>
      </c>
      <c r="K2" s="43">
        <f t="array" ref="K2">INDEX('Podium Target Times'!$C:$C, MATCH(A2&amp;B2, 'Podium Target Times'!$A:$A&amp;'Podium Target Times'!$B:$B, 0))
</f>
        <v/>
      </c>
      <c r="L2" s="12">
        <f>L3+G3</f>
        <v/>
      </c>
      <c r="M2" s="43">
        <f>IF(L2&lt;60, TEXT(L2,"0.00"), IF(L2&lt;600, TEXT(L2/86400,"m:ss.00"), TEXT(L2/86400,"mm:ss.00")))
</f>
        <v/>
      </c>
      <c r="N2" s="14">
        <f>IFERROR(__xludf.DUMMYFUNCTION("LET(
  gen,$A2, ev,$B2, t,$M2,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)"),516.0)</f>
        <v/>
      </c>
      <c r="O2" s="65" t="n"/>
      <c r="P2" s="69">
        <f>A2</f>
        <v/>
      </c>
      <c r="Q2" s="65">
        <f>B2</f>
        <v/>
      </c>
      <c r="R2" s="69">
        <f>C2</f>
        <v/>
      </c>
      <c r="S2" s="58">
        <f>M2</f>
        <v/>
      </c>
      <c r="T2" s="69">
        <f>N2</f>
        <v/>
      </c>
      <c r="U2" s="65" t="n"/>
      <c r="V2" s="65" t="n"/>
      <c r="W2" s="65" t="n"/>
    </row>
    <row r="3">
      <c r="A3" s="17" t="inlineStr">
        <is>
          <t>F</t>
        </is>
      </c>
      <c r="B3" s="18" t="inlineStr">
        <is>
          <t>100 Back</t>
        </is>
      </c>
      <c r="C3" s="18" t="n">
        <v>14</v>
      </c>
      <c r="D3" s="18" t="n">
        <v>1</v>
      </c>
      <c r="E3" s="46" t="inlineStr">
        <is>
          <t>1:03.87</t>
        </is>
      </c>
      <c r="F3" s="21">
        <f>IFERROR(__xludf.DUMMYFUNCTION("IF(
  REGEXMATCH(E3, "":""),
  60*VALUE(INDEX(SPLIT(E3, "":""),1,1)) + VALUE(INDEX(SPLIT(E3, "":""),1,2)),
  VALUE(E3)
)"),63.87)</f>
        <v/>
      </c>
      <c r="G3" s="21">
        <f>F2-F3</f>
        <v/>
      </c>
      <c r="H3" s="21" t="n">
        <v>1.979999999999997</v>
      </c>
      <c r="I3" s="211">
        <f>C2</f>
        <v/>
      </c>
      <c r="J3" s="211">
        <f>C19</f>
        <v/>
      </c>
      <c r="K3" s="60">
        <f t="array" ref="K3">INDEX('Podium Target Times'!$C:$C, MATCH(A3&amp;B3, 'Podium Target Times'!$A:$A&amp;'Podium Target Times'!$B:$B, 0))
</f>
        <v/>
      </c>
      <c r="L3" s="24">
        <f>L5+G5</f>
        <v/>
      </c>
      <c r="M3" s="60">
        <f>IF(L3&lt;60, TEXT(L3,"0.00"), IF(L3&lt;600, TEXT(L3/86400,"m:ss.00"), TEXT(L3/86400,"mm:ss.00")))
</f>
        <v/>
      </c>
      <c r="N3" s="25">
        <f>IFERROR(__xludf.DUMMYFUNCTION("LET(
  gen,$A3, ev,$B3, t,$M3,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)"),561.0)</f>
        <v/>
      </c>
      <c r="O3" s="65" t="n"/>
      <c r="P3" s="69">
        <f>A3</f>
        <v/>
      </c>
      <c r="Q3" s="65">
        <f>B3</f>
        <v/>
      </c>
      <c r="R3" s="69">
        <f>C3</f>
        <v/>
      </c>
      <c r="S3" s="58">
        <f>M3</f>
        <v/>
      </c>
      <c r="T3" s="69">
        <f>N3</f>
        <v/>
      </c>
      <c r="U3" s="65" t="n"/>
      <c r="V3" s="65" t="n"/>
      <c r="W3" s="65" t="n"/>
    </row>
    <row r="4">
      <c r="A4" s="8" t="inlineStr">
        <is>
          <t>F</t>
        </is>
      </c>
      <c r="B4" s="9" t="inlineStr">
        <is>
          <t>100 Back</t>
        </is>
      </c>
      <c r="C4" s="9" t="n">
        <v>14</v>
      </c>
      <c r="D4" s="219" t="n">
        <v>2</v>
      </c>
      <c r="E4" s="41" t="inlineStr">
        <is>
          <t>1:04.75</t>
        </is>
      </c>
      <c r="F4" s="35">
        <f>IFERROR(__xludf.DUMMYFUNCTION("IF(
  REGEXMATCH(E4, "":""),
  60*VALUE(INDEX(SPLIT(E4, "":""),1,1)) + VALUE(INDEX(SPLIT(E4, "":""),1,2)),
  VALUE(E4)
)"),64.75)</f>
        <v/>
      </c>
      <c r="G4" s="35">
        <f>F2-F3</f>
        <v/>
      </c>
      <c r="H4" s="35" t="n">
        <v>1.979999999999997</v>
      </c>
      <c r="I4" s="215">
        <f>C2</f>
        <v/>
      </c>
      <c r="J4" s="215">
        <f>C19</f>
        <v/>
      </c>
      <c r="K4" s="43">
        <f t="array" ref="K4">INDEX('Podium Target Times'!$C:$C, MATCH(A4&amp;B4, 'Podium Target Times'!$A:$A&amp;'Podium Target Times'!$B:$B, 0))
</f>
        <v/>
      </c>
      <c r="L4" s="12">
        <f>L5+G5</f>
        <v/>
      </c>
      <c r="M4" s="43">
        <f>IF(L4&lt;60, TEXT(L4,"0.00"), IF(L4&lt;600, TEXT(L4/86400,"m:ss.00"), TEXT(L4/86400,"mm:ss.00")))
</f>
        <v/>
      </c>
      <c r="N4" s="14">
        <f>IFERROR(__xludf.DUMMYFUNCTION("LET(
  gen,$A4, ev,$B4, t,$M4,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)"),561.0)</f>
        <v/>
      </c>
      <c r="O4" s="65" t="n"/>
      <c r="P4" s="69">
        <f>A5</f>
        <v/>
      </c>
      <c r="Q4" s="65">
        <f>B5</f>
        <v/>
      </c>
      <c r="R4" s="69">
        <f>C5</f>
        <v/>
      </c>
      <c r="S4" s="58">
        <f>M5</f>
        <v/>
      </c>
      <c r="T4" s="69">
        <f>N5</f>
        <v/>
      </c>
      <c r="U4" s="65" t="n"/>
      <c r="V4" s="65" t="n"/>
      <c r="W4" s="65" t="n"/>
    </row>
    <row r="5">
      <c r="A5" s="17" t="inlineStr">
        <is>
          <t>F</t>
        </is>
      </c>
      <c r="B5" s="18" t="inlineStr">
        <is>
          <t>100 Back</t>
        </is>
      </c>
      <c r="C5" s="18" t="n">
        <v>15</v>
      </c>
      <c r="D5" s="18" t="n">
        <v>1</v>
      </c>
      <c r="E5" s="46" t="inlineStr">
        <is>
          <t>1:02.34</t>
        </is>
      </c>
      <c r="F5" s="21">
        <f>IFERROR(__xludf.DUMMYFUNCTION("IF(
  REGEXMATCH(E5, "":""),
  60*VALUE(INDEX(SPLIT(E5, "":""),1,1)) + VALUE(INDEX(SPLIT(E5, "":""),1,2)),
  VALUE(E5)
)"),62.34)</f>
        <v/>
      </c>
      <c r="G5" s="21">
        <f>average(F3-F5,F4-F6)</f>
        <v/>
      </c>
      <c r="H5" s="21" t="n">
        <v>1.539999999999996</v>
      </c>
      <c r="I5" s="211">
        <f>C2</f>
        <v/>
      </c>
      <c r="J5" s="211">
        <f>C19</f>
        <v/>
      </c>
      <c r="K5" s="60">
        <f t="array" ref="K5">INDEX('Podium Target Times'!$C:$C, MATCH(A5&amp;B5, 'Podium Target Times'!$A:$A&amp;'Podium Target Times'!$B:$B, 0))
</f>
        <v/>
      </c>
      <c r="L5" s="24">
        <f>L8+G8</f>
        <v/>
      </c>
      <c r="M5" s="60">
        <f>IF(L5&lt;60, TEXT(L5,"0.00"), IF(L5&lt;600, TEXT(L5/86400,"m:ss.00"), TEXT(L5/86400,"mm:ss.00")))
</f>
        <v/>
      </c>
      <c r="N5" s="25">
        <f>IFERROR(__xludf.DUMMYFUNCTION("LET(
  gen,$A5, ev,$B5, t,$M5,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)"),601.0)</f>
        <v/>
      </c>
      <c r="O5" s="65" t="n"/>
      <c r="P5" s="69">
        <f>A8</f>
        <v/>
      </c>
      <c r="Q5" s="65">
        <f>B8</f>
        <v/>
      </c>
      <c r="R5" s="69">
        <f>C8</f>
        <v/>
      </c>
      <c r="S5" s="58">
        <f>M8</f>
        <v/>
      </c>
      <c r="T5" s="69">
        <f>N8</f>
        <v/>
      </c>
      <c r="U5" s="65" t="n"/>
      <c r="V5" s="65" t="n"/>
      <c r="W5" s="65" t="n"/>
    </row>
    <row r="6">
      <c r="A6" s="8" t="inlineStr">
        <is>
          <t>F</t>
        </is>
      </c>
      <c r="B6" s="9" t="inlineStr">
        <is>
          <t>100 Back</t>
        </is>
      </c>
      <c r="C6" s="9" t="n">
        <v>15</v>
      </c>
      <c r="D6" s="9" t="n">
        <v>2</v>
      </c>
      <c r="E6" s="41" t="inlineStr">
        <is>
          <t>1:03.20</t>
        </is>
      </c>
      <c r="F6" s="35">
        <f>IFERROR(__xludf.DUMMYFUNCTION("IF(
  REGEXMATCH(E6, "":""),
  60*VALUE(INDEX(SPLIT(E6, "":""),1,1)) + VALUE(INDEX(SPLIT(E6, "":""),1,2)),
  VALUE(E6)
)"),63.2)</f>
        <v/>
      </c>
      <c r="G6" s="35">
        <f>average(F3-F5,F4-F6)</f>
        <v/>
      </c>
      <c r="H6" s="35" t="n">
        <v>1.539999999999996</v>
      </c>
      <c r="I6" s="215">
        <f>C2</f>
        <v/>
      </c>
      <c r="J6" s="215">
        <f>C19</f>
        <v/>
      </c>
      <c r="K6" s="43">
        <f t="array" ref="K6">INDEX('Podium Target Times'!$C:$C, MATCH(A6&amp;B6, 'Podium Target Times'!$A:$A&amp;'Podium Target Times'!$B:$B, 0))
</f>
        <v/>
      </c>
      <c r="L6" s="12">
        <f>L8+G8</f>
        <v/>
      </c>
      <c r="M6" s="43">
        <f>IF(L6&lt;60, TEXT(L6,"0.00"), IF(L6&lt;600, TEXT(L6/86400,"m:ss.00"), TEXT(L6/86400,"mm:ss.00")))
</f>
        <v/>
      </c>
      <c r="N6" s="14">
        <f>IFERROR(__xludf.DUMMYFUNCTION("LET(
  gen,$A6, ev,$B6, t,$M6,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)"),601.0)</f>
        <v/>
      </c>
      <c r="O6" s="65" t="n"/>
      <c r="P6" s="69">
        <f>A11</f>
        <v/>
      </c>
      <c r="Q6" s="65">
        <f>B11</f>
        <v/>
      </c>
      <c r="R6" s="69">
        <f>C11</f>
        <v/>
      </c>
      <c r="S6" s="58">
        <f>M11</f>
        <v/>
      </c>
      <c r="T6" s="69">
        <f>N11</f>
        <v/>
      </c>
      <c r="U6" s="65" t="n"/>
      <c r="V6" s="65" t="n"/>
      <c r="W6" s="65" t="n"/>
    </row>
    <row r="7">
      <c r="A7" s="17" t="inlineStr">
        <is>
          <t>F</t>
        </is>
      </c>
      <c r="B7" s="18" t="inlineStr">
        <is>
          <t>100 Back</t>
        </is>
      </c>
      <c r="C7" s="18" t="n">
        <v>15</v>
      </c>
      <c r="D7" s="18" t="n">
        <v>3</v>
      </c>
      <c r="E7" s="46" t="inlineStr">
        <is>
          <t>1:03.66</t>
        </is>
      </c>
      <c r="F7" s="21">
        <f>IFERROR(__xludf.DUMMYFUNCTION("IF(
  REGEXMATCH(E7, "":""),
  60*VALUE(INDEX(SPLIT(E7, "":""),1,1)) + VALUE(INDEX(SPLIT(E7, "":""),1,2)),
  VALUE(E7)
)"),63.66)</f>
        <v/>
      </c>
      <c r="G7" s="21">
        <f>average(F3-F5,F4-F6)</f>
        <v/>
      </c>
      <c r="H7" s="21" t="n">
        <v>1.539999999999996</v>
      </c>
      <c r="I7" s="211">
        <f>C2</f>
        <v/>
      </c>
      <c r="J7" s="211">
        <f>C19</f>
        <v/>
      </c>
      <c r="K7" s="60">
        <f t="array" ref="K7">INDEX('Podium Target Times'!$C:$C, MATCH(A7&amp;B7, 'Podium Target Times'!$A:$A&amp;'Podium Target Times'!$B:$B, 0))
</f>
        <v/>
      </c>
      <c r="L7" s="24">
        <f>L8+G8</f>
        <v/>
      </c>
      <c r="M7" s="60">
        <f>IF(L7&lt;60, TEXT(L7,"0.00"), IF(L7&lt;600, TEXT(L7/86400,"m:ss.00"), TEXT(L7/86400,"mm:ss.00")))
</f>
        <v/>
      </c>
      <c r="N7" s="25">
        <f>IFERROR(__xludf.DUMMYFUNCTION("LET(
  gen,$A7, ev,$B7, t,$M7,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)"),601.0)</f>
        <v/>
      </c>
      <c r="O7" s="65" t="n"/>
      <c r="P7" s="69">
        <f>A14</f>
        <v/>
      </c>
      <c r="Q7" s="65">
        <f>B14</f>
        <v/>
      </c>
      <c r="R7" s="69">
        <f>C14</f>
        <v/>
      </c>
      <c r="S7" s="58">
        <f>M14</f>
        <v/>
      </c>
      <c r="T7" s="69">
        <f>N14</f>
        <v/>
      </c>
      <c r="U7" s="65" t="n"/>
      <c r="V7" s="65" t="n"/>
      <c r="W7" s="65" t="n"/>
    </row>
    <row r="8">
      <c r="A8" s="8" t="inlineStr">
        <is>
          <t>F</t>
        </is>
      </c>
      <c r="B8" s="9" t="inlineStr">
        <is>
          <t>100 Back</t>
        </is>
      </c>
      <c r="C8" s="9" t="n">
        <v>16</v>
      </c>
      <c r="D8" s="9" t="n">
        <v>1</v>
      </c>
      <c r="E8" s="41" t="inlineStr">
        <is>
          <t>1:01.22</t>
        </is>
      </c>
      <c r="F8" s="35">
        <f>IFERROR(__xludf.DUMMYFUNCTION("IF(
  REGEXMATCH(E8, "":""),
  60*VALUE(INDEX(SPLIT(E8, "":""),1,1)) + VALUE(INDEX(SPLIT(E8, "":""),1,2)),
  VALUE(E8)
)"),61.22)</f>
        <v/>
      </c>
      <c r="G8" s="35">
        <f>average(F5-F8,F6-F9,F7-F10)</f>
        <v/>
      </c>
      <c r="H8" s="35" t="n">
        <v>1.133333333333333</v>
      </c>
      <c r="I8" s="215">
        <f>C2</f>
        <v/>
      </c>
      <c r="J8" s="215">
        <f>C19</f>
        <v/>
      </c>
      <c r="K8" s="43">
        <f t="array" ref="K8">INDEX('Podium Target Times'!$C:$C, MATCH(A8&amp;B8, 'Podium Target Times'!$A:$A&amp;'Podium Target Times'!$B:$B, 0))
</f>
        <v/>
      </c>
      <c r="L8" s="12">
        <f>L11+G11</f>
        <v/>
      </c>
      <c r="M8" s="43">
        <f>IF(L8&lt;60, TEXT(L8,"0.00"), IF(L8&lt;600, TEXT(L8/86400,"m:ss.00"), TEXT(L8/86400,"mm:ss.00")))
</f>
        <v/>
      </c>
      <c r="N8" s="14">
        <f>IFERROR(__xludf.DUMMYFUNCTION("LET(
  gen,$A8, ev,$B8, t,$M8,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)"),632.0)</f>
        <v/>
      </c>
      <c r="O8" s="65" t="n"/>
      <c r="P8" s="69">
        <f>A16</f>
        <v/>
      </c>
      <c r="Q8" s="65">
        <f>B16</f>
        <v/>
      </c>
      <c r="R8" s="69">
        <f>C16</f>
        <v/>
      </c>
      <c r="S8" s="58">
        <f>M16</f>
        <v/>
      </c>
      <c r="T8" s="69">
        <f>N16</f>
        <v/>
      </c>
      <c r="U8" s="65" t="n"/>
      <c r="V8" s="65" t="n"/>
      <c r="W8" s="65" t="n"/>
    </row>
    <row r="9">
      <c r="A9" s="17" t="inlineStr">
        <is>
          <t>F</t>
        </is>
      </c>
      <c r="B9" s="18" t="inlineStr">
        <is>
          <t>100 Back</t>
        </is>
      </c>
      <c r="C9" s="18" t="n">
        <v>16</v>
      </c>
      <c r="D9" s="221" t="n">
        <v>2</v>
      </c>
      <c r="E9" s="46" t="inlineStr">
        <is>
          <t>1:02.06</t>
        </is>
      </c>
      <c r="F9" s="21">
        <f>IFERROR(__xludf.DUMMYFUNCTION("IF(
  REGEXMATCH(E9, "":""),
  60*VALUE(INDEX(SPLIT(E9, "":""),1,1)) + VALUE(INDEX(SPLIT(E9, "":""),1,2)),
  VALUE(E9)
)"),62.06)</f>
        <v/>
      </c>
      <c r="G9" s="21">
        <f>average(F5-F8,F6-F9,F7-F10)</f>
        <v/>
      </c>
      <c r="H9" s="21" t="n">
        <v>1.133333333333333</v>
      </c>
      <c r="I9" s="211">
        <f>C2</f>
        <v/>
      </c>
      <c r="J9" s="211">
        <f>C19</f>
        <v/>
      </c>
      <c r="K9" s="60">
        <f t="array" ref="K9">INDEX('Podium Target Times'!$C:$C, MATCH(A9&amp;B9, 'Podium Target Times'!$A:$A&amp;'Podium Target Times'!$B:$B, 0))
</f>
        <v/>
      </c>
      <c r="L9" s="24">
        <f>L11+G11</f>
        <v/>
      </c>
      <c r="M9" s="60">
        <f>IF(L9&lt;60, TEXT(L9,"0.00"), IF(L9&lt;600, TEXT(L9/86400,"m:ss.00"), TEXT(L9/86400,"mm:ss.00")))
</f>
        <v/>
      </c>
      <c r="N9" s="25">
        <f>IFERROR(__xludf.DUMMYFUNCTION("LET(
  gen,$A9, ev,$B9, t,$M9,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)"),632.0)</f>
        <v/>
      </c>
      <c r="O9" s="65" t="n"/>
      <c r="P9" s="69">
        <f>A18</f>
        <v/>
      </c>
      <c r="Q9" s="65">
        <f>B18</f>
        <v/>
      </c>
      <c r="R9" s="69">
        <f>C18</f>
        <v/>
      </c>
      <c r="S9" s="58">
        <f>M18</f>
        <v/>
      </c>
      <c r="T9" s="69">
        <f>N18</f>
        <v/>
      </c>
      <c r="U9" s="65" t="n"/>
      <c r="V9" s="65" t="n"/>
      <c r="W9" s="65" t="n"/>
    </row>
    <row r="10">
      <c r="A10" s="8" t="inlineStr">
        <is>
          <t>F</t>
        </is>
      </c>
      <c r="B10" s="9" t="inlineStr">
        <is>
          <t>100 Back</t>
        </is>
      </c>
      <c r="C10" s="9" t="n">
        <v>16</v>
      </c>
      <c r="D10" s="9" t="n">
        <v>3</v>
      </c>
      <c r="E10" s="41" t="inlineStr">
        <is>
          <t>1:02.52</t>
        </is>
      </c>
      <c r="F10" s="35">
        <f>IFERROR(__xludf.DUMMYFUNCTION("IF(
  REGEXMATCH(E10, "":""),
  60*VALUE(INDEX(SPLIT(E10, "":""),1,1)) + VALUE(INDEX(SPLIT(E10, "":""),1,2)),
  VALUE(E10)
)"),62.52)</f>
        <v/>
      </c>
      <c r="G10" s="35">
        <f>average(F5-F8,F6-F9,F7-F10)</f>
        <v/>
      </c>
      <c r="H10" s="35" t="n">
        <v>1.133333333333333</v>
      </c>
      <c r="I10" s="215">
        <f>C2</f>
        <v/>
      </c>
      <c r="J10" s="215">
        <f>C19</f>
        <v/>
      </c>
      <c r="K10" s="43">
        <f t="array" ref="K10">INDEX('Podium Target Times'!$C:$C, MATCH(A10&amp;B10, 'Podium Target Times'!$A:$A&amp;'Podium Target Times'!$B:$B, 0))
</f>
        <v/>
      </c>
      <c r="L10" s="12">
        <f>L11+G11</f>
        <v/>
      </c>
      <c r="M10" s="43">
        <f>IF(L10&lt;60, TEXT(L10,"0.00"), IF(L10&lt;600, TEXT(L10/86400,"m:ss.00"), TEXT(L10/86400,"mm:ss.00")))
</f>
        <v/>
      </c>
      <c r="N10" s="14">
        <f>IFERROR(__xludf.DUMMYFUNCTION("LET(
  gen,$A10, ev,$B10, t,$M10,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)"),632.0)</f>
        <v/>
      </c>
      <c r="O10" s="65" t="n"/>
      <c r="P10" s="69">
        <f>A19</f>
        <v/>
      </c>
      <c r="Q10" s="65">
        <f>B19</f>
        <v/>
      </c>
      <c r="R10" s="69">
        <f>C19</f>
        <v/>
      </c>
      <c r="S10" s="58">
        <f>M19</f>
        <v/>
      </c>
      <c r="T10" s="69">
        <f>N19</f>
        <v/>
      </c>
      <c r="U10" s="65" t="n"/>
      <c r="V10" s="65" t="n"/>
      <c r="W10" s="65" t="n"/>
    </row>
    <row r="11">
      <c r="A11" s="17" t="inlineStr">
        <is>
          <t>F</t>
        </is>
      </c>
      <c r="B11" s="18" t="inlineStr">
        <is>
          <t>100 Back</t>
        </is>
      </c>
      <c r="C11" s="18" t="n">
        <v>17</v>
      </c>
      <c r="D11" s="18" t="n">
        <v>1</v>
      </c>
      <c r="E11" s="46" t="inlineStr">
        <is>
          <t>1:00.46</t>
        </is>
      </c>
      <c r="F11" s="21">
        <f>IFERROR(__xludf.DUMMYFUNCTION("IF(
  REGEXMATCH(E11, "":""),
  60*VALUE(INDEX(SPLIT(E11, "":""),1,1)) + VALUE(INDEX(SPLIT(E11, "":""),1,2)),
  VALUE(E11)
)"),60.46)</f>
        <v/>
      </c>
      <c r="G11" s="21">
        <f>average(F8-F11,F9-F12,F10-F13)</f>
        <v/>
      </c>
      <c r="H11" s="21" t="n">
        <v>0.7700000000000008</v>
      </c>
      <c r="I11" s="211">
        <f>C2</f>
        <v/>
      </c>
      <c r="J11" s="211">
        <f>C19</f>
        <v/>
      </c>
      <c r="K11" s="60">
        <f t="array" ref="K11">INDEX('Podium Target Times'!$C:$C, MATCH(A11&amp;B11, 'Podium Target Times'!$A:$A&amp;'Podium Target Times'!$B:$B, 0))
</f>
        <v/>
      </c>
      <c r="L11" s="24">
        <f>L14+G14</f>
        <v/>
      </c>
      <c r="M11" s="60">
        <f>IF(L11&lt;60, TEXT(L11,"0.00"), IF(L11&lt;600, TEXT(L11/86400,"m:ss.00"), TEXT(L11/86400,"mm:ss.00")))
</f>
        <v/>
      </c>
      <c r="N11" s="25">
        <f>IFERROR(__xludf.DUMMYFUNCTION("LET(
  gen,$A11, ev,$B11, t,$M11,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
      </c>
      <c r="O11" s="65" t="n"/>
      <c r="P11" s="69">
        <f>P10</f>
        <v/>
      </c>
      <c r="Q11" s="65">
        <f>Q10</f>
        <v/>
      </c>
      <c r="R11" s="69">
        <f>R10+1</f>
        <v/>
      </c>
      <c r="S11" s="58">
        <f>M20</f>
        <v/>
      </c>
      <c r="T11" s="69">
        <f>N20</f>
        <v/>
      </c>
      <c r="U11" s="65" t="n"/>
      <c r="V11" s="65" t="n"/>
      <c r="W11" s="65" t="n"/>
    </row>
    <row r="12">
      <c r="A12" s="8" t="inlineStr">
        <is>
          <t>F</t>
        </is>
      </c>
      <c r="B12" s="9" t="inlineStr">
        <is>
          <t>100 Back</t>
        </is>
      </c>
      <c r="C12" s="9" t="n">
        <v>17</v>
      </c>
      <c r="D12" s="9" t="n">
        <v>2</v>
      </c>
      <c r="E12" s="41" t="inlineStr">
        <is>
          <t>1:01.29</t>
        </is>
      </c>
      <c r="F12" s="35">
        <f>IFERROR(__xludf.DUMMYFUNCTION("IF(
  REGEXMATCH(E12, "":""),
  60*VALUE(INDEX(SPLIT(E12, "":""),1,1)) + VALUE(INDEX(SPLIT(E12, "":""),1,2)),
  VALUE(E12)
)"),61.29)</f>
        <v/>
      </c>
      <c r="G12" s="35">
        <f>average(F8-F11,F9-F12,F10-F13)</f>
        <v/>
      </c>
      <c r="H12" s="35" t="n">
        <v>0.7700000000000008</v>
      </c>
      <c r="I12" s="215">
        <f>C2</f>
        <v/>
      </c>
      <c r="J12" s="215">
        <f>C19</f>
        <v/>
      </c>
      <c r="K12" s="43">
        <f t="array" ref="K12">INDEX('Podium Target Times'!$C:$C, MATCH(A12&amp;B12, 'Podium Target Times'!$A:$A&amp;'Podium Target Times'!$B:$B, 0))
</f>
        <v/>
      </c>
      <c r="L12" s="12">
        <f>L14+G14</f>
        <v/>
      </c>
      <c r="M12" s="43">
        <f>IF(L12&lt;60, TEXT(L12,"0.00"), IF(L12&lt;600, TEXT(L12/86400,"m:ss.00"), TEXT(L12/86400,"mm:ss.00")))
</f>
        <v/>
      </c>
      <c r="N12" s="14">
        <f>IFERROR(__xludf.DUMMYFUNCTION("LET(
  gen,$A12, ev,$B12, t,$M12,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
      </c>
      <c r="O12" s="65" t="n"/>
      <c r="P12" s="69">
        <f>P11</f>
        <v/>
      </c>
      <c r="Q12" s="65">
        <f>Q11</f>
        <v/>
      </c>
      <c r="R12" s="69">
        <f>R11+1</f>
        <v/>
      </c>
      <c r="S12" s="58">
        <f>M21</f>
        <v/>
      </c>
      <c r="T12" s="69">
        <f>N21</f>
        <v/>
      </c>
      <c r="U12" s="65" t="n"/>
      <c r="V12" s="65" t="n"/>
      <c r="W12" s="65" t="n"/>
    </row>
    <row r="13">
      <c r="A13" s="17" t="inlineStr">
        <is>
          <t>F</t>
        </is>
      </c>
      <c r="B13" s="18" t="inlineStr">
        <is>
          <t>100 Back</t>
        </is>
      </c>
      <c r="C13" s="18" t="n">
        <v>17</v>
      </c>
      <c r="D13" s="18" t="n">
        <v>3</v>
      </c>
      <c r="E13" s="46" t="inlineStr">
        <is>
          <t>1:01.74</t>
        </is>
      </c>
      <c r="F13" s="21">
        <f>IFERROR(__xludf.DUMMYFUNCTION("IF(
  REGEXMATCH(E13, "":""),
  60*VALUE(INDEX(SPLIT(E13, "":""),1,1)) + VALUE(INDEX(SPLIT(E13, "":""),1,2)),
  VALUE(E13)
)"),61.74)</f>
        <v/>
      </c>
      <c r="G13" s="21">
        <f>average(F8-F11,F9-F12,F10-F13)</f>
        <v/>
      </c>
      <c r="H13" s="21" t="n">
        <v>0.7700000000000008</v>
      </c>
      <c r="I13" s="211">
        <f>C2</f>
        <v/>
      </c>
      <c r="J13" s="211">
        <f>C19</f>
        <v/>
      </c>
      <c r="K13" s="60">
        <f t="array" ref="K13">INDEX('Podium Target Times'!$C:$C, MATCH(A13&amp;B13, 'Podium Target Times'!$A:$A&amp;'Podium Target Times'!$B:$B, 0))
</f>
        <v/>
      </c>
      <c r="L13" s="24">
        <f>L14+G14</f>
        <v/>
      </c>
      <c r="M13" s="60">
        <f>IF(L13&lt;60, TEXT(L13,"0.00"), IF(L13&lt;600, TEXT(L13/86400,"m:ss.00"), TEXT(L13/86400,"mm:ss.00")))
</f>
        <v/>
      </c>
      <c r="N13" s="25">
        <f>IFERROR(__xludf.DUMMYFUNCTION("LET(
  gen,$A13, ev,$B13, t,$M13,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
      </c>
      <c r="O13" s="65" t="n"/>
      <c r="P13" s="69">
        <f>P12</f>
        <v/>
      </c>
      <c r="Q13" s="65">
        <f>Q12</f>
        <v/>
      </c>
      <c r="R13" s="69">
        <f>R12+1</f>
        <v/>
      </c>
      <c r="S13" s="58">
        <f>M22</f>
        <v/>
      </c>
      <c r="T13" s="69">
        <f>N22</f>
        <v/>
      </c>
      <c r="U13" s="65" t="n"/>
      <c r="V13" s="65" t="n"/>
      <c r="W13" s="65" t="n"/>
    </row>
    <row r="14">
      <c r="A14" s="8" t="inlineStr">
        <is>
          <t>F</t>
        </is>
      </c>
      <c r="B14" s="9" t="inlineStr">
        <is>
          <t>100 Back</t>
        </is>
      </c>
      <c r="C14" s="9" t="n">
        <v>18</v>
      </c>
      <c r="D14" s="219" t="n">
        <v>2</v>
      </c>
      <c r="E14" s="41" t="inlineStr">
        <is>
          <t>1:00.79</t>
        </is>
      </c>
      <c r="F14" s="35">
        <f>IFERROR(__xludf.DUMMYFUNCTION("IF(
  REGEXMATCH(E14, "":""),
  60*VALUE(INDEX(SPLIT(E14, "":""),1,1)) + VALUE(INDEX(SPLIT(E14, "":""),1,2)),
  VALUE(E14)
)"),60.79)</f>
        <v/>
      </c>
      <c r="G14" s="35">
        <f>average(F12-F14,F13-F15)</f>
        <v/>
      </c>
      <c r="H14" s="35" t="n">
        <v>0.5050000000000026</v>
      </c>
      <c r="I14" s="215">
        <f>C2</f>
        <v/>
      </c>
      <c r="J14" s="215">
        <f>C19</f>
        <v/>
      </c>
      <c r="K14" s="43">
        <f t="array" ref="K14">INDEX('Podium Target Times'!$C:$C, MATCH(A14&amp;B14, 'Podium Target Times'!$A:$A&amp;'Podium Target Times'!$B:$B, 0))
</f>
        <v/>
      </c>
      <c r="L14" s="12">
        <f>L16+G16</f>
        <v/>
      </c>
      <c r="M14" s="43">
        <f>IF(L14&lt;60, TEXT(L14,"0.00"), IF(L14&lt;600, TEXT(L14/86400,"m:ss.00"), TEXT(L14/86400,"mm:ss.00")))
</f>
        <v/>
      </c>
      <c r="N14" s="14">
        <f>IFERROR(__xludf.DUMMYFUNCTION("LET(
  gen,$A14, ev,$B14, t,$M14,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)"),670.0)</f>
        <v/>
      </c>
      <c r="O14" s="65" t="n"/>
      <c r="P14" s="69">
        <f>P13</f>
        <v/>
      </c>
      <c r="Q14" s="65">
        <f>Q13</f>
        <v/>
      </c>
      <c r="R14" s="69">
        <f>R13+1</f>
        <v/>
      </c>
      <c r="S14" s="58">
        <f>M23</f>
        <v/>
      </c>
      <c r="T14" s="69">
        <f>N23</f>
        <v/>
      </c>
      <c r="U14" s="65" t="n"/>
      <c r="V14" s="65" t="n"/>
      <c r="W14" s="65" t="n"/>
    </row>
    <row r="15">
      <c r="A15" s="17" t="inlineStr">
        <is>
          <t>F</t>
        </is>
      </c>
      <c r="B15" s="18" t="inlineStr">
        <is>
          <t>100 Back</t>
        </is>
      </c>
      <c r="C15" s="18" t="n">
        <v>18</v>
      </c>
      <c r="D15" s="18" t="n">
        <v>3</v>
      </c>
      <c r="E15" s="46" t="inlineStr">
        <is>
          <t>1:01.23</t>
        </is>
      </c>
      <c r="F15" s="21">
        <f>IFERROR(__xludf.DUMMYFUNCTION("IF(
  REGEXMATCH(E15, "":""),
  60*VALUE(INDEX(SPLIT(E15, "":""),1,1)) + VALUE(INDEX(SPLIT(E15, "":""),1,2)),
  VALUE(E15)
)"),61.23)</f>
        <v/>
      </c>
      <c r="G15" s="21">
        <f>average(F12-F14,F13-F15)</f>
        <v/>
      </c>
      <c r="H15" s="21" t="n">
        <v>0.5050000000000026</v>
      </c>
      <c r="I15" s="211">
        <f>C2</f>
        <v/>
      </c>
      <c r="J15" s="211">
        <f>C19</f>
        <v/>
      </c>
      <c r="K15" s="60">
        <f t="array" ref="K15">INDEX('Podium Target Times'!$C:$C, MATCH(A15&amp;B15, 'Podium Target Times'!$A:$A&amp;'Podium Target Times'!$B:$B, 0))
</f>
        <v/>
      </c>
      <c r="L15" s="24">
        <f>L16+G16</f>
        <v/>
      </c>
      <c r="M15" s="60">
        <f>IF(L15&lt;60, TEXT(L15,"0.00"), IF(L15&lt;600, TEXT(L15/86400,"m:ss.00"), TEXT(L15/86400,"mm:ss.00")))
</f>
        <v/>
      </c>
      <c r="N15" s="25">
        <f>IFERROR(__xludf.DUMMYFUNCTION("LET(
  gen,$A15, ev,$B15, t,$M15,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)"),670.0)</f>
        <v/>
      </c>
      <c r="O15" s="65" t="n"/>
      <c r="P15" s="69" t="n"/>
      <c r="Q15" s="65" t="n"/>
      <c r="R15" s="69" t="n"/>
      <c r="S15" s="58" t="n"/>
      <c r="T15" s="69" t="n"/>
      <c r="U15" s="65" t="n"/>
      <c r="V15" s="65" t="n"/>
      <c r="W15" s="65" t="n"/>
    </row>
    <row r="16">
      <c r="A16" s="8" t="inlineStr">
        <is>
          <t>F</t>
        </is>
      </c>
      <c r="B16" s="9" t="inlineStr">
        <is>
          <t>100 Back</t>
        </is>
      </c>
      <c r="C16" s="9" t="n">
        <v>19</v>
      </c>
      <c r="D16" s="9" t="n">
        <v>2</v>
      </c>
      <c r="E16" s="215" t="inlineStr">
        <is>
          <t>1:00.46</t>
        </is>
      </c>
      <c r="F16" s="35">
        <f>IFERROR(__xludf.DUMMYFUNCTION("IF(
  REGEXMATCH(E16, "":""),
  60*VALUE(INDEX(SPLIT(E16, "":""),1,1)) + VALUE(INDEX(SPLIT(E16, "":""),1,2)),
  VALUE(E16)
)"),60.46)</f>
        <v/>
      </c>
      <c r="G16" s="35">
        <f>average(F14-F16,F15-F17)</f>
        <v/>
      </c>
      <c r="H16" s="35" t="n">
        <v>0.3299999999999983</v>
      </c>
      <c r="I16" s="215">
        <f>C2</f>
        <v/>
      </c>
      <c r="J16" s="215">
        <f>C19</f>
        <v/>
      </c>
      <c r="K16" s="43">
        <f t="array" ref="K16">INDEX('Podium Target Times'!$C:$C, MATCH(A16&amp;B16, 'Podium Target Times'!$A:$A&amp;'Podium Target Times'!$B:$B, 0))
</f>
        <v/>
      </c>
      <c r="L16" s="12">
        <f>L18+G18</f>
        <v/>
      </c>
      <c r="M16" s="43">
        <f>IF(L16&lt;60, TEXT(L16,"0.00"), IF(L16&lt;600, TEXT(L16/86400,"m:ss.00"), TEXT(L16/86400,"mm:ss.00")))
</f>
        <v/>
      </c>
      <c r="N16" s="14">
        <f>IFERROR(__xludf.DUMMYFUNCTION("LET(
  gen,$A16, ev,$B16, t,$M16,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)"),680.0)</f>
        <v/>
      </c>
      <c r="O16" s="65" t="n"/>
      <c r="P16" s="69" t="n"/>
      <c r="Q16" s="65" t="n"/>
      <c r="R16" s="69" t="n"/>
      <c r="S16" s="58" t="n"/>
      <c r="T16" s="69" t="n"/>
      <c r="U16" s="65" t="n"/>
      <c r="V16" s="65" t="n"/>
      <c r="W16" s="65" t="n"/>
    </row>
    <row r="17">
      <c r="A17" s="17" t="inlineStr">
        <is>
          <t>F</t>
        </is>
      </c>
      <c r="B17" s="18" t="inlineStr">
        <is>
          <t>100 Back</t>
        </is>
      </c>
      <c r="C17" s="18" t="n">
        <v>19</v>
      </c>
      <c r="D17" s="18" t="n">
        <v>3</v>
      </c>
      <c r="E17" s="211" t="inlineStr">
        <is>
          <t>1:00.90</t>
        </is>
      </c>
      <c r="F17" s="21">
        <f>IFERROR(__xludf.DUMMYFUNCTION("IF(
  REGEXMATCH(E17, "":""),
  60*VALUE(INDEX(SPLIT(E17, "":""),1,1)) + VALUE(INDEX(SPLIT(E17, "":""),1,2)),
  VALUE(E17)
)"),60.9)</f>
        <v/>
      </c>
      <c r="G17" s="21">
        <f>average(F14-F16,F15-F17)</f>
        <v/>
      </c>
      <c r="H17" s="21" t="n">
        <v>0.3299999999999983</v>
      </c>
      <c r="I17" s="211">
        <f>C2</f>
        <v/>
      </c>
      <c r="J17" s="211">
        <f>C19</f>
        <v/>
      </c>
      <c r="K17" s="60">
        <f t="array" ref="K17">INDEX('Podium Target Times'!$C:$C, MATCH(A17&amp;B17, 'Podium Target Times'!$A:$A&amp;'Podium Target Times'!$B:$B, 0))
</f>
        <v/>
      </c>
      <c r="L17" s="24">
        <f>L18+G18</f>
        <v/>
      </c>
      <c r="M17" s="60">
        <f>IF(L17&lt;60, TEXT(L17,"0.00"), IF(L17&lt;600, TEXT(L17/86400,"m:ss.00"), TEXT(L17/86400,"mm:ss.00")))
</f>
        <v/>
      </c>
      <c r="N17" s="25">
        <f>IFERROR(__xludf.DUMMYFUNCTION("LET(
  gen,$A17, ev,$B17, t,$M17,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)"),680.0)</f>
        <v/>
      </c>
      <c r="O17" s="65" t="n"/>
      <c r="P17" s="69" t="n"/>
      <c r="Q17" s="65" t="n"/>
      <c r="R17" s="69" t="n"/>
      <c r="S17" s="58" t="n"/>
      <c r="T17" s="69" t="n"/>
      <c r="U17" s="65" t="n"/>
      <c r="V17" s="65" t="n"/>
      <c r="W17" s="65" t="n"/>
    </row>
    <row r="18">
      <c r="A18" s="8" t="inlineStr">
        <is>
          <t>F</t>
        </is>
      </c>
      <c r="B18" s="9" t="inlineStr">
        <is>
          <t>100 Back</t>
        </is>
      </c>
      <c r="C18" s="9" t="n">
        <v>20</v>
      </c>
      <c r="D18" s="9" t="n">
        <v>3</v>
      </c>
      <c r="E18" s="41" t="inlineStr">
        <is>
          <t>1:00.66</t>
        </is>
      </c>
      <c r="F18" s="35">
        <f>IFERROR(__xludf.DUMMYFUNCTION("IF(
  REGEXMATCH(E18, "":""),
  60*VALUE(INDEX(SPLIT(E18, "":""),1,1)) + VALUE(INDEX(SPLIT(E18, "":""),1,2)),
  VALUE(E18)
)"),60.66)</f>
        <v/>
      </c>
      <c r="G18" s="35">
        <f>F17-F18</f>
        <v/>
      </c>
      <c r="H18" s="35" t="n">
        <v>0.240000000000002</v>
      </c>
      <c r="I18" s="215">
        <f>C2</f>
        <v/>
      </c>
      <c r="J18" s="215">
        <f>C19</f>
        <v/>
      </c>
      <c r="K18" s="43">
        <f t="array" ref="K18">INDEX('Podium Target Times'!$C:$C, MATCH(A18&amp;B18, 'Podium Target Times'!$A:$A&amp;'Podium Target Times'!$B:$B, 0))
</f>
        <v/>
      </c>
      <c r="L18" s="12">
        <f>L19+G19</f>
        <v/>
      </c>
      <c r="M18" s="43">
        <f>IF(L18&lt;60, TEXT(L18,"0.00"), IF(L18&lt;600, TEXT(L18/86400,"m:ss.00"), TEXT(L18/86400,"mm:ss.00")))
</f>
        <v/>
      </c>
      <c r="N18" s="14">
        <f>IFERROR(__xludf.DUMMYFUNCTION("LET(
  gen,$A18, ev,$B18, t,$M18,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
      </c>
      <c r="O18" s="65" t="n"/>
      <c r="P18" s="69" t="n"/>
      <c r="Q18" s="65" t="n"/>
      <c r="R18" s="69" t="n"/>
      <c r="S18" s="58" t="n"/>
      <c r="T18" s="69" t="n"/>
      <c r="U18" s="65" t="n"/>
      <c r="V18" s="65" t="n"/>
      <c r="W18" s="65" t="n"/>
    </row>
    <row r="19">
      <c r="A19" s="17" t="inlineStr">
        <is>
          <t>F</t>
        </is>
      </c>
      <c r="B19" s="18" t="inlineStr">
        <is>
          <t>100 Back</t>
        </is>
      </c>
      <c r="C19" s="18" t="n">
        <v>21</v>
      </c>
      <c r="D19" s="18" t="n">
        <v>3</v>
      </c>
      <c r="E19" s="46" t="inlineStr">
        <is>
          <t>1:00.46</t>
        </is>
      </c>
      <c r="F19" s="21">
        <f>IFERROR(__xludf.DUMMYFUNCTION("IF(
  REGEXMATCH(E19, "":""),
  60*VALUE(INDEX(SPLIT(E19, "":""),1,1)) + VALUE(INDEX(SPLIT(E19, "":""),1,2)),
  VALUE(E19)
)"),60.46)</f>
        <v/>
      </c>
      <c r="G19" s="21">
        <f>F18-F19</f>
        <v/>
      </c>
      <c r="H19" s="21" t="n">
        <v>0.1999999999999957</v>
      </c>
      <c r="I19" s="211">
        <f>C2</f>
        <v/>
      </c>
      <c r="J19" s="211">
        <f>C19</f>
        <v/>
      </c>
      <c r="K19" s="60">
        <f t="array" ref="K19">INDEX('Podium Target Times'!$C:$C, MATCH(A19&amp;B19, 'Podium Target Times'!$A:$A&amp;'Podium Target Times'!$B:$B, 0))
</f>
        <v/>
      </c>
      <c r="L19" s="21">
        <f>G19+L20</f>
        <v/>
      </c>
      <c r="M19" s="60">
        <f>IF(L19&lt;60, TEXT(L19,"0.00"), IF(L19&lt;600, TEXT(L19/86400,"m:ss.00"), TEXT(L19/86400,"mm:ss.00")))
</f>
        <v/>
      </c>
      <c r="N19" s="25">
        <f>IFERROR(__xludf.DUMMYFUNCTION("LET(
  gen,$A19, ev,$B19, t,$M19,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)"),694.0)</f>
        <v/>
      </c>
      <c r="O19" s="65" t="n"/>
      <c r="P19" s="69" t="n"/>
      <c r="Q19" s="65" t="n"/>
      <c r="R19" s="69" t="n"/>
      <c r="S19" s="58" t="n"/>
      <c r="T19" s="69" t="n"/>
      <c r="U19" s="65" t="n"/>
      <c r="V19" s="65" t="n"/>
      <c r="W19" s="65" t="n"/>
    </row>
    <row r="20">
      <c r="A20" s="8" t="inlineStr">
        <is>
          <t>F</t>
        </is>
      </c>
      <c r="B20" s="9" t="inlineStr">
        <is>
          <t>100 Back</t>
        </is>
      </c>
      <c r="C20" s="9" t="n">
        <v>22</v>
      </c>
      <c r="D20" s="9" t="n"/>
      <c r="E20" s="41" t="n"/>
      <c r="F20" s="35">
        <f>IFERROR(__xludf.DUMMYFUNCTION("IF(
  REGEXMATCH(E20, "":""),
  60*VALUE(INDEX(SPLIT(E20, "":""),1,1)) + VALUE(INDEX(SPLIT(E20, "":""),1,2)),
  VALUE(E20)
)"),0.0)</f>
        <v/>
      </c>
      <c r="G20" s="12" t="n"/>
      <c r="H20" s="12" t="n"/>
      <c r="I20" s="43">
        <f>C2</f>
        <v/>
      </c>
      <c r="J20" s="43">
        <f>C19</f>
        <v/>
      </c>
      <c r="K20" s="43">
        <f t="array" ref="K20">INDEX('Podium Target Times'!$C:$C, MATCH(A20&amp;B20, 'Podium Target Times'!$A:$A&amp;'Podium Target Times'!$B:$B, 0))
</f>
        <v/>
      </c>
      <c r="L20" s="12">
        <f>G19+L21</f>
        <v/>
      </c>
      <c r="M20" s="43">
        <f>IF(L20&lt;60, TEXT(L20,"0.00"), IF(L20&lt;600, TEXT(L20/86400,"m:ss.00"), TEXT(L20/86400,"mm:ss.00")))
</f>
        <v/>
      </c>
      <c r="N20" s="14">
        <f>IFERROR(__xludf.DUMMYFUNCTION("LET(
  gen,$A20, ev,$B20, t,$M20,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)"),701.0)</f>
        <v/>
      </c>
      <c r="O20" s="65" t="n"/>
      <c r="P20" s="69" t="n"/>
      <c r="Q20" s="65" t="n"/>
      <c r="R20" s="69" t="n"/>
      <c r="S20" s="58" t="n"/>
      <c r="T20" s="69" t="n"/>
      <c r="U20" s="65" t="n"/>
      <c r="V20" s="65" t="n"/>
      <c r="W20" s="65" t="n"/>
    </row>
    <row r="21">
      <c r="A21" s="17" t="inlineStr">
        <is>
          <t>F</t>
        </is>
      </c>
      <c r="B21" s="18" t="inlineStr">
        <is>
          <t>100 Back</t>
        </is>
      </c>
      <c r="C21" s="18" t="n">
        <v>23</v>
      </c>
      <c r="D21" s="18" t="n"/>
      <c r="E21" s="46" t="n"/>
      <c r="F21" s="21">
        <f>IFERROR(__xludf.DUMMYFUNCTION("IF(
  REGEXMATCH(E21, "":""),
  60*VALUE(INDEX(SPLIT(E21, "":""),1,1)) + VALUE(INDEX(SPLIT(E21, "":""),1,2)),
  VALUE(E21)
)"),0.0)</f>
        <v/>
      </c>
      <c r="G21" s="24" t="n"/>
      <c r="H21" s="24" t="n"/>
      <c r="I21" s="60">
        <f>C2</f>
        <v/>
      </c>
      <c r="J21" s="60">
        <f>C19</f>
        <v/>
      </c>
      <c r="K21" s="60">
        <f t="array" ref="K21">INDEX('Podium Target Times'!$C:$C, MATCH(A21&amp;B21, 'Podium Target Times'!$A:$A&amp;'Podium Target Times'!$B:$B, 0))
</f>
        <v/>
      </c>
      <c r="L21" s="24">
        <f>L22+G19</f>
        <v/>
      </c>
      <c r="M21" s="60">
        <f>IF(L21&lt;60, TEXT(L21,"0.00"), IF(L21&lt;600, TEXT(L21/86400,"m:ss.00"), TEXT(L21/86400,"mm:ss.00")))
</f>
        <v/>
      </c>
      <c r="N21" s="25">
        <f>IFERROR(__xludf.DUMMYFUNCTION("LET(
  gen,$A21, ev,$B21, t,$M21,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)"),707.0)</f>
        <v/>
      </c>
      <c r="O21" s="65" t="n"/>
      <c r="P21" s="69" t="n"/>
      <c r="Q21" s="65" t="n"/>
      <c r="R21" s="69" t="n"/>
      <c r="S21" s="58" t="n"/>
      <c r="T21" s="69" t="n"/>
      <c r="U21" s="65" t="n"/>
      <c r="V21" s="65" t="n"/>
      <c r="W21" s="65" t="n"/>
    </row>
    <row r="22">
      <c r="A22" s="8" t="inlineStr">
        <is>
          <t>F</t>
        </is>
      </c>
      <c r="B22" s="9" t="inlineStr">
        <is>
          <t>100 Back</t>
        </is>
      </c>
      <c r="C22" s="9" t="n">
        <v>24</v>
      </c>
      <c r="D22" s="9" t="n"/>
      <c r="E22" s="41" t="n"/>
      <c r="F22" s="35">
        <f>IFERROR(__xludf.DUMMYFUNCTION("IF(
  REGEXMATCH(E22, "":""),
  60*VALUE(INDEX(SPLIT(E22, "":""),1,1)) + VALUE(INDEX(SPLIT(E22, "":""),1,2)),
  VALUE(E22)
)"),0.0)</f>
        <v/>
      </c>
      <c r="G22" s="12" t="n"/>
      <c r="H22" s="12" t="n"/>
      <c r="I22" s="43">
        <f>C2</f>
        <v/>
      </c>
      <c r="J22" s="43">
        <f>C19</f>
        <v/>
      </c>
      <c r="K22" s="43">
        <f t="array" ref="K22">INDEX('Podium Target Times'!$C:$C, MATCH(A22&amp;B22, 'Podium Target Times'!$A:$A&amp;'Podium Target Times'!$B:$B, 0))
</f>
        <v/>
      </c>
      <c r="L22" s="12">
        <f>L23+G19</f>
        <v/>
      </c>
      <c r="M22" s="43">
        <f>IF(L22&lt;60, TEXT(L22,"0.00"), IF(L22&lt;600, TEXT(L22/86400,"m:ss.00"), TEXT(L22/86400,"mm:ss.00")))
</f>
        <v/>
      </c>
      <c r="N22" s="14">
        <f>IFERROR(__xludf.DUMMYFUNCTION("LET(
  gen,$A22, ev,$B22, t,$M22,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
      </c>
      <c r="O22" s="65" t="n"/>
      <c r="P22" s="69" t="n"/>
      <c r="Q22" s="65" t="n"/>
      <c r="R22" s="69" t="n"/>
      <c r="S22" s="58" t="n"/>
      <c r="T22" s="69" t="n"/>
      <c r="U22" s="65" t="n"/>
      <c r="V22" s="65" t="n"/>
      <c r="W22" s="65" t="n"/>
    </row>
    <row r="23">
      <c r="A23" s="17" t="inlineStr">
        <is>
          <t>F</t>
        </is>
      </c>
      <c r="B23" s="18" t="inlineStr">
        <is>
          <t>100 Back</t>
        </is>
      </c>
      <c r="C23" s="18" t="n">
        <v>25</v>
      </c>
      <c r="D23" s="18" t="n"/>
      <c r="E23" s="46" t="n"/>
      <c r="F23" s="21">
        <f>IFERROR(__xludf.DUMMYFUNCTION("IF(
  REGEXMATCH(E23, "":""),
  60*VALUE(INDEX(SPLIT(E23, "":""),1,1)) + VALUE(INDEX(SPLIT(E23, "":""),1,2)),
  VALUE(E23)
)"),0.0)</f>
        <v/>
      </c>
      <c r="G23" s="24" t="n"/>
      <c r="H23" s="24" t="n"/>
      <c r="I23" s="60">
        <f>C2</f>
        <v/>
      </c>
      <c r="J23" s="60">
        <f>C19</f>
        <v/>
      </c>
      <c r="K23" s="60">
        <f t="array" ref="K23">INDEX('Podium Target Times'!$C:$C, MATCH(A23&amp;B23, 'Podium Target Times'!$A:$A&amp;'Podium Target Times'!$B:$B, 0))
</f>
        <v/>
      </c>
      <c r="L23" s="211">
        <f>K23</f>
        <v/>
      </c>
      <c r="M23" s="60">
        <f>IF(L23&lt;60, TEXT(L23,"0.00"), IF(L23&lt;600, TEXT(L23/86400,"m:ss.00"), TEXT(L23/86400,"mm:ss.00")))
</f>
        <v/>
      </c>
      <c r="N23" s="25">
        <f>IFERROR(__xludf.DUMMYFUNCTION("LET(
  gen,$A23, ev,$B23, t,$M23,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)"),721.0)</f>
        <v/>
      </c>
      <c r="O23" s="65" t="n"/>
      <c r="P23" s="69" t="n"/>
      <c r="Q23" s="65" t="n"/>
      <c r="R23" s="69" t="n"/>
      <c r="S23" s="58" t="n"/>
      <c r="T23" s="69" t="n"/>
      <c r="U23" s="65" t="n"/>
      <c r="V23" s="65" t="n"/>
      <c r="W23" s="65" t="n"/>
    </row>
    <row r="24">
      <c r="A24" s="8" t="inlineStr">
        <is>
          <t>F</t>
        </is>
      </c>
      <c r="B24" s="9" t="inlineStr">
        <is>
          <t>100 Breast</t>
        </is>
      </c>
      <c r="C24" s="9" t="n">
        <v>15</v>
      </c>
      <c r="D24" s="9" t="n">
        <v>1</v>
      </c>
      <c r="E24" s="41" t="inlineStr">
        <is>
          <t>1:09.68</t>
        </is>
      </c>
      <c r="F24" s="35">
        <f>IFERROR(__xludf.DUMMYFUNCTION("IF(
  REGEXMATCH(E24, "":""),
  60*VALUE(INDEX(SPLIT(E24, "":""),1,1)) + VALUE(INDEX(SPLIT(E24, "":""),1,2)),
  VALUE(E24)
)"),69.68)</f>
        <v/>
      </c>
      <c r="G24" s="12" t="n">
        <v>0</v>
      </c>
      <c r="H24" s="12" t="n">
        <v>0</v>
      </c>
      <c r="I24" s="43">
        <f>C24</f>
        <v/>
      </c>
      <c r="J24" s="43">
        <f>C41</f>
        <v/>
      </c>
      <c r="K24" s="43">
        <f t="array" ref="K24">INDEX('Podium Target Times'!$C:$C, MATCH(A24&amp;B24, 'Podium Target Times'!$A:$A&amp;'Podium Target Times'!$B:$B, 0))
</f>
        <v/>
      </c>
      <c r="L24" s="12">
        <f>L25+G25</f>
        <v/>
      </c>
      <c r="M24" s="43">
        <f>IF(L24&lt;60, TEXT(L24,"0.00"), IF(L24&lt;600, TEXT(L24/86400,"m:ss.00"), TEXT(L24/86400,"mm:ss.00")))
</f>
        <v/>
      </c>
      <c r="N24" s="14">
        <f>IFERROR(__xludf.DUMMYFUNCTION("LET(
  gen,$A24, ev,$B24, t,$M24,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)"),614.0)</f>
        <v/>
      </c>
      <c r="O24" s="65" t="n"/>
      <c r="P24" s="69">
        <f>A24</f>
        <v/>
      </c>
      <c r="Q24" s="65">
        <f>B24</f>
        <v/>
      </c>
      <c r="R24" s="69">
        <f>C24</f>
        <v/>
      </c>
      <c r="S24" s="58">
        <f>M24</f>
        <v/>
      </c>
      <c r="T24" s="69">
        <f>N24</f>
        <v/>
      </c>
      <c r="U24" s="65" t="n"/>
      <c r="V24" s="65" t="n"/>
      <c r="W24" s="65" t="n"/>
    </row>
    <row r="25">
      <c r="A25" s="17" t="inlineStr">
        <is>
          <t>F</t>
        </is>
      </c>
      <c r="B25" s="18" t="inlineStr">
        <is>
          <t>100 Breast</t>
        </is>
      </c>
      <c r="C25" s="18" t="n">
        <v>16</v>
      </c>
      <c r="D25" s="18" t="n">
        <v>1</v>
      </c>
      <c r="E25" s="46" t="inlineStr">
        <is>
          <t>1:08.45</t>
        </is>
      </c>
      <c r="F25" s="21">
        <f>IFERROR(__xludf.DUMMYFUNCTION("IF(
  REGEXMATCH(E25, "":""),
  60*VALUE(INDEX(SPLIT(E25, "":""),1,1)) + VALUE(INDEX(SPLIT(E25, "":""),1,2)),
  VALUE(E25)
)"),68.45)</f>
        <v/>
      </c>
      <c r="G25" s="21">
        <f>F24-F25</f>
        <v/>
      </c>
      <c r="H25" s="21" t="n">
        <v>1.230000000000004</v>
      </c>
      <c r="I25" s="211">
        <f>C24</f>
        <v/>
      </c>
      <c r="J25" s="211">
        <f>C41</f>
        <v/>
      </c>
      <c r="K25" s="60">
        <f t="array" ref="K25">INDEX('Podium Target Times'!$C:$C, MATCH(A25&amp;B25, 'Podium Target Times'!$A:$A&amp;'Podium Target Times'!$B:$B, 0))
</f>
        <v/>
      </c>
      <c r="L25" s="24">
        <f>L27+G27</f>
        <v/>
      </c>
      <c r="M25" s="60">
        <f>IF(L25&lt;60, TEXT(L25,"0.00"), IF(L25&lt;600, TEXT(L25/86400,"m:ss.00"), TEXT(L25/86400,"mm:ss.00")))
</f>
        <v/>
      </c>
      <c r="N25" s="25">
        <f>IFERROR(__xludf.DUMMYFUNCTION("LET(
  gen,$A25, ev,$B25, t,$M25,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)"),645.0)</f>
        <v/>
      </c>
      <c r="O25" s="65" t="n"/>
      <c r="P25" s="69">
        <f>A25</f>
        <v/>
      </c>
      <c r="Q25" s="65">
        <f>B25</f>
        <v/>
      </c>
      <c r="R25" s="69">
        <f>C25</f>
        <v/>
      </c>
      <c r="S25" s="58">
        <f>M25</f>
        <v/>
      </c>
      <c r="T25" s="69">
        <f>N25</f>
        <v/>
      </c>
      <c r="U25" s="65" t="n"/>
      <c r="V25" s="65" t="n"/>
      <c r="W25" s="65" t="n"/>
    </row>
    <row r="26">
      <c r="A26" s="8" t="inlineStr">
        <is>
          <t>F</t>
        </is>
      </c>
      <c r="B26" s="9" t="inlineStr">
        <is>
          <t>100 Breast</t>
        </is>
      </c>
      <c r="C26" s="9" t="n">
        <v>16</v>
      </c>
      <c r="D26" s="219" t="n">
        <v>2</v>
      </c>
      <c r="E26" s="41" t="inlineStr">
        <is>
          <t>1:09.15</t>
        </is>
      </c>
      <c r="F26" s="35">
        <f>IFERROR(__xludf.DUMMYFUNCTION("IF(
  REGEXMATCH(E26, "":""),
  60*VALUE(INDEX(SPLIT(E26, "":""),1,1)) + VALUE(INDEX(SPLIT(E26, "":""),1,2)),
  VALUE(E26)
)"),69.15)</f>
        <v/>
      </c>
      <c r="G26" s="35">
        <f>F24-F25</f>
        <v/>
      </c>
      <c r="H26" s="35" t="n">
        <v>1.230000000000004</v>
      </c>
      <c r="I26" s="215">
        <f>C24</f>
        <v/>
      </c>
      <c r="J26" s="215">
        <f>C41</f>
        <v/>
      </c>
      <c r="K26" s="43">
        <f t="array" ref="K26">INDEX('Podium Target Times'!$C:$C, MATCH(A26&amp;B26, 'Podium Target Times'!$A:$A&amp;'Podium Target Times'!$B:$B, 0))
</f>
        <v/>
      </c>
      <c r="L26" s="12">
        <f>L27+G27</f>
        <v/>
      </c>
      <c r="M26" s="43">
        <f>IF(L26&lt;60, TEXT(L26,"0.00"), IF(L26&lt;600, TEXT(L26/86400,"m:ss.00"), TEXT(L26/86400,"mm:ss.00")))
</f>
        <v/>
      </c>
      <c r="N26" s="14">
        <f>IFERROR(__xludf.DUMMYFUNCTION("LET(
  gen,$A26, ev,$B26, t,$M26,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)"),645.0)</f>
        <v/>
      </c>
      <c r="O26" s="65" t="n"/>
      <c r="P26" s="69">
        <f>A27</f>
        <v/>
      </c>
      <c r="Q26" s="65">
        <f>B27</f>
        <v/>
      </c>
      <c r="R26" s="69">
        <f>C27</f>
        <v/>
      </c>
      <c r="S26" s="58">
        <f>M27</f>
        <v/>
      </c>
      <c r="T26" s="69">
        <f>N27</f>
        <v/>
      </c>
      <c r="U26" s="65" t="n"/>
      <c r="V26" s="65" t="n"/>
      <c r="W26" s="65" t="n"/>
    </row>
    <row r="27">
      <c r="A27" s="17" t="inlineStr">
        <is>
          <t>F</t>
        </is>
      </c>
      <c r="B27" s="18" t="inlineStr">
        <is>
          <t>100 Breast</t>
        </is>
      </c>
      <c r="C27" s="18" t="n">
        <v>17</v>
      </c>
      <c r="D27" s="18" t="n">
        <v>1</v>
      </c>
      <c r="E27" s="46" t="inlineStr">
        <is>
          <t>1:07.71</t>
        </is>
      </c>
      <c r="F27" s="21">
        <f>IFERROR(__xludf.DUMMYFUNCTION("IF(
  REGEXMATCH(E27, "":""),
  60*VALUE(INDEX(SPLIT(E27, "":""),1,1)) + VALUE(INDEX(SPLIT(E27, "":""),1,2)),
  VALUE(E27)
)"),67.71)</f>
        <v/>
      </c>
      <c r="G27" s="21">
        <f>average(F25-F27,F26-F28)</f>
        <v/>
      </c>
      <c r="H27" s="21" t="n">
        <v>0.7450000000000045</v>
      </c>
      <c r="I27" s="211">
        <f>C24</f>
        <v/>
      </c>
      <c r="J27" s="211">
        <f>C41</f>
        <v/>
      </c>
      <c r="K27" s="60">
        <f t="array" ref="K27">INDEX('Podium Target Times'!$C:$C, MATCH(A27&amp;B27, 'Podium Target Times'!$A:$A&amp;'Podium Target Times'!$B:$B, 0))
</f>
        <v/>
      </c>
      <c r="L27" s="24">
        <f>L30+G30</f>
        <v/>
      </c>
      <c r="M27" s="60">
        <f>IF(L27&lt;60, TEXT(L27,"0.00"), IF(L27&lt;600, TEXT(L27/86400,"m:ss.00"), TEXT(L27/86400,"mm:ss.00")))
</f>
        <v/>
      </c>
      <c r="N27" s="25">
        <f>IFERROR(__xludf.DUMMYFUNCTION("LET(
  gen,$A27, ev,$B27, t,$M27,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)"),665.0)</f>
        <v/>
      </c>
      <c r="O27" s="65" t="n"/>
      <c r="P27" s="69">
        <f>A30</f>
        <v/>
      </c>
      <c r="Q27" s="65">
        <f>B30</f>
        <v/>
      </c>
      <c r="R27" s="69">
        <f>C30</f>
        <v/>
      </c>
      <c r="S27" s="58">
        <f>M30</f>
        <v/>
      </c>
      <c r="T27" s="69">
        <f>N30</f>
        <v/>
      </c>
      <c r="U27" s="65" t="n"/>
      <c r="V27" s="65" t="n"/>
      <c r="W27" s="65" t="n"/>
    </row>
    <row r="28">
      <c r="A28" s="8" t="inlineStr">
        <is>
          <t>F</t>
        </is>
      </c>
      <c r="B28" s="9" t="inlineStr">
        <is>
          <t>100 Breast</t>
        </is>
      </c>
      <c r="C28" s="9" t="n">
        <v>17</v>
      </c>
      <c r="D28" s="9" t="n">
        <v>2</v>
      </c>
      <c r="E28" s="41" t="inlineStr">
        <is>
          <t>1:08.40</t>
        </is>
      </c>
      <c r="F28" s="35">
        <f>IFERROR(__xludf.DUMMYFUNCTION("IF(
  REGEXMATCH(E28, "":""),
  60*VALUE(INDEX(SPLIT(E28, "":""),1,1)) + VALUE(INDEX(SPLIT(E28, "":""),1,2)),
  VALUE(E28)
)"),68.4)</f>
        <v/>
      </c>
      <c r="G28" s="35">
        <f>average(F25-F27,F26-F28)</f>
        <v/>
      </c>
      <c r="H28" s="35" t="n">
        <v>0.7450000000000045</v>
      </c>
      <c r="I28" s="215">
        <f>C24</f>
        <v/>
      </c>
      <c r="J28" s="215">
        <f>C41</f>
        <v/>
      </c>
      <c r="K28" s="43">
        <f t="array" ref="K28">INDEX('Podium Target Times'!$C:$C, MATCH(A28&amp;B28, 'Podium Target Times'!$A:$A&amp;'Podium Target Times'!$B:$B, 0))
</f>
        <v/>
      </c>
      <c r="L28" s="12">
        <f>L30+G30</f>
        <v/>
      </c>
      <c r="M28" s="43">
        <f>IF(L28&lt;60, TEXT(L28,"0.00"), IF(L28&lt;600, TEXT(L28/86400,"m:ss.00"), TEXT(L28/86400,"mm:ss.00")))
</f>
        <v/>
      </c>
      <c r="N28" s="14">
        <f>IFERROR(__xludf.DUMMYFUNCTION("LET(
  gen,$A28, ev,$B28, t,$M28,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)"),665.0)</f>
        <v/>
      </c>
      <c r="O28" s="65" t="n"/>
      <c r="P28" s="69">
        <f>A33</f>
        <v/>
      </c>
      <c r="Q28" s="65">
        <f>B33</f>
        <v/>
      </c>
      <c r="R28" s="69">
        <f>C33</f>
        <v/>
      </c>
      <c r="S28" s="58">
        <f>M33</f>
        <v/>
      </c>
      <c r="T28" s="69">
        <f>N33</f>
        <v/>
      </c>
      <c r="U28" s="65" t="n"/>
      <c r="V28" s="65" t="n"/>
      <c r="W28" s="65" t="n"/>
    </row>
    <row r="29">
      <c r="A29" s="17" t="inlineStr">
        <is>
          <t>F</t>
        </is>
      </c>
      <c r="B29" s="18" t="inlineStr">
        <is>
          <t>100 Breast</t>
        </is>
      </c>
      <c r="C29" s="18" t="n">
        <v>17</v>
      </c>
      <c r="D29" s="18" t="n">
        <v>3</v>
      </c>
      <c r="E29" s="46" t="inlineStr">
        <is>
          <t>1:08.94</t>
        </is>
      </c>
      <c r="F29" s="21">
        <f>IFERROR(__xludf.DUMMYFUNCTION("IF(
  REGEXMATCH(E29, "":""),
  60*VALUE(INDEX(SPLIT(E29, "":""),1,1)) + VALUE(INDEX(SPLIT(E29, "":""),1,2)),
  VALUE(E29)
)"),68.94)</f>
        <v/>
      </c>
      <c r="G29" s="21">
        <f>average(F25-F27,F26-F28)</f>
        <v/>
      </c>
      <c r="H29" s="21" t="n">
        <v>0.7450000000000045</v>
      </c>
      <c r="I29" s="211">
        <f>C24</f>
        <v/>
      </c>
      <c r="J29" s="211">
        <f>C41</f>
        <v/>
      </c>
      <c r="K29" s="60">
        <f t="array" ref="K29">INDEX('Podium Target Times'!$C:$C, MATCH(A29&amp;B29, 'Podium Target Times'!$A:$A&amp;'Podium Target Times'!$B:$B, 0))
</f>
        <v/>
      </c>
      <c r="L29" s="24">
        <f>L30+G30</f>
        <v/>
      </c>
      <c r="M29" s="60">
        <f>IF(L29&lt;60, TEXT(L29,"0.00"), IF(L29&lt;600, TEXT(L29/86400,"m:ss.00"), TEXT(L29/86400,"mm:ss.00")))
</f>
        <v/>
      </c>
      <c r="N29" s="25">
        <f>IFERROR(__xludf.DUMMYFUNCTION("LET(
  gen,$A29, ev,$B29, t,$M29,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)"),665.0)</f>
        <v/>
      </c>
      <c r="O29" s="65" t="n"/>
      <c r="P29" s="69">
        <f>A36</f>
        <v/>
      </c>
      <c r="Q29" s="65">
        <f>B36</f>
        <v/>
      </c>
      <c r="R29" s="69">
        <f>C36</f>
        <v/>
      </c>
      <c r="S29" s="58">
        <f>M36</f>
        <v/>
      </c>
      <c r="T29" s="69">
        <f>N36</f>
        <v/>
      </c>
      <c r="U29" s="65" t="n"/>
      <c r="V29" s="65" t="n"/>
      <c r="W29" s="65" t="n"/>
    </row>
    <row r="30">
      <c r="A30" s="8" t="inlineStr">
        <is>
          <t>F</t>
        </is>
      </c>
      <c r="B30" s="9" t="inlineStr">
        <is>
          <t>100 Breast</t>
        </is>
      </c>
      <c r="C30" s="9" t="n">
        <v>18</v>
      </c>
      <c r="D30" s="9" t="n">
        <v>1</v>
      </c>
      <c r="E30" s="41" t="inlineStr">
        <is>
          <t>1:07.24</t>
        </is>
      </c>
      <c r="F30" s="35">
        <f>IFERROR(__xludf.DUMMYFUNCTION("IF(
  REGEXMATCH(E30, "":""),
  60*VALUE(INDEX(SPLIT(E30, "":""),1,1)) + VALUE(INDEX(SPLIT(E30, "":""),1,2)),
  VALUE(E30)
)"),67.24)</f>
        <v/>
      </c>
      <c r="G30" s="35">
        <f>average(F27-F30,F28-F31,F29-F32)</f>
        <v/>
      </c>
      <c r="H30" s="35" t="n">
        <v>0.4766666666666642</v>
      </c>
      <c r="I30" s="215">
        <f>C24</f>
        <v/>
      </c>
      <c r="J30" s="215">
        <f>C41</f>
        <v/>
      </c>
      <c r="K30" s="43">
        <f t="array" ref="K30">INDEX('Podium Target Times'!$C:$C, MATCH(A30&amp;B30, 'Podium Target Times'!$A:$A&amp;'Podium Target Times'!$B:$B, 0))
</f>
        <v/>
      </c>
      <c r="L30" s="12">
        <f>L33+G33</f>
        <v/>
      </c>
      <c r="M30" s="43">
        <f>IF(L30&lt;60, TEXT(L30,"0.00"), IF(L30&lt;600, TEXT(L30/86400,"m:ss.00"), TEXT(L30/86400,"mm:ss.00")))
</f>
        <v/>
      </c>
      <c r="N30" s="14">
        <f>IFERROR(__xludf.DUMMYFUNCTION("LET(
  gen,$A30, ev,$B30, t,$M30,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)"),678.0)</f>
        <v/>
      </c>
      <c r="O30" s="65" t="n"/>
      <c r="P30" s="69">
        <f>A38</f>
        <v/>
      </c>
      <c r="Q30" s="65">
        <f>B38</f>
        <v/>
      </c>
      <c r="R30" s="69">
        <f>C38</f>
        <v/>
      </c>
      <c r="S30" s="58">
        <f>M38</f>
        <v/>
      </c>
      <c r="T30" s="69">
        <f>N38</f>
        <v/>
      </c>
      <c r="U30" s="65" t="n"/>
      <c r="V30" s="65" t="n"/>
      <c r="W30" s="65" t="n"/>
    </row>
    <row r="31">
      <c r="A31" s="17" t="inlineStr">
        <is>
          <t>F</t>
        </is>
      </c>
      <c r="B31" s="18" t="inlineStr">
        <is>
          <t>100 Breast</t>
        </is>
      </c>
      <c r="C31" s="18" t="n">
        <v>18</v>
      </c>
      <c r="D31" s="221" t="n">
        <v>2</v>
      </c>
      <c r="E31" s="46" t="inlineStr">
        <is>
          <t>1:07.92</t>
        </is>
      </c>
      <c r="F31" s="21">
        <f>IFERROR(__xludf.DUMMYFUNCTION("IF(
  REGEXMATCH(E31, "":""),
  60*VALUE(INDEX(SPLIT(E31, "":""),1,1)) + VALUE(INDEX(SPLIT(E31, "":""),1,2)),
  VALUE(E31)
)"),67.92)</f>
        <v/>
      </c>
      <c r="G31" s="21">
        <f>average(F27-F30,F28-F31,F29-F32)</f>
        <v/>
      </c>
      <c r="H31" s="21" t="n">
        <v>0.4766666666666642</v>
      </c>
      <c r="I31" s="211">
        <f>C24</f>
        <v/>
      </c>
      <c r="J31" s="211">
        <f>C41</f>
        <v/>
      </c>
      <c r="K31" s="60">
        <f t="array" ref="K31">INDEX('Podium Target Times'!$C:$C, MATCH(A31&amp;B31, 'Podium Target Times'!$A:$A&amp;'Podium Target Times'!$B:$B, 0))
</f>
        <v/>
      </c>
      <c r="L31" s="24">
        <f>L33+G33</f>
        <v/>
      </c>
      <c r="M31" s="60">
        <f>IF(L31&lt;60, TEXT(L31,"0.00"), IF(L31&lt;600, TEXT(L31/86400,"m:ss.00"), TEXT(L31/86400,"mm:ss.00")))
</f>
        <v/>
      </c>
      <c r="N31" s="25">
        <f>IFERROR(__xludf.DUMMYFUNCTION("LET(
  gen,$A31, ev,$B31, t,$M31,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)"),678.0)</f>
        <v/>
      </c>
      <c r="O31" s="65" t="n"/>
      <c r="P31" s="69">
        <f>A40</f>
        <v/>
      </c>
      <c r="Q31" s="65">
        <f>B40</f>
        <v/>
      </c>
      <c r="R31" s="69">
        <f>C40</f>
        <v/>
      </c>
      <c r="S31" s="58">
        <f>M40</f>
        <v/>
      </c>
      <c r="T31" s="69">
        <f>N40</f>
        <v/>
      </c>
      <c r="U31" s="65" t="n"/>
      <c r="V31" s="65" t="n"/>
      <c r="W31" s="65" t="n"/>
    </row>
    <row r="32">
      <c r="A32" s="8" t="inlineStr">
        <is>
          <t>F</t>
        </is>
      </c>
      <c r="B32" s="9" t="inlineStr">
        <is>
          <t>100 Breast</t>
        </is>
      </c>
      <c r="C32" s="9" t="n">
        <v>18</v>
      </c>
      <c r="D32" s="219" t="n">
        <v>3</v>
      </c>
      <c r="E32" s="41" t="inlineStr">
        <is>
          <t>1:08.46</t>
        </is>
      </c>
      <c r="F32" s="35">
        <f>IFERROR(__xludf.DUMMYFUNCTION("IF(
  REGEXMATCH(E32, "":""),
  60*VALUE(INDEX(SPLIT(E32, "":""),1,1)) + VALUE(INDEX(SPLIT(E32, "":""),1,2)),
  VALUE(E32)
)"),68.46000000000001)</f>
        <v/>
      </c>
      <c r="G32" s="35">
        <f>average(F27-F30,F28-F31,F29-F32)</f>
        <v/>
      </c>
      <c r="H32" s="35" t="n">
        <v>0.4766666666666642</v>
      </c>
      <c r="I32" s="215">
        <f>C24</f>
        <v/>
      </c>
      <c r="J32" s="215">
        <f>C41</f>
        <v/>
      </c>
      <c r="K32" s="43">
        <f t="array" ref="K32">INDEX('Podium Target Times'!$C:$C, MATCH(A32&amp;B32, 'Podium Target Times'!$A:$A&amp;'Podium Target Times'!$B:$B, 0))
</f>
        <v/>
      </c>
      <c r="L32" s="12">
        <f>L33+G33</f>
        <v/>
      </c>
      <c r="M32" s="43">
        <f>IF(L32&lt;60, TEXT(L32,"0.00"), IF(L32&lt;600, TEXT(L32/86400,"m:ss.00"), TEXT(L32/86400,"mm:ss.00")))
</f>
        <v/>
      </c>
      <c r="N32" s="14">
        <f>IFERROR(__xludf.DUMMYFUNCTION("LET(
  gen,$A32, ev,$B32, t,$M32,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)"),678.0)</f>
        <v/>
      </c>
      <c r="O32" s="65" t="n"/>
      <c r="P32" s="69">
        <f>A41</f>
        <v/>
      </c>
      <c r="Q32" s="65">
        <f>B41</f>
        <v/>
      </c>
      <c r="R32" s="69">
        <f>C41</f>
        <v/>
      </c>
      <c r="S32" s="58">
        <f>M41</f>
        <v/>
      </c>
      <c r="T32" s="69">
        <f>N41</f>
        <v/>
      </c>
      <c r="U32" s="65" t="n"/>
      <c r="V32" s="65" t="n"/>
      <c r="W32" s="65" t="n"/>
    </row>
    <row r="33">
      <c r="A33" s="17" t="inlineStr">
        <is>
          <t>F</t>
        </is>
      </c>
      <c r="B33" s="18" t="inlineStr">
        <is>
          <t>100 Breast</t>
        </is>
      </c>
      <c r="C33" s="18" t="n">
        <v>19</v>
      </c>
      <c r="D33" s="18" t="n">
        <v>1</v>
      </c>
      <c r="E33" s="211" t="inlineStr">
        <is>
          <t>1:06.87</t>
        </is>
      </c>
      <c r="F33" s="21">
        <f>IFERROR(__xludf.DUMMYFUNCTION("IF(
  REGEXMATCH(E33, "":""),
  60*VALUE(INDEX(SPLIT(E33, "":""),1,1)) + VALUE(INDEX(SPLIT(E33, "":""),1,2)),
  VALUE(E33)
)"),66.87)</f>
        <v/>
      </c>
      <c r="G33" s="21">
        <f>average(F30-F33,F31-F34,F32-F35)</f>
        <v/>
      </c>
      <c r="H33" s="21" t="n">
        <v>0.3733333333333348</v>
      </c>
      <c r="I33" s="211">
        <f>C24</f>
        <v/>
      </c>
      <c r="J33" s="211">
        <f>C41</f>
        <v/>
      </c>
      <c r="K33" s="60">
        <f t="array" ref="K33">INDEX('Podium Target Times'!$C:$C, MATCH(A33&amp;B33, 'Podium Target Times'!$A:$A&amp;'Podium Target Times'!$B:$B, 0))
</f>
        <v/>
      </c>
      <c r="L33" s="24">
        <f>L36+G36</f>
        <v/>
      </c>
      <c r="M33" s="60">
        <f>IF(L33&lt;60, TEXT(L33,"0.00"), IF(L33&lt;600, TEXT(L33/86400,"m:ss.00"), TEXT(L33/86400,"mm:ss.00")))
</f>
        <v/>
      </c>
      <c r="N33" s="25">
        <f>IFERROR(__xludf.DUMMYFUNCTION("LET(
  gen,$A33, ev,$B33, t,$M33,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
      </c>
      <c r="O33" s="65" t="n"/>
      <c r="P33" s="69">
        <f>P32</f>
        <v/>
      </c>
      <c r="Q33" s="65">
        <f>Q32</f>
        <v/>
      </c>
      <c r="R33" s="69">
        <f>R32+1</f>
        <v/>
      </c>
      <c r="S33" s="58">
        <f>M42</f>
        <v/>
      </c>
      <c r="T33" s="69">
        <f>N42</f>
        <v/>
      </c>
      <c r="U33" s="65" t="n"/>
      <c r="V33" s="65" t="n"/>
      <c r="W33" s="65" t="n"/>
    </row>
    <row r="34">
      <c r="A34" s="8" t="inlineStr">
        <is>
          <t>F</t>
        </is>
      </c>
      <c r="B34" s="9" t="inlineStr">
        <is>
          <t>100 Breast</t>
        </is>
      </c>
      <c r="C34" s="9" t="n">
        <v>19</v>
      </c>
      <c r="D34" s="9" t="n">
        <v>2</v>
      </c>
      <c r="E34" s="215" t="inlineStr">
        <is>
          <t>1:07.55</t>
        </is>
      </c>
      <c r="F34" s="35">
        <f>IFERROR(__xludf.DUMMYFUNCTION("IF(
  REGEXMATCH(E34, "":""),
  60*VALUE(INDEX(SPLIT(E34, "":""),1,1)) + VALUE(INDEX(SPLIT(E34, "":""),1,2)),
  VALUE(E34)
)"),67.55)</f>
        <v/>
      </c>
      <c r="G34" s="35">
        <f>average(F30-F33,F31-F34,F32-F35)</f>
        <v/>
      </c>
      <c r="H34" s="35" t="n">
        <v>0.3733333333333348</v>
      </c>
      <c r="I34" s="215">
        <f>C24</f>
        <v/>
      </c>
      <c r="J34" s="215">
        <f>C41</f>
        <v/>
      </c>
      <c r="K34" s="43">
        <f t="array" ref="K34">INDEX('Podium Target Times'!$C:$C, MATCH(A34&amp;B34, 'Podium Target Times'!$A:$A&amp;'Podium Target Times'!$B:$B, 0))
</f>
        <v/>
      </c>
      <c r="L34" s="12">
        <f>L36+G36</f>
        <v/>
      </c>
      <c r="M34" s="43">
        <f>IF(L34&lt;60, TEXT(L34,"0.00"), IF(L34&lt;600, TEXT(L34/86400,"m:ss.00"), TEXT(L34/86400,"mm:ss.00")))
</f>
        <v/>
      </c>
      <c r="N34" s="14">
        <f>IFERROR(__xludf.DUMMYFUNCTION("LET(
  gen,$A34, ev,$B34, t,$M34,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
      </c>
      <c r="O34" s="65" t="n"/>
      <c r="P34" s="69">
        <f>P33</f>
        <v/>
      </c>
      <c r="Q34" s="65">
        <f>Q33</f>
        <v/>
      </c>
      <c r="R34" s="69">
        <f>R33+1</f>
        <v/>
      </c>
      <c r="S34" s="58">
        <f>M43</f>
        <v/>
      </c>
      <c r="T34" s="69">
        <f>N43</f>
        <v/>
      </c>
      <c r="U34" s="65" t="n"/>
      <c r="V34" s="65" t="n"/>
      <c r="W34" s="65" t="n"/>
    </row>
    <row r="35">
      <c r="A35" s="17" t="inlineStr">
        <is>
          <t>F</t>
        </is>
      </c>
      <c r="B35" s="18" t="inlineStr">
        <is>
          <t>100 Breast</t>
        </is>
      </c>
      <c r="C35" s="18" t="n">
        <v>19</v>
      </c>
      <c r="D35" s="18" t="n">
        <v>3</v>
      </c>
      <c r="E35" s="211" t="inlineStr">
        <is>
          <t>1:08.08</t>
        </is>
      </c>
      <c r="F35" s="21">
        <f>IFERROR(__xludf.DUMMYFUNCTION("IF(
  REGEXMATCH(E35, "":""),
  60*VALUE(INDEX(SPLIT(E35, "":""),1,1)) + VALUE(INDEX(SPLIT(E35, "":""),1,2)),
  VALUE(E35)
)"),68.08)</f>
        <v/>
      </c>
      <c r="G35" s="21">
        <f>average(F30-F33,F31-F34,F32-F35)</f>
        <v/>
      </c>
      <c r="H35" s="21" t="n">
        <v>0.3733333333333348</v>
      </c>
      <c r="I35" s="211">
        <f>C24</f>
        <v/>
      </c>
      <c r="J35" s="211">
        <f>C41</f>
        <v/>
      </c>
      <c r="K35" s="60">
        <f t="array" ref="K35">INDEX('Podium Target Times'!$C:$C, MATCH(A35&amp;B35, 'Podium Target Times'!$A:$A&amp;'Podium Target Times'!$B:$B, 0))
</f>
        <v/>
      </c>
      <c r="L35" s="24">
        <f>L36+G36</f>
        <v/>
      </c>
      <c r="M35" s="60">
        <f>IF(L35&lt;60, TEXT(L35,"0.00"), IF(L35&lt;600, TEXT(L35/86400,"m:ss.00"), TEXT(L35/86400,"mm:ss.00")))
</f>
        <v/>
      </c>
      <c r="N35" s="25">
        <f>IFERROR(__xludf.DUMMYFUNCTION("LET(
  gen,$A35, ev,$B35, t,$M35,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
      </c>
      <c r="O35" s="65" t="n"/>
      <c r="P35" s="69" t="n"/>
      <c r="Q35" s="65" t="n"/>
      <c r="R35" s="69" t="n"/>
      <c r="S35" s="58" t="n"/>
      <c r="T35" s="69" t="n"/>
      <c r="U35" s="65" t="n"/>
      <c r="V35" s="65" t="n"/>
      <c r="W35" s="65" t="n"/>
    </row>
    <row r="36">
      <c r="A36" s="8" t="inlineStr">
        <is>
          <t>F</t>
        </is>
      </c>
      <c r="B36" s="9" t="inlineStr">
        <is>
          <t>100 Breast</t>
        </is>
      </c>
      <c r="C36" s="9" t="n">
        <v>20</v>
      </c>
      <c r="D36" s="219" t="n">
        <v>2</v>
      </c>
      <c r="E36" s="41" t="inlineStr">
        <is>
          <t>1:07.20</t>
        </is>
      </c>
      <c r="F36" s="35">
        <f>IFERROR(__xludf.DUMMYFUNCTION("IF(
  REGEXMATCH(E36, "":""),
  60*VALUE(INDEX(SPLIT(E36, "":""),1,1)) + VALUE(INDEX(SPLIT(E36, "":""),1,2)),
  VALUE(E36)
)"),67.2)</f>
        <v/>
      </c>
      <c r="G36" s="35">
        <f>average(F34-F36,F35-F37)</f>
        <v/>
      </c>
      <c r="H36" s="35" t="n">
        <v>0.3499999999999943</v>
      </c>
      <c r="I36" s="215">
        <f>C24</f>
        <v/>
      </c>
      <c r="J36" s="215">
        <f>C41</f>
        <v/>
      </c>
      <c r="K36" s="43">
        <f t="array" ref="K36">INDEX('Podium Target Times'!$C:$C, MATCH(A36&amp;B36, 'Podium Target Times'!$A:$A&amp;'Podium Target Times'!$B:$B, 0))
</f>
        <v/>
      </c>
      <c r="L36" s="12">
        <f>L38+G38</f>
        <v/>
      </c>
      <c r="M36" s="43">
        <f>IF(L36&lt;60, TEXT(L36,"0.00"), IF(L36&lt;600, TEXT(L36/86400,"m:ss.00"), TEXT(L36/86400,"mm:ss.00")))
</f>
        <v/>
      </c>
      <c r="N36" s="14">
        <f>IFERROR(__xludf.DUMMYFUNCTION("LET(
  gen,$A36, ev,$B36, t,$M36,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)"),699.0)</f>
        <v/>
      </c>
      <c r="O36" s="65" t="n"/>
      <c r="P36" s="69" t="n"/>
      <c r="Q36" s="65" t="n"/>
      <c r="R36" s="69" t="n"/>
      <c r="S36" s="58" t="n"/>
      <c r="T36" s="69" t="n"/>
      <c r="U36" s="65" t="n"/>
      <c r="V36" s="65" t="n"/>
      <c r="W36" s="65" t="n"/>
    </row>
    <row r="37">
      <c r="A37" s="17" t="inlineStr">
        <is>
          <t>F</t>
        </is>
      </c>
      <c r="B37" s="18" t="inlineStr">
        <is>
          <t>100 Breast</t>
        </is>
      </c>
      <c r="C37" s="18" t="n">
        <v>20</v>
      </c>
      <c r="D37" s="18" t="n">
        <v>3</v>
      </c>
      <c r="E37" s="46" t="inlineStr">
        <is>
          <t>1:07.73</t>
        </is>
      </c>
      <c r="F37" s="21">
        <f>IFERROR(__xludf.DUMMYFUNCTION("IF(
  REGEXMATCH(E37, "":""),
  60*VALUE(INDEX(SPLIT(E37, "":""),1,1)) + VALUE(INDEX(SPLIT(E37, "":""),1,2)),
  VALUE(E37)
)"),67.73)</f>
        <v/>
      </c>
      <c r="G37" s="21">
        <f>average(F34-F36,F35-F37)</f>
        <v/>
      </c>
      <c r="H37" s="21" t="n">
        <v>0.3499999999999943</v>
      </c>
      <c r="I37" s="211">
        <f>C24</f>
        <v/>
      </c>
      <c r="J37" s="211">
        <f>C41</f>
        <v/>
      </c>
      <c r="K37" s="60">
        <f t="array" ref="K37">INDEX('Podium Target Times'!$C:$C, MATCH(A37&amp;B37, 'Podium Target Times'!$A:$A&amp;'Podium Target Times'!$B:$B, 0))
</f>
        <v/>
      </c>
      <c r="L37" s="24">
        <f>L38+G38</f>
        <v/>
      </c>
      <c r="M37" s="60">
        <f>IF(L37&lt;60, TEXT(L37,"0.00"), IF(L37&lt;600, TEXT(L37/86400,"m:ss.00"), TEXT(L37/86400,"mm:ss.00")))
</f>
        <v/>
      </c>
      <c r="N37" s="25">
        <f>IFERROR(__xludf.DUMMYFUNCTION("LET(
  gen,$A37, ev,$B37, t,$M37,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)"),699.0)</f>
        <v/>
      </c>
      <c r="O37" s="65" t="n"/>
      <c r="P37" s="69" t="n"/>
      <c r="Q37" s="65" t="n"/>
      <c r="R37" s="69" t="n"/>
      <c r="S37" s="58" t="n"/>
      <c r="T37" s="69" t="n"/>
      <c r="U37" s="65" t="n"/>
      <c r="V37" s="65" t="n"/>
      <c r="W37" s="65" t="n"/>
    </row>
    <row r="38">
      <c r="A38" s="8" t="inlineStr">
        <is>
          <t>F</t>
        </is>
      </c>
      <c r="B38" s="9" t="inlineStr">
        <is>
          <t>100 Breast</t>
        </is>
      </c>
      <c r="C38" s="9" t="n">
        <v>21</v>
      </c>
      <c r="D38" s="9" t="n">
        <v>2</v>
      </c>
      <c r="E38" s="41" t="inlineStr">
        <is>
          <t>1:06.87</t>
        </is>
      </c>
      <c r="F38" s="35">
        <f>IFERROR(__xludf.DUMMYFUNCTION("IF(
  REGEXMATCH(E38, "":""),
  60*VALUE(INDEX(SPLIT(E38, "":""),1,1)) + VALUE(INDEX(SPLIT(E38, "":""),1,2)),
  VALUE(E38)
)"),66.87)</f>
        <v/>
      </c>
      <c r="G38" s="35">
        <f>average(F36-F38,F37-F39)</f>
        <v/>
      </c>
      <c r="H38" s="35" t="n">
        <v>0.3350000000000009</v>
      </c>
      <c r="I38" s="215">
        <f>C24</f>
        <v/>
      </c>
      <c r="J38" s="215">
        <f>C41</f>
        <v/>
      </c>
      <c r="K38" s="43">
        <f t="array" ref="K38">INDEX('Podium Target Times'!$C:$C, MATCH(A38&amp;B38, 'Podium Target Times'!$A:$A&amp;'Podium Target Times'!$B:$B, 0))
</f>
        <v/>
      </c>
      <c r="L38" s="12">
        <f>L40+G40</f>
        <v/>
      </c>
      <c r="M38" s="43">
        <f>IF(L38&lt;60, TEXT(L38,"0.00"), IF(L38&lt;600, TEXT(L38/86400,"m:ss.00"), TEXT(L38/86400,"mm:ss.00")))
</f>
        <v/>
      </c>
      <c r="N38" s="14">
        <f>IFERROR(__xludf.DUMMYFUNCTION("LET(
  gen,$A38, ev,$B38, t,$M38,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
      </c>
      <c r="O38" s="65" t="n"/>
      <c r="P38" s="69" t="n"/>
      <c r="Q38" s="65" t="n"/>
      <c r="R38" s="69" t="n"/>
      <c r="S38" s="58" t="n"/>
      <c r="T38" s="69" t="n"/>
      <c r="U38" s="65" t="n"/>
      <c r="V38" s="65" t="n"/>
      <c r="W38" s="65" t="n"/>
    </row>
    <row r="39">
      <c r="A39" s="17" t="inlineStr">
        <is>
          <t>F</t>
        </is>
      </c>
      <c r="B39" s="18" t="inlineStr">
        <is>
          <t>100 Breast</t>
        </is>
      </c>
      <c r="C39" s="18" t="n">
        <v>21</v>
      </c>
      <c r="D39" s="18" t="n">
        <v>3</v>
      </c>
      <c r="E39" s="46" t="inlineStr">
        <is>
          <t>1:07.39</t>
        </is>
      </c>
      <c r="F39" s="21">
        <f>IFERROR(__xludf.DUMMYFUNCTION("IF(
  REGEXMATCH(E39, "":""),
  60*VALUE(INDEX(SPLIT(E39, "":""),1,1)) + VALUE(INDEX(SPLIT(E39, "":""),1,2)),
  VALUE(E39)
)"),67.39)</f>
        <v/>
      </c>
      <c r="G39" s="21">
        <f>average(F36-F38,F37-F39)</f>
        <v/>
      </c>
      <c r="H39" s="21" t="n">
        <v>0.3350000000000009</v>
      </c>
      <c r="I39" s="211">
        <f>C24</f>
        <v/>
      </c>
      <c r="J39" s="211">
        <f>C41</f>
        <v/>
      </c>
      <c r="K39" s="60">
        <f t="array" ref="K39">INDEX('Podium Target Times'!$C:$C, MATCH(A39&amp;B39, 'Podium Target Times'!$A:$A&amp;'Podium Target Times'!$B:$B, 0))
</f>
        <v/>
      </c>
      <c r="L39" s="24">
        <f>L40+G40</f>
        <v/>
      </c>
      <c r="M39" s="60">
        <f>IF(L39&lt;60, TEXT(L39,"0.00"), IF(L39&lt;600, TEXT(L39/86400,"m:ss.00"), TEXT(L39/86400,"mm:ss.00")))
</f>
        <v/>
      </c>
      <c r="N39" s="25">
        <f>IFERROR(__xludf.DUMMYFUNCTION("LET(
  gen,$A39, ev,$B39, t,$M39,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
      </c>
      <c r="O39" s="65" t="n"/>
      <c r="P39" s="69" t="n"/>
      <c r="Q39" s="65" t="n"/>
      <c r="R39" s="69" t="n"/>
      <c r="S39" s="58" t="n"/>
      <c r="T39" s="69" t="n"/>
      <c r="U39" s="65" t="n"/>
      <c r="V39" s="65" t="n"/>
      <c r="W39" s="65" t="n"/>
    </row>
    <row r="40">
      <c r="A40" s="8" t="inlineStr">
        <is>
          <t>F</t>
        </is>
      </c>
      <c r="B40" s="9" t="inlineStr">
        <is>
          <t>100 Breast</t>
        </is>
      </c>
      <c r="C40" s="9" t="n">
        <v>22</v>
      </c>
      <c r="D40" s="9" t="n">
        <v>3</v>
      </c>
      <c r="E40" s="41" t="inlineStr">
        <is>
          <t>1:07.10</t>
        </is>
      </c>
      <c r="F40" s="35">
        <f>IFERROR(__xludf.DUMMYFUNCTION("IF(
  REGEXMATCH(E40, "":""),
  60*VALUE(INDEX(SPLIT(E40, "":""),1,1)) + VALUE(INDEX(SPLIT(E40, "":""),1,2)),
  VALUE(E40)
)"),67.1)</f>
        <v/>
      </c>
      <c r="G40" s="35">
        <f>F39-F40</f>
        <v/>
      </c>
      <c r="H40" s="35" t="n">
        <v>0.2900000000000063</v>
      </c>
      <c r="I40" s="215">
        <f>C24</f>
        <v/>
      </c>
      <c r="J40" s="215">
        <f>C41</f>
        <v/>
      </c>
      <c r="K40" s="43">
        <f t="array" ref="K40">INDEX('Podium Target Times'!$C:$C, MATCH(A40&amp;B40, 'Podium Target Times'!$A:$A&amp;'Podium Target Times'!$B:$B, 0))
</f>
        <v/>
      </c>
      <c r="L40" s="12">
        <f>L41+G41</f>
        <v/>
      </c>
      <c r="M40" s="43">
        <f>IF(L40&lt;60, TEXT(L40,"0.00"), IF(L40&lt;600, TEXT(L40/86400,"m:ss.00"), TEXT(L40/86400,"mm:ss.00")))
</f>
        <v/>
      </c>
      <c r="N40" s="14">
        <f>IFERROR(__xludf.DUMMYFUNCTION("LET(
  gen,$A40, ev,$B40, t,$M40,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
      </c>
      <c r="O40" s="65" t="n"/>
      <c r="P40" s="69" t="n"/>
      <c r="Q40" s="65" t="n"/>
      <c r="R40" s="69" t="n"/>
      <c r="S40" s="58" t="n"/>
      <c r="T40" s="69" t="n"/>
      <c r="U40" s="65" t="n"/>
      <c r="V40" s="65" t="n"/>
      <c r="W40" s="65" t="n"/>
    </row>
    <row r="41">
      <c r="A41" s="17" t="inlineStr">
        <is>
          <t>F</t>
        </is>
      </c>
      <c r="B41" s="18" t="inlineStr">
        <is>
          <t>100 Breast</t>
        </is>
      </c>
      <c r="C41" s="18" t="n">
        <v>23</v>
      </c>
      <c r="D41" s="18" t="n">
        <v>3</v>
      </c>
      <c r="E41" s="46" t="inlineStr">
        <is>
          <t>1:06.87</t>
        </is>
      </c>
      <c r="F41" s="21">
        <f>IFERROR(__xludf.DUMMYFUNCTION("IF(
  REGEXMATCH(E41, "":""),
  60*VALUE(INDEX(SPLIT(E41, "":""),1,1)) + VALUE(INDEX(SPLIT(E41, "":""),1,2)),
  VALUE(E41)
)"),66.87)</f>
        <v/>
      </c>
      <c r="G41" s="21">
        <f>F40-F41</f>
        <v/>
      </c>
      <c r="H41" s="21" t="n">
        <v>0.2299999999999898</v>
      </c>
      <c r="I41" s="211">
        <f>C24</f>
        <v/>
      </c>
      <c r="J41" s="211">
        <f>C41</f>
        <v/>
      </c>
      <c r="K41" s="60">
        <f t="array" ref="K41">INDEX('Podium Target Times'!$C:$C, MATCH(A41&amp;B41, 'Podium Target Times'!$A:$A&amp;'Podium Target Times'!$B:$B, 0))
</f>
        <v/>
      </c>
      <c r="L41" s="21">
        <f>G41+L42</f>
        <v/>
      </c>
      <c r="M41" s="60">
        <f>IF(L41&lt;60, TEXT(L41,"0.00"), IF(L41&lt;600, TEXT(L41/86400,"m:ss.00"), TEXT(L41/86400,"mm:ss.00")))
</f>
        <v/>
      </c>
      <c r="N41" s="25">
        <f>IFERROR(__xludf.DUMMYFUNCTION("LET(
  gen,$A41, ev,$B41, t,$M41,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
      </c>
      <c r="O41" s="65" t="n"/>
      <c r="P41" s="69" t="n"/>
      <c r="Q41" s="65" t="n"/>
      <c r="R41" s="69" t="n"/>
      <c r="S41" s="58" t="n"/>
      <c r="T41" s="69" t="n"/>
      <c r="U41" s="65" t="n"/>
      <c r="V41" s="65" t="n"/>
      <c r="W41" s="65" t="n"/>
    </row>
    <row r="42">
      <c r="A42" s="8" t="inlineStr">
        <is>
          <t>F</t>
        </is>
      </c>
      <c r="B42" s="9" t="inlineStr">
        <is>
          <t>100 Breast</t>
        </is>
      </c>
      <c r="C42" s="9" t="n">
        <v>24</v>
      </c>
      <c r="D42" s="219" t="n"/>
      <c r="E42" s="41" t="n"/>
      <c r="F42" s="35">
        <f>IFERROR(__xludf.DUMMYFUNCTION("IF(
  REGEXMATCH(E42, "":""),
  60*VALUE(INDEX(SPLIT(E42, "":""),1,1)) + VALUE(INDEX(SPLIT(E42, "":""),1,2)),
  VALUE(E42)
)"),0.0)</f>
        <v/>
      </c>
      <c r="G42" s="12" t="n"/>
      <c r="H42" s="12" t="n"/>
      <c r="I42" s="43">
        <f>C24</f>
        <v/>
      </c>
      <c r="J42" s="43">
        <f>C41</f>
        <v/>
      </c>
      <c r="K42" s="43">
        <f t="array" ref="K42">INDEX('Podium Target Times'!$C:$C, MATCH(A42&amp;B42, 'Podium Target Times'!$A:$A&amp;'Podium Target Times'!$B:$B, 0))
</f>
        <v/>
      </c>
      <c r="L42" s="12">
        <f>G41+L43</f>
        <v/>
      </c>
      <c r="M42" s="43">
        <f>IF(L42&lt;60, TEXT(L42,"0.00"), IF(L42&lt;600, TEXT(L42/86400,"m:ss.00"), TEXT(L42/86400,"mm:ss.00")))
</f>
        <v/>
      </c>
      <c r="N42" s="14">
        <f>IFERROR(__xludf.DUMMYFUNCTION("LET(
  gen,$A42, ev,$B42, t,$M42,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)"),731.0)</f>
        <v/>
      </c>
      <c r="O42" s="65" t="n"/>
      <c r="P42" s="69" t="n"/>
      <c r="Q42" s="65" t="n"/>
      <c r="R42" s="69" t="n"/>
      <c r="S42" s="58" t="n"/>
      <c r="T42" s="69" t="n"/>
      <c r="U42" s="65" t="n"/>
      <c r="V42" s="65" t="n"/>
      <c r="W42" s="65" t="n"/>
    </row>
    <row r="43">
      <c r="A43" s="17" t="inlineStr">
        <is>
          <t>F</t>
        </is>
      </c>
      <c r="B43" s="18" t="inlineStr">
        <is>
          <t>100 Breast</t>
        </is>
      </c>
      <c r="C43" s="18" t="n">
        <v>25</v>
      </c>
      <c r="D43" s="221" t="n"/>
      <c r="E43" s="46" t="n"/>
      <c r="F43" s="21">
        <f>IFERROR(__xludf.DUMMYFUNCTION("IF(
  REGEXMATCH(E43, "":""),
  60*VALUE(INDEX(SPLIT(E43, "":""),1,1)) + VALUE(INDEX(SPLIT(E43, "":""),1,2)),
  VALUE(E43)
)"),0.0)</f>
        <v/>
      </c>
      <c r="G43" s="24" t="n"/>
      <c r="H43" s="24" t="n"/>
      <c r="I43" s="60">
        <f>C24</f>
        <v/>
      </c>
      <c r="J43" s="60">
        <f>C41</f>
        <v/>
      </c>
      <c r="K43" s="60">
        <f t="array" ref="K43">INDEX('Podium Target Times'!$C:$C, MATCH(A43&amp;B43, 'Podium Target Times'!$A:$A&amp;'Podium Target Times'!$B:$B, 0))
</f>
        <v/>
      </c>
      <c r="L43" s="60">
        <f>K43</f>
        <v/>
      </c>
      <c r="M43" s="60">
        <f>IF(L43&lt;60, TEXT(L43,"0.00"), IF(L43&lt;600, TEXT(L43/86400,"m:ss.00"), TEXT(L43/86400,"mm:ss.00")))
</f>
        <v/>
      </c>
      <c r="N43" s="25">
        <f>IFERROR(__xludf.DUMMYFUNCTION("LET(
  gen,$A43, ev,$B43, t,$M43,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
      </c>
      <c r="O43" s="65" t="n"/>
      <c r="P43" s="69" t="n"/>
      <c r="Q43" s="65" t="n"/>
      <c r="R43" s="69" t="n"/>
      <c r="S43" s="58" t="n"/>
      <c r="T43" s="69" t="n"/>
      <c r="U43" s="65" t="n"/>
      <c r="V43" s="65" t="n"/>
      <c r="W43" s="65" t="n"/>
    </row>
    <row r="44">
      <c r="A44" s="8" t="inlineStr">
        <is>
          <t>F</t>
        </is>
      </c>
      <c r="B44" s="9" t="inlineStr">
        <is>
          <t>100 Fly</t>
        </is>
      </c>
      <c r="C44" s="9" t="n">
        <v>15</v>
      </c>
      <c r="D44" s="219" t="n">
        <v>1</v>
      </c>
      <c r="E44" s="41" t="inlineStr">
        <is>
          <t>1:01.67</t>
        </is>
      </c>
      <c r="F44" s="35">
        <f>IFERROR(__xludf.DUMMYFUNCTION("IF(
  REGEXMATCH(E44, "":""),
  60*VALUE(INDEX(SPLIT(E44, "":""),1,1)) + VALUE(INDEX(SPLIT(E44, "":""),1,2)),
  VALUE(E44)
)"),61.67)</f>
        <v/>
      </c>
      <c r="G44" s="12" t="n">
        <v>0</v>
      </c>
      <c r="H44" s="12" t="n">
        <v>0</v>
      </c>
      <c r="I44" s="43">
        <f>C44</f>
        <v/>
      </c>
      <c r="J44" s="43">
        <f>C61</f>
        <v/>
      </c>
      <c r="K44" s="43">
        <f t="array" ref="K44">INDEX('Podium Target Times'!$C:$C, MATCH(A44&amp;B44, 'Podium Target Times'!$A:$A&amp;'Podium Target Times'!$B:$B, 0))
</f>
        <v/>
      </c>
      <c r="L44" s="12">
        <f>L45+G45</f>
        <v/>
      </c>
      <c r="M44" s="43">
        <f>IF(L44&lt;60, TEXT(L44,"0.00"), IF(L44&lt;600, TEXT(L44/86400,"m:ss.00"), TEXT(L44/86400,"mm:ss.00")))
</f>
        <v/>
      </c>
      <c r="N44" s="14">
        <f>IFERROR(__xludf.DUMMYFUNCTION("LET(
  gen,$A44, ev,$B44, t,$M44,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)"),617.0)</f>
        <v/>
      </c>
      <c r="O44" s="65" t="n"/>
      <c r="P44" s="69">
        <f>A44</f>
        <v/>
      </c>
      <c r="Q44" s="65">
        <f>B44</f>
        <v/>
      </c>
      <c r="R44" s="69">
        <f>C44</f>
        <v/>
      </c>
      <c r="S44" s="58">
        <f>M44</f>
        <v/>
      </c>
      <c r="T44" s="69">
        <f>N44</f>
        <v/>
      </c>
      <c r="U44" s="65" t="n">
        <v>620</v>
      </c>
      <c r="V44" s="65" t="n"/>
      <c r="W44" s="65" t="n"/>
    </row>
    <row r="45">
      <c r="A45" s="17" t="inlineStr">
        <is>
          <t>F</t>
        </is>
      </c>
      <c r="B45" s="18" t="inlineStr">
        <is>
          <t>100 Fly</t>
        </is>
      </c>
      <c r="C45" s="18" t="n">
        <v>16</v>
      </c>
      <c r="D45" s="221" t="n">
        <v>1</v>
      </c>
      <c r="E45" s="46" t="inlineStr">
        <is>
          <t>1:00.43</t>
        </is>
      </c>
      <c r="F45" s="21">
        <f>IFERROR(__xludf.DUMMYFUNCTION("IF(
  REGEXMATCH(E45, "":""),
  60*VALUE(INDEX(SPLIT(E45, "":""),1,1)) + VALUE(INDEX(SPLIT(E45, "":""),1,2)),
  VALUE(E45)
)"),60.43)</f>
        <v/>
      </c>
      <c r="G45" s="21">
        <f>F44-F45</f>
        <v/>
      </c>
      <c r="H45" s="21" t="n">
        <v>1.240000000000002</v>
      </c>
      <c r="I45" s="211">
        <f>C44</f>
        <v/>
      </c>
      <c r="J45" s="211">
        <f>C61</f>
        <v/>
      </c>
      <c r="K45" s="60">
        <f t="array" ref="K45">INDEX('Podium Target Times'!$C:$C, MATCH(A45&amp;B45, 'Podium Target Times'!$A:$A&amp;'Podium Target Times'!$B:$B, 0))
</f>
        <v/>
      </c>
      <c r="L45" s="24">
        <f>L47+G47</f>
        <v/>
      </c>
      <c r="M45" s="60">
        <f>IF(L45&lt;60, TEXT(L45,"0.00"), IF(L45&lt;600, TEXT(L45/86400,"m:ss.00"), TEXT(L45/86400,"mm:ss.00")))
</f>
        <v/>
      </c>
      <c r="N45" s="25">
        <f>IFERROR(__xludf.DUMMYFUNCTION("LET(
  gen,$A45, ev,$B45, t,$M45,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
      </c>
      <c r="O45" s="65" t="n"/>
      <c r="P45" s="69">
        <f>A45</f>
        <v/>
      </c>
      <c r="Q45" s="65">
        <f>B45</f>
        <v/>
      </c>
      <c r="R45" s="69">
        <f>C45</f>
        <v/>
      </c>
      <c r="S45" s="58">
        <f>M45</f>
        <v/>
      </c>
      <c r="T45" s="69">
        <f>N45</f>
        <v/>
      </c>
      <c r="U45" s="65" t="n"/>
      <c r="V45" s="65" t="n"/>
      <c r="W45" s="65" t="n"/>
    </row>
    <row r="46">
      <c r="A46" s="8" t="inlineStr">
        <is>
          <t>F</t>
        </is>
      </c>
      <c r="B46" s="9" t="inlineStr">
        <is>
          <t>100 Fly</t>
        </is>
      </c>
      <c r="C46" s="9" t="n">
        <v>16</v>
      </c>
      <c r="D46" s="9" t="n">
        <v>2</v>
      </c>
      <c r="E46" s="41" t="inlineStr">
        <is>
          <t>1:01.15</t>
        </is>
      </c>
      <c r="F46" s="35">
        <f>IFERROR(__xludf.DUMMYFUNCTION("IF(
  REGEXMATCH(E46, "":""),
  60*VALUE(INDEX(SPLIT(E46, "":""),1,1)) + VALUE(INDEX(SPLIT(E46, "":""),1,2)),
  VALUE(E46)
)"),61.15)</f>
        <v/>
      </c>
      <c r="G46" s="35">
        <f>F44-F45</f>
        <v/>
      </c>
      <c r="H46" s="35" t="n">
        <v>1.240000000000002</v>
      </c>
      <c r="I46" s="215">
        <f>C44</f>
        <v/>
      </c>
      <c r="J46" s="215">
        <f>C61</f>
        <v/>
      </c>
      <c r="K46" s="43">
        <f t="array" ref="K46">INDEX('Podium Target Times'!$C:$C, MATCH(A46&amp;B46, 'Podium Target Times'!$A:$A&amp;'Podium Target Times'!$B:$B, 0))
</f>
        <v/>
      </c>
      <c r="L46" s="12">
        <f>L47+G47</f>
        <v/>
      </c>
      <c r="M46" s="43">
        <f>IF(L46&lt;60, TEXT(L46,"0.00"), IF(L46&lt;600, TEXT(L46/86400,"m:ss.00"), TEXT(L46/86400,"mm:ss.00")))
</f>
        <v/>
      </c>
      <c r="N46" s="14">
        <f>IFERROR(__xludf.DUMMYFUNCTION("LET(
  gen,$A46, ev,$B46, t,$M46,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
      </c>
      <c r="O46" s="65" t="n"/>
      <c r="P46" s="69">
        <f>A47</f>
        <v/>
      </c>
      <c r="Q46" s="65">
        <f>B47</f>
        <v/>
      </c>
      <c r="R46" s="69">
        <f>C47</f>
        <v/>
      </c>
      <c r="S46" s="58">
        <f>M47</f>
        <v/>
      </c>
      <c r="T46" s="69">
        <f>N47</f>
        <v/>
      </c>
      <c r="U46" s="65" t="n"/>
      <c r="V46" s="65" t="n"/>
      <c r="W46" s="65" t="n"/>
    </row>
    <row r="47">
      <c r="A47" s="17" t="inlineStr">
        <is>
          <t>F</t>
        </is>
      </c>
      <c r="B47" s="18" t="inlineStr">
        <is>
          <t>100 Fly</t>
        </is>
      </c>
      <c r="C47" s="18" t="n">
        <v>17</v>
      </c>
      <c r="D47" s="221" t="n">
        <v>1</v>
      </c>
      <c r="E47" s="46" t="inlineStr">
        <is>
          <t>59.56</t>
        </is>
      </c>
      <c r="F47" s="21">
        <f>IFERROR(__xludf.DUMMYFUNCTION("IF(
  REGEXMATCH(E47, "":""),
  60*VALUE(INDEX(SPLIT(E47, "":""),1,1)) + VALUE(INDEX(SPLIT(E47, "":""),1,2)),
  VALUE(E47)
)"),59.56)</f>
        <v/>
      </c>
      <c r="G47" s="21">
        <f>average(F45-F47,F46-F48)</f>
        <v/>
      </c>
      <c r="H47" s="21" t="n">
        <v>0.8749999999999964</v>
      </c>
      <c r="I47" s="211">
        <f>C44</f>
        <v/>
      </c>
      <c r="J47" s="211">
        <f>C61</f>
        <v/>
      </c>
      <c r="K47" s="60">
        <f t="array" ref="K47">INDEX('Podium Target Times'!$C:$C, MATCH(A47&amp;B47, 'Podium Target Times'!$A:$A&amp;'Podium Target Times'!$B:$B, 0))
</f>
        <v/>
      </c>
      <c r="L47" s="24">
        <f>L50+G50</f>
        <v/>
      </c>
      <c r="M47" s="60">
        <f>IF(L47&lt;60, TEXT(L47,"0.00"), IF(L47&lt;600, TEXT(L47/86400,"m:ss.00"), TEXT(L47/86400,"mm:ss.00")))
</f>
        <v/>
      </c>
      <c r="N47" s="25">
        <f>IFERROR(__xludf.DUMMYFUNCTION("LET(
  gen,$A47, ev,$B47, t,$M47,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)"),682.0)</f>
        <v/>
      </c>
      <c r="O47" s="65" t="n"/>
      <c r="P47" s="69">
        <f>A50</f>
        <v/>
      </c>
      <c r="Q47" s="65">
        <f>B50</f>
        <v/>
      </c>
      <c r="R47" s="69">
        <f>C50</f>
        <v/>
      </c>
      <c r="S47" s="58">
        <f>M50</f>
        <v/>
      </c>
      <c r="T47" s="69">
        <f>N50</f>
        <v/>
      </c>
      <c r="U47" s="65" t="n"/>
      <c r="V47" s="65" t="n"/>
      <c r="W47" s="65" t="n"/>
    </row>
    <row r="48">
      <c r="A48" s="8" t="inlineStr">
        <is>
          <t>F</t>
        </is>
      </c>
      <c r="B48" s="9" t="inlineStr">
        <is>
          <t>100 Fly</t>
        </is>
      </c>
      <c r="C48" s="9" t="n">
        <v>17</v>
      </c>
      <c r="D48" s="9" t="n">
        <v>2</v>
      </c>
      <c r="E48" s="41" t="inlineStr">
        <is>
          <t>1:00.27</t>
        </is>
      </c>
      <c r="F48" s="35">
        <f>IFERROR(__xludf.DUMMYFUNCTION("IF(
  REGEXMATCH(E48, "":""),
  60*VALUE(INDEX(SPLIT(E48, "":""),1,1)) + VALUE(INDEX(SPLIT(E48, "":""),1,2)),
  VALUE(E48)
)"),60.27)</f>
        <v/>
      </c>
      <c r="G48" s="35">
        <f>average(F45-F47,F46-F48)</f>
        <v/>
      </c>
      <c r="H48" s="35" t="n">
        <v>0.8749999999999964</v>
      </c>
      <c r="I48" s="215">
        <f>C44</f>
        <v/>
      </c>
      <c r="J48" s="215">
        <f>C61</f>
        <v/>
      </c>
      <c r="K48" s="43">
        <f t="array" ref="K48">INDEX('Podium Target Times'!$C:$C, MATCH(A48&amp;B48, 'Podium Target Times'!$A:$A&amp;'Podium Target Times'!$B:$B, 0))
</f>
        <v/>
      </c>
      <c r="L48" s="12">
        <f>L50+G50</f>
        <v/>
      </c>
      <c r="M48" s="43">
        <f>IF(L48&lt;60, TEXT(L48,"0.00"), IF(L48&lt;600, TEXT(L48/86400,"m:ss.00"), TEXT(L48/86400,"mm:ss.00")))
</f>
        <v/>
      </c>
      <c r="N48" s="14">
        <f>IFERROR(__xludf.DUMMYFUNCTION("LET(
  gen,$A48, ev,$B48, t,$M48,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)"),682.0)</f>
        <v/>
      </c>
      <c r="O48" s="65" t="n"/>
      <c r="P48" s="69">
        <f>A53</f>
        <v/>
      </c>
      <c r="Q48" s="65">
        <f>B53</f>
        <v/>
      </c>
      <c r="R48" s="69">
        <f>C53</f>
        <v/>
      </c>
      <c r="S48" s="58">
        <f>M53</f>
        <v/>
      </c>
      <c r="T48" s="69">
        <f>N53</f>
        <v/>
      </c>
      <c r="U48" s="65" t="n"/>
      <c r="V48" s="65" t="n"/>
      <c r="W48" s="65" t="n"/>
    </row>
    <row r="49">
      <c r="A49" s="17" t="inlineStr">
        <is>
          <t>F</t>
        </is>
      </c>
      <c r="B49" s="18" t="inlineStr">
        <is>
          <t>100 Fly</t>
        </is>
      </c>
      <c r="C49" s="18" t="n">
        <v>17</v>
      </c>
      <c r="D49" s="221" t="n">
        <v>3</v>
      </c>
      <c r="E49" s="46" t="inlineStr">
        <is>
          <t>1:00.47</t>
        </is>
      </c>
      <c r="F49" s="21">
        <f>IFERROR(__xludf.DUMMYFUNCTION("IF(
  REGEXMATCH(E49, "":""),
  60*VALUE(INDEX(SPLIT(E49, "":""),1,1)) + VALUE(INDEX(SPLIT(E49, "":""),1,2)),
  VALUE(E49)
)"),60.47)</f>
        <v/>
      </c>
      <c r="G49" s="21">
        <f>average(F45-F47,F46-F48)</f>
        <v/>
      </c>
      <c r="H49" s="21" t="n">
        <v>0.8749999999999964</v>
      </c>
      <c r="I49" s="211">
        <f>C44</f>
        <v/>
      </c>
      <c r="J49" s="211">
        <f>C61</f>
        <v/>
      </c>
      <c r="K49" s="60">
        <f t="array" ref="K49">INDEX('Podium Target Times'!$C:$C, MATCH(A49&amp;B49, 'Podium Target Times'!$A:$A&amp;'Podium Target Times'!$B:$B, 0))
</f>
        <v/>
      </c>
      <c r="L49" s="24">
        <f>L50+G50</f>
        <v/>
      </c>
      <c r="M49" s="60">
        <f>IF(L49&lt;60, TEXT(L49,"0.00"), IF(L49&lt;600, TEXT(L49/86400,"m:ss.00"), TEXT(L49/86400,"mm:ss.00")))
</f>
        <v/>
      </c>
      <c r="N49" s="25">
        <f>IFERROR(__xludf.DUMMYFUNCTION("LET(
  gen,$A49, ev,$B49, t,$M49,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)"),682.0)</f>
        <v/>
      </c>
      <c r="O49" s="65" t="n"/>
      <c r="P49" s="69">
        <f>A56</f>
        <v/>
      </c>
      <c r="Q49" s="65">
        <f>B56</f>
        <v/>
      </c>
      <c r="R49" s="69">
        <f>C56</f>
        <v/>
      </c>
      <c r="S49" s="58">
        <f>M56</f>
        <v/>
      </c>
      <c r="T49" s="69">
        <f>N56</f>
        <v/>
      </c>
      <c r="U49" s="65" t="n"/>
      <c r="V49" s="65" t="n"/>
      <c r="W49" s="65" t="n"/>
    </row>
    <row r="50">
      <c r="A50" s="8" t="inlineStr">
        <is>
          <t>F</t>
        </is>
      </c>
      <c r="B50" s="9" t="inlineStr">
        <is>
          <t>100 Fly</t>
        </is>
      </c>
      <c r="C50" s="9" t="n">
        <v>18</v>
      </c>
      <c r="D50" s="219" t="n">
        <v>1</v>
      </c>
      <c r="E50" s="41" t="inlineStr">
        <is>
          <t>59.57</t>
        </is>
      </c>
      <c r="F50" s="35">
        <f>IFERROR(__xludf.DUMMYFUNCTION("IF(
  REGEXMATCH(E50, "":""),
  60*VALUE(INDEX(SPLIT(E50, "":""),1,1)) + VALUE(INDEX(SPLIT(E50, "":""),1,2)),
  VALUE(E50)
)"),59.57)</f>
        <v/>
      </c>
      <c r="G50" s="35">
        <f>average(F47-F50,F48-F51,F49-F52)</f>
        <v/>
      </c>
      <c r="H50" s="35" t="n">
        <v>0.3966666666666659</v>
      </c>
      <c r="I50" s="215">
        <f>C44</f>
        <v/>
      </c>
      <c r="J50" s="215">
        <f>C61</f>
        <v/>
      </c>
      <c r="K50" s="43">
        <f t="array" ref="K50">INDEX('Podium Target Times'!$C:$C, MATCH(A50&amp;B50, 'Podium Target Times'!$A:$A&amp;'Podium Target Times'!$B:$B, 0))
</f>
        <v/>
      </c>
      <c r="L50" s="12">
        <f>L53+G53</f>
        <v/>
      </c>
      <c r="M50" s="43">
        <f>IF(L50&lt;60, TEXT(L50,"0.00"), IF(L50&lt;600, TEXT(L50/86400,"m:ss.00"), TEXT(L50/86400,"mm:ss.00")))
</f>
        <v/>
      </c>
      <c r="N50" s="14">
        <f>IFERROR(__xludf.DUMMYFUNCTION("LET(
  gen,$A50, ev,$B50, t,$M50,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
      </c>
      <c r="O50" s="65" t="n"/>
      <c r="P50" s="69">
        <f>A58</f>
        <v/>
      </c>
      <c r="Q50" s="65">
        <f>B58</f>
        <v/>
      </c>
      <c r="R50" s="69">
        <f>C58</f>
        <v/>
      </c>
      <c r="S50" s="58">
        <f>M58</f>
        <v/>
      </c>
      <c r="T50" s="69">
        <f>N58</f>
        <v/>
      </c>
      <c r="U50" s="65" t="n"/>
      <c r="V50" s="65" t="n"/>
      <c r="W50" s="65" t="n"/>
    </row>
    <row r="51">
      <c r="A51" s="17" t="inlineStr">
        <is>
          <t>F</t>
        </is>
      </c>
      <c r="B51" s="18" t="inlineStr">
        <is>
          <t>100 Fly</t>
        </is>
      </c>
      <c r="C51" s="18" t="n">
        <v>18</v>
      </c>
      <c r="D51" s="18" t="n">
        <v>2</v>
      </c>
      <c r="E51" s="46" t="inlineStr">
        <is>
          <t>59.77</t>
        </is>
      </c>
      <c r="F51" s="21">
        <f>IFERROR(__xludf.DUMMYFUNCTION("IF(
  REGEXMATCH(E51, "":""),
  60*VALUE(INDEX(SPLIT(E51, "":""),1,1)) + VALUE(INDEX(SPLIT(E51, "":""),1,2)),
  VALUE(E51)
)"),59.77)</f>
        <v/>
      </c>
      <c r="G51" s="21">
        <f>average(F47-F50,F48-F51,F49-F52)</f>
        <v/>
      </c>
      <c r="H51" s="21" t="n">
        <v>0.3966666666666659</v>
      </c>
      <c r="I51" s="211">
        <f>C44</f>
        <v/>
      </c>
      <c r="J51" s="211">
        <f>C61</f>
        <v/>
      </c>
      <c r="K51" s="60">
        <f t="array" ref="K51">INDEX('Podium Target Times'!$C:$C, MATCH(A51&amp;B51, 'Podium Target Times'!$A:$A&amp;'Podium Target Times'!$B:$B, 0))
</f>
        <v/>
      </c>
      <c r="L51" s="24">
        <f>L53+G53</f>
        <v/>
      </c>
      <c r="M51" s="60">
        <f>IF(L51&lt;60, TEXT(L51,"0.00"), IF(L51&lt;600, TEXT(L51/86400,"m:ss.00"), TEXT(L51/86400,"mm:ss.00")))
</f>
        <v/>
      </c>
      <c r="N51" s="25">
        <f>IFERROR(__xludf.DUMMYFUNCTION("LET(
  gen,$A51, ev,$B51, t,$M51,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
      </c>
      <c r="O51" s="65" t="n"/>
      <c r="P51" s="69">
        <f>A60</f>
        <v/>
      </c>
      <c r="Q51" s="65">
        <f>B60</f>
        <v/>
      </c>
      <c r="R51" s="69">
        <f>C60</f>
        <v/>
      </c>
      <c r="S51" s="58">
        <f>M60</f>
        <v/>
      </c>
      <c r="T51" s="69">
        <f>N60</f>
        <v/>
      </c>
      <c r="U51" s="65" t="n"/>
      <c r="V51" s="65" t="n"/>
      <c r="W51" s="65" t="n"/>
    </row>
    <row r="52">
      <c r="A52" s="8" t="inlineStr">
        <is>
          <t>F</t>
        </is>
      </c>
      <c r="B52" s="9" t="inlineStr">
        <is>
          <t>100 Fly</t>
        </is>
      </c>
      <c r="C52" s="9" t="n">
        <v>18</v>
      </c>
      <c r="D52" s="219" t="n">
        <v>3</v>
      </c>
      <c r="E52" s="41" t="inlineStr">
        <is>
          <t>59.77</t>
        </is>
      </c>
      <c r="F52" s="35">
        <f>IFERROR(__xludf.DUMMYFUNCTION("IF(
  REGEXMATCH(E52, "":""),
  60*VALUE(INDEX(SPLIT(E52, "":""),1,1)) + VALUE(INDEX(SPLIT(E52, "":""),1,2)),
  VALUE(E52)
)"),59.77)</f>
        <v/>
      </c>
      <c r="G52" s="35">
        <f>average(F47-F50,F48-F51,F49-F52)</f>
        <v/>
      </c>
      <c r="H52" s="35" t="n">
        <v>0.3966666666666659</v>
      </c>
      <c r="I52" s="215">
        <f>C44</f>
        <v/>
      </c>
      <c r="J52" s="215">
        <f>C61</f>
        <v/>
      </c>
      <c r="K52" s="43">
        <f t="array" ref="K52">INDEX('Podium Target Times'!$C:$C, MATCH(A52&amp;B52, 'Podium Target Times'!$A:$A&amp;'Podium Target Times'!$B:$B, 0))
</f>
        <v/>
      </c>
      <c r="L52" s="12">
        <f>L53+G53</f>
        <v/>
      </c>
      <c r="M52" s="43">
        <f>IF(L52&lt;60, TEXT(L52,"0.00"), IF(L52&lt;600, TEXT(L52/86400,"m:ss.00"), TEXT(L52/86400,"mm:ss.00")))
</f>
        <v/>
      </c>
      <c r="N52" s="14">
        <f>IFERROR(__xludf.DUMMYFUNCTION("LET(
  gen,$A52, ev,$B52, t,$M52,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
      </c>
      <c r="O52" s="65" t="n"/>
      <c r="P52" s="69">
        <f>A61</f>
        <v/>
      </c>
      <c r="Q52" s="65">
        <f>B61</f>
        <v/>
      </c>
      <c r="R52" s="69">
        <f>C61</f>
        <v/>
      </c>
      <c r="S52" s="58">
        <f>M61</f>
        <v/>
      </c>
      <c r="T52" s="69">
        <f>N61</f>
        <v/>
      </c>
      <c r="U52" s="65" t="n">
        <v>760</v>
      </c>
      <c r="V52" s="65" t="n"/>
      <c r="W52" s="65" t="n"/>
    </row>
    <row r="53">
      <c r="A53" s="17" t="inlineStr">
        <is>
          <t>F</t>
        </is>
      </c>
      <c r="B53" s="18" t="inlineStr">
        <is>
          <t>100 Fly</t>
        </is>
      </c>
      <c r="C53" s="18" t="n">
        <v>19</v>
      </c>
      <c r="D53" s="221" t="n">
        <v>1</v>
      </c>
      <c r="E53" s="46" t="inlineStr">
        <is>
          <t>58.33</t>
        </is>
      </c>
      <c r="F53" s="21">
        <f>IFERROR(__xludf.DUMMYFUNCTION("IF(
  REGEXMATCH(E53, "":""),
  60*VALUE(INDEX(SPLIT(E53, "":""),1,1)) + VALUE(INDEX(SPLIT(E53, "":""),1,2)),
  VALUE(E53)
)"),58.33)</f>
        <v/>
      </c>
      <c r="G53" s="21">
        <f>average(F50-F53,F51-F54,F52-F55)</f>
        <v/>
      </c>
      <c r="H53" s="21" t="n">
        <v>0.843333333333336</v>
      </c>
      <c r="I53" s="211">
        <f>C44</f>
        <v/>
      </c>
      <c r="J53" s="211">
        <f>C61</f>
        <v/>
      </c>
      <c r="K53" s="60">
        <f t="array" ref="K53">INDEX('Podium Target Times'!$C:$C, MATCH(A53&amp;B53, 'Podium Target Times'!$A:$A&amp;'Podium Target Times'!$B:$B, 0))
</f>
        <v/>
      </c>
      <c r="L53" s="24">
        <f>L56+G56</f>
        <v/>
      </c>
      <c r="M53" s="60">
        <f>IF(L53&lt;60, TEXT(L53,"0.00"), IF(L53&lt;600, TEXT(L53/86400,"m:ss.00"), TEXT(L53/86400,"mm:ss.00")))
</f>
        <v/>
      </c>
      <c r="N53" s="25">
        <f>IFERROR(__xludf.DUMMYFUNCTION("LET(
  gen,$A53, ev,$B53, t,$M53,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
      </c>
      <c r="O53" s="65" t="n"/>
      <c r="P53" s="69">
        <f>P52</f>
        <v/>
      </c>
      <c r="Q53" s="65">
        <f>Q52</f>
        <v/>
      </c>
      <c r="R53" s="69">
        <f>R52+1</f>
        <v/>
      </c>
      <c r="S53" s="58">
        <f>M62</f>
        <v/>
      </c>
      <c r="T53" s="69">
        <f>N62</f>
        <v/>
      </c>
      <c r="U53" s="65" t="n"/>
      <c r="V53" s="65" t="n"/>
      <c r="W53" s="65" t="n"/>
    </row>
    <row r="54">
      <c r="A54" s="8" t="inlineStr">
        <is>
          <t>F</t>
        </is>
      </c>
      <c r="B54" s="9" t="inlineStr">
        <is>
          <t>100 Fly</t>
        </is>
      </c>
      <c r="C54" s="9" t="n">
        <v>19</v>
      </c>
      <c r="D54" s="9" t="n">
        <v>2</v>
      </c>
      <c r="E54" s="41" t="inlineStr">
        <is>
          <t>59.03</t>
        </is>
      </c>
      <c r="F54" s="35">
        <f>IFERROR(__xludf.DUMMYFUNCTION("IF(
  REGEXMATCH(E54, "":""),
  60*VALUE(INDEX(SPLIT(E54, "":""),1,1)) + VALUE(INDEX(SPLIT(E54, "":""),1,2)),
  VALUE(E54)
)"),59.03)</f>
        <v/>
      </c>
      <c r="G54" s="35">
        <f>average(F50-F53,F51-F54,F52-F55)</f>
        <v/>
      </c>
      <c r="H54" s="35" t="n">
        <v>0.843333333333336</v>
      </c>
      <c r="I54" s="215">
        <f>C44</f>
        <v/>
      </c>
      <c r="J54" s="215">
        <f>C61</f>
        <v/>
      </c>
      <c r="K54" s="43">
        <f t="array" ref="K54">INDEX('Podium Target Times'!$C:$C, MATCH(A54&amp;B54, 'Podium Target Times'!$A:$A&amp;'Podium Target Times'!$B:$B, 0))
</f>
        <v/>
      </c>
      <c r="L54" s="12">
        <f>L56+G56</f>
        <v/>
      </c>
      <c r="M54" s="43">
        <f>IF(L54&lt;60, TEXT(L54,"0.00"), IF(L54&lt;600, TEXT(L54/86400,"m:ss.00"), TEXT(L54/86400,"mm:ss.00")))
</f>
        <v/>
      </c>
      <c r="N54" s="14">
        <f>IFERROR(__xludf.DUMMYFUNCTION("LET(
  gen,$A54, ev,$B54, t,$M54,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
      </c>
      <c r="O54" s="65" t="n"/>
      <c r="P54" s="69">
        <f>P53</f>
        <v/>
      </c>
      <c r="Q54" s="65">
        <f>Q53</f>
        <v/>
      </c>
      <c r="R54" s="69">
        <f>R53+1</f>
        <v/>
      </c>
      <c r="S54" s="58">
        <f>M63</f>
        <v/>
      </c>
      <c r="T54" s="69">
        <f>N63</f>
        <v/>
      </c>
      <c r="U54" s="65" t="n"/>
      <c r="V54" s="65" t="n"/>
      <c r="W54" s="65" t="n"/>
    </row>
    <row r="55">
      <c r="A55" s="17" t="inlineStr">
        <is>
          <t>F</t>
        </is>
      </c>
      <c r="B55" s="18" t="inlineStr">
        <is>
          <t>100 Fly</t>
        </is>
      </c>
      <c r="C55" s="18" t="n">
        <v>19</v>
      </c>
      <c r="D55" s="221" t="n">
        <v>3</v>
      </c>
      <c r="E55" s="46" t="inlineStr">
        <is>
          <t>59.22</t>
        </is>
      </c>
      <c r="F55" s="21">
        <f>IFERROR(__xludf.DUMMYFUNCTION("IF(
  REGEXMATCH(E55, "":""),
  60*VALUE(INDEX(SPLIT(E55, "":""),1,1)) + VALUE(INDEX(SPLIT(E55, "":""),1,2)),
  VALUE(E55)
)"),59.22)</f>
        <v/>
      </c>
      <c r="G55" s="21">
        <f>average(F50-F53,F51-F54,F52-F55)</f>
        <v/>
      </c>
      <c r="H55" s="21" t="n">
        <v>0.843333333333336</v>
      </c>
      <c r="I55" s="211">
        <f>C44</f>
        <v/>
      </c>
      <c r="J55" s="211">
        <f>C61</f>
        <v/>
      </c>
      <c r="K55" s="60">
        <f t="array" ref="K55">INDEX('Podium Target Times'!$C:$C, MATCH(A55&amp;B55, 'Podium Target Times'!$A:$A&amp;'Podium Target Times'!$B:$B, 0))
</f>
        <v/>
      </c>
      <c r="L55" s="24">
        <f>L56+G56</f>
        <v/>
      </c>
      <c r="M55" s="60">
        <f>IF(L55&lt;60, TEXT(L55,"0.00"), IF(L55&lt;600, TEXT(L55/86400,"m:ss.00"), TEXT(L55/86400,"mm:ss.00")))
</f>
        <v/>
      </c>
      <c r="N55" s="25">
        <f>IFERROR(__xludf.DUMMYFUNCTION("LET(
  gen,$A55, ev,$B55, t,$M55,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
      </c>
      <c r="O55" s="65" t="n"/>
      <c r="P55" s="69" t="n"/>
      <c r="Q55" s="65" t="n"/>
      <c r="R55" s="69" t="n"/>
      <c r="S55" s="58" t="n"/>
      <c r="T55" s="69" t="n"/>
      <c r="U55" s="65" t="n"/>
      <c r="V55" s="65" t="n"/>
      <c r="W55" s="65" t="n"/>
    </row>
    <row r="56">
      <c r="A56" s="8" t="inlineStr">
        <is>
          <t>F</t>
        </is>
      </c>
      <c r="B56" s="9" t="inlineStr">
        <is>
          <t>100 Fly</t>
        </is>
      </c>
      <c r="C56" s="9" t="n">
        <v>20</v>
      </c>
      <c r="D56" s="9" t="n">
        <v>2</v>
      </c>
      <c r="E56" s="41" t="inlineStr">
        <is>
          <t>58.60</t>
        </is>
      </c>
      <c r="F56" s="35">
        <f>IFERROR(__xludf.DUMMYFUNCTION("IF(
  REGEXMATCH(E56, "":""),
  60*VALUE(INDEX(SPLIT(E56, "":""),1,1)) + VALUE(INDEX(SPLIT(E56, "":""),1,2)),
  VALUE(E56)
)"),58.6)</f>
        <v/>
      </c>
      <c r="G56" s="35">
        <f>average(F54-F56,F55-F57)</f>
        <v/>
      </c>
      <c r="H56" s="35" t="n">
        <v>0.4250000000000007</v>
      </c>
      <c r="I56" s="215">
        <f>C44</f>
        <v/>
      </c>
      <c r="J56" s="215">
        <f>C61</f>
        <v/>
      </c>
      <c r="K56" s="43">
        <f t="array" ref="K56">INDEX('Podium Target Times'!$C:$C, MATCH(A56&amp;B56, 'Podium Target Times'!$A:$A&amp;'Podium Target Times'!$B:$B, 0))
</f>
        <v/>
      </c>
      <c r="L56" s="12">
        <f>L58+G58</f>
        <v/>
      </c>
      <c r="M56" s="43">
        <f>IF(L56&lt;60, TEXT(L56,"0.00"), IF(L56&lt;600, TEXT(L56/86400,"m:ss.00"), TEXT(L56/86400,"mm:ss.00")))
</f>
        <v/>
      </c>
      <c r="N56" s="14">
        <f>IFERROR(__xludf.DUMMYFUNCTION("LET(
  gen,$A56, ev,$B56, t,$M56,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
      </c>
      <c r="O56" s="65" t="n"/>
      <c r="P56" s="69" t="n"/>
      <c r="Q56" s="65" t="n"/>
      <c r="R56" s="69" t="n"/>
      <c r="S56" s="58" t="n"/>
      <c r="T56" s="69" t="n"/>
      <c r="U56" s="65" t="n"/>
      <c r="V56" s="65" t="n"/>
      <c r="W56" s="65" t="n"/>
    </row>
    <row r="57">
      <c r="A57" s="17" t="inlineStr">
        <is>
          <t>F</t>
        </is>
      </c>
      <c r="B57" s="18" t="inlineStr">
        <is>
          <t>100 Fly</t>
        </is>
      </c>
      <c r="C57" s="18" t="n">
        <v>20</v>
      </c>
      <c r="D57" s="221" t="n">
        <v>3</v>
      </c>
      <c r="E57" s="46" t="inlineStr">
        <is>
          <t>58.80</t>
        </is>
      </c>
      <c r="F57" s="21">
        <f>IFERROR(__xludf.DUMMYFUNCTION("IF(
  REGEXMATCH(E57, "":""),
  60*VALUE(INDEX(SPLIT(E57, "":""),1,1)) + VALUE(INDEX(SPLIT(E57, "":""),1,2)),
  VALUE(E57)
)"),58.8)</f>
        <v/>
      </c>
      <c r="G57" s="21">
        <f>average(F54-F56,F55-F57)</f>
        <v/>
      </c>
      <c r="H57" s="21" t="n">
        <v>0.4250000000000007</v>
      </c>
      <c r="I57" s="211">
        <f>C44</f>
        <v/>
      </c>
      <c r="J57" s="211">
        <f>C61</f>
        <v/>
      </c>
      <c r="K57" s="60">
        <f t="array" ref="K57">INDEX('Podium Target Times'!$C:$C, MATCH(A57&amp;B57, 'Podium Target Times'!$A:$A&amp;'Podium Target Times'!$B:$B, 0))
</f>
        <v/>
      </c>
      <c r="L57" s="24">
        <f>L58+G58</f>
        <v/>
      </c>
      <c r="M57" s="60">
        <f>IF(L57&lt;60, TEXT(L57,"0.00"), IF(L57&lt;600, TEXT(L57/86400,"m:ss.00"), TEXT(L57/86400,"mm:ss.00")))
</f>
        <v/>
      </c>
      <c r="N57" s="25">
        <f>IFERROR(__xludf.DUMMYFUNCTION("LET(
  gen,$A57, ev,$B57, t,$M57,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
      </c>
      <c r="O57" s="65" t="n"/>
      <c r="P57" s="69" t="n"/>
      <c r="Q57" s="65" t="n"/>
      <c r="R57" s="69" t="n"/>
      <c r="S57" s="58" t="n"/>
      <c r="T57" s="69" t="n"/>
      <c r="U57" s="65" t="n"/>
      <c r="V57" s="65" t="n"/>
      <c r="W57" s="65" t="n"/>
    </row>
    <row r="58">
      <c r="A58" s="8" t="inlineStr">
        <is>
          <t>F</t>
        </is>
      </c>
      <c r="B58" s="9" t="inlineStr">
        <is>
          <t>100 Fly</t>
        </is>
      </c>
      <c r="C58" s="9" t="n">
        <v>21</v>
      </c>
      <c r="D58" s="219" t="n">
        <v>2</v>
      </c>
      <c r="E58" s="41" t="inlineStr">
        <is>
          <t>58.33</t>
        </is>
      </c>
      <c r="F58" s="35">
        <f>IFERROR(__xludf.DUMMYFUNCTION("IF(
  REGEXMATCH(E58, "":""),
  60*VALUE(INDEX(SPLIT(E58, "":""),1,1)) + VALUE(INDEX(SPLIT(E58, "":""),1,2)),
  VALUE(E58)
)"),58.33)</f>
        <v/>
      </c>
      <c r="G58" s="35">
        <f>average(F56-F58,F57-F59)</f>
        <v/>
      </c>
      <c r="H58" s="35" t="n">
        <v>0.2749999999999986</v>
      </c>
      <c r="I58" s="215">
        <f>C44</f>
        <v/>
      </c>
      <c r="J58" s="215">
        <f>C61</f>
        <v/>
      </c>
      <c r="K58" s="43">
        <f t="array" ref="K58">INDEX('Podium Target Times'!$C:$C, MATCH(A58&amp;B58, 'Podium Target Times'!$A:$A&amp;'Podium Target Times'!$B:$B, 0))
</f>
        <v/>
      </c>
      <c r="L58" s="12">
        <f>L60+G60</f>
        <v/>
      </c>
      <c r="M58" s="43">
        <f>IF(L58&lt;60, TEXT(L58,"0.00"), IF(L58&lt;600, TEXT(L58/86400,"m:ss.00"), TEXT(L58/86400,"mm:ss.00")))
</f>
        <v/>
      </c>
      <c r="N58" s="14">
        <f>IFERROR(__xludf.DUMMYFUNCTION("LET(
  gen,$A58, ev,$B58, t,$M58,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)"),749.0)</f>
        <v/>
      </c>
      <c r="O58" s="65" t="n"/>
      <c r="P58" s="69" t="n"/>
      <c r="Q58" s="65" t="n"/>
      <c r="R58" s="69" t="n"/>
      <c r="S58" s="58" t="n"/>
      <c r="T58" s="69" t="n"/>
      <c r="U58" s="65" t="n"/>
      <c r="V58" s="65" t="n"/>
      <c r="W58" s="65" t="n"/>
    </row>
    <row r="59">
      <c r="A59" s="17" t="inlineStr">
        <is>
          <t>F</t>
        </is>
      </c>
      <c r="B59" s="18" t="inlineStr">
        <is>
          <t>100 Fly</t>
        </is>
      </c>
      <c r="C59" s="18" t="n">
        <v>21</v>
      </c>
      <c r="D59" s="221" t="n">
        <v>3</v>
      </c>
      <c r="E59" s="46" t="inlineStr">
        <is>
          <t>58.52</t>
        </is>
      </c>
      <c r="F59" s="21">
        <f>IFERROR(__xludf.DUMMYFUNCTION("IF(
  REGEXMATCH(E59, "":""),
  60*VALUE(INDEX(SPLIT(E59, "":""),1,1)) + VALUE(INDEX(SPLIT(E59, "":""),1,2)),
  VALUE(E59)
)"),58.52)</f>
        <v/>
      </c>
      <c r="G59" s="21">
        <f>average(F56-F58,F57-F59)</f>
        <v/>
      </c>
      <c r="H59" s="21" t="n">
        <v>0.2749999999999986</v>
      </c>
      <c r="I59" s="211">
        <f>C44</f>
        <v/>
      </c>
      <c r="J59" s="211">
        <f>C61</f>
        <v/>
      </c>
      <c r="K59" s="60">
        <f t="array" ref="K59">INDEX('Podium Target Times'!$C:$C, MATCH(A59&amp;B59, 'Podium Target Times'!$A:$A&amp;'Podium Target Times'!$B:$B, 0))
</f>
        <v/>
      </c>
      <c r="L59" s="24">
        <f>L60+G60</f>
        <v/>
      </c>
      <c r="M59" s="60">
        <f>IF(L59&lt;60, TEXT(L59,"0.00"), IF(L59&lt;600, TEXT(L59/86400,"m:ss.00"), TEXT(L59/86400,"mm:ss.00")))
</f>
        <v/>
      </c>
      <c r="N59" s="25">
        <f>IFERROR(__xludf.DUMMYFUNCTION("LET(
  gen,$A59, ev,$B59, t,$M59,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)"),749.0)</f>
        <v/>
      </c>
      <c r="O59" s="65" t="n"/>
      <c r="P59" s="69" t="n"/>
      <c r="Q59" s="65" t="n"/>
      <c r="R59" s="69" t="n"/>
      <c r="S59" s="58" t="n"/>
      <c r="T59" s="69" t="n"/>
      <c r="U59" s="65" t="n"/>
      <c r="V59" s="65" t="n"/>
      <c r="W59" s="65" t="n"/>
    </row>
    <row r="60">
      <c r="A60" s="8" t="inlineStr">
        <is>
          <t>F</t>
        </is>
      </c>
      <c r="B60" s="9" t="inlineStr">
        <is>
          <t>100 Fly</t>
        </is>
      </c>
      <c r="C60" s="9" t="n">
        <v>22</v>
      </c>
      <c r="D60" s="219" t="n">
        <v>3</v>
      </c>
      <c r="E60" s="41" t="inlineStr">
        <is>
          <t>58.38</t>
        </is>
      </c>
      <c r="F60" s="35">
        <f>IFERROR(__xludf.DUMMYFUNCTION("IF(
  REGEXMATCH(E60, "":""),
  60*VALUE(INDEX(SPLIT(E60, "":""),1,1)) + VALUE(INDEX(SPLIT(E60, "":""),1,2)),
  VALUE(E60)
)"),58.38)</f>
        <v/>
      </c>
      <c r="G60" s="35">
        <f>F59-F60</f>
        <v/>
      </c>
      <c r="H60" s="35" t="n">
        <v>0.1400000000000006</v>
      </c>
      <c r="I60" s="215">
        <f>C44</f>
        <v/>
      </c>
      <c r="J60" s="215">
        <f>C61</f>
        <v/>
      </c>
      <c r="K60" s="43">
        <f t="array" ref="K60">INDEX('Podium Target Times'!$C:$C, MATCH(A60&amp;B60, 'Podium Target Times'!$A:$A&amp;'Podium Target Times'!$B:$B, 0))
</f>
        <v/>
      </c>
      <c r="L60" s="12">
        <f>L61+G61</f>
        <v/>
      </c>
      <c r="M60" s="43">
        <f>IF(L60&lt;60, TEXT(L60,"0.00"), IF(L60&lt;600, TEXT(L60/86400,"m:ss.00"), TEXT(L60/86400,"mm:ss.00")))
</f>
        <v/>
      </c>
      <c r="N60" s="14">
        <f>IFERROR(__xludf.DUMMYFUNCTION("LET(
  gen,$A60, ev,$B60, t,$M60,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)"),754.0)</f>
        <v/>
      </c>
      <c r="O60" s="65" t="n"/>
      <c r="P60" s="69" t="n"/>
      <c r="Q60" s="65" t="n"/>
      <c r="R60" s="69" t="n"/>
      <c r="S60" s="58" t="n"/>
      <c r="T60" s="69" t="n"/>
      <c r="U60" s="65" t="n"/>
      <c r="V60" s="65" t="n"/>
      <c r="W60" s="65" t="n"/>
    </row>
    <row r="61">
      <c r="A61" s="17" t="inlineStr">
        <is>
          <t>F</t>
        </is>
      </c>
      <c r="B61" s="18" t="inlineStr">
        <is>
          <t>100 Fly</t>
        </is>
      </c>
      <c r="C61" s="18" t="n">
        <v>23</v>
      </c>
      <c r="D61" s="221" t="n">
        <v>3</v>
      </c>
      <c r="E61" s="46" t="inlineStr">
        <is>
          <t>58.33</t>
        </is>
      </c>
      <c r="F61" s="21">
        <f>IFERROR(__xludf.DUMMYFUNCTION("IF(
  REGEXMATCH(E61, "":""),
  60*VALUE(INDEX(SPLIT(E61, "":""),1,1)) + VALUE(INDEX(SPLIT(E61, "":""),1,2)),
  VALUE(E61)
)"),58.33)</f>
        <v/>
      </c>
      <c r="G61" s="21">
        <f>F60-F61</f>
        <v/>
      </c>
      <c r="H61" s="21" t="n">
        <v>0.05000000000000426</v>
      </c>
      <c r="I61" s="211">
        <f>C44</f>
        <v/>
      </c>
      <c r="J61" s="211">
        <f>C61</f>
        <v/>
      </c>
      <c r="K61" s="60">
        <f t="array" ref="K61">INDEX('Podium Target Times'!$C:$C, MATCH(A61&amp;B61, 'Podium Target Times'!$A:$A&amp;'Podium Target Times'!$B:$B, 0))
</f>
        <v/>
      </c>
      <c r="L61" s="21">
        <f>G61+L62</f>
        <v/>
      </c>
      <c r="M61" s="60">
        <f>IF(L61&lt;60, TEXT(L61,"0.00"), IF(L61&lt;600, TEXT(L61/86400,"m:ss.00"), TEXT(L61/86400,"mm:ss.00")))
</f>
        <v/>
      </c>
      <c r="N61" s="25">
        <f>IFERROR(__xludf.DUMMYFUNCTION("LET(
  gen,$A61, ev,$B61, t,$M61,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)"),756.0)</f>
        <v/>
      </c>
      <c r="O61" s="65" t="n"/>
      <c r="P61" s="69" t="n"/>
      <c r="Q61" s="65" t="n"/>
      <c r="R61" s="69" t="n"/>
      <c r="S61" s="58" t="n"/>
      <c r="T61" s="69" t="n"/>
      <c r="U61" s="65" t="n"/>
      <c r="V61" s="65" t="n"/>
      <c r="W61" s="65" t="n"/>
    </row>
    <row r="62">
      <c r="A62" s="8" t="inlineStr">
        <is>
          <t>F</t>
        </is>
      </c>
      <c r="B62" s="9" t="inlineStr">
        <is>
          <t>100 Fly</t>
        </is>
      </c>
      <c r="C62" s="9" t="n">
        <v>24</v>
      </c>
      <c r="D62" s="9" t="n"/>
      <c r="E62" s="483" t="n"/>
      <c r="F62" s="35">
        <f>IFERROR(__xludf.DUMMYFUNCTION("IF(
  REGEXMATCH(E62, "":""),
  60*VALUE(INDEX(SPLIT(E62, "":""),1,1)) + VALUE(INDEX(SPLIT(E62, "":""),1,2)),
  VALUE(E62)
)"),0.0)</f>
        <v/>
      </c>
      <c r="G62" s="12" t="n"/>
      <c r="H62" s="12" t="n"/>
      <c r="I62" s="43">
        <f>C44</f>
        <v/>
      </c>
      <c r="J62" s="43">
        <f>C61</f>
        <v/>
      </c>
      <c r="K62" s="43">
        <f t="array" ref="K62">INDEX('Podium Target Times'!$C:$C, MATCH(A62&amp;B62, 'Podium Target Times'!$A:$A&amp;'Podium Target Times'!$B:$B, 0))
</f>
        <v/>
      </c>
      <c r="L62" s="12">
        <f>G61+L63</f>
        <v/>
      </c>
      <c r="M62" s="43">
        <f>IF(L62&lt;60, TEXT(L62,"0.00"), IF(L62&lt;600, TEXT(L62/86400,"m:ss.00"), TEXT(L62/86400,"mm:ss.00")))
</f>
        <v/>
      </c>
      <c r="N62" s="14">
        <f>IFERROR(__xludf.DUMMYFUNCTION("LET(
  gen,$A62, ev,$B62, t,$M62,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)"),758.0)</f>
        <v/>
      </c>
      <c r="O62" s="65" t="n"/>
      <c r="P62" s="69" t="n"/>
      <c r="Q62" s="65" t="n"/>
      <c r="R62" s="69" t="n"/>
      <c r="S62" s="58" t="n"/>
      <c r="T62" s="69" t="n"/>
      <c r="U62" s="65" t="n"/>
      <c r="V62" s="65" t="n"/>
      <c r="W62" s="65" t="n"/>
    </row>
    <row r="63">
      <c r="A63" s="17" t="inlineStr">
        <is>
          <t>F</t>
        </is>
      </c>
      <c r="B63" s="18" t="inlineStr">
        <is>
          <t>100 Fly</t>
        </is>
      </c>
      <c r="C63" s="18" t="n">
        <v>25</v>
      </c>
      <c r="D63" s="18" t="n"/>
      <c r="E63" s="491" t="n"/>
      <c r="F63" s="21">
        <f>IFERROR(__xludf.DUMMYFUNCTION("IF(
  REGEXMATCH(E63, "":""),
  60*VALUE(INDEX(SPLIT(E63, "":""),1,1)) + VALUE(INDEX(SPLIT(E63, "":""),1,2)),
  VALUE(E63)
)"),0.0)</f>
        <v/>
      </c>
      <c r="G63" s="24" t="n"/>
      <c r="H63" s="24" t="n"/>
      <c r="I63" s="60">
        <f>C44</f>
        <v/>
      </c>
      <c r="J63" s="60">
        <f>C61</f>
        <v/>
      </c>
      <c r="K63" s="60">
        <f t="array" ref="K63">INDEX('Podium Target Times'!$C:$C, MATCH(A63&amp;B63, 'Podium Target Times'!$A:$A&amp;'Podium Target Times'!$B:$B, 0))
</f>
        <v/>
      </c>
      <c r="L63" s="60">
        <f>K63</f>
        <v/>
      </c>
      <c r="M63" s="60">
        <f>IF(L63&lt;60, TEXT(L63,"0.00"), IF(L63&lt;600, TEXT(L63/86400,"m:ss.00"), TEXT(L63/86400,"mm:ss.00")))
</f>
        <v/>
      </c>
      <c r="N63" s="25">
        <f>IFERROR(__xludf.DUMMYFUNCTION("LET(
  gen,$A63, ev,$B63, t,$M63,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O63" s="65" t="n"/>
      <c r="P63" s="69" t="n"/>
      <c r="Q63" s="65" t="n"/>
      <c r="R63" s="69" t="n"/>
      <c r="S63" s="58" t="n"/>
      <c r="T63" s="69" t="n"/>
      <c r="U63" s="65" t="n"/>
      <c r="V63" s="65" t="n"/>
      <c r="W63" s="65" t="n"/>
    </row>
    <row r="64">
      <c r="A64" s="8" t="inlineStr">
        <is>
          <t>F</t>
        </is>
      </c>
      <c r="B64" s="9" t="inlineStr">
        <is>
          <t>100 Free</t>
        </is>
      </c>
      <c r="C64" s="9" t="n">
        <v>15</v>
      </c>
      <c r="D64" s="9" t="n">
        <v>1</v>
      </c>
      <c r="E64" s="483" t="inlineStr">
        <is>
          <t>56.85</t>
        </is>
      </c>
      <c r="F64" s="35">
        <f>IFERROR(__xludf.DUMMYFUNCTION("IF(
  REGEXMATCH(E64, "":""),
  60*VALUE(INDEX(SPLIT(E64, "":""),1,1)) + VALUE(INDEX(SPLIT(E64, "":""),1,2)),
  VALUE(E64)
)"),56.85)</f>
        <v/>
      </c>
      <c r="G64" s="12" t="n">
        <v>0</v>
      </c>
      <c r="H64" s="12" t="n">
        <v>0</v>
      </c>
      <c r="I64" s="43">
        <f>C64</f>
        <v/>
      </c>
      <c r="J64" s="43">
        <f>C81</f>
        <v/>
      </c>
      <c r="K64" s="43">
        <f t="array" ref="K64">INDEX('Podium Target Times'!$C:$C, MATCH(A64&amp;B64, 'Podium Target Times'!$A:$A&amp;'Podium Target Times'!$B:$B, 0))
</f>
        <v/>
      </c>
      <c r="L64" s="12">
        <f>L65+G65</f>
        <v/>
      </c>
      <c r="M64" s="43">
        <f>IF(L64&lt;60, TEXT(L64,"0.00"), IF(L64&lt;600, TEXT(L64/86400,"m:ss.00"), TEXT(L64/86400,"mm:ss.00")))
</f>
        <v/>
      </c>
      <c r="N64" s="14">
        <f>IFERROR(__xludf.DUMMYFUNCTION("LET(
  gen,$A64, ev,$B64, t,$M64,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)"),635.0)</f>
        <v/>
      </c>
      <c r="O64" s="65" t="n"/>
      <c r="P64" s="69">
        <f>A64</f>
        <v/>
      </c>
      <c r="Q64" s="65">
        <f>B64</f>
        <v/>
      </c>
      <c r="R64" s="69">
        <f>C64</f>
        <v/>
      </c>
      <c r="S64" s="58">
        <f>M64</f>
        <v/>
      </c>
      <c r="T64" s="69">
        <f>N64</f>
        <v/>
      </c>
      <c r="U64" s="65" t="n">
        <v>642</v>
      </c>
      <c r="V64" s="65" t="n"/>
      <c r="W64" s="65" t="n"/>
    </row>
    <row r="65">
      <c r="A65" s="17" t="inlineStr">
        <is>
          <t>F</t>
        </is>
      </c>
      <c r="B65" s="18" t="inlineStr">
        <is>
          <t>100 Free</t>
        </is>
      </c>
      <c r="C65" s="18" t="n">
        <v>16</v>
      </c>
      <c r="D65" s="18" t="n">
        <v>1</v>
      </c>
      <c r="E65" s="491" t="inlineStr">
        <is>
          <t>55.76</t>
        </is>
      </c>
      <c r="F65" s="21">
        <f>IFERROR(__xludf.DUMMYFUNCTION("IF(
  REGEXMATCH(E65, "":""),
  60*VALUE(INDEX(SPLIT(E65, "":""),1,1)) + VALUE(INDEX(SPLIT(E65, "":""),1,2)),
  VALUE(E65)
)"),55.76)</f>
        <v/>
      </c>
      <c r="G65" s="21">
        <f>F64-F65</f>
        <v/>
      </c>
      <c r="H65" s="21" t="n">
        <v>1.090000000000003</v>
      </c>
      <c r="I65" s="211">
        <f>C64</f>
        <v/>
      </c>
      <c r="J65" s="211">
        <f>C81</f>
        <v/>
      </c>
      <c r="K65" s="60">
        <f t="array" ref="K65">INDEX('Podium Target Times'!$C:$C, MATCH(A65&amp;B65, 'Podium Target Times'!$A:$A&amp;'Podium Target Times'!$B:$B, 0))
</f>
        <v/>
      </c>
      <c r="L65" s="24">
        <f>L67+G67</f>
        <v/>
      </c>
      <c r="M65" s="60">
        <f>IF(L65&lt;60, TEXT(L65,"0.00"), IF(L65&lt;600, TEXT(L65/86400,"m:ss.00"), TEXT(L65/86400,"mm:ss.00")))
</f>
        <v/>
      </c>
      <c r="N65" s="25">
        <f>IFERROR(__xludf.DUMMYFUNCTION("LET(
  gen,$A65, ev,$B65, t,$M65,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)"),670.0)</f>
        <v/>
      </c>
      <c r="O65" s="65" t="n"/>
      <c r="P65" s="69">
        <f>A65</f>
        <v/>
      </c>
      <c r="Q65" s="65">
        <f>B65</f>
        <v/>
      </c>
      <c r="R65" s="69">
        <f>C65</f>
        <v/>
      </c>
      <c r="S65" s="58">
        <f>M65</f>
        <v/>
      </c>
      <c r="T65" s="69">
        <f>N65</f>
        <v/>
      </c>
      <c r="U65" s="65" t="n"/>
      <c r="V65" s="65" t="n"/>
      <c r="W65" s="65" t="n"/>
    </row>
    <row r="66">
      <c r="A66" s="8" t="inlineStr">
        <is>
          <t>F</t>
        </is>
      </c>
      <c r="B66" s="9" t="inlineStr">
        <is>
          <t>100 Free</t>
        </is>
      </c>
      <c r="C66" s="9" t="n">
        <v>16</v>
      </c>
      <c r="D66" s="9" t="n">
        <v>2</v>
      </c>
      <c r="E66" s="483" t="inlineStr">
        <is>
          <t>56.38</t>
        </is>
      </c>
      <c r="F66" s="35">
        <f>IFERROR(__xludf.DUMMYFUNCTION("IF(
  REGEXMATCH(E66, "":""),
  60*VALUE(INDEX(SPLIT(E66, "":""),1,1)) + VALUE(INDEX(SPLIT(E66, "":""),1,2)),
  VALUE(E66)
)"),56.38)</f>
        <v/>
      </c>
      <c r="G66" s="35">
        <f>F64-F65</f>
        <v/>
      </c>
      <c r="H66" s="35" t="n">
        <v>1.090000000000003</v>
      </c>
      <c r="I66" s="215">
        <f>C64</f>
        <v/>
      </c>
      <c r="J66" s="215">
        <f>C81</f>
        <v/>
      </c>
      <c r="K66" s="43">
        <f t="array" ref="K66">INDEX('Podium Target Times'!$C:$C, MATCH(A66&amp;B66, 'Podium Target Times'!$A:$A&amp;'Podium Target Times'!$B:$B, 0))
</f>
        <v/>
      </c>
      <c r="L66" s="12">
        <f>L67+G67</f>
        <v/>
      </c>
      <c r="M66" s="43">
        <f>IF(L66&lt;60, TEXT(L66,"0.00"), IF(L66&lt;600, TEXT(L66/86400,"m:ss.00"), TEXT(L66/86400,"mm:ss.00")))
</f>
        <v/>
      </c>
      <c r="N66" s="14">
        <f>IFERROR(__xludf.DUMMYFUNCTION("LET(
  gen,$A66, ev,$B66, t,$M66,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)"),670.0)</f>
        <v/>
      </c>
      <c r="O66" s="65" t="n"/>
      <c r="P66" s="69">
        <f>A67</f>
        <v/>
      </c>
      <c r="Q66" s="65">
        <f>B67</f>
        <v/>
      </c>
      <c r="R66" s="69">
        <f>C67</f>
        <v/>
      </c>
      <c r="S66" s="58">
        <f>M67</f>
        <v/>
      </c>
      <c r="T66" s="69">
        <f>N67</f>
        <v/>
      </c>
      <c r="U66" s="65" t="n"/>
      <c r="V66" s="65" t="n"/>
      <c r="W66" s="65" t="n"/>
    </row>
    <row r="67">
      <c r="A67" s="17" t="inlineStr">
        <is>
          <t>F</t>
        </is>
      </c>
      <c r="B67" s="18" t="inlineStr">
        <is>
          <t>100 Free</t>
        </is>
      </c>
      <c r="C67" s="18" t="n">
        <v>17</v>
      </c>
      <c r="D67" s="18" t="n">
        <v>1</v>
      </c>
      <c r="E67" s="491" t="inlineStr">
        <is>
          <t>55.07</t>
        </is>
      </c>
      <c r="F67" s="21">
        <f>IFERROR(__xludf.DUMMYFUNCTION("IF(
  REGEXMATCH(E67, "":""),
  60*VALUE(INDEX(SPLIT(E67, "":""),1,1)) + VALUE(INDEX(SPLIT(E67, "":""),1,2)),
  VALUE(E67)
)"),55.07)</f>
        <v/>
      </c>
      <c r="G67" s="21">
        <f>average(F65-F67,F66-F68)</f>
        <v/>
      </c>
      <c r="H67" s="21" t="n">
        <v>0.6950000000000003</v>
      </c>
      <c r="I67" s="211">
        <f>C64</f>
        <v/>
      </c>
      <c r="J67" s="211">
        <f>C81</f>
        <v/>
      </c>
      <c r="K67" s="60">
        <f t="array" ref="K67">INDEX('Podium Target Times'!$C:$C, MATCH(A67&amp;B67, 'Podium Target Times'!$A:$A&amp;'Podium Target Times'!$B:$B, 0))
</f>
        <v/>
      </c>
      <c r="L67" s="24">
        <f>L70+G70</f>
        <v/>
      </c>
      <c r="M67" s="60">
        <f>IF(L67&lt;60, TEXT(L67,"0.00"), IF(L67&lt;600, TEXT(L67/86400,"m:ss.00"), TEXT(L67/86400,"mm:ss.00")))
</f>
        <v/>
      </c>
      <c r="N67" s="25">
        <f>IFERROR(__xludf.DUMMYFUNCTION("LET(
  gen,$A67, ev,$B67, t,$M67,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
      </c>
      <c r="O67" s="65" t="n"/>
      <c r="P67" s="69">
        <f>A70</f>
        <v/>
      </c>
      <c r="Q67" s="65">
        <f>B70</f>
        <v/>
      </c>
      <c r="R67" s="69">
        <f>C70</f>
        <v/>
      </c>
      <c r="S67" s="58">
        <f>M70</f>
        <v/>
      </c>
      <c r="T67" s="69">
        <f>N70</f>
        <v/>
      </c>
      <c r="U67" s="65" t="n"/>
      <c r="V67" s="65" t="n"/>
      <c r="W67" s="65" t="n"/>
    </row>
    <row r="68">
      <c r="A68" s="8" t="inlineStr">
        <is>
          <t>F</t>
        </is>
      </c>
      <c r="B68" s="9" t="inlineStr">
        <is>
          <t>100 Free</t>
        </is>
      </c>
      <c r="C68" s="9" t="n">
        <v>17</v>
      </c>
      <c r="D68" s="9" t="n">
        <v>2</v>
      </c>
      <c r="E68" s="41" t="inlineStr">
        <is>
          <t>55.68</t>
        </is>
      </c>
      <c r="F68" s="35">
        <f>IFERROR(__xludf.DUMMYFUNCTION("IF(
  REGEXMATCH(E68, "":""),
  60*VALUE(INDEX(SPLIT(E68, "":""),1,1)) + VALUE(INDEX(SPLIT(E68, "":""),1,2)),
  VALUE(E68)
)"),55.68)</f>
        <v/>
      </c>
      <c r="G68" s="35">
        <f>average(F65-F67,F66-F68)</f>
        <v/>
      </c>
      <c r="H68" s="35" t="n">
        <v>0.6950000000000003</v>
      </c>
      <c r="I68" s="215">
        <f>C64</f>
        <v/>
      </c>
      <c r="J68" s="215">
        <f>C81</f>
        <v/>
      </c>
      <c r="K68" s="43">
        <f t="array" ref="K68">INDEX('Podium Target Times'!$C:$C, MATCH(A68&amp;B68, 'Podium Target Times'!$A:$A&amp;'Podium Target Times'!$B:$B, 0))
</f>
        <v/>
      </c>
      <c r="L68" s="12">
        <f>L70+G70</f>
        <v/>
      </c>
      <c r="M68" s="43">
        <f>IF(L68&lt;60, TEXT(L68,"0.00"), IF(L68&lt;600, TEXT(L68/86400,"m:ss.00"), TEXT(L68/86400,"mm:ss.00")))
</f>
        <v/>
      </c>
      <c r="N68" s="14">
        <f>IFERROR(__xludf.DUMMYFUNCTION("LET(
  gen,$A68, ev,$B68, t,$M68,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
      </c>
      <c r="O68" s="65" t="n"/>
      <c r="P68" s="69">
        <f>A73</f>
        <v/>
      </c>
      <c r="Q68" s="65">
        <f>B73</f>
        <v/>
      </c>
      <c r="R68" s="69">
        <f>C73</f>
        <v/>
      </c>
      <c r="S68" s="58">
        <f>M73</f>
        <v/>
      </c>
      <c r="T68" s="69">
        <f>N73</f>
        <v/>
      </c>
      <c r="U68" s="65" t="n"/>
      <c r="V68" s="65" t="n"/>
      <c r="W68" s="65" t="n"/>
    </row>
    <row r="69">
      <c r="A69" s="17" t="inlineStr">
        <is>
          <t>F</t>
        </is>
      </c>
      <c r="B69" s="18" t="inlineStr">
        <is>
          <t>100 Free</t>
        </is>
      </c>
      <c r="C69" s="18" t="n">
        <v>17</v>
      </c>
      <c r="D69" s="18" t="n">
        <v>3</v>
      </c>
      <c r="E69" s="46" t="inlineStr">
        <is>
          <t>55.99</t>
        </is>
      </c>
      <c r="F69" s="21">
        <f>IFERROR(__xludf.DUMMYFUNCTION("IF(
  REGEXMATCH(E69, "":""),
  60*VALUE(INDEX(SPLIT(E69, "":""),1,1)) + VALUE(INDEX(SPLIT(E69, "":""),1,2)),
  VALUE(E69)
)"),55.99)</f>
        <v/>
      </c>
      <c r="G69" s="21">
        <f>average(F65-F67,F66-F68)</f>
        <v/>
      </c>
      <c r="H69" s="21" t="n">
        <v>0.6950000000000003</v>
      </c>
      <c r="I69" s="211">
        <f>C64</f>
        <v/>
      </c>
      <c r="J69" s="211">
        <f>C81</f>
        <v/>
      </c>
      <c r="K69" s="60">
        <f t="array" ref="K69">INDEX('Podium Target Times'!$C:$C, MATCH(A69&amp;B69, 'Podium Target Times'!$A:$A&amp;'Podium Target Times'!$B:$B, 0))
</f>
        <v/>
      </c>
      <c r="L69" s="24">
        <f>L70+G70</f>
        <v/>
      </c>
      <c r="M69" s="60">
        <f>IF(L69&lt;60, TEXT(L69,"0.00"), IF(L69&lt;600, TEXT(L69/86400,"m:ss.00"), TEXT(L69/86400,"mm:ss.00")))
</f>
        <v/>
      </c>
      <c r="N69" s="25">
        <f>IFERROR(__xludf.DUMMYFUNCTION("LET(
  gen,$A69, ev,$B69, t,$M69,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
      </c>
      <c r="O69" s="65" t="n"/>
      <c r="P69" s="69">
        <f>A76</f>
        <v/>
      </c>
      <c r="Q69" s="65">
        <f>B76</f>
        <v/>
      </c>
      <c r="R69" s="69">
        <f>C76</f>
        <v/>
      </c>
      <c r="S69" s="58">
        <f>M76</f>
        <v/>
      </c>
      <c r="T69" s="69">
        <f>N76</f>
        <v/>
      </c>
      <c r="U69" s="65" t="n"/>
      <c r="V69" s="65" t="n"/>
      <c r="W69" s="65" t="n"/>
    </row>
    <row r="70">
      <c r="A70" s="8" t="inlineStr">
        <is>
          <t>F</t>
        </is>
      </c>
      <c r="B70" s="9" t="inlineStr">
        <is>
          <t>100 Free</t>
        </is>
      </c>
      <c r="C70" s="9" t="n">
        <v>18</v>
      </c>
      <c r="D70" s="9" t="n">
        <v>1</v>
      </c>
      <c r="E70" s="41" t="inlineStr">
        <is>
          <t>54.62</t>
        </is>
      </c>
      <c r="F70" s="35">
        <f>IFERROR(__xludf.DUMMYFUNCTION("IF(
  REGEXMATCH(E70, "":""),
  60*VALUE(INDEX(SPLIT(E70, "":""),1,1)) + VALUE(INDEX(SPLIT(E70, "":""),1,2)),
  VALUE(E70)
)"),54.62)</f>
        <v/>
      </c>
      <c r="G70" s="35">
        <f>average(F67-F70,F68-F71,F69-F72)</f>
        <v/>
      </c>
      <c r="H70" s="35" t="n">
        <v>0.4566666666666682</v>
      </c>
      <c r="I70" s="215">
        <f>C64</f>
        <v/>
      </c>
      <c r="J70" s="215">
        <f>C81</f>
        <v/>
      </c>
      <c r="K70" s="43">
        <f t="array" ref="K70">INDEX('Podium Target Times'!$C:$C, MATCH(A70&amp;B70, 'Podium Target Times'!$A:$A&amp;'Podium Target Times'!$B:$B, 0))
</f>
        <v/>
      </c>
      <c r="L70" s="12">
        <f>L73+G73</f>
        <v/>
      </c>
      <c r="M70" s="43">
        <f>IF(L70&lt;60, TEXT(L70,"0.00"), IF(L70&lt;600, TEXT(L70/86400,"m:ss.00"), TEXT(L70/86400,"mm:ss.00")))
</f>
        <v/>
      </c>
      <c r="N70" s="14">
        <f>IFERROR(__xludf.DUMMYFUNCTION("LET(
  gen,$A70, ev,$B70, t,$M70,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)"),711.0)</f>
        <v/>
      </c>
      <c r="O70" s="65" t="n"/>
      <c r="P70" s="69">
        <f>A78</f>
        <v/>
      </c>
      <c r="Q70" s="65">
        <f>B78</f>
        <v/>
      </c>
      <c r="R70" s="69">
        <f>C78</f>
        <v/>
      </c>
      <c r="S70" s="58">
        <f>M78</f>
        <v/>
      </c>
      <c r="T70" s="69">
        <f>N78</f>
        <v/>
      </c>
      <c r="U70" s="65" t="n"/>
      <c r="V70" s="65" t="n"/>
      <c r="W70" s="65" t="n"/>
    </row>
    <row r="71">
      <c r="A71" s="17" t="inlineStr">
        <is>
          <t>F</t>
        </is>
      </c>
      <c r="B71" s="18" t="inlineStr">
        <is>
          <t>100 Free</t>
        </is>
      </c>
      <c r="C71" s="18" t="n">
        <v>18</v>
      </c>
      <c r="D71" s="18" t="n">
        <v>2</v>
      </c>
      <c r="E71" s="46" t="inlineStr">
        <is>
          <t>55.22</t>
        </is>
      </c>
      <c r="F71" s="21">
        <f>IFERROR(__xludf.DUMMYFUNCTION("IF(
  REGEXMATCH(E71, "":""),
  60*VALUE(INDEX(SPLIT(E71, "":""),1,1)) + VALUE(INDEX(SPLIT(E71, "":""),1,2)),
  VALUE(E71)
)"),55.22)</f>
        <v/>
      </c>
      <c r="G71" s="21">
        <f>average(F67-F70,F68-F71,F69-F72)</f>
        <v/>
      </c>
      <c r="H71" s="21" t="n">
        <v>0.4566666666666682</v>
      </c>
      <c r="I71" s="211">
        <f>C64</f>
        <v/>
      </c>
      <c r="J71" s="211">
        <f>C81</f>
        <v/>
      </c>
      <c r="K71" s="60">
        <f t="array" ref="K71">INDEX('Podium Target Times'!$C:$C, MATCH(A71&amp;B71, 'Podium Target Times'!$A:$A&amp;'Podium Target Times'!$B:$B, 0))
</f>
        <v/>
      </c>
      <c r="L71" s="24">
        <f>L73+G73</f>
        <v/>
      </c>
      <c r="M71" s="60">
        <f>IF(L71&lt;60, TEXT(L71,"0.00"), IF(L71&lt;600, TEXT(L71/86400,"m:ss.00"), TEXT(L71/86400,"mm:ss.00")))
</f>
        <v/>
      </c>
      <c r="N71" s="25">
        <f>IFERROR(__xludf.DUMMYFUNCTION("LET(
  gen,$A71, ev,$B71, t,$M71,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)"),711.0)</f>
        <v/>
      </c>
      <c r="O71" s="65" t="n"/>
      <c r="P71" s="69">
        <f>A80</f>
        <v/>
      </c>
      <c r="Q71" s="65">
        <f>B80</f>
        <v/>
      </c>
      <c r="R71" s="69">
        <f>C80</f>
        <v/>
      </c>
      <c r="S71" s="58">
        <f>M80</f>
        <v/>
      </c>
      <c r="T71" s="69">
        <f>N80</f>
        <v/>
      </c>
      <c r="U71" s="65" t="n"/>
      <c r="V71" s="65" t="n"/>
      <c r="W71" s="65" t="n"/>
    </row>
    <row r="72">
      <c r="A72" s="8" t="inlineStr">
        <is>
          <t>F</t>
        </is>
      </c>
      <c r="B72" s="9" t="inlineStr">
        <is>
          <t>100 Free</t>
        </is>
      </c>
      <c r="C72" s="9" t="n">
        <v>18</v>
      </c>
      <c r="D72" s="9" t="n">
        <v>3</v>
      </c>
      <c r="E72" s="41" t="inlineStr">
        <is>
          <t>55.53</t>
        </is>
      </c>
      <c r="F72" s="35">
        <f>IFERROR(__xludf.DUMMYFUNCTION("IF(
  REGEXMATCH(E72, "":""),
  60*VALUE(INDEX(SPLIT(E72, "":""),1,1)) + VALUE(INDEX(SPLIT(E72, "":""),1,2)),
  VALUE(E72)
)"),55.53)</f>
        <v/>
      </c>
      <c r="G72" s="35">
        <f>average(F67-F70,F68-F71,F69-F72)</f>
        <v/>
      </c>
      <c r="H72" s="35" t="n">
        <v>0.4566666666666682</v>
      </c>
      <c r="I72" s="215">
        <f>C64</f>
        <v/>
      </c>
      <c r="J72" s="215">
        <f>C81</f>
        <v/>
      </c>
      <c r="K72" s="43">
        <f t="array" ref="K72">INDEX('Podium Target Times'!$C:$C, MATCH(A72&amp;B72, 'Podium Target Times'!$A:$A&amp;'Podium Target Times'!$B:$B, 0))
</f>
        <v/>
      </c>
      <c r="L72" s="12">
        <f>L73+G73</f>
        <v/>
      </c>
      <c r="M72" s="43">
        <f>IF(L72&lt;60, TEXT(L72,"0.00"), IF(L72&lt;600, TEXT(L72/86400,"m:ss.00"), TEXT(L72/86400,"mm:ss.00")))
</f>
        <v/>
      </c>
      <c r="N72" s="14">
        <f>IFERROR(__xludf.DUMMYFUNCTION("LET(
  gen,$A72, ev,$B72, t,$M72,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)"),711.0)</f>
        <v/>
      </c>
      <c r="O72" s="65" t="n"/>
      <c r="P72" s="69">
        <f>A81</f>
        <v/>
      </c>
      <c r="Q72" s="65">
        <f>B81</f>
        <v/>
      </c>
      <c r="R72" s="69">
        <f>C81</f>
        <v/>
      </c>
      <c r="S72" s="58">
        <f>M81</f>
        <v/>
      </c>
      <c r="T72" s="69">
        <f>N81</f>
        <v/>
      </c>
      <c r="U72" s="65" t="n"/>
      <c r="V72" s="65" t="n"/>
      <c r="W72" s="65" t="n"/>
    </row>
    <row r="73">
      <c r="A73" s="17" t="inlineStr">
        <is>
          <t>F</t>
        </is>
      </c>
      <c r="B73" s="18" t="inlineStr">
        <is>
          <t>100 Free</t>
        </is>
      </c>
      <c r="C73" s="18" t="n">
        <v>19</v>
      </c>
      <c r="D73" s="18" t="n">
        <v>1</v>
      </c>
      <c r="E73" s="46" t="inlineStr">
        <is>
          <t>54.25</t>
        </is>
      </c>
      <c r="F73" s="21">
        <f>IFERROR(__xludf.DUMMYFUNCTION("IF(
  REGEXMATCH(E73, "":""),
  60*VALUE(INDEX(SPLIT(E73, "":""),1,1)) + VALUE(INDEX(SPLIT(E73, "":""),1,2)),
  VALUE(E73)
)"),54.25)</f>
        <v/>
      </c>
      <c r="G73" s="21">
        <f>average(F70-F73,F71-F74,F72-F75)</f>
        <v/>
      </c>
      <c r="H73" s="21" t="n">
        <v>0.3699999999999998</v>
      </c>
      <c r="I73" s="211">
        <f>C64</f>
        <v/>
      </c>
      <c r="J73" s="211">
        <f>C81</f>
        <v/>
      </c>
      <c r="K73" s="60">
        <f t="array" ref="K73">INDEX('Podium Target Times'!$C:$C, MATCH(A73&amp;B73, 'Podium Target Times'!$A:$A&amp;'Podium Target Times'!$B:$B, 0))
</f>
        <v/>
      </c>
      <c r="L73" s="24">
        <f>L76+G76</f>
        <v/>
      </c>
      <c r="M73" s="60">
        <f>IF(L73&lt;60, TEXT(L73,"0.00"), IF(L73&lt;600, TEXT(L73/86400,"m:ss.00"), TEXT(L73/86400,"mm:ss.00")))
</f>
        <v/>
      </c>
      <c r="N73" s="25">
        <f>IFERROR(__xludf.DUMMYFUNCTION("LET(
  gen,$A73, ev,$B73, t,$M73,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)"),725.0)</f>
        <v/>
      </c>
      <c r="O73" s="65" t="n"/>
      <c r="P73" s="69">
        <f>P72</f>
        <v/>
      </c>
      <c r="Q73" s="65">
        <f>Q72</f>
        <v/>
      </c>
      <c r="R73" s="69">
        <f>R72+1</f>
        <v/>
      </c>
      <c r="S73" s="58">
        <f>M82</f>
        <v/>
      </c>
      <c r="T73" s="69">
        <f>N82</f>
        <v/>
      </c>
      <c r="U73" s="65" t="n"/>
      <c r="V73" s="65" t="n"/>
      <c r="W73" s="65" t="n"/>
    </row>
    <row r="74">
      <c r="A74" s="8" t="inlineStr">
        <is>
          <t>F</t>
        </is>
      </c>
      <c r="B74" s="9" t="inlineStr">
        <is>
          <t>100 Free</t>
        </is>
      </c>
      <c r="C74" s="9" t="n">
        <v>19</v>
      </c>
      <c r="D74" s="9" t="n">
        <v>2</v>
      </c>
      <c r="E74" s="41" t="inlineStr">
        <is>
          <t>54.85</t>
        </is>
      </c>
      <c r="F74" s="35">
        <f>IFERROR(__xludf.DUMMYFUNCTION("IF(
  REGEXMATCH(E74, "":""),
  60*VALUE(INDEX(SPLIT(E74, "":""),1,1)) + VALUE(INDEX(SPLIT(E74, "":""),1,2)),
  VALUE(E74)
)"),54.85)</f>
        <v/>
      </c>
      <c r="G74" s="35">
        <f>average(F70-F73,F71-F74,F72-F75)</f>
        <v/>
      </c>
      <c r="H74" s="35" t="n">
        <v>0.3699999999999998</v>
      </c>
      <c r="I74" s="215">
        <f>C64</f>
        <v/>
      </c>
      <c r="J74" s="215">
        <f>C81</f>
        <v/>
      </c>
      <c r="K74" s="43">
        <f t="array" ref="K74">INDEX('Podium Target Times'!$C:$C, MATCH(A74&amp;B74, 'Podium Target Times'!$A:$A&amp;'Podium Target Times'!$B:$B, 0))
</f>
        <v/>
      </c>
      <c r="L74" s="12">
        <f>L76+G76</f>
        <v/>
      </c>
      <c r="M74" s="43">
        <f>IF(L74&lt;60, TEXT(L74,"0.00"), IF(L74&lt;600, TEXT(L74/86400,"m:ss.00"), TEXT(L74/86400,"mm:ss.00")))
</f>
        <v/>
      </c>
      <c r="N74" s="14">
        <f>IFERROR(__xludf.DUMMYFUNCTION("LET(
  gen,$A74, ev,$B74, t,$M74,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)"),725.0)</f>
        <v/>
      </c>
      <c r="O74" s="65" t="n"/>
      <c r="P74" s="69">
        <f>P73</f>
        <v/>
      </c>
      <c r="Q74" s="65">
        <f>Q73</f>
        <v/>
      </c>
      <c r="R74" s="69">
        <f>R73+1</f>
        <v/>
      </c>
      <c r="S74" s="58">
        <f>M83</f>
        <v/>
      </c>
      <c r="T74" s="69">
        <f>N83</f>
        <v/>
      </c>
      <c r="U74" s="65" t="n"/>
      <c r="V74" s="65" t="n"/>
      <c r="W74" s="65" t="n"/>
    </row>
    <row r="75">
      <c r="A75" s="17" t="inlineStr">
        <is>
          <t>F</t>
        </is>
      </c>
      <c r="B75" s="18" t="inlineStr">
        <is>
          <t>100 Free</t>
        </is>
      </c>
      <c r="C75" s="18" t="n">
        <v>19</v>
      </c>
      <c r="D75" s="18" t="n">
        <v>3</v>
      </c>
      <c r="E75" s="46" t="inlineStr">
        <is>
          <t>55.16</t>
        </is>
      </c>
      <c r="F75" s="21">
        <f>IFERROR(__xludf.DUMMYFUNCTION("IF(
  REGEXMATCH(E75, "":""),
  60*VALUE(INDEX(SPLIT(E75, "":""),1,1)) + VALUE(INDEX(SPLIT(E75, "":""),1,2)),
  VALUE(E75)
)"),55.16)</f>
        <v/>
      </c>
      <c r="G75" s="21">
        <f>average(F70-F73,F71-F74,F72-F75)</f>
        <v/>
      </c>
      <c r="H75" s="21" t="n">
        <v>0.3699999999999998</v>
      </c>
      <c r="I75" s="211">
        <f>C64</f>
        <v/>
      </c>
      <c r="J75" s="211">
        <f>C81</f>
        <v/>
      </c>
      <c r="K75" s="60">
        <f t="array" ref="K75">INDEX('Podium Target Times'!$C:$C, MATCH(A75&amp;B75, 'Podium Target Times'!$A:$A&amp;'Podium Target Times'!$B:$B, 0))
</f>
        <v/>
      </c>
      <c r="L75" s="24">
        <f>L76+G76</f>
        <v/>
      </c>
      <c r="M75" s="60">
        <f>IF(L75&lt;60, TEXT(L75,"0.00"), IF(L75&lt;600, TEXT(L75/86400,"m:ss.00"), TEXT(L75/86400,"mm:ss.00")))
</f>
        <v/>
      </c>
      <c r="N75" s="25">
        <f>IFERROR(__xludf.DUMMYFUNCTION("LET(
  gen,$A75, ev,$B75, t,$M75,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)"),725.0)</f>
        <v/>
      </c>
      <c r="O75" s="65" t="n"/>
      <c r="P75" s="69" t="n"/>
      <c r="Q75" s="65" t="n"/>
      <c r="R75" s="69" t="n"/>
      <c r="S75" s="58" t="n"/>
      <c r="T75" s="69" t="n"/>
      <c r="U75" s="65" t="n"/>
      <c r="V75" s="65" t="n"/>
      <c r="W75" s="65" t="n"/>
    </row>
    <row r="76">
      <c r="A76" s="8" t="inlineStr">
        <is>
          <t>F</t>
        </is>
      </c>
      <c r="B76" s="9" t="inlineStr">
        <is>
          <t>100 Free</t>
        </is>
      </c>
      <c r="C76" s="9" t="n">
        <v>20</v>
      </c>
      <c r="D76" s="219" t="n">
        <v>2</v>
      </c>
      <c r="E76" s="41" t="inlineStr">
        <is>
          <t>54.53</t>
        </is>
      </c>
      <c r="F76" s="35">
        <f>IFERROR(__xludf.DUMMYFUNCTION("IF(
  REGEXMATCH(E76, "":""),
  60*VALUE(INDEX(SPLIT(E76, "":""),1,1)) + VALUE(INDEX(SPLIT(E76, "":""),1,2)),
  VALUE(E76)
)"),54.53)</f>
        <v/>
      </c>
      <c r="G76" s="35">
        <f>average(F74-F76,F75-F77)</f>
        <v/>
      </c>
      <c r="H76" s="35" t="n">
        <v>0.3249999999999993</v>
      </c>
      <c r="I76" s="215">
        <f>C64</f>
        <v/>
      </c>
      <c r="J76" s="215">
        <f>C81</f>
        <v/>
      </c>
      <c r="K76" s="43">
        <f t="array" ref="K76">INDEX('Podium Target Times'!$C:$C, MATCH(A76&amp;B76, 'Podium Target Times'!$A:$A&amp;'Podium Target Times'!$B:$B, 0))
</f>
        <v/>
      </c>
      <c r="L76" s="12">
        <f>L78+G78</f>
        <v/>
      </c>
      <c r="M76" s="43">
        <f>IF(L76&lt;60, TEXT(L76,"0.00"), IF(L76&lt;600, TEXT(L76/86400,"m:ss.00"), TEXT(L76/86400,"mm:ss.00")))
</f>
        <v/>
      </c>
      <c r="N76" s="14">
        <f>IFERROR(__xludf.DUMMYFUNCTION("LET(
  gen,$A76, ev,$B76, t,$M76,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
      </c>
      <c r="O76" s="65" t="n"/>
      <c r="P76" s="69" t="n"/>
      <c r="Q76" s="65" t="n"/>
      <c r="R76" s="69" t="n"/>
      <c r="S76" s="58" t="n"/>
      <c r="T76" s="69" t="n"/>
      <c r="U76" s="65" t="n"/>
      <c r="V76" s="65" t="n"/>
      <c r="W76" s="65" t="n"/>
    </row>
    <row r="77">
      <c r="A77" s="17" t="inlineStr">
        <is>
          <t>F</t>
        </is>
      </c>
      <c r="B77" s="18" t="inlineStr">
        <is>
          <t>100 Free</t>
        </is>
      </c>
      <c r="C77" s="18" t="n">
        <v>20</v>
      </c>
      <c r="D77" s="18" t="n">
        <v>3</v>
      </c>
      <c r="E77" s="46" t="inlineStr">
        <is>
          <t>54.83</t>
        </is>
      </c>
      <c r="F77" s="21">
        <f>IFERROR(__xludf.DUMMYFUNCTION("IF(
  REGEXMATCH(E77, "":""),
  60*VALUE(INDEX(SPLIT(E77, "":""),1,1)) + VALUE(INDEX(SPLIT(E77, "":""),1,2)),
  VALUE(E77)
)"),54.83)</f>
        <v/>
      </c>
      <c r="G77" s="21">
        <f>average(F74-F76,F75-F77)</f>
        <v/>
      </c>
      <c r="H77" s="21" t="n">
        <v>0.3249999999999993</v>
      </c>
      <c r="I77" s="211">
        <f>C64</f>
        <v/>
      </c>
      <c r="J77" s="211">
        <f>C81</f>
        <v/>
      </c>
      <c r="K77" s="60">
        <f t="array" ref="K77">INDEX('Podium Target Times'!$C:$C, MATCH(A77&amp;B77, 'Podium Target Times'!$A:$A&amp;'Podium Target Times'!$B:$B, 0))
</f>
        <v/>
      </c>
      <c r="L77" s="24">
        <f>L78+G78</f>
        <v/>
      </c>
      <c r="M77" s="60">
        <f>IF(L77&lt;60, TEXT(L77,"0.00"), IF(L77&lt;600, TEXT(L77/86400,"m:ss.00"), TEXT(L77/86400,"mm:ss.00")))
</f>
        <v/>
      </c>
      <c r="N77" s="25">
        <f>IFERROR(__xludf.DUMMYFUNCTION("LET(
  gen,$A77, ev,$B77, t,$M77,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
      </c>
      <c r="O77" s="65" t="n"/>
      <c r="P77" s="69" t="n"/>
      <c r="Q77" s="65" t="n"/>
      <c r="R77" s="69" t="n"/>
      <c r="S77" s="58" t="n"/>
      <c r="T77" s="69" t="n"/>
      <c r="U77" s="65" t="n"/>
      <c r="V77" s="65" t="n"/>
      <c r="W77" s="65" t="n"/>
    </row>
    <row r="78">
      <c r="A78" s="8" t="inlineStr">
        <is>
          <t>F</t>
        </is>
      </c>
      <c r="B78" s="9" t="inlineStr">
        <is>
          <t>100 Free</t>
        </is>
      </c>
      <c r="C78" s="9" t="n">
        <v>21</v>
      </c>
      <c r="D78" s="219" t="n">
        <v>2</v>
      </c>
      <c r="E78" s="41" t="inlineStr">
        <is>
          <t>54.25</t>
        </is>
      </c>
      <c r="F78" s="35">
        <f>IFERROR(__xludf.DUMMYFUNCTION("IF(
  REGEXMATCH(E78, "":""),
  60*VALUE(INDEX(SPLIT(E78, "":""),1,1)) + VALUE(INDEX(SPLIT(E78, "":""),1,2)),
  VALUE(E78)
)"),54.25)</f>
        <v/>
      </c>
      <c r="G78" s="35">
        <f>average(F76-F78,F77-F79)</f>
        <v/>
      </c>
      <c r="H78" s="35" t="n">
        <v>0.2800000000000011</v>
      </c>
      <c r="I78" s="215">
        <f>C64</f>
        <v/>
      </c>
      <c r="J78" s="215">
        <f>C81</f>
        <v/>
      </c>
      <c r="K78" s="43">
        <f t="array" ref="K78">INDEX('Podium Target Times'!$C:$C, MATCH(A78&amp;B78, 'Podium Target Times'!$A:$A&amp;'Podium Target Times'!$B:$B, 0))
</f>
        <v/>
      </c>
      <c r="L78" s="12">
        <f>L80+G80</f>
        <v/>
      </c>
      <c r="M78" s="43">
        <f>IF(L78&lt;60, TEXT(L78,"0.00"), IF(L78&lt;600, TEXT(L78/86400,"m:ss.00"), TEXT(L78/86400,"mm:ss.00")))
</f>
        <v/>
      </c>
      <c r="N78" s="14">
        <f>IFERROR(__xludf.DUMMYFUNCTION("LET(
  gen,$A78, ev,$B78, t,$M78,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)"),748.0)</f>
        <v/>
      </c>
      <c r="O78" s="65" t="n"/>
      <c r="P78" s="69" t="n"/>
      <c r="Q78" s="65" t="n"/>
      <c r="R78" s="69" t="n"/>
      <c r="S78" s="58" t="n"/>
      <c r="T78" s="69" t="n"/>
      <c r="U78" s="65" t="n"/>
      <c r="V78" s="65" t="n"/>
      <c r="W78" s="65" t="n"/>
    </row>
    <row r="79">
      <c r="A79" s="17" t="inlineStr">
        <is>
          <t>F</t>
        </is>
      </c>
      <c r="B79" s="18" t="inlineStr">
        <is>
          <t>100 Free</t>
        </is>
      </c>
      <c r="C79" s="18" t="n">
        <v>21</v>
      </c>
      <c r="D79" s="18" t="n">
        <v>3</v>
      </c>
      <c r="E79" s="46" t="inlineStr">
        <is>
          <t>54.55</t>
        </is>
      </c>
      <c r="F79" s="21">
        <f>IFERROR(__xludf.DUMMYFUNCTION("IF(
  REGEXMATCH(E79, "":""),
  60*VALUE(INDEX(SPLIT(E79, "":""),1,1)) + VALUE(INDEX(SPLIT(E79, "":""),1,2)),
  VALUE(E79)
)"),54.55)</f>
        <v/>
      </c>
      <c r="G79" s="21">
        <f>average(F76-F78,F77-F79)</f>
        <v/>
      </c>
      <c r="H79" s="21" t="n">
        <v>0.2800000000000011</v>
      </c>
      <c r="I79" s="211">
        <f>C64</f>
        <v/>
      </c>
      <c r="J79" s="211">
        <f>C81</f>
        <v/>
      </c>
      <c r="K79" s="60">
        <f t="array" ref="K79">INDEX('Podium Target Times'!$C:$C, MATCH(A79&amp;B79, 'Podium Target Times'!$A:$A&amp;'Podium Target Times'!$B:$B, 0))
</f>
        <v/>
      </c>
      <c r="L79" s="24">
        <f>L80+G80</f>
        <v/>
      </c>
      <c r="M79" s="60">
        <f>IF(L79&lt;60, TEXT(L79,"0.00"), IF(L79&lt;600, TEXT(L79/86400,"m:ss.00"), TEXT(L79/86400,"mm:ss.00")))
</f>
        <v/>
      </c>
      <c r="N79" s="25">
        <f>IFERROR(__xludf.DUMMYFUNCTION("LET(
  gen,$A79, ev,$B79, t,$M79,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)"),748.0)</f>
        <v/>
      </c>
      <c r="O79" s="65" t="n"/>
      <c r="P79" s="69" t="n"/>
      <c r="Q79" s="65" t="n"/>
      <c r="R79" s="69" t="n"/>
      <c r="S79" s="58" t="n"/>
      <c r="T79" s="69" t="n"/>
      <c r="U79" s="65" t="n"/>
      <c r="V79" s="65" t="n"/>
      <c r="W79" s="65" t="n"/>
    </row>
    <row r="80">
      <c r="A80" s="8" t="inlineStr">
        <is>
          <t>F</t>
        </is>
      </c>
      <c r="B80" s="9" t="inlineStr">
        <is>
          <t>100 Free</t>
        </is>
      </c>
      <c r="C80" s="9" t="n">
        <v>22</v>
      </c>
      <c r="D80" s="9" t="n">
        <v>3</v>
      </c>
      <c r="E80" s="41" t="inlineStr">
        <is>
          <t>54.36</t>
        </is>
      </c>
      <c r="F80" s="35">
        <f>IFERROR(__xludf.DUMMYFUNCTION("IF(
  REGEXMATCH(E80, "":""),
  60*VALUE(INDEX(SPLIT(E80, "":""),1,1)) + VALUE(INDEX(SPLIT(E80, "":""),1,2)),
  VALUE(E80)
)"),54.36)</f>
        <v/>
      </c>
      <c r="G80" s="35">
        <f>F79-F80</f>
        <v/>
      </c>
      <c r="H80" s="35" t="n">
        <v>0.1899999999999977</v>
      </c>
      <c r="I80" s="215">
        <f>C64</f>
        <v/>
      </c>
      <c r="J80" s="215">
        <f>C81</f>
        <v/>
      </c>
      <c r="K80" s="43">
        <f t="array" ref="K80">INDEX('Podium Target Times'!$C:$C, MATCH(A80&amp;B80, 'Podium Target Times'!$A:$A&amp;'Podium Target Times'!$B:$B, 0))
</f>
        <v/>
      </c>
      <c r="L80" s="12">
        <f>L81+G81</f>
        <v/>
      </c>
      <c r="M80" s="43">
        <f>IF(L80&lt;60, TEXT(L80,"0.00"), IF(L80&lt;600, TEXT(L80/86400,"m:ss.00"), TEXT(L80/86400,"mm:ss.00")))
</f>
        <v/>
      </c>
      <c r="N80" s="14">
        <f>IFERROR(__xludf.DUMMYFUNCTION("LET(
  gen,$A80, ev,$B80, t,$M80,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)"),756.0)</f>
        <v/>
      </c>
      <c r="O80" s="65" t="n"/>
      <c r="P80" s="69" t="n"/>
      <c r="Q80" s="65" t="n"/>
      <c r="R80" s="69" t="n"/>
      <c r="S80" s="58" t="n"/>
      <c r="T80" s="69" t="n"/>
      <c r="U80" s="65" t="n"/>
      <c r="V80" s="65" t="n"/>
      <c r="W80" s="65" t="n"/>
    </row>
    <row r="81">
      <c r="A81" s="17" t="inlineStr">
        <is>
          <t>F</t>
        </is>
      </c>
      <c r="B81" s="18" t="inlineStr">
        <is>
          <t>100 Free</t>
        </is>
      </c>
      <c r="C81" s="18" t="n">
        <v>23</v>
      </c>
      <c r="D81" s="18" t="n">
        <v>3</v>
      </c>
      <c r="E81" s="46" t="inlineStr">
        <is>
          <t>54.25</t>
        </is>
      </c>
      <c r="F81" s="21">
        <f>IFERROR(__xludf.DUMMYFUNCTION("IF(
  REGEXMATCH(E81, "":""),
  60*VALUE(INDEX(SPLIT(E81, "":""),1,1)) + VALUE(INDEX(SPLIT(E81, "":""),1,2)),
  VALUE(E81)
)"),54.25)</f>
        <v/>
      </c>
      <c r="G81" s="21">
        <f>F80-F81</f>
        <v/>
      </c>
      <c r="H81" s="21" t="n">
        <v>0.1099999999999994</v>
      </c>
      <c r="I81" s="211">
        <f>C64</f>
        <v/>
      </c>
      <c r="J81" s="211">
        <f>C81</f>
        <v/>
      </c>
      <c r="K81" s="60">
        <f t="array" ref="K81">INDEX('Podium Target Times'!$C:$C, MATCH(A81&amp;B81, 'Podium Target Times'!$A:$A&amp;'Podium Target Times'!$B:$B, 0))
</f>
        <v/>
      </c>
      <c r="L81" s="21">
        <f>G81+L82</f>
        <v/>
      </c>
      <c r="M81" s="60">
        <f>IF(L81&lt;60, TEXT(L81,"0.00"), IF(L81&lt;600, TEXT(L81/86400,"m:ss.00"), TEXT(L81/86400,"mm:ss.00")))
</f>
        <v/>
      </c>
      <c r="N81" s="25">
        <f>IFERROR(__xludf.DUMMYFUNCTION("LET(
  gen,$A81, ev,$B81, t,$M81,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O81" s="65" t="n"/>
      <c r="P81" s="69" t="n"/>
      <c r="Q81" s="65" t="n"/>
      <c r="R81" s="69" t="n"/>
      <c r="S81" s="58" t="n"/>
      <c r="T81" s="69" t="n"/>
      <c r="U81" s="65" t="n"/>
      <c r="V81" s="65" t="n"/>
      <c r="W81" s="65" t="n"/>
    </row>
    <row r="82">
      <c r="A82" s="8" t="inlineStr">
        <is>
          <t>F</t>
        </is>
      </c>
      <c r="B82" s="9" t="inlineStr">
        <is>
          <t>100 Free</t>
        </is>
      </c>
      <c r="C82" s="9" t="n">
        <v>24</v>
      </c>
      <c r="D82" s="9" t="n"/>
      <c r="E82" s="483" t="n"/>
      <c r="F82" s="35">
        <f>IFERROR(__xludf.DUMMYFUNCTION("IF(
  REGEXMATCH(E82, "":""),
  60*VALUE(INDEX(SPLIT(E82, "":""),1,1)) + VALUE(INDEX(SPLIT(E82, "":""),1,2)),
  VALUE(E82)
)"),0.0)</f>
        <v/>
      </c>
      <c r="G82" s="12" t="n"/>
      <c r="H82" s="12" t="n"/>
      <c r="I82" s="43">
        <f>C64</f>
        <v/>
      </c>
      <c r="J82" s="43">
        <f>C81</f>
        <v/>
      </c>
      <c r="K82" s="43">
        <f t="array" ref="K82">INDEX('Podium Target Times'!$C:$C, MATCH(A82&amp;B82, 'Podium Target Times'!$A:$A&amp;'Podium Target Times'!$B:$B, 0))
</f>
        <v/>
      </c>
      <c r="L82" s="12">
        <f>G81+L83</f>
        <v/>
      </c>
      <c r="M82" s="43">
        <f>IF(L82&lt;60, TEXT(L82,"0.00"), IF(L82&lt;600, TEXT(L82/86400,"m:ss.00"), TEXT(L82/86400,"mm:ss.00")))
</f>
        <v/>
      </c>
      <c r="N82" s="14">
        <f>IFERROR(__xludf.DUMMYFUNCTION("LET(
  gen,$A82, ev,$B82, t,$M82,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)"),765.0)</f>
        <v/>
      </c>
      <c r="O82" s="65" t="n"/>
      <c r="P82" s="69" t="n"/>
      <c r="Q82" s="65" t="n"/>
      <c r="R82" s="69" t="n"/>
      <c r="S82" s="58" t="n"/>
      <c r="T82" s="69" t="n"/>
      <c r="U82" s="65" t="n"/>
      <c r="V82" s="65" t="n"/>
      <c r="W82" s="65" t="n"/>
    </row>
    <row r="83">
      <c r="A83" s="17" t="inlineStr">
        <is>
          <t>F</t>
        </is>
      </c>
      <c r="B83" s="18" t="inlineStr">
        <is>
          <t>100 Free</t>
        </is>
      </c>
      <c r="C83" s="18" t="n">
        <v>25</v>
      </c>
      <c r="D83" s="18" t="n"/>
      <c r="E83" s="491" t="n"/>
      <c r="F83" s="21">
        <f>IFERROR(__xludf.DUMMYFUNCTION("IF(
  REGEXMATCH(E83, "":""),
  60*VALUE(INDEX(SPLIT(E83, "":""),1,1)) + VALUE(INDEX(SPLIT(E83, "":""),1,2)),
  VALUE(E83)
)"),0.0)</f>
        <v/>
      </c>
      <c r="G83" s="24" t="n"/>
      <c r="H83" s="24" t="n"/>
      <c r="I83" s="60">
        <f>C64</f>
        <v/>
      </c>
      <c r="J83" s="60">
        <f>C81</f>
        <v/>
      </c>
      <c r="K83" s="60">
        <f t="array" ref="K83">INDEX('Podium Target Times'!$C:$C, MATCH(A83&amp;B83, 'Podium Target Times'!$A:$A&amp;'Podium Target Times'!$B:$B, 0))
</f>
        <v/>
      </c>
      <c r="L83" s="60">
        <f>K83</f>
        <v/>
      </c>
      <c r="M83" s="60">
        <f>IF(L83&lt;60, TEXT(L83,"0.00"), IF(L83&lt;600, TEXT(L83/86400,"m:ss.00"), TEXT(L83/86400,"mm:ss.00")))
</f>
        <v/>
      </c>
      <c r="N83" s="25">
        <f>IFERROR(__xludf.DUMMYFUNCTION("LET(
  gen,$A83, ev,$B83, t,$M83,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
      </c>
      <c r="O83" s="65" t="n"/>
      <c r="P83" s="69" t="n"/>
      <c r="Q83" s="65" t="n"/>
      <c r="R83" s="69" t="n"/>
      <c r="S83" s="58" t="n"/>
      <c r="T83" s="69" t="n"/>
      <c r="U83" s="65" t="n"/>
      <c r="V83" s="65" t="n"/>
      <c r="W83" s="65" t="n"/>
    </row>
    <row r="84">
      <c r="A84" s="8" t="inlineStr">
        <is>
          <t>F</t>
        </is>
      </c>
      <c r="B84" s="9" t="inlineStr">
        <is>
          <t>1500 Free</t>
        </is>
      </c>
      <c r="C84" s="9" t="n">
        <v>14</v>
      </c>
      <c r="D84" s="9" t="n">
        <v>1</v>
      </c>
      <c r="E84" s="43" t="inlineStr">
        <is>
          <t>17:12.17</t>
        </is>
      </c>
      <c r="F84" s="35">
        <f>IFERROR(__xludf.DUMMYFUNCTION("IF(
  REGEXMATCH(E84, "":""),
  60*VALUE(INDEX(SPLIT(E84, "":""),1,1)) + VALUE(INDEX(SPLIT(E84, "":""),1,2)),
  VALUE(E84)
)"),1032.17)</f>
        <v/>
      </c>
      <c r="G84" s="12" t="n">
        <v>0</v>
      </c>
      <c r="H84" s="12" t="n">
        <v>0</v>
      </c>
      <c r="I84" s="43">
        <f>C84</f>
        <v/>
      </c>
      <c r="J84" s="43">
        <f>C101</f>
        <v/>
      </c>
      <c r="K84" s="43">
        <f t="array" ref="K84">INDEX('Podium Target Times'!$C:$C, MATCH(A84&amp;B84, 'Podium Target Times'!$A:$A&amp;'Podium Target Times'!$B:$B, 0))
</f>
        <v/>
      </c>
      <c r="L84" s="12">
        <f>L85+G85</f>
        <v/>
      </c>
      <c r="M84" s="43">
        <f>IF(L84&lt;60, TEXT(L84,"0.00"), IF(L84&lt;600, TEXT(L84/86400,"m:ss.00"), TEXT(L84/86400,"mm:ss.00")))
</f>
        <v/>
      </c>
      <c r="N84" s="14">
        <f>IFERROR(__xludf.DUMMYFUNCTION("LET(
  gen,$A84, ev,$B84, t,$M84,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)"),610.0)</f>
        <v/>
      </c>
      <c r="O84" s="65" t="n"/>
      <c r="P84" s="69">
        <f>A84</f>
        <v/>
      </c>
      <c r="Q84" s="65">
        <f>B84</f>
        <v/>
      </c>
      <c r="R84" s="69">
        <f>C84</f>
        <v/>
      </c>
      <c r="S84" s="58">
        <f>M84</f>
        <v/>
      </c>
      <c r="T84" s="69">
        <f>N84</f>
        <v/>
      </c>
      <c r="U84" s="65" t="n">
        <v>615</v>
      </c>
      <c r="V84" s="65" t="n"/>
      <c r="W84" s="65" t="n"/>
    </row>
    <row r="85">
      <c r="A85" s="17" t="inlineStr">
        <is>
          <t>F</t>
        </is>
      </c>
      <c r="B85" s="18" t="inlineStr">
        <is>
          <t>1500 Free</t>
        </is>
      </c>
      <c r="C85" s="18" t="n">
        <v>15</v>
      </c>
      <c r="D85" s="18" t="n">
        <v>1</v>
      </c>
      <c r="E85" s="60" t="inlineStr">
        <is>
          <t>16:52.17</t>
        </is>
      </c>
      <c r="F85" s="21">
        <f>IFERROR(__xludf.DUMMYFUNCTION("IF(
  REGEXMATCH(E85, "":""),
  60*VALUE(INDEX(SPLIT(E85, "":""),1,1)) + VALUE(INDEX(SPLIT(E85, "":""),1,2)),
  VALUE(E85)
)"),1012.17)</f>
        <v/>
      </c>
      <c r="G85" s="21">
        <f>F84-F85</f>
        <v/>
      </c>
      <c r="H85" s="21" t="n">
        <v>20.00000000000011</v>
      </c>
      <c r="I85" s="211">
        <f>C84</f>
        <v/>
      </c>
      <c r="J85" s="211">
        <f>C101</f>
        <v/>
      </c>
      <c r="K85" s="60">
        <f t="array" ref="K85">INDEX('Podium Target Times'!$C:$C, MATCH(A85&amp;B85, 'Podium Target Times'!$A:$A&amp;'Podium Target Times'!$B:$B, 0))
</f>
        <v/>
      </c>
      <c r="L85" s="24">
        <f>L87+G87</f>
        <v/>
      </c>
      <c r="M85" s="60">
        <f>IF(L85&lt;60, TEXT(L85,"0.00"), IF(L85&lt;600, TEXT(L85/86400,"m:ss.00"), TEXT(L85/86400,"mm:ss.00")))
</f>
        <v/>
      </c>
      <c r="N85" s="25">
        <f>IFERROR(__xludf.DUMMYFUNCTION("LET(
  gen,$A85, ev,$B85, t,$M85,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)"),645.0)</f>
        <v/>
      </c>
      <c r="O85" s="65" t="n"/>
      <c r="P85" s="69">
        <f>A85</f>
        <v/>
      </c>
      <c r="Q85" s="65">
        <f>B85</f>
        <v/>
      </c>
      <c r="R85" s="69">
        <f>C85</f>
        <v/>
      </c>
      <c r="S85" s="58">
        <f>M85</f>
        <v/>
      </c>
      <c r="T85" s="69">
        <f>N85</f>
        <v/>
      </c>
      <c r="U85" s="65" t="n"/>
      <c r="V85" s="65" t="n"/>
      <c r="W85" s="65" t="n"/>
    </row>
    <row r="86">
      <c r="A86" s="8" t="inlineStr">
        <is>
          <t>F</t>
        </is>
      </c>
      <c r="B86" s="9" t="inlineStr">
        <is>
          <t>1500 Free</t>
        </is>
      </c>
      <c r="C86" s="9" t="n">
        <v>15</v>
      </c>
      <c r="D86" s="9" t="n">
        <v>2</v>
      </c>
      <c r="E86" s="43" t="inlineStr">
        <is>
          <t>16:56.98</t>
        </is>
      </c>
      <c r="F86" s="35">
        <f>IFERROR(__xludf.DUMMYFUNCTION("IF(
  REGEXMATCH(E86, "":""),
  60*VALUE(INDEX(SPLIT(E86, "":""),1,1)) + VALUE(INDEX(SPLIT(E86, "":""),1,2)),
  VALUE(E86)
)"),1016.98)</f>
        <v/>
      </c>
      <c r="G86" s="35">
        <f>F84-F85</f>
        <v/>
      </c>
      <c r="H86" s="35" t="n">
        <v>20.00000000000011</v>
      </c>
      <c r="I86" s="215">
        <f>C84</f>
        <v/>
      </c>
      <c r="J86" s="215">
        <f>C101</f>
        <v/>
      </c>
      <c r="K86" s="43">
        <f t="array" ref="K86">INDEX('Podium Target Times'!$C:$C, MATCH(A86&amp;B86, 'Podium Target Times'!$A:$A&amp;'Podium Target Times'!$B:$B, 0))
</f>
        <v/>
      </c>
      <c r="L86" s="12">
        <f>L87+G87</f>
        <v/>
      </c>
      <c r="M86" s="43">
        <f>IF(L86&lt;60, TEXT(L86,"0.00"), IF(L86&lt;600, TEXT(L86/86400,"m:ss.00"), TEXT(L86/86400,"mm:ss.00")))
</f>
        <v/>
      </c>
      <c r="N86" s="14">
        <f>IFERROR(__xludf.DUMMYFUNCTION("LET(
  gen,$A86, ev,$B86, t,$M86,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)"),645.0)</f>
        <v/>
      </c>
      <c r="O86" s="65" t="n"/>
      <c r="P86" s="69">
        <f>A87</f>
        <v/>
      </c>
      <c r="Q86" s="65">
        <f>B87</f>
        <v/>
      </c>
      <c r="R86" s="69">
        <f>C87</f>
        <v/>
      </c>
      <c r="S86" s="58">
        <f>M87</f>
        <v/>
      </c>
      <c r="T86" s="69">
        <f>N87</f>
        <v/>
      </c>
      <c r="U86" s="65" t="n"/>
      <c r="V86" s="65" t="n"/>
      <c r="W86" s="65" t="n"/>
    </row>
    <row r="87">
      <c r="A87" s="17" t="inlineStr">
        <is>
          <t>F</t>
        </is>
      </c>
      <c r="B87" s="18" t="inlineStr">
        <is>
          <t>1500 Free</t>
        </is>
      </c>
      <c r="C87" s="18" t="n">
        <v>16</v>
      </c>
      <c r="D87" s="18" t="n">
        <v>1</v>
      </c>
      <c r="E87" s="46" t="inlineStr">
        <is>
          <t>16:38.19</t>
        </is>
      </c>
      <c r="F87" s="21">
        <f>IFERROR(__xludf.DUMMYFUNCTION("IF(
  REGEXMATCH(E87, "":""),
  60*VALUE(INDEX(SPLIT(E87, "":""),1,1)) + VALUE(INDEX(SPLIT(E87, "":""),1,2)),
  VALUE(E87)
)"),998.19)</f>
        <v/>
      </c>
      <c r="G87" s="21">
        <f>average(F85-F87,F86-F88)</f>
        <v/>
      </c>
      <c r="H87" s="21" t="n">
        <v>14.00999999999993</v>
      </c>
      <c r="I87" s="211">
        <f>C84</f>
        <v/>
      </c>
      <c r="J87" s="211">
        <f>C101</f>
        <v/>
      </c>
      <c r="K87" s="60">
        <f t="array" ref="K87">INDEX('Podium Target Times'!$C:$C, MATCH(A87&amp;B87, 'Podium Target Times'!$A:$A&amp;'Podium Target Times'!$B:$B, 0))
</f>
        <v/>
      </c>
      <c r="L87" s="24">
        <f>L90+G90</f>
        <v/>
      </c>
      <c r="M87" s="60">
        <f>IF(L87&lt;60, TEXT(L87,"0.00"), IF(L87&lt;600, TEXT(L87/86400,"m:ss.00"), TEXT(L87/86400,"mm:ss.00")))
</f>
        <v/>
      </c>
      <c r="N87" s="25">
        <f>IFERROR(__xludf.DUMMYFUNCTION("LET(
  gen,$A87, ev,$B87, t,$M87,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)"),671.0)</f>
        <v/>
      </c>
      <c r="O87" s="65" t="n"/>
      <c r="P87" s="69">
        <f>A90</f>
        <v/>
      </c>
      <c r="Q87" s="65">
        <f>B90</f>
        <v/>
      </c>
      <c r="R87" s="69">
        <f>C90</f>
        <v/>
      </c>
      <c r="S87" s="58">
        <f>M90</f>
        <v/>
      </c>
      <c r="T87" s="69">
        <f>N90</f>
        <v/>
      </c>
      <c r="U87" s="65" t="n"/>
      <c r="V87" s="65" t="n"/>
      <c r="W87" s="65" t="n"/>
    </row>
    <row r="88">
      <c r="A88" s="8" t="inlineStr">
        <is>
          <t>F</t>
        </is>
      </c>
      <c r="B88" s="9" t="inlineStr">
        <is>
          <t>1500 Free</t>
        </is>
      </c>
      <c r="C88" s="9" t="n">
        <v>16</v>
      </c>
      <c r="D88" s="219" t="n">
        <v>2</v>
      </c>
      <c r="E88" s="41" t="inlineStr">
        <is>
          <t>16:42.94</t>
        </is>
      </c>
      <c r="F88" s="35">
        <f>IFERROR(__xludf.DUMMYFUNCTION("IF(
  REGEXMATCH(E88, "":""),
  60*VALUE(INDEX(SPLIT(E88, "":""),1,1)) + VALUE(INDEX(SPLIT(E88, "":""),1,2)),
  VALUE(E88)
)"),1002.94)</f>
        <v/>
      </c>
      <c r="G88" s="35">
        <f>average(F85-F87,F86-F88)</f>
        <v/>
      </c>
      <c r="H88" s="35" t="n">
        <v>14.00999999999993</v>
      </c>
      <c r="I88" s="215">
        <f>C84</f>
        <v/>
      </c>
      <c r="J88" s="215">
        <f>C101</f>
        <v/>
      </c>
      <c r="K88" s="43">
        <f t="array" ref="K88">INDEX('Podium Target Times'!$C:$C, MATCH(A88&amp;B88, 'Podium Target Times'!$A:$A&amp;'Podium Target Times'!$B:$B, 0))
</f>
        <v/>
      </c>
      <c r="L88" s="12">
        <f>L90+G90</f>
        <v/>
      </c>
      <c r="M88" s="43">
        <f>IF(L88&lt;60, TEXT(L88,"0.00"), IF(L88&lt;600, TEXT(L88/86400,"m:ss.00"), TEXT(L88/86400,"mm:ss.00")))
</f>
        <v/>
      </c>
      <c r="N88" s="14">
        <f>IFERROR(__xludf.DUMMYFUNCTION("LET(
  gen,$A88, ev,$B88, t,$M88,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)"),671.0)</f>
        <v/>
      </c>
      <c r="O88" s="65" t="n"/>
      <c r="P88" s="69">
        <f>A93</f>
        <v/>
      </c>
      <c r="Q88" s="65">
        <f>B93</f>
        <v/>
      </c>
      <c r="R88" s="69">
        <f>C93</f>
        <v/>
      </c>
      <c r="S88" s="58">
        <f>M93</f>
        <v/>
      </c>
      <c r="T88" s="69">
        <f>N93</f>
        <v/>
      </c>
      <c r="U88" s="65" t="n"/>
      <c r="V88" s="65" t="n"/>
      <c r="W88" s="65" t="n"/>
    </row>
    <row r="89">
      <c r="A89" s="17" t="inlineStr">
        <is>
          <t>F</t>
        </is>
      </c>
      <c r="B89" s="18" t="inlineStr">
        <is>
          <t>1500 Free</t>
        </is>
      </c>
      <c r="C89" s="18" t="n">
        <v>16</v>
      </c>
      <c r="D89" s="18" t="n">
        <v>3</v>
      </c>
      <c r="E89" s="46" t="inlineStr">
        <is>
          <t>16:45.20</t>
        </is>
      </c>
      <c r="F89" s="21">
        <f>IFERROR(__xludf.DUMMYFUNCTION("IF(
  REGEXMATCH(E89, "":""),
  60*VALUE(INDEX(SPLIT(E89, "":""),1,1)) + VALUE(INDEX(SPLIT(E89, "":""),1,2)),
  VALUE(E89)
)"),1005.2)</f>
        <v/>
      </c>
      <c r="G89" s="21">
        <f>average(F85-F87,F86-F88)</f>
        <v/>
      </c>
      <c r="H89" s="21" t="n">
        <v>14.00999999999993</v>
      </c>
      <c r="I89" s="211">
        <f>C84</f>
        <v/>
      </c>
      <c r="J89" s="211">
        <f>C101</f>
        <v/>
      </c>
      <c r="K89" s="60">
        <f t="array" ref="K89">INDEX('Podium Target Times'!$C:$C, MATCH(A89&amp;B89, 'Podium Target Times'!$A:$A&amp;'Podium Target Times'!$B:$B, 0))
</f>
        <v/>
      </c>
      <c r="L89" s="24">
        <f>L90+G90</f>
        <v/>
      </c>
      <c r="M89" s="60">
        <f>IF(L89&lt;60, TEXT(L89,"0.00"), IF(L89&lt;600, TEXT(L89/86400,"m:ss.00"), TEXT(L89/86400,"mm:ss.00")))
</f>
        <v/>
      </c>
      <c r="N89" s="25">
        <f>IFERROR(__xludf.DUMMYFUNCTION("LET(
  gen,$A89, ev,$B89, t,$M89,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)"),671.0)</f>
        <v/>
      </c>
      <c r="O89" s="65" t="n"/>
      <c r="P89" s="69">
        <f>A96</f>
        <v/>
      </c>
      <c r="Q89" s="65">
        <f>B96</f>
        <v/>
      </c>
      <c r="R89" s="69">
        <f>C96</f>
        <v/>
      </c>
      <c r="S89" s="58">
        <f>M96</f>
        <v/>
      </c>
      <c r="T89" s="69">
        <f>N96</f>
        <v/>
      </c>
      <c r="U89" s="65" t="n"/>
      <c r="V89" s="65" t="n"/>
      <c r="W89" s="65" t="n"/>
    </row>
    <row r="90">
      <c r="A90" s="8" t="inlineStr">
        <is>
          <t>F</t>
        </is>
      </c>
      <c r="B90" s="9" t="inlineStr">
        <is>
          <t>1500 Free</t>
        </is>
      </c>
      <c r="C90" s="9" t="n">
        <v>17</v>
      </c>
      <c r="D90" s="9" t="n">
        <v>1</v>
      </c>
      <c r="E90" s="483" t="inlineStr">
        <is>
          <t>16:29.65</t>
        </is>
      </c>
      <c r="F90" s="35">
        <f>IFERROR(__xludf.DUMMYFUNCTION("IF(
  REGEXMATCH(E90, "":""),
  60*VALUE(INDEX(SPLIT(E90, "":""),1,1)) + VALUE(INDEX(SPLIT(E90, "":""),1,2)),
  VALUE(E90)
)"),989.65)</f>
        <v/>
      </c>
      <c r="G90" s="35">
        <f>average(F87-F90,F88-F91,F89-F92)</f>
        <v/>
      </c>
      <c r="H90" s="35" t="n">
        <v>8.57333333333338</v>
      </c>
      <c r="I90" s="215">
        <f>C84</f>
        <v/>
      </c>
      <c r="J90" s="215">
        <f>C101</f>
        <v/>
      </c>
      <c r="K90" s="43">
        <f t="array" ref="K90">INDEX('Podium Target Times'!$C:$C, MATCH(A90&amp;B90, 'Podium Target Times'!$A:$A&amp;'Podium Target Times'!$B:$B, 0))
</f>
        <v/>
      </c>
      <c r="L90" s="12">
        <f>L93+G93</f>
        <v/>
      </c>
      <c r="M90" s="43">
        <f>IF(L90&lt;60, TEXT(L90,"0.00"), IF(L90&lt;600, TEXT(L90/86400,"m:ss.00"), TEXT(L90/86400,"mm:ss.00")))
</f>
        <v/>
      </c>
      <c r="N90" s="14">
        <f>IFERROR(__xludf.DUMMYFUNCTION("LET(
  gen,$A90, ev,$B90, t,$M90,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
      </c>
      <c r="O90" s="65" t="n"/>
      <c r="P90" s="69">
        <f>A98</f>
        <v/>
      </c>
      <c r="Q90" s="65">
        <f>B98</f>
        <v/>
      </c>
      <c r="R90" s="69">
        <f>C98</f>
        <v/>
      </c>
      <c r="S90" s="58">
        <f>M98</f>
        <v/>
      </c>
      <c r="T90" s="69">
        <f>N98</f>
        <v/>
      </c>
      <c r="U90" s="65" t="n"/>
      <c r="V90" s="65" t="n"/>
      <c r="W90" s="65" t="n"/>
    </row>
    <row r="91">
      <c r="A91" s="17" t="inlineStr">
        <is>
          <t>F</t>
        </is>
      </c>
      <c r="B91" s="18" t="inlineStr">
        <is>
          <t>1500 Free</t>
        </is>
      </c>
      <c r="C91" s="18" t="n">
        <v>17</v>
      </c>
      <c r="D91" s="18" t="n">
        <v>2</v>
      </c>
      <c r="E91" s="46" t="inlineStr">
        <is>
          <t>16:34.36</t>
        </is>
      </c>
      <c r="F91" s="21">
        <f>IFERROR(__xludf.DUMMYFUNCTION("IF(
  REGEXMATCH(E91, "":""),
  60*VALUE(INDEX(SPLIT(E91, "":""),1,1)) + VALUE(INDEX(SPLIT(E91, "":""),1,2)),
  VALUE(E91)
)"),994.36)</f>
        <v/>
      </c>
      <c r="G91" s="21">
        <f>average(F87-F90,F88-F91,F89-F92)</f>
        <v/>
      </c>
      <c r="H91" s="21" t="n">
        <v>8.57333333333338</v>
      </c>
      <c r="I91" s="211">
        <f>C84</f>
        <v/>
      </c>
      <c r="J91" s="211">
        <f>C101</f>
        <v/>
      </c>
      <c r="K91" s="60">
        <f t="array" ref="K91">INDEX('Podium Target Times'!$C:$C, MATCH(A91&amp;B91, 'Podium Target Times'!$A:$A&amp;'Podium Target Times'!$B:$B, 0))
</f>
        <v/>
      </c>
      <c r="L91" s="24">
        <f>L93+G93</f>
        <v/>
      </c>
      <c r="M91" s="60">
        <f>IF(L91&lt;60, TEXT(L91,"0.00"), IF(L91&lt;600, TEXT(L91/86400,"m:ss.00"), TEXT(L91/86400,"mm:ss.00")))
</f>
        <v/>
      </c>
      <c r="N91" s="25">
        <f>IFERROR(__xludf.DUMMYFUNCTION("LET(
  gen,$A91, ev,$B91, t,$M91,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
      </c>
      <c r="O91" s="65" t="n"/>
      <c r="P91" s="69">
        <f>A100</f>
        <v/>
      </c>
      <c r="Q91" s="65">
        <f>B100</f>
        <v/>
      </c>
      <c r="R91" s="69">
        <f>C100</f>
        <v/>
      </c>
      <c r="S91" s="58">
        <f>M100</f>
        <v/>
      </c>
      <c r="T91" s="69">
        <f>N100</f>
        <v/>
      </c>
      <c r="U91" s="65" t="n"/>
      <c r="V91" s="65" t="n"/>
      <c r="W91" s="65" t="n"/>
    </row>
    <row r="92">
      <c r="A92" s="8" t="inlineStr">
        <is>
          <t>F</t>
        </is>
      </c>
      <c r="B92" s="9" t="inlineStr">
        <is>
          <t>1500 Free</t>
        </is>
      </c>
      <c r="C92" s="9" t="n">
        <v>17</v>
      </c>
      <c r="D92" s="9" t="n">
        <v>3</v>
      </c>
      <c r="E92" s="41" t="inlineStr">
        <is>
          <t>16:36.60</t>
        </is>
      </c>
      <c r="F92" s="35">
        <f>IFERROR(__xludf.DUMMYFUNCTION("IF(
  REGEXMATCH(E92, "":""),
  60*VALUE(INDEX(SPLIT(E92, "":""),1,1)) + VALUE(INDEX(SPLIT(E92, "":""),1,2)),
  VALUE(E92)
)"),996.6)</f>
        <v/>
      </c>
      <c r="G92" s="35">
        <f>average(F87-F90,F88-F91,F89-F92)</f>
        <v/>
      </c>
      <c r="H92" s="35" t="n">
        <v>8.57333333333338</v>
      </c>
      <c r="I92" s="215">
        <f>C84</f>
        <v/>
      </c>
      <c r="J92" s="215">
        <f>C101</f>
        <v/>
      </c>
      <c r="K92" s="43">
        <f t="array" ref="K92">INDEX('Podium Target Times'!$C:$C, MATCH(A92&amp;B92, 'Podium Target Times'!$A:$A&amp;'Podium Target Times'!$B:$B, 0))
</f>
        <v/>
      </c>
      <c r="L92" s="12">
        <f>L93+G93</f>
        <v/>
      </c>
      <c r="M92" s="43">
        <f>IF(L92&lt;60, TEXT(L92,"0.00"), IF(L92&lt;600, TEXT(L92/86400,"m:ss.00"), TEXT(L92/86400,"mm:ss.00")))
</f>
        <v/>
      </c>
      <c r="N92" s="14">
        <f>IFERROR(__xludf.DUMMYFUNCTION("LET(
  gen,$A92, ev,$B92, t,$M92,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
      </c>
      <c r="O92" s="65" t="n"/>
      <c r="P92" s="69">
        <f>A101</f>
        <v/>
      </c>
      <c r="Q92" s="65">
        <f>B101</f>
        <v/>
      </c>
      <c r="R92" s="69">
        <f>C101</f>
        <v/>
      </c>
      <c r="S92" s="58">
        <f>M101</f>
        <v/>
      </c>
      <c r="T92" s="69">
        <f>N101</f>
        <v/>
      </c>
      <c r="U92" s="65" t="n">
        <v>719</v>
      </c>
      <c r="V92" s="65" t="n"/>
      <c r="W92" s="65" t="n"/>
    </row>
    <row r="93">
      <c r="A93" s="17" t="inlineStr">
        <is>
          <t>F</t>
        </is>
      </c>
      <c r="B93" s="18" t="inlineStr">
        <is>
          <t>1500 Free</t>
        </is>
      </c>
      <c r="C93" s="18" t="n">
        <v>18</v>
      </c>
      <c r="D93" s="18" t="n">
        <v>1</v>
      </c>
      <c r="E93" s="46" t="inlineStr">
        <is>
          <t>16:24.56</t>
        </is>
      </c>
      <c r="F93" s="21">
        <f>IFERROR(__xludf.DUMMYFUNCTION("IF(
  REGEXMATCH(E93, "":""),
  60*VALUE(INDEX(SPLIT(E93, "":""),1,1)) + VALUE(INDEX(SPLIT(E93, "":""),1,2)),
  VALUE(E93)
)"),984.56)</f>
        <v/>
      </c>
      <c r="G93" s="21">
        <f>average(F90-F93,F91-F94,F92-F95)</f>
        <v/>
      </c>
      <c r="H93" s="21" t="n">
        <v>5.113333333333344</v>
      </c>
      <c r="I93" s="211">
        <f>C84</f>
        <v/>
      </c>
      <c r="J93" s="211">
        <f>C101</f>
        <v/>
      </c>
      <c r="K93" s="60">
        <f t="array" ref="K93">INDEX('Podium Target Times'!$C:$C, MATCH(A93&amp;B93, 'Podium Target Times'!$A:$A&amp;'Podium Target Times'!$B:$B, 0))
</f>
        <v/>
      </c>
      <c r="L93" s="24">
        <f>L96+G96</f>
        <v/>
      </c>
      <c r="M93" s="60">
        <f>IF(L93&lt;60, TEXT(L93,"0.00"), IF(L93&lt;600, TEXT(L93/86400,"m:ss.00"), TEXT(L93/86400,"mm:ss.00")))
</f>
        <v/>
      </c>
      <c r="N93" s="25">
        <f>IFERROR(__xludf.DUMMYFUNCTION("LET(
  gen,$A93, ev,$B93, t,$M93,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
      </c>
      <c r="O93" s="65" t="n"/>
      <c r="P93" s="69">
        <f>P92</f>
        <v/>
      </c>
      <c r="Q93" s="65">
        <f>Q92</f>
        <v/>
      </c>
      <c r="R93" s="69">
        <f>R92+1</f>
        <v/>
      </c>
      <c r="S93" s="58">
        <f>M102</f>
        <v/>
      </c>
      <c r="T93" s="69">
        <f>N102</f>
        <v/>
      </c>
      <c r="U93" s="65" t="n"/>
      <c r="V93" s="65" t="n"/>
      <c r="W93" s="65" t="n"/>
    </row>
    <row r="94">
      <c r="A94" s="8" t="inlineStr">
        <is>
          <t>F</t>
        </is>
      </c>
      <c r="B94" s="9" t="inlineStr">
        <is>
          <t>1500 Free</t>
        </is>
      </c>
      <c r="C94" s="9" t="n">
        <v>18</v>
      </c>
      <c r="D94" s="9" t="n">
        <v>2</v>
      </c>
      <c r="E94" s="41" t="inlineStr">
        <is>
          <t>16:29.24</t>
        </is>
      </c>
      <c r="F94" s="35">
        <f>IFERROR(__xludf.DUMMYFUNCTION("IF(
  REGEXMATCH(E94, "":""),
  60*VALUE(INDEX(SPLIT(E94, "":""),1,1)) + VALUE(INDEX(SPLIT(E94, "":""),1,2)),
  VALUE(E94)
)"),989.24)</f>
        <v/>
      </c>
      <c r="G94" s="35">
        <f>average(F90-F93,F91-F94,F92-F95)</f>
        <v/>
      </c>
      <c r="H94" s="35" t="n">
        <v>5.113333333333344</v>
      </c>
      <c r="I94" s="215">
        <f>C84</f>
        <v/>
      </c>
      <c r="J94" s="215">
        <f>C101</f>
        <v/>
      </c>
      <c r="K94" s="43">
        <f t="array" ref="K94">INDEX('Podium Target Times'!$C:$C, MATCH(A94&amp;B94, 'Podium Target Times'!$A:$A&amp;'Podium Target Times'!$B:$B, 0))
</f>
        <v/>
      </c>
      <c r="L94" s="12">
        <f>L96+G96</f>
        <v/>
      </c>
      <c r="M94" s="43">
        <f>IF(L94&lt;60, TEXT(L94,"0.00"), IF(L94&lt;600, TEXT(L94/86400,"m:ss.00"), TEXT(L94/86400,"mm:ss.00")))
</f>
        <v/>
      </c>
      <c r="N94" s="14">
        <f>IFERROR(__xludf.DUMMYFUNCTION("LET(
  gen,$A94, ev,$B94, t,$M94,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
      </c>
      <c r="O94" s="65" t="n"/>
      <c r="P94" s="69">
        <f>P93</f>
        <v/>
      </c>
      <c r="Q94" s="65">
        <f>Q93</f>
        <v/>
      </c>
      <c r="R94" s="69">
        <f>R93+1</f>
        <v/>
      </c>
      <c r="S94" s="58">
        <f>M103</f>
        <v/>
      </c>
      <c r="T94" s="69">
        <f>N103</f>
        <v/>
      </c>
      <c r="U94" s="65" t="n"/>
      <c r="V94" s="65" t="n"/>
      <c r="W94" s="65" t="n"/>
    </row>
    <row r="95">
      <c r="A95" s="17" t="inlineStr">
        <is>
          <t>F</t>
        </is>
      </c>
      <c r="B95" s="18" t="inlineStr">
        <is>
          <t>1500 Free</t>
        </is>
      </c>
      <c r="C95" s="18" t="n">
        <v>18</v>
      </c>
      <c r="D95" s="18" t="n">
        <v>3</v>
      </c>
      <c r="E95" s="46" t="inlineStr">
        <is>
          <t>16:31.47</t>
        </is>
      </c>
      <c r="F95" s="21">
        <f>IFERROR(__xludf.DUMMYFUNCTION("IF(
  REGEXMATCH(E95, "":""),
  60*VALUE(INDEX(SPLIT(E95, "":""),1,1)) + VALUE(INDEX(SPLIT(E95, "":""),1,2)),
  VALUE(E95)
)"),991.47)</f>
        <v/>
      </c>
      <c r="G95" s="21">
        <f>average(F90-F93,F91-F94,F92-F95)</f>
        <v/>
      </c>
      <c r="H95" s="21" t="n">
        <v>5.113333333333344</v>
      </c>
      <c r="I95" s="211">
        <f>C84</f>
        <v/>
      </c>
      <c r="J95" s="211">
        <f>C101</f>
        <v/>
      </c>
      <c r="K95" s="60">
        <f t="array" ref="K95">INDEX('Podium Target Times'!$C:$C, MATCH(A95&amp;B95, 'Podium Target Times'!$A:$A&amp;'Podium Target Times'!$B:$B, 0))
</f>
        <v/>
      </c>
      <c r="L95" s="24">
        <f>L96+G96</f>
        <v/>
      </c>
      <c r="M95" s="60">
        <f>IF(L95&lt;60, TEXT(L95,"0.00"), IF(L95&lt;600, TEXT(L95/86400,"m:ss.00"), TEXT(L95/86400,"mm:ss.00")))
</f>
        <v/>
      </c>
      <c r="N95" s="25">
        <f>IFERROR(__xludf.DUMMYFUNCTION("LET(
  gen,$A95, ev,$B95, t,$M95,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)"),698.0)</f>
        <v/>
      </c>
      <c r="O95" s="65" t="n"/>
      <c r="P95" s="69">
        <f>P94</f>
        <v/>
      </c>
      <c r="Q95" s="65">
        <f>Q94</f>
        <v/>
      </c>
      <c r="R95" s="69">
        <f>R94+1</f>
        <v/>
      </c>
      <c r="S95" s="58">
        <f>M104</f>
        <v/>
      </c>
      <c r="T95" s="69">
        <f>N104</f>
        <v/>
      </c>
      <c r="U95" s="65" t="n"/>
      <c r="V95" s="65" t="n"/>
      <c r="W95" s="65" t="n"/>
    </row>
    <row r="96">
      <c r="A96" s="8" t="inlineStr">
        <is>
          <t>F</t>
        </is>
      </c>
      <c r="B96" s="9" t="inlineStr">
        <is>
          <t>1500 Free</t>
        </is>
      </c>
      <c r="C96" s="9" t="n">
        <v>19</v>
      </c>
      <c r="D96" s="219" t="n">
        <v>2</v>
      </c>
      <c r="E96" s="41" t="inlineStr">
        <is>
          <t>16:26.24</t>
        </is>
      </c>
      <c r="F96" s="35">
        <f>IFERROR(__xludf.DUMMYFUNCTION("IF(
  REGEXMATCH(E96, "":""),
  60*VALUE(INDEX(SPLIT(E96, "":""),1,1)) + VALUE(INDEX(SPLIT(E96, "":""),1,2)),
  VALUE(E96)
)"),986.24)</f>
        <v/>
      </c>
      <c r="G96" s="35">
        <f>average(F94-F96,F95-F97)</f>
        <v/>
      </c>
      <c r="H96" s="35" t="n">
        <v>3.004999999999995</v>
      </c>
      <c r="I96" s="215">
        <f>C84</f>
        <v/>
      </c>
      <c r="J96" s="215">
        <f>C101</f>
        <v/>
      </c>
      <c r="K96" s="43">
        <f t="array" ref="K96">INDEX('Podium Target Times'!$C:$C, MATCH(A96&amp;B96, 'Podium Target Times'!$A:$A&amp;'Podium Target Times'!$B:$B, 0))
</f>
        <v/>
      </c>
      <c r="L96" s="12">
        <f>L98+G98</f>
        <v/>
      </c>
      <c r="M96" s="43">
        <f>IF(L96&lt;60, TEXT(L96,"0.00"), IF(L96&lt;600, TEXT(L96/86400,"m:ss.00"), TEXT(L96/86400,"mm:ss.00")))
</f>
        <v/>
      </c>
      <c r="N96" s="14">
        <f>IFERROR(__xludf.DUMMYFUNCTION("LET(
  gen,$A96, ev,$B96, t,$M96,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)"),704.0)</f>
        <v/>
      </c>
      <c r="O96" s="65" t="n"/>
      <c r="P96" s="69" t="n"/>
      <c r="Q96" s="65" t="n"/>
      <c r="R96" s="69" t="n"/>
      <c r="S96" s="58" t="n"/>
      <c r="T96" s="69" t="n"/>
      <c r="U96" s="65" t="n"/>
      <c r="V96" s="65" t="n"/>
      <c r="W96" s="65" t="n"/>
    </row>
    <row r="97">
      <c r="A97" s="17" t="inlineStr">
        <is>
          <t>F</t>
        </is>
      </c>
      <c r="B97" s="18" t="inlineStr">
        <is>
          <t>1500 Free</t>
        </is>
      </c>
      <c r="C97" s="18" t="n">
        <v>19</v>
      </c>
      <c r="D97" s="18" t="n">
        <v>3</v>
      </c>
      <c r="E97" s="46" t="inlineStr">
        <is>
          <t>16:28.46</t>
        </is>
      </c>
      <c r="F97" s="21">
        <f>IFERROR(__xludf.DUMMYFUNCTION("IF(
  REGEXMATCH(E97, "":""),
  60*VALUE(INDEX(SPLIT(E97, "":""),1,1)) + VALUE(INDEX(SPLIT(E97, "":""),1,2)),
  VALUE(E97)
)"),988.46)</f>
        <v/>
      </c>
      <c r="G97" s="21">
        <f>average(F94-F96,F95-F97)</f>
        <v/>
      </c>
      <c r="H97" s="21" t="n">
        <v>3.004999999999995</v>
      </c>
      <c r="I97" s="211">
        <f>C84</f>
        <v/>
      </c>
      <c r="J97" s="211">
        <f>C101</f>
        <v/>
      </c>
      <c r="K97" s="60">
        <f t="array" ref="K97">INDEX('Podium Target Times'!$C:$C, MATCH(A97&amp;B97, 'Podium Target Times'!$A:$A&amp;'Podium Target Times'!$B:$B, 0))
</f>
        <v/>
      </c>
      <c r="L97" s="24">
        <f>L98+G98</f>
        <v/>
      </c>
      <c r="M97" s="60">
        <f>IF(L97&lt;60, TEXT(L97,"0.00"), IF(L97&lt;600, TEXT(L97/86400,"m:ss.00"), TEXT(L97/86400,"mm:ss.00")))
</f>
        <v/>
      </c>
      <c r="N97" s="25">
        <f>IFERROR(__xludf.DUMMYFUNCTION("LET(
  gen,$A97, ev,$B97, t,$M97,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)"),704.0)</f>
        <v/>
      </c>
      <c r="O97" s="65" t="n"/>
      <c r="P97" s="69" t="n"/>
      <c r="Q97" s="65" t="n"/>
      <c r="R97" s="69" t="n"/>
      <c r="S97" s="58" t="n"/>
      <c r="T97" s="69" t="n"/>
      <c r="U97" s="65" t="n"/>
      <c r="V97" s="65" t="n"/>
      <c r="W97" s="65" t="n"/>
    </row>
    <row r="98">
      <c r="A98" s="8" t="inlineStr">
        <is>
          <t>F</t>
        </is>
      </c>
      <c r="B98" s="9" t="inlineStr">
        <is>
          <t>1500 Free</t>
        </is>
      </c>
      <c r="C98" s="9" t="n">
        <v>20</v>
      </c>
      <c r="D98" s="9" t="n">
        <v>2</v>
      </c>
      <c r="E98" s="483" t="inlineStr">
        <is>
          <t>16:24.56</t>
        </is>
      </c>
      <c r="F98" s="35">
        <f>IFERROR(__xludf.DUMMYFUNCTION("IF(
  REGEXMATCH(E98, "":""),
  60*VALUE(INDEX(SPLIT(E98, "":""),1,1)) + VALUE(INDEX(SPLIT(E98, "":""),1,2)),
  VALUE(E98)
)"),984.56)</f>
        <v/>
      </c>
      <c r="G98" s="35">
        <f>average(F96-F98,F97-F99)</f>
        <v/>
      </c>
      <c r="H98" s="35" t="n">
        <v>1.680000000000064</v>
      </c>
      <c r="I98" s="215">
        <f>C84</f>
        <v/>
      </c>
      <c r="J98" s="215">
        <f>C101</f>
        <v/>
      </c>
      <c r="K98" s="43">
        <f t="array" ref="K98">INDEX('Podium Target Times'!$C:$C, MATCH(A98&amp;B98, 'Podium Target Times'!$A:$A&amp;'Podium Target Times'!$B:$B, 0))
</f>
        <v/>
      </c>
      <c r="L98" s="12">
        <f>L100+G100</f>
        <v/>
      </c>
      <c r="M98" s="43">
        <f>IF(L98&lt;60, TEXT(L98,"0.00"), IF(L98&lt;600, TEXT(L98/86400,"m:ss.00"), TEXT(L98/86400,"mm:ss.00")))
</f>
        <v/>
      </c>
      <c r="N98" s="14">
        <f>IFERROR(__xludf.DUMMYFUNCTION("LET(
  gen,$A98, ev,$B98, t,$M98,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
      </c>
      <c r="O98" s="65" t="n"/>
      <c r="P98" s="69" t="n"/>
      <c r="Q98" s="65" t="n"/>
      <c r="R98" s="69" t="n"/>
      <c r="S98" s="58" t="n"/>
      <c r="T98" s="69" t="n"/>
      <c r="U98" s="65" t="n"/>
      <c r="V98" s="65" t="n"/>
      <c r="W98" s="65" t="n"/>
    </row>
    <row r="99">
      <c r="A99" s="17" t="inlineStr">
        <is>
          <t>F</t>
        </is>
      </c>
      <c r="B99" s="18" t="inlineStr">
        <is>
          <t>1500 Free</t>
        </is>
      </c>
      <c r="C99" s="18" t="n">
        <v>20</v>
      </c>
      <c r="D99" s="18" t="n">
        <v>3</v>
      </c>
      <c r="E99" s="491" t="inlineStr">
        <is>
          <t>16:26.78</t>
        </is>
      </c>
      <c r="F99" s="21">
        <f>IFERROR(__xludf.DUMMYFUNCTION("IF(
  REGEXMATCH(E99, "":""),
  60*VALUE(INDEX(SPLIT(E99, "":""),1,1)) + VALUE(INDEX(SPLIT(E99, "":""),1,2)),
  VALUE(E99)
)"),986.78)</f>
        <v/>
      </c>
      <c r="G99" s="21">
        <f>average(F96-F98,F97-F99)</f>
        <v/>
      </c>
      <c r="H99" s="21" t="n">
        <v>1.680000000000064</v>
      </c>
      <c r="I99" s="211">
        <f>C84</f>
        <v/>
      </c>
      <c r="J99" s="211">
        <f>C101</f>
        <v/>
      </c>
      <c r="K99" s="60">
        <f t="array" ref="K99">INDEX('Podium Target Times'!$C:$C, MATCH(A99&amp;B99, 'Podium Target Times'!$A:$A&amp;'Podium Target Times'!$B:$B, 0))
</f>
        <v/>
      </c>
      <c r="L99" s="24">
        <f>L100+G100</f>
        <v/>
      </c>
      <c r="M99" s="60">
        <f>IF(L99&lt;60, TEXT(L99,"0.00"), IF(L99&lt;600, TEXT(L99/86400,"m:ss.00"), TEXT(L99/86400,"mm:ss.00")))
</f>
        <v/>
      </c>
      <c r="N99" s="25">
        <f>IFERROR(__xludf.DUMMYFUNCTION("LET(
  gen,$A99, ev,$B99, t,$M99,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
      </c>
      <c r="O99" s="65" t="n"/>
      <c r="P99" s="69" t="n"/>
      <c r="Q99" s="65" t="n"/>
      <c r="R99" s="69" t="n"/>
      <c r="S99" s="58" t="n"/>
      <c r="T99" s="69" t="n"/>
      <c r="U99" s="65" t="n"/>
      <c r="V99" s="65" t="n"/>
      <c r="W99" s="65" t="n"/>
    </row>
    <row r="100">
      <c r="A100" s="8" t="inlineStr">
        <is>
          <t>F</t>
        </is>
      </c>
      <c r="B100" s="9" t="inlineStr">
        <is>
          <t>1500 Free</t>
        </is>
      </c>
      <c r="C100" s="9" t="n">
        <v>21</v>
      </c>
      <c r="D100" s="9" t="n">
        <v>3</v>
      </c>
      <c r="E100" s="41" t="inlineStr">
        <is>
          <t>16:25.53</t>
        </is>
      </c>
      <c r="F100" s="35">
        <f>IFERROR(__xludf.DUMMYFUNCTION("IF(
  REGEXMATCH(E100, "":""),
  60*VALUE(INDEX(SPLIT(E100, "":""),1,1)) + VALUE(INDEX(SPLIT(E100, "":""),1,2)),
  VALUE(E100)
)"),985.53)</f>
        <v/>
      </c>
      <c r="G100" s="35">
        <f>F99-F100</f>
        <v/>
      </c>
      <c r="H100" s="35" t="n">
        <v>1.25</v>
      </c>
      <c r="I100" s="215">
        <f>C84</f>
        <v/>
      </c>
      <c r="J100" s="215">
        <f>C101</f>
        <v/>
      </c>
      <c r="K100" s="43">
        <f t="array" ref="K100">INDEX('Podium Target Times'!$C:$C, MATCH(A100&amp;B100, 'Podium Target Times'!$A:$A&amp;'Podium Target Times'!$B:$B, 0))
</f>
        <v/>
      </c>
      <c r="L100" s="12">
        <f>L101+G101</f>
        <v/>
      </c>
      <c r="M100" s="43">
        <f>IF(L100&lt;60, TEXT(L100,"0.00"), IF(L100&lt;600, TEXT(L100/86400,"m:ss.00"), TEXT(L100/86400,"mm:ss.00")))
</f>
        <v/>
      </c>
      <c r="N100" s="14">
        <f>IFERROR(__xludf.DUMMYFUNCTION("LET(
  gen,$A100, ev,$B100, t,$M100,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
      </c>
      <c r="O100" s="65" t="n"/>
      <c r="P100" s="69" t="n"/>
      <c r="Q100" s="65" t="n"/>
      <c r="R100" s="69" t="n"/>
      <c r="S100" s="58" t="n"/>
      <c r="T100" s="69" t="n"/>
      <c r="U100" s="65" t="n"/>
      <c r="V100" s="65" t="n"/>
      <c r="W100" s="65" t="n"/>
    </row>
    <row r="101">
      <c r="A101" s="17" t="inlineStr">
        <is>
          <t>F</t>
        </is>
      </c>
      <c r="B101" s="18" t="inlineStr">
        <is>
          <t>1500 Free</t>
        </is>
      </c>
      <c r="C101" s="18" t="n">
        <v>22</v>
      </c>
      <c r="D101" s="18" t="n">
        <v>3</v>
      </c>
      <c r="E101" s="491" t="inlineStr">
        <is>
          <t>16:24.56</t>
        </is>
      </c>
      <c r="F101" s="21">
        <f>IFERROR(__xludf.DUMMYFUNCTION("IF(
  REGEXMATCH(E101, "":""),
  60*VALUE(INDEX(SPLIT(E101, "":""),1,1)) + VALUE(INDEX(SPLIT(E101, "":""),1,2)),
  VALUE(E101)
)"),984.56)</f>
        <v/>
      </c>
      <c r="G101" s="21">
        <f>F100-F101</f>
        <v/>
      </c>
      <c r="H101" s="21" t="n">
        <v>0.9700000000000273</v>
      </c>
      <c r="I101" s="211">
        <f>C84</f>
        <v/>
      </c>
      <c r="J101" s="211">
        <f>C101</f>
        <v/>
      </c>
      <c r="K101" s="60">
        <f t="array" ref="K101">INDEX('Podium Target Times'!$C:$C, MATCH(A101&amp;B101, 'Podium Target Times'!$A:$A&amp;'Podium Target Times'!$B:$B, 0))
</f>
        <v/>
      </c>
      <c r="L101" s="21">
        <f>G101+L102</f>
        <v/>
      </c>
      <c r="M101" s="60">
        <f>IF(L101&lt;60, TEXT(L101,"0.00"), IF(L101&lt;600, TEXT(L101/86400,"m:ss.00"), TEXT(L101/86400,"mm:ss.00")))
</f>
        <v/>
      </c>
      <c r="N101" s="25">
        <f>IFERROR(__xludf.DUMMYFUNCTION("LET(
  gen,$A101, ev,$B101, t,$M101,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
      </c>
      <c r="O101" s="65" t="n"/>
      <c r="P101" s="69" t="n"/>
      <c r="Q101" s="65" t="n"/>
      <c r="R101" s="69" t="n"/>
      <c r="S101" s="58" t="n"/>
      <c r="T101" s="69" t="n"/>
      <c r="U101" s="65" t="n"/>
      <c r="V101" s="65" t="n"/>
      <c r="W101" s="65" t="n"/>
    </row>
    <row r="102">
      <c r="A102" s="8" t="inlineStr">
        <is>
          <t>F</t>
        </is>
      </c>
      <c r="B102" s="9" t="inlineStr">
        <is>
          <t>1500 Free</t>
        </is>
      </c>
      <c r="C102" s="9" t="n">
        <v>23</v>
      </c>
      <c r="D102" s="9" t="n"/>
      <c r="E102" s="41" t="n"/>
      <c r="F102" s="35">
        <f>IFERROR(__xludf.DUMMYFUNCTION("IF(
  REGEXMATCH(E102, "":""),
  60*VALUE(INDEX(SPLIT(E102, "":""),1,1)) + VALUE(INDEX(SPLIT(E102, "":""),1,2)),
  VALUE(E102)
)"),0.0)</f>
        <v/>
      </c>
      <c r="G102" s="12" t="n"/>
      <c r="H102" s="12" t="n"/>
      <c r="I102" s="43">
        <f>C102</f>
        <v/>
      </c>
      <c r="J102" s="43">
        <f>C119</f>
        <v/>
      </c>
      <c r="K102" s="43">
        <f t="array" ref="K102">INDEX('Podium Target Times'!$C:$C, MATCH(A102&amp;B102, 'Podium Target Times'!$A:$A&amp;'Podium Target Times'!$B:$B, 0))
</f>
        <v/>
      </c>
      <c r="L102" s="12">
        <f>G101+L103</f>
        <v/>
      </c>
      <c r="M102" s="43">
        <f>IF(L102&lt;60, TEXT(L102,"0.00"), IF(L102&lt;600, TEXT(L102/86400,"m:ss.00"), TEXT(L102/86400,"mm:ss.00")))
</f>
        <v/>
      </c>
      <c r="N102" s="14">
        <f>IFERROR(__xludf.DUMMYFUNCTION("LET(
  gen,$A102, ev,$B102, t,$M102,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O102" s="65" t="n"/>
      <c r="P102" s="69" t="n"/>
      <c r="Q102" s="65" t="n"/>
      <c r="R102" s="69" t="n"/>
      <c r="S102" s="58" t="n"/>
      <c r="T102" s="69" t="n"/>
      <c r="U102" s="65" t="n"/>
      <c r="V102" s="65" t="n"/>
      <c r="W102" s="65" t="n"/>
    </row>
    <row r="103">
      <c r="A103" s="17" t="inlineStr">
        <is>
          <t>F</t>
        </is>
      </c>
      <c r="B103" s="18" t="inlineStr">
        <is>
          <t>1500 Free</t>
        </is>
      </c>
      <c r="C103" s="18" t="n">
        <v>24</v>
      </c>
      <c r="D103" s="18" t="n"/>
      <c r="E103" s="46" t="n"/>
      <c r="F103" s="21">
        <f>IFERROR(__xludf.DUMMYFUNCTION("IF(
  REGEXMATCH(E103, "":""),
  60*VALUE(INDEX(SPLIT(E103, "":""),1,1)) + VALUE(INDEX(SPLIT(E103, "":""),1,2)),
  VALUE(E103)
)"),0.0)</f>
        <v/>
      </c>
      <c r="G103" s="24" t="n"/>
      <c r="H103" s="24" t="n"/>
      <c r="I103" s="60">
        <f>C103</f>
        <v/>
      </c>
      <c r="J103" s="60">
        <f>C120</f>
        <v/>
      </c>
      <c r="K103" s="60">
        <f t="array" ref="K103">INDEX('Podium Target Times'!$C:$C, MATCH(A103&amp;B103, 'Podium Target Times'!$A:$A&amp;'Podium Target Times'!$B:$B, 0))
</f>
        <v/>
      </c>
      <c r="L103" s="24">
        <f>G101+L104</f>
        <v/>
      </c>
      <c r="M103" s="60">
        <f>IF(L103&lt;60, TEXT(L103,"0.00"), IF(L103&lt;600, TEXT(L103/86400,"m:ss.00"), TEXT(L103/86400,"mm:ss.00")))
</f>
        <v/>
      </c>
      <c r="N103" s="25">
        <f>IFERROR(__xludf.DUMMYFUNCTION("LET(
  gen,$A103, ev,$B103, t,$M103,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O103" s="65" t="n"/>
      <c r="P103" s="69" t="n"/>
      <c r="Q103" s="65" t="n"/>
      <c r="R103" s="69" t="n"/>
      <c r="S103" s="58" t="n"/>
      <c r="T103" s="69" t="n"/>
      <c r="U103" s="65" t="n"/>
      <c r="V103" s="65" t="n"/>
      <c r="W103" s="65" t="n"/>
    </row>
    <row r="104">
      <c r="A104" s="8" t="inlineStr">
        <is>
          <t>F</t>
        </is>
      </c>
      <c r="B104" s="9" t="inlineStr">
        <is>
          <t>1500 Free</t>
        </is>
      </c>
      <c r="C104" s="9" t="n">
        <v>25</v>
      </c>
      <c r="D104" s="9" t="n"/>
      <c r="E104" s="41" t="n"/>
      <c r="F104" s="35">
        <f>IFERROR(__xludf.DUMMYFUNCTION("IF(
  REGEXMATCH(E104, "":""),
  60*VALUE(INDEX(SPLIT(E104, "":""),1,1)) + VALUE(INDEX(SPLIT(E104, "":""),1,2)),
  VALUE(E104)
)"),0.0)</f>
        <v/>
      </c>
      <c r="G104" s="12" t="n"/>
      <c r="H104" s="12" t="n"/>
      <c r="I104" s="43">
        <f>C104</f>
        <v/>
      </c>
      <c r="J104" s="43">
        <f>C121</f>
        <v/>
      </c>
      <c r="K104" s="43">
        <f t="array" ref="K104">INDEX('Podium Target Times'!$C:$C, MATCH(A104&amp;B104, 'Podium Target Times'!$A:$A&amp;'Podium Target Times'!$B:$B, 0))
</f>
        <v/>
      </c>
      <c r="L104" s="43">
        <f>K104</f>
        <v/>
      </c>
      <c r="M104" s="43">
        <f>IF(L104&lt;60, TEXT(L104,"0.00"), IF(L104&lt;600, TEXT(L104/86400,"m:ss.00"), TEXT(L104/86400,"mm:ss.00")))
</f>
        <v/>
      </c>
      <c r="N104" s="14">
        <f>IFERROR(__xludf.DUMMYFUNCTION("LET(
  gen,$A104, ev,$B104, t,$M104,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)"),719.0)</f>
        <v/>
      </c>
      <c r="O104" s="65" t="n"/>
      <c r="P104" s="69" t="inlineStr">
        <is>
          <t>F</t>
        </is>
      </c>
      <c r="Q104" s="65" t="inlineStr">
        <is>
          <t>200 Back</t>
        </is>
      </c>
      <c r="R104" s="69" t="n">
        <v>16</v>
      </c>
      <c r="S104" s="58" t="inlineStr">
        <is>
          <t>2:27.07</t>
        </is>
      </c>
      <c r="T104" s="65">
        <f>IFERROR(__xludf.DUMMYFUNCTION("LET(
  gen,$P104, ev,$Q104, t,$S104,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)"),586.0)</f>
        <v/>
      </c>
      <c r="U104" s="65" t="n"/>
      <c r="V104" s="65" t="n"/>
      <c r="W104" s="65" t="n"/>
    </row>
    <row r="105">
      <c r="A105" s="17" t="inlineStr">
        <is>
          <t>F</t>
        </is>
      </c>
      <c r="B105" s="18" t="inlineStr">
        <is>
          <t>200 Back</t>
        </is>
      </c>
      <c r="C105" s="18" t="n">
        <v>13</v>
      </c>
      <c r="D105" s="18" t="n">
        <v>1</v>
      </c>
      <c r="E105" s="46" t="inlineStr">
        <is>
          <t>2:23.84</t>
        </is>
      </c>
      <c r="F105" s="21">
        <f>IFERROR(__xludf.DUMMYFUNCTION("IF(
  REGEXMATCH(E105, "":""),
  60*VALUE(INDEX(SPLIT(E105, "":""),1,1)) + VALUE(INDEX(SPLIT(E105, "":""),1,2)),
  VALUE(E105)
)"),143.84)</f>
        <v/>
      </c>
      <c r="G105" s="24" t="n">
        <v>0</v>
      </c>
      <c r="H105" s="24" t="n">
        <v>0</v>
      </c>
      <c r="I105" s="60">
        <f>C105</f>
        <v/>
      </c>
      <c r="J105" s="60">
        <f>C122</f>
        <v/>
      </c>
      <c r="K105" s="60">
        <f t="array" ref="K105">INDEX('Podium Target Times'!$C:$C, MATCH(A105&amp;B105, 'Podium Target Times'!$A:$A&amp;'Podium Target Times'!$B:$B, 0))
</f>
        <v/>
      </c>
      <c r="L105" s="24">
        <f>L106+G106</f>
        <v/>
      </c>
      <c r="M105" s="60">
        <f>IF(L105&lt;60, TEXT(L105,"0.00"), IF(L105&lt;600, TEXT(L105/86400,"m:ss.00"), TEXT(L105/86400,"mm:ss.00")))
</f>
        <v/>
      </c>
      <c r="N105" s="25">
        <f>IFERROR(__xludf.DUMMYFUNCTION("LET(
  gen,$A105, ev,$B105, t,$M105,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)"),504.0)</f>
        <v/>
      </c>
      <c r="O105" s="65" t="n"/>
      <c r="P105" s="69">
        <f>A105</f>
        <v/>
      </c>
      <c r="Q105" s="65">
        <f>B105</f>
        <v/>
      </c>
      <c r="R105" s="69">
        <f>C105</f>
        <v/>
      </c>
      <c r="S105" s="58">
        <f>M105</f>
        <v/>
      </c>
      <c r="T105" s="69">
        <f>N105</f>
        <v/>
      </c>
      <c r="U105" s="65" t="n">
        <v>517</v>
      </c>
      <c r="V105" s="65" t="n"/>
      <c r="W105" s="65" t="n"/>
    </row>
    <row r="106">
      <c r="A106" s="8" t="inlineStr">
        <is>
          <t>F</t>
        </is>
      </c>
      <c r="B106" s="9" t="inlineStr">
        <is>
          <t>200 Back</t>
        </is>
      </c>
      <c r="C106" s="9" t="n">
        <v>14</v>
      </c>
      <c r="D106" s="9" t="n">
        <v>1</v>
      </c>
      <c r="E106" s="41" t="inlineStr">
        <is>
          <t>2:18.64</t>
        </is>
      </c>
      <c r="F106" s="35">
        <f>IFERROR(__xludf.DUMMYFUNCTION("IF(
  REGEXMATCH(E106, "":""),
  60*VALUE(INDEX(SPLIT(E106, "":""),1,1)) + VALUE(INDEX(SPLIT(E106, "":""),1,2)),
  VALUE(E106)
)"),138.64)</f>
        <v/>
      </c>
      <c r="G106" s="35">
        <f>F105-F106</f>
        <v/>
      </c>
      <c r="H106" s="35" t="n">
        <v>5.200000000000017</v>
      </c>
      <c r="I106" s="215">
        <f>C105</f>
        <v/>
      </c>
      <c r="J106" s="215">
        <f>C122</f>
        <v/>
      </c>
      <c r="K106" s="43">
        <f t="array" ref="K106">INDEX('Podium Target Times'!$C:$C, MATCH(A106&amp;B106, 'Podium Target Times'!$A:$A&amp;'Podium Target Times'!$B:$B, 0))
</f>
        <v/>
      </c>
      <c r="L106" s="12">
        <f>L108+G108</f>
        <v/>
      </c>
      <c r="M106" s="43">
        <f>IF(L106&lt;60, TEXT(L106,"0.00"), IF(L106&lt;600, TEXT(L106/86400,"m:ss.00"), TEXT(L106/86400,"mm:ss.00")))
</f>
        <v/>
      </c>
      <c r="N106" s="14">
        <f>IFERROR(__xludf.DUMMYFUNCTION("LET(
  gen,$A106, ev,$B106, t,$M106,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)"),559.0)</f>
        <v/>
      </c>
      <c r="O106" s="65" t="n"/>
      <c r="P106" s="69">
        <f>A106</f>
        <v/>
      </c>
      <c r="Q106" s="65">
        <f>B106</f>
        <v/>
      </c>
      <c r="R106" s="69">
        <f>C106</f>
        <v/>
      </c>
      <c r="S106" s="58">
        <f>M106</f>
        <v/>
      </c>
      <c r="T106" s="69">
        <f>N106</f>
        <v/>
      </c>
      <c r="U106" s="65" t="n"/>
      <c r="V106" s="65" t="n"/>
      <c r="W106" s="65" t="n"/>
    </row>
    <row r="107">
      <c r="A107" s="17" t="inlineStr">
        <is>
          <t>F</t>
        </is>
      </c>
      <c r="B107" s="18" t="inlineStr">
        <is>
          <t>200 Back</t>
        </is>
      </c>
      <c r="C107" s="18" t="n">
        <v>14</v>
      </c>
      <c r="D107" s="221" t="n">
        <v>2</v>
      </c>
      <c r="E107" s="46" t="inlineStr">
        <is>
          <t>2:20.52</t>
        </is>
      </c>
      <c r="F107" s="21">
        <f>IFERROR(__xludf.DUMMYFUNCTION("IF(
  REGEXMATCH(E107, "":""),
  60*VALUE(INDEX(SPLIT(E107, "":""),1,1)) + VALUE(INDEX(SPLIT(E107, "":""),1,2)),
  VALUE(E107)
)"),140.52)</f>
        <v/>
      </c>
      <c r="G107" s="21">
        <f>F105-F106</f>
        <v/>
      </c>
      <c r="H107" s="21" t="n">
        <v>5.200000000000017</v>
      </c>
      <c r="I107" s="211">
        <f>C105</f>
        <v/>
      </c>
      <c r="J107" s="211">
        <f>C122</f>
        <v/>
      </c>
      <c r="K107" s="60">
        <f t="array" ref="K107">INDEX('Podium Target Times'!$C:$C, MATCH(A107&amp;B107, 'Podium Target Times'!$A:$A&amp;'Podium Target Times'!$B:$B, 0))
</f>
        <v/>
      </c>
      <c r="L107" s="24">
        <f>L108+G108</f>
        <v/>
      </c>
      <c r="M107" s="60">
        <f>IF(L107&lt;60, TEXT(L107,"0.00"), IF(L107&lt;600, TEXT(L107/86400,"m:ss.00"), TEXT(L107/86400,"mm:ss.00")))
</f>
        <v/>
      </c>
      <c r="N107" s="25">
        <f>IFERROR(__xludf.DUMMYFUNCTION("LET(
  gen,$A107, ev,$B107, t,$M107,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)"),559.0)</f>
        <v/>
      </c>
      <c r="O107" s="65" t="n"/>
      <c r="P107" s="69">
        <f>A108</f>
        <v/>
      </c>
      <c r="Q107" s="65">
        <f>B108</f>
        <v/>
      </c>
      <c r="R107" s="69">
        <f>C108</f>
        <v/>
      </c>
      <c r="S107" s="58">
        <f>M108</f>
        <v/>
      </c>
      <c r="T107" s="69">
        <f>N108</f>
        <v/>
      </c>
      <c r="U107" s="65" t="n"/>
      <c r="V107" s="65" t="n"/>
      <c r="W107" s="65" t="n"/>
    </row>
    <row r="108">
      <c r="A108" s="8" t="inlineStr">
        <is>
          <t>F</t>
        </is>
      </c>
      <c r="B108" s="9" t="inlineStr">
        <is>
          <t>200 Back</t>
        </is>
      </c>
      <c r="C108" s="9" t="n">
        <v>15</v>
      </c>
      <c r="D108" s="9" t="n">
        <v>1</v>
      </c>
      <c r="E108" s="41" t="inlineStr">
        <is>
          <t>2:14.97</t>
        </is>
      </c>
      <c r="F108" s="35">
        <f>IFERROR(__xludf.DUMMYFUNCTION("IF(
  REGEXMATCH(E108, "":""),
  60*VALUE(INDEX(SPLIT(E108, "":""),1,1)) + VALUE(INDEX(SPLIT(E108, "":""),1,2)),
  VALUE(E108)
)"),134.97)</f>
        <v/>
      </c>
      <c r="G108" s="35">
        <f>average(F106-F108,F107-F109)</f>
        <v/>
      </c>
      <c r="H108" s="35" t="n">
        <v>3.694999999999993</v>
      </c>
      <c r="I108" s="215">
        <f>C105</f>
        <v/>
      </c>
      <c r="J108" s="215">
        <f>C122</f>
        <v/>
      </c>
      <c r="K108" s="43">
        <f t="array" ref="K108">INDEX('Podium Target Times'!$C:$C, MATCH(A108&amp;B108, 'Podium Target Times'!$A:$A&amp;'Podium Target Times'!$B:$B, 0))
</f>
        <v/>
      </c>
      <c r="L108" s="12">
        <f>L111+G111</f>
        <v/>
      </c>
      <c r="M108" s="43">
        <f>IF(L108&lt;60, TEXT(L108,"0.00"), IF(L108&lt;600, TEXT(L108/86400,"m:ss.00"), TEXT(L108/86400,"mm:ss.00")))
</f>
        <v/>
      </c>
      <c r="N108" s="14">
        <f>IFERROR(__xludf.DUMMYFUNCTION("LET(
  gen,$A108, ev,$B108, t,$M108,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)"),602.0)</f>
        <v/>
      </c>
      <c r="O108" s="65" t="n"/>
      <c r="P108" s="69">
        <f>A111</f>
        <v/>
      </c>
      <c r="Q108" s="65">
        <f>B111</f>
        <v/>
      </c>
      <c r="R108" s="69">
        <f>C111</f>
        <v/>
      </c>
      <c r="S108" s="58">
        <f>M111</f>
        <v/>
      </c>
      <c r="T108" s="69">
        <f>N111</f>
        <v/>
      </c>
      <c r="U108" s="65">
        <f>T108-T104</f>
        <v/>
      </c>
      <c r="V108" s="65" t="n"/>
      <c r="W108" s="65" t="n"/>
    </row>
    <row r="109">
      <c r="A109" s="17" t="inlineStr">
        <is>
          <t>F</t>
        </is>
      </c>
      <c r="B109" s="18" t="inlineStr">
        <is>
          <t>200 Back</t>
        </is>
      </c>
      <c r="C109" s="18" t="n">
        <v>15</v>
      </c>
      <c r="D109" s="18" t="n">
        <v>2</v>
      </c>
      <c r="E109" s="46" t="inlineStr">
        <is>
          <t>2:16.80</t>
        </is>
      </c>
      <c r="F109" s="21">
        <f>IFERROR(__xludf.DUMMYFUNCTION("IF(
  REGEXMATCH(E109, "":""),
  60*VALUE(INDEX(SPLIT(E109, "":""),1,1)) + VALUE(INDEX(SPLIT(E109, "":""),1,2)),
  VALUE(E109)
)"),136.8)</f>
        <v/>
      </c>
      <c r="G109" s="21">
        <f>average(F106-F108,F107-F109)</f>
        <v/>
      </c>
      <c r="H109" s="21" t="n">
        <v>3.694999999999993</v>
      </c>
      <c r="I109" s="211">
        <f>C105</f>
        <v/>
      </c>
      <c r="J109" s="211">
        <f>C122</f>
        <v/>
      </c>
      <c r="K109" s="60">
        <f t="array" ref="K109">INDEX('Podium Target Times'!$C:$C, MATCH(A109&amp;B109, 'Podium Target Times'!$A:$A&amp;'Podium Target Times'!$B:$B, 0))
</f>
        <v/>
      </c>
      <c r="L109" s="24">
        <f>L111+G111</f>
        <v/>
      </c>
      <c r="M109" s="60">
        <f>IF(L109&lt;60, TEXT(L109,"0.00"), IF(L109&lt;600, TEXT(L109/86400,"m:ss.00"), TEXT(L109/86400,"mm:ss.00")))
</f>
        <v/>
      </c>
      <c r="N109" s="25">
        <f>IFERROR(__xludf.DUMMYFUNCTION("LET(
  gen,$A109, ev,$B109, t,$M109,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)"),602.0)</f>
        <v/>
      </c>
      <c r="O109" s="65" t="n"/>
      <c r="P109" s="69">
        <f>A114</f>
        <v/>
      </c>
      <c r="Q109" s="65">
        <f>B114</f>
        <v/>
      </c>
      <c r="R109" s="69">
        <f>C114</f>
        <v/>
      </c>
      <c r="S109" s="58">
        <f>M114</f>
        <v/>
      </c>
      <c r="T109" s="69">
        <f>N114</f>
        <v/>
      </c>
      <c r="U109" s="65" t="n"/>
      <c r="V109" s="65" t="n"/>
      <c r="W109" s="65" t="n"/>
    </row>
    <row r="110">
      <c r="A110" s="8" t="inlineStr">
        <is>
          <t>F</t>
        </is>
      </c>
      <c r="B110" s="9" t="inlineStr">
        <is>
          <t>200 Back</t>
        </is>
      </c>
      <c r="C110" s="9" t="n">
        <v>15</v>
      </c>
      <c r="D110" s="9" t="n">
        <v>3</v>
      </c>
      <c r="E110" s="41" t="inlineStr">
        <is>
          <t>2:17.67</t>
        </is>
      </c>
      <c r="F110" s="35">
        <f>IFERROR(__xludf.DUMMYFUNCTION("IF(
  REGEXMATCH(E110, "":""),
  60*VALUE(INDEX(SPLIT(E110, "":""),1,1)) + VALUE(INDEX(SPLIT(E110, "":""),1,2)),
  VALUE(E110)
)"),137.67000000000002)</f>
        <v/>
      </c>
      <c r="G110" s="35">
        <f>average(F106-F108,F107-F109)</f>
        <v/>
      </c>
      <c r="H110" s="35" t="n">
        <v>3.694999999999993</v>
      </c>
      <c r="I110" s="215">
        <f>C105</f>
        <v/>
      </c>
      <c r="J110" s="215">
        <f>C122</f>
        <v/>
      </c>
      <c r="K110" s="43">
        <f t="array" ref="K110">INDEX('Podium Target Times'!$C:$C, MATCH(A110&amp;B110, 'Podium Target Times'!$A:$A&amp;'Podium Target Times'!$B:$B, 0))
</f>
        <v/>
      </c>
      <c r="L110" s="12">
        <f>L111+G111</f>
        <v/>
      </c>
      <c r="M110" s="43">
        <f>IF(L110&lt;60, TEXT(L110,"0.00"), IF(L110&lt;600, TEXT(L110/86400,"m:ss.00"), TEXT(L110/86400,"mm:ss.00")))
</f>
        <v/>
      </c>
      <c r="N110" s="14">
        <f>IFERROR(__xludf.DUMMYFUNCTION("LET(
  gen,$A110, ev,$B110, t,$M110,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)"),602.0)</f>
        <v/>
      </c>
      <c r="O110" s="65" t="n"/>
      <c r="P110" s="69">
        <f>A117</f>
        <v/>
      </c>
      <c r="Q110" s="65">
        <f>B117</f>
        <v/>
      </c>
      <c r="R110" s="69">
        <f>C117</f>
        <v/>
      </c>
      <c r="S110" s="58">
        <f>M117</f>
        <v/>
      </c>
      <c r="T110" s="69">
        <f>N117</f>
        <v/>
      </c>
      <c r="U110" s="65" t="n"/>
      <c r="V110" s="65" t="n"/>
      <c r="W110" s="65" t="n"/>
    </row>
    <row r="111">
      <c r="A111" s="17" t="inlineStr">
        <is>
          <t>F</t>
        </is>
      </c>
      <c r="B111" s="18" t="inlineStr">
        <is>
          <t>200 Back</t>
        </is>
      </c>
      <c r="C111" s="18" t="n">
        <v>16</v>
      </c>
      <c r="D111" s="18" t="n">
        <v>1</v>
      </c>
      <c r="E111" s="46" t="inlineStr">
        <is>
          <t>2:12.63</t>
        </is>
      </c>
      <c r="F111" s="21">
        <f>IFERROR(__xludf.DUMMYFUNCTION("IF(
  REGEXMATCH(E111, "":""),
  60*VALUE(INDEX(SPLIT(E111, "":""),1,1)) + VALUE(INDEX(SPLIT(E111, "":""),1,2)),
  VALUE(E111)
)"),132.63)</f>
        <v/>
      </c>
      <c r="G111" s="21">
        <f>average(F108-F111,F109-F112,F110-F113)</f>
        <v/>
      </c>
      <c r="H111" s="21" t="n">
        <v>2.366666666666674</v>
      </c>
      <c r="I111" s="211">
        <f>C105</f>
        <v/>
      </c>
      <c r="J111" s="211">
        <f>C122</f>
        <v/>
      </c>
      <c r="K111" s="60">
        <f t="array" ref="K111">INDEX('Podium Target Times'!$C:$C, MATCH(A111&amp;B111, 'Podium Target Times'!$A:$A&amp;'Podium Target Times'!$B:$B, 0))
</f>
        <v/>
      </c>
      <c r="L111" s="24">
        <f>L114+G114</f>
        <v/>
      </c>
      <c r="M111" s="60">
        <f>IF(L111&lt;60, TEXT(L111,"0.00"), IF(L111&lt;600, TEXT(L111/86400,"m:ss.00"), TEXT(L111/86400,"mm:ss.00")))
</f>
        <v/>
      </c>
      <c r="N111" s="25">
        <f>IFERROR(__xludf.DUMMYFUNCTION("LET(
  gen,$A111, ev,$B111, t,$M111,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)"),633.0)</f>
        <v/>
      </c>
      <c r="O111" s="65" t="n"/>
      <c r="P111" s="69">
        <f>A119</f>
        <v/>
      </c>
      <c r="Q111" s="65">
        <f>B119</f>
        <v/>
      </c>
      <c r="R111" s="69">
        <f>C119</f>
        <v/>
      </c>
      <c r="S111" s="58">
        <f>M119</f>
        <v/>
      </c>
      <c r="T111" s="69">
        <f>N119</f>
        <v/>
      </c>
      <c r="U111" s="65" t="n"/>
      <c r="V111" s="65" t="n"/>
      <c r="W111" s="65" t="n"/>
    </row>
    <row r="112">
      <c r="A112" s="8" t="inlineStr">
        <is>
          <t>F</t>
        </is>
      </c>
      <c r="B112" s="9" t="inlineStr">
        <is>
          <t>200 Back</t>
        </is>
      </c>
      <c r="C112" s="9" t="n">
        <v>16</v>
      </c>
      <c r="D112" s="219" t="n">
        <v>2</v>
      </c>
      <c r="E112" s="41" t="inlineStr">
        <is>
          <t>2:14.43</t>
        </is>
      </c>
      <c r="F112" s="35">
        <f>IFERROR(__xludf.DUMMYFUNCTION("IF(
  REGEXMATCH(E112, "":""),
  60*VALUE(INDEX(SPLIT(E112, "":""),1,1)) + VALUE(INDEX(SPLIT(E112, "":""),1,2)),
  VALUE(E112)
)"),134.43)</f>
        <v/>
      </c>
      <c r="G112" s="35">
        <f>average(F108-F111,F109-F112,F110-F113)</f>
        <v/>
      </c>
      <c r="H112" s="35" t="n">
        <v>2.366666666666674</v>
      </c>
      <c r="I112" s="215">
        <f>C105</f>
        <v/>
      </c>
      <c r="J112" s="215">
        <f>C122</f>
        <v/>
      </c>
      <c r="K112" s="43">
        <f t="array" ref="K112">INDEX('Podium Target Times'!$C:$C, MATCH(A112&amp;B112, 'Podium Target Times'!$A:$A&amp;'Podium Target Times'!$B:$B, 0))
</f>
        <v/>
      </c>
      <c r="L112" s="12">
        <f>L114+G114</f>
        <v/>
      </c>
      <c r="M112" s="43">
        <f>IF(L112&lt;60, TEXT(L112,"0.00"), IF(L112&lt;600, TEXT(L112/86400,"m:ss.00"), TEXT(L112/86400,"mm:ss.00")))
</f>
        <v/>
      </c>
      <c r="N112" s="14">
        <f>IFERROR(__xludf.DUMMYFUNCTION("LET(
  gen,$A112, ev,$B112, t,$M112,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)"),633.0)</f>
        <v/>
      </c>
      <c r="O112" s="65" t="n"/>
      <c r="P112" s="69">
        <f>A121</f>
        <v/>
      </c>
      <c r="Q112" s="65">
        <f>B121</f>
        <v/>
      </c>
      <c r="R112" s="69">
        <f>C121</f>
        <v/>
      </c>
      <c r="S112" s="58">
        <f>M121</f>
        <v/>
      </c>
      <c r="T112" s="69">
        <f>N121</f>
        <v/>
      </c>
      <c r="U112" s="65" t="n"/>
      <c r="V112" s="65" t="n"/>
      <c r="W112" s="65" t="n"/>
    </row>
    <row r="113">
      <c r="A113" s="17" t="inlineStr">
        <is>
          <t>F</t>
        </is>
      </c>
      <c r="B113" s="18" t="inlineStr">
        <is>
          <t>200 Back</t>
        </is>
      </c>
      <c r="C113" s="18" t="n">
        <v>16</v>
      </c>
      <c r="D113" s="18" t="n">
        <v>3</v>
      </c>
      <c r="E113" s="46" t="inlineStr">
        <is>
          <t>2:15.28</t>
        </is>
      </c>
      <c r="F113" s="21">
        <f>IFERROR(__xludf.DUMMYFUNCTION("IF(
  REGEXMATCH(E113, "":""),
  60*VALUE(INDEX(SPLIT(E113, "":""),1,1)) + VALUE(INDEX(SPLIT(E113, "":""),1,2)),
  VALUE(E113)
)"),135.28)</f>
        <v/>
      </c>
      <c r="G113" s="21">
        <f>average(F108-F111,F109-F112,F110-F113)</f>
        <v/>
      </c>
      <c r="H113" s="21" t="n">
        <v>2.366666666666674</v>
      </c>
      <c r="I113" s="211">
        <f>C105</f>
        <v/>
      </c>
      <c r="J113" s="211">
        <f>C122</f>
        <v/>
      </c>
      <c r="K113" s="60">
        <f t="array" ref="K113">INDEX('Podium Target Times'!$C:$C, MATCH(A113&amp;B113, 'Podium Target Times'!$A:$A&amp;'Podium Target Times'!$B:$B, 0))
</f>
        <v/>
      </c>
      <c r="L113" s="24">
        <f>L114+G114</f>
        <v/>
      </c>
      <c r="M113" s="60">
        <f>IF(L113&lt;60, TEXT(L113,"0.00"), IF(L113&lt;600, TEXT(L113/86400,"m:ss.00"), TEXT(L113/86400,"mm:ss.00")))
</f>
        <v/>
      </c>
      <c r="N113" s="25">
        <f>IFERROR(__xludf.DUMMYFUNCTION("LET(
  gen,$A113, ev,$B113, t,$M113,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)"),633.0)</f>
        <v/>
      </c>
      <c r="O113" s="65" t="n"/>
      <c r="P113" s="69">
        <f>A122</f>
        <v/>
      </c>
      <c r="Q113" s="65">
        <f>B122</f>
        <v/>
      </c>
      <c r="R113" s="69">
        <f>C122</f>
        <v/>
      </c>
      <c r="S113" s="58">
        <f>M122</f>
        <v/>
      </c>
      <c r="T113" s="69">
        <f>N122</f>
        <v/>
      </c>
      <c r="U113" s="65" t="n">
        <v>711</v>
      </c>
      <c r="V113" s="65" t="n"/>
      <c r="W113" s="65" t="n"/>
    </row>
    <row r="114">
      <c r="A114" s="8" t="inlineStr">
        <is>
          <t>F</t>
        </is>
      </c>
      <c r="B114" s="9" t="inlineStr">
        <is>
          <t>200 Back</t>
        </is>
      </c>
      <c r="C114" s="9" t="n">
        <v>17</v>
      </c>
      <c r="D114" s="9" t="n">
        <v>1</v>
      </c>
      <c r="E114" s="41" t="inlineStr">
        <is>
          <t>2:11.08</t>
        </is>
      </c>
      <c r="F114" s="35">
        <f>IFERROR(__xludf.DUMMYFUNCTION("IF(
  REGEXMATCH(E114, "":""),
  60*VALUE(INDEX(SPLIT(E114, "":""),1,1)) + VALUE(INDEX(SPLIT(E114, "":""),1,2)),
  VALUE(E114)
)"),131.08)</f>
        <v/>
      </c>
      <c r="G114" s="35">
        <f>average(F111-F114,F112-F115,F113-F116)</f>
        <v/>
      </c>
      <c r="H114" s="35" t="n">
        <v>1.566666666666663</v>
      </c>
      <c r="I114" s="215">
        <f>C105</f>
        <v/>
      </c>
      <c r="J114" s="215">
        <f>C122</f>
        <v/>
      </c>
      <c r="K114" s="43">
        <f t="array" ref="K114">INDEX('Podium Target Times'!$C:$C, MATCH(A114&amp;B114, 'Podium Target Times'!$A:$A&amp;'Podium Target Times'!$B:$B, 0))
</f>
        <v/>
      </c>
      <c r="L114" s="12">
        <f>L117+G117</f>
        <v/>
      </c>
      <c r="M114" s="43">
        <f>IF(L114&lt;60, TEXT(L114,"0.00"), IF(L114&lt;600, TEXT(L114/86400,"m:ss.00"), TEXT(L114/86400,"mm:ss.00")))
</f>
        <v/>
      </c>
      <c r="N114" s="14">
        <f>IFERROR(__xludf.DUMMYFUNCTION("LET(
  gen,$A114, ev,$B114, t,$M114,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
      </c>
      <c r="O114" s="65" t="n"/>
      <c r="P114" s="69">
        <f>P113</f>
        <v/>
      </c>
      <c r="Q114" s="65">
        <f>Q113</f>
        <v/>
      </c>
      <c r="R114" s="69">
        <f>R113+1</f>
        <v/>
      </c>
      <c r="S114" s="58">
        <f>M123</f>
        <v/>
      </c>
      <c r="T114" s="69">
        <f>N123</f>
        <v/>
      </c>
      <c r="U114" s="65" t="n"/>
      <c r="V114" s="65" t="n"/>
      <c r="W114" s="65" t="n"/>
    </row>
    <row r="115">
      <c r="A115" s="17" t="inlineStr">
        <is>
          <t>F</t>
        </is>
      </c>
      <c r="B115" s="18" t="inlineStr">
        <is>
          <t>200 Back</t>
        </is>
      </c>
      <c r="C115" s="18" t="n">
        <v>17</v>
      </c>
      <c r="D115" s="18" t="n">
        <v>2</v>
      </c>
      <c r="E115" s="46" t="inlineStr">
        <is>
          <t>2:12.86</t>
        </is>
      </c>
      <c r="F115" s="21">
        <f>IFERROR(__xludf.DUMMYFUNCTION("IF(
  REGEXMATCH(E115, "":""),
  60*VALUE(INDEX(SPLIT(E115, "":""),1,1)) + VALUE(INDEX(SPLIT(E115, "":""),1,2)),
  VALUE(E115)
)"),132.86)</f>
        <v/>
      </c>
      <c r="G115" s="21">
        <f>average(F111-F114,F112-F115,F113-F116)</f>
        <v/>
      </c>
      <c r="H115" s="21" t="n">
        <v>1.566666666666663</v>
      </c>
      <c r="I115" s="211">
        <f>C105</f>
        <v/>
      </c>
      <c r="J115" s="211">
        <f>C122</f>
        <v/>
      </c>
      <c r="K115" s="60">
        <f t="array" ref="K115">INDEX('Podium Target Times'!$C:$C, MATCH(A115&amp;B115, 'Podium Target Times'!$A:$A&amp;'Podium Target Times'!$B:$B, 0))
</f>
        <v/>
      </c>
      <c r="L115" s="24">
        <f>L117+G117</f>
        <v/>
      </c>
      <c r="M115" s="60">
        <f>IF(L115&lt;60, TEXT(L115,"0.00"), IF(L115&lt;600, TEXT(L115/86400,"m:ss.00"), TEXT(L115/86400,"mm:ss.00")))
</f>
        <v/>
      </c>
      <c r="N115" s="25">
        <f>IFERROR(__xludf.DUMMYFUNCTION("LET(
  gen,$A115, ev,$B115, t,$M115,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
      </c>
      <c r="O115" s="65" t="n"/>
      <c r="P115" s="69">
        <f>P114</f>
        <v/>
      </c>
      <c r="Q115" s="65">
        <f>Q114</f>
        <v/>
      </c>
      <c r="R115" s="69">
        <f>R114+1</f>
        <v/>
      </c>
      <c r="S115" s="58">
        <f>M124</f>
        <v/>
      </c>
      <c r="T115" s="69">
        <f>N124</f>
        <v/>
      </c>
      <c r="U115" s="65" t="n"/>
      <c r="V115" s="65" t="n"/>
      <c r="W115" s="65" t="n"/>
    </row>
    <row r="116">
      <c r="A116" s="8" t="inlineStr">
        <is>
          <t>F</t>
        </is>
      </c>
      <c r="B116" s="9" t="inlineStr">
        <is>
          <t>200 Back</t>
        </is>
      </c>
      <c r="C116" s="9" t="n">
        <v>17</v>
      </c>
      <c r="D116" s="9" t="n">
        <v>3</v>
      </c>
      <c r="E116" s="41" t="inlineStr">
        <is>
          <t>2:13.70</t>
        </is>
      </c>
      <c r="F116" s="35">
        <f>IFERROR(__xludf.DUMMYFUNCTION("IF(
  REGEXMATCH(E116, "":""),
  60*VALUE(INDEX(SPLIT(E116, "":""),1,1)) + VALUE(INDEX(SPLIT(E116, "":""),1,2)),
  VALUE(E116)
)"),133.7)</f>
        <v/>
      </c>
      <c r="G116" s="35">
        <f>average(F111-F114,F112-F115,F113-F116)</f>
        <v/>
      </c>
      <c r="H116" s="35" t="n">
        <v>1.566666666666663</v>
      </c>
      <c r="I116" s="215">
        <f>C105</f>
        <v/>
      </c>
      <c r="J116" s="215">
        <f>C122</f>
        <v/>
      </c>
      <c r="K116" s="43">
        <f t="array" ref="K116">INDEX('Podium Target Times'!$C:$C, MATCH(A116&amp;B116, 'Podium Target Times'!$A:$A&amp;'Podium Target Times'!$B:$B, 0))
</f>
        <v/>
      </c>
      <c r="L116" s="12">
        <f>L117+G117</f>
        <v/>
      </c>
      <c r="M116" s="43">
        <f>IF(L116&lt;60, TEXT(L116,"0.00"), IF(L116&lt;600, TEXT(L116/86400,"m:ss.00"), TEXT(L116/86400,"mm:ss.00")))
</f>
        <v/>
      </c>
      <c r="N116" s="14">
        <f>IFERROR(__xludf.DUMMYFUNCTION("LET(
  gen,$A116, ev,$B116, t,$M116,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
      </c>
      <c r="O116" s="65" t="n"/>
      <c r="P116" s="69">
        <f>P115</f>
        <v/>
      </c>
      <c r="Q116" s="65">
        <f>Q115</f>
        <v/>
      </c>
      <c r="R116" s="69">
        <f>R115+1</f>
        <v/>
      </c>
      <c r="S116" s="58">
        <f>M125</f>
        <v/>
      </c>
      <c r="T116" s="69">
        <f>N125</f>
        <v/>
      </c>
      <c r="U116" s="65" t="n"/>
      <c r="V116" s="65" t="n"/>
      <c r="W116" s="65" t="n"/>
    </row>
    <row r="117">
      <c r="A117" s="17" t="inlineStr">
        <is>
          <t>F</t>
        </is>
      </c>
      <c r="B117" s="18" t="inlineStr">
        <is>
          <t>200 Back</t>
        </is>
      </c>
      <c r="C117" s="18" t="n">
        <v>18</v>
      </c>
      <c r="D117" s="221" t="n">
        <v>2</v>
      </c>
      <c r="E117" s="46" t="inlineStr">
        <is>
          <t>2:11.79</t>
        </is>
      </c>
      <c r="F117" s="21">
        <f>IFERROR(__xludf.DUMMYFUNCTION("IF(
  REGEXMATCH(E117, "":""),
  60*VALUE(INDEX(SPLIT(E117, "":""),1,1)) + VALUE(INDEX(SPLIT(E117, "":""),1,2)),
  VALUE(E117)
)"),131.79)</f>
        <v/>
      </c>
      <c r="G117" s="21">
        <f>average(F115-F117,F116-F118)</f>
        <v/>
      </c>
      <c r="H117" s="21" t="n">
        <v>1.070000000000007</v>
      </c>
      <c r="I117" s="211">
        <f>C105</f>
        <v/>
      </c>
      <c r="J117" s="211">
        <f>C122</f>
        <v/>
      </c>
      <c r="K117" s="60">
        <f t="array" ref="K117">INDEX('Podium Target Times'!$C:$C, MATCH(A117&amp;B117, 'Podium Target Times'!$A:$A&amp;'Podium Target Times'!$B:$B, 0))
</f>
        <v/>
      </c>
      <c r="L117" s="24">
        <f>L119+G119</f>
        <v/>
      </c>
      <c r="M117" s="60">
        <f>IF(L117&lt;60, TEXT(L117,"0.00"), IF(L117&lt;600, TEXT(L117/86400,"m:ss.00"), TEXT(L117/86400,"mm:ss.00")))
</f>
        <v/>
      </c>
      <c r="N117" s="25">
        <f>IFERROR(__xludf.DUMMYFUNCTION("LET(
  gen,$A117, ev,$B117, t,$M117,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)"),669.0)</f>
        <v/>
      </c>
      <c r="O117" s="65" t="n"/>
      <c r="P117" s="69">
        <f>P116</f>
        <v/>
      </c>
      <c r="Q117" s="65">
        <f>Q116</f>
        <v/>
      </c>
      <c r="R117" s="69">
        <f>R116+1</f>
        <v/>
      </c>
      <c r="S117" s="58">
        <f>M126</f>
        <v/>
      </c>
      <c r="T117" s="69">
        <f>N126</f>
        <v/>
      </c>
      <c r="U117" s="65" t="n"/>
      <c r="V117" s="65" t="n"/>
      <c r="W117" s="65" t="n"/>
    </row>
    <row r="118">
      <c r="A118" s="8" t="inlineStr">
        <is>
          <t>F</t>
        </is>
      </c>
      <c r="B118" s="9" t="inlineStr">
        <is>
          <t>200 Back</t>
        </is>
      </c>
      <c r="C118" s="9" t="n">
        <v>18</v>
      </c>
      <c r="D118" s="9" t="n">
        <v>3</v>
      </c>
      <c r="E118" s="41" t="inlineStr">
        <is>
          <t>2:12.63</t>
        </is>
      </c>
      <c r="F118" s="35">
        <f>IFERROR(__xludf.DUMMYFUNCTION("IF(
  REGEXMATCH(E118, "":""),
  60*VALUE(INDEX(SPLIT(E118, "":""),1,1)) + VALUE(INDEX(SPLIT(E118, "":""),1,2)),
  VALUE(E118)
)"),132.63)</f>
        <v/>
      </c>
      <c r="G118" s="35">
        <f>average(F115-F117,F116-F118)</f>
        <v/>
      </c>
      <c r="H118" s="35" t="n">
        <v>1.070000000000007</v>
      </c>
      <c r="I118" s="215">
        <f>C105</f>
        <v/>
      </c>
      <c r="J118" s="215">
        <f>C122</f>
        <v/>
      </c>
      <c r="K118" s="43">
        <f t="array" ref="K118">INDEX('Podium Target Times'!$C:$C, MATCH(A118&amp;B118, 'Podium Target Times'!$A:$A&amp;'Podium Target Times'!$B:$B, 0))
</f>
        <v/>
      </c>
      <c r="L118" s="12">
        <f>L119+G119</f>
        <v/>
      </c>
      <c r="M118" s="43">
        <f>IF(L118&lt;60, TEXT(L118,"0.00"), IF(L118&lt;600, TEXT(L118/86400,"m:ss.00"), TEXT(L118/86400,"mm:ss.00")))
</f>
        <v/>
      </c>
      <c r="N118" s="14">
        <f>IFERROR(__xludf.DUMMYFUNCTION("LET(
  gen,$A118, ev,$B118, t,$M118,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)"),669.0)</f>
        <v/>
      </c>
      <c r="O118" s="65" t="n"/>
      <c r="P118" s="69" t="n"/>
      <c r="Q118" s="65" t="n"/>
      <c r="R118" s="69" t="n"/>
      <c r="S118" s="58" t="n"/>
      <c r="T118" s="69" t="n"/>
      <c r="U118" s="65" t="n"/>
      <c r="V118" s="65" t="n"/>
      <c r="W118" s="65" t="n"/>
    </row>
    <row r="119">
      <c r="A119" s="17" t="inlineStr">
        <is>
          <t>F</t>
        </is>
      </c>
      <c r="B119" s="18" t="inlineStr">
        <is>
          <t>200 Back</t>
        </is>
      </c>
      <c r="C119" s="18" t="n">
        <v>19</v>
      </c>
      <c r="D119" s="18" t="n">
        <v>2</v>
      </c>
      <c r="E119" s="211" t="inlineStr">
        <is>
          <t>2:11.08</t>
        </is>
      </c>
      <c r="F119" s="21">
        <f>IFERROR(__xludf.DUMMYFUNCTION("IF(
  REGEXMATCH(E119, "":""),
  60*VALUE(INDEX(SPLIT(E119, "":""),1,1)) + VALUE(INDEX(SPLIT(E119, "":""),1,2)),
  VALUE(E119)
)"),131.08)</f>
        <v/>
      </c>
      <c r="G119" s="21">
        <f>average(F117-F119,F118-F120)</f>
        <v/>
      </c>
      <c r="H119" s="21" t="n">
        <v>0.7149999999999892</v>
      </c>
      <c r="I119" s="211">
        <f>C105</f>
        <v/>
      </c>
      <c r="J119" s="211">
        <f>C122</f>
        <v/>
      </c>
      <c r="K119" s="60">
        <f t="array" ref="K119">INDEX('Podium Target Times'!$C:$C, MATCH(A119&amp;B119, 'Podium Target Times'!$A:$A&amp;'Podium Target Times'!$B:$B, 0))
</f>
        <v/>
      </c>
      <c r="L119" s="24">
        <f>L121+G121</f>
        <v/>
      </c>
      <c r="M119" s="60">
        <f>IF(L119&lt;60, TEXT(L119,"0.00"), IF(L119&lt;600, TEXT(L119/86400,"m:ss.00"), TEXT(L119/86400,"mm:ss.00")))
</f>
        <v/>
      </c>
      <c r="N119" s="25">
        <f>IFERROR(__xludf.DUMMYFUNCTION("LET(
  gen,$A119, ev,$B119, t,$M119,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
      </c>
      <c r="O119" s="65" t="n"/>
      <c r="P119" s="69" t="n"/>
      <c r="Q119" s="65" t="n"/>
      <c r="R119" s="69" t="n"/>
      <c r="S119" s="58" t="n"/>
      <c r="T119" s="69" t="n"/>
      <c r="U119" s="65" t="n"/>
      <c r="V119" s="65" t="n"/>
      <c r="W119" s="65" t="n"/>
    </row>
    <row r="120">
      <c r="A120" s="8" t="inlineStr">
        <is>
          <t>F</t>
        </is>
      </c>
      <c r="B120" s="9" t="inlineStr">
        <is>
          <t>200 Back</t>
        </is>
      </c>
      <c r="C120" s="9" t="n">
        <v>19</v>
      </c>
      <c r="D120" s="9" t="n">
        <v>3</v>
      </c>
      <c r="E120" s="215" t="inlineStr">
        <is>
          <t>2:11.91</t>
        </is>
      </c>
      <c r="F120" s="35">
        <f>IFERROR(__xludf.DUMMYFUNCTION("IF(
  REGEXMATCH(E120, "":""),
  60*VALUE(INDEX(SPLIT(E120, "":""),1,1)) + VALUE(INDEX(SPLIT(E120, "":""),1,2)),
  VALUE(E120)
)"),131.91)</f>
        <v/>
      </c>
      <c r="G120" s="35">
        <f>average(F117-F119,F118-F120)</f>
        <v/>
      </c>
      <c r="H120" s="35" t="n">
        <v>0.7149999999999892</v>
      </c>
      <c r="I120" s="215">
        <f>C105</f>
        <v/>
      </c>
      <c r="J120" s="215">
        <f>C122</f>
        <v/>
      </c>
      <c r="K120" s="43">
        <f t="array" ref="K120">INDEX('Podium Target Times'!$C:$C, MATCH(A120&amp;B120, 'Podium Target Times'!$A:$A&amp;'Podium Target Times'!$B:$B, 0))
</f>
        <v/>
      </c>
      <c r="L120" s="12">
        <f>L121+G121</f>
        <v/>
      </c>
      <c r="M120" s="43">
        <f>IF(L120&lt;60, TEXT(L120,"0.00"), IF(L120&lt;600, TEXT(L120/86400,"m:ss.00"), TEXT(L120/86400,"mm:ss.00")))
</f>
        <v/>
      </c>
      <c r="N120" s="14">
        <f>IFERROR(__xludf.DUMMYFUNCTION("LET(
  gen,$A120, ev,$B120, t,$M120,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
      </c>
      <c r="O120" s="65" t="n"/>
      <c r="P120" s="69" t="n"/>
      <c r="Q120" s="65" t="n"/>
      <c r="R120" s="69" t="n"/>
      <c r="S120" s="58" t="n"/>
      <c r="T120" s="69" t="n"/>
      <c r="U120" s="65" t="n"/>
      <c r="V120" s="65" t="n"/>
      <c r="W120" s="65" t="n"/>
    </row>
    <row r="121">
      <c r="A121" s="17" t="inlineStr">
        <is>
          <t>F</t>
        </is>
      </c>
      <c r="B121" s="18" t="inlineStr">
        <is>
          <t>200 Back</t>
        </is>
      </c>
      <c r="C121" s="18" t="n">
        <v>20</v>
      </c>
      <c r="D121" s="18" t="n">
        <v>3</v>
      </c>
      <c r="E121" s="46" t="inlineStr">
        <is>
          <t>2:11.40</t>
        </is>
      </c>
      <c r="F121" s="21">
        <f>IFERROR(__xludf.DUMMYFUNCTION("IF(
  REGEXMATCH(E121, "":""),
  60*VALUE(INDEX(SPLIT(E121, "":""),1,1)) + VALUE(INDEX(SPLIT(E121, "":""),1,2)),
  VALUE(E121)
)"),131.4)</f>
        <v/>
      </c>
      <c r="G121" s="21">
        <f>F120-F121</f>
        <v/>
      </c>
      <c r="H121" s="21" t="n">
        <v>0.5099999999999909</v>
      </c>
      <c r="I121" s="211">
        <f>C105</f>
        <v/>
      </c>
      <c r="J121" s="211">
        <f>C122</f>
        <v/>
      </c>
      <c r="K121" s="60">
        <f t="array" ref="K121">INDEX('Podium Target Times'!$C:$C, MATCH(A121&amp;B121, 'Podium Target Times'!$A:$A&amp;'Podium Target Times'!$B:$B, 0))
</f>
        <v/>
      </c>
      <c r="L121" s="24">
        <f>L122+G122</f>
        <v/>
      </c>
      <c r="M121" s="60">
        <f>IF(L121&lt;60, TEXT(L121,"0.00"), IF(L121&lt;600, TEXT(L121/86400,"m:ss.00"), TEXT(L121/86400,"mm:ss.00")))
</f>
        <v/>
      </c>
      <c r="N121" s="25">
        <f>IFERROR(__xludf.DUMMYFUNCTION("LET(
  gen,$A121, ev,$B121, t,$M121,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121" s="65" t="n"/>
      <c r="P121" s="69" t="n"/>
      <c r="Q121" s="65" t="n"/>
      <c r="R121" s="69" t="n"/>
      <c r="S121" s="58" t="n"/>
      <c r="T121" s="69" t="n"/>
      <c r="U121" s="65" t="n"/>
      <c r="V121" s="65" t="n"/>
      <c r="W121" s="65" t="n"/>
    </row>
    <row r="122">
      <c r="A122" s="8" t="inlineStr">
        <is>
          <t>F</t>
        </is>
      </c>
      <c r="B122" s="9" t="inlineStr">
        <is>
          <t>200 Back</t>
        </is>
      </c>
      <c r="C122" s="9" t="n">
        <v>21</v>
      </c>
      <c r="D122" s="9" t="n">
        <v>3</v>
      </c>
      <c r="E122" s="41" t="inlineStr">
        <is>
          <t>2:11.08</t>
        </is>
      </c>
      <c r="F122" s="35">
        <f>IFERROR(__xludf.DUMMYFUNCTION("IF(
  REGEXMATCH(E122, "":""),
  60*VALUE(INDEX(SPLIT(E122, "":""),1,1)) + VALUE(INDEX(SPLIT(E122, "":""),1,2)),
  VALUE(E122)
)"),131.08)</f>
        <v/>
      </c>
      <c r="G122" s="35">
        <f>F121-F122</f>
        <v/>
      </c>
      <c r="H122" s="35" t="n">
        <v>0.3199999999999932</v>
      </c>
      <c r="I122" s="215">
        <f>C105</f>
        <v/>
      </c>
      <c r="J122" s="215">
        <f>C122</f>
        <v/>
      </c>
      <c r="K122" s="43">
        <f t="array" ref="K122">INDEX('Podium Target Times'!$C:$C, MATCH(A122&amp;B122, 'Podium Target Times'!$A:$A&amp;'Podium Target Times'!$B:$B, 0))
</f>
        <v/>
      </c>
      <c r="L122" s="35">
        <f>G122+L123</f>
        <v/>
      </c>
      <c r="M122" s="43">
        <f>IF(L122&lt;60, TEXT(L122,"0.00"), IF(L122&lt;600, TEXT(L122/86400,"m:ss.00"), TEXT(L122/86400,"mm:ss.00")))
</f>
        <v/>
      </c>
      <c r="N122" s="14">
        <f>IFERROR(__xludf.DUMMYFUNCTION("LET(
  gen,$A122, ev,$B122, t,$M122,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
      </c>
      <c r="O122" s="65" t="n"/>
      <c r="P122" s="69" t="n"/>
      <c r="Q122" s="65" t="n"/>
      <c r="R122" s="69" t="n"/>
      <c r="S122" s="58" t="n"/>
      <c r="T122" s="69" t="n"/>
      <c r="U122" s="65" t="n"/>
      <c r="V122" s="65" t="n"/>
      <c r="W122" s="65" t="n"/>
    </row>
    <row r="123">
      <c r="A123" s="17" t="inlineStr">
        <is>
          <t>F</t>
        </is>
      </c>
      <c r="B123" s="18" t="inlineStr">
        <is>
          <t>200 Back</t>
        </is>
      </c>
      <c r="C123" s="18" t="n">
        <v>22</v>
      </c>
      <c r="D123" s="18" t="n"/>
      <c r="E123" s="46" t="n"/>
      <c r="F123" s="21">
        <f>IFERROR(__xludf.DUMMYFUNCTION("IF(
  REGEXMATCH(E123, "":""),
  60*VALUE(INDEX(SPLIT(E123, "":""),1,1)) + VALUE(INDEX(SPLIT(E123, "":""),1,2)),
  VALUE(E123)
)"),0.0)</f>
        <v/>
      </c>
      <c r="G123" s="24" t="n"/>
      <c r="H123" s="24" t="n"/>
      <c r="I123" s="60">
        <f>C105</f>
        <v/>
      </c>
      <c r="J123" s="60">
        <f>C122</f>
        <v/>
      </c>
      <c r="K123" s="60">
        <f t="array" ref="K123">INDEX('Podium Target Times'!$C:$C, MATCH(A123&amp;B123, 'Podium Target Times'!$A:$A&amp;'Podium Target Times'!$B:$B, 0))
</f>
        <v/>
      </c>
      <c r="L123" s="24">
        <f>G122+L124</f>
        <v/>
      </c>
      <c r="M123" s="60">
        <f>IF(L123&lt;60, TEXT(L123,"0.00"), IF(L123&lt;600, TEXT(L123/86400,"m:ss.00"), TEXT(L123/86400,"mm:ss.00")))
</f>
        <v/>
      </c>
      <c r="N123" s="25">
        <f>IFERROR(__xludf.DUMMYFUNCTION("LET(
  gen,$A123, ev,$B123, t,$M123,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
      </c>
      <c r="O123" s="65" t="n"/>
      <c r="P123" s="69" t="n"/>
      <c r="Q123" s="65" t="n"/>
      <c r="R123" s="69" t="n"/>
      <c r="S123" s="58" t="n"/>
      <c r="T123" s="69" t="n"/>
      <c r="U123" s="65" t="n"/>
      <c r="V123" s="65" t="n"/>
      <c r="W123" s="65" t="n"/>
    </row>
    <row r="124">
      <c r="A124" s="8" t="inlineStr">
        <is>
          <t>F</t>
        </is>
      </c>
      <c r="B124" s="9" t="inlineStr">
        <is>
          <t>200 Back</t>
        </is>
      </c>
      <c r="C124" s="9" t="n">
        <v>23</v>
      </c>
      <c r="D124" s="9" t="n"/>
      <c r="E124" s="41" t="n"/>
      <c r="F124" s="35">
        <f>IFERROR(__xludf.DUMMYFUNCTION("IF(
  REGEXMATCH(E124, "":""),
  60*VALUE(INDEX(SPLIT(E124, "":""),1,1)) + VALUE(INDEX(SPLIT(E124, "":""),1,2)),
  VALUE(E124)
)"),0.0)</f>
        <v/>
      </c>
      <c r="G124" s="12" t="n"/>
      <c r="H124" s="12" t="n"/>
      <c r="I124" s="43">
        <f>C105</f>
        <v/>
      </c>
      <c r="J124" s="43">
        <f>C122</f>
        <v/>
      </c>
      <c r="K124" s="43">
        <f t="array" ref="K124">INDEX('Podium Target Times'!$C:$C, MATCH(A124&amp;B124, 'Podium Target Times'!$A:$A&amp;'Podium Target Times'!$B:$B, 0))
</f>
        <v/>
      </c>
      <c r="L124" s="12">
        <f>G122+L125</f>
        <v/>
      </c>
      <c r="M124" s="43">
        <f>IF(L124&lt;60, TEXT(L124,"0.00"), IF(L124&lt;600, TEXT(L124/86400,"m:ss.00"), TEXT(L124/86400,"mm:ss.00")))
</f>
        <v/>
      </c>
      <c r="N124" s="14">
        <f>IFERROR(__xludf.DUMMYFUNCTION("LET(
  gen,$A124, ev,$B124, t,$M124,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124" s="65" t="n"/>
      <c r="P124" s="69" t="n"/>
      <c r="Q124" s="65" t="n"/>
      <c r="R124" s="69" t="n"/>
      <c r="S124" s="58" t="n"/>
      <c r="T124" s="69" t="n"/>
      <c r="U124" s="65" t="n"/>
      <c r="V124" s="65" t="n"/>
      <c r="W124" s="65" t="n"/>
    </row>
    <row r="125">
      <c r="A125" s="17" t="inlineStr">
        <is>
          <t>F</t>
        </is>
      </c>
      <c r="B125" s="18" t="inlineStr">
        <is>
          <t>200 Back</t>
        </is>
      </c>
      <c r="C125" s="18" t="n">
        <v>24</v>
      </c>
      <c r="D125" s="18" t="n"/>
      <c r="E125" s="46" t="n"/>
      <c r="F125" s="21">
        <f>IFERROR(__xludf.DUMMYFUNCTION("IF(
  REGEXMATCH(E125, "":""),
  60*VALUE(INDEX(SPLIT(E125, "":""),1,1)) + VALUE(INDEX(SPLIT(E125, "":""),1,2)),
  VALUE(E125)
)"),0.0)</f>
        <v/>
      </c>
      <c r="G125" s="24" t="n"/>
      <c r="H125" s="24" t="n"/>
      <c r="I125" s="60">
        <f>C105</f>
        <v/>
      </c>
      <c r="J125" s="60">
        <f>C122</f>
        <v/>
      </c>
      <c r="K125" s="60">
        <f t="array" ref="K125">INDEX('Podium Target Times'!$C:$C, MATCH(A125&amp;B125, 'Podium Target Times'!$A:$A&amp;'Podium Target Times'!$B:$B, 0))
</f>
        <v/>
      </c>
      <c r="L125" s="24">
        <f>G122+L126</f>
        <v/>
      </c>
      <c r="M125" s="60">
        <f>IF(L125&lt;60, TEXT(L125,"0.00"), IF(L125&lt;600, TEXT(L125/86400,"m:ss.00"), TEXT(L125/86400,"mm:ss.00")))
</f>
        <v/>
      </c>
      <c r="N125" s="25">
        <f>IFERROR(__xludf.DUMMYFUNCTION("LET(
  gen,$A125, ev,$B125, t,$M125,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125" s="65" t="n"/>
      <c r="P125" s="69" t="n"/>
      <c r="Q125" s="65" t="n"/>
      <c r="R125" s="69" t="n"/>
      <c r="S125" s="58" t="n"/>
      <c r="T125" s="69" t="n"/>
      <c r="U125" s="65" t="n"/>
      <c r="V125" s="65" t="n"/>
      <c r="W125" s="65" t="n"/>
    </row>
    <row r="126">
      <c r="A126" s="8" t="inlineStr">
        <is>
          <t>F</t>
        </is>
      </c>
      <c r="B126" s="9" t="inlineStr">
        <is>
          <t>200 Back</t>
        </is>
      </c>
      <c r="C126" s="9" t="n">
        <v>25</v>
      </c>
      <c r="D126" s="9" t="n"/>
      <c r="E126" s="41" t="n"/>
      <c r="F126" s="35">
        <f>IFERROR(__xludf.DUMMYFUNCTION("IF(
  REGEXMATCH(E126, "":""),
  60*VALUE(INDEX(SPLIT(E126, "":""),1,1)) + VALUE(INDEX(SPLIT(E126, "":""),1,2)),
  VALUE(E126)
)"),0.0)</f>
        <v/>
      </c>
      <c r="G126" s="12" t="n"/>
      <c r="H126" s="12" t="n"/>
      <c r="I126" s="43">
        <f>C105</f>
        <v/>
      </c>
      <c r="J126" s="43">
        <f>C122</f>
        <v/>
      </c>
      <c r="K126" s="43">
        <f t="array" ref="K126">INDEX('Podium Target Times'!$C:$C, MATCH(A126&amp;B126, 'Podium Target Times'!$A:$A&amp;'Podium Target Times'!$B:$B, 0))
</f>
        <v/>
      </c>
      <c r="L126" s="43">
        <f>K126</f>
        <v/>
      </c>
      <c r="M126" s="43">
        <f>IF(L126&lt;60, TEXT(L126,"0.00"), IF(L126&lt;600, TEXT(L126/86400,"m:ss.00"), TEXT(L126/86400,"mm:ss.00")))
</f>
        <v/>
      </c>
      <c r="N126" s="14">
        <f>IFERROR(__xludf.DUMMYFUNCTION("LET(
  gen,$A126, ev,$B126, t,$M126,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
      </c>
      <c r="O126" s="65" t="n"/>
      <c r="P126" s="69" t="n"/>
      <c r="Q126" s="65" t="n"/>
      <c r="R126" s="69" t="n"/>
      <c r="S126" s="58" t="n"/>
      <c r="T126" s="69" t="n"/>
      <c r="U126" s="65" t="n"/>
      <c r="V126" s="65" t="n"/>
      <c r="W126" s="65" t="n"/>
    </row>
    <row r="127">
      <c r="A127" s="17" t="inlineStr">
        <is>
          <t>F</t>
        </is>
      </c>
      <c r="B127" s="18" t="inlineStr">
        <is>
          <t>200 Breast</t>
        </is>
      </c>
      <c r="C127" s="18" t="n">
        <v>15</v>
      </c>
      <c r="D127" s="18" t="n">
        <v>1</v>
      </c>
      <c r="E127" s="46" t="inlineStr">
        <is>
          <t>2:31.21</t>
        </is>
      </c>
      <c r="F127" s="21">
        <f>IFERROR(__xludf.DUMMYFUNCTION("IF(
  REGEXMATCH(E127, "":""),
  60*VALUE(INDEX(SPLIT(E127, "":""),1,1)) + VALUE(INDEX(SPLIT(E127, "":""),1,2)),
  VALUE(E127)
)"),151.21)</f>
        <v/>
      </c>
      <c r="G127" s="24" t="n">
        <v>0</v>
      </c>
      <c r="H127" s="24" t="n">
        <v>0</v>
      </c>
      <c r="I127" s="60">
        <f>C127</f>
        <v/>
      </c>
      <c r="J127" s="60">
        <f>C122</f>
        <v/>
      </c>
      <c r="K127" s="60">
        <f t="array" ref="K127">INDEX('Podium Target Times'!$C:$C, MATCH(A127&amp;B127, 'Podium Target Times'!$A:$A&amp;'Podium Target Times'!$B:$B, 0))
</f>
        <v/>
      </c>
      <c r="L127" s="24">
        <f>L128+G128</f>
        <v/>
      </c>
      <c r="M127" s="60">
        <f>IF(L127&lt;60, TEXT(L127,"0.00"), IF(L127&lt;600, TEXT(L127/86400,"m:ss.00"), TEXT(L127/86400,"mm:ss.00")))
</f>
        <v/>
      </c>
      <c r="N127" s="25">
        <f>IFERROR(__xludf.DUMMYFUNCTION("LET(
  gen,$A127, ev,$B127, t,$M127,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)"),633.0)</f>
        <v/>
      </c>
      <c r="O127" s="65" t="n"/>
      <c r="P127" s="69">
        <f>A127</f>
        <v/>
      </c>
      <c r="Q127" s="65">
        <f>B127</f>
        <v/>
      </c>
      <c r="R127" s="69">
        <f>C127</f>
        <v/>
      </c>
      <c r="S127" s="58">
        <f>M127</f>
        <v/>
      </c>
      <c r="T127" s="69">
        <f>N127</f>
        <v/>
      </c>
      <c r="U127" s="65" t="n">
        <v>639</v>
      </c>
      <c r="V127" s="65" t="n"/>
      <c r="W127" s="65" t="n"/>
    </row>
    <row r="128">
      <c r="A128" s="8" t="inlineStr">
        <is>
          <t>F</t>
        </is>
      </c>
      <c r="B128" s="9" t="inlineStr">
        <is>
          <t>200 Breast</t>
        </is>
      </c>
      <c r="C128" s="9" t="n">
        <v>16</v>
      </c>
      <c r="D128" s="9" t="n">
        <v>1</v>
      </c>
      <c r="E128" s="41" t="inlineStr">
        <is>
          <t>2:28.85</t>
        </is>
      </c>
      <c r="F128" s="35">
        <f>IFERROR(__xludf.DUMMYFUNCTION("IF(
  REGEXMATCH(E128, "":""),
  60*VALUE(INDEX(SPLIT(E128, "":""),1,1)) + VALUE(INDEX(SPLIT(E128, "":""),1,2)),
  VALUE(E128)
)"),148.85)</f>
        <v/>
      </c>
      <c r="G128" s="35">
        <f>F127-F128</f>
        <v/>
      </c>
      <c r="H128" s="35" t="n">
        <v>2.360000000000014</v>
      </c>
      <c r="I128" s="215">
        <f>C127</f>
        <v/>
      </c>
      <c r="J128" s="215">
        <f>C144</f>
        <v/>
      </c>
      <c r="K128" s="43">
        <f t="array" ref="K128">INDEX('Podium Target Times'!$C:$C, MATCH(A128&amp;B128, 'Podium Target Times'!$A:$A&amp;'Podium Target Times'!$B:$B, 0))
</f>
        <v/>
      </c>
      <c r="L128" s="12">
        <f>L130+G130</f>
        <v/>
      </c>
      <c r="M128" s="43">
        <f>IF(L128&lt;60, TEXT(L128,"0.00"), IF(L128&lt;600, TEXT(L128/86400,"m:ss.00"), TEXT(L128/86400,"mm:ss.00")))
</f>
        <v/>
      </c>
      <c r="N128" s="14">
        <f>IFERROR(__xludf.DUMMYFUNCTION("LET(
  gen,$A128, ev,$B128, t,$M128,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)"),662.0)</f>
        <v/>
      </c>
      <c r="O128" s="65" t="n"/>
      <c r="P128" s="69">
        <f>A128</f>
        <v/>
      </c>
      <c r="Q128" s="65">
        <f>B128</f>
        <v/>
      </c>
      <c r="R128" s="69">
        <f>C128</f>
        <v/>
      </c>
      <c r="S128" s="58">
        <f>M128</f>
        <v/>
      </c>
      <c r="T128" s="69">
        <f>N128</f>
        <v/>
      </c>
      <c r="U128" s="65" t="n"/>
      <c r="V128" s="65" t="n"/>
      <c r="W128" s="65" t="n"/>
    </row>
    <row r="129">
      <c r="A129" s="17" t="inlineStr">
        <is>
          <t>F</t>
        </is>
      </c>
      <c r="B129" s="18" t="inlineStr">
        <is>
          <t>200 Breast</t>
        </is>
      </c>
      <c r="C129" s="18" t="n">
        <v>16</v>
      </c>
      <c r="D129" s="221" t="n">
        <v>2</v>
      </c>
      <c r="E129" s="46" t="inlineStr">
        <is>
          <t>2:30.01</t>
        </is>
      </c>
      <c r="F129" s="21">
        <f>IFERROR(__xludf.DUMMYFUNCTION("IF(
  REGEXMATCH(E129, "":""),
  60*VALUE(INDEX(SPLIT(E129, "":""),1,1)) + VALUE(INDEX(SPLIT(E129, "":""),1,2)),
  VALUE(E129)
)"),150.01)</f>
        <v/>
      </c>
      <c r="G129" s="21">
        <f>F127-F128</f>
        <v/>
      </c>
      <c r="H129" s="21" t="n">
        <v>2.360000000000014</v>
      </c>
      <c r="I129" s="211">
        <f>C127</f>
        <v/>
      </c>
      <c r="J129" s="211">
        <f>C144</f>
        <v/>
      </c>
      <c r="K129" s="60">
        <f t="array" ref="K129">INDEX('Podium Target Times'!$C:$C, MATCH(A129&amp;B129, 'Podium Target Times'!$A:$A&amp;'Podium Target Times'!$B:$B, 0))
</f>
        <v/>
      </c>
      <c r="L129" s="24">
        <f>L130+G130</f>
        <v/>
      </c>
      <c r="M129" s="60">
        <f>IF(L129&lt;60, TEXT(L129,"0.00"), IF(L129&lt;600, TEXT(L129/86400,"m:ss.00"), TEXT(L129/86400,"mm:ss.00")))
</f>
        <v/>
      </c>
      <c r="N129" s="25">
        <f>IFERROR(__xludf.DUMMYFUNCTION("LET(
  gen,$A129, ev,$B129, t,$M129,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)"),662.0)</f>
        <v/>
      </c>
      <c r="O129" s="65" t="n"/>
      <c r="P129" s="69">
        <f>A130</f>
        <v/>
      </c>
      <c r="Q129" s="65">
        <f>B130</f>
        <v/>
      </c>
      <c r="R129" s="69">
        <f>C130</f>
        <v/>
      </c>
      <c r="S129" s="58">
        <f>M130</f>
        <v/>
      </c>
      <c r="T129" s="69">
        <f>N130</f>
        <v/>
      </c>
      <c r="U129" s="65" t="n"/>
      <c r="V129" s="65" t="n"/>
      <c r="W129" s="65" t="n"/>
    </row>
    <row r="130">
      <c r="A130" s="8" t="inlineStr">
        <is>
          <t>F</t>
        </is>
      </c>
      <c r="B130" s="9" t="inlineStr">
        <is>
          <t>200 Breast</t>
        </is>
      </c>
      <c r="C130" s="9" t="n">
        <v>17</v>
      </c>
      <c r="D130" s="9" t="n">
        <v>1</v>
      </c>
      <c r="E130" s="41" t="inlineStr">
        <is>
          <t>2:27.43</t>
        </is>
      </c>
      <c r="F130" s="35">
        <f>IFERROR(__xludf.DUMMYFUNCTION("IF(
  REGEXMATCH(E130, "":""),
  60*VALUE(INDEX(SPLIT(E130, "":""),1,1)) + VALUE(INDEX(SPLIT(E130, "":""),1,2)),
  VALUE(E130)
)"),147.43)</f>
        <v/>
      </c>
      <c r="G130" s="35">
        <f>average(F128-F130,F129-F131)</f>
        <v/>
      </c>
      <c r="H130" s="35" t="n">
        <v>1.424999999999997</v>
      </c>
      <c r="I130" s="215">
        <f>C127</f>
        <v/>
      </c>
      <c r="J130" s="215">
        <f>C144</f>
        <v/>
      </c>
      <c r="K130" s="43">
        <f t="array" ref="K130">INDEX('Podium Target Times'!$C:$C, MATCH(A130&amp;B130, 'Podium Target Times'!$A:$A&amp;'Podium Target Times'!$B:$B, 0))
</f>
        <v/>
      </c>
      <c r="L130" s="12">
        <f>L133+G133</f>
        <v/>
      </c>
      <c r="M130" s="43">
        <f>IF(L130&lt;60, TEXT(L130,"0.00"), IF(L130&lt;600, TEXT(L130/86400,"m:ss.00"), TEXT(L130/86400,"mm:ss.00")))
</f>
        <v/>
      </c>
      <c r="N130" s="14">
        <f>IFERROR(__xludf.DUMMYFUNCTION("LET(
  gen,$A130, ev,$B130, t,$M130,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
      </c>
      <c r="O130" s="65" t="n"/>
      <c r="P130" s="69">
        <f>A133</f>
        <v/>
      </c>
      <c r="Q130" s="65">
        <f>B133</f>
        <v/>
      </c>
      <c r="R130" s="69">
        <f>C133</f>
        <v/>
      </c>
      <c r="S130" s="58">
        <f>M133</f>
        <v/>
      </c>
      <c r="T130" s="69">
        <f>N133</f>
        <v/>
      </c>
      <c r="U130" s="65" t="n"/>
      <c r="V130" s="65" t="n"/>
      <c r="W130" s="65" t="n"/>
    </row>
    <row r="131">
      <c r="A131" s="17" t="inlineStr">
        <is>
          <t>F</t>
        </is>
      </c>
      <c r="B131" s="18" t="inlineStr">
        <is>
          <t>200 Breast</t>
        </is>
      </c>
      <c r="C131" s="18" t="n">
        <v>17</v>
      </c>
      <c r="D131" s="221" t="n">
        <v>2</v>
      </c>
      <c r="E131" s="46" t="inlineStr">
        <is>
          <t>2:28.58</t>
        </is>
      </c>
      <c r="F131" s="21">
        <f>IFERROR(__xludf.DUMMYFUNCTION("IF(
  REGEXMATCH(E131, "":""),
  60*VALUE(INDEX(SPLIT(E131, "":""),1,1)) + VALUE(INDEX(SPLIT(E131, "":""),1,2)),
  VALUE(E131)
)"),148.57999999999998)</f>
        <v/>
      </c>
      <c r="G131" s="21">
        <f>average(F128-F130,F129-F131)</f>
        <v/>
      </c>
      <c r="H131" s="21" t="n">
        <v>1.424999999999997</v>
      </c>
      <c r="I131" s="211">
        <f>C127</f>
        <v/>
      </c>
      <c r="J131" s="211">
        <f>C144</f>
        <v/>
      </c>
      <c r="K131" s="60">
        <f t="array" ref="K131">INDEX('Podium Target Times'!$C:$C, MATCH(A131&amp;B131, 'Podium Target Times'!$A:$A&amp;'Podium Target Times'!$B:$B, 0))
</f>
        <v/>
      </c>
      <c r="L131" s="24">
        <f>L133+G133</f>
        <v/>
      </c>
      <c r="M131" s="60">
        <f>IF(L131&lt;60, TEXT(L131,"0.00"), IF(L131&lt;600, TEXT(L131/86400,"m:ss.00"), TEXT(L131/86400,"mm:ss.00")))
</f>
        <v/>
      </c>
      <c r="N131" s="25">
        <f>IFERROR(__xludf.DUMMYFUNCTION("LET(
  gen,$A131, ev,$B131, t,$M131,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
      </c>
      <c r="O131" s="65" t="n"/>
      <c r="P131" s="69">
        <f>A136</f>
        <v/>
      </c>
      <c r="Q131" s="65">
        <f>B136</f>
        <v/>
      </c>
      <c r="R131" s="69">
        <f>C136</f>
        <v/>
      </c>
      <c r="S131" s="58">
        <f>M136</f>
        <v/>
      </c>
      <c r="T131" s="69">
        <f>N136</f>
        <v/>
      </c>
      <c r="U131" s="65" t="n"/>
      <c r="V131" s="65" t="n"/>
      <c r="W131" s="65" t="n"/>
    </row>
    <row r="132">
      <c r="A132" s="8" t="inlineStr">
        <is>
          <t>F</t>
        </is>
      </c>
      <c r="B132" s="9" t="inlineStr">
        <is>
          <t>200 Breast</t>
        </is>
      </c>
      <c r="C132" s="9" t="n">
        <v>17</v>
      </c>
      <c r="D132" s="9" t="n">
        <v>3</v>
      </c>
      <c r="E132" s="41" t="inlineStr">
        <is>
          <t>2:29.19</t>
        </is>
      </c>
      <c r="F132" s="35">
        <f>IFERROR(__xludf.DUMMYFUNCTION("IF(
  REGEXMATCH(E132, "":""),
  60*VALUE(INDEX(SPLIT(E132, "":""),1,1)) + VALUE(INDEX(SPLIT(E132, "":""),1,2)),
  VALUE(E132)
)"),149.19)</f>
        <v/>
      </c>
      <c r="G132" s="35">
        <f>average(F128-F130,F129-F131)</f>
        <v/>
      </c>
      <c r="H132" s="35" t="n">
        <v>1.424999999999997</v>
      </c>
      <c r="I132" s="215">
        <f>C127</f>
        <v/>
      </c>
      <c r="J132" s="215">
        <f>C144</f>
        <v/>
      </c>
      <c r="K132" s="43">
        <f t="array" ref="K132">INDEX('Podium Target Times'!$C:$C, MATCH(A132&amp;B132, 'Podium Target Times'!$A:$A&amp;'Podium Target Times'!$B:$B, 0))
</f>
        <v/>
      </c>
      <c r="L132" s="12">
        <f>L133+G133</f>
        <v/>
      </c>
      <c r="M132" s="43">
        <f>IF(L132&lt;60, TEXT(L132,"0.00"), IF(L132&lt;600, TEXT(L132/86400,"m:ss.00"), TEXT(L132/86400,"mm:ss.00")))
</f>
        <v/>
      </c>
      <c r="N132" s="14">
        <f>IFERROR(__xludf.DUMMYFUNCTION("LET(
  gen,$A132, ev,$B132, t,$M132,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
      </c>
      <c r="O132" s="65" t="n"/>
      <c r="P132" s="69">
        <f>A139</f>
        <v/>
      </c>
      <c r="Q132" s="65">
        <f>B139</f>
        <v/>
      </c>
      <c r="R132" s="69">
        <f>C139</f>
        <v/>
      </c>
      <c r="S132" s="58">
        <f>M139</f>
        <v/>
      </c>
      <c r="T132" s="69">
        <f>N139</f>
        <v/>
      </c>
      <c r="U132" s="65" t="n"/>
      <c r="V132" s="65" t="n"/>
      <c r="W132" s="65" t="n"/>
    </row>
    <row r="133">
      <c r="A133" s="17" t="inlineStr">
        <is>
          <t>F</t>
        </is>
      </c>
      <c r="B133" s="18" t="inlineStr">
        <is>
          <t>200 Breast</t>
        </is>
      </c>
      <c r="C133" s="18" t="n">
        <v>18</v>
      </c>
      <c r="D133" s="18" t="n">
        <v>1</v>
      </c>
      <c r="E133" s="46" t="inlineStr">
        <is>
          <t>2:26.60</t>
        </is>
      </c>
      <c r="F133" s="21">
        <f>IFERROR(__xludf.DUMMYFUNCTION("IF(
  REGEXMATCH(E133, "":""),
  60*VALUE(INDEX(SPLIT(E133, "":""),1,1)) + VALUE(INDEX(SPLIT(E133, "":""),1,2)),
  VALUE(E133)
)"),146.6)</f>
        <v/>
      </c>
      <c r="G133" s="21">
        <f>average(F130-F133,F131-F134,F132-F135)</f>
        <v/>
      </c>
      <c r="H133" s="21" t="n">
        <v>0.8366666666666637</v>
      </c>
      <c r="I133" s="211">
        <f>C127</f>
        <v/>
      </c>
      <c r="J133" s="211">
        <f>C144</f>
        <v/>
      </c>
      <c r="K133" s="60">
        <f t="array" ref="K133">INDEX('Podium Target Times'!$C:$C, MATCH(A133&amp;B133, 'Podium Target Times'!$A:$A&amp;'Podium Target Times'!$B:$B, 0))
</f>
        <v/>
      </c>
      <c r="L133" s="24">
        <f>L136+G136</f>
        <v/>
      </c>
      <c r="M133" s="60">
        <f>IF(L133&lt;60, TEXT(L133,"0.00"), IF(L133&lt;600, TEXT(L133/86400,"m:ss.00"), TEXT(L133/86400,"mm:ss.00")))
</f>
        <v/>
      </c>
      <c r="N133" s="25">
        <f>IFERROR(__xludf.DUMMYFUNCTION("LET(
  gen,$A133, ev,$B133, t,$M133,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133" s="65" t="n"/>
      <c r="P133" s="69">
        <f>A141</f>
        <v/>
      </c>
      <c r="Q133" s="65">
        <f>B141</f>
        <v/>
      </c>
      <c r="R133" s="69">
        <f>C141</f>
        <v/>
      </c>
      <c r="S133" s="58">
        <f>M141</f>
        <v/>
      </c>
      <c r="T133" s="69">
        <f>N141</f>
        <v/>
      </c>
      <c r="U133" s="65" t="n"/>
      <c r="V133" s="65" t="n"/>
      <c r="W133" s="65" t="n"/>
    </row>
    <row r="134">
      <c r="A134" s="8" t="inlineStr">
        <is>
          <t>F</t>
        </is>
      </c>
      <c r="B134" s="9" t="inlineStr">
        <is>
          <t>200 Breast</t>
        </is>
      </c>
      <c r="C134" s="9" t="n">
        <v>18</v>
      </c>
      <c r="D134" s="219" t="n">
        <v>2</v>
      </c>
      <c r="E134" s="41" t="inlineStr">
        <is>
          <t>2:27.74</t>
        </is>
      </c>
      <c r="F134" s="35">
        <f>IFERROR(__xludf.DUMMYFUNCTION("IF(
  REGEXMATCH(E134, "":""),
  60*VALUE(INDEX(SPLIT(E134, "":""),1,1)) + VALUE(INDEX(SPLIT(E134, "":""),1,2)),
  VALUE(E134)
)"),147.74)</f>
        <v/>
      </c>
      <c r="G134" s="35">
        <f>average(F130-F133,F131-F134,F132-F135)</f>
        <v/>
      </c>
      <c r="H134" s="35" t="n">
        <v>0.8366666666666637</v>
      </c>
      <c r="I134" s="215">
        <f>C127</f>
        <v/>
      </c>
      <c r="J134" s="215">
        <f>C144</f>
        <v/>
      </c>
      <c r="K134" s="43">
        <f t="array" ref="K134">INDEX('Podium Target Times'!$C:$C, MATCH(A134&amp;B134, 'Podium Target Times'!$A:$A&amp;'Podium Target Times'!$B:$B, 0))
</f>
        <v/>
      </c>
      <c r="L134" s="12">
        <f>L136+G136</f>
        <v/>
      </c>
      <c r="M134" s="43">
        <f>IF(L134&lt;60, TEXT(L134,"0.00"), IF(L134&lt;600, TEXT(L134/86400,"m:ss.00"), TEXT(L134/86400,"mm:ss.00")))
</f>
        <v/>
      </c>
      <c r="N134" s="14">
        <f>IFERROR(__xludf.DUMMYFUNCTION("LET(
  gen,$A134, ev,$B134, t,$M134,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134" s="65" t="n"/>
      <c r="P134" s="69">
        <f>A143</f>
        <v/>
      </c>
      <c r="Q134" s="65">
        <f>B143</f>
        <v/>
      </c>
      <c r="R134" s="69">
        <f>C143</f>
        <v/>
      </c>
      <c r="S134" s="58">
        <f>M143</f>
        <v/>
      </c>
      <c r="T134" s="69">
        <f>N143</f>
        <v/>
      </c>
      <c r="U134" s="65" t="n"/>
      <c r="V134" s="65" t="n"/>
      <c r="W134" s="65" t="n"/>
    </row>
    <row r="135">
      <c r="A135" s="17" t="inlineStr">
        <is>
          <t>F</t>
        </is>
      </c>
      <c r="B135" s="18" t="inlineStr">
        <is>
          <t>200 Breast</t>
        </is>
      </c>
      <c r="C135" s="18" t="n">
        <v>18</v>
      </c>
      <c r="D135" s="18" t="n">
        <v>3</v>
      </c>
      <c r="E135" s="46" t="inlineStr">
        <is>
          <t>2:28.35</t>
        </is>
      </c>
      <c r="F135" s="21">
        <f>IFERROR(__xludf.DUMMYFUNCTION("IF(
  REGEXMATCH(E135, "":""),
  60*VALUE(INDEX(SPLIT(E135, "":""),1,1)) + VALUE(INDEX(SPLIT(E135, "":""),1,2)),
  VALUE(E135)
)"),148.35)</f>
        <v/>
      </c>
      <c r="G135" s="21">
        <f>average(F130-F133,F131-F134,F132-F135)</f>
        <v/>
      </c>
      <c r="H135" s="21" t="n">
        <v>0.8366666666666637</v>
      </c>
      <c r="I135" s="211">
        <f>C127</f>
        <v/>
      </c>
      <c r="J135" s="211">
        <f>C144</f>
        <v/>
      </c>
      <c r="K135" s="60">
        <f t="array" ref="K135">INDEX('Podium Target Times'!$C:$C, MATCH(A135&amp;B135, 'Podium Target Times'!$A:$A&amp;'Podium Target Times'!$B:$B, 0))
</f>
        <v/>
      </c>
      <c r="L135" s="24">
        <f>L136+G136</f>
        <v/>
      </c>
      <c r="M135" s="60">
        <f>IF(L135&lt;60, TEXT(L135,"0.00"), IF(L135&lt;600, TEXT(L135/86400,"m:ss.00"), TEXT(L135/86400,"mm:ss.00")))
</f>
        <v/>
      </c>
      <c r="N135" s="25">
        <f>IFERROR(__xludf.DUMMYFUNCTION("LET(
  gen,$A135, ev,$B135, t,$M135,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135" s="65" t="n"/>
      <c r="P135" s="69">
        <f>A144</f>
        <v/>
      </c>
      <c r="Q135" s="65">
        <f>B144</f>
        <v/>
      </c>
      <c r="R135" s="69">
        <f>C144</f>
        <v/>
      </c>
      <c r="S135" s="58">
        <f>M144</f>
        <v/>
      </c>
      <c r="T135" s="69">
        <f>N144</f>
        <v/>
      </c>
      <c r="U135" s="65" t="n">
        <v>732</v>
      </c>
      <c r="V135" s="65" t="n"/>
      <c r="W135" s="65" t="n"/>
    </row>
    <row r="136">
      <c r="A136" s="8" t="inlineStr">
        <is>
          <t>F</t>
        </is>
      </c>
      <c r="B136" s="9" t="inlineStr">
        <is>
          <t>200 Breast</t>
        </is>
      </c>
      <c r="C136" s="9" t="n">
        <v>19</v>
      </c>
      <c r="D136" s="9" t="n">
        <v>1</v>
      </c>
      <c r="E136" s="215" t="inlineStr">
        <is>
          <t>2:25.91</t>
        </is>
      </c>
      <c r="F136" s="35">
        <f>IFERROR(__xludf.DUMMYFUNCTION("IF(
  REGEXMATCH(E136, "":""),
  60*VALUE(INDEX(SPLIT(E136, "":""),1,1)) + VALUE(INDEX(SPLIT(E136, "":""),1,2)),
  VALUE(E136)
)"),145.91)</f>
        <v/>
      </c>
      <c r="G136" s="35">
        <f>average(F133-F136,F134-F137,F135-F138)</f>
        <v/>
      </c>
      <c r="H136" s="35" t="n">
        <v>0.6899999999999977</v>
      </c>
      <c r="I136" s="215">
        <f>C127</f>
        <v/>
      </c>
      <c r="J136" s="215">
        <f>C144</f>
        <v/>
      </c>
      <c r="K136" s="43">
        <f t="array" ref="K136">INDEX('Podium Target Times'!$C:$C, MATCH(A136&amp;B136, 'Podium Target Times'!$A:$A&amp;'Podium Target Times'!$B:$B, 0))
</f>
        <v/>
      </c>
      <c r="L136" s="12">
        <f>L139+G139</f>
        <v/>
      </c>
      <c r="M136" s="43">
        <f>IF(L136&lt;60, TEXT(L136,"0.00"), IF(L136&lt;600, TEXT(L136/86400,"m:ss.00"), TEXT(L136/86400,"mm:ss.00")))
</f>
        <v/>
      </c>
      <c r="N136" s="14">
        <f>IFERROR(__xludf.DUMMYFUNCTION("LET(
  gen,$A136, ev,$B136, t,$M136,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136" s="65" t="n"/>
      <c r="P136" s="69">
        <f>P135</f>
        <v/>
      </c>
      <c r="Q136" s="65">
        <f>Q135</f>
        <v/>
      </c>
      <c r="R136" s="69">
        <f>R135+1</f>
        <v/>
      </c>
      <c r="S136" s="58">
        <f>M145</f>
        <v/>
      </c>
      <c r="T136" s="69">
        <f>N145</f>
        <v/>
      </c>
      <c r="U136" s="65" t="n"/>
      <c r="V136" s="65" t="n"/>
      <c r="W136" s="65" t="n"/>
    </row>
    <row r="137">
      <c r="A137" s="17" t="inlineStr">
        <is>
          <t>F</t>
        </is>
      </c>
      <c r="B137" s="18" t="inlineStr">
        <is>
          <t>200 Breast</t>
        </is>
      </c>
      <c r="C137" s="18" t="n">
        <v>19</v>
      </c>
      <c r="D137" s="221" t="n">
        <v>2</v>
      </c>
      <c r="E137" s="211" t="inlineStr">
        <is>
          <t>2:27.05</t>
        </is>
      </c>
      <c r="F137" s="21">
        <f>IFERROR(__xludf.DUMMYFUNCTION("IF(
  REGEXMATCH(E137, "":""),
  60*VALUE(INDEX(SPLIT(E137, "":""),1,1)) + VALUE(INDEX(SPLIT(E137, "":""),1,2)),
  VALUE(E137)
)"),147.05)</f>
        <v/>
      </c>
      <c r="G137" s="21">
        <f>average(F133-F136,F134-F137,F135-F138)</f>
        <v/>
      </c>
      <c r="H137" s="21" t="n">
        <v>0.6899999999999977</v>
      </c>
      <c r="I137" s="211">
        <f>C127</f>
        <v/>
      </c>
      <c r="J137" s="211">
        <f>C144</f>
        <v/>
      </c>
      <c r="K137" s="60">
        <f t="array" ref="K137">INDEX('Podium Target Times'!$C:$C, MATCH(A137&amp;B137, 'Podium Target Times'!$A:$A&amp;'Podium Target Times'!$B:$B, 0))
</f>
        <v/>
      </c>
      <c r="L137" s="24">
        <f>L139+G139</f>
        <v/>
      </c>
      <c r="M137" s="60">
        <f>IF(L137&lt;60, TEXT(L137,"0.00"), IF(L137&lt;600, TEXT(L137/86400,"m:ss.00"), TEXT(L137/86400,"mm:ss.00")))
</f>
        <v/>
      </c>
      <c r="N137" s="25">
        <f>IFERROR(__xludf.DUMMYFUNCTION("LET(
  gen,$A137, ev,$B137, t,$M137,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137" s="65" t="n"/>
      <c r="P137" s="69">
        <f>P136</f>
        <v/>
      </c>
      <c r="Q137" s="65">
        <f>Q136</f>
        <v/>
      </c>
      <c r="R137" s="69">
        <f>R136+1</f>
        <v/>
      </c>
      <c r="S137" s="58">
        <f>M146</f>
        <v/>
      </c>
      <c r="T137" s="69">
        <f>N146</f>
        <v/>
      </c>
      <c r="U137" s="65" t="n"/>
      <c r="V137" s="65" t="n"/>
      <c r="W137" s="65" t="n"/>
    </row>
    <row r="138">
      <c r="A138" s="8" t="inlineStr">
        <is>
          <t>F</t>
        </is>
      </c>
      <c r="B138" s="9" t="inlineStr">
        <is>
          <t>200 Breast</t>
        </is>
      </c>
      <c r="C138" s="9" t="n">
        <v>19</v>
      </c>
      <c r="D138" s="9" t="n">
        <v>3</v>
      </c>
      <c r="E138" s="43" t="inlineStr">
        <is>
          <t>2:27.66</t>
        </is>
      </c>
      <c r="F138" s="35">
        <f>IFERROR(__xludf.DUMMYFUNCTION("IF(
  REGEXMATCH(E138, "":""),
  60*VALUE(INDEX(SPLIT(E138, "":""),1,1)) + VALUE(INDEX(SPLIT(E138, "":""),1,2)),
  VALUE(E138)
)"),147.66)</f>
        <v/>
      </c>
      <c r="G138" s="35">
        <f>average(F133-F136,F134-F137,F135-F138)</f>
        <v/>
      </c>
      <c r="H138" s="35" t="n">
        <v>0.6899999999999977</v>
      </c>
      <c r="I138" s="215">
        <f>C127</f>
        <v/>
      </c>
      <c r="J138" s="215">
        <f>C144</f>
        <v/>
      </c>
      <c r="K138" s="43">
        <f t="array" ref="K138">INDEX('Podium Target Times'!$C:$C, MATCH(A138&amp;B138, 'Podium Target Times'!$A:$A&amp;'Podium Target Times'!$B:$B, 0))
</f>
        <v/>
      </c>
      <c r="L138" s="12">
        <f>L139+G139</f>
        <v/>
      </c>
      <c r="M138" s="43">
        <f>IF(L138&lt;60, TEXT(L138,"0.00"), IF(L138&lt;600, TEXT(L138/86400,"m:ss.00"), TEXT(L138/86400,"mm:ss.00")))
</f>
        <v/>
      </c>
      <c r="N138" s="14">
        <f>IFERROR(__xludf.DUMMYFUNCTION("LET(
  gen,$A138, ev,$B138, t,$M138,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138" s="65" t="n"/>
      <c r="P138" s="69" t="n"/>
      <c r="Q138" s="65" t="n"/>
      <c r="R138" s="69" t="n"/>
      <c r="S138" s="58" t="n"/>
      <c r="T138" s="69" t="n"/>
      <c r="U138" s="65" t="n"/>
      <c r="V138" s="65" t="n"/>
      <c r="W138" s="65" t="n"/>
    </row>
    <row r="139">
      <c r="A139" s="17" t="inlineStr">
        <is>
          <t>F</t>
        </is>
      </c>
      <c r="B139" s="18" t="inlineStr">
        <is>
          <t>200 Breast</t>
        </is>
      </c>
      <c r="C139" s="18" t="n">
        <v>20</v>
      </c>
      <c r="D139" s="221" t="n">
        <v>2</v>
      </c>
      <c r="E139" s="46" t="inlineStr">
        <is>
          <t>2:26.41</t>
        </is>
      </c>
      <c r="F139" s="21">
        <f>IFERROR(__xludf.DUMMYFUNCTION("IF(
  REGEXMATCH(E139, "":""),
  60*VALUE(INDEX(SPLIT(E139, "":""),1,1)) + VALUE(INDEX(SPLIT(E139, "":""),1,2)),
  VALUE(E139)
)"),146.41)</f>
        <v/>
      </c>
      <c r="G139" s="21">
        <f>average(F137-F139,F138-F140)</f>
        <v/>
      </c>
      <c r="H139" s="21" t="n">
        <v>0.6450000000000102</v>
      </c>
      <c r="I139" s="211">
        <f>C127</f>
        <v/>
      </c>
      <c r="J139" s="211">
        <f>C144</f>
        <v/>
      </c>
      <c r="K139" s="60">
        <f t="array" ref="K139">INDEX('Podium Target Times'!$C:$C, MATCH(A139&amp;B139, 'Podium Target Times'!$A:$A&amp;'Podium Target Times'!$B:$B, 0))
</f>
        <v/>
      </c>
      <c r="L139" s="24">
        <f>L141+G141</f>
        <v/>
      </c>
      <c r="M139" s="60">
        <f>IF(L139&lt;60, TEXT(L139,"0.00"), IF(L139&lt;600, TEXT(L139/86400,"m:ss.00"), TEXT(L139/86400,"mm:ss.00")))
</f>
        <v/>
      </c>
      <c r="N139" s="25">
        <f>IFERROR(__xludf.DUMMYFUNCTION("LET(
  gen,$A139, ev,$B139, t,$M139,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
      </c>
      <c r="O139" s="65" t="n"/>
      <c r="P139" s="69" t="n"/>
      <c r="Q139" s="65" t="n"/>
      <c r="R139" s="69" t="n"/>
      <c r="S139" s="58" t="n"/>
      <c r="T139" s="69" t="n"/>
      <c r="U139" s="65" t="n"/>
      <c r="V139" s="65" t="n"/>
      <c r="W139" s="65" t="n"/>
    </row>
    <row r="140">
      <c r="A140" s="8" t="inlineStr">
        <is>
          <t>F</t>
        </is>
      </c>
      <c r="B140" s="9" t="inlineStr">
        <is>
          <t>200 Breast</t>
        </is>
      </c>
      <c r="C140" s="9" t="n">
        <v>20</v>
      </c>
      <c r="D140" s="9" t="n">
        <v>3</v>
      </c>
      <c r="E140" s="41" t="inlineStr">
        <is>
          <t>2:27.01</t>
        </is>
      </c>
      <c r="F140" s="35">
        <f>IFERROR(__xludf.DUMMYFUNCTION("IF(
  REGEXMATCH(E140, "":""),
  60*VALUE(INDEX(SPLIT(E140, "":""),1,1)) + VALUE(INDEX(SPLIT(E140, "":""),1,2)),
  VALUE(E140)
)"),147.01)</f>
        <v/>
      </c>
      <c r="G140" s="35">
        <f>average(F137-F139,F138-F140)</f>
        <v/>
      </c>
      <c r="H140" s="35" t="n">
        <v>0.6450000000000102</v>
      </c>
      <c r="I140" s="215">
        <f>C127</f>
        <v/>
      </c>
      <c r="J140" s="215">
        <f>C144</f>
        <v/>
      </c>
      <c r="K140" s="43">
        <f t="array" ref="K140">INDEX('Podium Target Times'!$C:$C, MATCH(A140&amp;B140, 'Podium Target Times'!$A:$A&amp;'Podium Target Times'!$B:$B, 0))
</f>
        <v/>
      </c>
      <c r="L140" s="12">
        <f>L141+G141</f>
        <v/>
      </c>
      <c r="M140" s="43">
        <f>IF(L140&lt;60, TEXT(L140,"0.00"), IF(L140&lt;600, TEXT(L140/86400,"m:ss.00"), TEXT(L140/86400,"mm:ss.00")))
</f>
        <v/>
      </c>
      <c r="N140" s="14">
        <f>IFERROR(__xludf.DUMMYFUNCTION("LET(
  gen,$A140, ev,$B140, t,$M140,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
      </c>
      <c r="O140" s="65" t="n"/>
      <c r="P140" s="69" t="n"/>
      <c r="Q140" s="65" t="n"/>
      <c r="R140" s="69" t="n"/>
      <c r="S140" s="58" t="n"/>
      <c r="T140" s="69" t="n"/>
      <c r="U140" s="65" t="n"/>
      <c r="V140" s="65" t="n"/>
      <c r="W140" s="65" t="n"/>
    </row>
    <row r="141">
      <c r="A141" s="17" t="inlineStr">
        <is>
          <t>F</t>
        </is>
      </c>
      <c r="B141" s="18" t="inlineStr">
        <is>
          <t>200 Breast</t>
        </is>
      </c>
      <c r="C141" s="18" t="n">
        <v>21</v>
      </c>
      <c r="D141" s="221" t="n">
        <v>2</v>
      </c>
      <c r="E141" s="211" t="inlineStr">
        <is>
          <t>2:25.91</t>
        </is>
      </c>
      <c r="F141" s="21">
        <f>IFERROR(__xludf.DUMMYFUNCTION("IF(
  REGEXMATCH(E141, "":""),
  60*VALUE(INDEX(SPLIT(E141, "":""),1,1)) + VALUE(INDEX(SPLIT(E141, "":""),1,2)),
  VALUE(E141)
)"),145.91)</f>
        <v/>
      </c>
      <c r="G141" s="21">
        <f>average(F139-F141,F140-F142)</f>
        <v/>
      </c>
      <c r="H141" s="21" t="n">
        <v>0.5</v>
      </c>
      <c r="I141" s="211">
        <f>C127</f>
        <v/>
      </c>
      <c r="J141" s="211">
        <f>C144</f>
        <v/>
      </c>
      <c r="K141" s="60">
        <f t="array" ref="K141">INDEX('Podium Target Times'!$C:$C, MATCH(A141&amp;B141, 'Podium Target Times'!$A:$A&amp;'Podium Target Times'!$B:$B, 0))
</f>
        <v/>
      </c>
      <c r="L141" s="24">
        <f>L143+G143</f>
        <v/>
      </c>
      <c r="M141" s="60">
        <f>IF(L141&lt;60, TEXT(L141,"0.00"), IF(L141&lt;600, TEXT(L141/86400,"m:ss.00"), TEXT(L141/86400,"mm:ss.00")))
</f>
        <v/>
      </c>
      <c r="N141" s="25">
        <f>IFERROR(__xludf.DUMMYFUNCTION("LET(
  gen,$A141, ev,$B141, t,$M141,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O141" s="65" t="n"/>
      <c r="P141" s="69" t="n"/>
      <c r="Q141" s="65" t="n"/>
      <c r="R141" s="69" t="n"/>
      <c r="S141" s="58" t="n"/>
      <c r="T141" s="69" t="n"/>
      <c r="U141" s="65" t="n"/>
      <c r="V141" s="65" t="n"/>
      <c r="W141" s="65" t="n"/>
    </row>
    <row r="142">
      <c r="A142" s="8" t="inlineStr">
        <is>
          <t>F</t>
        </is>
      </c>
      <c r="B142" s="9" t="inlineStr">
        <is>
          <t>200 Breast</t>
        </is>
      </c>
      <c r="C142" s="9" t="n">
        <v>21</v>
      </c>
      <c r="D142" s="9" t="n">
        <v>3</v>
      </c>
      <c r="E142" s="215" t="inlineStr">
        <is>
          <t>2:26.51</t>
        </is>
      </c>
      <c r="F142" s="35">
        <f>IFERROR(__xludf.DUMMYFUNCTION("IF(
  REGEXMATCH(E142, "":""),
  60*VALUE(INDEX(SPLIT(E142, "":""),1,1)) + VALUE(INDEX(SPLIT(E142, "":""),1,2)),
  VALUE(E142)
)"),146.51)</f>
        <v/>
      </c>
      <c r="G142" s="35">
        <f>average(F139-F141,F140-F142)</f>
        <v/>
      </c>
      <c r="H142" s="35" t="n">
        <v>0.5</v>
      </c>
      <c r="I142" s="215">
        <f>C127</f>
        <v/>
      </c>
      <c r="J142" s="215">
        <f>C144</f>
        <v/>
      </c>
      <c r="K142" s="43">
        <f t="array" ref="K142">INDEX('Podium Target Times'!$C:$C, MATCH(A142&amp;B142, 'Podium Target Times'!$A:$A&amp;'Podium Target Times'!$B:$B, 0))
</f>
        <v/>
      </c>
      <c r="L142" s="12">
        <f>L143+G143</f>
        <v/>
      </c>
      <c r="M142" s="43">
        <f>IF(L142&lt;60, TEXT(L142,"0.00"), IF(L142&lt;600, TEXT(L142/86400,"m:ss.00"), TEXT(L142/86400,"mm:ss.00")))
</f>
        <v/>
      </c>
      <c r="N142" s="14">
        <f>IFERROR(__xludf.DUMMYFUNCTION("LET(
  gen,$A142, ev,$B142, t,$M142,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O142" s="65" t="n"/>
      <c r="P142" s="69" t="n"/>
      <c r="Q142" s="65" t="n"/>
      <c r="R142" s="69" t="n"/>
      <c r="S142" s="58" t="n"/>
      <c r="T142" s="69" t="n"/>
      <c r="U142" s="65" t="n"/>
      <c r="V142" s="65" t="n"/>
      <c r="W142" s="65" t="n"/>
    </row>
    <row r="143">
      <c r="A143" s="17" t="inlineStr">
        <is>
          <t>F</t>
        </is>
      </c>
      <c r="B143" s="18" t="inlineStr">
        <is>
          <t>200 Breast</t>
        </is>
      </c>
      <c r="C143" s="18" t="n">
        <v>22</v>
      </c>
      <c r="D143" s="18" t="n">
        <v>3</v>
      </c>
      <c r="E143" s="46" t="inlineStr">
        <is>
          <t>2:26.14</t>
        </is>
      </c>
      <c r="F143" s="21">
        <f>IFERROR(__xludf.DUMMYFUNCTION("IF(
  REGEXMATCH(E143, "":""),
  60*VALUE(INDEX(SPLIT(E143, "":""),1,1)) + VALUE(INDEX(SPLIT(E143, "":""),1,2)),
  VALUE(E143)
)"),146.14)</f>
        <v/>
      </c>
      <c r="G143" s="21">
        <f>F142-F143</f>
        <v/>
      </c>
      <c r="H143" s="21" t="n">
        <v>0.3700000000000045</v>
      </c>
      <c r="I143" s="211">
        <f>C127</f>
        <v/>
      </c>
      <c r="J143" s="211">
        <f>C144</f>
        <v/>
      </c>
      <c r="K143" s="60">
        <f t="array" ref="K143">INDEX('Podium Target Times'!$C:$C, MATCH(A143&amp;B143, 'Podium Target Times'!$A:$A&amp;'Podium Target Times'!$B:$B, 0))
</f>
        <v/>
      </c>
      <c r="L143" s="24">
        <f>L144+G144</f>
        <v/>
      </c>
      <c r="M143" s="60">
        <f>IF(L143&lt;60, TEXT(L143,"0.00"), IF(L143&lt;600, TEXT(L143/86400,"m:ss.00"), TEXT(L143/86400,"mm:ss.00")))
</f>
        <v/>
      </c>
      <c r="N143" s="25">
        <f>IFERROR(__xludf.DUMMYFUNCTION("LET(
  gen,$A143, ev,$B143, t,$M143,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)"),722.0)</f>
        <v/>
      </c>
      <c r="O143" s="65" t="n"/>
      <c r="P143" s="69" t="n"/>
      <c r="Q143" s="65" t="n"/>
      <c r="R143" s="69" t="n"/>
      <c r="S143" s="58" t="n"/>
      <c r="T143" s="69" t="n"/>
      <c r="U143" s="65" t="n"/>
      <c r="V143" s="65" t="n"/>
      <c r="W143" s="65" t="n"/>
    </row>
    <row r="144">
      <c r="A144" s="8" t="inlineStr">
        <is>
          <t>F</t>
        </is>
      </c>
      <c r="B144" s="9" t="inlineStr">
        <is>
          <t>200 Breast</t>
        </is>
      </c>
      <c r="C144" s="9" t="n">
        <v>23</v>
      </c>
      <c r="D144" s="9" t="n">
        <v>3</v>
      </c>
      <c r="E144" s="41" t="inlineStr">
        <is>
          <t>2:25.91</t>
        </is>
      </c>
      <c r="F144" s="35">
        <f>IFERROR(__xludf.DUMMYFUNCTION("IF(
  REGEXMATCH(E144, "":""),
  60*VALUE(INDEX(SPLIT(E144, "":""),1,1)) + VALUE(INDEX(SPLIT(E144, "":""),1,2)),
  VALUE(E144)
)"),145.91)</f>
        <v/>
      </c>
      <c r="G144" s="35">
        <f>F143-F144</f>
        <v/>
      </c>
      <c r="H144" s="35" t="n">
        <v>0.2299999999999898</v>
      </c>
      <c r="I144" s="215">
        <f>C127</f>
        <v/>
      </c>
      <c r="J144" s="215">
        <f>C144</f>
        <v/>
      </c>
      <c r="K144" s="43">
        <f t="array" ref="K144">INDEX('Podium Target Times'!$C:$C, MATCH(A144&amp;B144, 'Podium Target Times'!$A:$A&amp;'Podium Target Times'!$B:$B, 0))
</f>
        <v/>
      </c>
      <c r="L144" s="35">
        <f>G144+L145</f>
        <v/>
      </c>
      <c r="M144" s="43">
        <f>IF(L144&lt;60, TEXT(L144,"0.00"), IF(L144&lt;600, TEXT(L144/86400,"m:ss.00"), TEXT(L144/86400,"mm:ss.00")))
</f>
        <v/>
      </c>
      <c r="N144" s="14">
        <f>IFERROR(__xludf.DUMMYFUNCTION("LET(
  gen,$A144, ev,$B144, t,$M144,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
      </c>
      <c r="O144" s="65" t="n"/>
      <c r="P144" s="69" t="n"/>
      <c r="Q144" s="65" t="n"/>
      <c r="R144" s="69" t="n"/>
      <c r="S144" s="58" t="n"/>
      <c r="T144" s="69" t="n"/>
      <c r="U144" s="65" t="n"/>
      <c r="V144" s="65" t="n"/>
      <c r="W144" s="65" t="n"/>
    </row>
    <row r="145">
      <c r="A145" s="17" t="inlineStr">
        <is>
          <t>F</t>
        </is>
      </c>
      <c r="B145" s="18" t="inlineStr">
        <is>
          <t>200 Breast</t>
        </is>
      </c>
      <c r="C145" s="18" t="n">
        <v>24</v>
      </c>
      <c r="D145" s="221" t="n"/>
      <c r="E145" s="46" t="n"/>
      <c r="F145" s="21">
        <f>IFERROR(__xludf.DUMMYFUNCTION("IF(
  REGEXMATCH(E145, "":""),
  60*VALUE(INDEX(SPLIT(E145, "":""),1,1)) + VALUE(INDEX(SPLIT(E145, "":""),1,2)),
  VALUE(E145)
)"),0.0)</f>
        <v/>
      </c>
      <c r="G145" s="24" t="n"/>
      <c r="H145" s="24" t="n"/>
      <c r="I145" s="60">
        <f>C127</f>
        <v/>
      </c>
      <c r="J145" s="60">
        <f>C144</f>
        <v/>
      </c>
      <c r="K145" s="60">
        <f t="array" ref="K145">INDEX('Podium Target Times'!$C:$C, MATCH(A145&amp;B145, 'Podium Target Times'!$A:$A&amp;'Podium Target Times'!$B:$B, 0))
</f>
        <v/>
      </c>
      <c r="L145" s="24">
        <f>G144+L146</f>
        <v/>
      </c>
      <c r="M145" s="60">
        <f>IF(L145&lt;60, TEXT(L145,"0.00"), IF(L145&lt;600, TEXT(L145/86400,"m:ss.00"), TEXT(L145/86400,"mm:ss.00")))
</f>
        <v/>
      </c>
      <c r="N145" s="25">
        <f>IFERROR(__xludf.DUMMYFUNCTION("LET(
  gen,$A145, ev,$B145, t,$M145,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
      </c>
      <c r="O145" s="65" t="n"/>
      <c r="P145" s="69" t="n"/>
      <c r="Q145" s="65" t="n"/>
      <c r="R145" s="69" t="n"/>
      <c r="S145" s="58" t="n"/>
      <c r="T145" s="69" t="n"/>
      <c r="U145" s="65" t="n"/>
      <c r="V145" s="65" t="n"/>
      <c r="W145" s="65" t="n"/>
    </row>
    <row r="146">
      <c r="A146" s="8" t="inlineStr">
        <is>
          <t>F</t>
        </is>
      </c>
      <c r="B146" s="9" t="inlineStr">
        <is>
          <t>200 Breast</t>
        </is>
      </c>
      <c r="C146" s="9" t="n">
        <v>25</v>
      </c>
      <c r="D146" s="219" t="n"/>
      <c r="E146" s="41" t="n"/>
      <c r="F146" s="35">
        <f>IFERROR(__xludf.DUMMYFUNCTION("IF(
  REGEXMATCH(E146, "":""),
  60*VALUE(INDEX(SPLIT(E146, "":""),1,1)) + VALUE(INDEX(SPLIT(E146, "":""),1,2)),
  VALUE(E146)
)"),0.0)</f>
        <v/>
      </c>
      <c r="G146" s="12" t="n"/>
      <c r="H146" s="12" t="n"/>
      <c r="I146" s="43">
        <f>C127</f>
        <v/>
      </c>
      <c r="J146" s="43">
        <f>C144</f>
        <v/>
      </c>
      <c r="K146" s="43">
        <f t="array" ref="K146">INDEX('Podium Target Times'!$C:$C, MATCH(A146&amp;B146, 'Podium Target Times'!$A:$A&amp;'Podium Target Times'!$B:$B, 0))
</f>
        <v/>
      </c>
      <c r="L146" s="43">
        <f>K146</f>
        <v/>
      </c>
      <c r="M146" s="43">
        <f>IF(L146&lt;60, TEXT(L146,"0.00"), IF(L146&lt;600, TEXT(L146/86400,"m:ss.00"), TEXT(L146/86400,"mm:ss.00")))
</f>
        <v/>
      </c>
      <c r="N146" s="14">
        <f>IFERROR(__xludf.DUMMYFUNCTION("LET(
  gen,$A146, ev,$B146, t,$M146,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146" s="65" t="n"/>
      <c r="P146" s="69" t="n"/>
      <c r="Q146" s="65" t="n"/>
      <c r="R146" s="69" t="n"/>
      <c r="S146" s="58" t="n"/>
      <c r="T146" s="69" t="n"/>
      <c r="U146" s="65" t="n"/>
      <c r="V146" s="65" t="n"/>
      <c r="W146" s="65" t="n"/>
    </row>
    <row r="147">
      <c r="A147" s="17" t="inlineStr">
        <is>
          <t>F</t>
        </is>
      </c>
      <c r="B147" s="18" t="inlineStr">
        <is>
          <t>200 Fly</t>
        </is>
      </c>
      <c r="C147" s="18" t="n">
        <v>14</v>
      </c>
      <c r="D147" s="221" t="n">
        <v>1</v>
      </c>
      <c r="E147" s="211" t="inlineStr">
        <is>
          <t>2:18.48</t>
        </is>
      </c>
      <c r="F147" s="21">
        <f>IFERROR(__xludf.DUMMYFUNCTION("IF(
  REGEXMATCH(E147, "":""),
  60*VALUE(INDEX(SPLIT(E147, "":""),1,1)) + VALUE(INDEX(SPLIT(E147, "":""),1,2)),
  VALUE(E147)
)"),138.48)</f>
        <v/>
      </c>
      <c r="G147" s="24" t="n">
        <v>0</v>
      </c>
      <c r="H147" s="24" t="n">
        <v>0</v>
      </c>
      <c r="I147" s="60">
        <f>C147</f>
        <v/>
      </c>
      <c r="J147" s="60">
        <f>C164</f>
        <v/>
      </c>
      <c r="K147" s="60">
        <f t="array" ref="K147">INDEX('Podium Target Times'!$C:$C, MATCH(A147&amp;B147, 'Podium Target Times'!$A:$A&amp;'Podium Target Times'!$B:$B, 0))
</f>
        <v/>
      </c>
      <c r="L147" s="24">
        <f>L148+G148</f>
        <v/>
      </c>
      <c r="M147" s="60">
        <f>IF(L147&lt;60, TEXT(L147,"0.00"), IF(L147&lt;600, TEXT(L147/86400,"m:ss.00"), TEXT(L147/86400,"mm:ss.00")))
</f>
        <v/>
      </c>
      <c r="N147" s="25">
        <f>IFERROR(__xludf.DUMMYFUNCTION("LET(
  gen,$A147, ev,$B147, t,$M147,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)"),579.0)</f>
        <v/>
      </c>
      <c r="O147" s="65" t="n"/>
      <c r="P147" s="69">
        <f>A147</f>
        <v/>
      </c>
      <c r="Q147" s="65">
        <f>B147</f>
        <v/>
      </c>
      <c r="R147" s="69">
        <f>C147</f>
        <v/>
      </c>
      <c r="S147" s="58">
        <f>M147</f>
        <v/>
      </c>
      <c r="T147" s="69">
        <f>N147</f>
        <v/>
      </c>
      <c r="U147" s="65" t="n">
        <v>585</v>
      </c>
      <c r="V147" s="65" t="n"/>
      <c r="W147" s="65" t="n"/>
    </row>
    <row r="148">
      <c r="A148" s="8" t="inlineStr">
        <is>
          <t>F</t>
        </is>
      </c>
      <c r="B148" s="9" t="inlineStr">
        <is>
          <t>200 Fly</t>
        </is>
      </c>
      <c r="C148" s="9" t="n">
        <v>15</v>
      </c>
      <c r="D148" s="219" t="n">
        <v>1</v>
      </c>
      <c r="E148" s="41" t="inlineStr">
        <is>
          <t>2:14.47</t>
        </is>
      </c>
      <c r="F148" s="35">
        <f>IFERROR(__xludf.DUMMYFUNCTION("IF(
  REGEXMATCH(E148, "":""),
  60*VALUE(INDEX(SPLIT(E148, "":""),1,1)) + VALUE(INDEX(SPLIT(E148, "":""),1,2)),
  VALUE(E148)
)"),134.47)</f>
        <v/>
      </c>
      <c r="G148" s="35">
        <f>F147-F148</f>
        <v/>
      </c>
      <c r="H148" s="35" t="n">
        <v>4.009999999999991</v>
      </c>
      <c r="I148" s="215">
        <f>C147</f>
        <v/>
      </c>
      <c r="J148" s="215">
        <f>C164</f>
        <v/>
      </c>
      <c r="K148" s="43">
        <f t="array" ref="K148">INDEX('Podium Target Times'!$C:$C, MATCH(A148&amp;B148, 'Podium Target Times'!$A:$A&amp;'Podium Target Times'!$B:$B, 0))
</f>
        <v/>
      </c>
      <c r="L148" s="12">
        <f>L150+G150</f>
        <v/>
      </c>
      <c r="M148" s="43">
        <f>IF(L148&lt;60, TEXT(L148,"0.00"), IF(L148&lt;600, TEXT(L148/86400,"m:ss.00"), TEXT(L148/86400,"mm:ss.00")))
</f>
        <v/>
      </c>
      <c r="N148" s="14">
        <f>IFERROR(__xludf.DUMMYFUNCTION("LET(
  gen,$A148, ev,$B148, t,$M148,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
      </c>
      <c r="O148" s="65" t="n"/>
      <c r="P148" s="69">
        <f>A148</f>
        <v/>
      </c>
      <c r="Q148" s="65">
        <f>B148</f>
        <v/>
      </c>
      <c r="R148" s="69">
        <f>C148</f>
        <v/>
      </c>
      <c r="S148" s="58">
        <f>M148</f>
        <v/>
      </c>
      <c r="T148" s="69">
        <f>N148</f>
        <v/>
      </c>
      <c r="U148" s="65" t="n"/>
      <c r="V148" s="65" t="n"/>
      <c r="W148" s="65" t="n"/>
    </row>
    <row r="149">
      <c r="A149" s="17" t="inlineStr">
        <is>
          <t>F</t>
        </is>
      </c>
      <c r="B149" s="18" t="inlineStr">
        <is>
          <t>200 Fly</t>
        </is>
      </c>
      <c r="C149" s="18" t="n">
        <v>15</v>
      </c>
      <c r="D149" s="18" t="n">
        <v>2</v>
      </c>
      <c r="E149" s="46" t="inlineStr">
        <is>
          <t>2:15.86</t>
        </is>
      </c>
      <c r="F149" s="21">
        <f>IFERROR(__xludf.DUMMYFUNCTION("IF(
  REGEXMATCH(E149, "":""),
  60*VALUE(INDEX(SPLIT(E149, "":""),1,1)) + VALUE(INDEX(SPLIT(E149, "":""),1,2)),
  VALUE(E149)
)"),135.86)</f>
        <v/>
      </c>
      <c r="G149" s="21">
        <f>F147-F148</f>
        <v/>
      </c>
      <c r="H149" s="21" t="n">
        <v>4.009999999999991</v>
      </c>
      <c r="I149" s="211">
        <f>C147</f>
        <v/>
      </c>
      <c r="J149" s="211">
        <f>C164</f>
        <v/>
      </c>
      <c r="K149" s="60">
        <f t="array" ref="K149">INDEX('Podium Target Times'!$C:$C, MATCH(A149&amp;B149, 'Podium Target Times'!$A:$A&amp;'Podium Target Times'!$B:$B, 0))
</f>
        <v/>
      </c>
      <c r="L149" s="24">
        <f>L150+G150</f>
        <v/>
      </c>
      <c r="M149" s="60">
        <f>IF(L149&lt;60, TEXT(L149,"0.00"), IF(L149&lt;600, TEXT(L149/86400,"m:ss.00"), TEXT(L149/86400,"mm:ss.00")))
</f>
        <v/>
      </c>
      <c r="N149" s="25">
        <f>IFERROR(__xludf.DUMMYFUNCTION("LET(
  gen,$A149, ev,$B149, t,$M149,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
      </c>
      <c r="O149" s="65" t="n"/>
      <c r="P149" s="69">
        <f>A150</f>
        <v/>
      </c>
      <c r="Q149" s="65">
        <f>B150</f>
        <v/>
      </c>
      <c r="R149" s="69">
        <f>C150</f>
        <v/>
      </c>
      <c r="S149" s="58">
        <f>M150</f>
        <v/>
      </c>
      <c r="T149" s="69">
        <f>N150</f>
        <v/>
      </c>
      <c r="U149" s="65" t="n"/>
      <c r="V149" s="65" t="n"/>
      <c r="W149" s="65" t="n"/>
    </row>
    <row r="150">
      <c r="A150" s="8" t="inlineStr">
        <is>
          <t>F</t>
        </is>
      </c>
      <c r="B150" s="9" t="inlineStr">
        <is>
          <t>200 Fly</t>
        </is>
      </c>
      <c r="C150" s="9" t="n">
        <v>16</v>
      </c>
      <c r="D150" s="219" t="n">
        <v>1</v>
      </c>
      <c r="E150" s="41" t="inlineStr">
        <is>
          <t>2:11.84</t>
        </is>
      </c>
      <c r="F150" s="35">
        <f>IFERROR(__xludf.DUMMYFUNCTION("IF(
  REGEXMATCH(E150, "":""),
  60*VALUE(INDEX(SPLIT(E150, "":""),1,1)) + VALUE(INDEX(SPLIT(E150, "":""),1,2)),
  VALUE(E150)
)"),131.84)</f>
        <v/>
      </c>
      <c r="G150" s="35">
        <f>average(F148-F150,F149-F151)</f>
        <v/>
      </c>
      <c r="H150" s="35" t="n">
        <v>2.64500000000001</v>
      </c>
      <c r="I150" s="215">
        <f>C147</f>
        <v/>
      </c>
      <c r="J150" s="215">
        <f>C164</f>
        <v/>
      </c>
      <c r="K150" s="43">
        <f t="array" ref="K150">INDEX('Podium Target Times'!$C:$C, MATCH(A150&amp;B150, 'Podium Target Times'!$A:$A&amp;'Podium Target Times'!$B:$B, 0))
</f>
        <v/>
      </c>
      <c r="L150" s="12">
        <f>L153+G153</f>
        <v/>
      </c>
      <c r="M150" s="43">
        <f>IF(L150&lt;60, TEXT(L150,"0.00"), IF(L150&lt;600, TEXT(L150/86400,"m:ss.00"), TEXT(L150/86400,"mm:ss.00")))
</f>
        <v/>
      </c>
      <c r="N150" s="14">
        <f>IFERROR(__xludf.DUMMYFUNCTION("LET(
  gen,$A150, ev,$B150, t,$M150,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)"),666.0)</f>
        <v/>
      </c>
      <c r="O150" s="65" t="n"/>
      <c r="P150" s="69">
        <f>A153</f>
        <v/>
      </c>
      <c r="Q150" s="65">
        <f>B153</f>
        <v/>
      </c>
      <c r="R150" s="69">
        <f>C153</f>
        <v/>
      </c>
      <c r="S150" s="58">
        <f>M153</f>
        <v/>
      </c>
      <c r="T150" s="69">
        <f>N153</f>
        <v/>
      </c>
      <c r="U150" s="65" t="n"/>
      <c r="V150" s="65" t="n"/>
      <c r="W150" s="65" t="n"/>
    </row>
    <row r="151">
      <c r="A151" s="17" t="inlineStr">
        <is>
          <t>F</t>
        </is>
      </c>
      <c r="B151" s="18" t="inlineStr">
        <is>
          <t>200 Fly</t>
        </is>
      </c>
      <c r="C151" s="18" t="n">
        <v>16</v>
      </c>
      <c r="D151" s="18" t="n">
        <v>2</v>
      </c>
      <c r="E151" s="46" t="inlineStr">
        <is>
          <t>2:13.20</t>
        </is>
      </c>
      <c r="F151" s="21">
        <f>IFERROR(__xludf.DUMMYFUNCTION("IF(
  REGEXMATCH(E151, "":""),
  60*VALUE(INDEX(SPLIT(E151, "":""),1,1)) + VALUE(INDEX(SPLIT(E151, "":""),1,2)),
  VALUE(E151)
)"),133.2)</f>
        <v/>
      </c>
      <c r="G151" s="21">
        <f>average(F148-F150,F149-F151)</f>
        <v/>
      </c>
      <c r="H151" s="21" t="n">
        <v>2.64500000000001</v>
      </c>
      <c r="I151" s="211">
        <f>C147</f>
        <v/>
      </c>
      <c r="J151" s="211">
        <f>C164</f>
        <v/>
      </c>
      <c r="K151" s="60">
        <f t="array" ref="K151">INDEX('Podium Target Times'!$C:$C, MATCH(A151&amp;B151, 'Podium Target Times'!$A:$A&amp;'Podium Target Times'!$B:$B, 0))
</f>
        <v/>
      </c>
      <c r="L151" s="24">
        <f>L153+G153</f>
        <v/>
      </c>
      <c r="M151" s="60">
        <f>IF(L151&lt;60, TEXT(L151,"0.00"), IF(L151&lt;600, TEXT(L151/86400,"m:ss.00"), TEXT(L151/86400,"mm:ss.00")))
</f>
        <v/>
      </c>
      <c r="N151" s="25">
        <f>IFERROR(__xludf.DUMMYFUNCTION("LET(
  gen,$A151, ev,$B151, t,$M151,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)"),666.0)</f>
        <v/>
      </c>
      <c r="O151" s="65" t="n"/>
      <c r="P151" s="69">
        <f>A156</f>
        <v/>
      </c>
      <c r="Q151" s="65">
        <f>B156</f>
        <v/>
      </c>
      <c r="R151" s="69">
        <f>C156</f>
        <v/>
      </c>
      <c r="S151" s="58">
        <f>M156</f>
        <v/>
      </c>
      <c r="T151" s="69">
        <f>N156</f>
        <v/>
      </c>
      <c r="U151" s="65" t="n"/>
      <c r="V151" s="65" t="n"/>
      <c r="W151" s="65" t="n"/>
    </row>
    <row r="152">
      <c r="A152" s="8" t="inlineStr">
        <is>
          <t>F</t>
        </is>
      </c>
      <c r="B152" s="9" t="inlineStr">
        <is>
          <t>200 Fly</t>
        </is>
      </c>
      <c r="C152" s="9" t="n">
        <v>16</v>
      </c>
      <c r="D152" s="9" t="n">
        <v>3</v>
      </c>
      <c r="E152" s="41" t="inlineStr">
        <is>
          <t>2:13.77</t>
        </is>
      </c>
      <c r="F152" s="35">
        <f>IFERROR(__xludf.DUMMYFUNCTION("IF(
  REGEXMATCH(E152, "":""),
  60*VALUE(INDEX(SPLIT(E152, "":""),1,1)) + VALUE(INDEX(SPLIT(E152, "":""),1,2)),
  VALUE(E152)
)"),133.77)</f>
        <v/>
      </c>
      <c r="G152" s="35">
        <f>average(F148-F150,F149-F151)</f>
        <v/>
      </c>
      <c r="H152" s="35" t="n">
        <v>2.64500000000001</v>
      </c>
      <c r="I152" s="215">
        <f>C147</f>
        <v/>
      </c>
      <c r="J152" s="215">
        <f>C164</f>
        <v/>
      </c>
      <c r="K152" s="43">
        <f t="array" ref="K152">INDEX('Podium Target Times'!$C:$C, MATCH(A152&amp;B152, 'Podium Target Times'!$A:$A&amp;'Podium Target Times'!$B:$B, 0))
</f>
        <v/>
      </c>
      <c r="L152" s="12">
        <f>L153+G153</f>
        <v/>
      </c>
      <c r="M152" s="43">
        <f>IF(L152&lt;60, TEXT(L152,"0.00"), IF(L152&lt;600, TEXT(L152/86400,"m:ss.00"), TEXT(L152/86400,"mm:ss.00")))
</f>
        <v/>
      </c>
      <c r="N152" s="14">
        <f>IFERROR(__xludf.DUMMYFUNCTION("LET(
  gen,$A152, ev,$B152, t,$M152,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)"),666.0)</f>
        <v/>
      </c>
      <c r="O152" s="65" t="n"/>
      <c r="P152" s="69">
        <f>A159</f>
        <v/>
      </c>
      <c r="Q152" s="65">
        <f>B159</f>
        <v/>
      </c>
      <c r="R152" s="69">
        <f>C159</f>
        <v/>
      </c>
      <c r="S152" s="58">
        <f>M159</f>
        <v/>
      </c>
      <c r="T152" s="69">
        <f>N159</f>
        <v/>
      </c>
      <c r="U152" s="65" t="n"/>
      <c r="V152" s="65" t="n"/>
      <c r="W152" s="65" t="n"/>
    </row>
    <row r="153">
      <c r="A153" s="17" t="inlineStr">
        <is>
          <t>F</t>
        </is>
      </c>
      <c r="B153" s="18" t="inlineStr">
        <is>
          <t>200 Fly</t>
        </is>
      </c>
      <c r="C153" s="18" t="n">
        <v>17</v>
      </c>
      <c r="D153" s="18" t="n">
        <v>1</v>
      </c>
      <c r="E153" s="46" t="inlineStr">
        <is>
          <t>2:10.18</t>
        </is>
      </c>
      <c r="F153" s="21">
        <f>IFERROR(__xludf.DUMMYFUNCTION("IF(
  REGEXMATCH(E153, "":""),
  60*VALUE(INDEX(SPLIT(E153, "":""),1,1)) + VALUE(INDEX(SPLIT(E153, "":""),1,2)),
  VALUE(E153)
)"),130.18)</f>
        <v/>
      </c>
      <c r="G153" s="21">
        <f>average(F150-F153,F151-F154,F152-F155)</f>
        <v/>
      </c>
      <c r="H153" s="21" t="n">
        <v>1.673333333333327</v>
      </c>
      <c r="I153" s="211">
        <f>C147</f>
        <v/>
      </c>
      <c r="J153" s="211">
        <f>C164</f>
        <v/>
      </c>
      <c r="K153" s="60">
        <f t="array" ref="K153">INDEX('Podium Target Times'!$C:$C, MATCH(A153&amp;B153, 'Podium Target Times'!$A:$A&amp;'Podium Target Times'!$B:$B, 0))
</f>
        <v/>
      </c>
      <c r="L153" s="24">
        <f>L156+G156</f>
        <v/>
      </c>
      <c r="M153" s="60">
        <f>IF(L153&lt;60, TEXT(L153,"0.00"), IF(L153&lt;600, TEXT(L153/86400,"m:ss.00"), TEXT(L153/86400,"mm:ss.00")))
</f>
        <v/>
      </c>
      <c r="N153" s="25">
        <f>IFERROR(__xludf.DUMMYFUNCTION("LET(
  gen,$A153, ev,$B153, t,$M153,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
      </c>
      <c r="O153" s="65" t="n"/>
      <c r="P153" s="69">
        <f>A161</f>
        <v/>
      </c>
      <c r="Q153" s="65">
        <f>B161</f>
        <v/>
      </c>
      <c r="R153" s="69">
        <f>C161</f>
        <v/>
      </c>
      <c r="S153" s="58">
        <f>M161</f>
        <v/>
      </c>
      <c r="T153" s="69">
        <f>N161</f>
        <v/>
      </c>
      <c r="U153" s="65" t="n"/>
      <c r="V153" s="65" t="n"/>
      <c r="W153" s="65" t="n"/>
    </row>
    <row r="154">
      <c r="A154" s="8" t="inlineStr">
        <is>
          <t>F</t>
        </is>
      </c>
      <c r="B154" s="9" t="inlineStr">
        <is>
          <t>200 Fly</t>
        </is>
      </c>
      <c r="C154" s="9" t="n">
        <v>17</v>
      </c>
      <c r="D154" s="9" t="n">
        <v>2</v>
      </c>
      <c r="E154" s="41" t="inlineStr">
        <is>
          <t>2:11.53</t>
        </is>
      </c>
      <c r="F154" s="35">
        <f>IFERROR(__xludf.DUMMYFUNCTION("IF(
  REGEXMATCH(E154, "":""),
  60*VALUE(INDEX(SPLIT(E154, "":""),1,1)) + VALUE(INDEX(SPLIT(E154, "":""),1,2)),
  VALUE(E154)
)"),131.53)</f>
        <v/>
      </c>
      <c r="G154" s="35">
        <f>average(F150-F153,F151-F154,F152-F155)</f>
        <v/>
      </c>
      <c r="H154" s="35" t="n">
        <v>1.673333333333327</v>
      </c>
      <c r="I154" s="215">
        <f>C147</f>
        <v/>
      </c>
      <c r="J154" s="215">
        <f>C164</f>
        <v/>
      </c>
      <c r="K154" s="43">
        <f t="array" ref="K154">INDEX('Podium Target Times'!$C:$C, MATCH(A154&amp;B154, 'Podium Target Times'!$A:$A&amp;'Podium Target Times'!$B:$B, 0))
</f>
        <v/>
      </c>
      <c r="L154" s="12">
        <f>L156+G156</f>
        <v/>
      </c>
      <c r="M154" s="43">
        <f>IF(L154&lt;60, TEXT(L154,"0.00"), IF(L154&lt;600, TEXT(L154/86400,"m:ss.00"), TEXT(L154/86400,"mm:ss.00")))
</f>
        <v/>
      </c>
      <c r="N154" s="14">
        <f>IFERROR(__xludf.DUMMYFUNCTION("LET(
  gen,$A154, ev,$B154, t,$M154,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
      </c>
      <c r="O154" s="65" t="n"/>
      <c r="P154" s="69">
        <f>A163</f>
        <v/>
      </c>
      <c r="Q154" s="65">
        <f>B163</f>
        <v/>
      </c>
      <c r="R154" s="69">
        <f>C163</f>
        <v/>
      </c>
      <c r="S154" s="58">
        <f>M163</f>
        <v/>
      </c>
      <c r="T154" s="69">
        <f>N163</f>
        <v/>
      </c>
      <c r="U154" s="65" t="n"/>
      <c r="V154" s="65" t="n"/>
      <c r="W154" s="65" t="n"/>
    </row>
    <row r="155">
      <c r="A155" s="17" t="inlineStr">
        <is>
          <t>F</t>
        </is>
      </c>
      <c r="B155" s="18" t="inlineStr">
        <is>
          <t>200 Fly</t>
        </is>
      </c>
      <c r="C155" s="18" t="n">
        <v>17</v>
      </c>
      <c r="D155" s="18" t="n">
        <v>3</v>
      </c>
      <c r="E155" s="46" t="inlineStr">
        <is>
          <t>2:12.08</t>
        </is>
      </c>
      <c r="F155" s="21">
        <f>IFERROR(__xludf.DUMMYFUNCTION("IF(
  REGEXMATCH(E155, "":""),
  60*VALUE(INDEX(SPLIT(E155, "":""),1,1)) + VALUE(INDEX(SPLIT(E155, "":""),1,2)),
  VALUE(E155)
)"),132.08)</f>
        <v/>
      </c>
      <c r="G155" s="21">
        <f>average(F150-F153,F151-F154,F152-F155)</f>
        <v/>
      </c>
      <c r="H155" s="21" t="n">
        <v>1.673333333333327</v>
      </c>
      <c r="I155" s="211">
        <f>C147</f>
        <v/>
      </c>
      <c r="J155" s="211">
        <f>C164</f>
        <v/>
      </c>
      <c r="K155" s="60">
        <f t="array" ref="K155">INDEX('Podium Target Times'!$C:$C, MATCH(A155&amp;B155, 'Podium Target Times'!$A:$A&amp;'Podium Target Times'!$B:$B, 0))
</f>
        <v/>
      </c>
      <c r="L155" s="24">
        <f>L156+G156</f>
        <v/>
      </c>
      <c r="M155" s="60">
        <f>IF(L155&lt;60, TEXT(L155,"0.00"), IF(L155&lt;600, TEXT(L155/86400,"m:ss.00"), TEXT(L155/86400,"mm:ss.00")))
</f>
        <v/>
      </c>
      <c r="N155" s="25">
        <f>IFERROR(__xludf.DUMMYFUNCTION("LET(
  gen,$A155, ev,$B155, t,$M155,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)"),691.0)</f>
        <v/>
      </c>
      <c r="O155" s="65" t="n"/>
      <c r="P155" s="69">
        <f>A164</f>
        <v/>
      </c>
      <c r="Q155" s="65">
        <f>B164</f>
        <v/>
      </c>
      <c r="R155" s="69">
        <f>C164</f>
        <v/>
      </c>
      <c r="S155" s="58">
        <f>M164</f>
        <v/>
      </c>
      <c r="T155" s="69">
        <f>N164</f>
        <v/>
      </c>
      <c r="U155" s="65" t="n">
        <v>744</v>
      </c>
      <c r="V155" s="65" t="n"/>
      <c r="W155" s="65" t="n"/>
    </row>
    <row r="156">
      <c r="A156" s="8" t="inlineStr">
        <is>
          <t>F</t>
        </is>
      </c>
      <c r="B156" s="9" t="inlineStr">
        <is>
          <t>200 Fly</t>
        </is>
      </c>
      <c r="C156" s="9" t="n">
        <v>18</v>
      </c>
      <c r="D156" s="9" t="n">
        <v>1</v>
      </c>
      <c r="E156" s="41" t="inlineStr">
        <is>
          <t>2:09.21</t>
        </is>
      </c>
      <c r="F156" s="35">
        <f>IFERROR(__xludf.DUMMYFUNCTION("IF(
  REGEXMATCH(E156, "":""),
  60*VALUE(INDEX(SPLIT(E156, "":""),1,1)) + VALUE(INDEX(SPLIT(E156, "":""),1,2)),
  VALUE(E156)
)"),129.21)</f>
        <v/>
      </c>
      <c r="G156" s="35">
        <f>average(F153-F156,F154-F157,F155-F158)</f>
        <v/>
      </c>
      <c r="H156" s="35" t="n">
        <v>0.9766666666666689</v>
      </c>
      <c r="I156" s="215">
        <f>C147</f>
        <v/>
      </c>
      <c r="J156" s="215">
        <f>C164</f>
        <v/>
      </c>
      <c r="K156" s="43">
        <f t="array" ref="K156">INDEX('Podium Target Times'!$C:$C, MATCH(A156&amp;B156, 'Podium Target Times'!$A:$A&amp;'Podium Target Times'!$B:$B, 0))
</f>
        <v/>
      </c>
      <c r="L156" s="12">
        <f>L159+G159</f>
        <v/>
      </c>
      <c r="M156" s="43">
        <f>IF(L156&lt;60, TEXT(L156,"0.00"), IF(L156&lt;600, TEXT(L156/86400,"m:ss.00"), TEXT(L156/86400,"mm:ss.00")))
</f>
        <v/>
      </c>
      <c r="N156" s="14">
        <f>IFERROR(__xludf.DUMMYFUNCTION("LET(
  gen,$A156, ev,$B156, t,$M156,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
      </c>
      <c r="O156" s="65" t="n"/>
      <c r="P156" s="69">
        <f>P155</f>
        <v/>
      </c>
      <c r="Q156" s="65">
        <f>Q155</f>
        <v/>
      </c>
      <c r="R156" s="69">
        <f>R155+1</f>
        <v/>
      </c>
      <c r="S156" s="58">
        <f>M165</f>
        <v/>
      </c>
      <c r="T156" s="69">
        <f>N165</f>
        <v/>
      </c>
      <c r="U156" s="65" t="n"/>
      <c r="V156" s="65" t="n"/>
      <c r="W156" s="65" t="n"/>
    </row>
    <row r="157">
      <c r="A157" s="17" t="inlineStr">
        <is>
          <t>F</t>
        </is>
      </c>
      <c r="B157" s="18" t="inlineStr">
        <is>
          <t>200 Fly</t>
        </is>
      </c>
      <c r="C157" s="18" t="n">
        <v>18</v>
      </c>
      <c r="D157" s="18" t="n">
        <v>2</v>
      </c>
      <c r="E157" s="46" t="inlineStr">
        <is>
          <t>2:10.55</t>
        </is>
      </c>
      <c r="F157" s="21">
        <f>IFERROR(__xludf.DUMMYFUNCTION("IF(
  REGEXMATCH(E157, "":""),
  60*VALUE(INDEX(SPLIT(E157, "":""),1,1)) + VALUE(INDEX(SPLIT(E157, "":""),1,2)),
  VALUE(E157)
)"),130.55)</f>
        <v/>
      </c>
      <c r="G157" s="21">
        <f>average(F153-F156,F154-F157,F155-F158)</f>
        <v/>
      </c>
      <c r="H157" s="21" t="n">
        <v>0.9766666666666689</v>
      </c>
      <c r="I157" s="211">
        <f>C147</f>
        <v/>
      </c>
      <c r="J157" s="211">
        <f>C164</f>
        <v/>
      </c>
      <c r="K157" s="60">
        <f t="array" ref="K157">INDEX('Podium Target Times'!$C:$C, MATCH(A157&amp;B157, 'Podium Target Times'!$A:$A&amp;'Podium Target Times'!$B:$B, 0))
</f>
        <v/>
      </c>
      <c r="L157" s="24">
        <f>L159+G159</f>
        <v/>
      </c>
      <c r="M157" s="60">
        <f>IF(L157&lt;60, TEXT(L157,"0.00"), IF(L157&lt;600, TEXT(L157/86400,"m:ss.00"), TEXT(L157/86400,"mm:ss.00")))
</f>
        <v/>
      </c>
      <c r="N157" s="25">
        <f>IFERROR(__xludf.DUMMYFUNCTION("LET(
  gen,$A157, ev,$B157, t,$M157,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
      </c>
      <c r="O157" s="65" t="n"/>
      <c r="P157" s="69">
        <f>P156</f>
        <v/>
      </c>
      <c r="Q157" s="65">
        <f>Q156</f>
        <v/>
      </c>
      <c r="R157" s="69">
        <f>R156+1</f>
        <v/>
      </c>
      <c r="S157" s="58">
        <f>M166</f>
        <v/>
      </c>
      <c r="T157" s="69">
        <f>N166</f>
        <v/>
      </c>
      <c r="U157" s="65" t="n"/>
      <c r="V157" s="65" t="n"/>
      <c r="W157" s="65" t="n"/>
    </row>
    <row r="158">
      <c r="A158" s="8" t="inlineStr">
        <is>
          <t>F</t>
        </is>
      </c>
      <c r="B158" s="9" t="inlineStr">
        <is>
          <t>200 Fly</t>
        </is>
      </c>
      <c r="C158" s="9" t="n">
        <v>18</v>
      </c>
      <c r="D158" s="9" t="n">
        <v>3</v>
      </c>
      <c r="E158" s="41" t="inlineStr">
        <is>
          <t>2:11.10</t>
        </is>
      </c>
      <c r="F158" s="35">
        <f>IFERROR(__xludf.DUMMYFUNCTION("IF(
  REGEXMATCH(E158, "":""),
  60*VALUE(INDEX(SPLIT(E158, "":""),1,1)) + VALUE(INDEX(SPLIT(E158, "":""),1,2)),
  VALUE(E158)
)"),131.1)</f>
        <v/>
      </c>
      <c r="G158" s="35">
        <f>average(F153-F156,F154-F157,F155-F158)</f>
        <v/>
      </c>
      <c r="H158" s="35" t="n">
        <v>0.9766666666666689</v>
      </c>
      <c r="I158" s="215">
        <f>C147</f>
        <v/>
      </c>
      <c r="J158" s="215">
        <f>C164</f>
        <v/>
      </c>
      <c r="K158" s="43">
        <f t="array" ref="K158">INDEX('Podium Target Times'!$C:$C, MATCH(A158&amp;B158, 'Podium Target Times'!$A:$A&amp;'Podium Target Times'!$B:$B, 0))
</f>
        <v/>
      </c>
      <c r="L158" s="12">
        <f>L159+G159</f>
        <v/>
      </c>
      <c r="M158" s="43">
        <f>IF(L158&lt;60, TEXT(L158,"0.00"), IF(L158&lt;600, TEXT(L158/86400,"m:ss.00"), TEXT(L158/86400,"mm:ss.00")))
</f>
        <v/>
      </c>
      <c r="N158" s="14">
        <f>IFERROR(__xludf.DUMMYFUNCTION("LET(
  gen,$A158, ev,$B158, t,$M158,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
      </c>
      <c r="O158" s="65" t="n"/>
      <c r="P158" s="69">
        <f>P157</f>
        <v/>
      </c>
      <c r="Q158" s="65">
        <f>Q157</f>
        <v/>
      </c>
      <c r="R158" s="69">
        <f>R157+1</f>
        <v/>
      </c>
      <c r="S158" s="58">
        <f>M167</f>
        <v/>
      </c>
      <c r="T158" s="69">
        <f>N167</f>
        <v/>
      </c>
      <c r="U158" s="65" t="n"/>
      <c r="V158" s="65" t="n"/>
      <c r="W158" s="65" t="n"/>
    </row>
    <row r="159">
      <c r="A159" s="17" t="inlineStr">
        <is>
          <t>F</t>
        </is>
      </c>
      <c r="B159" s="18" t="inlineStr">
        <is>
          <t>200 Fly</t>
        </is>
      </c>
      <c r="C159" s="18" t="n">
        <v>19</v>
      </c>
      <c r="D159" s="18" t="n">
        <v>2</v>
      </c>
      <c r="E159" s="211" t="inlineStr">
        <is>
          <t>2:09.78</t>
        </is>
      </c>
      <c r="F159" s="21">
        <f>IFERROR(__xludf.DUMMYFUNCTION("IF(
  REGEXMATCH(E159, "":""),
  60*VALUE(INDEX(SPLIT(E159, "":""),1,1)) + VALUE(INDEX(SPLIT(E159, "":""),1,2)),
  VALUE(E159)
)"),129.78)</f>
        <v/>
      </c>
      <c r="G159" s="21">
        <f>average(F157-F159,F158-F160)</f>
        <v/>
      </c>
      <c r="H159" s="21" t="n">
        <v>0.769999999999996</v>
      </c>
      <c r="I159" s="211">
        <f>C147</f>
        <v/>
      </c>
      <c r="J159" s="211">
        <f>C164</f>
        <v/>
      </c>
      <c r="K159" s="60">
        <f t="array" ref="K159">INDEX('Podium Target Times'!$C:$C, MATCH(A159&amp;B159, 'Podium Target Times'!$A:$A&amp;'Podium Target Times'!$B:$B, 0))
</f>
        <v/>
      </c>
      <c r="L159" s="24">
        <f>L161+G161</f>
        <v/>
      </c>
      <c r="M159" s="60">
        <f>IF(L159&lt;60, TEXT(L159,"0.00"), IF(L159&lt;600, TEXT(L159/86400,"m:ss.00"), TEXT(L159/86400,"mm:ss.00")))
</f>
        <v/>
      </c>
      <c r="N159" s="25">
        <f>IFERROR(__xludf.DUMMYFUNCTION("LET(
  gen,$A159, ev,$B159, t,$M159,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
      </c>
      <c r="O159" s="65" t="n"/>
      <c r="P159" s="69" t="n"/>
      <c r="Q159" s="65" t="n"/>
      <c r="R159" s="69" t="n"/>
      <c r="S159" s="58" t="n"/>
      <c r="T159" s="69" t="n"/>
      <c r="U159" s="65" t="n"/>
      <c r="V159" s="65" t="n"/>
      <c r="W159" s="65" t="n"/>
    </row>
    <row r="160">
      <c r="A160" s="8" t="inlineStr">
        <is>
          <t>F</t>
        </is>
      </c>
      <c r="B160" s="9" t="inlineStr">
        <is>
          <t>200 Fly</t>
        </is>
      </c>
      <c r="C160" s="9" t="n">
        <v>19</v>
      </c>
      <c r="D160" s="9" t="n">
        <v>3</v>
      </c>
      <c r="E160" s="215" t="inlineStr">
        <is>
          <t>2:10.33</t>
        </is>
      </c>
      <c r="F160" s="35">
        <f>IFERROR(__xludf.DUMMYFUNCTION("IF(
  REGEXMATCH(E160, "":""),
  60*VALUE(INDEX(SPLIT(E160, "":""),1,1)) + VALUE(INDEX(SPLIT(E160, "":""),1,2)),
  VALUE(E160)
)"),130.33)</f>
        <v/>
      </c>
      <c r="G160" s="35">
        <f>average(F157-F159,F158-F160)</f>
        <v/>
      </c>
      <c r="H160" s="35" t="n">
        <v>0.769999999999996</v>
      </c>
      <c r="I160" s="215">
        <f>C147</f>
        <v/>
      </c>
      <c r="J160" s="215">
        <f>C164</f>
        <v/>
      </c>
      <c r="K160" s="43">
        <f t="array" ref="K160">INDEX('Podium Target Times'!$C:$C, MATCH(A160&amp;B160, 'Podium Target Times'!$A:$A&amp;'Podium Target Times'!$B:$B, 0))
</f>
        <v/>
      </c>
      <c r="L160" s="12">
        <f>L161+G161</f>
        <v/>
      </c>
      <c r="M160" s="43">
        <f>IF(L160&lt;60, TEXT(L160,"0.00"), IF(L160&lt;600, TEXT(L160/86400,"m:ss.00"), TEXT(L160/86400,"mm:ss.00")))
</f>
        <v/>
      </c>
      <c r="N160" s="14">
        <f>IFERROR(__xludf.DUMMYFUNCTION("LET(
  gen,$A160, ev,$B160, t,$M160,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
      </c>
      <c r="O160" s="65" t="n"/>
      <c r="P160" s="69" t="n"/>
      <c r="Q160" s="65" t="n"/>
      <c r="R160" s="69" t="n"/>
      <c r="S160" s="58" t="n"/>
      <c r="T160" s="69" t="n"/>
      <c r="U160" s="65" t="n"/>
      <c r="V160" s="65" t="n"/>
      <c r="W160" s="65" t="n"/>
    </row>
    <row r="161">
      <c r="A161" s="17" t="inlineStr">
        <is>
          <t>F</t>
        </is>
      </c>
      <c r="B161" s="18" t="inlineStr">
        <is>
          <t>200 Fly</t>
        </is>
      </c>
      <c r="C161" s="18" t="n">
        <v>20</v>
      </c>
      <c r="D161" s="18" t="n">
        <v>2</v>
      </c>
      <c r="E161" s="46" t="inlineStr">
        <is>
          <t>2:09.21</t>
        </is>
      </c>
      <c r="F161" s="21">
        <f>IFERROR(__xludf.DUMMYFUNCTION("IF(
  REGEXMATCH(E161, "":""),
  60*VALUE(INDEX(SPLIT(E161, "":""),1,1)) + VALUE(INDEX(SPLIT(E161, "":""),1,2)),
  VALUE(E161)
)"),129.21)</f>
        <v/>
      </c>
      <c r="G161" s="21">
        <f>average(F159-F161,F160-F162)</f>
        <v/>
      </c>
      <c r="H161" s="21" t="n">
        <v>0.5700000000000074</v>
      </c>
      <c r="I161" s="211">
        <f>C147</f>
        <v/>
      </c>
      <c r="J161" s="211">
        <f>C164</f>
        <v/>
      </c>
      <c r="K161" s="60">
        <f t="array" ref="K161">INDEX('Podium Target Times'!$C:$C, MATCH(A161&amp;B161, 'Podium Target Times'!$A:$A&amp;'Podium Target Times'!$B:$B, 0))
</f>
        <v/>
      </c>
      <c r="L161" s="24">
        <f>L163+G163</f>
        <v/>
      </c>
      <c r="M161" s="60">
        <f>IF(L161&lt;60, TEXT(L161,"0.00"), IF(L161&lt;600, TEXT(L161/86400,"m:ss.00"), TEXT(L161/86400,"mm:ss.00")))
</f>
        <v/>
      </c>
      <c r="N161" s="25">
        <f>IFERROR(__xludf.DUMMYFUNCTION("LET(
  gen,$A161, ev,$B161, t,$M161,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161" s="65" t="n"/>
      <c r="P161" s="69" t="n"/>
      <c r="Q161" s="65" t="n"/>
      <c r="R161" s="69" t="n"/>
      <c r="S161" s="58" t="n"/>
      <c r="T161" s="69" t="n"/>
      <c r="U161" s="65" t="n"/>
      <c r="V161" s="65" t="n"/>
      <c r="W161" s="65" t="n"/>
    </row>
    <row r="162">
      <c r="A162" s="8" t="inlineStr">
        <is>
          <t>F</t>
        </is>
      </c>
      <c r="B162" s="9" t="inlineStr">
        <is>
          <t>200 Fly</t>
        </is>
      </c>
      <c r="C162" s="9" t="n">
        <v>20</v>
      </c>
      <c r="D162" s="9" t="n">
        <v>3</v>
      </c>
      <c r="E162" s="41" t="inlineStr">
        <is>
          <t>2:09.76</t>
        </is>
      </c>
      <c r="F162" s="35">
        <f>IFERROR(__xludf.DUMMYFUNCTION("IF(
  REGEXMATCH(E162, "":""),
  60*VALUE(INDEX(SPLIT(E162, "":""),1,1)) + VALUE(INDEX(SPLIT(E162, "":""),1,2)),
  VALUE(E162)
)"),129.76)</f>
        <v/>
      </c>
      <c r="G162" s="35">
        <f>average(F159-F161,F160-F162)</f>
        <v/>
      </c>
      <c r="H162" s="35" t="n">
        <v>0.5700000000000074</v>
      </c>
      <c r="I162" s="215">
        <f>C147</f>
        <v/>
      </c>
      <c r="J162" s="215">
        <f>C164</f>
        <v/>
      </c>
      <c r="K162" s="43">
        <f t="array" ref="K162">INDEX('Podium Target Times'!$C:$C, MATCH(A162&amp;B162, 'Podium Target Times'!$A:$A&amp;'Podium Target Times'!$B:$B, 0))
</f>
        <v/>
      </c>
      <c r="L162" s="12">
        <f>L163+G163</f>
        <v/>
      </c>
      <c r="M162" s="43">
        <f>IF(L162&lt;60, TEXT(L162,"0.00"), IF(L162&lt;600, TEXT(L162/86400,"m:ss.00"), TEXT(L162/86400,"mm:ss.00")))
</f>
        <v/>
      </c>
      <c r="N162" s="14">
        <f>IFERROR(__xludf.DUMMYFUNCTION("LET(
  gen,$A162, ev,$B162, t,$M162,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162" s="65" t="n"/>
      <c r="P162" s="69" t="n"/>
      <c r="Q162" s="65" t="n"/>
      <c r="R162" s="69" t="n"/>
      <c r="S162" s="58" t="n"/>
      <c r="T162" s="69" t="n"/>
      <c r="U162" s="65" t="n"/>
      <c r="V162" s="65" t="n"/>
      <c r="W162" s="65" t="n"/>
    </row>
    <row r="163">
      <c r="A163" s="17" t="inlineStr">
        <is>
          <t>F</t>
        </is>
      </c>
      <c r="B163" s="18" t="inlineStr">
        <is>
          <t>200 Fly</t>
        </is>
      </c>
      <c r="C163" s="18" t="n">
        <v>21</v>
      </c>
      <c r="D163" s="18" t="n">
        <v>3</v>
      </c>
      <c r="E163" s="46" t="inlineStr">
        <is>
          <t>2:09.39</t>
        </is>
      </c>
      <c r="F163" s="21">
        <f>IFERROR(__xludf.DUMMYFUNCTION("IF(
  REGEXMATCH(E163, "":""),
  60*VALUE(INDEX(SPLIT(E163, "":""),1,1)) + VALUE(INDEX(SPLIT(E163, "":""),1,2)),
  VALUE(E163)
)"),129.39)</f>
        <v/>
      </c>
      <c r="G163" s="21">
        <f>F162-F163</f>
        <v/>
      </c>
      <c r="H163" s="21" t="n">
        <v>0.3700000000000045</v>
      </c>
      <c r="I163" s="211">
        <f>C147</f>
        <v/>
      </c>
      <c r="J163" s="211">
        <f>C164</f>
        <v/>
      </c>
      <c r="K163" s="60">
        <f t="array" ref="K163">INDEX('Podium Target Times'!$C:$C, MATCH(A163&amp;B163, 'Podium Target Times'!$A:$A&amp;'Podium Target Times'!$B:$B, 0))
</f>
        <v/>
      </c>
      <c r="L163" s="24">
        <f>L164+G164</f>
        <v/>
      </c>
      <c r="M163" s="60">
        <f>IF(L163&lt;60, TEXT(L163,"0.00"), IF(L163&lt;600, TEXT(L163/86400,"m:ss.00"), TEXT(L163/86400,"mm:ss.00")))
</f>
        <v/>
      </c>
      <c r="N163" s="25">
        <f>IFERROR(__xludf.DUMMYFUNCTION("LET(
  gen,$A163, ev,$B163, t,$M163,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O163" s="65" t="n"/>
      <c r="P163" s="69" t="n"/>
      <c r="Q163" s="65" t="n"/>
      <c r="R163" s="69" t="n"/>
      <c r="S163" s="58" t="n"/>
      <c r="T163" s="69" t="n"/>
      <c r="U163" s="65" t="n"/>
      <c r="V163" s="65" t="n"/>
      <c r="W163" s="65" t="n"/>
    </row>
    <row r="164">
      <c r="A164" s="8" t="inlineStr">
        <is>
          <t>F</t>
        </is>
      </c>
      <c r="B164" s="9" t="inlineStr">
        <is>
          <t>200 Fly</t>
        </is>
      </c>
      <c r="C164" s="9" t="n">
        <v>22</v>
      </c>
      <c r="D164" s="219" t="n">
        <v>3</v>
      </c>
      <c r="E164" s="41" t="inlineStr">
        <is>
          <t>2:09.21</t>
        </is>
      </c>
      <c r="F164" s="35">
        <f>IFERROR(__xludf.DUMMYFUNCTION("IF(
  REGEXMATCH(E164, "":""),
  60*VALUE(INDEX(SPLIT(E164, "":""),1,1)) + VALUE(INDEX(SPLIT(E164, "":""),1,2)),
  VALUE(E164)
)"),129.21)</f>
        <v/>
      </c>
      <c r="G164" s="35">
        <f>F163-F164</f>
        <v/>
      </c>
      <c r="H164" s="35" t="n">
        <v>0.1799999999999784</v>
      </c>
      <c r="I164" s="215">
        <f>C147</f>
        <v/>
      </c>
      <c r="J164" s="215">
        <f>C164</f>
        <v/>
      </c>
      <c r="K164" s="43">
        <f t="array" ref="K164">INDEX('Podium Target Times'!$C:$C, MATCH(A164&amp;B164, 'Podium Target Times'!$A:$A&amp;'Podium Target Times'!$B:$B, 0))
</f>
        <v/>
      </c>
      <c r="L164" s="35">
        <f>G164+L165</f>
        <v/>
      </c>
      <c r="M164" s="43">
        <f>IF(L164&lt;60, TEXT(L164,"0.00"), IF(L164&lt;600, TEXT(L164/86400,"m:ss.00"), TEXT(L164/86400,"mm:ss.00")))
</f>
        <v/>
      </c>
      <c r="N164" s="14">
        <f>IFERROR(__xludf.DUMMYFUNCTION("LET(
  gen,$A164, ev,$B164, t,$M164,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O164" s="65" t="n"/>
      <c r="P164" s="69" t="n"/>
      <c r="Q164" s="65" t="n"/>
      <c r="R164" s="69" t="n"/>
      <c r="S164" s="58" t="n"/>
      <c r="T164" s="69" t="n"/>
      <c r="U164" s="65" t="n"/>
      <c r="V164" s="65" t="n"/>
      <c r="W164" s="65" t="n"/>
    </row>
    <row r="165">
      <c r="A165" s="17" t="inlineStr">
        <is>
          <t>F</t>
        </is>
      </c>
      <c r="B165" s="18" t="inlineStr">
        <is>
          <t>200 Fly</t>
        </is>
      </c>
      <c r="C165" s="18" t="n">
        <v>23</v>
      </c>
      <c r="D165" s="18" t="n"/>
      <c r="E165" s="491" t="n"/>
      <c r="F165" s="21">
        <f>IFERROR(__xludf.DUMMYFUNCTION("IF(
  REGEXMATCH(E165, "":""),
  60*VALUE(INDEX(SPLIT(E165, "":""),1,1)) + VALUE(INDEX(SPLIT(E165, "":""),1,2)),
  VALUE(E165)
)"),0.0)</f>
        <v/>
      </c>
      <c r="G165" s="24" t="n"/>
      <c r="H165" s="24" t="n"/>
      <c r="I165" s="60">
        <f>C147</f>
        <v/>
      </c>
      <c r="J165" s="60">
        <f>C164</f>
        <v/>
      </c>
      <c r="K165" s="60">
        <f t="array" ref="K165">INDEX('Podium Target Times'!$C:$C, MATCH(A165&amp;B165, 'Podium Target Times'!$A:$A&amp;'Podium Target Times'!$B:$B, 0))
</f>
        <v/>
      </c>
      <c r="L165" s="24">
        <f>G164+L166</f>
        <v/>
      </c>
      <c r="M165" s="60">
        <f>IF(L165&lt;60, TEXT(L165,"0.00"), IF(L165&lt;600, TEXT(L165/86400,"m:ss.00"), TEXT(L165/86400,"mm:ss.00")))
</f>
        <v/>
      </c>
      <c r="N165" s="25">
        <f>IFERROR(__xludf.DUMMYFUNCTION("LET(
  gen,$A165, ev,$B165, t,$M165,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165" s="65" t="n"/>
      <c r="P165" s="69" t="n"/>
      <c r="Q165" s="65" t="n"/>
      <c r="R165" s="69" t="n"/>
      <c r="S165" s="58" t="n"/>
      <c r="T165" s="69" t="n"/>
      <c r="U165" s="65" t="n"/>
      <c r="V165" s="65" t="n"/>
      <c r="W165" s="65" t="n"/>
    </row>
    <row r="166">
      <c r="A166" s="8" t="inlineStr">
        <is>
          <t>F</t>
        </is>
      </c>
      <c r="B166" s="9" t="inlineStr">
        <is>
          <t>200 Fly</t>
        </is>
      </c>
      <c r="C166" s="9" t="n">
        <v>24</v>
      </c>
      <c r="D166" s="9" t="n"/>
      <c r="E166" s="483" t="n"/>
      <c r="F166" s="35">
        <f>IFERROR(__xludf.DUMMYFUNCTION("IF(
  REGEXMATCH(E166, "":""),
  60*VALUE(INDEX(SPLIT(E166, "":""),1,1)) + VALUE(INDEX(SPLIT(E166, "":""),1,2)),
  VALUE(E166)
)"),0.0)</f>
        <v/>
      </c>
      <c r="G166" s="12" t="n"/>
      <c r="H166" s="12" t="n"/>
      <c r="I166" s="43">
        <f>C147</f>
        <v/>
      </c>
      <c r="J166" s="43">
        <f>C164</f>
        <v/>
      </c>
      <c r="K166" s="43">
        <f t="array" ref="K166">INDEX('Podium Target Times'!$C:$C, MATCH(A166&amp;B166, 'Podium Target Times'!$A:$A&amp;'Podium Target Times'!$B:$B, 0))
</f>
        <v/>
      </c>
      <c r="L166" s="12">
        <f>G164+L167</f>
        <v/>
      </c>
      <c r="M166" s="43">
        <f>IF(L166&lt;60, TEXT(L166,"0.00"), IF(L166&lt;600, TEXT(L166/86400,"m:ss.00"), TEXT(L166/86400,"mm:ss.00")))
</f>
        <v/>
      </c>
      <c r="N166" s="14">
        <f>IFERROR(__xludf.DUMMYFUNCTION("LET(
  gen,$A166, ev,$B166, t,$M166,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166" s="65" t="n"/>
      <c r="P166" s="69" t="n"/>
      <c r="Q166" s="65" t="n"/>
      <c r="R166" s="69" t="n"/>
      <c r="S166" s="58" t="n"/>
      <c r="T166" s="69" t="n"/>
      <c r="U166" s="65" t="n"/>
      <c r="V166" s="65" t="n"/>
      <c r="W166" s="65" t="n"/>
    </row>
    <row r="167">
      <c r="A167" s="17" t="inlineStr">
        <is>
          <t>F</t>
        </is>
      </c>
      <c r="B167" s="18" t="inlineStr">
        <is>
          <t>200 Fly</t>
        </is>
      </c>
      <c r="C167" s="18" t="n">
        <v>25</v>
      </c>
      <c r="D167" s="18" t="n"/>
      <c r="E167" s="491" t="n"/>
      <c r="F167" s="21">
        <f>IFERROR(__xludf.DUMMYFUNCTION("IF(
  REGEXMATCH(E167, "":""),
  60*VALUE(INDEX(SPLIT(E167, "":""),1,1)) + VALUE(INDEX(SPLIT(E167, "":""),1,2)),
  VALUE(E167)
)"),0.0)</f>
        <v/>
      </c>
      <c r="G167" s="24" t="n"/>
      <c r="H167" s="24" t="n"/>
      <c r="I167" s="60">
        <f>C147</f>
        <v/>
      </c>
      <c r="J167" s="60">
        <f>C164</f>
        <v/>
      </c>
      <c r="K167" s="60">
        <f t="array" ref="K167">INDEX('Podium Target Times'!$C:$C, MATCH(A167&amp;B167, 'Podium Target Times'!$A:$A&amp;'Podium Target Times'!$B:$B, 0))
</f>
        <v/>
      </c>
      <c r="L167" s="60">
        <f>K167</f>
        <v/>
      </c>
      <c r="M167" s="60">
        <f>IF(L167&lt;60, TEXT(L167,"0.00"), IF(L167&lt;600, TEXT(L167/86400,"m:ss.00"), TEXT(L167/86400,"mm:ss.00")))
</f>
        <v/>
      </c>
      <c r="N167" s="25">
        <f>IFERROR(__xludf.DUMMYFUNCTION("LET(
  gen,$A167, ev,$B167, t,$M167,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O167" s="65" t="n"/>
      <c r="P167" s="69" t="n"/>
      <c r="Q167" s="65" t="n"/>
      <c r="R167" s="69" t="n"/>
      <c r="S167" s="58" t="n"/>
      <c r="T167" s="69" t="n"/>
      <c r="U167" s="65" t="n"/>
      <c r="V167" s="65" t="n"/>
      <c r="W167" s="65" t="n"/>
    </row>
    <row r="168">
      <c r="A168" s="8" t="inlineStr">
        <is>
          <t>F</t>
        </is>
      </c>
      <c r="B168" s="9" t="inlineStr">
        <is>
          <t>200 Free</t>
        </is>
      </c>
      <c r="C168" s="9" t="n">
        <v>14</v>
      </c>
      <c r="D168" s="9" t="n">
        <v>1</v>
      </c>
      <c r="E168" s="43" t="inlineStr">
        <is>
          <t>2:06.51</t>
        </is>
      </c>
      <c r="F168" s="35">
        <f>IFERROR(__xludf.DUMMYFUNCTION("IF(
  REGEXMATCH(E168, "":""),
  60*VALUE(INDEX(SPLIT(E168, "":""),1,1)) + VALUE(INDEX(SPLIT(E168, "":""),1,2)),
  VALUE(E168)
)"),126.51)</f>
        <v/>
      </c>
      <c r="G168" s="12" t="n">
        <v>0</v>
      </c>
      <c r="H168" s="12" t="n">
        <v>0</v>
      </c>
      <c r="I168" s="43">
        <f>C168</f>
        <v/>
      </c>
      <c r="J168" s="43">
        <f>C185</f>
        <v/>
      </c>
      <c r="K168" s="43">
        <f t="array" ref="K168">INDEX('Podium Target Times'!$C:$C, MATCH(A168&amp;B168, 'Podium Target Times'!$A:$A&amp;'Podium Target Times'!$B:$B, 0))
</f>
        <v/>
      </c>
      <c r="L168" s="12">
        <f>L169+G169</f>
        <v/>
      </c>
      <c r="M168" s="43">
        <f>IF(L168&lt;60, TEXT(L168,"0.00"), IF(L168&lt;600, TEXT(L168/86400,"m:ss.00"), TEXT(L168/86400,"mm:ss.00")))
</f>
        <v/>
      </c>
      <c r="N168" s="14">
        <f>IFERROR(__xludf.DUMMYFUNCTION("LET(
  gen,$A168, ev,$B168, t,$M168,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)"),597.0)</f>
        <v/>
      </c>
      <c r="O168" s="65" t="n"/>
      <c r="P168" s="69">
        <f>A168</f>
        <v/>
      </c>
      <c r="Q168" s="65">
        <f>B168</f>
        <v/>
      </c>
      <c r="R168" s="69">
        <f>C168</f>
        <v/>
      </c>
      <c r="S168" s="58">
        <f>M168</f>
        <v/>
      </c>
      <c r="T168" s="69">
        <f>N168</f>
        <v/>
      </c>
      <c r="U168" s="65" t="n">
        <v>603</v>
      </c>
      <c r="V168" s="65" t="n"/>
      <c r="W168" s="65" t="n"/>
    </row>
    <row r="169">
      <c r="A169" s="17" t="inlineStr">
        <is>
          <t>F</t>
        </is>
      </c>
      <c r="B169" s="18" t="inlineStr">
        <is>
          <t>200 Free</t>
        </is>
      </c>
      <c r="C169" s="18" t="n">
        <v>15</v>
      </c>
      <c r="D169" s="18" t="n">
        <v>1</v>
      </c>
      <c r="E169" s="60" t="inlineStr">
        <is>
          <t>2:02.98</t>
        </is>
      </c>
      <c r="F169" s="21">
        <f>IFERROR(__xludf.DUMMYFUNCTION("IF(
  REGEXMATCH(E169, "":""),
  60*VALUE(INDEX(SPLIT(E169, "":""),1,1)) + VALUE(INDEX(SPLIT(E169, "":""),1,2)),
  VALUE(E169)
)"),122.98)</f>
        <v/>
      </c>
      <c r="G169" s="21">
        <f>F168-F169</f>
        <v/>
      </c>
      <c r="H169" s="21" t="n">
        <v>3.530000000000001</v>
      </c>
      <c r="I169" s="211">
        <f>C168</f>
        <v/>
      </c>
      <c r="J169" s="211">
        <f>C185</f>
        <v/>
      </c>
      <c r="K169" s="60">
        <f t="array" ref="K169">INDEX('Podium Target Times'!$C:$C, MATCH(A169&amp;B169, 'Podium Target Times'!$A:$A&amp;'Podium Target Times'!$B:$B, 0))
</f>
        <v/>
      </c>
      <c r="L169" s="24">
        <f>L171+G171</f>
        <v/>
      </c>
      <c r="M169" s="60">
        <f>IF(L169&lt;60, TEXT(L169,"0.00"), IF(L169&lt;600, TEXT(L169/86400,"m:ss.00"), TEXT(L169/86400,"mm:ss.00")))
</f>
        <v/>
      </c>
      <c r="N169" s="25">
        <f>IFERROR(__xludf.DUMMYFUNCTION("LET(
  gen,$A169, ev,$B169, t,$M169,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)"),647.0)</f>
        <v/>
      </c>
      <c r="O169" s="65" t="n"/>
      <c r="P169" s="69">
        <f>A169</f>
        <v/>
      </c>
      <c r="Q169" s="65">
        <f>B169</f>
        <v/>
      </c>
      <c r="R169" s="69">
        <f>C169</f>
        <v/>
      </c>
      <c r="S169" s="58">
        <f>M169</f>
        <v/>
      </c>
      <c r="T169" s="69">
        <f>N169</f>
        <v/>
      </c>
      <c r="U169" s="65" t="n"/>
      <c r="V169" s="65" t="n"/>
      <c r="W169" s="65" t="n"/>
    </row>
    <row r="170">
      <c r="A170" s="8" t="inlineStr">
        <is>
          <t>F</t>
        </is>
      </c>
      <c r="B170" s="9" t="inlineStr">
        <is>
          <t>200 Free</t>
        </is>
      </c>
      <c r="C170" s="9" t="n">
        <v>15</v>
      </c>
      <c r="D170" s="9" t="n">
        <v>2</v>
      </c>
      <c r="E170" s="43" t="inlineStr">
        <is>
          <t>2:04.11</t>
        </is>
      </c>
      <c r="F170" s="35">
        <f>IFERROR(__xludf.DUMMYFUNCTION("IF(
  REGEXMATCH(E170, "":""),
  60*VALUE(INDEX(SPLIT(E170, "":""),1,1)) + VALUE(INDEX(SPLIT(E170, "":""),1,2)),
  VALUE(E170)
)"),124.11)</f>
        <v/>
      </c>
      <c r="G170" s="35">
        <f>F168-F169</f>
        <v/>
      </c>
      <c r="H170" s="35" t="n">
        <v>3.530000000000001</v>
      </c>
      <c r="I170" s="215">
        <f>C168</f>
        <v/>
      </c>
      <c r="J170" s="215">
        <f>C185</f>
        <v/>
      </c>
      <c r="K170" s="43">
        <f t="array" ref="K170">INDEX('Podium Target Times'!$C:$C, MATCH(A170&amp;B170, 'Podium Target Times'!$A:$A&amp;'Podium Target Times'!$B:$B, 0))
</f>
        <v/>
      </c>
      <c r="L170" s="12">
        <f>L171+G171</f>
        <v/>
      </c>
      <c r="M170" s="43">
        <f>IF(L170&lt;60, TEXT(L170,"0.00"), IF(L170&lt;600, TEXT(L170/86400,"m:ss.00"), TEXT(L170/86400,"mm:ss.00")))
</f>
        <v/>
      </c>
      <c r="N170" s="14">
        <f>IFERROR(__xludf.DUMMYFUNCTION("LET(
  gen,$A170, ev,$B170, t,$M170,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)"),647.0)</f>
        <v/>
      </c>
      <c r="O170" s="65" t="n"/>
      <c r="P170" s="69">
        <f>A171</f>
        <v/>
      </c>
      <c r="Q170" s="65">
        <f>B171</f>
        <v/>
      </c>
      <c r="R170" s="69">
        <f>C171</f>
        <v/>
      </c>
      <c r="S170" s="58">
        <f>M171</f>
        <v/>
      </c>
      <c r="T170" s="69">
        <f>N171</f>
        <v/>
      </c>
      <c r="U170" s="65" t="n"/>
      <c r="V170" s="65" t="n"/>
      <c r="W170" s="65" t="n"/>
    </row>
    <row r="171">
      <c r="A171" s="17" t="inlineStr">
        <is>
          <t>F</t>
        </is>
      </c>
      <c r="B171" s="18" t="inlineStr">
        <is>
          <t>200 Free</t>
        </is>
      </c>
      <c r="C171" s="18" t="n">
        <v>16</v>
      </c>
      <c r="D171" s="18" t="n">
        <v>1</v>
      </c>
      <c r="E171" s="46" t="inlineStr">
        <is>
          <t>2:00.67</t>
        </is>
      </c>
      <c r="F171" s="21">
        <f>IFERROR(__xludf.DUMMYFUNCTION("IF(
  REGEXMATCH(E171, "":""),
  60*VALUE(INDEX(SPLIT(E171, "":""),1,1)) + VALUE(INDEX(SPLIT(E171, "":""),1,2)),
  VALUE(E171)
)"),120.67)</f>
        <v/>
      </c>
      <c r="G171" s="21">
        <f>average(F169-F171,F170-F172)</f>
        <v/>
      </c>
      <c r="H171" s="21" t="n">
        <v>2.32</v>
      </c>
      <c r="I171" s="211">
        <f>C168</f>
        <v/>
      </c>
      <c r="J171" s="211">
        <f>C185</f>
        <v/>
      </c>
      <c r="K171" s="60">
        <f t="array" ref="K171">INDEX('Podium Target Times'!$C:$C, MATCH(A171&amp;B171, 'Podium Target Times'!$A:$A&amp;'Podium Target Times'!$B:$B, 0))
</f>
        <v/>
      </c>
      <c r="L171" s="24">
        <f>L174+G174</f>
        <v/>
      </c>
      <c r="M171" s="60">
        <f>IF(L171&lt;60, TEXT(L171,"0.00"), IF(L171&lt;600, TEXT(L171/86400,"m:ss.00"), TEXT(L171/86400,"mm:ss.00")))
</f>
        <v/>
      </c>
      <c r="N171" s="25">
        <f>IFERROR(__xludf.DUMMYFUNCTION("LET(
  gen,$A171, ev,$B171, t,$M171,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
      </c>
      <c r="O171" s="65" t="n"/>
      <c r="P171" s="69">
        <f>A174</f>
        <v/>
      </c>
      <c r="Q171" s="65">
        <f>B174</f>
        <v/>
      </c>
      <c r="R171" s="69">
        <f>C174</f>
        <v/>
      </c>
      <c r="S171" s="58">
        <f>M174</f>
        <v/>
      </c>
      <c r="T171" s="69">
        <f>N174</f>
        <v/>
      </c>
      <c r="U171" s="65" t="n"/>
      <c r="V171" s="65" t="n"/>
      <c r="W171" s="65" t="n"/>
    </row>
    <row r="172">
      <c r="A172" s="8" t="inlineStr">
        <is>
          <t>F</t>
        </is>
      </c>
      <c r="B172" s="9" t="inlineStr">
        <is>
          <t>200 Free</t>
        </is>
      </c>
      <c r="C172" s="9" t="n">
        <v>16</v>
      </c>
      <c r="D172" s="9" t="n">
        <v>2</v>
      </c>
      <c r="E172" s="41" t="inlineStr">
        <is>
          <t>2:01.78</t>
        </is>
      </c>
      <c r="F172" s="35">
        <f>IFERROR(__xludf.DUMMYFUNCTION("IF(
  REGEXMATCH(E172, "":""),
  60*VALUE(INDEX(SPLIT(E172, "":""),1,1)) + VALUE(INDEX(SPLIT(E172, "":""),1,2)),
  VALUE(E172)
)"),121.78)</f>
        <v/>
      </c>
      <c r="G172" s="35">
        <f>average(F169-F171,F170-F172)</f>
        <v/>
      </c>
      <c r="H172" s="35" t="n">
        <v>2.32</v>
      </c>
      <c r="I172" s="215">
        <f>C168</f>
        <v/>
      </c>
      <c r="J172" s="215">
        <f>C185</f>
        <v/>
      </c>
      <c r="K172" s="43">
        <f t="array" ref="K172">INDEX('Podium Target Times'!$C:$C, MATCH(A172&amp;B172, 'Podium Target Times'!$A:$A&amp;'Podium Target Times'!$B:$B, 0))
</f>
        <v/>
      </c>
      <c r="L172" s="12">
        <f>L174+G174</f>
        <v/>
      </c>
      <c r="M172" s="43">
        <f>IF(L172&lt;60, TEXT(L172,"0.00"), IF(L172&lt;600, TEXT(L172/86400,"m:ss.00"), TEXT(L172/86400,"mm:ss.00")))
</f>
        <v/>
      </c>
      <c r="N172" s="14">
        <f>IFERROR(__xludf.DUMMYFUNCTION("LET(
  gen,$A172, ev,$B172, t,$M172,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
      </c>
      <c r="O172" s="65" t="n"/>
      <c r="P172" s="69">
        <f>A177</f>
        <v/>
      </c>
      <c r="Q172" s="65">
        <f>B177</f>
        <v/>
      </c>
      <c r="R172" s="69">
        <f>C177</f>
        <v/>
      </c>
      <c r="S172" s="58">
        <f>M177</f>
        <v/>
      </c>
      <c r="T172" s="69">
        <f>N177</f>
        <v/>
      </c>
      <c r="U172" s="65" t="n"/>
      <c r="V172" s="65" t="n"/>
      <c r="W172" s="65" t="n"/>
    </row>
    <row r="173">
      <c r="A173" s="17" t="inlineStr">
        <is>
          <t>F</t>
        </is>
      </c>
      <c r="B173" s="18" t="inlineStr">
        <is>
          <t>200 Free</t>
        </is>
      </c>
      <c r="C173" s="18" t="n">
        <v>16</v>
      </c>
      <c r="D173" s="18" t="n">
        <v>3</v>
      </c>
      <c r="E173" s="46" t="inlineStr">
        <is>
          <t>2:02.25</t>
        </is>
      </c>
      <c r="F173" s="21">
        <f>IFERROR(__xludf.DUMMYFUNCTION("IF(
  REGEXMATCH(E173, "":""),
  60*VALUE(INDEX(SPLIT(E173, "":""),1,1)) + VALUE(INDEX(SPLIT(E173, "":""),1,2)),
  VALUE(E173)
)"),122.25)</f>
        <v/>
      </c>
      <c r="G173" s="21">
        <f>average(F169-F171,F170-F172)</f>
        <v/>
      </c>
      <c r="H173" s="21" t="n">
        <v>2.32</v>
      </c>
      <c r="I173" s="211">
        <f>C168</f>
        <v/>
      </c>
      <c r="J173" s="211">
        <f>C185</f>
        <v/>
      </c>
      <c r="K173" s="60">
        <f t="array" ref="K173">INDEX('Podium Target Times'!$C:$C, MATCH(A173&amp;B173, 'Podium Target Times'!$A:$A&amp;'Podium Target Times'!$B:$B, 0))
</f>
        <v/>
      </c>
      <c r="L173" s="24">
        <f>L174+G174</f>
        <v/>
      </c>
      <c r="M173" s="60">
        <f>IF(L173&lt;60, TEXT(L173,"0.00"), IF(L173&lt;600, TEXT(L173/86400,"m:ss.00"), TEXT(L173/86400,"mm:ss.00")))
</f>
        <v/>
      </c>
      <c r="N173" s="25">
        <f>IFERROR(__xludf.DUMMYFUNCTION("LET(
  gen,$A173, ev,$B173, t,$M173,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)"),683.0)</f>
        <v/>
      </c>
      <c r="O173" s="65" t="n"/>
      <c r="P173" s="69">
        <f>A180</f>
        <v/>
      </c>
      <c r="Q173" s="65">
        <f>B180</f>
        <v/>
      </c>
      <c r="R173" s="69">
        <f>C180</f>
        <v/>
      </c>
      <c r="S173" s="58">
        <f>M180</f>
        <v/>
      </c>
      <c r="T173" s="69">
        <f>N180</f>
        <v/>
      </c>
      <c r="U173" s="65" t="n"/>
      <c r="V173" s="65" t="n"/>
      <c r="W173" s="65" t="n"/>
    </row>
    <row r="174">
      <c r="A174" s="8" t="inlineStr">
        <is>
          <t>F</t>
        </is>
      </c>
      <c r="B174" s="9" t="inlineStr">
        <is>
          <t>200 Free</t>
        </is>
      </c>
      <c r="C174" s="9" t="n">
        <v>17</v>
      </c>
      <c r="D174" s="9" t="n">
        <v>1</v>
      </c>
      <c r="E174" s="483" t="inlineStr">
        <is>
          <t>1:59.20</t>
        </is>
      </c>
      <c r="F174" s="35">
        <f>IFERROR(__xludf.DUMMYFUNCTION("IF(
  REGEXMATCH(E174, "":""),
  60*VALUE(INDEX(SPLIT(E174, "":""),1,1)) + VALUE(INDEX(SPLIT(E174, "":""),1,2)),
  VALUE(E174)
)"),119.2)</f>
        <v/>
      </c>
      <c r="G174" s="35">
        <f>average(F171-F174,F172-F175,F173-F176)</f>
        <v/>
      </c>
      <c r="H174" s="35" t="n">
        <v>1.479999999999999</v>
      </c>
      <c r="I174" s="215">
        <f>C168</f>
        <v/>
      </c>
      <c r="J174" s="215">
        <f>C185</f>
        <v/>
      </c>
      <c r="K174" s="43">
        <f t="array" ref="K174">INDEX('Podium Target Times'!$C:$C, MATCH(A174&amp;B174, 'Podium Target Times'!$A:$A&amp;'Podium Target Times'!$B:$B, 0))
</f>
        <v/>
      </c>
      <c r="L174" s="12">
        <f>L177+G177</f>
        <v/>
      </c>
      <c r="M174" s="43">
        <f>IF(L174&lt;60, TEXT(L174,"0.00"), IF(L174&lt;600, TEXT(L174/86400,"m:ss.00"), TEXT(L174/86400,"mm:ss.00")))
</f>
        <v/>
      </c>
      <c r="N174" s="14">
        <f>IFERROR(__xludf.DUMMYFUNCTION("LET(
  gen,$A174, ev,$B174, t,$M174,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174" s="65" t="n"/>
      <c r="P174" s="69">
        <f>A182</f>
        <v/>
      </c>
      <c r="Q174" s="65">
        <f>B182</f>
        <v/>
      </c>
      <c r="R174" s="69">
        <f>C182</f>
        <v/>
      </c>
      <c r="S174" s="58">
        <f>M182</f>
        <v/>
      </c>
      <c r="T174" s="69">
        <f>N182</f>
        <v/>
      </c>
      <c r="U174" s="65" t="n"/>
      <c r="V174" s="65" t="n"/>
      <c r="W174" s="65" t="n"/>
    </row>
    <row r="175">
      <c r="A175" s="17" t="inlineStr">
        <is>
          <t>F</t>
        </is>
      </c>
      <c r="B175" s="18" t="inlineStr">
        <is>
          <t>200 Free</t>
        </is>
      </c>
      <c r="C175" s="18" t="n">
        <v>17</v>
      </c>
      <c r="D175" s="18" t="n">
        <v>2</v>
      </c>
      <c r="E175" s="46" t="inlineStr">
        <is>
          <t>2:00.30</t>
        </is>
      </c>
      <c r="F175" s="21">
        <f>IFERROR(__xludf.DUMMYFUNCTION("IF(
  REGEXMATCH(E175, "":""),
  60*VALUE(INDEX(SPLIT(E175, "":""),1,1)) + VALUE(INDEX(SPLIT(E175, "":""),1,2)),
  VALUE(E175)
)"),120.3)</f>
        <v/>
      </c>
      <c r="G175" s="21">
        <f>average(F171-F174,F172-F175,F173-F176)</f>
        <v/>
      </c>
      <c r="H175" s="21" t="n">
        <v>1.479999999999999</v>
      </c>
      <c r="I175" s="211">
        <f>C168</f>
        <v/>
      </c>
      <c r="J175" s="211">
        <f>C185</f>
        <v/>
      </c>
      <c r="K175" s="60">
        <f t="array" ref="K175">INDEX('Podium Target Times'!$C:$C, MATCH(A175&amp;B175, 'Podium Target Times'!$A:$A&amp;'Podium Target Times'!$B:$B, 0))
</f>
        <v/>
      </c>
      <c r="L175" s="24">
        <f>L177+G177</f>
        <v/>
      </c>
      <c r="M175" s="60">
        <f>IF(L175&lt;60, TEXT(L175,"0.00"), IF(L175&lt;600, TEXT(L175/86400,"m:ss.00"), TEXT(L175/86400,"mm:ss.00")))
</f>
        <v/>
      </c>
      <c r="N175" s="25">
        <f>IFERROR(__xludf.DUMMYFUNCTION("LET(
  gen,$A175, ev,$B175, t,$M175,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175" s="65" t="n"/>
      <c r="P175" s="69">
        <f>A184</f>
        <v/>
      </c>
      <c r="Q175" s="65">
        <f>B184</f>
        <v/>
      </c>
      <c r="R175" s="69">
        <f>C184</f>
        <v/>
      </c>
      <c r="S175" s="58">
        <f>M184</f>
        <v/>
      </c>
      <c r="T175" s="69">
        <f>N184</f>
        <v/>
      </c>
      <c r="U175" s="65" t="n"/>
      <c r="V175" s="65" t="n"/>
      <c r="W175" s="65" t="n"/>
    </row>
    <row r="176">
      <c r="A176" s="8" t="inlineStr">
        <is>
          <t>F</t>
        </is>
      </c>
      <c r="B176" s="9" t="inlineStr">
        <is>
          <t>200 Free</t>
        </is>
      </c>
      <c r="C176" s="9" t="n">
        <v>17</v>
      </c>
      <c r="D176" s="9" t="n">
        <v>3</v>
      </c>
      <c r="E176" s="41" t="inlineStr">
        <is>
          <t>2:00.76</t>
        </is>
      </c>
      <c r="F176" s="35">
        <f>IFERROR(__xludf.DUMMYFUNCTION("IF(
  REGEXMATCH(E176, "":""),
  60*VALUE(INDEX(SPLIT(E176, "":""),1,1)) + VALUE(INDEX(SPLIT(E176, "":""),1,2)),
  VALUE(E176)
)"),120.76)</f>
        <v/>
      </c>
      <c r="G176" s="35">
        <f>average(F171-F174,F172-F175,F173-F176)</f>
        <v/>
      </c>
      <c r="H176" s="35" t="n">
        <v>1.479999999999999</v>
      </c>
      <c r="I176" s="215">
        <f>C168</f>
        <v/>
      </c>
      <c r="J176" s="215">
        <f>C185</f>
        <v/>
      </c>
      <c r="K176" s="43">
        <f t="array" ref="K176">INDEX('Podium Target Times'!$C:$C, MATCH(A176&amp;B176, 'Podium Target Times'!$A:$A&amp;'Podium Target Times'!$B:$B, 0))
</f>
        <v/>
      </c>
      <c r="L176" s="12">
        <f>L177+G177</f>
        <v/>
      </c>
      <c r="M176" s="43">
        <f>IF(L176&lt;60, TEXT(L176,"0.00"), IF(L176&lt;600, TEXT(L176/86400,"m:ss.00"), TEXT(L176/86400,"mm:ss.00")))
</f>
        <v/>
      </c>
      <c r="N176" s="14">
        <f>IFERROR(__xludf.DUMMYFUNCTION("LET(
  gen,$A176, ev,$B176, t,$M176,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176" s="65" t="n"/>
      <c r="P176" s="69">
        <f>A185</f>
        <v/>
      </c>
      <c r="Q176" s="65">
        <f>B185</f>
        <v/>
      </c>
      <c r="R176" s="69">
        <f>C185</f>
        <v/>
      </c>
      <c r="S176" s="58">
        <f>M185</f>
        <v/>
      </c>
      <c r="T176" s="69">
        <f>N185</f>
        <v/>
      </c>
      <c r="U176" s="65" t="n">
        <v>760</v>
      </c>
      <c r="V176" s="65" t="n"/>
      <c r="W176" s="65" t="n"/>
    </row>
    <row r="177">
      <c r="A177" s="17" t="inlineStr">
        <is>
          <t>F</t>
        </is>
      </c>
      <c r="B177" s="18" t="inlineStr">
        <is>
          <t>200 Free</t>
        </is>
      </c>
      <c r="C177" s="18" t="n">
        <v>18</v>
      </c>
      <c r="D177" s="18" t="n">
        <v>1</v>
      </c>
      <c r="E177" s="46" t="inlineStr">
        <is>
          <t>1:58.23</t>
        </is>
      </c>
      <c r="F177" s="21">
        <f>IFERROR(__xludf.DUMMYFUNCTION("IF(
  REGEXMATCH(E177, "":""),
  60*VALUE(INDEX(SPLIT(E177, "":""),1,1)) + VALUE(INDEX(SPLIT(E177, "":""),1,2)),
  VALUE(E177)
)"),118.22999999999999)</f>
        <v/>
      </c>
      <c r="G177" s="21">
        <f>average(F174-F177,F175-F178,F176-F179)</f>
        <v/>
      </c>
      <c r="H177" s="21" t="n">
        <v>0.980000000000004</v>
      </c>
      <c r="I177" s="211">
        <f>C168</f>
        <v/>
      </c>
      <c r="J177" s="211">
        <f>C185</f>
        <v/>
      </c>
      <c r="K177" s="60">
        <f t="array" ref="K177">INDEX('Podium Target Times'!$C:$C, MATCH(A177&amp;B177, 'Podium Target Times'!$A:$A&amp;'Podium Target Times'!$B:$B, 0))
</f>
        <v/>
      </c>
      <c r="L177" s="24">
        <f>L180+G180</f>
        <v/>
      </c>
      <c r="M177" s="60">
        <f>IF(L177&lt;60, TEXT(L177,"0.00"), IF(L177&lt;600, TEXT(L177/86400,"m:ss.00"), TEXT(L177/86400,"mm:ss.00")))
</f>
        <v/>
      </c>
      <c r="N177" s="25">
        <f>IFERROR(__xludf.DUMMYFUNCTION("LET(
  gen,$A177, ev,$B177, t,$M177,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
      </c>
      <c r="O177" s="65" t="n"/>
      <c r="P177" s="69">
        <f>P176</f>
        <v/>
      </c>
      <c r="Q177" s="65">
        <f>Q176</f>
        <v/>
      </c>
      <c r="R177" s="69">
        <f>R176+1</f>
        <v/>
      </c>
      <c r="S177" s="58">
        <f>M186</f>
        <v/>
      </c>
      <c r="T177" s="69">
        <f>N186</f>
        <v/>
      </c>
      <c r="U177" s="65" t="n"/>
      <c r="V177" s="65" t="n"/>
      <c r="W177" s="65" t="n"/>
    </row>
    <row r="178">
      <c r="A178" s="8" t="inlineStr">
        <is>
          <t>F</t>
        </is>
      </c>
      <c r="B178" s="9" t="inlineStr">
        <is>
          <t>200 Free</t>
        </is>
      </c>
      <c r="C178" s="9" t="n">
        <v>18</v>
      </c>
      <c r="D178" s="9" t="n">
        <v>2</v>
      </c>
      <c r="E178" s="41" t="inlineStr">
        <is>
          <t>1:59.32</t>
        </is>
      </c>
      <c r="F178" s="35">
        <f>IFERROR(__xludf.DUMMYFUNCTION("IF(
  REGEXMATCH(E178, "":""),
  60*VALUE(INDEX(SPLIT(E178, "":""),1,1)) + VALUE(INDEX(SPLIT(E178, "":""),1,2)),
  VALUE(E178)
)"),119.32)</f>
        <v/>
      </c>
      <c r="G178" s="35">
        <f>average(F174-F177,F175-F178,F176-F179)</f>
        <v/>
      </c>
      <c r="H178" s="35" t="n">
        <v>0.980000000000004</v>
      </c>
      <c r="I178" s="215">
        <f>C168</f>
        <v/>
      </c>
      <c r="J178" s="215">
        <f>C185</f>
        <v/>
      </c>
      <c r="K178" s="43">
        <f t="array" ref="K178">INDEX('Podium Target Times'!$C:$C, MATCH(A178&amp;B178, 'Podium Target Times'!$A:$A&amp;'Podium Target Times'!$B:$B, 0))
</f>
        <v/>
      </c>
      <c r="L178" s="12">
        <f>L180+G180</f>
        <v/>
      </c>
      <c r="M178" s="43">
        <f>IF(L178&lt;60, TEXT(L178,"0.00"), IF(L178&lt;600, TEXT(L178/86400,"m:ss.00"), TEXT(L178/86400,"mm:ss.00")))
</f>
        <v/>
      </c>
      <c r="N178" s="14">
        <f>IFERROR(__xludf.DUMMYFUNCTION("LET(
  gen,$A178, ev,$B178, t,$M178,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
      </c>
      <c r="O178" s="65" t="n"/>
      <c r="P178" s="69">
        <f>P177</f>
        <v/>
      </c>
      <c r="Q178" s="65">
        <f>Q177</f>
        <v/>
      </c>
      <c r="R178" s="69">
        <f>R177+1</f>
        <v/>
      </c>
      <c r="S178" s="58">
        <f>M187</f>
        <v/>
      </c>
      <c r="T178" s="69">
        <f>N187</f>
        <v/>
      </c>
      <c r="U178" s="65" t="n"/>
      <c r="V178" s="65" t="n"/>
      <c r="W178" s="65" t="n"/>
    </row>
    <row r="179">
      <c r="A179" s="17" t="inlineStr">
        <is>
          <t>F</t>
        </is>
      </c>
      <c r="B179" s="18" t="inlineStr">
        <is>
          <t>200 Free</t>
        </is>
      </c>
      <c r="C179" s="18" t="n">
        <v>18</v>
      </c>
      <c r="D179" s="18" t="n">
        <v>3</v>
      </c>
      <c r="E179" s="46" t="inlineStr">
        <is>
          <t>1:59.77</t>
        </is>
      </c>
      <c r="F179" s="21">
        <f>IFERROR(__xludf.DUMMYFUNCTION("IF(
  REGEXMATCH(E179, "":""),
  60*VALUE(INDEX(SPLIT(E179, "":""),1,1)) + VALUE(INDEX(SPLIT(E179, "":""),1,2)),
  VALUE(E179)
)"),119.77000000000001)</f>
        <v/>
      </c>
      <c r="G179" s="21">
        <f>average(F174-F177,F175-F178,F176-F179)</f>
        <v/>
      </c>
      <c r="H179" s="21" t="n">
        <v>0.980000000000004</v>
      </c>
      <c r="I179" s="211">
        <f>C168</f>
        <v/>
      </c>
      <c r="J179" s="211">
        <f>C185</f>
        <v/>
      </c>
      <c r="K179" s="60">
        <f t="array" ref="K179">INDEX('Podium Target Times'!$C:$C, MATCH(A179&amp;B179, 'Podium Target Times'!$A:$A&amp;'Podium Target Times'!$B:$B, 0))
</f>
        <v/>
      </c>
      <c r="L179" s="24">
        <f>L180+G180</f>
        <v/>
      </c>
      <c r="M179" s="60">
        <f>IF(L179&lt;60, TEXT(L179,"0.00"), IF(L179&lt;600, TEXT(L179/86400,"m:ss.00"), TEXT(L179/86400,"mm:ss.00")))
</f>
        <v/>
      </c>
      <c r="N179" s="25">
        <f>IFERROR(__xludf.DUMMYFUNCTION("LET(
  gen,$A179, ev,$B179, t,$M179,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
      </c>
      <c r="O179" s="65" t="n"/>
      <c r="P179" s="69">
        <f>P178</f>
        <v/>
      </c>
      <c r="Q179" s="65">
        <f>Q178</f>
        <v/>
      </c>
      <c r="R179" s="69">
        <f>R178+1</f>
        <v/>
      </c>
      <c r="S179" s="58">
        <f>M188</f>
        <v/>
      </c>
      <c r="T179" s="69">
        <f>N188</f>
        <v/>
      </c>
      <c r="U179" s="65" t="n"/>
      <c r="V179" s="65" t="n"/>
      <c r="W179" s="65" t="n"/>
    </row>
    <row r="180">
      <c r="A180" s="8" t="inlineStr">
        <is>
          <t>F</t>
        </is>
      </c>
      <c r="B180" s="9" t="inlineStr">
        <is>
          <t>200 Free</t>
        </is>
      </c>
      <c r="C180" s="9" t="n">
        <v>19</v>
      </c>
      <c r="D180" s="219" t="n">
        <v>2</v>
      </c>
      <c r="E180" s="41" t="inlineStr">
        <is>
          <t>1:58.69</t>
        </is>
      </c>
      <c r="F180" s="35">
        <f>IFERROR(__xludf.DUMMYFUNCTION("IF(
  REGEXMATCH(E180, "":""),
  60*VALUE(INDEX(SPLIT(E180, "":""),1,1)) + VALUE(INDEX(SPLIT(E180, "":""),1,2)),
  VALUE(E180)
)"),118.69)</f>
        <v/>
      </c>
      <c r="G180" s="35">
        <f>average(F178-F180,F179-F181)</f>
        <v/>
      </c>
      <c r="H180" s="35" t="n">
        <v>0.625</v>
      </c>
      <c r="I180" s="215">
        <f>C168</f>
        <v/>
      </c>
      <c r="J180" s="215">
        <f>C185</f>
        <v/>
      </c>
      <c r="K180" s="43">
        <f t="array" ref="K180">INDEX('Podium Target Times'!$C:$C, MATCH(A180&amp;B180, 'Podium Target Times'!$A:$A&amp;'Podium Target Times'!$B:$B, 0))
</f>
        <v/>
      </c>
      <c r="L180" s="12">
        <f>L182+G182</f>
        <v/>
      </c>
      <c r="M180" s="43">
        <f>IF(L180&lt;60, TEXT(L180,"0.00"), IF(L180&lt;600, TEXT(L180/86400,"m:ss.00"), TEXT(L180/86400,"mm:ss.00")))
</f>
        <v/>
      </c>
      <c r="N180" s="14">
        <f>IFERROR(__xludf.DUMMYFUNCTION("LET(
  gen,$A180, ev,$B180, t,$M180,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180" s="65" t="n"/>
      <c r="P180" s="69" t="n"/>
      <c r="Q180" s="65" t="n"/>
      <c r="R180" s="69" t="n"/>
      <c r="S180" s="58" t="n"/>
      <c r="T180" s="69" t="n"/>
      <c r="U180" s="65" t="n"/>
      <c r="V180" s="65" t="n"/>
      <c r="W180" s="65" t="n"/>
    </row>
    <row r="181">
      <c r="A181" s="17" t="inlineStr">
        <is>
          <t>F</t>
        </is>
      </c>
      <c r="B181" s="18" t="inlineStr">
        <is>
          <t>200 Free</t>
        </is>
      </c>
      <c r="C181" s="18" t="n">
        <v>19</v>
      </c>
      <c r="D181" s="18" t="n">
        <v>3</v>
      </c>
      <c r="E181" s="46" t="inlineStr">
        <is>
          <t>1:59.15</t>
        </is>
      </c>
      <c r="F181" s="21">
        <f>IFERROR(__xludf.DUMMYFUNCTION("IF(
  REGEXMATCH(E181, "":""),
  60*VALUE(INDEX(SPLIT(E181, "":""),1,1)) + VALUE(INDEX(SPLIT(E181, "":""),1,2)),
  VALUE(E181)
)"),119.15)</f>
        <v/>
      </c>
      <c r="G181" s="21">
        <f>average(F178-F180,F179-F181)</f>
        <v/>
      </c>
      <c r="H181" s="21" t="n">
        <v>0.625</v>
      </c>
      <c r="I181" s="211">
        <f>C168</f>
        <v/>
      </c>
      <c r="J181" s="211">
        <f>C185</f>
        <v/>
      </c>
      <c r="K181" s="60">
        <f t="array" ref="K181">INDEX('Podium Target Times'!$C:$C, MATCH(A181&amp;B181, 'Podium Target Times'!$A:$A&amp;'Podium Target Times'!$B:$B, 0))
</f>
        <v/>
      </c>
      <c r="L181" s="24">
        <f>L182+G182</f>
        <v/>
      </c>
      <c r="M181" s="60">
        <f>IF(L181&lt;60, TEXT(L181,"0.00"), IF(L181&lt;600, TEXT(L181/86400,"m:ss.00"), TEXT(L181/86400,"mm:ss.00")))
</f>
        <v/>
      </c>
      <c r="N181" s="25">
        <f>IFERROR(__xludf.DUMMYFUNCTION("LET(
  gen,$A181, ev,$B181, t,$M181,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181" s="65" t="n"/>
      <c r="P181" s="69" t="n"/>
      <c r="Q181" s="65" t="n"/>
      <c r="R181" s="69" t="n"/>
      <c r="S181" s="58" t="n"/>
      <c r="T181" s="69" t="n"/>
      <c r="U181" s="65" t="n"/>
      <c r="V181" s="65" t="n"/>
      <c r="W181" s="65" t="n"/>
    </row>
    <row r="182">
      <c r="A182" s="8" t="inlineStr">
        <is>
          <t>F</t>
        </is>
      </c>
      <c r="B182" s="9" t="inlineStr">
        <is>
          <t>200 Free</t>
        </is>
      </c>
      <c r="C182" s="9" t="n">
        <v>20</v>
      </c>
      <c r="D182" s="9" t="n">
        <v>2</v>
      </c>
      <c r="E182" s="41" t="inlineStr">
        <is>
          <t>1:58.23</t>
        </is>
      </c>
      <c r="F182" s="35">
        <f>IFERROR(__xludf.DUMMYFUNCTION("IF(
  REGEXMATCH(E182, "":""),
  60*VALUE(INDEX(SPLIT(E182, "":""),1,1)) + VALUE(INDEX(SPLIT(E182, "":""),1,2)),
  VALUE(E182)
)"),118.22999999999999)</f>
        <v/>
      </c>
      <c r="G182" s="35">
        <f>average(F180-F182,F181-F183)</f>
        <v/>
      </c>
      <c r="H182" s="35" t="n">
        <v>0.4650000000000034</v>
      </c>
      <c r="I182" s="215">
        <f>C168</f>
        <v/>
      </c>
      <c r="J182" s="215">
        <f>C185</f>
        <v/>
      </c>
      <c r="K182" s="43">
        <f t="array" ref="K182">INDEX('Podium Target Times'!$C:$C, MATCH(A182&amp;B182, 'Podium Target Times'!$A:$A&amp;'Podium Target Times'!$B:$B, 0))
</f>
        <v/>
      </c>
      <c r="L182" s="12">
        <f>L184+G184</f>
        <v/>
      </c>
      <c r="M182" s="43">
        <f>IF(L182&lt;60, TEXT(L182,"0.00"), IF(L182&lt;600, TEXT(L182/86400,"m:ss.00"), TEXT(L182/86400,"mm:ss.00")))
</f>
        <v/>
      </c>
      <c r="N182" s="14">
        <f>IFERROR(__xludf.DUMMYFUNCTION("LET(
  gen,$A182, ev,$B182, t,$M182,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
      </c>
      <c r="O182" s="65" t="n"/>
      <c r="P182" s="69" t="n"/>
      <c r="Q182" s="65" t="n"/>
      <c r="R182" s="69" t="n"/>
      <c r="S182" s="58" t="n"/>
      <c r="T182" s="69" t="n"/>
      <c r="U182" s="65" t="n"/>
      <c r="V182" s="65" t="n"/>
      <c r="W182" s="65" t="n"/>
    </row>
    <row r="183">
      <c r="A183" s="17" t="inlineStr">
        <is>
          <t>F</t>
        </is>
      </c>
      <c r="B183" s="18" t="inlineStr">
        <is>
          <t>200 Free</t>
        </is>
      </c>
      <c r="C183" s="18" t="n">
        <v>20</v>
      </c>
      <c r="D183" s="18" t="n">
        <v>3</v>
      </c>
      <c r="E183" s="46" t="inlineStr">
        <is>
          <t>1:58.68</t>
        </is>
      </c>
      <c r="F183" s="21">
        <f>IFERROR(__xludf.DUMMYFUNCTION("IF(
  REGEXMATCH(E183, "":""),
  60*VALUE(INDEX(SPLIT(E183, "":""),1,1)) + VALUE(INDEX(SPLIT(E183, "":""),1,2)),
  VALUE(E183)
)"),118.68)</f>
        <v/>
      </c>
      <c r="G183" s="21">
        <f>average(F180-F182,F181-F183)</f>
        <v/>
      </c>
      <c r="H183" s="21" t="n">
        <v>0.4650000000000034</v>
      </c>
      <c r="I183" s="211">
        <f>C168</f>
        <v/>
      </c>
      <c r="J183" s="211">
        <f>C185</f>
        <v/>
      </c>
      <c r="K183" s="60">
        <f t="array" ref="K183">INDEX('Podium Target Times'!$C:$C, MATCH(A183&amp;B183, 'Podium Target Times'!$A:$A&amp;'Podium Target Times'!$B:$B, 0))
</f>
        <v/>
      </c>
      <c r="L183" s="24">
        <f>L184+G184</f>
        <v/>
      </c>
      <c r="M183" s="60">
        <f>IF(L183&lt;60, TEXT(L183,"0.00"), IF(L183&lt;600, TEXT(L183/86400,"m:ss.00"), TEXT(L183/86400,"mm:ss.00")))
</f>
        <v/>
      </c>
      <c r="N183" s="25">
        <f>IFERROR(__xludf.DUMMYFUNCTION("LET(
  gen,$A183, ev,$B183, t,$M183,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
      </c>
      <c r="O183" s="65" t="n"/>
      <c r="P183" s="69" t="n"/>
      <c r="Q183" s="65" t="n"/>
      <c r="R183" s="69" t="n"/>
      <c r="S183" s="58" t="n"/>
      <c r="T183" s="69" t="n"/>
      <c r="U183" s="65" t="n"/>
      <c r="V183" s="65" t="n"/>
      <c r="W183" s="65" t="n"/>
    </row>
    <row r="184">
      <c r="A184" s="8" t="inlineStr">
        <is>
          <t>F</t>
        </is>
      </c>
      <c r="B184" s="9" t="inlineStr">
        <is>
          <t>200 Free</t>
        </is>
      </c>
      <c r="C184" s="9" t="n">
        <v>21</v>
      </c>
      <c r="D184" s="9" t="n">
        <v>3</v>
      </c>
      <c r="E184" s="41" t="inlineStr">
        <is>
          <t>1:58.39</t>
        </is>
      </c>
      <c r="F184" s="35">
        <f>IFERROR(__xludf.DUMMYFUNCTION("IF(
  REGEXMATCH(E184, "":""),
  60*VALUE(INDEX(SPLIT(E184, "":""),1,1)) + VALUE(INDEX(SPLIT(E184, "":""),1,2)),
  VALUE(E184)
)"),118.39)</f>
        <v/>
      </c>
      <c r="G184" s="35">
        <f>F183-F184</f>
        <v/>
      </c>
      <c r="H184" s="35" t="n">
        <v>0.2900000000000063</v>
      </c>
      <c r="I184" s="215">
        <f>C168</f>
        <v/>
      </c>
      <c r="J184" s="215">
        <f>C185</f>
        <v/>
      </c>
      <c r="K184" s="43">
        <f t="array" ref="K184">INDEX('Podium Target Times'!$C:$C, MATCH(A184&amp;B184, 'Podium Target Times'!$A:$A&amp;'Podium Target Times'!$B:$B, 0))
</f>
        <v/>
      </c>
      <c r="L184" s="12">
        <f>L185+G185</f>
        <v/>
      </c>
      <c r="M184" s="43">
        <f>IF(L184&lt;60, TEXT(L184,"0.00"), IF(L184&lt;600, TEXT(L184/86400,"m:ss.00"), TEXT(L184/86400,"mm:ss.00")))
</f>
        <v/>
      </c>
      <c r="N184" s="14">
        <f>IFERROR(__xludf.DUMMYFUNCTION("LET(
  gen,$A184, ev,$B184, t,$M184,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
      </c>
      <c r="O184" s="65" t="n"/>
      <c r="P184" s="69" t="n"/>
      <c r="Q184" s="65" t="n"/>
      <c r="R184" s="69" t="n"/>
      <c r="S184" s="58" t="n"/>
      <c r="T184" s="69" t="n"/>
      <c r="U184" s="65" t="n"/>
      <c r="V184" s="65" t="n"/>
      <c r="W184" s="65" t="n"/>
    </row>
    <row r="185">
      <c r="A185" s="17" t="inlineStr">
        <is>
          <t>F</t>
        </is>
      </c>
      <c r="B185" s="18" t="inlineStr">
        <is>
          <t>200 Free</t>
        </is>
      </c>
      <c r="C185" s="18" t="n">
        <v>22</v>
      </c>
      <c r="D185" s="18" t="n">
        <v>3</v>
      </c>
      <c r="E185" s="46" t="inlineStr">
        <is>
          <t>1:58.23</t>
        </is>
      </c>
      <c r="F185" s="21">
        <f>IFERROR(__xludf.DUMMYFUNCTION("IF(
  REGEXMATCH(E185, "":""),
  60*VALUE(INDEX(SPLIT(E185, "":""),1,1)) + VALUE(INDEX(SPLIT(E185, "":""),1,2)),
  VALUE(E185)
)"),118.22999999999999)</f>
        <v/>
      </c>
      <c r="G185" s="21">
        <f>F184-F185</f>
        <v/>
      </c>
      <c r="H185" s="21" t="n">
        <v>0.1600000000000108</v>
      </c>
      <c r="I185" s="211">
        <f>C168</f>
        <v/>
      </c>
      <c r="J185" s="211">
        <f>C185</f>
        <v/>
      </c>
      <c r="K185" s="60">
        <f t="array" ref="K185">INDEX('Podium Target Times'!$C:$C, MATCH(A185&amp;B185, 'Podium Target Times'!$A:$A&amp;'Podium Target Times'!$B:$B, 0))
</f>
        <v/>
      </c>
      <c r="L185" s="21">
        <f>G185+L186</f>
        <v/>
      </c>
      <c r="M185" s="60">
        <f>IF(L185&lt;60, TEXT(L185,"0.00"), IF(L185&lt;600, TEXT(L185/86400,"m:ss.00"), TEXT(L185/86400,"mm:ss.00")))
</f>
        <v/>
      </c>
      <c r="N185" s="25">
        <f>IFERROR(__xludf.DUMMYFUNCTION("LET(
  gen,$A185, ev,$B185, t,$M185,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185" s="65" t="n"/>
      <c r="P185" s="69" t="n"/>
      <c r="Q185" s="65" t="n"/>
      <c r="R185" s="69" t="n"/>
      <c r="S185" s="58" t="n"/>
      <c r="T185" s="69" t="n"/>
      <c r="U185" s="65" t="n"/>
      <c r="V185" s="65" t="n"/>
      <c r="W185" s="65" t="n"/>
    </row>
    <row r="186">
      <c r="A186" s="8" t="inlineStr">
        <is>
          <t>F</t>
        </is>
      </c>
      <c r="B186" s="9" t="inlineStr">
        <is>
          <t>200 Free</t>
        </is>
      </c>
      <c r="C186" s="9" t="n">
        <v>23</v>
      </c>
      <c r="D186" s="9" t="n"/>
      <c r="E186" s="41" t="n"/>
      <c r="F186" s="35">
        <f>IFERROR(__xludf.DUMMYFUNCTION("IF(
  REGEXMATCH(E186, "":""),
  60*VALUE(INDEX(SPLIT(E186, "":""),1,1)) + VALUE(INDEX(SPLIT(E186, "":""),1,2)),
  VALUE(E186)
)"),0.0)</f>
        <v/>
      </c>
      <c r="G186" s="12" t="n"/>
      <c r="H186" s="12" t="n"/>
      <c r="I186" s="43">
        <f>C168</f>
        <v/>
      </c>
      <c r="J186" s="43">
        <f>C185</f>
        <v/>
      </c>
      <c r="K186" s="43">
        <f t="array" ref="K186">INDEX('Podium Target Times'!$C:$C, MATCH(A186&amp;B186, 'Podium Target Times'!$A:$A&amp;'Podium Target Times'!$B:$B, 0))
</f>
        <v/>
      </c>
      <c r="L186" s="12">
        <f>G185+L187</f>
        <v/>
      </c>
      <c r="M186" s="43">
        <f>IF(L186&lt;60, TEXT(L186,"0.00"), IF(L186&lt;600, TEXT(L186/86400,"m:ss.00"), TEXT(L186/86400,"mm:ss.00")))
</f>
        <v/>
      </c>
      <c r="N186" s="14">
        <f>IFERROR(__xludf.DUMMYFUNCTION("LET(
  gen,$A186, ev,$B186, t,$M186,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O186" s="65" t="n"/>
      <c r="P186" s="69" t="n"/>
      <c r="Q186" s="65" t="n"/>
      <c r="R186" s="69" t="n"/>
      <c r="S186" s="58" t="n"/>
      <c r="T186" s="69" t="n"/>
      <c r="U186" s="65" t="n"/>
      <c r="V186" s="65" t="n"/>
      <c r="W186" s="65" t="n"/>
    </row>
    <row r="187">
      <c r="A187" s="17" t="inlineStr">
        <is>
          <t>F</t>
        </is>
      </c>
      <c r="B187" s="18" t="inlineStr">
        <is>
          <t>200 Free</t>
        </is>
      </c>
      <c r="C187" s="18" t="n">
        <v>24</v>
      </c>
      <c r="D187" s="18" t="n"/>
      <c r="E187" s="46" t="n"/>
      <c r="F187" s="21">
        <f>IFERROR(__xludf.DUMMYFUNCTION("IF(
  REGEXMATCH(E187, "":""),
  60*VALUE(INDEX(SPLIT(E187, "":""),1,1)) + VALUE(INDEX(SPLIT(E187, "":""),1,2)),
  VALUE(E187)
)"),0.0)</f>
        <v/>
      </c>
      <c r="G187" s="24" t="n"/>
      <c r="H187" s="24" t="n"/>
      <c r="I187" s="60">
        <f>C168</f>
        <v/>
      </c>
      <c r="J187" s="60">
        <f>C185</f>
        <v/>
      </c>
      <c r="K187" s="60">
        <f t="array" ref="K187">INDEX('Podium Target Times'!$C:$C, MATCH(A187&amp;B187, 'Podium Target Times'!$A:$A&amp;'Podium Target Times'!$B:$B, 0))
</f>
        <v/>
      </c>
      <c r="L187" s="24">
        <f>G185+L188</f>
        <v/>
      </c>
      <c r="M187" s="60">
        <f>IF(L187&lt;60, TEXT(L187,"0.00"), IF(L187&lt;600, TEXT(L187/86400,"m:ss.00"), TEXT(L187/86400,"mm:ss.00")))
</f>
        <v/>
      </c>
      <c r="N187" s="25">
        <f>IFERROR(__xludf.DUMMYFUNCTION("LET(
  gen,$A187, ev,$B187, t,$M187,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O187" s="65" t="n"/>
      <c r="P187" s="69" t="n"/>
      <c r="Q187" s="65" t="n"/>
      <c r="R187" s="69" t="n"/>
      <c r="S187" s="58" t="n"/>
      <c r="T187" s="69" t="n"/>
      <c r="U187" s="65" t="n"/>
      <c r="V187" s="65" t="n"/>
      <c r="W187" s="65" t="n"/>
    </row>
    <row r="188">
      <c r="A188" s="8" t="inlineStr">
        <is>
          <t>F</t>
        </is>
      </c>
      <c r="B188" s="9" t="inlineStr">
        <is>
          <t>200 Free</t>
        </is>
      </c>
      <c r="C188" s="9" t="n">
        <v>25</v>
      </c>
      <c r="D188" s="9" t="n"/>
      <c r="E188" s="41" t="n"/>
      <c r="F188" s="35">
        <f>IFERROR(__xludf.DUMMYFUNCTION("IF(
  REGEXMATCH(E188, "":""),
  60*VALUE(INDEX(SPLIT(E188, "":""),1,1)) + VALUE(INDEX(SPLIT(E188, "":""),1,2)),
  VALUE(E188)
)"),0.0)</f>
        <v/>
      </c>
      <c r="G188" s="12" t="n"/>
      <c r="H188" s="12" t="n"/>
      <c r="I188" s="43">
        <f>C168</f>
        <v/>
      </c>
      <c r="J188" s="43">
        <f>C185</f>
        <v/>
      </c>
      <c r="K188" s="43">
        <f t="array" ref="K188">INDEX('Podium Target Times'!$C:$C, MATCH(A188&amp;B188, 'Podium Target Times'!$A:$A&amp;'Podium Target Times'!$B:$B, 0))
</f>
        <v/>
      </c>
      <c r="L188" s="43">
        <f>K188</f>
        <v/>
      </c>
      <c r="M188" s="43">
        <f>IF(L188&lt;60, TEXT(L188,"0.00"), IF(L188&lt;600, TEXT(L188/86400,"m:ss.00"), TEXT(L188/86400,"mm:ss.00")))
</f>
        <v/>
      </c>
      <c r="N188" s="14">
        <f>IFERROR(__xludf.DUMMYFUNCTION("LET(
  gen,$A188, ev,$B188, t,$M188,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188" s="65" t="n"/>
      <c r="P188" s="69" t="n"/>
      <c r="Q188" s="65" t="n"/>
      <c r="R188" s="69" t="n"/>
      <c r="S188" s="58" t="n"/>
      <c r="T188" s="69" t="n"/>
      <c r="U188" s="65" t="n"/>
      <c r="V188" s="65" t="n"/>
      <c r="W188" s="65" t="n"/>
    </row>
    <row r="189">
      <c r="A189" s="17" t="inlineStr">
        <is>
          <t>F</t>
        </is>
      </c>
      <c r="B189" s="18" t="inlineStr">
        <is>
          <t>200 IM</t>
        </is>
      </c>
      <c r="C189" s="18" t="n">
        <v>15</v>
      </c>
      <c r="D189" s="18" t="n">
        <v>1</v>
      </c>
      <c r="E189" s="46" t="inlineStr">
        <is>
          <t>2:18.51</t>
        </is>
      </c>
      <c r="F189" s="21">
        <f>IFERROR(__xludf.DUMMYFUNCTION("IF(
  REGEXMATCH(E189, "":""),
  60*VALUE(INDEX(SPLIT(E189, "":""),1,1)) + VALUE(INDEX(SPLIT(E189, "":""),1,2)),
  VALUE(E189)
)"),138.51)</f>
        <v/>
      </c>
      <c r="G189" s="24" t="n">
        <v>0</v>
      </c>
      <c r="H189" s="24" t="n">
        <v>0</v>
      </c>
      <c r="I189" s="60">
        <f>C189</f>
        <v/>
      </c>
      <c r="J189" s="60">
        <f>C206</f>
        <v/>
      </c>
      <c r="K189" s="60">
        <f t="array" ref="K189">INDEX('Podium Target Times'!$C:$C, MATCH(A189&amp;B189, 'Podium Target Times'!$A:$A&amp;'Podium Target Times'!$B:$B, 0))
</f>
        <v/>
      </c>
      <c r="L189" s="24">
        <f>L190+G190</f>
        <v/>
      </c>
      <c r="M189" s="60">
        <f>IF(L189&lt;60, TEXT(L189,"0.00"), IF(L189&lt;600, TEXT(L189/86400,"m:ss.00"), TEXT(L189/86400,"mm:ss.00")))
</f>
        <v/>
      </c>
      <c r="N189" s="25">
        <f>IFERROR(__xludf.DUMMYFUNCTION("LET(
  gen,$A189, ev,$B189, t,$M189,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
      </c>
      <c r="O189" s="65" t="n"/>
      <c r="P189" s="69">
        <f>A189</f>
        <v/>
      </c>
      <c r="Q189" s="65">
        <f>B189</f>
        <v/>
      </c>
      <c r="R189" s="69">
        <f>C189</f>
        <v/>
      </c>
      <c r="S189" s="58">
        <f>M189</f>
        <v/>
      </c>
      <c r="T189" s="69">
        <f>N189</f>
        <v/>
      </c>
      <c r="U189" s="65" t="n">
        <v>683</v>
      </c>
      <c r="V189" s="65" t="n"/>
      <c r="W189" s="65" t="n"/>
    </row>
    <row r="190">
      <c r="A190" s="8" t="inlineStr">
        <is>
          <t>F</t>
        </is>
      </c>
      <c r="B190" s="9" t="inlineStr">
        <is>
          <t>200 IM</t>
        </is>
      </c>
      <c r="C190" s="9" t="n">
        <v>16</v>
      </c>
      <c r="D190" s="9" t="n">
        <v>1</v>
      </c>
      <c r="E190" s="41" t="inlineStr">
        <is>
          <t>2:15.93</t>
        </is>
      </c>
      <c r="F190" s="35">
        <f>IFERROR(__xludf.DUMMYFUNCTION("IF(
  REGEXMATCH(E190, "":""),
  60*VALUE(INDEX(SPLIT(E190, "":""),1,1)) + VALUE(INDEX(SPLIT(E190, "":""),1,2)),
  VALUE(E190)
)"),135.93)</f>
        <v/>
      </c>
      <c r="G190" s="35">
        <f>F189-F190</f>
        <v/>
      </c>
      <c r="H190" s="35" t="n">
        <v>2.579999999999984</v>
      </c>
      <c r="I190" s="215">
        <f>C189</f>
        <v/>
      </c>
      <c r="J190" s="215">
        <f>C206</f>
        <v/>
      </c>
      <c r="K190" s="43">
        <f t="array" ref="K190">INDEX('Podium Target Times'!$C:$C, MATCH(A190&amp;B190, 'Podium Target Times'!$A:$A&amp;'Podium Target Times'!$B:$B, 0))
</f>
        <v/>
      </c>
      <c r="L190" s="12">
        <f>L192+G192</f>
        <v/>
      </c>
      <c r="M190" s="43">
        <f>IF(L190&lt;60, TEXT(L190,"0.00"), IF(L190&lt;600, TEXT(L190/86400,"m:ss.00"), TEXT(L190/86400,"mm:ss.00")))
</f>
        <v/>
      </c>
      <c r="N190" s="14">
        <f>IFERROR(__xludf.DUMMYFUNCTION("LET(
  gen,$A190, ev,$B190, t,$M190,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
      </c>
      <c r="O190" s="65" t="n"/>
      <c r="P190" s="69">
        <f>A190</f>
        <v/>
      </c>
      <c r="Q190" s="65">
        <f>B190</f>
        <v/>
      </c>
      <c r="R190" s="69">
        <f>C190</f>
        <v/>
      </c>
      <c r="S190" s="58">
        <f>M190</f>
        <v/>
      </c>
      <c r="T190" s="69">
        <f>N190</f>
        <v/>
      </c>
      <c r="U190" s="65" t="n"/>
      <c r="V190" s="65" t="n"/>
      <c r="W190" s="65" t="n"/>
    </row>
    <row r="191">
      <c r="A191" s="17" t="inlineStr">
        <is>
          <t>F</t>
        </is>
      </c>
      <c r="B191" s="18" t="inlineStr">
        <is>
          <t>200 IM</t>
        </is>
      </c>
      <c r="C191" s="18" t="n">
        <v>16</v>
      </c>
      <c r="D191" s="18" t="n">
        <v>2</v>
      </c>
      <c r="E191" s="46" t="inlineStr">
        <is>
          <t>2:16.89</t>
        </is>
      </c>
      <c r="F191" s="21">
        <f>IFERROR(__xludf.DUMMYFUNCTION("IF(
  REGEXMATCH(E191, "":""),
  60*VALUE(INDEX(SPLIT(E191, "":""),1,1)) + VALUE(INDEX(SPLIT(E191, "":""),1,2)),
  VALUE(E191)
)"),136.89)</f>
        <v/>
      </c>
      <c r="G191" s="21">
        <f>F189-F190</f>
        <v/>
      </c>
      <c r="H191" s="21" t="n">
        <v>2.579999999999984</v>
      </c>
      <c r="I191" s="211">
        <f>C189</f>
        <v/>
      </c>
      <c r="J191" s="211">
        <f>C206</f>
        <v/>
      </c>
      <c r="K191" s="60">
        <f t="array" ref="K191">INDEX('Podium Target Times'!$C:$C, MATCH(A191&amp;B191, 'Podium Target Times'!$A:$A&amp;'Podium Target Times'!$B:$B, 0))
</f>
        <v/>
      </c>
      <c r="L191" s="24">
        <f>L192+G192</f>
        <v/>
      </c>
      <c r="M191" s="60">
        <f>IF(L191&lt;60, TEXT(L191,"0.00"), IF(L191&lt;600, TEXT(L191/86400,"m:ss.00"), TEXT(L191/86400,"mm:ss.00")))
</f>
        <v/>
      </c>
      <c r="N191" s="25">
        <f>IFERROR(__xludf.DUMMYFUNCTION("LET(
  gen,$A191, ev,$B191, t,$M191,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
      </c>
      <c r="O191" s="65" t="n"/>
      <c r="P191" s="69">
        <f>A192</f>
        <v/>
      </c>
      <c r="Q191" s="65">
        <f>B192</f>
        <v/>
      </c>
      <c r="R191" s="69">
        <f>C192</f>
        <v/>
      </c>
      <c r="S191" s="58">
        <f>M192</f>
        <v/>
      </c>
      <c r="T191" s="69">
        <f>N192</f>
        <v/>
      </c>
      <c r="U191" s="65" t="n"/>
      <c r="V191" s="65" t="n"/>
      <c r="W191" s="65" t="n"/>
    </row>
    <row r="192">
      <c r="A192" s="8" t="inlineStr">
        <is>
          <t>F</t>
        </is>
      </c>
      <c r="B192" s="9" t="inlineStr">
        <is>
          <t>200 IM</t>
        </is>
      </c>
      <c r="C192" s="9" t="n">
        <v>17</v>
      </c>
      <c r="D192" s="9" t="n">
        <v>1</v>
      </c>
      <c r="E192" s="41" t="inlineStr">
        <is>
          <t>2:14.41</t>
        </is>
      </c>
      <c r="F192" s="35">
        <f>IFERROR(__xludf.DUMMYFUNCTION("IF(
  REGEXMATCH(E192, "":""),
  60*VALUE(INDEX(SPLIT(E192, "":""),1,1)) + VALUE(INDEX(SPLIT(E192, "":""),1,2)),
  VALUE(E192)
)"),134.41)</f>
        <v/>
      </c>
      <c r="G192" s="35">
        <f>average(F190-F192,F191-F193)</f>
        <v/>
      </c>
      <c r="H192" s="35" t="n">
        <v>1.524999999999991</v>
      </c>
      <c r="I192" s="215">
        <f>C189</f>
        <v/>
      </c>
      <c r="J192" s="215">
        <f>C206</f>
        <v/>
      </c>
      <c r="K192" s="43">
        <f t="array" ref="K192">INDEX('Podium Target Times'!$C:$C, MATCH(A192&amp;B192, 'Podium Target Times'!$A:$A&amp;'Podium Target Times'!$B:$B, 0))
</f>
        <v/>
      </c>
      <c r="L192" s="12">
        <f>L195+G195</f>
        <v/>
      </c>
      <c r="M192" s="43">
        <f>IF(L192&lt;60, TEXT(L192,"0.00"), IF(L192&lt;600, TEXT(L192/86400,"m:ss.00"), TEXT(L192/86400,"mm:ss.00")))
</f>
        <v/>
      </c>
      <c r="N192" s="14">
        <f>IFERROR(__xludf.DUMMYFUNCTION("LET(
  gen,$A192, ev,$B192, t,$M192,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
      </c>
      <c r="O192" s="65" t="n"/>
      <c r="P192" s="69">
        <f>A195</f>
        <v/>
      </c>
      <c r="Q192" s="65">
        <f>B195</f>
        <v/>
      </c>
      <c r="R192" s="69">
        <f>C195</f>
        <v/>
      </c>
      <c r="S192" s="58">
        <f>M195</f>
        <v/>
      </c>
      <c r="T192" s="69">
        <f>N195</f>
        <v/>
      </c>
      <c r="U192" s="65" t="n"/>
      <c r="V192" s="65" t="n"/>
      <c r="W192" s="65" t="n"/>
    </row>
    <row r="193">
      <c r="A193" s="17" t="inlineStr">
        <is>
          <t>F</t>
        </is>
      </c>
      <c r="B193" s="18" t="inlineStr">
        <is>
          <t>200 IM</t>
        </is>
      </c>
      <c r="C193" s="18" t="n">
        <v>17</v>
      </c>
      <c r="D193" s="18" t="n">
        <v>2</v>
      </c>
      <c r="E193" s="46" t="inlineStr">
        <is>
          <t>2:15.36</t>
        </is>
      </c>
      <c r="F193" s="21">
        <f>IFERROR(__xludf.DUMMYFUNCTION("IF(
  REGEXMATCH(E193, "":""),
  60*VALUE(INDEX(SPLIT(E193, "":""),1,1)) + VALUE(INDEX(SPLIT(E193, "":""),1,2)),
  VALUE(E193)
)"),135.36)</f>
        <v/>
      </c>
      <c r="G193" s="21">
        <f>average(F190-F192,F191-F193)</f>
        <v/>
      </c>
      <c r="H193" s="21" t="n">
        <v>1.524999999999991</v>
      </c>
      <c r="I193" s="211">
        <f>C189</f>
        <v/>
      </c>
      <c r="J193" s="211">
        <f>C206</f>
        <v/>
      </c>
      <c r="K193" s="60">
        <f t="array" ref="K193">INDEX('Podium Target Times'!$C:$C, MATCH(A193&amp;B193, 'Podium Target Times'!$A:$A&amp;'Podium Target Times'!$B:$B, 0))
</f>
        <v/>
      </c>
      <c r="L193" s="24">
        <f>L195+G195</f>
        <v/>
      </c>
      <c r="M193" s="60">
        <f>IF(L193&lt;60, TEXT(L193,"0.00"), IF(L193&lt;600, TEXT(L193/86400,"m:ss.00"), TEXT(L193/86400,"mm:ss.00")))
</f>
        <v/>
      </c>
      <c r="N193" s="25">
        <f>IFERROR(__xludf.DUMMYFUNCTION("LET(
  gen,$A193, ev,$B193, t,$M193,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
      </c>
      <c r="O193" s="65" t="n"/>
      <c r="P193" s="69">
        <f>A198</f>
        <v/>
      </c>
      <c r="Q193" s="65">
        <f>B198</f>
        <v/>
      </c>
      <c r="R193" s="69">
        <f>C198</f>
        <v/>
      </c>
      <c r="S193" s="58">
        <f>M198</f>
        <v/>
      </c>
      <c r="T193" s="69">
        <f>N198</f>
        <v/>
      </c>
      <c r="U193" s="65" t="n"/>
      <c r="V193" s="65" t="n"/>
      <c r="W193" s="65" t="n"/>
    </row>
    <row r="194">
      <c r="A194" s="8" t="inlineStr">
        <is>
          <t>F</t>
        </is>
      </c>
      <c r="B194" s="9" t="inlineStr">
        <is>
          <t>200 IM</t>
        </is>
      </c>
      <c r="C194" s="9" t="n">
        <v>17</v>
      </c>
      <c r="D194" s="219" t="n">
        <v>3</v>
      </c>
      <c r="E194" s="41" t="inlineStr">
        <is>
          <t>2:15.76</t>
        </is>
      </c>
      <c r="F194" s="35">
        <f>IFERROR(__xludf.DUMMYFUNCTION("IF(
  REGEXMATCH(E194, "":""),
  60*VALUE(INDEX(SPLIT(E194, "":""),1,1)) + VALUE(INDEX(SPLIT(E194, "":""),1,2)),
  VALUE(E194)
)"),135.76)</f>
        <v/>
      </c>
      <c r="G194" s="35">
        <f>average(F190-F192,F191-F193)</f>
        <v/>
      </c>
      <c r="H194" s="35" t="n">
        <v>1.524999999999991</v>
      </c>
      <c r="I194" s="215">
        <f>C189</f>
        <v/>
      </c>
      <c r="J194" s="215">
        <f>C206</f>
        <v/>
      </c>
      <c r="K194" s="43">
        <f t="array" ref="K194">INDEX('Podium Target Times'!$C:$C, MATCH(A194&amp;B194, 'Podium Target Times'!$A:$A&amp;'Podium Target Times'!$B:$B, 0))
</f>
        <v/>
      </c>
      <c r="L194" s="12">
        <f>L195+G195</f>
        <v/>
      </c>
      <c r="M194" s="43">
        <f>IF(L194&lt;60, TEXT(L194,"0.00"), IF(L194&lt;600, TEXT(L194/86400,"m:ss.00"), TEXT(L194/86400,"mm:ss.00")))
</f>
        <v/>
      </c>
      <c r="N194" s="14">
        <f>IFERROR(__xludf.DUMMYFUNCTION("LET(
  gen,$A194, ev,$B194, t,$M194,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)"),742.0)</f>
        <v/>
      </c>
      <c r="O194" s="65" t="n"/>
      <c r="P194" s="69">
        <f>A201</f>
        <v/>
      </c>
      <c r="Q194" s="65">
        <f>B201</f>
        <v/>
      </c>
      <c r="R194" s="69">
        <f>C201</f>
        <v/>
      </c>
      <c r="S194" s="58">
        <f>M201</f>
        <v/>
      </c>
      <c r="T194" s="69">
        <f>N201</f>
        <v/>
      </c>
      <c r="U194" s="65" t="n"/>
      <c r="V194" s="65" t="n"/>
      <c r="W194" s="65" t="n"/>
    </row>
    <row r="195">
      <c r="A195" s="17" t="inlineStr">
        <is>
          <t>F</t>
        </is>
      </c>
      <c r="B195" s="18" t="inlineStr">
        <is>
          <t>200 IM</t>
        </is>
      </c>
      <c r="C195" s="18" t="n">
        <v>18</v>
      </c>
      <c r="D195" s="18" t="n">
        <v>1</v>
      </c>
      <c r="E195" s="46" t="inlineStr">
        <is>
          <t>2:13.47</t>
        </is>
      </c>
      <c r="F195" s="21">
        <f>IFERROR(__xludf.DUMMYFUNCTION("IF(
  REGEXMATCH(E195, "":""),
  60*VALUE(INDEX(SPLIT(E195, "":""),1,1)) + VALUE(INDEX(SPLIT(E195, "":""),1,2)),
  VALUE(E195)
)"),133.47)</f>
        <v/>
      </c>
      <c r="G195" s="21">
        <f>average(F192-F195,F193-F196,F194-F197)</f>
        <v/>
      </c>
      <c r="H195" s="21" t="n">
        <v>0.9400000000000072</v>
      </c>
      <c r="I195" s="211">
        <f>C189</f>
        <v/>
      </c>
      <c r="J195" s="211">
        <f>C206</f>
        <v/>
      </c>
      <c r="K195" s="60">
        <f t="array" ref="K195">INDEX('Podium Target Times'!$C:$C, MATCH(A195&amp;B195, 'Podium Target Times'!$A:$A&amp;'Podium Target Times'!$B:$B, 0))
</f>
        <v/>
      </c>
      <c r="L195" s="24">
        <f>L198+G198</f>
        <v/>
      </c>
      <c r="M195" s="60">
        <f>IF(L195&lt;60, TEXT(L195,"0.00"), IF(L195&lt;600, TEXT(L195/86400,"m:ss.00"), TEXT(L195/86400,"mm:ss.00")))
</f>
        <v/>
      </c>
      <c r="N195" s="25">
        <f>IFERROR(__xludf.DUMMYFUNCTION("LET(
  gen,$A195, ev,$B195, t,$M195,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O195" s="65" t="n"/>
      <c r="P195" s="69">
        <f>A203</f>
        <v/>
      </c>
      <c r="Q195" s="65">
        <f>B203</f>
        <v/>
      </c>
      <c r="R195" s="69">
        <f>C203</f>
        <v/>
      </c>
      <c r="S195" s="58">
        <f>M203</f>
        <v/>
      </c>
      <c r="T195" s="69">
        <f>N203</f>
        <v/>
      </c>
      <c r="U195" s="65" t="n"/>
      <c r="V195" s="65" t="n"/>
      <c r="W195" s="65" t="n"/>
    </row>
    <row r="196">
      <c r="A196" s="8" t="inlineStr">
        <is>
          <t>F</t>
        </is>
      </c>
      <c r="B196" s="9" t="inlineStr">
        <is>
          <t>200 IM</t>
        </is>
      </c>
      <c r="C196" s="9" t="n">
        <v>18</v>
      </c>
      <c r="D196" s="9" t="n">
        <v>2</v>
      </c>
      <c r="E196" s="41" t="inlineStr">
        <is>
          <t>2:14.42</t>
        </is>
      </c>
      <c r="F196" s="35">
        <f>IFERROR(__xludf.DUMMYFUNCTION("IF(
  REGEXMATCH(E196, "":""),
  60*VALUE(INDEX(SPLIT(E196, "":""),1,1)) + VALUE(INDEX(SPLIT(E196, "":""),1,2)),
  VALUE(E196)
)"),134.42)</f>
        <v/>
      </c>
      <c r="G196" s="35">
        <f>average(F192-F195,F193-F196,F194-F197)</f>
        <v/>
      </c>
      <c r="H196" s="35" t="n">
        <v>0.9400000000000072</v>
      </c>
      <c r="I196" s="215">
        <f>C189</f>
        <v/>
      </c>
      <c r="J196" s="215">
        <f>C206</f>
        <v/>
      </c>
      <c r="K196" s="43">
        <f t="array" ref="K196">INDEX('Podium Target Times'!$C:$C, MATCH(A196&amp;B196, 'Podium Target Times'!$A:$A&amp;'Podium Target Times'!$B:$B, 0))
</f>
        <v/>
      </c>
      <c r="L196" s="12">
        <f>L198+G198</f>
        <v/>
      </c>
      <c r="M196" s="43">
        <f>IF(L196&lt;60, TEXT(L196,"0.00"), IF(L196&lt;600, TEXT(L196/86400,"m:ss.00"), TEXT(L196/86400,"mm:ss.00")))
</f>
        <v/>
      </c>
      <c r="N196" s="14">
        <f>IFERROR(__xludf.DUMMYFUNCTION("LET(
  gen,$A196, ev,$B196, t,$M196,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O196" s="65" t="n"/>
      <c r="P196" s="69">
        <f>A205</f>
        <v/>
      </c>
      <c r="Q196" s="65">
        <f>B205</f>
        <v/>
      </c>
      <c r="R196" s="69">
        <f>C205</f>
        <v/>
      </c>
      <c r="S196" s="58">
        <f>M205</f>
        <v/>
      </c>
      <c r="T196" s="69">
        <f>N205</f>
        <v/>
      </c>
      <c r="U196" s="65" t="n"/>
      <c r="V196" s="65" t="n"/>
      <c r="W196" s="65" t="n"/>
    </row>
    <row r="197">
      <c r="A197" s="17" t="inlineStr">
        <is>
          <t>F</t>
        </is>
      </c>
      <c r="B197" s="18" t="inlineStr">
        <is>
          <t>200 IM</t>
        </is>
      </c>
      <c r="C197" s="18" t="n">
        <v>18</v>
      </c>
      <c r="D197" s="221" t="n">
        <v>3</v>
      </c>
      <c r="E197" s="46" t="inlineStr">
        <is>
          <t>2:14.82</t>
        </is>
      </c>
      <c r="F197" s="21">
        <f>IFERROR(__xludf.DUMMYFUNCTION("IF(
  REGEXMATCH(E197, "":""),
  60*VALUE(INDEX(SPLIT(E197, "":""),1,1)) + VALUE(INDEX(SPLIT(E197, "":""),1,2)),
  VALUE(E197)
)"),134.82)</f>
        <v/>
      </c>
      <c r="G197" s="21">
        <f>average(F192-F195,F193-F196,F194-F197)</f>
        <v/>
      </c>
      <c r="H197" s="21" t="n">
        <v>0.9400000000000072</v>
      </c>
      <c r="I197" s="211">
        <f>C189</f>
        <v/>
      </c>
      <c r="J197" s="211">
        <f>C206</f>
        <v/>
      </c>
      <c r="K197" s="60">
        <f t="array" ref="K197">INDEX('Podium Target Times'!$C:$C, MATCH(A197&amp;B197, 'Podium Target Times'!$A:$A&amp;'Podium Target Times'!$B:$B, 0))
</f>
        <v/>
      </c>
      <c r="L197" s="24">
        <f>L198+G198</f>
        <v/>
      </c>
      <c r="M197" s="60">
        <f>IF(L197&lt;60, TEXT(L197,"0.00"), IF(L197&lt;600, TEXT(L197/86400,"m:ss.00"), TEXT(L197/86400,"mm:ss.00")))
</f>
        <v/>
      </c>
      <c r="N197" s="25">
        <f>IFERROR(__xludf.DUMMYFUNCTION("LET(
  gen,$A197, ev,$B197, t,$M197,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O197" s="65" t="n"/>
      <c r="P197" s="69">
        <f>A206</f>
        <v/>
      </c>
      <c r="Q197" s="65">
        <f>B206</f>
        <v/>
      </c>
      <c r="R197" s="69">
        <f>C206</f>
        <v/>
      </c>
      <c r="S197" s="58">
        <f>M206</f>
        <v/>
      </c>
      <c r="T197" s="69">
        <f>N206</f>
        <v/>
      </c>
      <c r="U197" s="65" t="n">
        <v>790</v>
      </c>
      <c r="V197" s="65" t="n"/>
      <c r="W197" s="65" t="n"/>
    </row>
    <row r="198">
      <c r="A198" s="8" t="inlineStr">
        <is>
          <t>F</t>
        </is>
      </c>
      <c r="B198" s="9" t="inlineStr">
        <is>
          <t>200 IM</t>
        </is>
      </c>
      <c r="C198" s="9" t="n">
        <v>19</v>
      </c>
      <c r="D198" s="9" t="n">
        <v>1</v>
      </c>
      <c r="E198" s="41" t="inlineStr">
        <is>
          <t>2:13.77</t>
        </is>
      </c>
      <c r="F198" s="35">
        <f>IFERROR(__xludf.DUMMYFUNCTION("IF(
  REGEXMATCH(E198, "":""),
  60*VALUE(INDEX(SPLIT(E198, "":""),1,1)) + VALUE(INDEX(SPLIT(E198, "":""),1,2)),
  VALUE(E198)
)"),133.77)</f>
        <v/>
      </c>
      <c r="G198" s="35">
        <f>average(F195-F198,F196-F199,F197-F200)</f>
        <v/>
      </c>
      <c r="H198" s="35" t="n">
        <v>0.1999999999999981</v>
      </c>
      <c r="I198" s="215">
        <f>C189</f>
        <v/>
      </c>
      <c r="J198" s="215">
        <f>C206</f>
        <v/>
      </c>
      <c r="K198" s="43">
        <f t="array" ref="K198">INDEX('Podium Target Times'!$C:$C, MATCH(A198&amp;B198, 'Podium Target Times'!$A:$A&amp;'Podium Target Times'!$B:$B, 0))
</f>
        <v/>
      </c>
      <c r="L198" s="12">
        <f>L201+G201</f>
        <v/>
      </c>
      <c r="M198" s="43">
        <f>IF(L198&lt;60, TEXT(L198,"0.00"), IF(L198&lt;600, TEXT(L198/86400,"m:ss.00"), TEXT(L198/86400,"mm:ss.00")))
</f>
        <v/>
      </c>
      <c r="N198" s="14">
        <f>IFERROR(__xludf.DUMMYFUNCTION("LET(
  gen,$A198, ev,$B198, t,$M198,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198" s="65" t="n"/>
      <c r="P198" s="69">
        <f>P197</f>
        <v/>
      </c>
      <c r="Q198" s="65">
        <f>Q197</f>
        <v/>
      </c>
      <c r="R198" s="69">
        <f>R197+1</f>
        <v/>
      </c>
      <c r="S198" s="58">
        <f>M207</f>
        <v/>
      </c>
      <c r="T198" s="69">
        <f>N207</f>
        <v/>
      </c>
      <c r="U198" s="65" t="n"/>
      <c r="V198" s="65" t="n"/>
      <c r="W198" s="65" t="n"/>
    </row>
    <row r="199">
      <c r="A199" s="17" t="inlineStr">
        <is>
          <t>F</t>
        </is>
      </c>
      <c r="B199" s="18" t="inlineStr">
        <is>
          <t>200 IM</t>
        </is>
      </c>
      <c r="C199" s="18" t="n">
        <v>19</v>
      </c>
      <c r="D199" s="18" t="n">
        <v>2</v>
      </c>
      <c r="E199" s="46" t="inlineStr">
        <is>
          <t>2:14.17</t>
        </is>
      </c>
      <c r="F199" s="21">
        <f>IFERROR(__xludf.DUMMYFUNCTION("IF(
  REGEXMATCH(E199, "":""),
  60*VALUE(INDEX(SPLIT(E199, "":""),1,1)) + VALUE(INDEX(SPLIT(E199, "":""),1,2)),
  VALUE(E199)
)"),134.17)</f>
        <v/>
      </c>
      <c r="G199" s="21">
        <f>average(F195-F198,F196-F199,F197-F200)</f>
        <v/>
      </c>
      <c r="H199" s="21" t="n">
        <v>0.1999999999999981</v>
      </c>
      <c r="I199" s="211">
        <f>C189</f>
        <v/>
      </c>
      <c r="J199" s="211">
        <f>C206</f>
        <v/>
      </c>
      <c r="K199" s="60">
        <f t="array" ref="K199">INDEX('Podium Target Times'!$C:$C, MATCH(A199&amp;B199, 'Podium Target Times'!$A:$A&amp;'Podium Target Times'!$B:$B, 0))
</f>
        <v/>
      </c>
      <c r="L199" s="24">
        <f>L201+G201</f>
        <v/>
      </c>
      <c r="M199" s="60">
        <f>IF(L199&lt;60, TEXT(L199,"0.00"), IF(L199&lt;600, TEXT(L199/86400,"m:ss.00"), TEXT(L199/86400,"mm:ss.00")))
</f>
        <v/>
      </c>
      <c r="N199" s="25">
        <f>IFERROR(__xludf.DUMMYFUNCTION("LET(
  gen,$A199, ev,$B199, t,$M199,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199" s="65" t="n"/>
      <c r="P199" s="69">
        <f>P198</f>
        <v/>
      </c>
      <c r="Q199" s="65">
        <f>Q198</f>
        <v/>
      </c>
      <c r="R199" s="69">
        <f>R198+1</f>
        <v/>
      </c>
      <c r="S199" s="58">
        <f>M208</f>
        <v/>
      </c>
      <c r="T199" s="69">
        <f>N208</f>
        <v/>
      </c>
      <c r="U199" s="65" t="n"/>
      <c r="V199" s="65" t="n"/>
      <c r="W199" s="65" t="n"/>
    </row>
    <row r="200">
      <c r="A200" s="8" t="inlineStr">
        <is>
          <t>F</t>
        </is>
      </c>
      <c r="B200" s="9" t="inlineStr">
        <is>
          <t>200 IM</t>
        </is>
      </c>
      <c r="C200" s="9" t="n">
        <v>19</v>
      </c>
      <c r="D200" s="219" t="n">
        <v>3</v>
      </c>
      <c r="E200" s="215" t="inlineStr">
        <is>
          <t>2:14.17</t>
        </is>
      </c>
      <c r="F200" s="35">
        <f>IFERROR(__xludf.DUMMYFUNCTION("IF(
  REGEXMATCH(E200, "":""),
  60*VALUE(INDEX(SPLIT(E200, "":""),1,1)) + VALUE(INDEX(SPLIT(E200, "":""),1,2)),
  VALUE(E200)
)"),134.17)</f>
        <v/>
      </c>
      <c r="G200" s="35">
        <f>average(F195-F198,F196-F199,F197-F200)</f>
        <v/>
      </c>
      <c r="H200" s="35" t="n">
        <v>0.1999999999999981</v>
      </c>
      <c r="I200" s="215">
        <f>C189</f>
        <v/>
      </c>
      <c r="J200" s="215">
        <f>C206</f>
        <v/>
      </c>
      <c r="K200" s="43">
        <f t="array" ref="K200">INDEX('Podium Target Times'!$C:$C, MATCH(A200&amp;B200, 'Podium Target Times'!$A:$A&amp;'Podium Target Times'!$B:$B, 0))
</f>
        <v/>
      </c>
      <c r="L200" s="12">
        <f>L201+G201</f>
        <v/>
      </c>
      <c r="M200" s="43">
        <f>IF(L200&lt;60, TEXT(L200,"0.00"), IF(L200&lt;600, TEXT(L200/86400,"m:ss.00"), TEXT(L200/86400,"mm:ss.00")))
</f>
        <v/>
      </c>
      <c r="N200" s="14">
        <f>IFERROR(__xludf.DUMMYFUNCTION("LET(
  gen,$A200, ev,$B200, t,$M200,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200" s="65" t="n"/>
      <c r="P200" s="69" t="n"/>
      <c r="Q200" s="65" t="n"/>
      <c r="R200" s="69" t="n"/>
      <c r="S200" s="58" t="n"/>
      <c r="T200" s="69" t="n"/>
      <c r="U200" s="65" t="n"/>
      <c r="V200" s="65" t="n"/>
      <c r="W200" s="65" t="n"/>
    </row>
    <row r="201">
      <c r="A201" s="17" t="inlineStr">
        <is>
          <t>F</t>
        </is>
      </c>
      <c r="B201" s="18" t="inlineStr">
        <is>
          <t>200 IM</t>
        </is>
      </c>
      <c r="C201" s="18" t="n">
        <v>20</v>
      </c>
      <c r="D201" s="18" t="n">
        <v>2</v>
      </c>
      <c r="E201" s="46" t="inlineStr">
        <is>
          <t>2:13.25</t>
        </is>
      </c>
      <c r="F201" s="21">
        <f>IFERROR(__xludf.DUMMYFUNCTION("IF(
  REGEXMATCH(E201, "":""),
  60*VALUE(INDEX(SPLIT(E201, "":""),1,1)) + VALUE(INDEX(SPLIT(E201, "":""),1,2)),
  VALUE(E201)
)"),133.25)</f>
        <v/>
      </c>
      <c r="G201" s="21">
        <f>average(F199-F201,F200-F202)</f>
        <v/>
      </c>
      <c r="H201" s="21" t="n">
        <v>0.7199999999999847</v>
      </c>
      <c r="I201" s="211">
        <f>C189</f>
        <v/>
      </c>
      <c r="J201" s="211">
        <f>C206</f>
        <v/>
      </c>
      <c r="K201" s="60">
        <f t="array" ref="K201">INDEX('Podium Target Times'!$C:$C, MATCH(A201&amp;B201, 'Podium Target Times'!$A:$A&amp;'Podium Target Times'!$B:$B, 0))
</f>
        <v/>
      </c>
      <c r="L201" s="24">
        <f>L203+G203</f>
        <v/>
      </c>
      <c r="M201" s="60">
        <f>IF(L201&lt;60, TEXT(L201,"0.00"), IF(L201&lt;600, TEXT(L201/86400,"m:ss.00"), TEXT(L201/86400,"mm:ss.00")))
</f>
        <v/>
      </c>
      <c r="N201" s="25">
        <f>IFERROR(__xludf.DUMMYFUNCTION("LET(
  gen,$A201, ev,$B201, t,$M201,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
      </c>
      <c r="O201" s="65" t="n"/>
      <c r="P201" s="69" t="n"/>
      <c r="Q201" s="65" t="n"/>
      <c r="R201" s="69" t="n"/>
      <c r="S201" s="58" t="n"/>
      <c r="T201" s="69" t="n"/>
      <c r="U201" s="65" t="n"/>
      <c r="V201" s="65" t="n"/>
      <c r="W201" s="65" t="n"/>
    </row>
    <row r="202">
      <c r="A202" s="8" t="inlineStr">
        <is>
          <t>F</t>
        </is>
      </c>
      <c r="B202" s="9" t="inlineStr">
        <is>
          <t>200 IM</t>
        </is>
      </c>
      <c r="C202" s="9" t="n">
        <v>20</v>
      </c>
      <c r="D202" s="219" t="n">
        <v>3</v>
      </c>
      <c r="E202" s="41" t="inlineStr">
        <is>
          <t>2:13.65</t>
        </is>
      </c>
      <c r="F202" s="35">
        <f>IFERROR(__xludf.DUMMYFUNCTION("IF(
  REGEXMATCH(E202, "":""),
  60*VALUE(INDEX(SPLIT(E202, "":""),1,1)) + VALUE(INDEX(SPLIT(E202, "":""),1,2)),
  VALUE(E202)
)"),133.65)</f>
        <v/>
      </c>
      <c r="G202" s="35">
        <f>average(F199-F201,F200-F202)</f>
        <v/>
      </c>
      <c r="H202" s="35" t="n">
        <v>0.7199999999999847</v>
      </c>
      <c r="I202" s="215">
        <f>C189</f>
        <v/>
      </c>
      <c r="J202" s="215">
        <f>C206</f>
        <v/>
      </c>
      <c r="K202" s="43">
        <f t="array" ref="K202">INDEX('Podium Target Times'!$C:$C, MATCH(A202&amp;B202, 'Podium Target Times'!$A:$A&amp;'Podium Target Times'!$B:$B, 0))
</f>
        <v/>
      </c>
      <c r="L202" s="12">
        <f>L203+G203</f>
        <v/>
      </c>
      <c r="M202" s="43">
        <f>IF(L202&lt;60, TEXT(L202,"0.00"), IF(L202&lt;600, TEXT(L202/86400,"m:ss.00"), TEXT(L202/86400,"mm:ss.00")))
</f>
        <v/>
      </c>
      <c r="N202" s="14">
        <f>IFERROR(__xludf.DUMMYFUNCTION("LET(
  gen,$A202, ev,$B202, t,$M202,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
      </c>
      <c r="O202" s="65" t="n"/>
      <c r="P202" s="69" t="n"/>
      <c r="Q202" s="65" t="n"/>
      <c r="R202" s="69" t="n"/>
      <c r="S202" s="58" t="n"/>
      <c r="T202" s="69" t="n"/>
      <c r="U202" s="65" t="n"/>
      <c r="V202" s="65" t="n"/>
      <c r="W202" s="65" t="n"/>
    </row>
    <row r="203">
      <c r="A203" s="17" t="inlineStr">
        <is>
          <t>F</t>
        </is>
      </c>
      <c r="B203" s="18" t="inlineStr">
        <is>
          <t>200 IM</t>
        </is>
      </c>
      <c r="C203" s="18" t="n">
        <v>21</v>
      </c>
      <c r="D203" s="18" t="n">
        <v>2</v>
      </c>
      <c r="E203" s="46" t="inlineStr">
        <is>
          <t>2:12.83</t>
        </is>
      </c>
      <c r="F203" s="21">
        <f>IFERROR(__xludf.DUMMYFUNCTION("IF(
  REGEXMATCH(E203, "":""),
  60*VALUE(INDEX(SPLIT(E203, "":""),1,1)) + VALUE(INDEX(SPLIT(E203, "":""),1,2)),
  VALUE(E203)
)"),132.83)</f>
        <v/>
      </c>
      <c r="G203" s="21">
        <f>average(F201-F203,F202-F204)</f>
        <v/>
      </c>
      <c r="H203" s="21" t="n">
        <v>0.4249999999999972</v>
      </c>
      <c r="I203" s="211">
        <f>C189</f>
        <v/>
      </c>
      <c r="J203" s="211">
        <f>C206</f>
        <v/>
      </c>
      <c r="K203" s="60">
        <f t="array" ref="K203">INDEX('Podium Target Times'!$C:$C, MATCH(A203&amp;B203, 'Podium Target Times'!$A:$A&amp;'Podium Target Times'!$B:$B, 0))
</f>
        <v/>
      </c>
      <c r="L203" s="24">
        <f>L205+G205</f>
        <v/>
      </c>
      <c r="M203" s="60">
        <f>IF(L203&lt;60, TEXT(L203,"0.00"), IF(L203&lt;600, TEXT(L203/86400,"m:ss.00"), TEXT(L203/86400,"mm:ss.00")))
</f>
        <v/>
      </c>
      <c r="N203" s="25">
        <f>IFERROR(__xludf.DUMMYFUNCTION("LET(
  gen,$A203, ev,$B203, t,$M203,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
      </c>
      <c r="O203" s="65" t="n"/>
      <c r="P203" s="69" t="n"/>
      <c r="Q203" s="65" t="n"/>
      <c r="R203" s="69" t="n"/>
      <c r="S203" s="58" t="n"/>
      <c r="T203" s="69" t="n"/>
      <c r="U203" s="65" t="n"/>
      <c r="V203" s="65" t="n"/>
      <c r="W203" s="65" t="n"/>
    </row>
    <row r="204">
      <c r="A204" s="8" t="inlineStr">
        <is>
          <t>F</t>
        </is>
      </c>
      <c r="B204" s="9" t="inlineStr">
        <is>
          <t>200 IM</t>
        </is>
      </c>
      <c r="C204" s="9" t="n">
        <v>21</v>
      </c>
      <c r="D204" s="219" t="n">
        <v>3</v>
      </c>
      <c r="E204" s="41" t="inlineStr">
        <is>
          <t>2:13.22</t>
        </is>
      </c>
      <c r="F204" s="35">
        <f>IFERROR(__xludf.DUMMYFUNCTION("IF(
  REGEXMATCH(E204, "":""),
  60*VALUE(INDEX(SPLIT(E204, "":""),1,1)) + VALUE(INDEX(SPLIT(E204, "":""),1,2)),
  VALUE(E204)
)"),133.22)</f>
        <v/>
      </c>
      <c r="G204" s="35">
        <f>average(F201-F203,F202-F204)</f>
        <v/>
      </c>
      <c r="H204" s="35" t="n">
        <v>0.4249999999999972</v>
      </c>
      <c r="I204" s="215">
        <f>C189</f>
        <v/>
      </c>
      <c r="J204" s="215">
        <f>C206</f>
        <v/>
      </c>
      <c r="K204" s="43">
        <f t="array" ref="K204">INDEX('Podium Target Times'!$C:$C, MATCH(A204&amp;B204, 'Podium Target Times'!$A:$A&amp;'Podium Target Times'!$B:$B, 0))
</f>
        <v/>
      </c>
      <c r="L204" s="12">
        <f>L205+G205</f>
        <v/>
      </c>
      <c r="M204" s="43">
        <f>IF(L204&lt;60, TEXT(L204,"0.00"), IF(L204&lt;600, TEXT(L204/86400,"m:ss.00"), TEXT(L204/86400,"mm:ss.00")))
</f>
        <v/>
      </c>
      <c r="N204" s="14">
        <f>IFERROR(__xludf.DUMMYFUNCTION("LET(
  gen,$A204, ev,$B204, t,$M204,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
      </c>
      <c r="O204" s="65" t="n"/>
      <c r="P204" s="69" t="n"/>
      <c r="Q204" s="65" t="n"/>
      <c r="R204" s="69" t="n"/>
      <c r="S204" s="58" t="n"/>
      <c r="T204" s="69" t="n"/>
      <c r="U204" s="65" t="n"/>
      <c r="V204" s="65" t="n"/>
      <c r="W204" s="65" t="n"/>
    </row>
    <row r="205">
      <c r="A205" s="17" t="inlineStr">
        <is>
          <t>F</t>
        </is>
      </c>
      <c r="B205" s="18" t="inlineStr">
        <is>
          <t>200 IM</t>
        </is>
      </c>
      <c r="C205" s="18" t="n">
        <v>22</v>
      </c>
      <c r="D205" s="221" t="n">
        <v>3</v>
      </c>
      <c r="E205" s="46" t="inlineStr">
        <is>
          <t>2:12.95</t>
        </is>
      </c>
      <c r="F205" s="21">
        <f>IFERROR(__xludf.DUMMYFUNCTION("IF(
  REGEXMATCH(E205, "":""),
  60*VALUE(INDEX(SPLIT(E205, "":""),1,1)) + VALUE(INDEX(SPLIT(E205, "":""),1,2)),
  VALUE(E205)
)"),132.95)</f>
        <v/>
      </c>
      <c r="G205" s="21">
        <f>F204-F205</f>
        <v/>
      </c>
      <c r="H205" s="21" t="n">
        <v>0.2700000000000102</v>
      </c>
      <c r="I205" s="211">
        <f>C189</f>
        <v/>
      </c>
      <c r="J205" s="211">
        <f>C206</f>
        <v/>
      </c>
      <c r="K205" s="60">
        <f t="array" ref="K205">INDEX('Podium Target Times'!$C:$C, MATCH(A205&amp;B205, 'Podium Target Times'!$A:$A&amp;'Podium Target Times'!$B:$B, 0))
</f>
        <v/>
      </c>
      <c r="L205" s="24">
        <f>L206+G206</f>
        <v/>
      </c>
      <c r="M205" s="60">
        <f>IF(L205&lt;60, TEXT(L205,"0.00"), IF(L205&lt;600, TEXT(L205/86400,"m:ss.00"), TEXT(L205/86400,"mm:ss.00")))
</f>
        <v/>
      </c>
      <c r="N205" s="25">
        <f>IFERROR(__xludf.DUMMYFUNCTION("LET(
  gen,$A205, ev,$B205, t,$M205,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
      </c>
      <c r="O205" s="65" t="n"/>
      <c r="P205" s="69" t="n"/>
      <c r="Q205" s="65" t="n"/>
      <c r="R205" s="69" t="n"/>
      <c r="S205" s="58" t="n"/>
      <c r="T205" s="69" t="n"/>
      <c r="U205" s="65" t="n"/>
      <c r="V205" s="65" t="n"/>
      <c r="W205" s="65" t="n"/>
    </row>
    <row r="206">
      <c r="A206" s="8" t="inlineStr">
        <is>
          <t>F</t>
        </is>
      </c>
      <c r="B206" s="9" t="inlineStr">
        <is>
          <t>200 IM</t>
        </is>
      </c>
      <c r="C206" s="9" t="n">
        <v>23</v>
      </c>
      <c r="D206" s="219" t="n">
        <v>3</v>
      </c>
      <c r="E206" s="41" t="inlineStr">
        <is>
          <t>2:12.83</t>
        </is>
      </c>
      <c r="F206" s="35">
        <f>IFERROR(__xludf.DUMMYFUNCTION("IF(
  REGEXMATCH(E206, "":""),
  60*VALUE(INDEX(SPLIT(E206, "":""),1,1)) + VALUE(INDEX(SPLIT(E206, "":""),1,2)),
  VALUE(E206)
)"),132.83)</f>
        <v/>
      </c>
      <c r="G206" s="35">
        <f>F205-F206</f>
        <v/>
      </c>
      <c r="H206" s="35" t="n">
        <v>0.1199999999999761</v>
      </c>
      <c r="I206" s="215">
        <f>C189</f>
        <v/>
      </c>
      <c r="J206" s="215">
        <f>C206</f>
        <v/>
      </c>
      <c r="K206" s="43">
        <f t="array" ref="K206">INDEX('Podium Target Times'!$C:$C, MATCH(A206&amp;B206, 'Podium Target Times'!$A:$A&amp;'Podium Target Times'!$B:$B, 0))
</f>
        <v/>
      </c>
      <c r="L206" s="35">
        <f>G206+L207</f>
        <v/>
      </c>
      <c r="M206" s="43">
        <f>IF(L206&lt;60, TEXT(L206,"0.00"), IF(L206&lt;600, TEXT(L206/86400,"m:ss.00"), TEXT(L206/86400,"mm:ss.00")))
</f>
        <v/>
      </c>
      <c r="N206" s="14">
        <f>IFERROR(__xludf.DUMMYFUNCTION("LET(
  gen,$A206, ev,$B206, t,$M206,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)"),786.0)</f>
        <v/>
      </c>
      <c r="O206" s="65" t="n"/>
      <c r="P206" s="69" t="n"/>
      <c r="Q206" s="65" t="n"/>
      <c r="R206" s="69" t="n"/>
      <c r="S206" s="58" t="n"/>
      <c r="T206" s="69" t="n"/>
      <c r="U206" s="65" t="n"/>
      <c r="V206" s="65" t="n"/>
      <c r="W206" s="65" t="n"/>
    </row>
    <row r="207">
      <c r="A207" s="17" t="inlineStr">
        <is>
          <t>F</t>
        </is>
      </c>
      <c r="B207" s="18" t="inlineStr">
        <is>
          <t>200 IM</t>
        </is>
      </c>
      <c r="C207" s="18" t="n">
        <v>24</v>
      </c>
      <c r="D207" s="18" t="n"/>
      <c r="E207" s="491" t="n"/>
      <c r="F207" s="21">
        <f>IFERROR(__xludf.DUMMYFUNCTION("IF(
  REGEXMATCH(E207, "":""),
  60*VALUE(INDEX(SPLIT(E207, "":""),1,1)) + VALUE(INDEX(SPLIT(E207, "":""),1,2)),
  VALUE(E207)
)"),0.0)</f>
        <v/>
      </c>
      <c r="G207" s="24" t="n"/>
      <c r="H207" s="24" t="n"/>
      <c r="I207" s="60">
        <f>C189</f>
        <v/>
      </c>
      <c r="J207" s="60">
        <f>C206</f>
        <v/>
      </c>
      <c r="K207" s="60">
        <f t="array" ref="K207">INDEX('Podium Target Times'!$C:$C, MATCH(A207&amp;B207, 'Podium Target Times'!$A:$A&amp;'Podium Target Times'!$B:$B, 0))
</f>
        <v/>
      </c>
      <c r="L207" s="24">
        <f>G206+L208</f>
        <v/>
      </c>
      <c r="M207" s="60">
        <f>IF(L207&lt;60, TEXT(L207,"0.00"), IF(L207&lt;600, TEXT(L207/86400,"m:ss.00"), TEXT(L207/86400,"mm:ss.00")))
</f>
        <v/>
      </c>
      <c r="N207" s="25">
        <f>IFERROR(__xludf.DUMMYFUNCTION("LET(
  gen,$A207, ev,$B207, t,$M207,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)"),788.0)</f>
        <v/>
      </c>
      <c r="O207" s="65" t="n"/>
      <c r="P207" s="69" t="n"/>
      <c r="Q207" s="65" t="n"/>
      <c r="R207" s="69" t="n"/>
      <c r="S207" s="58" t="n"/>
      <c r="T207" s="69" t="n"/>
      <c r="U207" s="65" t="n"/>
      <c r="V207" s="65" t="n"/>
      <c r="W207" s="65" t="n"/>
    </row>
    <row r="208">
      <c r="A208" s="8" t="inlineStr">
        <is>
          <t>F</t>
        </is>
      </c>
      <c r="B208" s="9" t="inlineStr">
        <is>
          <t>200 IM</t>
        </is>
      </c>
      <c r="C208" s="9" t="n">
        <v>25</v>
      </c>
      <c r="D208" s="9" t="n"/>
      <c r="E208" s="483" t="n"/>
      <c r="F208" s="35">
        <f>IFERROR(__xludf.DUMMYFUNCTION("IF(
  REGEXMATCH(E208, "":""),
  60*VALUE(INDEX(SPLIT(E208, "":""),1,1)) + VALUE(INDEX(SPLIT(E208, "":""),1,2)),
  VALUE(E208)
)"),0.0)</f>
        <v/>
      </c>
      <c r="G208" s="12" t="n"/>
      <c r="H208" s="12" t="n"/>
      <c r="I208" s="43">
        <f>C189</f>
        <v/>
      </c>
      <c r="J208" s="43">
        <f>C206</f>
        <v/>
      </c>
      <c r="K208" s="43">
        <f t="array" ref="K208">INDEX('Podium Target Times'!$C:$C, MATCH(A208&amp;B208, 'Podium Target Times'!$A:$A&amp;'Podium Target Times'!$B:$B, 0))
</f>
        <v/>
      </c>
      <c r="L208" s="43">
        <f>K208</f>
        <v/>
      </c>
      <c r="M208" s="43">
        <f>IF(L208&lt;60, TEXT(L208,"0.00"), IF(L208&lt;600, TEXT(L208/86400,"m:ss.00"), TEXT(L208/86400,"mm:ss.00")))
</f>
        <v/>
      </c>
      <c r="N208" s="14">
        <f>IFERROR(__xludf.DUMMYFUNCTION("LET(
  gen,$A208, ev,$B208, t,$M208,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O208" s="65" t="n"/>
      <c r="P208" s="69" t="n"/>
      <c r="Q208" s="65" t="n"/>
      <c r="R208" s="69" t="n"/>
      <c r="S208" s="58" t="n"/>
      <c r="T208" s="69" t="n"/>
      <c r="U208" s="65" t="n"/>
      <c r="V208" s="65" t="n"/>
      <c r="W208" s="65" t="n"/>
    </row>
    <row r="209">
      <c r="A209" s="17" t="inlineStr">
        <is>
          <t>F</t>
        </is>
      </c>
      <c r="B209" s="18" t="inlineStr">
        <is>
          <t>400 Free</t>
        </is>
      </c>
      <c r="C209" s="18" t="n">
        <v>14</v>
      </c>
      <c r="D209" s="18" t="n">
        <v>1</v>
      </c>
      <c r="E209" s="60" t="inlineStr">
        <is>
          <t>4:25.42</t>
        </is>
      </c>
      <c r="F209" s="21">
        <f>IFERROR(__xludf.DUMMYFUNCTION("IF(
  REGEXMATCH(E209, "":""),
  60*VALUE(INDEX(SPLIT(E209, "":""),1,1)) + VALUE(INDEX(SPLIT(E209, "":""),1,2)),
  VALUE(E209)
)"),265.42)</f>
        <v/>
      </c>
      <c r="G209" s="24" t="n">
        <v>0</v>
      </c>
      <c r="H209" s="24" t="n">
        <v>0</v>
      </c>
      <c r="I209" s="60">
        <f>C209</f>
        <v/>
      </c>
      <c r="J209" s="60">
        <f>C226</f>
        <v/>
      </c>
      <c r="K209" s="60">
        <f t="array" ref="K209">INDEX('Podium Target Times'!$C:$C, MATCH(A209&amp;B209, 'Podium Target Times'!$A:$A&amp;'Podium Target Times'!$B:$B, 0))
</f>
        <v/>
      </c>
      <c r="L209" s="24">
        <f>L210+G210</f>
        <v/>
      </c>
      <c r="M209" s="60">
        <f>IF(L209&lt;60, TEXT(L209,"0.00"), IF(L209&lt;600, TEXT(L209/86400,"m:ss.00"), TEXT(L209/86400,"mm:ss.00")))
</f>
        <v/>
      </c>
      <c r="N209" s="25">
        <f>IFERROR(__xludf.DUMMYFUNCTION("LET(
  gen,$A209, ev,$B209, t,$M209,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)"),627.0)</f>
        <v/>
      </c>
      <c r="O209" s="65" t="n"/>
      <c r="P209" s="69">
        <f>A209</f>
        <v/>
      </c>
      <c r="Q209" s="65">
        <f>B209</f>
        <v/>
      </c>
      <c r="R209" s="69">
        <f>C209</f>
        <v/>
      </c>
      <c r="S209" s="58">
        <f>M209</f>
        <v/>
      </c>
      <c r="T209" s="69">
        <f>N209</f>
        <v/>
      </c>
      <c r="U209" s="65" t="n">
        <v>629</v>
      </c>
      <c r="V209" s="65" t="n"/>
      <c r="W209" s="65" t="n"/>
    </row>
    <row r="210">
      <c r="A210" s="8" t="inlineStr">
        <is>
          <t>F</t>
        </is>
      </c>
      <c r="B210" s="9" t="inlineStr">
        <is>
          <t>400 Free</t>
        </is>
      </c>
      <c r="C210" s="9" t="n">
        <v>15</v>
      </c>
      <c r="D210" s="9" t="n">
        <v>1</v>
      </c>
      <c r="E210" s="43" t="inlineStr">
        <is>
          <t>4:18.86</t>
        </is>
      </c>
      <c r="F210" s="35">
        <f>IFERROR(__xludf.DUMMYFUNCTION("IF(
  REGEXMATCH(E210, "":""),
  60*VALUE(INDEX(SPLIT(E210, "":""),1,1)) + VALUE(INDEX(SPLIT(E210, "":""),1,2)),
  VALUE(E210)
)"),258.86)</f>
        <v/>
      </c>
      <c r="G210" s="35">
        <f>F209-F210</f>
        <v/>
      </c>
      <c r="H210" s="35" t="n">
        <v>6.560000000000002</v>
      </c>
      <c r="I210" s="215">
        <f>C209</f>
        <v/>
      </c>
      <c r="J210" s="215">
        <f>C226</f>
        <v/>
      </c>
      <c r="K210" s="43">
        <f t="array" ref="K210">INDEX('Podium Target Times'!$C:$C, MATCH(A210&amp;B210, 'Podium Target Times'!$A:$A&amp;'Podium Target Times'!$B:$B, 0))
</f>
        <v/>
      </c>
      <c r="L210" s="12">
        <f>L212+G212</f>
        <v/>
      </c>
      <c r="M210" s="43">
        <f>IF(L210&lt;60, TEXT(L210,"0.00"), IF(L210&lt;600, TEXT(L210/86400,"m:ss.00"), TEXT(L210/86400,"mm:ss.00")))
</f>
        <v/>
      </c>
      <c r="N210" s="14">
        <f>IFERROR(__xludf.DUMMYFUNCTION("LET(
  gen,$A210, ev,$B210, t,$M210,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
      </c>
      <c r="O210" s="65" t="n"/>
      <c r="P210" s="69">
        <f>A210</f>
        <v/>
      </c>
      <c r="Q210" s="65">
        <f>B210</f>
        <v/>
      </c>
      <c r="R210" s="69">
        <f>C210</f>
        <v/>
      </c>
      <c r="S210" s="58">
        <f>M210</f>
        <v/>
      </c>
      <c r="T210" s="69">
        <f>N210</f>
        <v/>
      </c>
      <c r="U210" s="65" t="n"/>
      <c r="V210" s="65" t="n"/>
      <c r="W210" s="65" t="n"/>
    </row>
    <row r="211">
      <c r="A211" s="17" t="inlineStr">
        <is>
          <t>F</t>
        </is>
      </c>
      <c r="B211" s="18" t="inlineStr">
        <is>
          <t>400 Free</t>
        </is>
      </c>
      <c r="C211" s="18" t="n">
        <v>15</v>
      </c>
      <c r="D211" s="18" t="n">
        <v>2</v>
      </c>
      <c r="E211" s="60" t="inlineStr">
        <is>
          <t>4:20.27</t>
        </is>
      </c>
      <c r="F211" s="21">
        <f>IFERROR(__xludf.DUMMYFUNCTION("IF(
  REGEXMATCH(E211, "":""),
  60*VALUE(INDEX(SPLIT(E211, "":""),1,1)) + VALUE(INDEX(SPLIT(E211, "":""),1,2)),
  VALUE(E211)
)"),260.27)</f>
        <v/>
      </c>
      <c r="G211" s="21">
        <f>F209-F210</f>
        <v/>
      </c>
      <c r="H211" s="21" t="n">
        <v>6.560000000000002</v>
      </c>
      <c r="I211" s="211">
        <f>C209</f>
        <v/>
      </c>
      <c r="J211" s="211">
        <f>C226</f>
        <v/>
      </c>
      <c r="K211" s="60">
        <f t="array" ref="K211">INDEX('Podium Target Times'!$C:$C, MATCH(A211&amp;B211, 'Podium Target Times'!$A:$A&amp;'Podium Target Times'!$B:$B, 0))
</f>
        <v/>
      </c>
      <c r="L211" s="24">
        <f>L212+G212</f>
        <v/>
      </c>
      <c r="M211" s="60">
        <f>IF(L211&lt;60, TEXT(L211,"0.00"), IF(L211&lt;600, TEXT(L211/86400,"m:ss.00"), TEXT(L211/86400,"mm:ss.00")))
</f>
        <v/>
      </c>
      <c r="N211" s="25">
        <f>IFERROR(__xludf.DUMMYFUNCTION("LET(
  gen,$A211, ev,$B211, t,$M211,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)"),674.0)</f>
        <v/>
      </c>
      <c r="O211" s="65" t="n"/>
      <c r="P211" s="69">
        <f>A212</f>
        <v/>
      </c>
      <c r="Q211" s="65">
        <f>B212</f>
        <v/>
      </c>
      <c r="R211" s="69">
        <f>C212</f>
        <v/>
      </c>
      <c r="S211" s="58">
        <f>M212</f>
        <v/>
      </c>
      <c r="T211" s="69">
        <f>N212</f>
        <v/>
      </c>
      <c r="U211" s="65" t="n"/>
      <c r="V211" s="65" t="n"/>
      <c r="W211" s="65" t="n"/>
    </row>
    <row r="212">
      <c r="A212" s="8" t="inlineStr">
        <is>
          <t>F</t>
        </is>
      </c>
      <c r="B212" s="9" t="inlineStr">
        <is>
          <t>400 Free</t>
        </is>
      </c>
      <c r="C212" s="9" t="n">
        <v>16</v>
      </c>
      <c r="D212" s="9" t="n">
        <v>1</v>
      </c>
      <c r="E212" s="41" t="inlineStr">
        <is>
          <t>4:14.48</t>
        </is>
      </c>
      <c r="F212" s="35">
        <f>IFERROR(__xludf.DUMMYFUNCTION("IF(
  REGEXMATCH(E212, "":""),
  60*VALUE(INDEX(SPLIT(E212, "":""),1,1)) + VALUE(INDEX(SPLIT(E212, "":""),1,2)),
  VALUE(E212)
)"),254.48)</f>
        <v/>
      </c>
      <c r="G212" s="35">
        <f>average(F210-F212,F211-F213)</f>
        <v/>
      </c>
      <c r="H212" s="35" t="n">
        <v>4.390000000000001</v>
      </c>
      <c r="I212" s="215">
        <f>C209</f>
        <v/>
      </c>
      <c r="J212" s="215">
        <f>C226</f>
        <v/>
      </c>
      <c r="K212" s="43">
        <f t="array" ref="K212">INDEX('Podium Target Times'!$C:$C, MATCH(A212&amp;B212, 'Podium Target Times'!$A:$A&amp;'Podium Target Times'!$B:$B, 0))
</f>
        <v/>
      </c>
      <c r="L212" s="12">
        <f>L215+G215</f>
        <v/>
      </c>
      <c r="M212" s="43">
        <f>IF(L212&lt;60, TEXT(L212,"0.00"), IF(L212&lt;600, TEXT(L212/86400,"m:ss.00"), TEXT(L212/86400,"mm:ss.00")))
</f>
        <v/>
      </c>
      <c r="N212" s="14">
        <f>IFERROR(__xludf.DUMMYFUNCTION("LET(
  gen,$A212, ev,$B212, t,$M212,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212" s="65" t="n"/>
      <c r="P212" s="69">
        <f>A215</f>
        <v/>
      </c>
      <c r="Q212" s="65">
        <f>B215</f>
        <v/>
      </c>
      <c r="R212" s="69">
        <f>C215</f>
        <v/>
      </c>
      <c r="S212" s="58">
        <f>M215</f>
        <v/>
      </c>
      <c r="T212" s="69">
        <f>N215</f>
        <v/>
      </c>
      <c r="U212" s="65" t="n"/>
      <c r="V212" s="65" t="n"/>
      <c r="W212" s="65" t="n"/>
    </row>
    <row r="213">
      <c r="A213" s="17" t="inlineStr">
        <is>
          <t>F</t>
        </is>
      </c>
      <c r="B213" s="18" t="inlineStr">
        <is>
          <t>400 Free</t>
        </is>
      </c>
      <c r="C213" s="18" t="n">
        <v>16</v>
      </c>
      <c r="D213" s="18" t="n">
        <v>2</v>
      </c>
      <c r="E213" s="46" t="inlineStr">
        <is>
          <t>4:15.87</t>
        </is>
      </c>
      <c r="F213" s="21">
        <f>IFERROR(__xludf.DUMMYFUNCTION("IF(
  REGEXMATCH(E213, "":""),
  60*VALUE(INDEX(SPLIT(E213, "":""),1,1)) + VALUE(INDEX(SPLIT(E213, "":""),1,2)),
  VALUE(E213)
)"),255.87)</f>
        <v/>
      </c>
      <c r="G213" s="21">
        <f>average(F210-F212,F211-F213)</f>
        <v/>
      </c>
      <c r="H213" s="21" t="n">
        <v>4.390000000000001</v>
      </c>
      <c r="I213" s="211">
        <f>C209</f>
        <v/>
      </c>
      <c r="J213" s="211">
        <f>C226</f>
        <v/>
      </c>
      <c r="K213" s="60">
        <f t="array" ref="K213">INDEX('Podium Target Times'!$C:$C, MATCH(A213&amp;B213, 'Podium Target Times'!$A:$A&amp;'Podium Target Times'!$B:$B, 0))
</f>
        <v/>
      </c>
      <c r="L213" s="24">
        <f>L215+G215</f>
        <v/>
      </c>
      <c r="M213" s="60">
        <f>IF(L213&lt;60, TEXT(L213,"0.00"), IF(L213&lt;600, TEXT(L213/86400,"m:ss.00"), TEXT(L213/86400,"mm:ss.00")))
</f>
        <v/>
      </c>
      <c r="N213" s="25">
        <f>IFERROR(__xludf.DUMMYFUNCTION("LET(
  gen,$A213, ev,$B213, t,$M213,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213" s="65" t="n"/>
      <c r="P213" s="69">
        <f>A218</f>
        <v/>
      </c>
      <c r="Q213" s="65">
        <f>B218</f>
        <v/>
      </c>
      <c r="R213" s="69">
        <f>C218</f>
        <v/>
      </c>
      <c r="S213" s="58">
        <f>M218</f>
        <v/>
      </c>
      <c r="T213" s="69">
        <f>N218</f>
        <v/>
      </c>
      <c r="U213" s="65" t="n"/>
      <c r="V213" s="65" t="n"/>
      <c r="W213" s="65" t="n"/>
    </row>
    <row r="214">
      <c r="A214" s="8" t="inlineStr">
        <is>
          <t>F</t>
        </is>
      </c>
      <c r="B214" s="9" t="inlineStr">
        <is>
          <t>400 Free</t>
        </is>
      </c>
      <c r="C214" s="9" t="n">
        <v>16</v>
      </c>
      <c r="D214" s="9" t="n">
        <v>3</v>
      </c>
      <c r="E214" s="41" t="inlineStr">
        <is>
          <t>4:16.35</t>
        </is>
      </c>
      <c r="F214" s="35">
        <f>IFERROR(__xludf.DUMMYFUNCTION("IF(
  REGEXMATCH(E214, "":""),
  60*VALUE(INDEX(SPLIT(E214, "":""),1,1)) + VALUE(INDEX(SPLIT(E214, "":""),1,2)),
  VALUE(E214)
)"),256.35)</f>
        <v/>
      </c>
      <c r="G214" s="35">
        <f>average(F210-F212,F211-F213)</f>
        <v/>
      </c>
      <c r="H214" s="35" t="n">
        <v>4.390000000000001</v>
      </c>
      <c r="I214" s="215">
        <f>C209</f>
        <v/>
      </c>
      <c r="J214" s="215">
        <f>C226</f>
        <v/>
      </c>
      <c r="K214" s="43">
        <f t="array" ref="K214">INDEX('Podium Target Times'!$C:$C, MATCH(A214&amp;B214, 'Podium Target Times'!$A:$A&amp;'Podium Target Times'!$B:$B, 0))
</f>
        <v/>
      </c>
      <c r="L214" s="12">
        <f>L215+G215</f>
        <v/>
      </c>
      <c r="M214" s="43">
        <f>IF(L214&lt;60, TEXT(L214,"0.00"), IF(L214&lt;600, TEXT(L214/86400,"m:ss.00"), TEXT(L214/86400,"mm:ss.00")))
</f>
        <v/>
      </c>
      <c r="N214" s="14">
        <f>IFERROR(__xludf.DUMMYFUNCTION("LET(
  gen,$A214, ev,$B214, t,$M214,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214" s="65" t="n"/>
      <c r="P214" s="69">
        <f>A221</f>
        <v/>
      </c>
      <c r="Q214" s="65">
        <f>B221</f>
        <v/>
      </c>
      <c r="R214" s="69">
        <f>C221</f>
        <v/>
      </c>
      <c r="S214" s="58">
        <f>M221</f>
        <v/>
      </c>
      <c r="T214" s="69">
        <f>N221</f>
        <v/>
      </c>
      <c r="U214" s="65" t="n"/>
      <c r="V214" s="65" t="n"/>
      <c r="W214" s="65" t="n"/>
    </row>
    <row r="215">
      <c r="A215" s="17" t="inlineStr">
        <is>
          <t>F</t>
        </is>
      </c>
      <c r="B215" s="18" t="inlineStr">
        <is>
          <t>400 Free</t>
        </is>
      </c>
      <c r="C215" s="18" t="n">
        <v>17</v>
      </c>
      <c r="D215" s="18" t="n">
        <v>1</v>
      </c>
      <c r="E215" s="46" t="inlineStr">
        <is>
          <t>4:11.78</t>
        </is>
      </c>
      <c r="F215" s="21">
        <f>IFERROR(__xludf.DUMMYFUNCTION("IF(
  REGEXMATCH(E215, "":""),
  60*VALUE(INDEX(SPLIT(E215, "":""),1,1)) + VALUE(INDEX(SPLIT(E215, "":""),1,2)),
  VALUE(E215)
)"),251.78)</f>
        <v/>
      </c>
      <c r="G215" s="21">
        <f>average(F212-F215,F213-F216,F214-F217)</f>
        <v/>
      </c>
      <c r="H215" s="21" t="n">
        <v>2.710000000000008</v>
      </c>
      <c r="I215" s="211">
        <f>C209</f>
        <v/>
      </c>
      <c r="J215" s="211">
        <f>C226</f>
        <v/>
      </c>
      <c r="K215" s="60">
        <f t="array" ref="K215">INDEX('Podium Target Times'!$C:$C, MATCH(A215&amp;B215, 'Podium Target Times'!$A:$A&amp;'Podium Target Times'!$B:$B, 0))
</f>
        <v/>
      </c>
      <c r="L215" s="24">
        <f>L218+G218</f>
        <v/>
      </c>
      <c r="M215" s="60">
        <f>IF(L215&lt;60, TEXT(L215,"0.00"), IF(L215&lt;600, TEXT(L215/86400,"m:ss.00"), TEXT(L215/86400,"mm:ss.00")))
</f>
        <v/>
      </c>
      <c r="N215" s="25">
        <f>IFERROR(__xludf.DUMMYFUNCTION("LET(
  gen,$A215, ev,$B215, t,$M215,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15" s="65" t="n"/>
      <c r="P215" s="69">
        <f>A223</f>
        <v/>
      </c>
      <c r="Q215" s="65">
        <f>B223</f>
        <v/>
      </c>
      <c r="R215" s="69">
        <f>C223</f>
        <v/>
      </c>
      <c r="S215" s="58">
        <f>M223</f>
        <v/>
      </c>
      <c r="T215" s="69">
        <f>N223</f>
        <v/>
      </c>
      <c r="U215" s="65" t="n"/>
      <c r="V215" s="65" t="n"/>
      <c r="W215" s="65" t="n"/>
    </row>
    <row r="216">
      <c r="A216" s="8" t="inlineStr">
        <is>
          <t>F</t>
        </is>
      </c>
      <c r="B216" s="9" t="inlineStr">
        <is>
          <t>400 Free</t>
        </is>
      </c>
      <c r="C216" s="9" t="n">
        <v>17</v>
      </c>
      <c r="D216" s="9" t="n">
        <v>2</v>
      </c>
      <c r="E216" s="41" t="inlineStr">
        <is>
          <t>4:13.16</t>
        </is>
      </c>
      <c r="F216" s="35">
        <f>IFERROR(__xludf.DUMMYFUNCTION("IF(
  REGEXMATCH(E216, "":""),
  60*VALUE(INDEX(SPLIT(E216, "":""),1,1)) + VALUE(INDEX(SPLIT(E216, "":""),1,2)),
  VALUE(E216)
)"),253.16)</f>
        <v/>
      </c>
      <c r="G216" s="35">
        <f>average(F212-F215,F213-F216,F214-F217)</f>
        <v/>
      </c>
      <c r="H216" s="35" t="n">
        <v>2.710000000000008</v>
      </c>
      <c r="I216" s="215">
        <f>C209</f>
        <v/>
      </c>
      <c r="J216" s="215">
        <f>C226</f>
        <v/>
      </c>
      <c r="K216" s="43">
        <f t="array" ref="K216">INDEX('Podium Target Times'!$C:$C, MATCH(A216&amp;B216, 'Podium Target Times'!$A:$A&amp;'Podium Target Times'!$B:$B, 0))
</f>
        <v/>
      </c>
      <c r="L216" s="12">
        <f>L218+G218</f>
        <v/>
      </c>
      <c r="M216" s="43">
        <f>IF(L216&lt;60, TEXT(L216,"0.00"), IF(L216&lt;600, TEXT(L216/86400,"m:ss.00"), TEXT(L216/86400,"mm:ss.00")))
</f>
        <v/>
      </c>
      <c r="N216" s="14">
        <f>IFERROR(__xludf.DUMMYFUNCTION("LET(
  gen,$A216, ev,$B216, t,$M216,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16" s="65" t="n"/>
      <c r="P216" s="69">
        <f>A225</f>
        <v/>
      </c>
      <c r="Q216" s="65">
        <f>B225</f>
        <v/>
      </c>
      <c r="R216" s="69">
        <f>C225</f>
        <v/>
      </c>
      <c r="S216" s="58">
        <f>M225</f>
        <v/>
      </c>
      <c r="T216" s="69">
        <f>N225</f>
        <v/>
      </c>
      <c r="U216" s="65" t="n"/>
      <c r="V216" s="65" t="n"/>
      <c r="W216" s="65" t="n"/>
    </row>
    <row r="217">
      <c r="A217" s="17" t="inlineStr">
        <is>
          <t>F</t>
        </is>
      </c>
      <c r="B217" s="18" t="inlineStr">
        <is>
          <t>400 Free</t>
        </is>
      </c>
      <c r="C217" s="18" t="n">
        <v>17</v>
      </c>
      <c r="D217" s="18" t="n">
        <v>3</v>
      </c>
      <c r="E217" s="46" t="inlineStr">
        <is>
          <t>4:13.63</t>
        </is>
      </c>
      <c r="F217" s="21">
        <f>IFERROR(__xludf.DUMMYFUNCTION("IF(
  REGEXMATCH(E217, "":""),
  60*VALUE(INDEX(SPLIT(E217, "":""),1,1)) + VALUE(INDEX(SPLIT(E217, "":""),1,2)),
  VALUE(E217)
)"),253.63)</f>
        <v/>
      </c>
      <c r="G217" s="21">
        <f>average(F212-F215,F213-F216,F214-F217)</f>
        <v/>
      </c>
      <c r="H217" s="21" t="n">
        <v>2.710000000000008</v>
      </c>
      <c r="I217" s="211">
        <f>C209</f>
        <v/>
      </c>
      <c r="J217" s="211">
        <f>C226</f>
        <v/>
      </c>
      <c r="K217" s="60">
        <f t="array" ref="K217">INDEX('Podium Target Times'!$C:$C, MATCH(A217&amp;B217, 'Podium Target Times'!$A:$A&amp;'Podium Target Times'!$B:$B, 0))
</f>
        <v/>
      </c>
      <c r="L217" s="24">
        <f>L218+G218</f>
        <v/>
      </c>
      <c r="M217" s="60">
        <f>IF(L217&lt;60, TEXT(L217,"0.00"), IF(L217&lt;600, TEXT(L217/86400,"m:ss.00"), TEXT(L217/86400,"mm:ss.00")))
</f>
        <v/>
      </c>
      <c r="N217" s="25">
        <f>IFERROR(__xludf.DUMMYFUNCTION("LET(
  gen,$A217, ev,$B217, t,$M217,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17" s="65" t="n"/>
      <c r="P217" s="69">
        <f>A226</f>
        <v/>
      </c>
      <c r="Q217" s="65">
        <f>B226</f>
        <v/>
      </c>
      <c r="R217" s="69">
        <f>C226</f>
        <v/>
      </c>
      <c r="S217" s="58">
        <f>M226</f>
        <v/>
      </c>
      <c r="T217" s="69">
        <f>N226</f>
        <v/>
      </c>
      <c r="U217" s="65" t="n">
        <v>763</v>
      </c>
      <c r="V217" s="65" t="n"/>
      <c r="W217" s="65" t="n"/>
    </row>
    <row r="218">
      <c r="A218" s="8" t="inlineStr">
        <is>
          <t>F</t>
        </is>
      </c>
      <c r="B218" s="9" t="inlineStr">
        <is>
          <t>400 Free</t>
        </is>
      </c>
      <c r="C218" s="9" t="n">
        <v>18</v>
      </c>
      <c r="D218" s="9" t="n">
        <v>1</v>
      </c>
      <c r="E218" s="41" t="inlineStr">
        <is>
          <t>4:10.23</t>
        </is>
      </c>
      <c r="F218" s="35">
        <f>IFERROR(__xludf.DUMMYFUNCTION("IF(
  REGEXMATCH(E218, "":""),
  60*VALUE(INDEX(SPLIT(E218, "":""),1,1)) + VALUE(INDEX(SPLIT(E218, "":""),1,2)),
  VALUE(E218)
)"),250.23)</f>
        <v/>
      </c>
      <c r="G218" s="35">
        <f>average(F215-F218,F216-F219,F217-F220)</f>
        <v/>
      </c>
      <c r="H218" s="35" t="n">
        <v>1.556666666666672</v>
      </c>
      <c r="I218" s="215">
        <f>C209</f>
        <v/>
      </c>
      <c r="J218" s="215">
        <f>C226</f>
        <v/>
      </c>
      <c r="K218" s="43">
        <f t="array" ref="K218">INDEX('Podium Target Times'!$C:$C, MATCH(A218&amp;B218, 'Podium Target Times'!$A:$A&amp;'Podium Target Times'!$B:$B, 0))
</f>
        <v/>
      </c>
      <c r="L218" s="12">
        <f>L221+G221</f>
        <v/>
      </c>
      <c r="M218" s="43">
        <f>IF(L218&lt;60, TEXT(L218,"0.00"), IF(L218&lt;600, TEXT(L218/86400,"m:ss.00"), TEXT(L218/86400,"mm:ss.00")))
</f>
        <v/>
      </c>
      <c r="N218" s="14">
        <f>IFERROR(__xludf.DUMMYFUNCTION("LET(
  gen,$A218, ev,$B218, t,$M218,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O218" s="65" t="n"/>
      <c r="P218" s="69">
        <f>P217</f>
        <v/>
      </c>
      <c r="Q218" s="65">
        <f>Q217</f>
        <v/>
      </c>
      <c r="R218" s="69">
        <f>R217+1</f>
        <v/>
      </c>
      <c r="S218" s="58">
        <f>M227</f>
        <v/>
      </c>
      <c r="T218" s="69">
        <f>N227</f>
        <v/>
      </c>
      <c r="U218" s="65" t="n"/>
      <c r="V218" s="65" t="n"/>
      <c r="W218" s="65" t="n"/>
    </row>
    <row r="219">
      <c r="A219" s="17" t="inlineStr">
        <is>
          <t>F</t>
        </is>
      </c>
      <c r="B219" s="18" t="inlineStr">
        <is>
          <t>400 Free</t>
        </is>
      </c>
      <c r="C219" s="18" t="n">
        <v>18</v>
      </c>
      <c r="D219" s="18" t="n">
        <v>2</v>
      </c>
      <c r="E219" s="46" t="inlineStr">
        <is>
          <t>4:11.60</t>
        </is>
      </c>
      <c r="F219" s="21">
        <f>IFERROR(__xludf.DUMMYFUNCTION("IF(
  REGEXMATCH(E219, "":""),
  60*VALUE(INDEX(SPLIT(E219, "":""),1,1)) + VALUE(INDEX(SPLIT(E219, "":""),1,2)),
  VALUE(E219)
)"),251.6)</f>
        <v/>
      </c>
      <c r="G219" s="21">
        <f>average(F215-F218,F216-F219,F217-F220)</f>
        <v/>
      </c>
      <c r="H219" s="21" t="n">
        <v>1.556666666666672</v>
      </c>
      <c r="I219" s="211">
        <f>C209</f>
        <v/>
      </c>
      <c r="J219" s="211">
        <f>C226</f>
        <v/>
      </c>
      <c r="K219" s="60">
        <f t="array" ref="K219">INDEX('Podium Target Times'!$C:$C, MATCH(A219&amp;B219, 'Podium Target Times'!$A:$A&amp;'Podium Target Times'!$B:$B, 0))
</f>
        <v/>
      </c>
      <c r="L219" s="24">
        <f>L221+G221</f>
        <v/>
      </c>
      <c r="M219" s="60">
        <f>IF(L219&lt;60, TEXT(L219,"0.00"), IF(L219&lt;600, TEXT(L219/86400,"m:ss.00"), TEXT(L219/86400,"mm:ss.00")))
</f>
        <v/>
      </c>
      <c r="N219" s="25">
        <f>IFERROR(__xludf.DUMMYFUNCTION("LET(
  gen,$A219, ev,$B219, t,$M219,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O219" s="65" t="n"/>
      <c r="P219" s="69">
        <f>P218</f>
        <v/>
      </c>
      <c r="Q219" s="65">
        <f>Q218</f>
        <v/>
      </c>
      <c r="R219" s="69">
        <f>R218+1</f>
        <v/>
      </c>
      <c r="S219" s="58">
        <f>M228</f>
        <v/>
      </c>
      <c r="T219" s="69">
        <f>N228</f>
        <v/>
      </c>
      <c r="U219" s="65" t="n"/>
      <c r="V219" s="65" t="n"/>
      <c r="W219" s="65" t="n"/>
    </row>
    <row r="220">
      <c r="A220" s="8" t="inlineStr">
        <is>
          <t>F</t>
        </is>
      </c>
      <c r="B220" s="9" t="inlineStr">
        <is>
          <t>400 Free</t>
        </is>
      </c>
      <c r="C220" s="9" t="n">
        <v>18</v>
      </c>
      <c r="D220" s="9" t="n">
        <v>3</v>
      </c>
      <c r="E220" s="41" t="inlineStr">
        <is>
          <t>4:12.07</t>
        </is>
      </c>
      <c r="F220" s="35">
        <f>IFERROR(__xludf.DUMMYFUNCTION("IF(
  REGEXMATCH(E220, "":""),
  60*VALUE(INDEX(SPLIT(E220, "":""),1,1)) + VALUE(INDEX(SPLIT(E220, "":""),1,2)),
  VALUE(E220)
)"),252.07)</f>
        <v/>
      </c>
      <c r="G220" s="35">
        <f>average(F215-F218,F216-F219,F217-F220)</f>
        <v/>
      </c>
      <c r="H220" s="35" t="n">
        <v>1.556666666666672</v>
      </c>
      <c r="I220" s="215">
        <f>C209</f>
        <v/>
      </c>
      <c r="J220" s="215">
        <f>C226</f>
        <v/>
      </c>
      <c r="K220" s="43">
        <f t="array" ref="K220">INDEX('Podium Target Times'!$C:$C, MATCH(A220&amp;B220, 'Podium Target Times'!$A:$A&amp;'Podium Target Times'!$B:$B, 0))
</f>
        <v/>
      </c>
      <c r="L220" s="12">
        <f>L221+G221</f>
        <v/>
      </c>
      <c r="M220" s="43">
        <f>IF(L220&lt;60, TEXT(L220,"0.00"), IF(L220&lt;600, TEXT(L220/86400,"m:ss.00"), TEXT(L220/86400,"mm:ss.00")))
</f>
        <v/>
      </c>
      <c r="N220" s="14">
        <f>IFERROR(__xludf.DUMMYFUNCTION("LET(
  gen,$A220, ev,$B220, t,$M220,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O220" s="65" t="n"/>
      <c r="P220" s="69">
        <f>P219</f>
        <v/>
      </c>
      <c r="Q220" s="65">
        <f>Q219</f>
        <v/>
      </c>
      <c r="R220" s="69">
        <f>R219+1</f>
        <v/>
      </c>
      <c r="S220" s="58">
        <f>M229</f>
        <v/>
      </c>
      <c r="T220" s="69">
        <f>N229</f>
        <v/>
      </c>
      <c r="U220" s="65" t="n"/>
      <c r="V220" s="65" t="n"/>
      <c r="W220" s="65" t="n"/>
    </row>
    <row r="221">
      <c r="A221" s="17" t="inlineStr">
        <is>
          <t>F</t>
        </is>
      </c>
      <c r="B221" s="18" t="inlineStr">
        <is>
          <t>400 Free</t>
        </is>
      </c>
      <c r="C221" s="18" t="n">
        <v>19</v>
      </c>
      <c r="D221" s="221" t="n">
        <v>2</v>
      </c>
      <c r="E221" s="46" t="inlineStr">
        <is>
          <t>4:10.74</t>
        </is>
      </c>
      <c r="F221" s="21">
        <f>IFERROR(__xludf.DUMMYFUNCTION("IF(
  REGEXMATCH(E221, "":""),
  60*VALUE(INDEX(SPLIT(E221, "":""),1,1)) + VALUE(INDEX(SPLIT(E221, "":""),1,2)),
  VALUE(E221)
)"),250.74)</f>
        <v/>
      </c>
      <c r="G221" s="21">
        <f>average(F219-F221,F220-F222)</f>
        <v/>
      </c>
      <c r="H221" s="21" t="n">
        <v>0.8599999999999852</v>
      </c>
      <c r="I221" s="211">
        <f>C209</f>
        <v/>
      </c>
      <c r="J221" s="211">
        <f>C226</f>
        <v/>
      </c>
      <c r="K221" s="60">
        <f t="array" ref="K221">INDEX('Podium Target Times'!$C:$C, MATCH(A221&amp;B221, 'Podium Target Times'!$A:$A&amp;'Podium Target Times'!$B:$B, 0))
</f>
        <v/>
      </c>
      <c r="L221" s="24">
        <f>L223+G223</f>
        <v/>
      </c>
      <c r="M221" s="60">
        <f>IF(L221&lt;60, TEXT(L221,"0.00"), IF(L221&lt;600, TEXT(L221/86400,"m:ss.00"), TEXT(L221/86400,"mm:ss.00")))
</f>
        <v/>
      </c>
      <c r="N221" s="25">
        <f>IFERROR(__xludf.DUMMYFUNCTION("LET(
  gen,$A221, ev,$B221, t,$M221,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221" s="65" t="n"/>
      <c r="P221" s="69" t="n"/>
      <c r="Q221" s="65" t="n"/>
      <c r="R221" s="69" t="n"/>
      <c r="S221" s="58" t="n"/>
      <c r="T221" s="69" t="n"/>
      <c r="U221" s="65" t="n"/>
      <c r="V221" s="65" t="n"/>
      <c r="W221" s="65" t="n"/>
    </row>
    <row r="222">
      <c r="A222" s="8" t="inlineStr">
        <is>
          <t>F</t>
        </is>
      </c>
      <c r="B222" s="9" t="inlineStr">
        <is>
          <t>400 Free</t>
        </is>
      </c>
      <c r="C222" s="9" t="n">
        <v>19</v>
      </c>
      <c r="D222" s="9" t="n">
        <v>3</v>
      </c>
      <c r="E222" s="483" t="inlineStr">
        <is>
          <t>4:11.21</t>
        </is>
      </c>
      <c r="F222" s="35">
        <f>IFERROR(__xludf.DUMMYFUNCTION("IF(
  REGEXMATCH(E222, "":""),
  60*VALUE(INDEX(SPLIT(E222, "":""),1,1)) + VALUE(INDEX(SPLIT(E222, "":""),1,2)),
  VALUE(E222)
)"),251.21)</f>
        <v/>
      </c>
      <c r="G222" s="35">
        <f>average(F219-F221,F220-F222)</f>
        <v/>
      </c>
      <c r="H222" s="35" t="n">
        <v>0.8599999999999852</v>
      </c>
      <c r="I222" s="215">
        <f>C209</f>
        <v/>
      </c>
      <c r="J222" s="215">
        <f>C226</f>
        <v/>
      </c>
      <c r="K222" s="43">
        <f t="array" ref="K222">INDEX('Podium Target Times'!$C:$C, MATCH(A222&amp;B222, 'Podium Target Times'!$A:$A&amp;'Podium Target Times'!$B:$B, 0))
</f>
        <v/>
      </c>
      <c r="L222" s="12">
        <f>L223+G223</f>
        <v/>
      </c>
      <c r="M222" s="43">
        <f>IF(L222&lt;60, TEXT(L222,"0.00"), IF(L222&lt;600, TEXT(L222/86400,"m:ss.00"), TEXT(L222/86400,"mm:ss.00")))
</f>
        <v/>
      </c>
      <c r="N222" s="14">
        <f>IFERROR(__xludf.DUMMYFUNCTION("LET(
  gen,$A222, ev,$B222, t,$M222,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O222" s="65" t="n"/>
      <c r="P222" s="69" t="n"/>
      <c r="Q222" s="65" t="n"/>
      <c r="R222" s="69" t="n"/>
      <c r="S222" s="58" t="n"/>
      <c r="T222" s="69" t="n"/>
      <c r="U222" s="65" t="n"/>
      <c r="V222" s="65" t="n"/>
      <c r="W222" s="65" t="n"/>
    </row>
    <row r="223">
      <c r="A223" s="17" t="inlineStr">
        <is>
          <t>F</t>
        </is>
      </c>
      <c r="B223" s="18" t="inlineStr">
        <is>
          <t>400 Free</t>
        </is>
      </c>
      <c r="C223" s="18" t="n">
        <v>20</v>
      </c>
      <c r="D223" s="18" t="n">
        <v>2</v>
      </c>
      <c r="E223" s="46" t="inlineStr">
        <is>
          <t>4:10.23</t>
        </is>
      </c>
      <c r="F223" s="21">
        <f>IFERROR(__xludf.DUMMYFUNCTION("IF(
  REGEXMATCH(E223, "":""),
  60*VALUE(INDEX(SPLIT(E223, "":""),1,1)) + VALUE(INDEX(SPLIT(E223, "":""),1,2)),
  VALUE(E223)
)"),250.23)</f>
        <v/>
      </c>
      <c r="G223" s="21">
        <f>average(F221-F223,F222-F224)</f>
        <v/>
      </c>
      <c r="H223" s="21" t="n">
        <v>0.5100000000000193</v>
      </c>
      <c r="I223" s="211">
        <f>C209</f>
        <v/>
      </c>
      <c r="J223" s="211">
        <f>C226</f>
        <v/>
      </c>
      <c r="K223" s="60">
        <f t="array" ref="K223">INDEX('Podium Target Times'!$C:$C, MATCH(A223&amp;B223, 'Podium Target Times'!$A:$A&amp;'Podium Target Times'!$B:$B, 0))
</f>
        <v/>
      </c>
      <c r="L223" s="24">
        <f>L225+G225</f>
        <v/>
      </c>
      <c r="M223" s="60">
        <f>IF(L223&lt;60, TEXT(L223,"0.00"), IF(L223&lt;600, TEXT(L223/86400,"m:ss.00"), TEXT(L223/86400,"mm:ss.00")))
</f>
        <v/>
      </c>
      <c r="N223" s="25">
        <f>IFERROR(__xludf.DUMMYFUNCTION("LET(
  gen,$A223, ev,$B223, t,$M223,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
      </c>
      <c r="O223" s="65" t="n"/>
      <c r="P223" s="69" t="n"/>
      <c r="Q223" s="65" t="n"/>
      <c r="R223" s="69" t="n"/>
      <c r="S223" s="58" t="n"/>
      <c r="T223" s="69" t="n"/>
      <c r="U223" s="65" t="n"/>
      <c r="V223" s="65" t="n"/>
      <c r="W223" s="65" t="n"/>
    </row>
    <row r="224">
      <c r="A224" s="8" t="inlineStr">
        <is>
          <t>F</t>
        </is>
      </c>
      <c r="B224" s="9" t="inlineStr">
        <is>
          <t>400 Free</t>
        </is>
      </c>
      <c r="C224" s="9" t="n">
        <v>20</v>
      </c>
      <c r="D224" s="9" t="n">
        <v>3</v>
      </c>
      <c r="E224" s="41" t="inlineStr">
        <is>
          <t>4:10.70</t>
        </is>
      </c>
      <c r="F224" s="35">
        <f>IFERROR(__xludf.DUMMYFUNCTION("IF(
  REGEXMATCH(E224, "":""),
  60*VALUE(INDEX(SPLIT(E224, "":""),1,1)) + VALUE(INDEX(SPLIT(E224, "":""),1,2)),
  VALUE(E224)
)"),250.7)</f>
        <v/>
      </c>
      <c r="G224" s="35">
        <f>average(F221-F223,F222-F224)</f>
        <v/>
      </c>
      <c r="H224" s="35" t="n">
        <v>0.5100000000000193</v>
      </c>
      <c r="I224" s="215">
        <f>C209</f>
        <v/>
      </c>
      <c r="J224" s="215">
        <f>C226</f>
        <v/>
      </c>
      <c r="K224" s="43">
        <f t="array" ref="K224">INDEX('Podium Target Times'!$C:$C, MATCH(A224&amp;B224, 'Podium Target Times'!$A:$A&amp;'Podium Target Times'!$B:$B, 0))
</f>
        <v/>
      </c>
      <c r="L224" s="12">
        <f>L225+G225</f>
        <v/>
      </c>
      <c r="M224" s="43">
        <f>IF(L224&lt;60, TEXT(L224,"0.00"), IF(L224&lt;600, TEXT(L224/86400,"m:ss.00"), TEXT(L224/86400,"mm:ss.00")))
</f>
        <v/>
      </c>
      <c r="N224" s="14">
        <f>IFERROR(__xludf.DUMMYFUNCTION("LET(
  gen,$A224, ev,$B224, t,$M224,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
      </c>
      <c r="O224" s="65" t="n"/>
      <c r="P224" s="69" t="n"/>
      <c r="Q224" s="65" t="n"/>
      <c r="R224" s="69" t="n"/>
      <c r="S224" s="58" t="n"/>
      <c r="T224" s="69" t="n"/>
      <c r="U224" s="65" t="n"/>
      <c r="V224" s="65" t="n"/>
      <c r="W224" s="65" t="n"/>
    </row>
    <row r="225">
      <c r="A225" s="17" t="inlineStr">
        <is>
          <t>F</t>
        </is>
      </c>
      <c r="B225" s="18" t="inlineStr">
        <is>
          <t>400 Free</t>
        </is>
      </c>
      <c r="C225" s="18" t="n">
        <v>21</v>
      </c>
      <c r="D225" s="18" t="n">
        <v>3</v>
      </c>
      <c r="E225" s="46" t="inlineStr">
        <is>
          <t>4:10.35</t>
        </is>
      </c>
      <c r="F225" s="21">
        <f>IFERROR(__xludf.DUMMYFUNCTION("IF(
  REGEXMATCH(E225, "":""),
  60*VALUE(INDEX(SPLIT(E225, "":""),1,1)) + VALUE(INDEX(SPLIT(E225, "":""),1,2)),
  VALUE(E225)
)"),250.35)</f>
        <v/>
      </c>
      <c r="G225" s="21">
        <f>F224-F225</f>
        <v/>
      </c>
      <c r="H225" s="21" t="n">
        <v>0.3499999999999943</v>
      </c>
      <c r="I225" s="211">
        <f>C209</f>
        <v/>
      </c>
      <c r="J225" s="211">
        <f>C226</f>
        <v/>
      </c>
      <c r="K225" s="60">
        <f t="array" ref="K225">INDEX('Podium Target Times'!$C:$C, MATCH(A225&amp;B225, 'Podium Target Times'!$A:$A&amp;'Podium Target Times'!$B:$B, 0))
</f>
        <v/>
      </c>
      <c r="L225" s="24">
        <f>L226+G226</f>
        <v/>
      </c>
      <c r="M225" s="60">
        <f>IF(L225&lt;60, TEXT(L225,"0.00"), IF(L225&lt;600, TEXT(L225/86400,"m:ss.00"), TEXT(L225/86400,"mm:ss.00")))
</f>
        <v/>
      </c>
      <c r="N225" s="25">
        <f>IFERROR(__xludf.DUMMYFUNCTION("LET(
  gen,$A225, ev,$B225, t,$M225,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)"),759.0)</f>
        <v/>
      </c>
      <c r="O225" s="65" t="n"/>
      <c r="P225" s="69" t="n"/>
      <c r="Q225" s="65" t="n"/>
      <c r="R225" s="69" t="n"/>
      <c r="S225" s="58" t="n"/>
      <c r="T225" s="69" t="n"/>
      <c r="U225" s="65" t="n"/>
      <c r="V225" s="65" t="n"/>
      <c r="W225" s="65" t="n"/>
    </row>
    <row r="226">
      <c r="A226" s="8" t="inlineStr">
        <is>
          <t>F</t>
        </is>
      </c>
      <c r="B226" s="9" t="inlineStr">
        <is>
          <t>400 Free</t>
        </is>
      </c>
      <c r="C226" s="9" t="n">
        <v>22</v>
      </c>
      <c r="D226" s="9" t="n">
        <v>3</v>
      </c>
      <c r="E226" s="41" t="inlineStr">
        <is>
          <t>4:10.23</t>
        </is>
      </c>
      <c r="F226" s="35">
        <f>IFERROR(__xludf.DUMMYFUNCTION("IF(
  REGEXMATCH(E226, "":""),
  60*VALUE(INDEX(SPLIT(E226, "":""),1,1)) + VALUE(INDEX(SPLIT(E226, "":""),1,2)),
  VALUE(E226)
)"),250.23)</f>
        <v/>
      </c>
      <c r="G226" s="35">
        <f>F225-F226</f>
        <v/>
      </c>
      <c r="H226" s="35" t="n">
        <v>0.1200000000000045</v>
      </c>
      <c r="I226" s="215">
        <f>C209</f>
        <v/>
      </c>
      <c r="J226" s="215">
        <f>C226</f>
        <v/>
      </c>
      <c r="K226" s="43">
        <f t="array" ref="K226">INDEX('Podium Target Times'!$C:$C, MATCH(A226&amp;B226, 'Podium Target Times'!$A:$A&amp;'Podium Target Times'!$B:$B, 0))
</f>
        <v/>
      </c>
      <c r="L226" s="35">
        <f>G226+L227</f>
        <v/>
      </c>
      <c r="M226" s="43">
        <f>IF(L226&lt;60, TEXT(L226,"0.00"), IF(L226&lt;600, TEXT(L226/86400,"m:ss.00"), TEXT(L226/86400,"mm:ss.00")))
</f>
        <v/>
      </c>
      <c r="N226" s="14">
        <f>IFERROR(__xludf.DUMMYFUNCTION("LET(
  gen,$A226, ev,$B226, t,$M226,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226" s="65" t="n"/>
      <c r="P226" s="69" t="n"/>
      <c r="Q226" s="65" t="n"/>
      <c r="R226" s="69" t="n"/>
      <c r="S226" s="58" t="n"/>
      <c r="T226" s="69" t="n"/>
      <c r="U226" s="65" t="n"/>
      <c r="V226" s="65" t="n"/>
      <c r="W226" s="65" t="n"/>
    </row>
    <row r="227">
      <c r="A227" s="17" t="inlineStr">
        <is>
          <t>F</t>
        </is>
      </c>
      <c r="B227" s="18" t="inlineStr">
        <is>
          <t>400 Free</t>
        </is>
      </c>
      <c r="C227" s="18" t="n">
        <v>23</v>
      </c>
      <c r="D227" s="18" t="n"/>
      <c r="E227" s="491" t="n"/>
      <c r="F227" s="21">
        <f>IFERROR(__xludf.DUMMYFUNCTION("IF(
  REGEXMATCH(E227, "":""),
  60*VALUE(INDEX(SPLIT(E227, "":""),1,1)) + VALUE(INDEX(SPLIT(E227, "":""),1,2)),
  VALUE(E227)
)"),0.0)</f>
        <v/>
      </c>
      <c r="G227" s="24" t="n"/>
      <c r="H227" s="24" t="n"/>
      <c r="I227" s="60">
        <f>C209</f>
        <v/>
      </c>
      <c r="J227" s="60">
        <f>C226</f>
        <v/>
      </c>
      <c r="K227" s="60">
        <f t="array" ref="K227">INDEX('Podium Target Times'!$C:$C, MATCH(A227&amp;B227, 'Podium Target Times'!$A:$A&amp;'Podium Target Times'!$B:$B, 0))
</f>
        <v/>
      </c>
      <c r="L227" s="24">
        <f>G226+L228</f>
        <v/>
      </c>
      <c r="M227" s="60">
        <f>IF(L227&lt;60, TEXT(L227,"0.00"), IF(L227&lt;600, TEXT(L227/86400,"m:ss.00"), TEXT(L227/86400,"mm:ss.00")))
</f>
        <v/>
      </c>
      <c r="N227" s="25">
        <f>IFERROR(__xludf.DUMMYFUNCTION("LET(
  gen,$A227, ev,$B227, t,$M227,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
      </c>
      <c r="O227" s="65" t="n"/>
      <c r="P227" s="69" t="n"/>
      <c r="Q227" s="65" t="n"/>
      <c r="R227" s="69" t="n"/>
      <c r="S227" s="58" t="n"/>
      <c r="T227" s="69" t="n"/>
      <c r="U227" s="65" t="n"/>
      <c r="V227" s="65" t="n"/>
      <c r="W227" s="65" t="n"/>
    </row>
    <row r="228">
      <c r="A228" s="8" t="inlineStr">
        <is>
          <t>F</t>
        </is>
      </c>
      <c r="B228" s="9" t="inlineStr">
        <is>
          <t>400 Free</t>
        </is>
      </c>
      <c r="C228" s="9" t="n">
        <v>24</v>
      </c>
      <c r="D228" s="9" t="n"/>
      <c r="E228" s="483" t="n"/>
      <c r="F228" s="35">
        <f>IFERROR(__xludf.DUMMYFUNCTION("IF(
  REGEXMATCH(E228, "":""),
  60*VALUE(INDEX(SPLIT(E228, "":""),1,1)) + VALUE(INDEX(SPLIT(E228, "":""),1,2)),
  VALUE(E228)
)"),0.0)</f>
        <v/>
      </c>
      <c r="G228" s="12" t="n"/>
      <c r="H228" s="12" t="n"/>
      <c r="I228" s="43">
        <f>C209</f>
        <v/>
      </c>
      <c r="J228" s="43">
        <f>C226</f>
        <v/>
      </c>
      <c r="K228" s="43">
        <f t="array" ref="K228">INDEX('Podium Target Times'!$C:$C, MATCH(A228&amp;B228, 'Podium Target Times'!$A:$A&amp;'Podium Target Times'!$B:$B, 0))
</f>
        <v/>
      </c>
      <c r="L228" s="12">
        <f>G226+L229</f>
        <v/>
      </c>
      <c r="M228" s="43">
        <f>IF(L228&lt;60, TEXT(L228,"0.00"), IF(L228&lt;600, TEXT(L228/86400,"m:ss.00"), TEXT(L228/86400,"mm:ss.00")))
</f>
        <v/>
      </c>
      <c r="N228" s="14">
        <f>IFERROR(__xludf.DUMMYFUNCTION("LET(
  gen,$A228, ev,$B228, t,$M228,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
      </c>
      <c r="O228" s="65" t="n"/>
      <c r="P228" s="69" t="n"/>
      <c r="Q228" s="65" t="n"/>
      <c r="R228" s="69" t="n"/>
      <c r="S228" s="58" t="n"/>
      <c r="T228" s="69" t="n"/>
      <c r="U228" s="65" t="n"/>
      <c r="V228" s="65" t="n"/>
      <c r="W228" s="65" t="n"/>
    </row>
    <row r="229">
      <c r="A229" s="17" t="inlineStr">
        <is>
          <t>F</t>
        </is>
      </c>
      <c r="B229" s="18" t="inlineStr">
        <is>
          <t>400 Free</t>
        </is>
      </c>
      <c r="C229" s="18" t="n">
        <v>25</v>
      </c>
      <c r="D229" s="18" t="n"/>
      <c r="E229" s="491" t="n"/>
      <c r="F229" s="21">
        <f>IFERROR(__xludf.DUMMYFUNCTION("IF(
  REGEXMATCH(E229, "":""),
  60*VALUE(INDEX(SPLIT(E229, "":""),1,1)) + VALUE(INDEX(SPLIT(E229, "":""),1,2)),
  VALUE(E229)
)"),0.0)</f>
        <v/>
      </c>
      <c r="G229" s="24" t="n"/>
      <c r="H229" s="24" t="n"/>
      <c r="I229" s="60">
        <f>C209</f>
        <v/>
      </c>
      <c r="J229" s="60">
        <f>C226</f>
        <v/>
      </c>
      <c r="K229" s="60">
        <f t="array" ref="K229">INDEX('Podium Target Times'!$C:$C, MATCH(A229&amp;B229, 'Podium Target Times'!$A:$A&amp;'Podium Target Times'!$B:$B, 0))
</f>
        <v/>
      </c>
      <c r="L229" s="60">
        <f>K229</f>
        <v/>
      </c>
      <c r="M229" s="60">
        <f>IF(L229&lt;60, TEXT(L229,"0.00"), IF(L229&lt;600, TEXT(L229/86400,"m:ss.00"), TEXT(L229/86400,"mm:ss.00")))
</f>
        <v/>
      </c>
      <c r="N229" s="25">
        <f>IFERROR(__xludf.DUMMYFUNCTION("LET(
  gen,$A229, ev,$B229, t,$M229,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229" s="65" t="n"/>
      <c r="P229" s="69" t="n"/>
      <c r="Q229" s="65" t="n"/>
      <c r="R229" s="69" t="n"/>
      <c r="S229" s="58" t="n"/>
      <c r="T229" s="69" t="n"/>
      <c r="U229" s="65" t="n"/>
      <c r="V229" s="65" t="n"/>
      <c r="W229" s="65" t="n"/>
    </row>
    <row r="230">
      <c r="A230" s="8" t="inlineStr">
        <is>
          <t>F</t>
        </is>
      </c>
      <c r="B230" s="9" t="inlineStr">
        <is>
          <t>400 IM</t>
        </is>
      </c>
      <c r="C230" s="9" t="n">
        <v>13</v>
      </c>
      <c r="D230" s="9" t="n">
        <v>1</v>
      </c>
      <c r="E230" s="43" t="inlineStr">
        <is>
          <t>5:09.36</t>
        </is>
      </c>
      <c r="F230" s="35">
        <f>IFERROR(__xludf.DUMMYFUNCTION("IF(
  REGEXMATCH(E230, "":""),
  60*VALUE(INDEX(SPLIT(E230, "":""),1,1)) + VALUE(INDEX(SPLIT(E230, "":""),1,2)),
  VALUE(E230)
)"),309.36)</f>
        <v/>
      </c>
      <c r="G230" s="12" t="n">
        <v>0</v>
      </c>
      <c r="H230" s="12" t="n">
        <v>0</v>
      </c>
      <c r="I230" s="43">
        <f>C230</f>
        <v/>
      </c>
      <c r="J230" s="43">
        <f>C247</f>
        <v/>
      </c>
      <c r="K230" s="43">
        <f t="array" ref="K230">INDEX('Podium Target Times'!$C:$C, MATCH(A230&amp;B230, 'Podium Target Times'!$A:$A&amp;'Podium Target Times'!$B:$B, 0))
</f>
        <v/>
      </c>
      <c r="L230" s="12">
        <f>L231+G231</f>
        <v/>
      </c>
      <c r="M230" s="43">
        <f>IF(L230&lt;60, TEXT(L230,"0.00"), IF(L230&lt;600, TEXT(L230/86400,"m:ss.00"), TEXT(L230/86400,"mm:ss.00")))
</f>
        <v/>
      </c>
      <c r="N230" s="14">
        <f>IFERROR(__xludf.DUMMYFUNCTION("LET(
  gen,$A230, ev,$B230, t,$M230,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)"),549.0)</f>
        <v/>
      </c>
      <c r="O230" s="65" t="n"/>
      <c r="P230" s="69">
        <f>A230</f>
        <v/>
      </c>
      <c r="Q230" s="65">
        <f>B230</f>
        <v/>
      </c>
      <c r="R230" s="69">
        <f>C230</f>
        <v/>
      </c>
      <c r="S230" s="58">
        <f>M230</f>
        <v/>
      </c>
      <c r="T230" s="69">
        <f>N230</f>
        <v/>
      </c>
      <c r="U230" s="65" t="n">
        <v>553</v>
      </c>
      <c r="V230" s="65" t="n"/>
      <c r="W230" s="65" t="n"/>
    </row>
    <row r="231">
      <c r="A231" s="17" t="inlineStr">
        <is>
          <t>F</t>
        </is>
      </c>
      <c r="B231" s="18" t="inlineStr">
        <is>
          <t>400 IM</t>
        </is>
      </c>
      <c r="C231" s="18" t="n">
        <v>14</v>
      </c>
      <c r="D231" s="18" t="n">
        <v>1</v>
      </c>
      <c r="E231" s="60" t="inlineStr">
        <is>
          <t>4:58.88</t>
        </is>
      </c>
      <c r="F231" s="21">
        <f>IFERROR(__xludf.DUMMYFUNCTION("IF(
  REGEXMATCH(E231, "":""),
  60*VALUE(INDEX(SPLIT(E231, "":""),1,1)) + VALUE(INDEX(SPLIT(E231, "":""),1,2)),
  VALUE(E231)
)"),298.88)</f>
        <v/>
      </c>
      <c r="G231" s="21">
        <f>F230-F231</f>
        <v/>
      </c>
      <c r="H231" s="21" t="n">
        <v>10.48000000000002</v>
      </c>
      <c r="I231" s="211">
        <f>C230</f>
        <v/>
      </c>
      <c r="J231" s="211">
        <f>C247</f>
        <v/>
      </c>
      <c r="K231" s="60">
        <f t="array" ref="K231">INDEX('Podium Target Times'!$C:$C, MATCH(A231&amp;B231, 'Podium Target Times'!$A:$A&amp;'Podium Target Times'!$B:$B, 0))
</f>
        <v/>
      </c>
      <c r="L231" s="24">
        <f>L233+G233</f>
        <v/>
      </c>
      <c r="M231" s="60">
        <f>IF(L231&lt;60, TEXT(L231,"0.00"), IF(L231&lt;600, TEXT(L231/86400,"m:ss.00"), TEXT(L231/86400,"mm:ss.00")))
</f>
        <v/>
      </c>
      <c r="N231" s="25">
        <f>IFERROR(__xludf.DUMMYFUNCTION("LET(
  gen,$A231, ev,$B231, t,$M231,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)"),606.0)</f>
        <v/>
      </c>
      <c r="O231" s="65" t="n"/>
      <c r="P231" s="69">
        <f>A231</f>
        <v/>
      </c>
      <c r="Q231" s="65">
        <f>B231</f>
        <v/>
      </c>
      <c r="R231" s="69">
        <f>C231</f>
        <v/>
      </c>
      <c r="S231" s="58">
        <f>M231</f>
        <v/>
      </c>
      <c r="T231" s="69">
        <f>N231</f>
        <v/>
      </c>
      <c r="U231" s="65" t="n"/>
      <c r="V231" s="65" t="n"/>
      <c r="W231" s="65" t="n"/>
    </row>
    <row r="232">
      <c r="A232" s="8" t="inlineStr">
        <is>
          <t>F</t>
        </is>
      </c>
      <c r="B232" s="9" t="inlineStr">
        <is>
          <t>400 IM</t>
        </is>
      </c>
      <c r="C232" s="9" t="n">
        <v>14</v>
      </c>
      <c r="D232" s="219" t="n">
        <v>2</v>
      </c>
      <c r="E232" s="43" t="inlineStr">
        <is>
          <t>5:01.95</t>
        </is>
      </c>
      <c r="F232" s="35">
        <f>IFERROR(__xludf.DUMMYFUNCTION("IF(
  REGEXMATCH(E232, "":""),
  60*VALUE(INDEX(SPLIT(E232, "":""),1,1)) + VALUE(INDEX(SPLIT(E232, "":""),1,2)),
  VALUE(E232)
)"),301.95)</f>
        <v/>
      </c>
      <c r="G232" s="35">
        <f>F230-F231</f>
        <v/>
      </c>
      <c r="H232" s="35" t="n">
        <v>10.48000000000002</v>
      </c>
      <c r="I232" s="215">
        <f>C230</f>
        <v/>
      </c>
      <c r="J232" s="215">
        <f>C247</f>
        <v/>
      </c>
      <c r="K232" s="43">
        <f t="array" ref="K232">INDEX('Podium Target Times'!$C:$C, MATCH(A232&amp;B232, 'Podium Target Times'!$A:$A&amp;'Podium Target Times'!$B:$B, 0))
</f>
        <v/>
      </c>
      <c r="L232" s="12">
        <f>L233+G233</f>
        <v/>
      </c>
      <c r="M232" s="43">
        <f>IF(L232&lt;60, TEXT(L232,"0.00"), IF(L232&lt;600, TEXT(L232/86400,"m:ss.00"), TEXT(L232/86400,"mm:ss.00")))
</f>
        <v/>
      </c>
      <c r="N232" s="14">
        <f>IFERROR(__xludf.DUMMYFUNCTION("LET(
  gen,$A232, ev,$B232, t,$M232,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)"),606.0)</f>
        <v/>
      </c>
      <c r="O232" s="65" t="n"/>
      <c r="P232" s="69">
        <f>A233</f>
        <v/>
      </c>
      <c r="Q232" s="65">
        <f>B233</f>
        <v/>
      </c>
      <c r="R232" s="69">
        <f>C233</f>
        <v/>
      </c>
      <c r="S232" s="58">
        <f>M233</f>
        <v/>
      </c>
      <c r="T232" s="69">
        <f>N233</f>
        <v/>
      </c>
      <c r="U232" s="65" t="n"/>
      <c r="V232" s="65" t="n"/>
      <c r="W232" s="65" t="n"/>
    </row>
    <row r="233">
      <c r="A233" s="17" t="inlineStr">
        <is>
          <t>F</t>
        </is>
      </c>
      <c r="B233" s="18" t="inlineStr">
        <is>
          <t>400 IM</t>
        </is>
      </c>
      <c r="C233" s="18" t="n">
        <v>15</v>
      </c>
      <c r="D233" s="18" t="n">
        <v>1</v>
      </c>
      <c r="E233" s="46" t="inlineStr">
        <is>
          <t>4:51.23</t>
        </is>
      </c>
      <c r="F233" s="21">
        <f>IFERROR(__xludf.DUMMYFUNCTION("IF(
  REGEXMATCH(E233, "":""),
  60*VALUE(INDEX(SPLIT(E233, "":""),1,1)) + VALUE(INDEX(SPLIT(E233, "":""),1,2)),
  VALUE(E233)
)"),291.23)</f>
        <v/>
      </c>
      <c r="G233" s="21">
        <f>average(F231-F233,F232-F234)</f>
        <v/>
      </c>
      <c r="H233" s="21" t="n">
        <v>7.684999999999974</v>
      </c>
      <c r="I233" s="211">
        <f>C230</f>
        <v/>
      </c>
      <c r="J233" s="211">
        <f>C247</f>
        <v/>
      </c>
      <c r="K233" s="60">
        <f t="array" ref="K233">INDEX('Podium Target Times'!$C:$C, MATCH(A233&amp;B233, 'Podium Target Times'!$A:$A&amp;'Podium Target Times'!$B:$B, 0))
</f>
        <v/>
      </c>
      <c r="L233" s="24">
        <f>L236+G236</f>
        <v/>
      </c>
      <c r="M233" s="60">
        <f>IF(L233&lt;60, TEXT(L233,"0.00"), IF(L233&lt;600, TEXT(L233/86400,"m:ss.00"), TEXT(L233/86400,"mm:ss.00")))
</f>
        <v/>
      </c>
      <c r="N233" s="25">
        <f>IFERROR(__xludf.DUMMYFUNCTION("LET(
  gen,$A233, ev,$B233, t,$M233,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
      </c>
      <c r="O233" s="65" t="n"/>
      <c r="P233" s="69">
        <f>A236</f>
        <v/>
      </c>
      <c r="Q233" s="65">
        <f>B236</f>
        <v/>
      </c>
      <c r="R233" s="69">
        <f>C236</f>
        <v/>
      </c>
      <c r="S233" s="58">
        <f>M236</f>
        <v/>
      </c>
      <c r="T233" s="69">
        <f>N236</f>
        <v/>
      </c>
      <c r="U233" s="65" t="n"/>
      <c r="V233" s="65" t="n"/>
      <c r="W233" s="65" t="n"/>
    </row>
    <row r="234">
      <c r="A234" s="8" t="inlineStr">
        <is>
          <t>F</t>
        </is>
      </c>
      <c r="B234" s="9" t="inlineStr">
        <is>
          <t>400 IM</t>
        </is>
      </c>
      <c r="C234" s="9" t="n">
        <v>15</v>
      </c>
      <c r="D234" s="219" t="n">
        <v>2</v>
      </c>
      <c r="E234" s="41" t="inlineStr">
        <is>
          <t>4:54.23</t>
        </is>
      </c>
      <c r="F234" s="35">
        <f>IFERROR(__xludf.DUMMYFUNCTION("IF(
  REGEXMATCH(E234, "":""),
  60*VALUE(INDEX(SPLIT(E234, "":""),1,1)) + VALUE(INDEX(SPLIT(E234, "":""),1,2)),
  VALUE(E234)
)"),294.23)</f>
        <v/>
      </c>
      <c r="G234" s="35">
        <f>average(F231-F233,F232-F234)</f>
        <v/>
      </c>
      <c r="H234" s="35" t="n">
        <v>7.684999999999974</v>
      </c>
      <c r="I234" s="215">
        <f>C230</f>
        <v/>
      </c>
      <c r="J234" s="215">
        <f>C247</f>
        <v/>
      </c>
      <c r="K234" s="43">
        <f t="array" ref="K234">INDEX('Podium Target Times'!$C:$C, MATCH(A234&amp;B234, 'Podium Target Times'!$A:$A&amp;'Podium Target Times'!$B:$B, 0))
</f>
        <v/>
      </c>
      <c r="L234" s="12">
        <f>L236+G236</f>
        <v/>
      </c>
      <c r="M234" s="43">
        <f>IF(L234&lt;60, TEXT(L234,"0.00"), IF(L234&lt;600, TEXT(L234/86400,"m:ss.00"), TEXT(L234/86400,"mm:ss.00")))
</f>
        <v/>
      </c>
      <c r="N234" s="14">
        <f>IFERROR(__xludf.DUMMYFUNCTION("LET(
  gen,$A234, ev,$B234, t,$M234,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
      </c>
      <c r="O234" s="65" t="n"/>
      <c r="P234" s="69">
        <f>A239</f>
        <v/>
      </c>
      <c r="Q234" s="65">
        <f>B239</f>
        <v/>
      </c>
      <c r="R234" s="69">
        <f>C239</f>
        <v/>
      </c>
      <c r="S234" s="58">
        <f>M239</f>
        <v/>
      </c>
      <c r="T234" s="69">
        <f>N239</f>
        <v/>
      </c>
      <c r="U234" s="65" t="n"/>
      <c r="V234" s="65" t="n"/>
      <c r="W234" s="65" t="n"/>
    </row>
    <row r="235">
      <c r="A235" s="17" t="inlineStr">
        <is>
          <t>F</t>
        </is>
      </c>
      <c r="B235" s="18" t="inlineStr">
        <is>
          <t>400 IM</t>
        </is>
      </c>
      <c r="C235" s="18" t="n">
        <v>15</v>
      </c>
      <c r="D235" s="18" t="n">
        <v>3</v>
      </c>
      <c r="E235" s="46" t="inlineStr">
        <is>
          <t>4:54.88</t>
        </is>
      </c>
      <c r="F235" s="21">
        <f>IFERROR(__xludf.DUMMYFUNCTION("IF(
  REGEXMATCH(E235, "":""),
  60*VALUE(INDEX(SPLIT(E235, "":""),1,1)) + VALUE(INDEX(SPLIT(E235, "":""),1,2)),
  VALUE(E235)
)"),294.88)</f>
        <v/>
      </c>
      <c r="G235" s="21">
        <f>average(F231-F233,F232-F234)</f>
        <v/>
      </c>
      <c r="H235" s="21" t="n">
        <v>7.684999999999974</v>
      </c>
      <c r="I235" s="211">
        <f>C230</f>
        <v/>
      </c>
      <c r="J235" s="211">
        <f>C247</f>
        <v/>
      </c>
      <c r="K235" s="60">
        <f t="array" ref="K235">INDEX('Podium Target Times'!$C:$C, MATCH(A235&amp;B235, 'Podium Target Times'!$A:$A&amp;'Podium Target Times'!$B:$B, 0))
</f>
        <v/>
      </c>
      <c r="L235" s="24">
        <f>L236+G236</f>
        <v/>
      </c>
      <c r="M235" s="60">
        <f>IF(L235&lt;60, TEXT(L235,"0.00"), IF(L235&lt;600, TEXT(L235/86400,"m:ss.00"), TEXT(L235/86400,"mm:ss.00")))
</f>
        <v/>
      </c>
      <c r="N235" s="25">
        <f>IFERROR(__xludf.DUMMYFUNCTION("LET(
  gen,$A235, ev,$B235, t,$M235,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)"),654.0)</f>
        <v/>
      </c>
      <c r="O235" s="65" t="n"/>
      <c r="P235" s="69">
        <f>A242</f>
        <v/>
      </c>
      <c r="Q235" s="65">
        <f>B242</f>
        <v/>
      </c>
      <c r="R235" s="69">
        <f>C242</f>
        <v/>
      </c>
      <c r="S235" s="58">
        <f>M242</f>
        <v/>
      </c>
      <c r="T235" s="69">
        <f>N242</f>
        <v/>
      </c>
      <c r="U235" s="65" t="n"/>
      <c r="V235" s="65" t="n"/>
      <c r="W235" s="65" t="n"/>
    </row>
    <row r="236">
      <c r="A236" s="8" t="inlineStr">
        <is>
          <t>F</t>
        </is>
      </c>
      <c r="B236" s="9" t="inlineStr">
        <is>
          <t>400 IM</t>
        </is>
      </c>
      <c r="C236" s="9" t="n">
        <v>16</v>
      </c>
      <c r="D236" s="9" t="n">
        <v>1</v>
      </c>
      <c r="E236" s="41" t="inlineStr">
        <is>
          <t>4:46.20</t>
        </is>
      </c>
      <c r="F236" s="35">
        <f>IFERROR(__xludf.DUMMYFUNCTION("IF(
  REGEXMATCH(E236, "":""),
  60*VALUE(INDEX(SPLIT(E236, "":""),1,1)) + VALUE(INDEX(SPLIT(E236, "":""),1,2)),
  VALUE(E236)
)"),286.2)</f>
        <v/>
      </c>
      <c r="G236" s="35">
        <f>average(F233-F236,F234-F237,F235-F238)</f>
        <v/>
      </c>
      <c r="H236" s="35" t="n">
        <v>5.066666666666682</v>
      </c>
      <c r="I236" s="215">
        <f>C230</f>
        <v/>
      </c>
      <c r="J236" s="215">
        <f>C247</f>
        <v/>
      </c>
      <c r="K236" s="43">
        <f t="array" ref="K236">INDEX('Podium Target Times'!$C:$C, MATCH(A236&amp;B236, 'Podium Target Times'!$A:$A&amp;'Podium Target Times'!$B:$B, 0))
</f>
        <v/>
      </c>
      <c r="L236" s="12">
        <f>L239+G239</f>
        <v/>
      </c>
      <c r="M236" s="43">
        <f>IF(L236&lt;60, TEXT(L236,"0.00"), IF(L236&lt;600, TEXT(L236/86400,"m:ss.00"), TEXT(L236/86400,"mm:ss.00")))
</f>
        <v/>
      </c>
      <c r="N236" s="14">
        <f>IFERROR(__xludf.DUMMYFUNCTION("LET(
  gen,$A236, ev,$B236, t,$M236,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236" s="65" t="n"/>
      <c r="P236" s="69">
        <f>A244</f>
        <v/>
      </c>
      <c r="Q236" s="65">
        <f>B244</f>
        <v/>
      </c>
      <c r="R236" s="69">
        <f>C244</f>
        <v/>
      </c>
      <c r="S236" s="58">
        <f>M244</f>
        <v/>
      </c>
      <c r="T236" s="69">
        <f>N244</f>
        <v/>
      </c>
      <c r="U236" s="65" t="n"/>
      <c r="V236" s="65" t="n"/>
      <c r="W236" s="65" t="n"/>
    </row>
    <row r="237">
      <c r="A237" s="17" t="inlineStr">
        <is>
          <t>F</t>
        </is>
      </c>
      <c r="B237" s="18" t="inlineStr">
        <is>
          <t>400 IM</t>
        </is>
      </c>
      <c r="C237" s="18" t="n">
        <v>16</v>
      </c>
      <c r="D237" s="221" t="n">
        <v>2</v>
      </c>
      <c r="E237" s="46" t="inlineStr">
        <is>
          <t>4:49.15</t>
        </is>
      </c>
      <c r="F237" s="21">
        <f>IFERROR(__xludf.DUMMYFUNCTION("IF(
  REGEXMATCH(E237, "":""),
  60*VALUE(INDEX(SPLIT(E237, "":""),1,1)) + VALUE(INDEX(SPLIT(E237, "":""),1,2)),
  VALUE(E237)
)"),289.15)</f>
        <v/>
      </c>
      <c r="G237" s="21">
        <f>average(F233-F236,F234-F237,F235-F238)</f>
        <v/>
      </c>
      <c r="H237" s="21" t="n">
        <v>5.066666666666682</v>
      </c>
      <c r="I237" s="211">
        <f>C230</f>
        <v/>
      </c>
      <c r="J237" s="211">
        <f>C247</f>
        <v/>
      </c>
      <c r="K237" s="60">
        <f t="array" ref="K237">INDEX('Podium Target Times'!$C:$C, MATCH(A237&amp;B237, 'Podium Target Times'!$A:$A&amp;'Podium Target Times'!$B:$B, 0))
</f>
        <v/>
      </c>
      <c r="L237" s="24">
        <f>L239+G239</f>
        <v/>
      </c>
      <c r="M237" s="60">
        <f>IF(L237&lt;60, TEXT(L237,"0.00"), IF(L237&lt;600, TEXT(L237/86400,"m:ss.00"), TEXT(L237/86400,"mm:ss.00")))
</f>
        <v/>
      </c>
      <c r="N237" s="25">
        <f>IFERROR(__xludf.DUMMYFUNCTION("LET(
  gen,$A237, ev,$B237, t,$M237,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237" s="65" t="n"/>
      <c r="P237" s="69">
        <f>A246</f>
        <v/>
      </c>
      <c r="Q237" s="65">
        <f>B246</f>
        <v/>
      </c>
      <c r="R237" s="69">
        <f>C246</f>
        <v/>
      </c>
      <c r="S237" s="58">
        <f>M246</f>
        <v/>
      </c>
      <c r="T237" s="69">
        <f>N246</f>
        <v/>
      </c>
      <c r="U237" s="65" t="n"/>
      <c r="V237" s="65" t="n"/>
      <c r="W237" s="65" t="n"/>
    </row>
    <row r="238">
      <c r="A238" s="8" t="inlineStr">
        <is>
          <t>F</t>
        </is>
      </c>
      <c r="B238" s="9" t="inlineStr">
        <is>
          <t>400 IM</t>
        </is>
      </c>
      <c r="C238" s="9" t="n">
        <v>16</v>
      </c>
      <c r="D238" s="9" t="n">
        <v>3</v>
      </c>
      <c r="E238" s="41" t="inlineStr">
        <is>
          <t>4:49.79</t>
        </is>
      </c>
      <c r="F238" s="35">
        <f>IFERROR(__xludf.DUMMYFUNCTION("IF(
  REGEXMATCH(E238, "":""),
  60*VALUE(INDEX(SPLIT(E238, "":""),1,1)) + VALUE(INDEX(SPLIT(E238, "":""),1,2)),
  VALUE(E238)
)"),289.79)</f>
        <v/>
      </c>
      <c r="G238" s="35">
        <f>average(F233-F236,F234-F237,F235-F238)</f>
        <v/>
      </c>
      <c r="H238" s="35" t="n">
        <v>5.066666666666682</v>
      </c>
      <c r="I238" s="215">
        <f>C230</f>
        <v/>
      </c>
      <c r="J238" s="215">
        <f>C247</f>
        <v/>
      </c>
      <c r="K238" s="43">
        <f t="array" ref="K238">INDEX('Podium Target Times'!$C:$C, MATCH(A238&amp;B238, 'Podium Target Times'!$A:$A&amp;'Podium Target Times'!$B:$B, 0))
</f>
        <v/>
      </c>
      <c r="L238" s="12">
        <f>L239+G239</f>
        <v/>
      </c>
      <c r="M238" s="43">
        <f>IF(L238&lt;60, TEXT(L238,"0.00"), IF(L238&lt;600, TEXT(L238/86400,"m:ss.00"), TEXT(L238/86400,"mm:ss.00")))
</f>
        <v/>
      </c>
      <c r="N238" s="14">
        <f>IFERROR(__xludf.DUMMYFUNCTION("LET(
  gen,$A238, ev,$B238, t,$M238,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O238" s="65" t="n"/>
      <c r="P238" s="69">
        <f>A247</f>
        <v/>
      </c>
      <c r="Q238" s="65">
        <f>B247</f>
        <v/>
      </c>
      <c r="R238" s="69">
        <f>C247</f>
        <v/>
      </c>
      <c r="S238" s="58">
        <f>M247</f>
        <v/>
      </c>
      <c r="T238" s="69">
        <f>N247</f>
        <v/>
      </c>
      <c r="U238" s="65" t="n">
        <v>741</v>
      </c>
      <c r="V238" s="65" t="n"/>
      <c r="W238" s="65" t="n"/>
    </row>
    <row r="239">
      <c r="A239" s="17" t="inlineStr">
        <is>
          <t>F</t>
        </is>
      </c>
      <c r="B239" s="18" t="inlineStr">
        <is>
          <t>400 IM</t>
        </is>
      </c>
      <c r="C239" s="18" t="n">
        <v>17</v>
      </c>
      <c r="D239" s="221" t="n">
        <v>1</v>
      </c>
      <c r="E239" s="46" t="inlineStr">
        <is>
          <t>4:43.06</t>
        </is>
      </c>
      <c r="F239" s="21">
        <f>IFERROR(__xludf.DUMMYFUNCTION("IF(
  REGEXMATCH(E239, "":""),
  60*VALUE(INDEX(SPLIT(E239, "":""),1,1)) + VALUE(INDEX(SPLIT(E239, "":""),1,2)),
  VALUE(E239)
)"),283.06)</f>
        <v/>
      </c>
      <c r="G239" s="21">
        <f>average(F236-F239,F237-F240,F238-F241)</f>
        <v/>
      </c>
      <c r="H239" s="21" t="n">
        <v>3.163333333333318</v>
      </c>
      <c r="I239" s="211">
        <f>C230</f>
        <v/>
      </c>
      <c r="J239" s="211">
        <f>C247</f>
        <v/>
      </c>
      <c r="K239" s="60">
        <f t="array" ref="K239">INDEX('Podium Target Times'!$C:$C, MATCH(A239&amp;B239, 'Podium Target Times'!$A:$A&amp;'Podium Target Times'!$B:$B, 0))
</f>
        <v/>
      </c>
      <c r="L239" s="24">
        <f>L242+G242</f>
        <v/>
      </c>
      <c r="M239" s="60">
        <f>IF(L239&lt;60, TEXT(L239,"0.00"), IF(L239&lt;600, TEXT(L239/86400,"m:ss.00"), TEXT(L239/86400,"mm:ss.00")))
</f>
        <v/>
      </c>
      <c r="N239" s="25">
        <f>IFERROR(__xludf.DUMMYFUNCTION("LET(
  gen,$A239, ev,$B239, t,$M239,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
      </c>
      <c r="O239" s="65" t="n"/>
      <c r="P239" s="69">
        <f>P238</f>
        <v/>
      </c>
      <c r="Q239" s="65">
        <f>Q238</f>
        <v/>
      </c>
      <c r="R239" s="69">
        <f>R238+1</f>
        <v/>
      </c>
      <c r="S239" s="58">
        <f>M248</f>
        <v/>
      </c>
      <c r="T239" s="69">
        <f>N248</f>
        <v/>
      </c>
      <c r="U239" s="65" t="n"/>
      <c r="V239" s="65" t="n"/>
      <c r="W239" s="65" t="n"/>
    </row>
    <row r="240">
      <c r="A240" s="8" t="inlineStr">
        <is>
          <t>F</t>
        </is>
      </c>
      <c r="B240" s="9" t="inlineStr">
        <is>
          <t>400 IM</t>
        </is>
      </c>
      <c r="C240" s="9" t="n">
        <v>17</v>
      </c>
      <c r="D240" s="219" t="n">
        <v>2</v>
      </c>
      <c r="E240" s="41" t="inlineStr">
        <is>
          <t>4:45.98</t>
        </is>
      </c>
      <c r="F240" s="35">
        <f>IFERROR(__xludf.DUMMYFUNCTION("IF(
  REGEXMATCH(E240, "":""),
  60*VALUE(INDEX(SPLIT(E240, "":""),1,1)) + VALUE(INDEX(SPLIT(E240, "":""),1,2)),
  VALUE(E240)
)"),285.98)</f>
        <v/>
      </c>
      <c r="G240" s="35">
        <f>average(F236-F239,F237-F240,F238-F241)</f>
        <v/>
      </c>
      <c r="H240" s="35" t="n">
        <v>3.163333333333318</v>
      </c>
      <c r="I240" s="215">
        <f>C230</f>
        <v/>
      </c>
      <c r="J240" s="215">
        <f>C247</f>
        <v/>
      </c>
      <c r="K240" s="43">
        <f t="array" ref="K240">INDEX('Podium Target Times'!$C:$C, MATCH(A240&amp;B240, 'Podium Target Times'!$A:$A&amp;'Podium Target Times'!$B:$B, 0))
</f>
        <v/>
      </c>
      <c r="L240" s="12">
        <f>L242+G242</f>
        <v/>
      </c>
      <c r="M240" s="43">
        <f>IF(L240&lt;60, TEXT(L240,"0.00"), IF(L240&lt;600, TEXT(L240/86400,"m:ss.00"), TEXT(L240/86400,"mm:ss.00")))
</f>
        <v/>
      </c>
      <c r="N240" s="14">
        <f>IFERROR(__xludf.DUMMYFUNCTION("LET(
  gen,$A240, ev,$B240, t,$M240,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
      </c>
      <c r="O240" s="65" t="n"/>
      <c r="P240" s="69">
        <f>P239</f>
        <v/>
      </c>
      <c r="Q240" s="65">
        <f>Q239</f>
        <v/>
      </c>
      <c r="R240" s="69">
        <f>R239+1</f>
        <v/>
      </c>
      <c r="S240" s="58">
        <f>M249</f>
        <v/>
      </c>
      <c r="T240" s="69">
        <f>N249</f>
        <v/>
      </c>
      <c r="U240" s="65" t="n"/>
      <c r="V240" s="65" t="n"/>
      <c r="W240" s="65" t="n"/>
    </row>
    <row r="241">
      <c r="A241" s="17" t="inlineStr">
        <is>
          <t>F</t>
        </is>
      </c>
      <c r="B241" s="18" t="inlineStr">
        <is>
          <t>400 IM</t>
        </is>
      </c>
      <c r="C241" s="18" t="n">
        <v>17</v>
      </c>
      <c r="D241" s="18" t="n">
        <v>3</v>
      </c>
      <c r="E241" s="46" t="inlineStr">
        <is>
          <t>4:46.61</t>
        </is>
      </c>
      <c r="F241" s="21">
        <f>IFERROR(__xludf.DUMMYFUNCTION("IF(
  REGEXMATCH(E241, "":""),
  60*VALUE(INDEX(SPLIT(E241, "":""),1,1)) + VALUE(INDEX(SPLIT(E241, "":""),1,2)),
  VALUE(E241)
)"),286.61)</f>
        <v/>
      </c>
      <c r="G241" s="21">
        <f>average(F236-F239,F237-F240,F238-F241)</f>
        <v/>
      </c>
      <c r="H241" s="21" t="n">
        <v>3.163333333333318</v>
      </c>
      <c r="I241" s="211">
        <f>C230</f>
        <v/>
      </c>
      <c r="J241" s="211">
        <f>C247</f>
        <v/>
      </c>
      <c r="K241" s="60">
        <f t="array" ref="K241">INDEX('Podium Target Times'!$C:$C, MATCH(A241&amp;B241, 'Podium Target Times'!$A:$A&amp;'Podium Target Times'!$B:$B, 0))
</f>
        <v/>
      </c>
      <c r="L241" s="24">
        <f>L242+G242</f>
        <v/>
      </c>
      <c r="M241" s="60">
        <f>IF(L241&lt;60, TEXT(L241,"0.00"), IF(L241&lt;600, TEXT(L241/86400,"m:ss.00"), TEXT(L241/86400,"mm:ss.00")))
</f>
        <v/>
      </c>
      <c r="N241" s="25">
        <f>IFERROR(__xludf.DUMMYFUNCTION("LET(
  gen,$A241, ev,$B241, t,$M241,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)"),710.0)</f>
        <v/>
      </c>
      <c r="O241" s="65" t="n"/>
      <c r="P241" s="69">
        <f>P240</f>
        <v/>
      </c>
      <c r="Q241" s="65">
        <f>Q240</f>
        <v/>
      </c>
      <c r="R241" s="69">
        <f>R240+1</f>
        <v/>
      </c>
      <c r="S241" s="58">
        <f>M250</f>
        <v/>
      </c>
      <c r="T241" s="69">
        <f>N250</f>
        <v/>
      </c>
      <c r="U241" s="65" t="n"/>
      <c r="V241" s="65" t="n"/>
      <c r="W241" s="65" t="n"/>
    </row>
    <row r="242">
      <c r="A242" s="8" t="inlineStr">
        <is>
          <t>F</t>
        </is>
      </c>
      <c r="B242" s="9" t="inlineStr">
        <is>
          <t>400 IM</t>
        </is>
      </c>
      <c r="C242" s="9" t="n">
        <v>18</v>
      </c>
      <c r="D242" s="219" t="n">
        <v>2</v>
      </c>
      <c r="E242" s="41" t="inlineStr">
        <is>
          <t>4:44.11</t>
        </is>
      </c>
      <c r="F242" s="35">
        <f>IFERROR(__xludf.DUMMYFUNCTION("IF(
  REGEXMATCH(E242, "":""),
  60*VALUE(INDEX(SPLIT(E242, "":""),1,1)) + VALUE(INDEX(SPLIT(E242, "":""),1,2)),
  VALUE(E242)
)"),284.11)</f>
        <v/>
      </c>
      <c r="G242" s="35">
        <f>average(F240-F242,F241-F243)</f>
        <v/>
      </c>
      <c r="H242" s="35" t="n">
        <v>1.870000000000005</v>
      </c>
      <c r="I242" s="215">
        <f>C230</f>
        <v/>
      </c>
      <c r="J242" s="215">
        <f>C247</f>
        <v/>
      </c>
      <c r="K242" s="43">
        <f t="array" ref="K242">INDEX('Podium Target Times'!$C:$C, MATCH(A242&amp;B242, 'Podium Target Times'!$A:$A&amp;'Podium Target Times'!$B:$B, 0))
</f>
        <v/>
      </c>
      <c r="L242" s="12">
        <f>L244+G244</f>
        <v/>
      </c>
      <c r="M242" s="43">
        <f>IF(L242&lt;60, TEXT(L242,"0.00"), IF(L242&lt;600, TEXT(L242/86400,"m:ss.00"), TEXT(L242/86400,"mm:ss.00")))
</f>
        <v/>
      </c>
      <c r="N242" s="14">
        <f>IFERROR(__xludf.DUMMYFUNCTION("LET(
  gen,$A242, ev,$B242, t,$M242,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O242" s="65" t="n"/>
      <c r="P242" s="69">
        <f>P241</f>
        <v/>
      </c>
      <c r="Q242" s="65">
        <f>Q241</f>
        <v/>
      </c>
      <c r="R242" s="69">
        <f>R241+1</f>
        <v/>
      </c>
      <c r="S242" s="58">
        <f>M251</f>
        <v/>
      </c>
      <c r="T242" s="69">
        <f>N251</f>
        <v/>
      </c>
      <c r="U242" s="65" t="n"/>
      <c r="V242" s="65" t="n"/>
      <c r="W242" s="65" t="n"/>
    </row>
    <row r="243">
      <c r="A243" s="17" t="inlineStr">
        <is>
          <t>F</t>
        </is>
      </c>
      <c r="B243" s="18" t="inlineStr">
        <is>
          <t>400 IM</t>
        </is>
      </c>
      <c r="C243" s="18" t="n">
        <v>18</v>
      </c>
      <c r="D243" s="18" t="n">
        <v>3</v>
      </c>
      <c r="E243" s="46" t="inlineStr">
        <is>
          <t>4:44.74</t>
        </is>
      </c>
      <c r="F243" s="21">
        <f>IFERROR(__xludf.DUMMYFUNCTION("IF(
  REGEXMATCH(E243, "":""),
  60*VALUE(INDEX(SPLIT(E243, "":""),1,1)) + VALUE(INDEX(SPLIT(E243, "":""),1,2)),
  VALUE(E243)
)"),284.74)</f>
        <v/>
      </c>
      <c r="G243" s="21">
        <f>average(F240-F242,F241-F243)</f>
        <v/>
      </c>
      <c r="H243" s="21" t="n">
        <v>1.870000000000005</v>
      </c>
      <c r="I243" s="211">
        <f>C230</f>
        <v/>
      </c>
      <c r="J243" s="211">
        <f>C247</f>
        <v/>
      </c>
      <c r="K243" s="60">
        <f t="array" ref="K243">INDEX('Podium Target Times'!$C:$C, MATCH(A243&amp;B243, 'Podium Target Times'!$A:$A&amp;'Podium Target Times'!$B:$B, 0))
</f>
        <v/>
      </c>
      <c r="L243" s="24">
        <f>L244+G244</f>
        <v/>
      </c>
      <c r="M243" s="60">
        <f>IF(L243&lt;60, TEXT(L243,"0.00"), IF(L243&lt;600, TEXT(L243/86400,"m:ss.00"), TEXT(L243/86400,"mm:ss.00")))
</f>
        <v/>
      </c>
      <c r="N243" s="25">
        <f>IFERROR(__xludf.DUMMYFUNCTION("LET(
  gen,$A243, ev,$B243, t,$M243,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O243" s="65" t="n"/>
      <c r="P243" s="69" t="n"/>
      <c r="Q243" s="65" t="n"/>
      <c r="R243" s="69" t="n"/>
      <c r="S243" s="58" t="n"/>
      <c r="T243" s="69" t="n"/>
      <c r="U243" s="65" t="n"/>
      <c r="V243" s="65" t="n"/>
      <c r="W243" s="65" t="n"/>
    </row>
    <row r="244">
      <c r="A244" s="8" t="inlineStr">
        <is>
          <t>F</t>
        </is>
      </c>
      <c r="B244" s="9" t="inlineStr">
        <is>
          <t>400 IM</t>
        </is>
      </c>
      <c r="C244" s="9" t="n">
        <v>19</v>
      </c>
      <c r="D244" s="219" t="n">
        <v>2</v>
      </c>
      <c r="E244" s="41" t="inlineStr">
        <is>
          <t>4:43.06</t>
        </is>
      </c>
      <c r="F244" s="35">
        <f>IFERROR(__xludf.DUMMYFUNCTION("IF(
  REGEXMATCH(E244, "":""),
  60*VALUE(INDEX(SPLIT(E244, "":""),1,1)) + VALUE(INDEX(SPLIT(E244, "":""),1,2)),
  VALUE(E244)
)"),283.06)</f>
        <v/>
      </c>
      <c r="G244" s="35">
        <f>average(F242-F244,F243-F245)</f>
        <v/>
      </c>
      <c r="H244" s="35" t="n">
        <v>1.050000000000011</v>
      </c>
      <c r="I244" s="215">
        <f>C230</f>
        <v/>
      </c>
      <c r="J244" s="215">
        <f>C247</f>
        <v/>
      </c>
      <c r="K244" s="43">
        <f t="array" ref="K244">INDEX('Podium Target Times'!$C:$C, MATCH(A244&amp;B244, 'Podium Target Times'!$A:$A&amp;'Podium Target Times'!$B:$B, 0))
</f>
        <v/>
      </c>
      <c r="L244" s="12">
        <f>L246+G246</f>
        <v/>
      </c>
      <c r="M244" s="43">
        <f>IF(L244&lt;60, TEXT(L244,"0.00"), IF(L244&lt;600, TEXT(L244/86400,"m:ss.00"), TEXT(L244/86400,"mm:ss.00")))
</f>
        <v/>
      </c>
      <c r="N244" s="14">
        <f>IFERROR(__xludf.DUMMYFUNCTION("LET(
  gen,$A244, ev,$B244, t,$M244,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
      </c>
      <c r="O244" s="65" t="n"/>
      <c r="P244" s="69" t="n"/>
      <c r="Q244" s="65" t="n"/>
      <c r="R244" s="69" t="n"/>
      <c r="S244" s="58" t="n"/>
      <c r="T244" s="69" t="n"/>
      <c r="U244" s="65" t="n"/>
      <c r="V244" s="65" t="n"/>
      <c r="W244" s="65" t="n"/>
    </row>
    <row r="245">
      <c r="A245" s="17" t="inlineStr">
        <is>
          <t>F</t>
        </is>
      </c>
      <c r="B245" s="18" t="inlineStr">
        <is>
          <t>400 IM</t>
        </is>
      </c>
      <c r="C245" s="18" t="n">
        <v>19</v>
      </c>
      <c r="D245" s="18" t="n">
        <v>3</v>
      </c>
      <c r="E245" s="46" t="inlineStr">
        <is>
          <t>4:43.69</t>
        </is>
      </c>
      <c r="F245" s="21">
        <f>IFERROR(__xludf.DUMMYFUNCTION("IF(
  REGEXMATCH(E245, "":""),
  60*VALUE(INDEX(SPLIT(E245, "":""),1,1)) + VALUE(INDEX(SPLIT(E245, "":""),1,2)),
  VALUE(E245)
)"),283.69)</f>
        <v/>
      </c>
      <c r="G245" s="21">
        <f>average(F242-F244,F243-F245)</f>
        <v/>
      </c>
      <c r="H245" s="21" t="n">
        <v>1.050000000000011</v>
      </c>
      <c r="I245" s="211">
        <f>C230</f>
        <v/>
      </c>
      <c r="J245" s="211">
        <f>C247</f>
        <v/>
      </c>
      <c r="K245" s="60">
        <f t="array" ref="K245">INDEX('Podium Target Times'!$C:$C, MATCH(A245&amp;B245, 'Podium Target Times'!$A:$A&amp;'Podium Target Times'!$B:$B, 0))
</f>
        <v/>
      </c>
      <c r="L245" s="24">
        <f>L246+G246</f>
        <v/>
      </c>
      <c r="M245" s="60">
        <f>IF(L245&lt;60, TEXT(L245,"0.00"), IF(L245&lt;600, TEXT(L245/86400,"m:ss.00"), TEXT(L245/86400,"mm:ss.00")))
</f>
        <v/>
      </c>
      <c r="N245" s="25">
        <f>IFERROR(__xludf.DUMMYFUNCTION("LET(
  gen,$A245, ev,$B245, t,$M245,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)"),731.0)</f>
        <v/>
      </c>
      <c r="O245" s="65" t="n"/>
      <c r="P245" s="69" t="n"/>
      <c r="Q245" s="65" t="n"/>
      <c r="R245" s="69" t="n"/>
      <c r="S245" s="58" t="n"/>
      <c r="T245" s="69" t="n"/>
      <c r="U245" s="65" t="n"/>
      <c r="V245" s="65" t="n"/>
      <c r="W245" s="65" t="n"/>
    </row>
    <row r="246">
      <c r="A246" s="8" t="inlineStr">
        <is>
          <t>F</t>
        </is>
      </c>
      <c r="B246" s="9" t="inlineStr">
        <is>
          <t>400 IM</t>
        </is>
      </c>
      <c r="C246" s="9" t="n">
        <v>20</v>
      </c>
      <c r="D246" s="9" t="n">
        <v>3</v>
      </c>
      <c r="E246" s="41" t="inlineStr">
        <is>
          <t>4:43.24</t>
        </is>
      </c>
      <c r="F246" s="35">
        <f>IFERROR(__xludf.DUMMYFUNCTION("IF(
  REGEXMATCH(E246, "":""),
  60*VALUE(INDEX(SPLIT(E246, "":""),1,1)) + VALUE(INDEX(SPLIT(E246, "":""),1,2)),
  VALUE(E246)
)"),283.24)</f>
        <v/>
      </c>
      <c r="G246" s="35">
        <f>F245-F246</f>
        <v/>
      </c>
      <c r="H246" s="35" t="n">
        <v>0.4499999999999886</v>
      </c>
      <c r="I246" s="215">
        <f>C230</f>
        <v/>
      </c>
      <c r="J246" s="215">
        <f>C247</f>
        <v/>
      </c>
      <c r="K246" s="43">
        <f t="array" ref="K246">INDEX('Podium Target Times'!$C:$C, MATCH(A246&amp;B246, 'Podium Target Times'!$A:$A&amp;'Podium Target Times'!$B:$B, 0))
</f>
        <v/>
      </c>
      <c r="L246" s="12">
        <f>L247+G247</f>
        <v/>
      </c>
      <c r="M246" s="43">
        <f>IF(L246&lt;60, TEXT(L246,"0.00"), IF(L246&lt;600, TEXT(L246/86400,"m:ss.00"), TEXT(L246/86400,"mm:ss.00")))
</f>
        <v/>
      </c>
      <c r="N246" s="14">
        <f>IFERROR(__xludf.DUMMYFUNCTION("LET(
  gen,$A246, ev,$B246, t,$M246,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246" s="65" t="n"/>
      <c r="P246" s="69" t="n"/>
      <c r="Q246" s="65" t="n"/>
      <c r="R246" s="69" t="n"/>
      <c r="S246" s="58" t="n"/>
      <c r="T246" s="69" t="n"/>
      <c r="U246" s="65" t="n"/>
      <c r="V246" s="65" t="n"/>
      <c r="W246" s="65" t="n"/>
    </row>
    <row r="247">
      <c r="A247" s="17" t="inlineStr">
        <is>
          <t>F</t>
        </is>
      </c>
      <c r="B247" s="18" t="inlineStr">
        <is>
          <t>400 IM</t>
        </is>
      </c>
      <c r="C247" s="18" t="n">
        <v>21</v>
      </c>
      <c r="D247" s="221" t="n">
        <v>3</v>
      </c>
      <c r="E247" s="46" t="inlineStr">
        <is>
          <t>4:43.06</t>
        </is>
      </c>
      <c r="F247" s="21">
        <f>IFERROR(__xludf.DUMMYFUNCTION("IF(
  REGEXMATCH(E247, "":""),
  60*VALUE(INDEX(SPLIT(E247, "":""),1,1)) + VALUE(INDEX(SPLIT(E247, "":""),1,2)),
  VALUE(E247)
)"),283.06)</f>
        <v/>
      </c>
      <c r="G247" s="21">
        <f>F246-F247</f>
        <v/>
      </c>
      <c r="H247" s="21" t="n">
        <v>0.1800000000000068</v>
      </c>
      <c r="I247" s="211">
        <f>C230</f>
        <v/>
      </c>
      <c r="J247" s="211">
        <f>C247</f>
        <v/>
      </c>
      <c r="K247" s="60">
        <f t="array" ref="K247">INDEX('Podium Target Times'!$C:$C, MATCH(A247&amp;B247, 'Podium Target Times'!$A:$A&amp;'Podium Target Times'!$B:$B, 0))
</f>
        <v/>
      </c>
      <c r="L247" s="21">
        <f>G247+L248</f>
        <v/>
      </c>
      <c r="M247" s="60">
        <f>IF(L247&lt;60, TEXT(L247,"0.00"), IF(L247&lt;600, TEXT(L247/86400,"m:ss.00"), TEXT(L247/86400,"mm:ss.00")))
</f>
        <v/>
      </c>
      <c r="N247" s="25">
        <f>IFERROR(__xludf.DUMMYFUNCTION("LET(
  gen,$A247, ev,$B247, t,$M247,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O247" s="65" t="n"/>
      <c r="P247" s="69" t="n"/>
      <c r="Q247" s="65" t="n"/>
      <c r="R247" s="69" t="n"/>
      <c r="S247" s="58" t="n"/>
      <c r="T247" s="69" t="n"/>
      <c r="U247" s="65" t="n"/>
      <c r="V247" s="65" t="n"/>
      <c r="W247" s="65" t="n"/>
    </row>
    <row r="248">
      <c r="A248" s="8" t="inlineStr">
        <is>
          <t>F</t>
        </is>
      </c>
      <c r="B248" s="9" t="inlineStr">
        <is>
          <t>400 IM</t>
        </is>
      </c>
      <c r="C248" s="9" t="n">
        <v>22</v>
      </c>
      <c r="D248" s="9" t="n"/>
      <c r="E248" s="41" t="n"/>
      <c r="F248" s="35">
        <f>IFERROR(__xludf.DUMMYFUNCTION("IF(
  REGEXMATCH(E248, "":""),
  60*VALUE(INDEX(SPLIT(E248, "":""),1,1)) + VALUE(INDEX(SPLIT(E248, "":""),1,2)),
  VALUE(E248)
)"),0.0)</f>
        <v/>
      </c>
      <c r="G248" s="12" t="n"/>
      <c r="H248" s="12" t="n"/>
      <c r="I248" s="43">
        <f>C230</f>
        <v/>
      </c>
      <c r="J248" s="43">
        <f>C247</f>
        <v/>
      </c>
      <c r="K248" s="43">
        <f t="array" ref="K248">INDEX('Podium Target Times'!$C:$C, MATCH(A248&amp;B248, 'Podium Target Times'!$A:$A&amp;'Podium Target Times'!$B:$B, 0))
</f>
        <v/>
      </c>
      <c r="L248" s="12">
        <f>G247+L249</f>
        <v/>
      </c>
      <c r="M248" s="43">
        <f>IF(L248&lt;60, TEXT(L248,"0.00"), IF(L248&lt;600, TEXT(L248/86400,"m:ss.00"), TEXT(L248/86400,"mm:ss.00")))
</f>
        <v/>
      </c>
      <c r="N248" s="14">
        <f>IFERROR(__xludf.DUMMYFUNCTION("LET(
  gen,$A248, ev,$B248, t,$M248,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O248" s="65" t="n"/>
      <c r="P248" s="69" t="n"/>
      <c r="Q248" s="65" t="n"/>
      <c r="R248" s="69" t="n"/>
      <c r="S248" s="58" t="n"/>
      <c r="T248" s="69" t="n"/>
      <c r="U248" s="65" t="n"/>
      <c r="V248" s="65" t="n"/>
      <c r="W248" s="65" t="n"/>
    </row>
    <row r="249">
      <c r="A249" s="17" t="inlineStr">
        <is>
          <t>F</t>
        </is>
      </c>
      <c r="B249" s="18" t="inlineStr">
        <is>
          <t>400 IM</t>
        </is>
      </c>
      <c r="C249" s="18" t="n">
        <v>23</v>
      </c>
      <c r="D249" s="18" t="n"/>
      <c r="E249" s="46" t="n"/>
      <c r="F249" s="21">
        <f>IFERROR(__xludf.DUMMYFUNCTION("IF(
  REGEXMATCH(E249, "":""),
  60*VALUE(INDEX(SPLIT(E249, "":""),1,1)) + VALUE(INDEX(SPLIT(E249, "":""),1,2)),
  VALUE(E249)
)"),0.0)</f>
        <v/>
      </c>
      <c r="G249" s="24" t="n"/>
      <c r="H249" s="24" t="n"/>
      <c r="I249" s="60">
        <f>C230</f>
        <v/>
      </c>
      <c r="J249" s="60">
        <f>C247</f>
        <v/>
      </c>
      <c r="K249" s="60">
        <f t="array" ref="K249">INDEX('Podium Target Times'!$C:$C, MATCH(A249&amp;B249, 'Podium Target Times'!$A:$A&amp;'Podium Target Times'!$B:$B, 0))
</f>
        <v/>
      </c>
      <c r="L249" s="24">
        <f>G247+L250</f>
        <v/>
      </c>
      <c r="M249" s="60">
        <f>IF(L249&lt;60, TEXT(L249,"0.00"), IF(L249&lt;600, TEXT(L249/86400,"m:ss.00"), TEXT(L249/86400,"mm:ss.00")))
</f>
        <v/>
      </c>
      <c r="N249" s="25">
        <f>IFERROR(__xludf.DUMMYFUNCTION("LET(
  gen,$A249, ev,$B249, t,$M249,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O249" s="65" t="n"/>
      <c r="P249" s="69" t="n"/>
      <c r="Q249" s="65" t="n"/>
      <c r="R249" s="69" t="n"/>
      <c r="S249" s="58" t="n"/>
      <c r="T249" s="69" t="n"/>
      <c r="U249" s="65" t="n"/>
      <c r="V249" s="65" t="n"/>
      <c r="W249" s="65" t="n"/>
    </row>
    <row r="250">
      <c r="A250" s="8" t="inlineStr">
        <is>
          <t>F</t>
        </is>
      </c>
      <c r="B250" s="9" t="inlineStr">
        <is>
          <t>400 IM</t>
        </is>
      </c>
      <c r="C250" s="9" t="n">
        <v>24</v>
      </c>
      <c r="D250" s="9" t="n"/>
      <c r="E250" s="41" t="n"/>
      <c r="F250" s="35">
        <f>IFERROR(__xludf.DUMMYFUNCTION("IF(
  REGEXMATCH(E250, "":""),
  60*VALUE(INDEX(SPLIT(E250, "":""),1,1)) + VALUE(INDEX(SPLIT(E250, "":""),1,2)),
  VALUE(E250)
)"),0.0)</f>
        <v/>
      </c>
      <c r="G250" s="12" t="n"/>
      <c r="H250" s="12" t="n"/>
      <c r="I250" s="43">
        <f>C230</f>
        <v/>
      </c>
      <c r="J250" s="43">
        <f>C247</f>
        <v/>
      </c>
      <c r="K250" s="43">
        <f t="array" ref="K250">INDEX('Podium Target Times'!$C:$C, MATCH(A250&amp;B250, 'Podium Target Times'!$A:$A&amp;'Podium Target Times'!$B:$B, 0))
</f>
        <v/>
      </c>
      <c r="L250" s="12">
        <f>G247+L251</f>
        <v/>
      </c>
      <c r="M250" s="43">
        <f>IF(L250&lt;60, TEXT(L250,"0.00"), IF(L250&lt;600, TEXT(L250/86400,"m:ss.00"), TEXT(L250/86400,"mm:ss.00")))
</f>
        <v/>
      </c>
      <c r="N250" s="14">
        <f>IFERROR(__xludf.DUMMYFUNCTION("LET(
  gen,$A250, ev,$B250, t,$M250,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250" s="65" t="n"/>
      <c r="P250" s="69" t="n"/>
      <c r="Q250" s="65" t="n"/>
      <c r="R250" s="69" t="n"/>
      <c r="S250" s="58" t="n"/>
      <c r="T250" s="69" t="n"/>
      <c r="U250" s="65" t="n"/>
      <c r="V250" s="65" t="n"/>
      <c r="W250" s="65" t="n"/>
    </row>
    <row r="251">
      <c r="A251" s="17" t="inlineStr">
        <is>
          <t>F</t>
        </is>
      </c>
      <c r="B251" s="18" t="inlineStr">
        <is>
          <t>400 IM</t>
        </is>
      </c>
      <c r="C251" s="18" t="n">
        <v>25</v>
      </c>
      <c r="D251" s="18" t="n"/>
      <c r="E251" s="46" t="n"/>
      <c r="F251" s="21">
        <f>IFERROR(__xludf.DUMMYFUNCTION("IF(
  REGEXMATCH(E251, "":""),
  60*VALUE(INDEX(SPLIT(E251, "":""),1,1)) + VALUE(INDEX(SPLIT(E251, "":""),1,2)),
  VALUE(E251)
)"),0.0)</f>
        <v/>
      </c>
      <c r="G251" s="24" t="n"/>
      <c r="H251" s="24" t="n"/>
      <c r="I251" s="60">
        <f>C230</f>
        <v/>
      </c>
      <c r="J251" s="60">
        <f>C247</f>
        <v/>
      </c>
      <c r="K251" s="60">
        <f t="array" ref="K251">INDEX('Podium Target Times'!$C:$C, MATCH(A251&amp;B251, 'Podium Target Times'!$A:$A&amp;'Podium Target Times'!$B:$B, 0))
</f>
        <v/>
      </c>
      <c r="L251" s="60">
        <f>K251</f>
        <v/>
      </c>
      <c r="M251" s="60">
        <f>IF(L251&lt;60, TEXT(L251,"0.00"), IF(L251&lt;600, TEXT(L251/86400,"m:ss.00"), TEXT(L251/86400,"mm:ss.00")))
</f>
        <v/>
      </c>
      <c r="N251" s="25">
        <f>IFERROR(__xludf.DUMMYFUNCTION("LET(
  gen,$A251, ev,$B251, t,$M251,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251" s="65" t="n"/>
      <c r="P251" s="69" t="n"/>
      <c r="Q251" s="65" t="n"/>
      <c r="R251" s="69" t="n"/>
      <c r="S251" s="58" t="n"/>
      <c r="T251" s="69" t="n"/>
      <c r="U251" s="65" t="n"/>
      <c r="V251" s="65" t="n"/>
      <c r="W251" s="65" t="n"/>
    </row>
    <row r="252">
      <c r="A252" s="8" t="inlineStr">
        <is>
          <t>F</t>
        </is>
      </c>
      <c r="B252" s="9" t="inlineStr">
        <is>
          <t>50 Back</t>
        </is>
      </c>
      <c r="C252" s="9" t="n">
        <v>15</v>
      </c>
      <c r="D252" s="9" t="n">
        <v>1</v>
      </c>
      <c r="E252" s="41" t="inlineStr">
        <is>
          <t>29.29</t>
        </is>
      </c>
      <c r="F252" s="35">
        <f>IFERROR(__xludf.DUMMYFUNCTION("IF(
  REGEXMATCH(E252, "":""),
  60*VALUE(INDEX(SPLIT(E252, "":""),1,1)) + VALUE(INDEX(SPLIT(E252, "":""),1,2)),
  VALUE(E252)
)"),29.29)</f>
        <v/>
      </c>
      <c r="G252" s="12" t="n">
        <v>0</v>
      </c>
      <c r="H252" s="12" t="n">
        <v>0</v>
      </c>
      <c r="I252" s="43">
        <f>C252</f>
        <v/>
      </c>
      <c r="J252" s="43">
        <f>C271</f>
        <v/>
      </c>
      <c r="K252" s="43">
        <f t="array" ref="K252">INDEX('Podium Target Times'!$C:$C, MATCH(A252&amp;B252, 'Podium Target Times'!$A:$A&amp;'Podium Target Times'!$B:$B, 0))
</f>
        <v/>
      </c>
      <c r="L252" s="12">
        <f>L253+G253</f>
        <v/>
      </c>
      <c r="M252" s="43">
        <f>IF(L252&lt;60, TEXT(L252,"0.00"), IF(L252&lt;600, TEXT(L252/86400,"m:ss.00"), TEXT(L252/86400,"mm:ss.00")))
</f>
        <v/>
      </c>
      <c r="N252" s="14">
        <f>IFERROR(__xludf.DUMMYFUNCTION("LET(
  gen,$A252, ev,$B252, t,$M252,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)"),679.0)</f>
        <v/>
      </c>
      <c r="O252" s="65" t="n"/>
      <c r="P252" s="69">
        <f>A252</f>
        <v/>
      </c>
      <c r="Q252" s="65">
        <f>B252</f>
        <v/>
      </c>
      <c r="R252" s="69">
        <f>C252</f>
        <v/>
      </c>
      <c r="S252" s="58">
        <f>M252</f>
        <v/>
      </c>
      <c r="T252" s="69">
        <f>N252</f>
        <v/>
      </c>
      <c r="U252" s="65" t="n">
        <v>687</v>
      </c>
      <c r="V252" s="65" t="n"/>
      <c r="W252" s="65" t="n"/>
    </row>
    <row r="253">
      <c r="A253" s="17" t="inlineStr">
        <is>
          <t>F</t>
        </is>
      </c>
      <c r="B253" s="18" t="inlineStr">
        <is>
          <t>50 Back</t>
        </is>
      </c>
      <c r="C253" s="18" t="n">
        <v>16</v>
      </c>
      <c r="D253" s="18" t="n">
        <v>1</v>
      </c>
      <c r="E253" s="46" t="inlineStr">
        <is>
          <t>28.78</t>
        </is>
      </c>
      <c r="F253" s="21">
        <f>IFERROR(__xludf.DUMMYFUNCTION("IF(
  REGEXMATCH(E253, "":""),
  60*VALUE(INDEX(SPLIT(E253, "":""),1,1)) + VALUE(INDEX(SPLIT(E253, "":""),1,2)),
  VALUE(E253)
)"),28.78)</f>
        <v/>
      </c>
      <c r="G253" s="21">
        <f>F252-F253</f>
        <v/>
      </c>
      <c r="H253" s="21" t="n">
        <v>0.509999999999998</v>
      </c>
      <c r="I253" s="211">
        <f>C252</f>
        <v/>
      </c>
      <c r="J253" s="211">
        <f>C271</f>
        <v/>
      </c>
      <c r="K253" s="60">
        <f t="array" ref="K253">INDEX('Podium Target Times'!$C:$C, MATCH(A253&amp;B253, 'Podium Target Times'!$A:$A&amp;'Podium Target Times'!$B:$B, 0))
</f>
        <v/>
      </c>
      <c r="L253" s="24">
        <f>L255+G255</f>
        <v/>
      </c>
      <c r="M253" s="60">
        <f>IF(L253&lt;60, TEXT(L253,"0.00"), IF(L253&lt;600, TEXT(L253/86400,"m:ss.00"), TEXT(L253/86400,"mm:ss.00")))
</f>
        <v/>
      </c>
      <c r="N253" s="25">
        <f>IFERROR(__xludf.DUMMYFUNCTION("LET(
  gen,$A253, ev,$B253, t,$M253,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O253" s="65" t="n"/>
      <c r="P253" s="69">
        <f>A253</f>
        <v/>
      </c>
      <c r="Q253" s="65">
        <f>B253</f>
        <v/>
      </c>
      <c r="R253" s="69">
        <f>C253</f>
        <v/>
      </c>
      <c r="S253" s="58">
        <f>M253</f>
        <v/>
      </c>
      <c r="T253" s="69">
        <f>N253</f>
        <v/>
      </c>
      <c r="U253" s="65" t="n"/>
      <c r="V253" s="65" t="n"/>
      <c r="W253" s="65" t="n"/>
    </row>
    <row r="254">
      <c r="A254" s="8" t="inlineStr">
        <is>
          <t>F</t>
        </is>
      </c>
      <c r="B254" s="9" t="inlineStr">
        <is>
          <t>50 Back</t>
        </is>
      </c>
      <c r="C254" s="9" t="n">
        <v>16</v>
      </c>
      <c r="D254" s="219" t="n">
        <v>2</v>
      </c>
      <c r="E254" s="41" t="inlineStr">
        <is>
          <t>29.02</t>
        </is>
      </c>
      <c r="F254" s="35">
        <f>IFERROR(__xludf.DUMMYFUNCTION("IF(
  REGEXMATCH(E254, "":""),
  60*VALUE(INDEX(SPLIT(E254, "":""),1,1)) + VALUE(INDEX(SPLIT(E254, "":""),1,2)),
  VALUE(E254)
)"),29.02)</f>
        <v/>
      </c>
      <c r="G254" s="35">
        <f>F252-F253</f>
        <v/>
      </c>
      <c r="H254" s="35" t="n">
        <v>0.509999999999998</v>
      </c>
      <c r="I254" s="215">
        <f>C252</f>
        <v/>
      </c>
      <c r="J254" s="215">
        <f>C271</f>
        <v/>
      </c>
      <c r="K254" s="43">
        <f t="array" ref="K254">INDEX('Podium Target Times'!$C:$C, MATCH(A254&amp;B254, 'Podium Target Times'!$A:$A&amp;'Podium Target Times'!$B:$B, 0))
</f>
        <v/>
      </c>
      <c r="L254" s="12">
        <f>L255+G255</f>
        <v/>
      </c>
      <c r="M254" s="43">
        <f>IF(L254&lt;60, TEXT(L254,"0.00"), IF(L254&lt;600, TEXT(L254/86400,"m:ss.00"), TEXT(L254/86400,"mm:ss.00")))
</f>
        <v/>
      </c>
      <c r="N254" s="14">
        <f>IFERROR(__xludf.DUMMYFUNCTION("LET(
  gen,$A254, ev,$B254, t,$M254,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O254" s="65" t="n"/>
      <c r="P254" s="69">
        <f>A255</f>
        <v/>
      </c>
      <c r="Q254" s="65">
        <f>B255</f>
        <v/>
      </c>
      <c r="R254" s="69">
        <f>C255</f>
        <v/>
      </c>
      <c r="S254" s="58">
        <f>M255</f>
        <v/>
      </c>
      <c r="T254" s="69">
        <f>N255</f>
        <v/>
      </c>
      <c r="U254" s="65" t="n"/>
      <c r="V254" s="65" t="n"/>
      <c r="W254" s="65" t="n"/>
    </row>
    <row r="255">
      <c r="A255" s="17" t="inlineStr">
        <is>
          <t>F</t>
        </is>
      </c>
      <c r="B255" s="18" t="inlineStr">
        <is>
          <t>50 Back</t>
        </is>
      </c>
      <c r="C255" s="18" t="n">
        <v>17</v>
      </c>
      <c r="D255" s="18" t="n">
        <v>1</v>
      </c>
      <c r="E255" s="46" t="inlineStr">
        <is>
          <t>28.52</t>
        </is>
      </c>
      <c r="F255" s="21">
        <f>IFERROR(__xludf.DUMMYFUNCTION("IF(
  REGEXMATCH(E255, "":""),
  60*VALUE(INDEX(SPLIT(E255, "":""),1,1)) + VALUE(INDEX(SPLIT(E255, "":""),1,2)),
  VALUE(E255)
)"),28.52)</f>
        <v/>
      </c>
      <c r="G255" s="21">
        <f>average(F253-F255,F254-F256)</f>
        <v/>
      </c>
      <c r="H255" s="21" t="n">
        <v>0.2599999999999998</v>
      </c>
      <c r="I255" s="211">
        <f>C252</f>
        <v/>
      </c>
      <c r="J255" s="211">
        <f>C271</f>
        <v/>
      </c>
      <c r="K255" s="60">
        <f t="array" ref="K255">INDEX('Podium Target Times'!$C:$C, MATCH(A255&amp;B255, 'Podium Target Times'!$A:$A&amp;'Podium Target Times'!$B:$B, 0))
</f>
        <v/>
      </c>
      <c r="L255" s="24">
        <f>L258+G258</f>
        <v/>
      </c>
      <c r="M255" s="60">
        <f>IF(L255&lt;60, TEXT(L255,"0.00"), IF(L255&lt;600, TEXT(L255/86400,"m:ss.00"), TEXT(L255/86400,"mm:ss.00")))
</f>
        <v/>
      </c>
      <c r="N255" s="25">
        <f>IFERROR(__xludf.DUMMYFUNCTION("LET(
  gen,$A255, ev,$B255, t,$M255,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O255" s="65" t="n"/>
      <c r="P255" s="69">
        <f>A258</f>
        <v/>
      </c>
      <c r="Q255" s="65">
        <f>B258</f>
        <v/>
      </c>
      <c r="R255" s="69">
        <f>C258</f>
        <v/>
      </c>
      <c r="S255" s="58">
        <f>M258</f>
        <v/>
      </c>
      <c r="T255" s="69">
        <f>N258</f>
        <v/>
      </c>
      <c r="U255" s="65" t="n"/>
      <c r="V255" s="65" t="n"/>
      <c r="W255" s="65" t="n"/>
    </row>
    <row r="256">
      <c r="A256" s="8" t="inlineStr">
        <is>
          <t>F</t>
        </is>
      </c>
      <c r="B256" s="9" t="inlineStr">
        <is>
          <t>50 Back</t>
        </is>
      </c>
      <c r="C256" s="9" t="n">
        <v>17</v>
      </c>
      <c r="D256" s="9" t="n">
        <v>2</v>
      </c>
      <c r="E256" s="41" t="inlineStr">
        <is>
          <t>28.76</t>
        </is>
      </c>
      <c r="F256" s="35">
        <f>IFERROR(__xludf.DUMMYFUNCTION("IF(
  REGEXMATCH(E256, "":""),
  60*VALUE(INDEX(SPLIT(E256, "":""),1,1)) + VALUE(INDEX(SPLIT(E256, "":""),1,2)),
  VALUE(E256)
)"),28.76)</f>
        <v/>
      </c>
      <c r="G256" s="35">
        <f>average(F253-F255,F254-F256)</f>
        <v/>
      </c>
      <c r="H256" s="35" t="n">
        <v>0.2599999999999998</v>
      </c>
      <c r="I256" s="215">
        <f>C252</f>
        <v/>
      </c>
      <c r="J256" s="215">
        <f>C271</f>
        <v/>
      </c>
      <c r="K256" s="43">
        <f t="array" ref="K256">INDEX('Podium Target Times'!$C:$C, MATCH(A256&amp;B256, 'Podium Target Times'!$A:$A&amp;'Podium Target Times'!$B:$B, 0))
</f>
        <v/>
      </c>
      <c r="L256" s="12">
        <f>L258+G258</f>
        <v/>
      </c>
      <c r="M256" s="43">
        <f>IF(L256&lt;60, TEXT(L256,"0.00"), IF(L256&lt;600, TEXT(L256/86400,"m:ss.00"), TEXT(L256/86400,"mm:ss.00")))
</f>
        <v/>
      </c>
      <c r="N256" s="14">
        <f>IFERROR(__xludf.DUMMYFUNCTION("LET(
  gen,$A256, ev,$B256, t,$M256,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O256" s="65" t="n"/>
      <c r="P256" s="69">
        <f>A261</f>
        <v/>
      </c>
      <c r="Q256" s="65">
        <f>B261</f>
        <v/>
      </c>
      <c r="R256" s="69">
        <f>C261</f>
        <v/>
      </c>
      <c r="S256" s="58">
        <f>M261</f>
        <v/>
      </c>
      <c r="T256" s="69">
        <f>N261</f>
        <v/>
      </c>
      <c r="U256" s="65" t="n"/>
      <c r="V256" s="65" t="n"/>
      <c r="W256" s="65" t="n"/>
    </row>
    <row r="257">
      <c r="A257" s="17" t="inlineStr">
        <is>
          <t>F</t>
        </is>
      </c>
      <c r="B257" s="18" t="inlineStr">
        <is>
          <t>50 Back</t>
        </is>
      </c>
      <c r="C257" s="18" t="n">
        <v>17</v>
      </c>
      <c r="D257" s="18" t="n">
        <v>3</v>
      </c>
      <c r="E257" s="46" t="inlineStr">
        <is>
          <t>28.90</t>
        </is>
      </c>
      <c r="F257" s="21">
        <f>IFERROR(__xludf.DUMMYFUNCTION("IF(
  REGEXMATCH(E257, "":""),
  60*VALUE(INDEX(SPLIT(E257, "":""),1,1)) + VALUE(INDEX(SPLIT(E257, "":""),1,2)),
  VALUE(E257)
)"),28.9)</f>
        <v/>
      </c>
      <c r="G257" s="21">
        <f>average(F253-F255,F254-F256)</f>
        <v/>
      </c>
      <c r="H257" s="21" t="n">
        <v>0.2599999999999998</v>
      </c>
      <c r="I257" s="211">
        <f>C252</f>
        <v/>
      </c>
      <c r="J257" s="211">
        <f>C271</f>
        <v/>
      </c>
      <c r="K257" s="60">
        <f t="array" ref="K257">INDEX('Podium Target Times'!$C:$C, MATCH(A257&amp;B257, 'Podium Target Times'!$A:$A&amp;'Podium Target Times'!$B:$B, 0))
</f>
        <v/>
      </c>
      <c r="L257" s="24">
        <f>L258+G258</f>
        <v/>
      </c>
      <c r="M257" s="60">
        <f>IF(L257&lt;60, TEXT(L257,"0.00"), IF(L257&lt;600, TEXT(L257/86400,"m:ss.00"), TEXT(L257/86400,"mm:ss.00")))
</f>
        <v/>
      </c>
      <c r="N257" s="25">
        <f>IFERROR(__xludf.DUMMYFUNCTION("LET(
  gen,$A257, ev,$B257, t,$M257,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O257" s="65" t="n"/>
      <c r="P257" s="69">
        <f>A264</f>
        <v/>
      </c>
      <c r="Q257" s="65">
        <f>B264</f>
        <v/>
      </c>
      <c r="R257" s="69">
        <f>C264</f>
        <v/>
      </c>
      <c r="S257" s="58">
        <f>M264</f>
        <v/>
      </c>
      <c r="T257" s="69">
        <f>N264</f>
        <v/>
      </c>
      <c r="U257" s="65" t="n"/>
      <c r="V257" s="65" t="n"/>
      <c r="W257" s="65" t="n"/>
    </row>
    <row r="258">
      <c r="A258" s="8" t="inlineStr">
        <is>
          <t>F</t>
        </is>
      </c>
      <c r="B258" s="9" t="inlineStr">
        <is>
          <t>50 Back</t>
        </is>
      </c>
      <c r="C258" s="9" t="n">
        <v>18</v>
      </c>
      <c r="D258" s="9" t="n">
        <v>1</v>
      </c>
      <c r="E258" s="41" t="inlineStr">
        <is>
          <t>28.36</t>
        </is>
      </c>
      <c r="F258" s="35">
        <f>IFERROR(__xludf.DUMMYFUNCTION("IF(
  REGEXMATCH(E258, "":""),
  60*VALUE(INDEX(SPLIT(E258, "":""),1,1)) + VALUE(INDEX(SPLIT(E258, "":""),1,2)),
  VALUE(E258)
)"),28.36)</f>
        <v/>
      </c>
      <c r="G258" s="35">
        <f>average(F255-F258,F256-F259,F257-F260)</f>
        <v/>
      </c>
      <c r="H258" s="35" t="n">
        <v>0.1633333333333328</v>
      </c>
      <c r="I258" s="215">
        <f>C252</f>
        <v/>
      </c>
      <c r="J258" s="215">
        <f>C271</f>
        <v/>
      </c>
      <c r="K258" s="43">
        <f t="array" ref="K258">INDEX('Podium Target Times'!$C:$C, MATCH(A258&amp;B258, 'Podium Target Times'!$A:$A&amp;'Podium Target Times'!$B:$B, 0))
</f>
        <v/>
      </c>
      <c r="L258" s="12">
        <f>L261+G261</f>
        <v/>
      </c>
      <c r="M258" s="43">
        <f>IF(L258&lt;60, TEXT(L258,"0.00"), IF(L258&lt;600, TEXT(L258/86400,"m:ss.00"), TEXT(L258/86400,"mm:ss.00")))
</f>
        <v/>
      </c>
      <c r="N258" s="14">
        <f>IFERROR(__xludf.DUMMYFUNCTION("LET(
  gen,$A258, ev,$B258, t,$M258,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258" s="65" t="n"/>
      <c r="P258" s="69">
        <f>A266</f>
        <v/>
      </c>
      <c r="Q258" s="65">
        <f>B266</f>
        <v/>
      </c>
      <c r="R258" s="69">
        <f>C266</f>
        <v/>
      </c>
      <c r="S258" s="58">
        <f>M266</f>
        <v/>
      </c>
      <c r="T258" s="69">
        <f>N266</f>
        <v/>
      </c>
      <c r="U258" s="65" t="n"/>
      <c r="V258" s="65" t="n"/>
      <c r="W258" s="65" t="n"/>
    </row>
    <row r="259">
      <c r="A259" s="17" t="inlineStr">
        <is>
          <t>F</t>
        </is>
      </c>
      <c r="B259" s="18" t="inlineStr">
        <is>
          <t>50 Back</t>
        </is>
      </c>
      <c r="C259" s="18" t="n">
        <v>18</v>
      </c>
      <c r="D259" s="221" t="n">
        <v>2</v>
      </c>
      <c r="E259" s="46" t="inlineStr">
        <is>
          <t>28.60</t>
        </is>
      </c>
      <c r="F259" s="21">
        <f>IFERROR(__xludf.DUMMYFUNCTION("IF(
  REGEXMATCH(E259, "":""),
  60*VALUE(INDEX(SPLIT(E259, "":""),1,1)) + VALUE(INDEX(SPLIT(E259, "":""),1,2)),
  VALUE(E259)
)"),28.6)</f>
        <v/>
      </c>
      <c r="G259" s="21">
        <f>average(F255-F258,F256-F259,F257-F260)</f>
        <v/>
      </c>
      <c r="H259" s="21" t="n">
        <v>0.1633333333333328</v>
      </c>
      <c r="I259" s="211">
        <f>C252</f>
        <v/>
      </c>
      <c r="J259" s="211">
        <f>C271</f>
        <v/>
      </c>
      <c r="K259" s="60">
        <f t="array" ref="K259">INDEX('Podium Target Times'!$C:$C, MATCH(A259&amp;B259, 'Podium Target Times'!$A:$A&amp;'Podium Target Times'!$B:$B, 0))
</f>
        <v/>
      </c>
      <c r="L259" s="24">
        <f>L261+G261</f>
        <v/>
      </c>
      <c r="M259" s="60">
        <f>IF(L259&lt;60, TEXT(L259,"0.00"), IF(L259&lt;600, TEXT(L259/86400,"m:ss.00"), TEXT(L259/86400,"mm:ss.00")))
</f>
        <v/>
      </c>
      <c r="N259" s="25">
        <f>IFERROR(__xludf.DUMMYFUNCTION("LET(
  gen,$A259, ev,$B259, t,$M259,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259" s="65" t="n"/>
      <c r="P259" s="69">
        <f>A268</f>
        <v/>
      </c>
      <c r="Q259" s="65">
        <f>B268</f>
        <v/>
      </c>
      <c r="R259" s="69">
        <f>C268</f>
        <v/>
      </c>
      <c r="S259" s="58">
        <f>M268</f>
        <v/>
      </c>
      <c r="T259" s="69">
        <f>N268</f>
        <v/>
      </c>
      <c r="U259" s="65" t="n"/>
      <c r="V259" s="65" t="n"/>
      <c r="W259" s="65" t="n"/>
    </row>
    <row r="260">
      <c r="A260" s="8" t="inlineStr">
        <is>
          <t>F</t>
        </is>
      </c>
      <c r="B260" s="9" t="inlineStr">
        <is>
          <t>50 Back</t>
        </is>
      </c>
      <c r="C260" s="9" t="n">
        <v>18</v>
      </c>
      <c r="D260" s="9" t="n">
        <v>3</v>
      </c>
      <c r="E260" s="41" t="inlineStr">
        <is>
          <t>28.73</t>
        </is>
      </c>
      <c r="F260" s="35">
        <f>IFERROR(__xludf.DUMMYFUNCTION("IF(
  REGEXMATCH(E260, "":""),
  60*VALUE(INDEX(SPLIT(E260, "":""),1,1)) + VALUE(INDEX(SPLIT(E260, "":""),1,2)),
  VALUE(E260)
)"),28.73)</f>
        <v/>
      </c>
      <c r="G260" s="35">
        <f>average(F255-F258,F256-F259,F257-F260)</f>
        <v/>
      </c>
      <c r="H260" s="35" t="n">
        <v>0.1633333333333328</v>
      </c>
      <c r="I260" s="215">
        <f>C252</f>
        <v/>
      </c>
      <c r="J260" s="215">
        <f>C271</f>
        <v/>
      </c>
      <c r="K260" s="43">
        <f t="array" ref="K260">INDEX('Podium Target Times'!$C:$C, MATCH(A260&amp;B260, 'Podium Target Times'!$A:$A&amp;'Podium Target Times'!$B:$B, 0))
</f>
        <v/>
      </c>
      <c r="L260" s="12">
        <f>L261+G261</f>
        <v/>
      </c>
      <c r="M260" s="43">
        <f>IF(L260&lt;60, TEXT(L260,"0.00"), IF(L260&lt;600, TEXT(L260/86400,"m:ss.00"), TEXT(L260/86400,"mm:ss.00")))
</f>
        <v/>
      </c>
      <c r="N260" s="14">
        <f>IFERROR(__xludf.DUMMYFUNCTION("LET(
  gen,$A260, ev,$B260, t,$M260,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260" s="65" t="n"/>
      <c r="P260" s="69">
        <f>A271</f>
        <v/>
      </c>
      <c r="Q260" s="65">
        <f>B271</f>
        <v/>
      </c>
      <c r="R260" s="69">
        <f>C271</f>
        <v/>
      </c>
      <c r="S260" s="58">
        <f>M269</f>
        <v/>
      </c>
      <c r="T260" s="69">
        <f>N269</f>
        <v/>
      </c>
      <c r="U260" s="65" t="n">
        <v>795</v>
      </c>
      <c r="V260" s="65" t="n"/>
      <c r="W260" s="65" t="n"/>
    </row>
    <row r="261">
      <c r="A261" s="17" t="inlineStr">
        <is>
          <t>F</t>
        </is>
      </c>
      <c r="B261" s="18" t="inlineStr">
        <is>
          <t>50 Back</t>
        </is>
      </c>
      <c r="C261" s="18" t="n">
        <v>19</v>
      </c>
      <c r="D261" s="18" t="n">
        <v>1</v>
      </c>
      <c r="E261" s="46" t="inlineStr">
        <is>
          <t>28.22</t>
        </is>
      </c>
      <c r="F261" s="21">
        <f>IFERROR(__xludf.DUMMYFUNCTION("IF(
  REGEXMATCH(E261, "":""),
  60*VALUE(INDEX(SPLIT(E261, "":""),1,1)) + VALUE(INDEX(SPLIT(E261, "":""),1,2)),
  VALUE(E261)
)"),28.22)</f>
        <v/>
      </c>
      <c r="G261" s="21">
        <f>average(F258-F261,F259-F262,F260-F263)</f>
        <v/>
      </c>
      <c r="H261" s="21" t="n">
        <v>0.1400000000000006</v>
      </c>
      <c r="I261" s="211">
        <f>C252</f>
        <v/>
      </c>
      <c r="J261" s="211">
        <f>C271</f>
        <v/>
      </c>
      <c r="K261" s="60">
        <f t="array" ref="K261">INDEX('Podium Target Times'!$C:$C, MATCH(A261&amp;B261, 'Podium Target Times'!$A:$A&amp;'Podium Target Times'!$B:$B, 0))
</f>
        <v/>
      </c>
      <c r="L261" s="24">
        <f>L264+G264</f>
        <v/>
      </c>
      <c r="M261" s="60">
        <f>IF(L261&lt;60, TEXT(L261,"0.00"), IF(L261&lt;600, TEXT(L261/86400,"m:ss.00"), TEXT(L261/86400,"mm:ss.00")))
</f>
        <v/>
      </c>
      <c r="N261" s="25">
        <f>IFERROR(__xludf.DUMMYFUNCTION("LET(
  gen,$A261, ev,$B261, t,$M261,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
      </c>
      <c r="O261" s="65" t="n"/>
      <c r="P261" s="69">
        <f>P260</f>
        <v/>
      </c>
      <c r="Q261" s="65">
        <f>Q260</f>
        <v/>
      </c>
      <c r="R261" s="69">
        <f>R260+1</f>
        <v/>
      </c>
      <c r="S261" s="58">
        <f>M270</f>
        <v/>
      </c>
      <c r="T261" s="69">
        <f>N270</f>
        <v/>
      </c>
      <c r="U261" s="65" t="n"/>
      <c r="V261" s="65" t="n"/>
      <c r="W261" s="65" t="n"/>
    </row>
    <row r="262">
      <c r="A262" s="8" t="inlineStr">
        <is>
          <t>F</t>
        </is>
      </c>
      <c r="B262" s="9" t="inlineStr">
        <is>
          <t>50 Back</t>
        </is>
      </c>
      <c r="C262" s="9" t="n">
        <v>19</v>
      </c>
      <c r="D262" s="9" t="n">
        <v>2</v>
      </c>
      <c r="E262" s="41" t="inlineStr">
        <is>
          <t>28.46</t>
        </is>
      </c>
      <c r="F262" s="35">
        <f>IFERROR(__xludf.DUMMYFUNCTION("IF(
  REGEXMATCH(E262, "":""),
  60*VALUE(INDEX(SPLIT(E262, "":""),1,1)) + VALUE(INDEX(SPLIT(E262, "":""),1,2)),
  VALUE(E262)
)"),28.46)</f>
        <v/>
      </c>
      <c r="G262" s="35">
        <f>average(F258-F261,F259-F262,F260-F263)</f>
        <v/>
      </c>
      <c r="H262" s="35" t="n">
        <v>0.1400000000000006</v>
      </c>
      <c r="I262" s="215">
        <f>C252</f>
        <v/>
      </c>
      <c r="J262" s="215">
        <f>C271</f>
        <v/>
      </c>
      <c r="K262" s="43">
        <f t="array" ref="K262">INDEX('Podium Target Times'!$C:$C, MATCH(A262&amp;B262, 'Podium Target Times'!$A:$A&amp;'Podium Target Times'!$B:$B, 0))
</f>
        <v/>
      </c>
      <c r="L262" s="12">
        <f>L264+G264</f>
        <v/>
      </c>
      <c r="M262" s="43">
        <f>IF(L262&lt;60, TEXT(L262,"0.00"), IF(L262&lt;600, TEXT(L262/86400,"m:ss.00"), TEXT(L262/86400,"mm:ss.00")))
</f>
        <v/>
      </c>
      <c r="N262" s="14">
        <f>IFERROR(__xludf.DUMMYFUNCTION("LET(
  gen,$A262, ev,$B262, t,$M262,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
      </c>
      <c r="O262" s="65" t="n"/>
      <c r="P262" s="69">
        <f>P261</f>
        <v/>
      </c>
      <c r="Q262" s="65">
        <f>Q261</f>
        <v/>
      </c>
      <c r="R262" s="69">
        <f>R261+1</f>
        <v/>
      </c>
      <c r="S262" s="58">
        <f>M271</f>
        <v/>
      </c>
      <c r="T262" s="69">
        <f>N271</f>
        <v/>
      </c>
      <c r="U262" s="65" t="n"/>
      <c r="V262" s="65" t="n"/>
      <c r="W262" s="65" t="n"/>
    </row>
    <row r="263">
      <c r="A263" s="17" t="inlineStr">
        <is>
          <t>F</t>
        </is>
      </c>
      <c r="B263" s="18" t="inlineStr">
        <is>
          <t>50 Back</t>
        </is>
      </c>
      <c r="C263" s="18" t="n">
        <v>19</v>
      </c>
      <c r="D263" s="18" t="n">
        <v>3</v>
      </c>
      <c r="E263" s="46" t="inlineStr">
        <is>
          <t>28.59</t>
        </is>
      </c>
      <c r="F263" s="21">
        <f>IFERROR(__xludf.DUMMYFUNCTION("IF(
  REGEXMATCH(E263, "":""),
  60*VALUE(INDEX(SPLIT(E263, "":""),1,1)) + VALUE(INDEX(SPLIT(E263, "":""),1,2)),
  VALUE(E263)
)"),28.59)</f>
        <v/>
      </c>
      <c r="G263" s="21">
        <f>average(F258-F261,F259-F262,F260-F263)</f>
        <v/>
      </c>
      <c r="H263" s="21" t="n">
        <v>0.1400000000000006</v>
      </c>
      <c r="I263" s="211">
        <f>C252</f>
        <v/>
      </c>
      <c r="J263" s="211">
        <f>C271</f>
        <v/>
      </c>
      <c r="K263" s="60">
        <f t="array" ref="K263">INDEX('Podium Target Times'!$C:$C, MATCH(A263&amp;B263, 'Podium Target Times'!$A:$A&amp;'Podium Target Times'!$B:$B, 0))
</f>
        <v/>
      </c>
      <c r="L263" s="24">
        <f>L264+G264</f>
        <v/>
      </c>
      <c r="M263" s="60">
        <f>IF(L263&lt;60, TEXT(L263,"0.00"), IF(L263&lt;600, TEXT(L263/86400,"m:ss.00"), TEXT(L263/86400,"mm:ss.00")))
</f>
        <v/>
      </c>
      <c r="N263" s="25">
        <f>IFERROR(__xludf.DUMMYFUNCTION("LET(
  gen,$A263, ev,$B263, t,$M263,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
      </c>
      <c r="O263" s="65" t="n"/>
      <c r="P263" s="69" t="n"/>
      <c r="Q263" s="65" t="n"/>
      <c r="R263" s="69" t="n"/>
      <c r="S263" s="58" t="n"/>
      <c r="T263" s="69" t="n"/>
      <c r="U263" s="65" t="n"/>
      <c r="V263" s="65" t="n"/>
      <c r="W263" s="65" t="n"/>
    </row>
    <row r="264">
      <c r="A264" s="8" t="inlineStr">
        <is>
          <t>F</t>
        </is>
      </c>
      <c r="B264" s="9" t="inlineStr">
        <is>
          <t>50 Back</t>
        </is>
      </c>
      <c r="C264" s="9" t="n">
        <v>20</v>
      </c>
      <c r="D264" s="219" t="n">
        <v>2</v>
      </c>
      <c r="E264" s="41" t="inlineStr">
        <is>
          <t>28.32</t>
        </is>
      </c>
      <c r="F264" s="35">
        <f>IFERROR(__xludf.DUMMYFUNCTION("IF(
  REGEXMATCH(E264, "":""),
  60*VALUE(INDEX(SPLIT(E264, "":""),1,1)) + VALUE(INDEX(SPLIT(E264, "":""),1,2)),
  VALUE(E264)
)"),28.32)</f>
        <v/>
      </c>
      <c r="G264" s="35">
        <f>average(F262-F264,F263-F265)</f>
        <v/>
      </c>
      <c r="H264" s="35" t="n">
        <v>0.1349999999999998</v>
      </c>
      <c r="I264" s="215">
        <f>C252</f>
        <v/>
      </c>
      <c r="J264" s="215">
        <f>C271</f>
        <v/>
      </c>
      <c r="K264" s="43">
        <f t="array" ref="K264">INDEX('Podium Target Times'!$C:$C, MATCH(A264&amp;B264, 'Podium Target Times'!$A:$A&amp;'Podium Target Times'!$B:$B, 0))
</f>
        <v/>
      </c>
      <c r="L264" s="12">
        <f>L266+G266</f>
        <v/>
      </c>
      <c r="M264" s="43">
        <f>IF(L264&lt;60, TEXT(L264,"0.00"), IF(L264&lt;600, TEXT(L264/86400,"m:ss.00"), TEXT(L264/86400,"mm:ss.00")))
</f>
        <v/>
      </c>
      <c r="N264" s="14">
        <f>IFERROR(__xludf.DUMMYFUNCTION("LET(
  gen,$A264, ev,$B264, t,$M264,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264" s="65" t="n"/>
      <c r="P264" s="69" t="n"/>
      <c r="Q264" s="65" t="n"/>
      <c r="R264" s="69" t="n"/>
      <c r="S264" s="58" t="n"/>
      <c r="T264" s="69" t="n"/>
      <c r="U264" s="65" t="n"/>
      <c r="V264" s="65" t="n"/>
      <c r="W264" s="65" t="n"/>
    </row>
    <row r="265">
      <c r="A265" s="17" t="inlineStr">
        <is>
          <t>F</t>
        </is>
      </c>
      <c r="B265" s="18" t="inlineStr">
        <is>
          <t>50 Back</t>
        </is>
      </c>
      <c r="C265" s="18" t="n">
        <v>20</v>
      </c>
      <c r="D265" s="18" t="n">
        <v>3</v>
      </c>
      <c r="E265" s="46" t="inlineStr">
        <is>
          <t>28.46</t>
        </is>
      </c>
      <c r="F265" s="21">
        <f>IFERROR(__xludf.DUMMYFUNCTION("IF(
  REGEXMATCH(E265, "":""),
  60*VALUE(INDEX(SPLIT(E265, "":""),1,1)) + VALUE(INDEX(SPLIT(E265, "":""),1,2)),
  VALUE(E265)
)"),28.46)</f>
        <v/>
      </c>
      <c r="G265" s="21">
        <f>average(F262-F264,F263-F265)</f>
        <v/>
      </c>
      <c r="H265" s="21" t="n">
        <v>0.1349999999999998</v>
      </c>
      <c r="I265" s="211">
        <f>C252</f>
        <v/>
      </c>
      <c r="J265" s="211">
        <f>C271</f>
        <v/>
      </c>
      <c r="K265" s="60">
        <f t="array" ref="K265">INDEX('Podium Target Times'!$C:$C, MATCH(A265&amp;B265, 'Podium Target Times'!$A:$A&amp;'Podium Target Times'!$B:$B, 0))
</f>
        <v/>
      </c>
      <c r="L265" s="24">
        <f>L266+G266</f>
        <v/>
      </c>
      <c r="M265" s="60">
        <f>IF(L265&lt;60, TEXT(L265,"0.00"), IF(L265&lt;600, TEXT(L265/86400,"m:ss.00"), TEXT(L265/86400,"mm:ss.00")))
</f>
        <v/>
      </c>
      <c r="N265" s="25">
        <f>IFERROR(__xludf.DUMMYFUNCTION("LET(
  gen,$A265, ev,$B265, t,$M265,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265" s="65" t="n"/>
      <c r="P265" s="69" t="n"/>
      <c r="Q265" s="65" t="n"/>
      <c r="R265" s="69" t="n"/>
      <c r="S265" s="58" t="n"/>
      <c r="T265" s="69" t="n"/>
      <c r="U265" s="65" t="n"/>
      <c r="V265" s="65" t="n"/>
      <c r="W265" s="65" t="n"/>
    </row>
    <row r="266">
      <c r="A266" s="8" t="inlineStr">
        <is>
          <t>F</t>
        </is>
      </c>
      <c r="B266" s="9" t="inlineStr">
        <is>
          <t>50 Back</t>
        </is>
      </c>
      <c r="C266" s="9" t="n">
        <v>21</v>
      </c>
      <c r="D266" s="9" t="n">
        <v>2</v>
      </c>
      <c r="E266" s="41" t="inlineStr">
        <is>
          <t>28.22</t>
        </is>
      </c>
      <c r="F266" s="35">
        <f>IFERROR(__xludf.DUMMYFUNCTION("IF(
  REGEXMATCH(E266, "":""),
  60*VALUE(INDEX(SPLIT(E266, "":""),1,1)) + VALUE(INDEX(SPLIT(E266, "":""),1,2)),
  VALUE(E266)
)"),28.22)</f>
        <v/>
      </c>
      <c r="G266" s="35">
        <f>average(F264-F266,F265-F267)</f>
        <v/>
      </c>
      <c r="H266" s="35" t="n">
        <v>0.1050000000000004</v>
      </c>
      <c r="I266" s="215">
        <f>C252</f>
        <v/>
      </c>
      <c r="J266" s="215">
        <f>C271</f>
        <v/>
      </c>
      <c r="K266" s="43">
        <f t="array" ref="K266">INDEX('Podium Target Times'!$C:$C, MATCH(A266&amp;B266, 'Podium Target Times'!$A:$A&amp;'Podium Target Times'!$B:$B, 0))
</f>
        <v/>
      </c>
      <c r="L266" s="12">
        <f>L268+G268</f>
        <v/>
      </c>
      <c r="M266" s="43">
        <f>IF(L266&lt;60, TEXT(L266,"0.00"), IF(L266&lt;600, TEXT(L266/86400,"m:ss.00"), TEXT(L266/86400,"mm:ss.00")))
</f>
        <v/>
      </c>
      <c r="N266" s="14">
        <f>IFERROR(__xludf.DUMMYFUNCTION("LET(
  gen,$A266, ev,$B266, t,$M266,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266" s="65" t="n"/>
      <c r="P266" s="69" t="n"/>
      <c r="Q266" s="65" t="n"/>
      <c r="R266" s="69" t="n"/>
      <c r="S266" s="58" t="n"/>
      <c r="T266" s="69" t="n"/>
      <c r="U266" s="65" t="n"/>
      <c r="V266" s="65" t="n"/>
      <c r="W266" s="65" t="n"/>
    </row>
    <row r="267">
      <c r="A267" s="17" t="inlineStr">
        <is>
          <t>F</t>
        </is>
      </c>
      <c r="B267" s="18" t="inlineStr">
        <is>
          <t>50 Back</t>
        </is>
      </c>
      <c r="C267" s="18" t="n">
        <v>21</v>
      </c>
      <c r="D267" s="18" t="n">
        <v>3</v>
      </c>
      <c r="E267" s="46" t="inlineStr">
        <is>
          <t>28.35</t>
        </is>
      </c>
      <c r="F267" s="21">
        <f>IFERROR(__xludf.DUMMYFUNCTION("IF(
  REGEXMATCH(E267, "":""),
  60*VALUE(INDEX(SPLIT(E267, "":""),1,1)) + VALUE(INDEX(SPLIT(E267, "":""),1,2)),
  VALUE(E267)
)"),28.35)</f>
        <v/>
      </c>
      <c r="G267" s="21">
        <f>average(F264-F266,F265-F267)</f>
        <v/>
      </c>
      <c r="H267" s="21" t="n">
        <v>0.1050000000000004</v>
      </c>
      <c r="I267" s="211">
        <f>C252</f>
        <v/>
      </c>
      <c r="J267" s="211">
        <f>C271</f>
        <v/>
      </c>
      <c r="K267" s="60">
        <f t="array" ref="K267">INDEX('Podium Target Times'!$C:$C, MATCH(A267&amp;B267, 'Podium Target Times'!$A:$A&amp;'Podium Target Times'!$B:$B, 0))
</f>
        <v/>
      </c>
      <c r="L267" s="24">
        <f>L268+G268</f>
        <v/>
      </c>
      <c r="M267" s="60">
        <f>IF(L267&lt;60, TEXT(L267,"0.00"), IF(L267&lt;600, TEXT(L267/86400,"m:ss.00"), TEXT(L267/86400,"mm:ss.00")))
</f>
        <v/>
      </c>
      <c r="N267" s="25">
        <f>IFERROR(__xludf.DUMMYFUNCTION("LET(
  gen,$A267, ev,$B267, t,$M267,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267" s="65" t="n"/>
      <c r="P267" s="69" t="n"/>
      <c r="Q267" s="65" t="n"/>
      <c r="R267" s="69" t="n"/>
      <c r="S267" s="58" t="n"/>
      <c r="T267" s="69" t="n"/>
      <c r="U267" s="65" t="n"/>
      <c r="V267" s="65" t="n"/>
      <c r="W267" s="65" t="n"/>
    </row>
    <row r="268">
      <c r="A268" s="8" t="inlineStr">
        <is>
          <t>F</t>
        </is>
      </c>
      <c r="B268" s="9" t="inlineStr">
        <is>
          <t>50 Back</t>
        </is>
      </c>
      <c r="C268" s="9" t="n">
        <v>22</v>
      </c>
      <c r="D268" s="9" t="n">
        <v>3</v>
      </c>
      <c r="E268" s="41" t="inlineStr">
        <is>
          <t>28.28</t>
        </is>
      </c>
      <c r="F268" s="35">
        <f>IFERROR(__xludf.DUMMYFUNCTION("IF(
  REGEXMATCH(E268, "":""),
  60*VALUE(INDEX(SPLIT(E268, "":""),1,1)) + VALUE(INDEX(SPLIT(E268, "":""),1,2)),
  VALUE(E268)
)"),28.28)</f>
        <v/>
      </c>
      <c r="G268" s="35">
        <f>F267-F268</f>
        <v/>
      </c>
      <c r="H268" s="35" t="n">
        <v>0.07000000000000028</v>
      </c>
      <c r="I268" s="215">
        <f>C252</f>
        <v/>
      </c>
      <c r="J268" s="215">
        <f>C271</f>
        <v/>
      </c>
      <c r="K268" s="43">
        <f t="array" ref="K268">INDEX('Podium Target Times'!$C:$C, MATCH(A268&amp;B268, 'Podium Target Times'!$A:$A&amp;'Podium Target Times'!$B:$B, 0))
</f>
        <v/>
      </c>
      <c r="L268" s="12">
        <f>G269+L269</f>
        <v/>
      </c>
      <c r="M268" s="43">
        <f>IF(L268&lt;60, TEXT(L268,"0.00"), IF(L268&lt;600, TEXT(L268/86400,"m:ss.00"), TEXT(L268/86400,"mm:ss.00")))
</f>
        <v/>
      </c>
      <c r="N268" s="14">
        <f>IFERROR(__xludf.DUMMYFUNCTION("LET(
  gen,$A268, ev,$B268, t,$M268,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
      </c>
      <c r="O268" s="65" t="n"/>
      <c r="P268" s="69" t="n"/>
      <c r="Q268" s="65" t="n"/>
      <c r="R268" s="69" t="n"/>
      <c r="S268" s="58" t="n"/>
      <c r="T268" s="69" t="n"/>
      <c r="U268" s="65" t="n"/>
      <c r="V268" s="65" t="n"/>
      <c r="W268" s="65" t="n"/>
    </row>
    <row r="269">
      <c r="A269" s="17" t="inlineStr">
        <is>
          <t>F</t>
        </is>
      </c>
      <c r="B269" s="18" t="inlineStr">
        <is>
          <t>50 Back</t>
        </is>
      </c>
      <c r="C269" s="18" t="n">
        <v>23</v>
      </c>
      <c r="D269" s="18" t="n">
        <v>3</v>
      </c>
      <c r="E269" s="46" t="inlineStr">
        <is>
          <t>28.22</t>
        </is>
      </c>
      <c r="F269" s="21">
        <f>IFERROR(__xludf.DUMMYFUNCTION("IF(
  REGEXMATCH(E269, "":""),
  60*VALUE(INDEX(SPLIT(E269, "":""),1,1)) + VALUE(INDEX(SPLIT(E269, "":""),1,2)),
  VALUE(E269)
)"),28.22)</f>
        <v/>
      </c>
      <c r="G269" s="21">
        <f>F268-F269</f>
        <v/>
      </c>
      <c r="H269" s="21" t="n"/>
      <c r="I269" s="211">
        <f>C252</f>
        <v/>
      </c>
      <c r="J269" s="211">
        <f>C271</f>
        <v/>
      </c>
      <c r="K269" s="60">
        <f t="array" ref="K269">INDEX('Podium Target Times'!$C:$C, MATCH(A269&amp;B269, 'Podium Target Times'!$A:$A&amp;'Podium Target Times'!$B:$B, 0))
</f>
        <v/>
      </c>
      <c r="L269" s="21">
        <f>G269+L270</f>
        <v/>
      </c>
      <c r="M269" s="60">
        <f>IF(L269&lt;60, TEXT(L269,"0.00"), IF(L269&lt;600, TEXT(L269/86400,"m:ss.00"), TEXT(L269/86400,"mm:ss.00")))
</f>
        <v/>
      </c>
      <c r="N269" s="25">
        <f>IFERROR(__xludf.DUMMYFUNCTION("LET(
  gen,$A269, ev,$B269, t,$M269,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)"),785.0)</f>
        <v/>
      </c>
      <c r="O269" s="65" t="n"/>
      <c r="P269" s="69" t="n"/>
      <c r="Q269" s="65" t="n"/>
      <c r="R269" s="69" t="n"/>
      <c r="S269" s="58" t="n"/>
      <c r="T269" s="69" t="n"/>
      <c r="U269" s="65" t="n"/>
      <c r="V269" s="65" t="n"/>
      <c r="W269" s="65" t="n"/>
    </row>
    <row r="270">
      <c r="A270" s="8" t="inlineStr">
        <is>
          <t>F</t>
        </is>
      </c>
      <c r="B270" s="9" t="inlineStr">
        <is>
          <t>50 Back</t>
        </is>
      </c>
      <c r="C270" s="9" t="n">
        <v>24</v>
      </c>
      <c r="D270" s="9" t="n"/>
      <c r="E270" s="41" t="n"/>
      <c r="F270" s="35">
        <f>IFERROR(__xludf.DUMMYFUNCTION("IF(
  REGEXMATCH(E270, "":""),
  60*VALUE(INDEX(SPLIT(E270, "":""),1,1)) + VALUE(INDEX(SPLIT(E270, "":""),1,2)),
  VALUE(E270)
)"),0.0)</f>
        <v/>
      </c>
      <c r="G270" s="12" t="n"/>
      <c r="H270" s="35" t="n"/>
      <c r="I270" s="215">
        <f>C252</f>
        <v/>
      </c>
      <c r="J270" s="215">
        <f>C271</f>
        <v/>
      </c>
      <c r="K270" s="43">
        <f t="array" ref="K270">INDEX('Podium Target Times'!$C:$C, MATCH(A270&amp;B270, 'Podium Target Times'!$A:$A&amp;'Podium Target Times'!$B:$B, 0))
</f>
        <v/>
      </c>
      <c r="L270" s="35">
        <f>G269+L271</f>
        <v/>
      </c>
      <c r="M270" s="43">
        <f>IF(L270&lt;60, TEXT(L270,"0.00"), IF(L270&lt;600, TEXT(L270/86400,"m:ss.00"), TEXT(L270/86400,"mm:ss.00")))
</f>
        <v/>
      </c>
      <c r="N270" s="14">
        <f>IFERROR(__xludf.DUMMYFUNCTION("LET(
  gen,$A270, ev,$B270, t,$M270,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O270" s="65" t="n"/>
      <c r="P270" s="69" t="n"/>
      <c r="Q270" s="65" t="n"/>
      <c r="R270" s="69" t="n"/>
      <c r="S270" s="58" t="n"/>
      <c r="T270" s="69" t="n"/>
      <c r="U270" s="65" t="n"/>
      <c r="V270" s="65" t="n"/>
      <c r="W270" s="65" t="n"/>
    </row>
    <row r="271">
      <c r="A271" s="17" t="inlineStr">
        <is>
          <t>F</t>
        </is>
      </c>
      <c r="B271" s="18" t="inlineStr">
        <is>
          <t>50 Back</t>
        </is>
      </c>
      <c r="C271" s="18" t="n">
        <v>23</v>
      </c>
      <c r="D271" s="18" t="n"/>
      <c r="E271" s="46" t="n"/>
      <c r="F271" s="21">
        <f>IFERROR(__xludf.DUMMYFUNCTION("IF(
  REGEXMATCH(E271, "":""),
  60*VALUE(INDEX(SPLIT(E271, "":""),1,1)) + VALUE(INDEX(SPLIT(E271, "":""),1,2)),
  VALUE(E271)
)"),0.0)</f>
        <v/>
      </c>
      <c r="G271" s="24" t="n"/>
      <c r="H271" s="21" t="n"/>
      <c r="I271" s="211">
        <f>C252</f>
        <v/>
      </c>
      <c r="J271" s="211">
        <f>C271</f>
        <v/>
      </c>
      <c r="K271" s="60">
        <f t="array" ref="K271">INDEX('Podium Target Times'!$C:$C, MATCH(A271&amp;B271, 'Podium Target Times'!$A:$A&amp;'Podium Target Times'!$B:$B, 0))
</f>
        <v/>
      </c>
      <c r="L271" s="211">
        <f>K271</f>
        <v/>
      </c>
      <c r="M271" s="60">
        <f>IF(L271&lt;60, TEXT(L271,"0.00"), IF(L271&lt;600, TEXT(L271/86400,"m:ss.00"), TEXT(L271/86400,"mm:ss.00")))
</f>
        <v/>
      </c>
      <c r="N271" s="25">
        <f>IFERROR(__xludf.DUMMYFUNCTION("LET(
  gen,$A271, ev,$B271, t,$M271,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O271" s="65" t="n"/>
      <c r="P271" s="69" t="n"/>
      <c r="Q271" s="65" t="n"/>
      <c r="R271" s="69" t="n"/>
      <c r="S271" s="58" t="n"/>
      <c r="T271" s="69" t="n"/>
      <c r="U271" s="65" t="n"/>
      <c r="V271" s="65" t="n"/>
      <c r="W271" s="65" t="n"/>
    </row>
    <row r="272">
      <c r="A272" s="8" t="inlineStr">
        <is>
          <t>F</t>
        </is>
      </c>
      <c r="B272" s="9" t="inlineStr">
        <is>
          <t>50 Breast</t>
        </is>
      </c>
      <c r="C272" s="9" t="n">
        <v>16</v>
      </c>
      <c r="D272" s="9" t="n">
        <v>1</v>
      </c>
      <c r="E272" s="41" t="inlineStr">
        <is>
          <t>31.56</t>
        </is>
      </c>
      <c r="F272" s="35">
        <f>IFERROR(__xludf.DUMMYFUNCTION("IF(
  REGEXMATCH(E272, "":""),
  60*VALUE(INDEX(SPLIT(E272, "":""),1,1)) + VALUE(INDEX(SPLIT(E272, "":""),1,2)),
  VALUE(E272)
)"),31.56)</f>
        <v/>
      </c>
      <c r="G272" s="12" t="n">
        <v>0</v>
      </c>
      <c r="H272" s="12" t="n">
        <v>0</v>
      </c>
      <c r="I272" s="43">
        <f>C272</f>
        <v/>
      </c>
      <c r="J272" s="43">
        <f>C289</f>
        <v/>
      </c>
      <c r="K272" s="43">
        <f t="array" ref="K272">INDEX('Podium Target Times'!$C:$C, MATCH(A272&amp;B272, 'Podium Target Times'!$A:$A&amp;'Podium Target Times'!$B:$B, 0))
</f>
        <v/>
      </c>
      <c r="L272" s="12">
        <f>L273+G273</f>
        <v/>
      </c>
      <c r="M272" s="43">
        <f>IF(L272&lt;60, TEXT(L272,"0.00"), IF(L272&lt;600, TEXT(L272/86400,"m:ss.00"), TEXT(L272/86400,"mm:ss.00")))
</f>
        <v/>
      </c>
      <c r="N272" s="14">
        <f>IFERROR(__xludf.DUMMYFUNCTION("LET(
  gen,$A272, ev,$B272, t,$M272,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
      </c>
      <c r="O272" s="65" t="n"/>
      <c r="P272" s="69">
        <f>A272</f>
        <v/>
      </c>
      <c r="Q272" s="65">
        <f>B272</f>
        <v/>
      </c>
      <c r="R272" s="69">
        <f>C272</f>
        <v/>
      </c>
      <c r="S272" s="58">
        <f>M272</f>
        <v/>
      </c>
      <c r="T272" s="69">
        <f>N272</f>
        <v/>
      </c>
      <c r="U272" s="65" t="n">
        <v>693</v>
      </c>
      <c r="V272" s="65" t="n"/>
      <c r="W272" s="65" t="n"/>
    </row>
    <row r="273">
      <c r="A273" s="17" t="inlineStr">
        <is>
          <t>F</t>
        </is>
      </c>
      <c r="B273" s="18" t="inlineStr">
        <is>
          <t>50 Breast</t>
        </is>
      </c>
      <c r="C273" s="18" t="n">
        <v>17</v>
      </c>
      <c r="D273" s="18" t="n">
        <v>1</v>
      </c>
      <c r="E273" s="46" t="inlineStr">
        <is>
          <t>31.20</t>
        </is>
      </c>
      <c r="F273" s="21">
        <f>IFERROR(__xludf.DUMMYFUNCTION("IF(
  REGEXMATCH(E273, "":""),
  60*VALUE(INDEX(SPLIT(E273, "":""),1,1)) + VALUE(INDEX(SPLIT(E273, "":""),1,2)),
  VALUE(E273)
)"),31.2)</f>
        <v/>
      </c>
      <c r="G273" s="21">
        <f>F272-F273</f>
        <v/>
      </c>
      <c r="H273" s="21" t="n">
        <v>0.3599999999999994</v>
      </c>
      <c r="I273" s="211">
        <f>C272</f>
        <v/>
      </c>
      <c r="J273" s="211">
        <f>C289</f>
        <v/>
      </c>
      <c r="K273" s="60">
        <f t="array" ref="K273">INDEX('Podium Target Times'!$C:$C, MATCH(A273&amp;B273, 'Podium Target Times'!$A:$A&amp;'Podium Target Times'!$B:$B, 0))
</f>
        <v/>
      </c>
      <c r="L273" s="24">
        <f>L275+G275</f>
        <v/>
      </c>
      <c r="M273" s="60">
        <f>IF(L273&lt;60, TEXT(L273,"0.00"), IF(L273&lt;600, TEXT(L273/86400,"m:ss.00"), TEXT(L273/86400,"mm:ss.00")))
</f>
        <v/>
      </c>
      <c r="N273" s="25">
        <f>IFERROR(__xludf.DUMMYFUNCTION("LET(
  gen,$A273, ev,$B273, t,$M273,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O273" s="65" t="n"/>
      <c r="P273" s="69">
        <f>A273</f>
        <v/>
      </c>
      <c r="Q273" s="65">
        <f>B273</f>
        <v/>
      </c>
      <c r="R273" s="69">
        <f>C273</f>
        <v/>
      </c>
      <c r="S273" s="58">
        <f>M273</f>
        <v/>
      </c>
      <c r="T273" s="69">
        <f>N273</f>
        <v/>
      </c>
      <c r="U273" s="65" t="n"/>
      <c r="V273" s="65" t="n"/>
      <c r="W273" s="65" t="n"/>
    </row>
    <row r="274">
      <c r="A274" s="8" t="inlineStr">
        <is>
          <t>F</t>
        </is>
      </c>
      <c r="B274" s="9" t="inlineStr">
        <is>
          <t>50 Breast</t>
        </is>
      </c>
      <c r="C274" s="9" t="n">
        <v>17</v>
      </c>
      <c r="D274" s="219" t="n">
        <v>2</v>
      </c>
      <c r="E274" s="41" t="inlineStr">
        <is>
          <t>31.35</t>
        </is>
      </c>
      <c r="F274" s="35">
        <f>IFERROR(__xludf.DUMMYFUNCTION("IF(
  REGEXMATCH(E274, "":""),
  60*VALUE(INDEX(SPLIT(E274, "":""),1,1)) + VALUE(INDEX(SPLIT(E274, "":""),1,2)),
  VALUE(E274)
)"),31.35)</f>
        <v/>
      </c>
      <c r="G274" s="35">
        <f>F272-F273</f>
        <v/>
      </c>
      <c r="H274" s="35" t="n">
        <v>0.3599999999999994</v>
      </c>
      <c r="I274" s="215">
        <f>C272</f>
        <v/>
      </c>
      <c r="J274" s="215">
        <f>C289</f>
        <v/>
      </c>
      <c r="K274" s="43">
        <f t="array" ref="K274">INDEX('Podium Target Times'!$C:$C, MATCH(A274&amp;B274, 'Podium Target Times'!$A:$A&amp;'Podium Target Times'!$B:$B, 0))
</f>
        <v/>
      </c>
      <c r="L274" s="12">
        <f>L275+G275</f>
        <v/>
      </c>
      <c r="M274" s="43">
        <f>IF(L274&lt;60, TEXT(L274,"0.00"), IF(L274&lt;600, TEXT(L274/86400,"m:ss.00"), TEXT(L274/86400,"mm:ss.00")))
</f>
        <v/>
      </c>
      <c r="N274" s="14">
        <f>IFERROR(__xludf.DUMMYFUNCTION("LET(
  gen,$A274, ev,$B274, t,$M274,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O274" s="65" t="n"/>
      <c r="P274" s="69">
        <f>A275</f>
        <v/>
      </c>
      <c r="Q274" s="65">
        <f>B275</f>
        <v/>
      </c>
      <c r="R274" s="69">
        <f>C275</f>
        <v/>
      </c>
      <c r="S274" s="58">
        <f>M275</f>
        <v/>
      </c>
      <c r="T274" s="69">
        <f>N275</f>
        <v/>
      </c>
      <c r="U274" s="65" t="n"/>
      <c r="V274" s="65" t="n"/>
      <c r="W274" s="65" t="n"/>
    </row>
    <row r="275">
      <c r="A275" s="17" t="inlineStr">
        <is>
          <t>F</t>
        </is>
      </c>
      <c r="B275" s="18" t="inlineStr">
        <is>
          <t>50 Breast</t>
        </is>
      </c>
      <c r="C275" s="18" t="n">
        <v>18</v>
      </c>
      <c r="D275" s="18" t="n">
        <v>1</v>
      </c>
      <c r="E275" s="46" t="inlineStr">
        <is>
          <t>31.00</t>
        </is>
      </c>
      <c r="F275" s="21">
        <f>IFERROR(__xludf.DUMMYFUNCTION("IF(
  REGEXMATCH(E275, "":""),
  60*VALUE(INDEX(SPLIT(E275, "":""),1,1)) + VALUE(INDEX(SPLIT(E275, "":""),1,2)),
  VALUE(E275)
)"),31.0)</f>
        <v/>
      </c>
      <c r="G275" s="21">
        <f>average(F273-F275,F274-F276)</f>
        <v/>
      </c>
      <c r="H275" s="21" t="n">
        <v>0.2000000000000011</v>
      </c>
      <c r="I275" s="211">
        <f>C272</f>
        <v/>
      </c>
      <c r="J275" s="211">
        <f>C289</f>
        <v/>
      </c>
      <c r="K275" s="60">
        <f t="array" ref="K275">INDEX('Podium Target Times'!$C:$C, MATCH(A275&amp;B275, 'Podium Target Times'!$A:$A&amp;'Podium Target Times'!$B:$B, 0))
</f>
        <v/>
      </c>
      <c r="L275" s="24">
        <f>L278+G278</f>
        <v/>
      </c>
      <c r="M275" s="60">
        <f>IF(L275&lt;60, TEXT(L275,"0.00"), IF(L275&lt;600, TEXT(L275/86400,"m:ss.00"), TEXT(L275/86400,"mm:ss.00")))
</f>
        <v/>
      </c>
      <c r="N275" s="25">
        <f>IFERROR(__xludf.DUMMYFUNCTION("LET(
  gen,$A275, ev,$B275, t,$M275,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75" s="65" t="n"/>
      <c r="P275" s="69">
        <f>A278</f>
        <v/>
      </c>
      <c r="Q275" s="65">
        <f>B278</f>
        <v/>
      </c>
      <c r="R275" s="69">
        <f>C278</f>
        <v/>
      </c>
      <c r="S275" s="58">
        <f>M278</f>
        <v/>
      </c>
      <c r="T275" s="69">
        <f>N278</f>
        <v/>
      </c>
      <c r="U275" s="65" t="n"/>
      <c r="V275" s="65" t="n"/>
      <c r="W275" s="65" t="n"/>
    </row>
    <row r="276">
      <c r="A276" s="8" t="inlineStr">
        <is>
          <t>F</t>
        </is>
      </c>
      <c r="B276" s="9" t="inlineStr">
        <is>
          <t>50 Breast</t>
        </is>
      </c>
      <c r="C276" s="9" t="n">
        <v>18</v>
      </c>
      <c r="D276" s="9" t="n">
        <v>2</v>
      </c>
      <c r="E276" s="41" t="inlineStr">
        <is>
          <t>31.15</t>
        </is>
      </c>
      <c r="F276" s="35">
        <f>IFERROR(__xludf.DUMMYFUNCTION("IF(
  REGEXMATCH(E276, "":""),
  60*VALUE(INDEX(SPLIT(E276, "":""),1,1)) + VALUE(INDEX(SPLIT(E276, "":""),1,2)),
  VALUE(E276)
)"),31.15)</f>
        <v/>
      </c>
      <c r="G276" s="35">
        <f>average(F273-F275,F274-F276)</f>
        <v/>
      </c>
      <c r="H276" s="35" t="n">
        <v>0.2000000000000011</v>
      </c>
      <c r="I276" s="215">
        <f>C272</f>
        <v/>
      </c>
      <c r="J276" s="215">
        <f>C289</f>
        <v/>
      </c>
      <c r="K276" s="43">
        <f t="array" ref="K276">INDEX('Podium Target Times'!$C:$C, MATCH(A276&amp;B276, 'Podium Target Times'!$A:$A&amp;'Podium Target Times'!$B:$B, 0))
</f>
        <v/>
      </c>
      <c r="L276" s="12">
        <f>L278+G278</f>
        <v/>
      </c>
      <c r="M276" s="43">
        <f>IF(L276&lt;60, TEXT(L276,"0.00"), IF(L276&lt;600, TEXT(L276/86400,"m:ss.00"), TEXT(L276/86400,"mm:ss.00")))
</f>
        <v/>
      </c>
      <c r="N276" s="14">
        <f>IFERROR(__xludf.DUMMYFUNCTION("LET(
  gen,$A276, ev,$B276, t,$M276,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76" s="65" t="n"/>
      <c r="P276" s="69">
        <f>A281</f>
        <v/>
      </c>
      <c r="Q276" s="65">
        <f>B281</f>
        <v/>
      </c>
      <c r="R276" s="69">
        <f>C281</f>
        <v/>
      </c>
      <c r="S276" s="58">
        <f>M281</f>
        <v/>
      </c>
      <c r="T276" s="69">
        <f>N281</f>
        <v/>
      </c>
      <c r="U276" s="65" t="n"/>
      <c r="V276" s="65" t="n"/>
      <c r="W276" s="65" t="n"/>
    </row>
    <row r="277">
      <c r="A277" s="17" t="inlineStr">
        <is>
          <t>F</t>
        </is>
      </c>
      <c r="B277" s="18" t="inlineStr">
        <is>
          <t>50 Breast</t>
        </is>
      </c>
      <c r="C277" s="18" t="n">
        <v>18</v>
      </c>
      <c r="D277" s="18" t="n">
        <v>3</v>
      </c>
      <c r="E277" s="46" t="inlineStr">
        <is>
          <t>31.19</t>
        </is>
      </c>
      <c r="F277" s="21">
        <f>IFERROR(__xludf.DUMMYFUNCTION("IF(
  REGEXMATCH(E277, "":""),
  60*VALUE(INDEX(SPLIT(E277, "":""),1,1)) + VALUE(INDEX(SPLIT(E277, "":""),1,2)),
  VALUE(E277)
)"),31.19)</f>
        <v/>
      </c>
      <c r="G277" s="21">
        <f>average(F273-F275,F274-F276)</f>
        <v/>
      </c>
      <c r="H277" s="21" t="n">
        <v>0.2000000000000011</v>
      </c>
      <c r="I277" s="211">
        <f>C272</f>
        <v/>
      </c>
      <c r="J277" s="211">
        <f>C289</f>
        <v/>
      </c>
      <c r="K277" s="60">
        <f t="array" ref="K277">INDEX('Podium Target Times'!$C:$C, MATCH(A277&amp;B277, 'Podium Target Times'!$A:$A&amp;'Podium Target Times'!$B:$B, 0))
</f>
        <v/>
      </c>
      <c r="L277" s="24">
        <f>L278+G278</f>
        <v/>
      </c>
      <c r="M277" s="60">
        <f>IF(L277&lt;60, TEXT(L277,"0.00"), IF(L277&lt;600, TEXT(L277/86400,"m:ss.00"), TEXT(L277/86400,"mm:ss.00")))
</f>
        <v/>
      </c>
      <c r="N277" s="25">
        <f>IFERROR(__xludf.DUMMYFUNCTION("LET(
  gen,$A277, ev,$B277, t,$M277,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277" s="65" t="n"/>
      <c r="P277" s="69">
        <f>A284</f>
        <v/>
      </c>
      <c r="Q277" s="65">
        <f>B284</f>
        <v/>
      </c>
      <c r="R277" s="69">
        <f>C284</f>
        <v/>
      </c>
      <c r="S277" s="58">
        <f>M284</f>
        <v/>
      </c>
      <c r="T277" s="69">
        <f>N284</f>
        <v/>
      </c>
      <c r="U277" s="65" t="n"/>
      <c r="V277" s="65" t="n"/>
      <c r="W277" s="65" t="n"/>
    </row>
    <row r="278">
      <c r="A278" s="8" t="inlineStr">
        <is>
          <t>F</t>
        </is>
      </c>
      <c r="B278" s="9" t="inlineStr">
        <is>
          <t>50 Breast</t>
        </is>
      </c>
      <c r="C278" s="9" t="n">
        <v>19</v>
      </c>
      <c r="D278" s="9" t="n">
        <v>1</v>
      </c>
      <c r="E278" s="41" t="inlineStr">
        <is>
          <t>30.86</t>
        </is>
      </c>
      <c r="F278" s="35">
        <f>IFERROR(__xludf.DUMMYFUNCTION("IF(
  REGEXMATCH(E278, "":""),
  60*VALUE(INDEX(SPLIT(E278, "":""),1,1)) + VALUE(INDEX(SPLIT(E278, "":""),1,2)),
  VALUE(E278)
)"),30.86)</f>
        <v/>
      </c>
      <c r="G278" s="35">
        <f>average(F275-F278,F276-F279,F277-F280)</f>
        <v/>
      </c>
      <c r="H278" s="35" t="n">
        <v>0.1399999999999994</v>
      </c>
      <c r="I278" s="215">
        <f>C272</f>
        <v/>
      </c>
      <c r="J278" s="215">
        <f>C289</f>
        <v/>
      </c>
      <c r="K278" s="43">
        <f t="array" ref="K278">INDEX('Podium Target Times'!$C:$C, MATCH(A278&amp;B278, 'Podium Target Times'!$A:$A&amp;'Podium Target Times'!$B:$B, 0))
</f>
        <v/>
      </c>
      <c r="L278" s="12">
        <f>L281+G281</f>
        <v/>
      </c>
      <c r="M278" s="43">
        <f>IF(L278&lt;60, TEXT(L278,"0.00"), IF(L278&lt;600, TEXT(L278/86400,"m:ss.00"), TEXT(L278/86400,"mm:ss.00")))
</f>
        <v/>
      </c>
      <c r="N278" s="14">
        <f>IFERROR(__xludf.DUMMYFUNCTION("LET(
  gen,$A278, ev,$B278, t,$M278,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278" s="65" t="n"/>
      <c r="P278" s="69">
        <f>A286</f>
        <v/>
      </c>
      <c r="Q278" s="65">
        <f>B286</f>
        <v/>
      </c>
      <c r="R278" s="69">
        <f>C286</f>
        <v/>
      </c>
      <c r="S278" s="58">
        <f>M286</f>
        <v/>
      </c>
      <c r="T278" s="69">
        <f>N286</f>
        <v/>
      </c>
      <c r="U278" s="65" t="n"/>
      <c r="V278" s="65" t="n"/>
      <c r="W278" s="65" t="n"/>
    </row>
    <row r="279">
      <c r="A279" s="17" t="inlineStr">
        <is>
          <t>F</t>
        </is>
      </c>
      <c r="B279" s="18" t="inlineStr">
        <is>
          <t>50 Breast</t>
        </is>
      </c>
      <c r="C279" s="18" t="n">
        <v>19</v>
      </c>
      <c r="D279" s="221" t="n">
        <v>2</v>
      </c>
      <c r="E279" s="46" t="inlineStr">
        <is>
          <t>31.01</t>
        </is>
      </c>
      <c r="F279" s="21">
        <f>IFERROR(__xludf.DUMMYFUNCTION("IF(
  REGEXMATCH(E279, "":""),
  60*VALUE(INDEX(SPLIT(E279, "":""),1,1)) + VALUE(INDEX(SPLIT(E279, "":""),1,2)),
  VALUE(E279)
)"),31.01)</f>
        <v/>
      </c>
      <c r="G279" s="21">
        <f>average(F275-F278,F276-F279,F277-F280)</f>
        <v/>
      </c>
      <c r="H279" s="21" t="n">
        <v>0.1399999999999994</v>
      </c>
      <c r="I279" s="211">
        <f>C272</f>
        <v/>
      </c>
      <c r="J279" s="211">
        <f>C289</f>
        <v/>
      </c>
      <c r="K279" s="60">
        <f t="array" ref="K279">INDEX('Podium Target Times'!$C:$C, MATCH(A279&amp;B279, 'Podium Target Times'!$A:$A&amp;'Podium Target Times'!$B:$B, 0))
</f>
        <v/>
      </c>
      <c r="L279" s="24">
        <f>L281+G281</f>
        <v/>
      </c>
      <c r="M279" s="60">
        <f>IF(L279&lt;60, TEXT(L279,"0.00"), IF(L279&lt;600, TEXT(L279/86400,"m:ss.00"), TEXT(L279/86400,"mm:ss.00")))
</f>
        <v/>
      </c>
      <c r="N279" s="25">
        <f>IFERROR(__xludf.DUMMYFUNCTION("LET(
  gen,$A279, ev,$B279, t,$M279,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279" s="65" t="n"/>
      <c r="P279" s="69">
        <f>A288</f>
        <v/>
      </c>
      <c r="Q279" s="65">
        <f>B288</f>
        <v/>
      </c>
      <c r="R279" s="69">
        <f>C288</f>
        <v/>
      </c>
      <c r="S279" s="58">
        <f>M288</f>
        <v/>
      </c>
      <c r="T279" s="69">
        <f>N288</f>
        <v/>
      </c>
      <c r="U279" s="65" t="n"/>
      <c r="V279" s="65" t="n"/>
      <c r="W279" s="65" t="n"/>
    </row>
    <row r="280">
      <c r="A280" s="8" t="inlineStr">
        <is>
          <t>F</t>
        </is>
      </c>
      <c r="B280" s="9" t="inlineStr">
        <is>
          <t>50 Breast</t>
        </is>
      </c>
      <c r="C280" s="9" t="n">
        <v>19</v>
      </c>
      <c r="D280" s="9" t="n">
        <v>3</v>
      </c>
      <c r="E280" s="41" t="inlineStr">
        <is>
          <t>31.05</t>
        </is>
      </c>
      <c r="F280" s="35">
        <f>IFERROR(__xludf.DUMMYFUNCTION("IF(
  REGEXMATCH(E280, "":""),
  60*VALUE(INDEX(SPLIT(E280, "":""),1,1)) + VALUE(INDEX(SPLIT(E280, "":""),1,2)),
  VALUE(E280)
)"),31.05)</f>
        <v/>
      </c>
      <c r="G280" s="35">
        <f>average(F275-F278,F276-F279,F277-F280)</f>
        <v/>
      </c>
      <c r="H280" s="35" t="n">
        <v>0.1399999999999994</v>
      </c>
      <c r="I280" s="215">
        <f>C272</f>
        <v/>
      </c>
      <c r="J280" s="215">
        <f>C289</f>
        <v/>
      </c>
      <c r="K280" s="43">
        <f t="array" ref="K280">INDEX('Podium Target Times'!$C:$C, MATCH(A280&amp;B280, 'Podium Target Times'!$A:$A&amp;'Podium Target Times'!$B:$B, 0))
</f>
        <v/>
      </c>
      <c r="L280" s="12">
        <f>L281+G281</f>
        <v/>
      </c>
      <c r="M280" s="43">
        <f>IF(L280&lt;60, TEXT(L280,"0.00"), IF(L280&lt;600, TEXT(L280/86400,"m:ss.00"), TEXT(L280/86400,"mm:ss.00")))
</f>
        <v/>
      </c>
      <c r="N280" s="14">
        <f>IFERROR(__xludf.DUMMYFUNCTION("LET(
  gen,$A280, ev,$B280, t,$M280,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280" s="65" t="n"/>
      <c r="P280" s="69">
        <f>A289</f>
        <v/>
      </c>
      <c r="Q280" s="65">
        <f>B289</f>
        <v/>
      </c>
      <c r="R280" s="69">
        <f>C289</f>
        <v/>
      </c>
      <c r="S280" s="58">
        <f>M289</f>
        <v/>
      </c>
      <c r="T280" s="69">
        <f>N289</f>
        <v/>
      </c>
      <c r="U280" s="65" t="n">
        <v>760</v>
      </c>
      <c r="V280" s="65" t="n"/>
      <c r="W280" s="65" t="n"/>
    </row>
    <row r="281">
      <c r="A281" s="17" t="inlineStr">
        <is>
          <t>F</t>
        </is>
      </c>
      <c r="B281" s="18" t="inlineStr">
        <is>
          <t>50 Breast</t>
        </is>
      </c>
      <c r="C281" s="18" t="n">
        <v>20</v>
      </c>
      <c r="D281" s="18" t="n">
        <v>1</v>
      </c>
      <c r="E281" s="46" t="inlineStr">
        <is>
          <t>30.75</t>
        </is>
      </c>
      <c r="F281" s="21">
        <f>IFERROR(__xludf.DUMMYFUNCTION("IF(
  REGEXMATCH(E281, "":""),
  60*VALUE(INDEX(SPLIT(E281, "":""),1,1)) + VALUE(INDEX(SPLIT(E281, "":""),1,2)),
  VALUE(E281)
)"),30.75)</f>
        <v/>
      </c>
      <c r="G281" s="21">
        <f>average(F278-F281,F279-F282,F280-F283)</f>
        <v/>
      </c>
      <c r="H281" s="21" t="n">
        <v>0.1100000000000006</v>
      </c>
      <c r="I281" s="211">
        <f>C272</f>
        <v/>
      </c>
      <c r="J281" s="211">
        <f>C289</f>
        <v/>
      </c>
      <c r="K281" s="60">
        <f t="array" ref="K281">INDEX('Podium Target Times'!$C:$C, MATCH(A281&amp;B281, 'Podium Target Times'!$A:$A&amp;'Podium Target Times'!$B:$B, 0))
</f>
        <v/>
      </c>
      <c r="L281" s="24">
        <f>L284+G284</f>
        <v/>
      </c>
      <c r="M281" s="60">
        <f>IF(L281&lt;60, TEXT(L281,"0.00"), IF(L281&lt;600, TEXT(L281/86400,"m:ss.00"), TEXT(L281/86400,"mm:ss.00")))
</f>
        <v/>
      </c>
      <c r="N281" s="25">
        <f>IFERROR(__xludf.DUMMYFUNCTION("LET(
  gen,$A281, ev,$B281, t,$M281,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O281" s="65" t="n"/>
      <c r="P281" s="69">
        <f>P280</f>
        <v/>
      </c>
      <c r="Q281" s="65">
        <f>Q280</f>
        <v/>
      </c>
      <c r="R281" s="69">
        <f>R280+1</f>
        <v/>
      </c>
      <c r="S281" s="58">
        <f>M290</f>
        <v/>
      </c>
      <c r="T281" s="69">
        <f>N290</f>
        <v/>
      </c>
      <c r="U281" s="65" t="n"/>
      <c r="V281" s="65" t="n"/>
      <c r="W281" s="65" t="n"/>
    </row>
    <row r="282">
      <c r="A282" s="8" t="inlineStr">
        <is>
          <t>F</t>
        </is>
      </c>
      <c r="B282" s="9" t="inlineStr">
        <is>
          <t>50 Breast</t>
        </is>
      </c>
      <c r="C282" s="9" t="n">
        <v>20</v>
      </c>
      <c r="D282" s="9" t="n">
        <v>2</v>
      </c>
      <c r="E282" s="41" t="inlineStr">
        <is>
          <t>30.90</t>
        </is>
      </c>
      <c r="F282" s="35">
        <f>IFERROR(__xludf.DUMMYFUNCTION("IF(
  REGEXMATCH(E282, "":""),
  60*VALUE(INDEX(SPLIT(E282, "":""),1,1)) + VALUE(INDEX(SPLIT(E282, "":""),1,2)),
  VALUE(E282)
)"),30.9)</f>
        <v/>
      </c>
      <c r="G282" s="35">
        <f>average(F278-F281,F279-F282,F280-F283)</f>
        <v/>
      </c>
      <c r="H282" s="35" t="n">
        <v>0.1100000000000006</v>
      </c>
      <c r="I282" s="215">
        <f>C272</f>
        <v/>
      </c>
      <c r="J282" s="215">
        <f>C289</f>
        <v/>
      </c>
      <c r="K282" s="43">
        <f t="array" ref="K282">INDEX('Podium Target Times'!$C:$C, MATCH(A282&amp;B282, 'Podium Target Times'!$A:$A&amp;'Podium Target Times'!$B:$B, 0))
</f>
        <v/>
      </c>
      <c r="L282" s="12">
        <f>L284+G284</f>
        <v/>
      </c>
      <c r="M282" s="43">
        <f>IF(L282&lt;60, TEXT(L282,"0.00"), IF(L282&lt;600, TEXT(L282/86400,"m:ss.00"), TEXT(L282/86400,"mm:ss.00")))
</f>
        <v/>
      </c>
      <c r="N282" s="14">
        <f>IFERROR(__xludf.DUMMYFUNCTION("LET(
  gen,$A282, ev,$B282, t,$M282,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O282" s="65" t="n"/>
      <c r="P282" s="69" t="n"/>
      <c r="Q282" s="65" t="n"/>
      <c r="R282" s="69" t="n"/>
      <c r="S282" s="58" t="n"/>
      <c r="T282" s="69" t="n"/>
      <c r="U282" s="65" t="n"/>
      <c r="V282" s="65" t="n"/>
      <c r="W282" s="65" t="n"/>
    </row>
    <row r="283">
      <c r="A283" s="17" t="inlineStr">
        <is>
          <t>F</t>
        </is>
      </c>
      <c r="B283" s="18" t="inlineStr">
        <is>
          <t>50 Breast</t>
        </is>
      </c>
      <c r="C283" s="18" t="n">
        <v>20</v>
      </c>
      <c r="D283" s="18" t="n">
        <v>3</v>
      </c>
      <c r="E283" s="46" t="inlineStr">
        <is>
          <t>30.94</t>
        </is>
      </c>
      <c r="F283" s="21">
        <f>IFERROR(__xludf.DUMMYFUNCTION("IF(
  REGEXMATCH(E283, "":""),
  60*VALUE(INDEX(SPLIT(E283, "":""),1,1)) + VALUE(INDEX(SPLIT(E283, "":""),1,2)),
  VALUE(E283)
)"),30.94)</f>
        <v/>
      </c>
      <c r="G283" s="21">
        <f>average(F278-F281,F279-F282,F280-F283)</f>
        <v/>
      </c>
      <c r="H283" s="21" t="n">
        <v>0.1100000000000006</v>
      </c>
      <c r="I283" s="211">
        <f>C272</f>
        <v/>
      </c>
      <c r="J283" s="211">
        <f>C289</f>
        <v/>
      </c>
      <c r="K283" s="60">
        <f t="array" ref="K283">INDEX('Podium Target Times'!$C:$C, MATCH(A283&amp;B283, 'Podium Target Times'!$A:$A&amp;'Podium Target Times'!$B:$B, 0))
</f>
        <v/>
      </c>
      <c r="L283" s="24">
        <f>L284+G284</f>
        <v/>
      </c>
      <c r="M283" s="60">
        <f>IF(L283&lt;60, TEXT(L283,"0.00"), IF(L283&lt;600, TEXT(L283/86400,"m:ss.00"), TEXT(L283/86400,"mm:ss.00")))
</f>
        <v/>
      </c>
      <c r="N283" s="25">
        <f>IFERROR(__xludf.DUMMYFUNCTION("LET(
  gen,$A283, ev,$B283, t,$M283,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O283" s="65" t="n"/>
      <c r="P283" s="69" t="n"/>
      <c r="Q283" s="65" t="n"/>
      <c r="R283" s="69" t="n"/>
      <c r="S283" s="58" t="n"/>
      <c r="T283" s="69" t="n"/>
      <c r="U283" s="65" t="n"/>
      <c r="V283" s="65" t="n"/>
      <c r="W283" s="65" t="n"/>
    </row>
    <row r="284">
      <c r="A284" s="8" t="inlineStr">
        <is>
          <t>F</t>
        </is>
      </c>
      <c r="B284" s="9" t="inlineStr">
        <is>
          <t>50 Breast</t>
        </is>
      </c>
      <c r="C284" s="9" t="n">
        <v>21</v>
      </c>
      <c r="D284" s="219" t="n">
        <v>2</v>
      </c>
      <c r="E284" s="41" t="inlineStr">
        <is>
          <t>30.81</t>
        </is>
      </c>
      <c r="F284" s="35">
        <f>IFERROR(__xludf.DUMMYFUNCTION("IF(
  REGEXMATCH(E284, "":""),
  60*VALUE(INDEX(SPLIT(E284, "":""),1,1)) + VALUE(INDEX(SPLIT(E284, "":""),1,2)),
  VALUE(E284)
)"),30.81)</f>
        <v/>
      </c>
      <c r="G284" s="35">
        <f>average(F282-F284,F283-F285)</f>
        <v/>
      </c>
      <c r="H284" s="35" t="n">
        <v>0.08999999999999986</v>
      </c>
      <c r="I284" s="215">
        <f>C272</f>
        <v/>
      </c>
      <c r="J284" s="215">
        <f>C289</f>
        <v/>
      </c>
      <c r="K284" s="43">
        <f t="array" ref="K284">INDEX('Podium Target Times'!$C:$C, MATCH(A284&amp;B284, 'Podium Target Times'!$A:$A&amp;'Podium Target Times'!$B:$B, 0))
</f>
        <v/>
      </c>
      <c r="L284" s="12">
        <f>L286+G286</f>
        <v/>
      </c>
      <c r="M284" s="43">
        <f>IF(L284&lt;60, TEXT(L284,"0.00"), IF(L284&lt;600, TEXT(L284/86400,"m:ss.00"), TEXT(L284/86400,"mm:ss.00")))
</f>
        <v/>
      </c>
      <c r="N284" s="14">
        <f>IFERROR(__xludf.DUMMYFUNCTION("LET(
  gen,$A284, ev,$B284, t,$M284,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
      </c>
      <c r="O284" s="65" t="n"/>
      <c r="P284" s="69" t="n"/>
      <c r="Q284" s="65" t="n"/>
      <c r="R284" s="69" t="n"/>
      <c r="S284" s="58" t="n"/>
      <c r="T284" s="69" t="n"/>
      <c r="U284" s="65" t="n"/>
      <c r="V284" s="65" t="n"/>
      <c r="W284" s="65" t="n"/>
    </row>
    <row r="285">
      <c r="A285" s="17" t="inlineStr">
        <is>
          <t>F</t>
        </is>
      </c>
      <c r="B285" s="18" t="inlineStr">
        <is>
          <t>50 Breast</t>
        </is>
      </c>
      <c r="C285" s="18" t="n">
        <v>21</v>
      </c>
      <c r="D285" s="18" t="n">
        <v>3</v>
      </c>
      <c r="E285" s="46" t="inlineStr">
        <is>
          <t>30.85</t>
        </is>
      </c>
      <c r="F285" s="21">
        <f>IFERROR(__xludf.DUMMYFUNCTION("IF(
  REGEXMATCH(E285, "":""),
  60*VALUE(INDEX(SPLIT(E285, "":""),1,1)) + VALUE(INDEX(SPLIT(E285, "":""),1,2)),
  VALUE(E285)
)"),30.85)</f>
        <v/>
      </c>
      <c r="G285" s="21">
        <f>average(F282-F284,F283-F285)</f>
        <v/>
      </c>
      <c r="H285" s="21" t="n">
        <v>0.08999999999999986</v>
      </c>
      <c r="I285" s="211">
        <f>C272</f>
        <v/>
      </c>
      <c r="J285" s="211">
        <f>C289</f>
        <v/>
      </c>
      <c r="K285" s="60">
        <f t="array" ref="K285">INDEX('Podium Target Times'!$C:$C, MATCH(A285&amp;B285, 'Podium Target Times'!$A:$A&amp;'Podium Target Times'!$B:$B, 0))
</f>
        <v/>
      </c>
      <c r="L285" s="24">
        <f>L286+G286</f>
        <v/>
      </c>
      <c r="M285" s="60">
        <f>IF(L285&lt;60, TEXT(L285,"0.00"), IF(L285&lt;600, TEXT(L285/86400,"m:ss.00"), TEXT(L285/86400,"mm:ss.00")))
</f>
        <v/>
      </c>
      <c r="N285" s="25">
        <f>IFERROR(__xludf.DUMMYFUNCTION("LET(
  gen,$A285, ev,$B285, t,$M285,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
      </c>
      <c r="O285" s="65" t="n"/>
      <c r="P285" s="69" t="n"/>
      <c r="Q285" s="65" t="n"/>
      <c r="R285" s="69" t="n"/>
      <c r="S285" s="58" t="n"/>
      <c r="T285" s="69" t="n"/>
      <c r="U285" s="65" t="n"/>
      <c r="V285" s="65" t="n"/>
      <c r="W285" s="65" t="n"/>
    </row>
    <row r="286">
      <c r="A286" s="8" t="inlineStr">
        <is>
          <t>F</t>
        </is>
      </c>
      <c r="B286" s="9" t="inlineStr">
        <is>
          <t>50 Breast</t>
        </is>
      </c>
      <c r="C286" s="9" t="n">
        <v>22</v>
      </c>
      <c r="D286" s="9" t="n">
        <v>2</v>
      </c>
      <c r="E286" s="41" t="inlineStr">
        <is>
          <t>30.75</t>
        </is>
      </c>
      <c r="F286" s="35">
        <f>IFERROR(__xludf.DUMMYFUNCTION("IF(
  REGEXMATCH(E286, "":""),
  60*VALUE(INDEX(SPLIT(E286, "":""),1,1)) + VALUE(INDEX(SPLIT(E286, "":""),1,2)),
  VALUE(E286)
)"),30.75)</f>
        <v/>
      </c>
      <c r="G286" s="35">
        <f>average(F284-F286,F285-F287)</f>
        <v/>
      </c>
      <c r="H286" s="35" t="n">
        <v>0.0600000000000005</v>
      </c>
      <c r="I286" s="215">
        <f>C272</f>
        <v/>
      </c>
      <c r="J286" s="215">
        <f>C289</f>
        <v/>
      </c>
      <c r="K286" s="43">
        <f t="array" ref="K286">INDEX('Podium Target Times'!$C:$C, MATCH(A286&amp;B286, 'Podium Target Times'!$A:$A&amp;'Podium Target Times'!$B:$B, 0))
</f>
        <v/>
      </c>
      <c r="L286" s="12">
        <f>L288+G288</f>
        <v/>
      </c>
      <c r="M286" s="43">
        <f>IF(L286&lt;60, TEXT(L286,"0.00"), IF(L286&lt;600, TEXT(L286/86400,"m:ss.00"), TEXT(L286/86400,"mm:ss.00")))
</f>
        <v/>
      </c>
      <c r="N286" s="14">
        <f>IFERROR(__xludf.DUMMYFUNCTION("LET(
  gen,$A286, ev,$B286, t,$M286,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
      </c>
      <c r="O286" s="65" t="n"/>
      <c r="P286" s="69" t="n"/>
      <c r="Q286" s="65" t="n"/>
      <c r="R286" s="69" t="n"/>
      <c r="S286" s="58" t="n"/>
      <c r="T286" s="69" t="n"/>
      <c r="U286" s="65" t="n"/>
      <c r="V286" s="65" t="n"/>
      <c r="W286" s="65" t="n"/>
    </row>
    <row r="287">
      <c r="A287" s="17" t="inlineStr">
        <is>
          <t>F</t>
        </is>
      </c>
      <c r="B287" s="18" t="inlineStr">
        <is>
          <t>50 Breast</t>
        </is>
      </c>
      <c r="C287" s="18" t="n">
        <v>22</v>
      </c>
      <c r="D287" s="18" t="n">
        <v>3</v>
      </c>
      <c r="E287" s="46" t="inlineStr">
        <is>
          <t>30.79</t>
        </is>
      </c>
      <c r="F287" s="21">
        <f>IFERROR(__xludf.DUMMYFUNCTION("IF(
  REGEXMATCH(E287, "":""),
  60*VALUE(INDEX(SPLIT(E287, "":""),1,1)) + VALUE(INDEX(SPLIT(E287, "":""),1,2)),
  VALUE(E287)
)"),30.79)</f>
        <v/>
      </c>
      <c r="G287" s="21">
        <f>average(F284-F286,F285-F287)</f>
        <v/>
      </c>
      <c r="H287" s="21" t="n">
        <v>0.0600000000000005</v>
      </c>
      <c r="I287" s="211">
        <f>C272</f>
        <v/>
      </c>
      <c r="J287" s="211">
        <f>C289</f>
        <v/>
      </c>
      <c r="K287" s="60">
        <f t="array" ref="K287">INDEX('Podium Target Times'!$C:$C, MATCH(A287&amp;B287, 'Podium Target Times'!$A:$A&amp;'Podium Target Times'!$B:$B, 0))
</f>
        <v/>
      </c>
      <c r="L287" s="24">
        <f>L288+G288</f>
        <v/>
      </c>
      <c r="M287" s="60">
        <f>IF(L287&lt;60, TEXT(L287,"0.00"), IF(L287&lt;600, TEXT(L287/86400,"m:ss.00"), TEXT(L287/86400,"mm:ss.00")))
</f>
        <v/>
      </c>
      <c r="N287" s="25">
        <f>IFERROR(__xludf.DUMMYFUNCTION("LET(
  gen,$A287, ev,$B287, t,$M287,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
      </c>
      <c r="O287" s="65" t="n"/>
      <c r="P287" s="69" t="n"/>
      <c r="Q287" s="65" t="n"/>
      <c r="R287" s="69" t="n"/>
      <c r="S287" s="58" t="n"/>
      <c r="T287" s="69" t="n"/>
      <c r="U287" s="65" t="n"/>
      <c r="V287" s="65" t="n"/>
      <c r="W287" s="65" t="n"/>
    </row>
    <row r="288">
      <c r="A288" s="8" t="inlineStr">
        <is>
          <t>F</t>
        </is>
      </c>
      <c r="B288" s="9" t="inlineStr">
        <is>
          <t>50 Breast</t>
        </is>
      </c>
      <c r="C288" s="9" t="n">
        <v>23</v>
      </c>
      <c r="D288" s="9" t="n">
        <v>3</v>
      </c>
      <c r="E288" s="41" t="inlineStr">
        <is>
          <t>30.75</t>
        </is>
      </c>
      <c r="F288" s="35">
        <f>IFERROR(__xludf.DUMMYFUNCTION("IF(
  REGEXMATCH(E288, "":""),
  60*VALUE(INDEX(SPLIT(E288, "":""),1,1)) + VALUE(INDEX(SPLIT(E288, "":""),1,2)),
  VALUE(E288)
)"),30.75)</f>
        <v/>
      </c>
      <c r="G288" s="35">
        <f>F287-F288</f>
        <v/>
      </c>
      <c r="H288" s="35" t="n">
        <v>0.03999999999999915</v>
      </c>
      <c r="I288" s="215">
        <f>C272</f>
        <v/>
      </c>
      <c r="J288" s="215">
        <f>C289</f>
        <v/>
      </c>
      <c r="K288" s="43">
        <f t="array" ref="K288">INDEX('Podium Target Times'!$C:$C, MATCH(A288&amp;B288, 'Podium Target Times'!$A:$A&amp;'Podium Target Times'!$B:$B, 0))
</f>
        <v/>
      </c>
      <c r="L288" s="12">
        <f>L289+G289</f>
        <v/>
      </c>
      <c r="M288" s="43">
        <f>IF(L288&lt;60, TEXT(L288,"0.00"), IF(L288&lt;600, TEXT(L288/86400,"m:ss.00"), TEXT(L288/86400,"mm:ss.00")))
</f>
        <v/>
      </c>
      <c r="N288" s="14">
        <f>IFERROR(__xludf.DUMMYFUNCTION("LET(
  gen,$A288, ev,$B288, t,$M288,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288" s="65" t="n"/>
      <c r="P288" s="69" t="n"/>
      <c r="Q288" s="65" t="n"/>
      <c r="R288" s="69" t="n"/>
      <c r="S288" s="58" t="n"/>
      <c r="T288" s="69" t="n"/>
      <c r="U288" s="65" t="n"/>
      <c r="V288" s="65" t="n"/>
      <c r="W288" s="65" t="n"/>
    </row>
    <row r="289">
      <c r="A289" s="17" t="inlineStr">
        <is>
          <t>F</t>
        </is>
      </c>
      <c r="B289" s="18" t="inlineStr">
        <is>
          <t>50 Breast</t>
        </is>
      </c>
      <c r="C289" s="18" t="n">
        <v>24</v>
      </c>
      <c r="D289" s="18" t="n">
        <v>3</v>
      </c>
      <c r="E289" s="46" t="inlineStr">
        <is>
          <t>30.75</t>
        </is>
      </c>
      <c r="F289" s="21">
        <f>IFERROR(__xludf.DUMMYFUNCTION("IF(
  REGEXMATCH(E289, "":""),
  60*VALUE(INDEX(SPLIT(E289, "":""),1,1)) + VALUE(INDEX(SPLIT(E289, "":""),1,2)),
  VALUE(E289)
)"),30.75)</f>
        <v/>
      </c>
      <c r="G289" s="21">
        <f>F288-F289</f>
        <v/>
      </c>
      <c r="H289" s="21" t="n">
        <v>0</v>
      </c>
      <c r="I289" s="211">
        <f>C272</f>
        <v/>
      </c>
      <c r="J289" s="211">
        <f>C289</f>
        <v/>
      </c>
      <c r="K289" s="60">
        <f t="array" ref="K289">INDEX('Podium Target Times'!$C:$C, MATCH(A289&amp;B289, 'Podium Target Times'!$A:$A&amp;'Podium Target Times'!$B:$B, 0))
</f>
        <v/>
      </c>
      <c r="L289" s="21">
        <f>G289+L290</f>
        <v/>
      </c>
      <c r="M289" s="60">
        <f>IF(L289&lt;60, TEXT(L289,"0.00"), IF(L289&lt;600, TEXT(L289/86400,"m:ss.00"), TEXT(L289/86400,"mm:ss.00")))
</f>
        <v/>
      </c>
      <c r="N289" s="25">
        <f>IFERROR(__xludf.DUMMYFUNCTION("LET(
  gen,$A289, ev,$B289, t,$M289,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289" s="65" t="n"/>
      <c r="P289" s="69" t="n"/>
      <c r="Q289" s="65" t="n"/>
      <c r="R289" s="69" t="n"/>
      <c r="S289" s="58" t="n"/>
      <c r="T289" s="69" t="n"/>
      <c r="U289" s="65" t="n"/>
      <c r="V289" s="65" t="n"/>
      <c r="W289" s="65" t="n"/>
    </row>
    <row r="290">
      <c r="A290" s="8" t="inlineStr">
        <is>
          <t>F</t>
        </is>
      </c>
      <c r="B290" s="9" t="inlineStr">
        <is>
          <t>50 Breast</t>
        </is>
      </c>
      <c r="C290" s="9" t="n">
        <v>25</v>
      </c>
      <c r="D290" s="9" t="n"/>
      <c r="E290" s="41" t="n"/>
      <c r="F290" s="35">
        <f>IFERROR(__xludf.DUMMYFUNCTION("IF(
  REGEXMATCH(E290, "":""),
  60*VALUE(INDEX(SPLIT(E290, "":""),1,1)) + VALUE(INDEX(SPLIT(E290, "":""),1,2)),
  VALUE(E290)
)"),0.0)</f>
        <v/>
      </c>
      <c r="G290" s="35">
        <f>F289-F290</f>
        <v/>
      </c>
      <c r="H290" s="35" t="n"/>
      <c r="I290" s="215">
        <f>C272</f>
        <v/>
      </c>
      <c r="J290" s="215">
        <f>C289</f>
        <v/>
      </c>
      <c r="K290" s="43">
        <f t="array" ref="K290">INDEX('Podium Target Times'!$C:$C, MATCH(A290&amp;B290, 'Podium Target Times'!$A:$A&amp;'Podium Target Times'!$B:$B, 0))
</f>
        <v/>
      </c>
      <c r="L290" s="215">
        <f>K290</f>
        <v/>
      </c>
      <c r="M290" s="43">
        <f>IF(L290&lt;60, TEXT(L290,"0.00"), IF(L290&lt;600, TEXT(L290/86400,"m:ss.00"), TEXT(L290/86400,"mm:ss.00")))
</f>
        <v/>
      </c>
      <c r="N290" s="14">
        <f>IFERROR(__xludf.DUMMYFUNCTION("LET(
  gen,$A290, ev,$B290, t,$M290,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290" s="65" t="n"/>
      <c r="P290" s="69" t="n"/>
      <c r="Q290" s="65" t="n"/>
      <c r="R290" s="69" t="n"/>
      <c r="S290" s="58" t="n"/>
      <c r="T290" s="69" t="n"/>
      <c r="U290" s="65" t="n"/>
      <c r="V290" s="65" t="n"/>
      <c r="W290" s="65" t="n"/>
    </row>
    <row r="291">
      <c r="A291" s="17" t="inlineStr">
        <is>
          <t>F</t>
        </is>
      </c>
      <c r="B291" s="18" t="inlineStr">
        <is>
          <t>50 Fly</t>
        </is>
      </c>
      <c r="C291" s="18" t="n">
        <v>17</v>
      </c>
      <c r="D291" s="18" t="n">
        <v>1</v>
      </c>
      <c r="E291" s="491" t="inlineStr">
        <is>
          <t>26.98</t>
        </is>
      </c>
      <c r="F291" s="21">
        <f>IFERROR(__xludf.DUMMYFUNCTION("IF(
  REGEXMATCH(E291, "":""),
  60*VALUE(INDEX(SPLIT(E291, "":""),1,1)) + VALUE(INDEX(SPLIT(E291, "":""),1,2)),
  VALUE(E291)
)"),26.98)</f>
        <v/>
      </c>
      <c r="G291" s="24" t="n">
        <v>0</v>
      </c>
      <c r="H291" s="24" t="n">
        <v>0</v>
      </c>
      <c r="I291" s="60">
        <f>C291</f>
        <v/>
      </c>
      <c r="J291" s="60">
        <f>C308</f>
        <v/>
      </c>
      <c r="K291" s="60">
        <f t="array" ref="K291">INDEX('Podium Target Times'!$C:$C, MATCH(A291&amp;B291, 'Podium Target Times'!$A:$A&amp;'Podium Target Times'!$B:$B, 0))
</f>
        <v/>
      </c>
      <c r="L291" s="24">
        <f>L292+G292</f>
        <v/>
      </c>
      <c r="M291" s="60">
        <f>IF(L291&lt;60, TEXT(L291,"0.00"), IF(L291&lt;600, TEXT(L291/86400,"m:ss.00"), TEXT(L291/86400,"mm:ss.00")))
</f>
        <v/>
      </c>
      <c r="N291" s="25">
        <f>IFERROR(__xludf.DUMMYFUNCTION("LET(
  gen,$A291, ev,$B291, t,$M291,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291" s="65" t="n"/>
      <c r="P291" s="69">
        <f>A291</f>
        <v/>
      </c>
      <c r="Q291" s="65">
        <f>B291</f>
        <v/>
      </c>
      <c r="R291" s="69">
        <f>C291</f>
        <v/>
      </c>
      <c r="S291" s="58">
        <f>M291</f>
        <v/>
      </c>
      <c r="T291" s="69">
        <f>N291</f>
        <v/>
      </c>
      <c r="U291" s="65" t="n">
        <v>672</v>
      </c>
      <c r="V291" s="65" t="n"/>
      <c r="W291" s="65" t="n"/>
    </row>
    <row r="292">
      <c r="A292" s="8" t="inlineStr">
        <is>
          <t>F</t>
        </is>
      </c>
      <c r="B292" s="9" t="inlineStr">
        <is>
          <t>50 Fly</t>
        </is>
      </c>
      <c r="C292" s="9" t="n">
        <v>18</v>
      </c>
      <c r="D292" s="9" t="n">
        <v>1</v>
      </c>
      <c r="E292" s="41" t="inlineStr">
        <is>
          <t>26.71</t>
        </is>
      </c>
      <c r="F292" s="35">
        <f>IFERROR(__xludf.DUMMYFUNCTION("IF(
  REGEXMATCH(E292, "":""),
  60*VALUE(INDEX(SPLIT(E292, "":""),1,1)) + VALUE(INDEX(SPLIT(E292, "":""),1,2)),
  VALUE(E292)
)"),26.71)</f>
        <v/>
      </c>
      <c r="G292" s="35">
        <f>F291-F292</f>
        <v/>
      </c>
      <c r="H292" s="35" t="n">
        <v>0.2699999999999996</v>
      </c>
      <c r="I292" s="215">
        <f>C291</f>
        <v/>
      </c>
      <c r="J292" s="215">
        <f>C308</f>
        <v/>
      </c>
      <c r="K292" s="43">
        <f t="array" ref="K292">INDEX('Podium Target Times'!$C:$C, MATCH(A292&amp;B292, 'Podium Target Times'!$A:$A&amp;'Podium Target Times'!$B:$B, 0))
</f>
        <v/>
      </c>
      <c r="L292" s="12">
        <f>L294+G294</f>
        <v/>
      </c>
      <c r="M292" s="43">
        <f>IF(L292&lt;60, TEXT(L292,"0.00"), IF(L292&lt;600, TEXT(L292/86400,"m:ss.00"), TEXT(L292/86400,"mm:ss.00")))
</f>
        <v/>
      </c>
      <c r="N292" s="14">
        <f>IFERROR(__xludf.DUMMYFUNCTION("LET(
  gen,$A292, ev,$B292, t,$M292,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292" s="65" t="n"/>
      <c r="P292" s="69">
        <f>A292</f>
        <v/>
      </c>
      <c r="Q292" s="65">
        <f>B292</f>
        <v/>
      </c>
      <c r="R292" s="69">
        <f>C292</f>
        <v/>
      </c>
      <c r="S292" s="58">
        <f>M292</f>
        <v/>
      </c>
      <c r="T292" s="69">
        <f>N292</f>
        <v/>
      </c>
      <c r="U292" s="65" t="n"/>
      <c r="V292" s="65" t="n"/>
      <c r="W292" s="65" t="n"/>
    </row>
    <row r="293">
      <c r="A293" s="17" t="inlineStr">
        <is>
          <t>F</t>
        </is>
      </c>
      <c r="B293" s="18" t="inlineStr">
        <is>
          <t>50 Fly</t>
        </is>
      </c>
      <c r="C293" s="18" t="n">
        <v>18</v>
      </c>
      <c r="D293" s="18" t="n">
        <v>2</v>
      </c>
      <c r="E293" s="46" t="inlineStr">
        <is>
          <t>26.81</t>
        </is>
      </c>
      <c r="F293" s="21">
        <f>IFERROR(__xludf.DUMMYFUNCTION("IF(
  REGEXMATCH(E293, "":""),
  60*VALUE(INDEX(SPLIT(E293, "":""),1,1)) + VALUE(INDEX(SPLIT(E293, "":""),1,2)),
  VALUE(E293)
)"),26.81)</f>
        <v/>
      </c>
      <c r="G293" s="21">
        <f>F291-F292</f>
        <v/>
      </c>
      <c r="H293" s="21" t="n">
        <v>0.2699999999999996</v>
      </c>
      <c r="I293" s="211">
        <f>C291</f>
        <v/>
      </c>
      <c r="J293" s="211">
        <f>C308</f>
        <v/>
      </c>
      <c r="K293" s="60">
        <f t="array" ref="K293">INDEX('Podium Target Times'!$C:$C, MATCH(A293&amp;B293, 'Podium Target Times'!$A:$A&amp;'Podium Target Times'!$B:$B, 0))
</f>
        <v/>
      </c>
      <c r="L293" s="24">
        <f>L294+G294</f>
        <v/>
      </c>
      <c r="M293" s="60">
        <f>IF(L293&lt;60, TEXT(L293,"0.00"), IF(L293&lt;600, TEXT(L293/86400,"m:ss.00"), TEXT(L293/86400,"mm:ss.00")))
</f>
        <v/>
      </c>
      <c r="N293" s="25">
        <f>IFERROR(__xludf.DUMMYFUNCTION("LET(
  gen,$A293, ev,$B293, t,$M293,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O293" s="65" t="n"/>
      <c r="P293" s="69">
        <f>A294</f>
        <v/>
      </c>
      <c r="Q293" s="65">
        <f>B294</f>
        <v/>
      </c>
      <c r="R293" s="69">
        <f>C294</f>
        <v/>
      </c>
      <c r="S293" s="58">
        <f>M294</f>
        <v/>
      </c>
      <c r="T293" s="69">
        <f>N294</f>
        <v/>
      </c>
      <c r="U293" s="65" t="n"/>
      <c r="V293" s="65" t="n"/>
      <c r="W293" s="65" t="n"/>
    </row>
    <row r="294">
      <c r="A294" s="8" t="inlineStr">
        <is>
          <t>F</t>
        </is>
      </c>
      <c r="B294" s="9" t="inlineStr">
        <is>
          <t>50 Fly</t>
        </is>
      </c>
      <c r="C294" s="9" t="n">
        <v>19</v>
      </c>
      <c r="D294" s="9" t="n">
        <v>1</v>
      </c>
      <c r="E294" s="41" t="inlineStr">
        <is>
          <t>26.50</t>
        </is>
      </c>
      <c r="F294" s="35">
        <f>IFERROR(__xludf.DUMMYFUNCTION("IF(
  REGEXMATCH(E294, "":""),
  60*VALUE(INDEX(SPLIT(E294, "":""),1,1)) + VALUE(INDEX(SPLIT(E294, "":""),1,2)),
  VALUE(E294)
)"),26.5)</f>
        <v/>
      </c>
      <c r="G294" s="35">
        <f>average(F292-F294,F293-F295)</f>
        <v/>
      </c>
      <c r="H294" s="35" t="n">
        <v>0.2099999999999991</v>
      </c>
      <c r="I294" s="215">
        <f>C291</f>
        <v/>
      </c>
      <c r="J294" s="215">
        <f>C308</f>
        <v/>
      </c>
      <c r="K294" s="43">
        <f t="array" ref="K294">INDEX('Podium Target Times'!$C:$C, MATCH(A294&amp;B294, 'Podium Target Times'!$A:$A&amp;'Podium Target Times'!$B:$B, 0))
</f>
        <v/>
      </c>
      <c r="L294" s="12">
        <f>L297+G297</f>
        <v/>
      </c>
      <c r="M294" s="43">
        <f>IF(L294&lt;60, TEXT(L294,"0.00"), IF(L294&lt;600, TEXT(L294/86400,"m:ss.00"), TEXT(L294/86400,"mm:ss.00")))
</f>
        <v/>
      </c>
      <c r="N294" s="14">
        <f>IFERROR(__xludf.DUMMYFUNCTION("LET(
  gen,$A294, ev,$B294, t,$M294,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294" s="65" t="n"/>
      <c r="P294" s="69">
        <f>A297</f>
        <v/>
      </c>
      <c r="Q294" s="65">
        <f>B297</f>
        <v/>
      </c>
      <c r="R294" s="69">
        <f>C297</f>
        <v/>
      </c>
      <c r="S294" s="58">
        <f>M297</f>
        <v/>
      </c>
      <c r="T294" s="69">
        <f>N297</f>
        <v/>
      </c>
      <c r="U294" s="65" t="n"/>
      <c r="V294" s="65" t="n"/>
      <c r="W294" s="65" t="n"/>
    </row>
    <row r="295">
      <c r="A295" s="17" t="inlineStr">
        <is>
          <t>F</t>
        </is>
      </c>
      <c r="B295" s="18" t="inlineStr">
        <is>
          <t>50 Fly</t>
        </is>
      </c>
      <c r="C295" s="18" t="n">
        <v>19</v>
      </c>
      <c r="D295" s="221" t="n">
        <v>2</v>
      </c>
      <c r="E295" s="46" t="inlineStr">
        <is>
          <t>26.60</t>
        </is>
      </c>
      <c r="F295" s="21">
        <f>IFERROR(__xludf.DUMMYFUNCTION("IF(
  REGEXMATCH(E295, "":""),
  60*VALUE(INDEX(SPLIT(E295, "":""),1,1)) + VALUE(INDEX(SPLIT(E295, "":""),1,2)),
  VALUE(E295)
)"),26.6)</f>
        <v/>
      </c>
      <c r="G295" s="21">
        <f>average(F292-F294,F293-F295)</f>
        <v/>
      </c>
      <c r="H295" s="21" t="n">
        <v>0.2099999999999991</v>
      </c>
      <c r="I295" s="211">
        <f>C291</f>
        <v/>
      </c>
      <c r="J295" s="211">
        <f>C308</f>
        <v/>
      </c>
      <c r="K295" s="60">
        <f t="array" ref="K295">INDEX('Podium Target Times'!$C:$C, MATCH(A295&amp;B295, 'Podium Target Times'!$A:$A&amp;'Podium Target Times'!$B:$B, 0))
</f>
        <v/>
      </c>
      <c r="L295" s="24">
        <f>L297+G297</f>
        <v/>
      </c>
      <c r="M295" s="60">
        <f>IF(L295&lt;60, TEXT(L295,"0.00"), IF(L295&lt;600, TEXT(L295/86400,"m:ss.00"), TEXT(L295/86400,"mm:ss.00")))
</f>
        <v/>
      </c>
      <c r="N295" s="25">
        <f>IFERROR(__xludf.DUMMYFUNCTION("LET(
  gen,$A295, ev,$B295, t,$M295,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295" s="65" t="n"/>
      <c r="P295" s="69">
        <f>A300</f>
        <v/>
      </c>
      <c r="Q295" s="65">
        <f>B300</f>
        <v/>
      </c>
      <c r="R295" s="69">
        <f>C300</f>
        <v/>
      </c>
      <c r="S295" s="58">
        <f>M300</f>
        <v/>
      </c>
      <c r="T295" s="69">
        <f>N300</f>
        <v/>
      </c>
      <c r="U295" s="65" t="n"/>
      <c r="V295" s="65" t="n"/>
      <c r="W295" s="65" t="n"/>
    </row>
    <row r="296">
      <c r="A296" s="8" t="inlineStr">
        <is>
          <t>F</t>
        </is>
      </c>
      <c r="B296" s="9" t="inlineStr">
        <is>
          <t>50 Fly</t>
        </is>
      </c>
      <c r="C296" s="9" t="n">
        <v>19</v>
      </c>
      <c r="D296" s="219" t="n">
        <v>3</v>
      </c>
      <c r="E296" s="41" t="inlineStr">
        <is>
          <t>26.61</t>
        </is>
      </c>
      <c r="F296" s="35">
        <f>IFERROR(__xludf.DUMMYFUNCTION("IF(
  REGEXMATCH(E296, "":""),
  60*VALUE(INDEX(SPLIT(E296, "":""),1,1)) + VALUE(INDEX(SPLIT(E296, "":""),1,2)),
  VALUE(E296)
)"),26.61)</f>
        <v/>
      </c>
      <c r="G296" s="35">
        <f>average(F292-F294,F293-F295)</f>
        <v/>
      </c>
      <c r="H296" s="35" t="n">
        <v>0.2099999999999991</v>
      </c>
      <c r="I296" s="215">
        <f>C291</f>
        <v/>
      </c>
      <c r="J296" s="215">
        <f>C308</f>
        <v/>
      </c>
      <c r="K296" s="43">
        <f t="array" ref="K296">INDEX('Podium Target Times'!$C:$C, MATCH(A296&amp;B296, 'Podium Target Times'!$A:$A&amp;'Podium Target Times'!$B:$B, 0))
</f>
        <v/>
      </c>
      <c r="L296" s="12">
        <f>L297+G297</f>
        <v/>
      </c>
      <c r="M296" s="43">
        <f>IF(L296&lt;60, TEXT(L296,"0.00"), IF(L296&lt;600, TEXT(L296/86400,"m:ss.00"), TEXT(L296/86400,"mm:ss.00")))
</f>
        <v/>
      </c>
      <c r="N296" s="14">
        <f>IFERROR(__xludf.DUMMYFUNCTION("LET(
  gen,$A296, ev,$B296, t,$M296,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296" s="65" t="n"/>
      <c r="P296" s="69">
        <f>A303</f>
        <v/>
      </c>
      <c r="Q296" s="65">
        <f>B303</f>
        <v/>
      </c>
      <c r="R296" s="69">
        <f>C303</f>
        <v/>
      </c>
      <c r="S296" s="58">
        <f>M303</f>
        <v/>
      </c>
      <c r="T296" s="69">
        <f>N303</f>
        <v/>
      </c>
      <c r="U296" s="65" t="n"/>
      <c r="V296" s="65" t="n"/>
      <c r="W296" s="65" t="n"/>
    </row>
    <row r="297">
      <c r="A297" s="17" t="inlineStr">
        <is>
          <t>F</t>
        </is>
      </c>
      <c r="B297" s="18" t="inlineStr">
        <is>
          <t>50 Fly</t>
        </is>
      </c>
      <c r="C297" s="18" t="n">
        <v>20</v>
      </c>
      <c r="D297" s="18" t="n">
        <v>1</v>
      </c>
      <c r="E297" s="46" t="inlineStr">
        <is>
          <t>26.34</t>
        </is>
      </c>
      <c r="F297" s="21">
        <f>IFERROR(__xludf.DUMMYFUNCTION("IF(
  REGEXMATCH(E297, "":""),
  60*VALUE(INDEX(SPLIT(E297, "":""),1,1)) + VALUE(INDEX(SPLIT(E297, "":""),1,2)),
  VALUE(E297)
)"),26.34)</f>
        <v/>
      </c>
      <c r="G297" s="21">
        <f>average(F294-F297,F295-F298,F296-F299)</f>
        <v/>
      </c>
      <c r="H297" s="21" t="n">
        <v>0.163333333333334</v>
      </c>
      <c r="I297" s="211">
        <f>C291</f>
        <v/>
      </c>
      <c r="J297" s="211">
        <f>C308</f>
        <v/>
      </c>
      <c r="K297" s="60">
        <f t="array" ref="K297">INDEX('Podium Target Times'!$C:$C, MATCH(A297&amp;B297, 'Podium Target Times'!$A:$A&amp;'Podium Target Times'!$B:$B, 0))
</f>
        <v/>
      </c>
      <c r="L297" s="24">
        <f>L300+G300</f>
        <v/>
      </c>
      <c r="M297" s="60">
        <f>IF(L297&lt;60, TEXT(L297,"0.00"), IF(L297&lt;600, TEXT(L297/86400,"m:ss.00"), TEXT(L297/86400,"mm:ss.00")))
</f>
        <v/>
      </c>
      <c r="N297" s="25">
        <f>IFERROR(__xludf.DUMMYFUNCTION("LET(
  gen,$A297, ev,$B297, t,$M297,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297" s="65" t="n"/>
      <c r="P297" s="69">
        <f>A305</f>
        <v/>
      </c>
      <c r="Q297" s="65">
        <f>B305</f>
        <v/>
      </c>
      <c r="R297" s="69">
        <f>C305</f>
        <v/>
      </c>
      <c r="S297" s="58">
        <f>M305</f>
        <v/>
      </c>
      <c r="T297" s="69">
        <f>N305</f>
        <v/>
      </c>
      <c r="U297" s="65" t="n"/>
      <c r="V297" s="65" t="n"/>
      <c r="W297" s="65" t="n"/>
    </row>
    <row r="298">
      <c r="A298" s="8" t="inlineStr">
        <is>
          <t>F</t>
        </is>
      </c>
      <c r="B298" s="9" t="inlineStr">
        <is>
          <t>50 Fly</t>
        </is>
      </c>
      <c r="C298" s="9" t="n">
        <v>20</v>
      </c>
      <c r="D298" s="219" t="n">
        <v>2</v>
      </c>
      <c r="E298" s="41" t="inlineStr">
        <is>
          <t>26.43</t>
        </is>
      </c>
      <c r="F298" s="35">
        <f>IFERROR(__xludf.DUMMYFUNCTION("IF(
  REGEXMATCH(E298, "":""),
  60*VALUE(INDEX(SPLIT(E298, "":""),1,1)) + VALUE(INDEX(SPLIT(E298, "":""),1,2)),
  VALUE(E298)
)"),26.43)</f>
        <v/>
      </c>
      <c r="G298" s="35">
        <f>average(F294-F297,F295-F298,F296-F299)</f>
        <v/>
      </c>
      <c r="H298" s="35" t="n">
        <v>0.163333333333334</v>
      </c>
      <c r="I298" s="215">
        <f>C291</f>
        <v/>
      </c>
      <c r="J298" s="215">
        <f>C308</f>
        <v/>
      </c>
      <c r="K298" s="43">
        <f t="array" ref="K298">INDEX('Podium Target Times'!$C:$C, MATCH(A298&amp;B298, 'Podium Target Times'!$A:$A&amp;'Podium Target Times'!$B:$B, 0))
</f>
        <v/>
      </c>
      <c r="L298" s="12">
        <f>L300+G300</f>
        <v/>
      </c>
      <c r="M298" s="43">
        <f>IF(L298&lt;60, TEXT(L298,"0.00"), IF(L298&lt;600, TEXT(L298/86400,"m:ss.00"), TEXT(L298/86400,"mm:ss.00")))
</f>
        <v/>
      </c>
      <c r="N298" s="14">
        <f>IFERROR(__xludf.DUMMYFUNCTION("LET(
  gen,$A298, ev,$B298, t,$M298,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298" s="65" t="n"/>
      <c r="P298" s="69">
        <f>A307</f>
        <v/>
      </c>
      <c r="Q298" s="65">
        <f>B307</f>
        <v/>
      </c>
      <c r="R298" s="69">
        <f>C307</f>
        <v/>
      </c>
      <c r="S298" s="58">
        <f>M307</f>
        <v/>
      </c>
      <c r="T298" s="69">
        <f>N307</f>
        <v/>
      </c>
      <c r="U298" s="65" t="n"/>
      <c r="V298" s="65" t="n"/>
      <c r="W298" s="65" t="n"/>
    </row>
    <row r="299">
      <c r="A299" s="17" t="inlineStr">
        <is>
          <t>F</t>
        </is>
      </c>
      <c r="B299" s="18" t="inlineStr">
        <is>
          <t>50 Fly</t>
        </is>
      </c>
      <c r="C299" s="18" t="n">
        <v>20</v>
      </c>
      <c r="D299" s="221" t="n">
        <v>3</v>
      </c>
      <c r="E299" s="46" t="inlineStr">
        <is>
          <t>26.45</t>
        </is>
      </c>
      <c r="F299" s="21">
        <f>IFERROR(__xludf.DUMMYFUNCTION("IF(
  REGEXMATCH(E299, "":""),
  60*VALUE(INDEX(SPLIT(E299, "":""),1,1)) + VALUE(INDEX(SPLIT(E299, "":""),1,2)),
  VALUE(E299)
)"),26.45)</f>
        <v/>
      </c>
      <c r="G299" s="21">
        <f>average(F294-F297,F295-F298,F296-F299)</f>
        <v/>
      </c>
      <c r="H299" s="21" t="n">
        <v>0.163333333333334</v>
      </c>
      <c r="I299" s="211">
        <f>C291</f>
        <v/>
      </c>
      <c r="J299" s="211">
        <f>C308</f>
        <v/>
      </c>
      <c r="K299" s="60">
        <f t="array" ref="K299">INDEX('Podium Target Times'!$C:$C, MATCH(A299&amp;B299, 'Podium Target Times'!$A:$A&amp;'Podium Target Times'!$B:$B, 0))
</f>
        <v/>
      </c>
      <c r="L299" s="24">
        <f>L300+G300</f>
        <v/>
      </c>
      <c r="M299" s="60">
        <f>IF(L299&lt;60, TEXT(L299,"0.00"), IF(L299&lt;600, TEXT(L299/86400,"m:ss.00"), TEXT(L299/86400,"mm:ss.00")))
</f>
        <v/>
      </c>
      <c r="N299" s="25">
        <f>IFERROR(__xludf.DUMMYFUNCTION("LET(
  gen,$A299, ev,$B299, t,$M299,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299" s="65" t="n"/>
      <c r="P299" s="69">
        <f>A308</f>
        <v/>
      </c>
      <c r="Q299" s="65">
        <f>B308</f>
        <v/>
      </c>
      <c r="R299" s="69">
        <f>C308</f>
        <v/>
      </c>
      <c r="S299" s="58">
        <f>M308</f>
        <v/>
      </c>
      <c r="T299" s="69">
        <f>N308</f>
        <v/>
      </c>
      <c r="U299" s="65" t="n">
        <v>739</v>
      </c>
      <c r="V299" s="65" t="n"/>
      <c r="W299" s="65" t="n"/>
    </row>
    <row r="300">
      <c r="A300" s="8" t="inlineStr">
        <is>
          <t>F</t>
        </is>
      </c>
      <c r="B300" s="9" t="inlineStr">
        <is>
          <t>50 Fly</t>
        </is>
      </c>
      <c r="C300" s="9" t="n">
        <v>21</v>
      </c>
      <c r="D300" s="9" t="n">
        <v>1</v>
      </c>
      <c r="E300" s="41" t="inlineStr">
        <is>
          <t>26.23</t>
        </is>
      </c>
      <c r="F300" s="35">
        <f>IFERROR(__xludf.DUMMYFUNCTION("IF(
  REGEXMATCH(E300, "":""),
  60*VALUE(INDEX(SPLIT(E300, "":""),1,1)) + VALUE(INDEX(SPLIT(E300, "":""),1,2)),
  VALUE(E300)
)"),26.23)</f>
        <v/>
      </c>
      <c r="G300" s="35">
        <f>average(F297-F300,F298-F301,F299-F302)</f>
        <v/>
      </c>
      <c r="H300" s="35" t="n">
        <v>0.1066666666666668</v>
      </c>
      <c r="I300" s="215">
        <f>C291</f>
        <v/>
      </c>
      <c r="J300" s="215">
        <f>C308</f>
        <v/>
      </c>
      <c r="K300" s="43">
        <f t="array" ref="K300">INDEX('Podium Target Times'!$C:$C, MATCH(A300&amp;B300, 'Podium Target Times'!$A:$A&amp;'Podium Target Times'!$B:$B, 0))
</f>
        <v/>
      </c>
      <c r="L300" s="12">
        <f>L303+G303</f>
        <v/>
      </c>
      <c r="M300" s="43">
        <f>IF(L300&lt;60, TEXT(L300,"0.00"), IF(L300&lt;600, TEXT(L300/86400,"m:ss.00"), TEXT(L300/86400,"mm:ss.00")))
</f>
        <v/>
      </c>
      <c r="N300" s="14">
        <f>IFERROR(__xludf.DUMMYFUNCTION("LET(
  gen,$A300, ev,$B300, t,$M300,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300" s="65" t="n"/>
      <c r="P300" s="69" t="n"/>
      <c r="Q300" s="65" t="n"/>
      <c r="R300" s="69" t="n"/>
      <c r="S300" s="58" t="n"/>
      <c r="T300" s="69" t="n"/>
      <c r="U300" s="65" t="n"/>
      <c r="V300" s="65" t="n"/>
      <c r="W300" s="65" t="n"/>
    </row>
    <row r="301">
      <c r="A301" s="17" t="inlineStr">
        <is>
          <t>F</t>
        </is>
      </c>
      <c r="B301" s="18" t="inlineStr">
        <is>
          <t>50 Fly</t>
        </is>
      </c>
      <c r="C301" s="18" t="n">
        <v>21</v>
      </c>
      <c r="D301" s="221" t="n">
        <v>2</v>
      </c>
      <c r="E301" s="46" t="inlineStr">
        <is>
          <t>26.33</t>
        </is>
      </c>
      <c r="F301" s="21">
        <f>IFERROR(__xludf.DUMMYFUNCTION("IF(
  REGEXMATCH(E301, "":""),
  60*VALUE(INDEX(SPLIT(E301, "":""),1,1)) + VALUE(INDEX(SPLIT(E301, "":""),1,2)),
  VALUE(E301)
)"),26.33)</f>
        <v/>
      </c>
      <c r="G301" s="21">
        <f>average(F297-F300,F298-F301,F299-F302)</f>
        <v/>
      </c>
      <c r="H301" s="21" t="n">
        <v>0.1066666666666668</v>
      </c>
      <c r="I301" s="211">
        <f>C291</f>
        <v/>
      </c>
      <c r="J301" s="211">
        <f>C308</f>
        <v/>
      </c>
      <c r="K301" s="60">
        <f t="array" ref="K301">INDEX('Podium Target Times'!$C:$C, MATCH(A301&amp;B301, 'Podium Target Times'!$A:$A&amp;'Podium Target Times'!$B:$B, 0))
</f>
        <v/>
      </c>
      <c r="L301" s="24">
        <f>L303+G303</f>
        <v/>
      </c>
      <c r="M301" s="60">
        <f>IF(L301&lt;60, TEXT(L301,"0.00"), IF(L301&lt;600, TEXT(L301/86400,"m:ss.00"), TEXT(L301/86400,"mm:ss.00")))
</f>
        <v/>
      </c>
      <c r="N301" s="25">
        <f>IFERROR(__xludf.DUMMYFUNCTION("LET(
  gen,$A301, ev,$B301, t,$M301,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301" s="65" t="n"/>
      <c r="P301" s="69" t="n"/>
      <c r="Q301" s="65" t="n"/>
      <c r="R301" s="69" t="n"/>
      <c r="S301" s="58" t="n"/>
      <c r="T301" s="69" t="n"/>
      <c r="U301" s="65" t="n"/>
      <c r="V301" s="65" t="n"/>
      <c r="W301" s="65" t="n"/>
    </row>
    <row r="302">
      <c r="A302" s="8" t="inlineStr">
        <is>
          <t>F</t>
        </is>
      </c>
      <c r="B302" s="9" t="inlineStr">
        <is>
          <t>50 Fly</t>
        </is>
      </c>
      <c r="C302" s="9" t="n">
        <v>21</v>
      </c>
      <c r="D302" s="219" t="n">
        <v>3</v>
      </c>
      <c r="E302" s="41" t="inlineStr">
        <is>
          <t>26.34</t>
        </is>
      </c>
      <c r="F302" s="35">
        <f>IFERROR(__xludf.DUMMYFUNCTION("IF(
  REGEXMATCH(E302, "":""),
  60*VALUE(INDEX(SPLIT(E302, "":""),1,1)) + VALUE(INDEX(SPLIT(E302, "":""),1,2)),
  VALUE(E302)
)"),26.34)</f>
        <v/>
      </c>
      <c r="G302" s="35">
        <f>average(F297-F300,F298-F301,F299-F302)</f>
        <v/>
      </c>
      <c r="H302" s="35" t="n">
        <v>0.1066666666666668</v>
      </c>
      <c r="I302" s="215">
        <f>C291</f>
        <v/>
      </c>
      <c r="J302" s="215">
        <f>C308</f>
        <v/>
      </c>
      <c r="K302" s="43">
        <f t="array" ref="K302">INDEX('Podium Target Times'!$C:$C, MATCH(A302&amp;B302, 'Podium Target Times'!$A:$A&amp;'Podium Target Times'!$B:$B, 0))
</f>
        <v/>
      </c>
      <c r="L302" s="12">
        <f>L303+G303</f>
        <v/>
      </c>
      <c r="M302" s="43">
        <f>IF(L302&lt;60, TEXT(L302,"0.00"), IF(L302&lt;600, TEXT(L302/86400,"m:ss.00"), TEXT(L302/86400,"mm:ss.00")))
</f>
        <v/>
      </c>
      <c r="N302" s="14">
        <f>IFERROR(__xludf.DUMMYFUNCTION("LET(
  gen,$A302, ev,$B302, t,$M302,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302" s="65" t="n"/>
      <c r="P302" s="69" t="n"/>
      <c r="Q302" s="65" t="n"/>
      <c r="R302" s="69" t="n"/>
      <c r="S302" s="58" t="n"/>
      <c r="T302" s="69" t="n"/>
      <c r="U302" s="65" t="n"/>
      <c r="V302" s="65" t="n"/>
      <c r="W302" s="65" t="n"/>
    </row>
    <row r="303">
      <c r="A303" s="17" t="inlineStr">
        <is>
          <t>F</t>
        </is>
      </c>
      <c r="B303" s="18" t="inlineStr">
        <is>
          <t>50 Fly</t>
        </is>
      </c>
      <c r="C303" s="18" t="n">
        <v>22</v>
      </c>
      <c r="D303" s="221" t="n">
        <v>2</v>
      </c>
      <c r="E303" s="46" t="inlineStr">
        <is>
          <t>26.27</t>
        </is>
      </c>
      <c r="F303" s="21">
        <f>IFERROR(__xludf.DUMMYFUNCTION("IF(
  REGEXMATCH(E303, "":""),
  60*VALUE(INDEX(SPLIT(E303, "":""),1,1)) + VALUE(INDEX(SPLIT(E303, "":""),1,2)),
  VALUE(E303)
)"),26.27)</f>
        <v/>
      </c>
      <c r="G303" s="21">
        <f>average(F301-F303,F302-F304)</f>
        <v/>
      </c>
      <c r="H303" s="21" t="n">
        <v>0.05999999999999872</v>
      </c>
      <c r="I303" s="211">
        <f>C291</f>
        <v/>
      </c>
      <c r="J303" s="211">
        <f>C308</f>
        <v/>
      </c>
      <c r="K303" s="60">
        <f t="array" ref="K303">INDEX('Podium Target Times'!$C:$C, MATCH(A303&amp;B303, 'Podium Target Times'!$A:$A&amp;'Podium Target Times'!$B:$B, 0))
</f>
        <v/>
      </c>
      <c r="L303" s="24">
        <f>L305+G305</f>
        <v/>
      </c>
      <c r="M303" s="60">
        <f>IF(L303&lt;60, TEXT(L303,"0.00"), IF(L303&lt;600, TEXT(L303/86400,"m:ss.00"), TEXT(L303/86400,"mm:ss.00")))
</f>
        <v/>
      </c>
      <c r="N303" s="25">
        <f>IFERROR(__xludf.DUMMYFUNCTION("LET(
  gen,$A303, ev,$B303, t,$M303,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303" s="65" t="n"/>
      <c r="P303" s="69" t="n"/>
      <c r="Q303" s="65" t="n"/>
      <c r="R303" s="69" t="n"/>
      <c r="S303" s="58" t="n"/>
      <c r="T303" s="69" t="n"/>
      <c r="U303" s="65" t="n"/>
      <c r="V303" s="65" t="n"/>
      <c r="W303" s="65" t="n"/>
    </row>
    <row r="304">
      <c r="A304" s="8" t="inlineStr">
        <is>
          <t>F</t>
        </is>
      </c>
      <c r="B304" s="9" t="inlineStr">
        <is>
          <t>50 Fly</t>
        </is>
      </c>
      <c r="C304" s="9" t="n">
        <v>22</v>
      </c>
      <c r="D304" s="219" t="n">
        <v>3</v>
      </c>
      <c r="E304" s="41" t="inlineStr">
        <is>
          <t>26.28</t>
        </is>
      </c>
      <c r="F304" s="35">
        <f>IFERROR(__xludf.DUMMYFUNCTION("IF(
  REGEXMATCH(E304, "":""),
  60*VALUE(INDEX(SPLIT(E304, "":""),1,1)) + VALUE(INDEX(SPLIT(E304, "":""),1,2)),
  VALUE(E304)
)"),26.28)</f>
        <v/>
      </c>
      <c r="G304" s="35">
        <f>average(F301-F303,F302-F304)</f>
        <v/>
      </c>
      <c r="H304" s="35" t="n">
        <v>0.05999999999999872</v>
      </c>
      <c r="I304" s="215">
        <f>C291</f>
        <v/>
      </c>
      <c r="J304" s="215">
        <f>C308</f>
        <v/>
      </c>
      <c r="K304" s="43">
        <f t="array" ref="K304">INDEX('Podium Target Times'!$C:$C, MATCH(A304&amp;B304, 'Podium Target Times'!$A:$A&amp;'Podium Target Times'!$B:$B, 0))
</f>
        <v/>
      </c>
      <c r="L304" s="12">
        <f>L305+G305</f>
        <v/>
      </c>
      <c r="M304" s="43">
        <f>IF(L304&lt;60, TEXT(L304,"0.00"), IF(L304&lt;600, TEXT(L304/86400,"m:ss.00"), TEXT(L304/86400,"mm:ss.00")))
</f>
        <v/>
      </c>
      <c r="N304" s="14">
        <f>IFERROR(__xludf.DUMMYFUNCTION("LET(
  gen,$A304, ev,$B304, t,$M304,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O304" s="65" t="n"/>
      <c r="P304" s="69" t="n"/>
      <c r="Q304" s="65" t="n"/>
      <c r="R304" s="69" t="n"/>
      <c r="S304" s="58" t="n"/>
      <c r="T304" s="69" t="n"/>
      <c r="U304" s="65" t="n"/>
      <c r="V304" s="65" t="n"/>
      <c r="W304" s="65" t="n"/>
    </row>
    <row r="305">
      <c r="A305" s="17" t="inlineStr">
        <is>
          <t>F</t>
        </is>
      </c>
      <c r="B305" s="18" t="inlineStr">
        <is>
          <t>50 Fly</t>
        </is>
      </c>
      <c r="C305" s="18" t="n">
        <v>23</v>
      </c>
      <c r="D305" s="221" t="n">
        <v>2</v>
      </c>
      <c r="E305" s="46" t="inlineStr">
        <is>
          <t>26.23</t>
        </is>
      </c>
      <c r="F305" s="21">
        <f>IFERROR(__xludf.DUMMYFUNCTION("IF(
  REGEXMATCH(E305, "":""),
  60*VALUE(INDEX(SPLIT(E305, "":""),1,1)) + VALUE(INDEX(SPLIT(E305, "":""),1,2)),
  VALUE(E305)
)"),26.23)</f>
        <v/>
      </c>
      <c r="G305" s="21">
        <f>average(F303-F305,F304-F306)</f>
        <v/>
      </c>
      <c r="H305" s="21" t="n">
        <v>0.04000000000000092</v>
      </c>
      <c r="I305" s="211">
        <f>C291</f>
        <v/>
      </c>
      <c r="J305" s="211">
        <f>C308</f>
        <v/>
      </c>
      <c r="K305" s="60">
        <f t="array" ref="K305">INDEX('Podium Target Times'!$C:$C, MATCH(A305&amp;B305, 'Podium Target Times'!$A:$A&amp;'Podium Target Times'!$B:$B, 0))
</f>
        <v/>
      </c>
      <c r="L305" s="24">
        <f>L307+G307</f>
        <v/>
      </c>
      <c r="M305" s="60">
        <f>IF(L305&lt;60, TEXT(L305,"0.00"), IF(L305&lt;600, TEXT(L305/86400,"m:ss.00"), TEXT(L305/86400,"mm:ss.00")))
</f>
        <v/>
      </c>
      <c r="N305" s="25">
        <f>IFERROR(__xludf.DUMMYFUNCTION("LET(
  gen,$A305, ev,$B305, t,$M305,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O305" s="65" t="n"/>
      <c r="P305" s="69" t="n"/>
      <c r="Q305" s="65" t="n"/>
      <c r="R305" s="69" t="n"/>
      <c r="S305" s="58" t="n"/>
      <c r="T305" s="69" t="n"/>
      <c r="U305" s="65" t="n"/>
      <c r="V305" s="65" t="n"/>
      <c r="W305" s="65" t="n"/>
    </row>
    <row r="306">
      <c r="A306" s="8" t="inlineStr">
        <is>
          <t>F</t>
        </is>
      </c>
      <c r="B306" s="9" t="inlineStr">
        <is>
          <t>50 Fly</t>
        </is>
      </c>
      <c r="C306" s="9" t="n">
        <v>23</v>
      </c>
      <c r="D306" s="219" t="n">
        <v>3</v>
      </c>
      <c r="E306" s="41" t="inlineStr">
        <is>
          <t>26.24</t>
        </is>
      </c>
      <c r="F306" s="35">
        <f>IFERROR(__xludf.DUMMYFUNCTION("IF(
  REGEXMATCH(E306, "":""),
  60*VALUE(INDEX(SPLIT(E306, "":""),1,1)) + VALUE(INDEX(SPLIT(E306, "":""),1,2)),
  VALUE(E306)
)"),26.24)</f>
        <v/>
      </c>
      <c r="G306" s="35">
        <f>average(F303-F305,F304-F306)</f>
        <v/>
      </c>
      <c r="H306" s="35" t="n">
        <v>0.04000000000000092</v>
      </c>
      <c r="I306" s="215">
        <f>C291</f>
        <v/>
      </c>
      <c r="J306" s="215">
        <f>C308</f>
        <v/>
      </c>
      <c r="K306" s="43">
        <f t="array" ref="K306">INDEX('Podium Target Times'!$C:$C, MATCH(A306&amp;B306, 'Podium Target Times'!$A:$A&amp;'Podium Target Times'!$B:$B, 0))
</f>
        <v/>
      </c>
      <c r="L306" s="12">
        <f>L307+G307</f>
        <v/>
      </c>
      <c r="M306" s="43">
        <f>IF(L306&lt;60, TEXT(L306,"0.00"), IF(L306&lt;600, TEXT(L306/86400,"m:ss.00"), TEXT(L306/86400,"mm:ss.00")))
</f>
        <v/>
      </c>
      <c r="N306" s="14">
        <f>IFERROR(__xludf.DUMMYFUNCTION("LET(
  gen,$A306, ev,$B306, t,$M306,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O306" s="65" t="n"/>
      <c r="P306" s="69" t="n"/>
      <c r="Q306" s="65" t="n"/>
      <c r="R306" s="69" t="n"/>
      <c r="S306" s="58" t="n"/>
      <c r="T306" s="69" t="n"/>
      <c r="U306" s="65" t="n"/>
      <c r="V306" s="65" t="n"/>
      <c r="W306" s="65" t="n"/>
    </row>
    <row r="307">
      <c r="A307" s="17" t="inlineStr">
        <is>
          <t>F</t>
        </is>
      </c>
      <c r="B307" s="18" t="inlineStr">
        <is>
          <t>50 Fly</t>
        </is>
      </c>
      <c r="C307" s="18" t="n">
        <v>24</v>
      </c>
      <c r="D307" s="221" t="n">
        <v>3</v>
      </c>
      <c r="E307" s="46" t="inlineStr">
        <is>
          <t>26.23</t>
        </is>
      </c>
      <c r="F307" s="21">
        <f>IFERROR(__xludf.DUMMYFUNCTION("IF(
  REGEXMATCH(E307, "":""),
  60*VALUE(INDEX(SPLIT(E307, "":""),1,1)) + VALUE(INDEX(SPLIT(E307, "":""),1,2)),
  VALUE(E307)
)"),26.23)</f>
        <v/>
      </c>
      <c r="G307" s="21">
        <f>F306-F307</f>
        <v/>
      </c>
      <c r="H307" s="21" t="n">
        <v>0.00999999999999801</v>
      </c>
      <c r="I307" s="211">
        <f>C291</f>
        <v/>
      </c>
      <c r="J307" s="211">
        <f>C308</f>
        <v/>
      </c>
      <c r="K307" s="60">
        <f t="array" ref="K307">INDEX('Podium Target Times'!$C:$C, MATCH(A307&amp;B307, 'Podium Target Times'!$A:$A&amp;'Podium Target Times'!$B:$B, 0))
</f>
        <v/>
      </c>
      <c r="L307" s="24">
        <f>L308+G308</f>
        <v/>
      </c>
      <c r="M307" s="60">
        <f>IF(L307&lt;60, TEXT(L307,"0.00"), IF(L307&lt;600, TEXT(L307/86400,"m:ss.00"), TEXT(L307/86400,"mm:ss.00")))
</f>
        <v/>
      </c>
      <c r="N307" s="25">
        <f>IFERROR(__xludf.DUMMYFUNCTION("LET(
  gen,$A307, ev,$B307, t,$M307,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307" s="65" t="n"/>
      <c r="P307" s="69" t="n"/>
      <c r="Q307" s="65" t="n"/>
      <c r="R307" s="69" t="n"/>
      <c r="S307" s="58" t="n"/>
      <c r="T307" s="69" t="n"/>
      <c r="U307" s="65" t="n"/>
      <c r="V307" s="65" t="n"/>
      <c r="W307" s="65" t="n"/>
    </row>
    <row r="308">
      <c r="A308" s="8" t="inlineStr">
        <is>
          <t>F</t>
        </is>
      </c>
      <c r="B308" s="9" t="inlineStr">
        <is>
          <t>50 Fly</t>
        </is>
      </c>
      <c r="C308" s="9" t="n">
        <v>25</v>
      </c>
      <c r="D308" s="219" t="n">
        <v>3</v>
      </c>
      <c r="E308" s="41" t="inlineStr">
        <is>
          <t>26.23</t>
        </is>
      </c>
      <c r="F308" s="35">
        <f>IFERROR(__xludf.DUMMYFUNCTION("IF(
  REGEXMATCH(E308, "":""),
  60*VALUE(INDEX(SPLIT(E308, "":""),1,1)) + VALUE(INDEX(SPLIT(E308, "":""),1,2)),
  VALUE(E308)
)"),26.23)</f>
        <v/>
      </c>
      <c r="G308" s="35">
        <f>F307-F308</f>
        <v/>
      </c>
      <c r="H308" s="35" t="n">
        <v>0</v>
      </c>
      <c r="I308" s="215">
        <f>C291</f>
        <v/>
      </c>
      <c r="J308" s="215">
        <f>C308</f>
        <v/>
      </c>
      <c r="K308" s="43">
        <f t="array" ref="K308">INDEX('Podium Target Times'!$C:$C, MATCH(A308&amp;B308, 'Podium Target Times'!$A:$A&amp;'Podium Target Times'!$B:$B, 0))
</f>
        <v/>
      </c>
      <c r="L308" s="215">
        <f>K308</f>
        <v/>
      </c>
      <c r="M308" s="43">
        <f>IF(L308&lt;60, TEXT(L308,"0.00"), IF(L308&lt;600, TEXT(L308/86400,"m:ss.00"), TEXT(L308/86400,"mm:ss.00")))
</f>
        <v/>
      </c>
      <c r="N308" s="14">
        <f>IFERROR(__xludf.DUMMYFUNCTION("LET(
  gen,$A308, ev,$B308, t,$M308,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308" s="65" t="n"/>
      <c r="P308" s="69" t="n"/>
      <c r="Q308" s="65" t="n"/>
      <c r="R308" s="69" t="n"/>
      <c r="S308" s="58" t="n"/>
      <c r="T308" s="69" t="n"/>
      <c r="U308" s="65" t="n"/>
      <c r="V308" s="65" t="n"/>
      <c r="W308" s="65" t="n"/>
    </row>
    <row r="309">
      <c r="A309" s="17" t="inlineStr">
        <is>
          <t>F</t>
        </is>
      </c>
      <c r="B309" s="18" t="inlineStr">
        <is>
          <t>50 Free</t>
        </is>
      </c>
      <c r="C309" s="18" t="n">
        <v>16</v>
      </c>
      <c r="D309" s="18" t="n">
        <v>1</v>
      </c>
      <c r="E309" s="491" t="inlineStr">
        <is>
          <t>25.66</t>
        </is>
      </c>
      <c r="F309" s="21">
        <f>IFERROR(__xludf.DUMMYFUNCTION("IF(
  REGEXMATCH(E309, "":""),
  60*VALUE(INDEX(SPLIT(E309, "":""),1,1)) + VALUE(INDEX(SPLIT(E309, "":""),1,2)),
  VALUE(E309)
)"),25.66)</f>
        <v/>
      </c>
      <c r="G309" s="24" t="n">
        <v>0</v>
      </c>
      <c r="H309" s="24" t="n">
        <v>0</v>
      </c>
      <c r="I309" s="60">
        <f>C309</f>
        <v/>
      </c>
      <c r="J309" s="60">
        <f>C326</f>
        <v/>
      </c>
      <c r="K309" s="60">
        <f t="array" ref="K309">INDEX('Podium Target Times'!$C:$C, MATCH(A309&amp;B309, 'Podium Target Times'!$A:$A&amp;'Podium Target Times'!$B:$B, 0))
</f>
        <v/>
      </c>
      <c r="L309" s="24">
        <f>L310+G310</f>
        <v/>
      </c>
      <c r="M309" s="60">
        <f>IF(L309&lt;60, TEXT(L309,"0.00"), IF(L309&lt;600, TEXT(L309/86400,"m:ss.00"), TEXT(L309/86400,"mm:ss.00")))
</f>
        <v/>
      </c>
      <c r="N309" s="25">
        <f>IFERROR(__xludf.DUMMYFUNCTION("LET(
  gen,$A309, ev,$B309, t,$M309,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
      </c>
      <c r="O309" s="65" t="n"/>
      <c r="P309" s="69">
        <f>A309</f>
        <v/>
      </c>
      <c r="Q309" s="65">
        <f>B309</f>
        <v/>
      </c>
      <c r="R309" s="69">
        <f>C309</f>
        <v/>
      </c>
      <c r="S309" s="58">
        <f>M309</f>
        <v/>
      </c>
      <c r="T309" s="69">
        <f>N309</f>
        <v/>
      </c>
      <c r="U309" s="65" t="n">
        <v>702</v>
      </c>
      <c r="V309" s="65" t="n"/>
      <c r="W309" s="65" t="n"/>
    </row>
    <row r="310">
      <c r="A310" s="8" t="inlineStr">
        <is>
          <t>F</t>
        </is>
      </c>
      <c r="B310" s="9" t="inlineStr">
        <is>
          <t>50 Free</t>
        </is>
      </c>
      <c r="C310" s="9" t="n">
        <v>17</v>
      </c>
      <c r="D310" s="9" t="n">
        <v>1</v>
      </c>
      <c r="E310" s="41" t="inlineStr">
        <is>
          <t>25.40</t>
        </is>
      </c>
      <c r="F310" s="35">
        <f>IFERROR(__xludf.DUMMYFUNCTION("IF(
  REGEXMATCH(E310, "":""),
  60*VALUE(INDEX(SPLIT(E310, "":""),1,1)) + VALUE(INDEX(SPLIT(E310, "":""),1,2)),
  VALUE(E310)
)"),25.4)</f>
        <v/>
      </c>
      <c r="G310" s="35">
        <f>F309-F310</f>
        <v/>
      </c>
      <c r="H310" s="35" t="n">
        <v>0.2600000000000016</v>
      </c>
      <c r="I310" s="215">
        <f>C309</f>
        <v/>
      </c>
      <c r="J310" s="215">
        <f>C326</f>
        <v/>
      </c>
      <c r="K310" s="43">
        <f t="array" ref="K310">INDEX('Podium Target Times'!$C:$C, MATCH(A310&amp;B310, 'Podium Target Times'!$A:$A&amp;'Podium Target Times'!$B:$B, 0))
</f>
        <v/>
      </c>
      <c r="L310" s="12">
        <f>L312+G312</f>
        <v/>
      </c>
      <c r="M310" s="43">
        <f>IF(L310&lt;60, TEXT(L310,"0.00"), IF(L310&lt;600, TEXT(L310/86400,"m:ss.00"), TEXT(L310/86400,"mm:ss.00")))
</f>
        <v/>
      </c>
      <c r="N310" s="14">
        <f>IFERROR(__xludf.DUMMYFUNCTION("LET(
  gen,$A310, ev,$B310, t,$M310,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O310" s="65" t="n"/>
      <c r="P310" s="69">
        <f>A310</f>
        <v/>
      </c>
      <c r="Q310" s="65">
        <f>B310</f>
        <v/>
      </c>
      <c r="R310" s="69">
        <f>C310</f>
        <v/>
      </c>
      <c r="S310" s="58">
        <f>M310</f>
        <v/>
      </c>
      <c r="T310" s="69">
        <f>N310</f>
        <v/>
      </c>
      <c r="U310" s="65" t="n"/>
      <c r="V310" s="65" t="n"/>
      <c r="W310" s="65" t="n"/>
    </row>
    <row r="311">
      <c r="A311" s="17" t="inlineStr">
        <is>
          <t>F</t>
        </is>
      </c>
      <c r="B311" s="18" t="inlineStr">
        <is>
          <t>50 Free</t>
        </is>
      </c>
      <c r="C311" s="18" t="n">
        <v>17</v>
      </c>
      <c r="D311" s="18" t="n">
        <v>2</v>
      </c>
      <c r="E311" s="211" t="inlineStr">
        <is>
          <t>25.68</t>
        </is>
      </c>
      <c r="F311" s="21">
        <f>IFERROR(__xludf.DUMMYFUNCTION("IF(
  REGEXMATCH(E311, "":""),
  60*VALUE(INDEX(SPLIT(E311, "":""),1,1)) + VALUE(INDEX(SPLIT(E311, "":""),1,2)),
  VALUE(E311)
)"),25.68)</f>
        <v/>
      </c>
      <c r="G311" s="21">
        <f>F309-F310</f>
        <v/>
      </c>
      <c r="H311" s="21" t="n">
        <v>0.2600000000000016</v>
      </c>
      <c r="I311" s="211">
        <f>C309</f>
        <v/>
      </c>
      <c r="J311" s="211">
        <f>C326</f>
        <v/>
      </c>
      <c r="K311" s="60">
        <f t="array" ref="K311">INDEX('Podium Target Times'!$C:$C, MATCH(A311&amp;B311, 'Podium Target Times'!$A:$A&amp;'Podium Target Times'!$B:$B, 0))
</f>
        <v/>
      </c>
      <c r="L311" s="24">
        <f>L312+G312</f>
        <v/>
      </c>
      <c r="M311" s="60">
        <f>IF(L311&lt;60, TEXT(L311,"0.00"), IF(L311&lt;600, TEXT(L311/86400,"m:ss.00"), TEXT(L311/86400,"mm:ss.00")))
</f>
        <v/>
      </c>
      <c r="N311" s="25">
        <f>IFERROR(__xludf.DUMMYFUNCTION("LET(
  gen,$A311, ev,$B311, t,$M311,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O311" s="65" t="n"/>
      <c r="P311" s="69">
        <f>A312</f>
        <v/>
      </c>
      <c r="Q311" s="65">
        <f>B312</f>
        <v/>
      </c>
      <c r="R311" s="69">
        <f>C312</f>
        <v/>
      </c>
      <c r="S311" s="58">
        <f>M312</f>
        <v/>
      </c>
      <c r="T311" s="69">
        <f>N312</f>
        <v/>
      </c>
      <c r="U311" s="65" t="n"/>
      <c r="V311" s="65" t="n"/>
      <c r="W311" s="65" t="n"/>
    </row>
    <row r="312">
      <c r="A312" s="8" t="inlineStr">
        <is>
          <t>F</t>
        </is>
      </c>
      <c r="B312" s="9" t="inlineStr">
        <is>
          <t>50 Free</t>
        </is>
      </c>
      <c r="C312" s="9" t="n">
        <v>18</v>
      </c>
      <c r="D312" s="9" t="n">
        <v>1</v>
      </c>
      <c r="E312" s="41" t="inlineStr">
        <is>
          <t>25.20</t>
        </is>
      </c>
      <c r="F312" s="35">
        <f>IFERROR(__xludf.DUMMYFUNCTION("IF(
  REGEXMATCH(E312, "":""),
  60*VALUE(INDEX(SPLIT(E312, "":""),1,1)) + VALUE(INDEX(SPLIT(E312, "":""),1,2)),
  VALUE(E312)
)"),25.2)</f>
        <v/>
      </c>
      <c r="G312" s="35">
        <f>average(F310-F312,F311-F313)</f>
        <v/>
      </c>
      <c r="H312" s="35" t="n">
        <v>0.1999999999999993</v>
      </c>
      <c r="I312" s="215">
        <f>C309</f>
        <v/>
      </c>
      <c r="J312" s="215">
        <f>C326</f>
        <v/>
      </c>
      <c r="K312" s="43">
        <f t="array" ref="K312">INDEX('Podium Target Times'!$C:$C, MATCH(A312&amp;B312, 'Podium Target Times'!$A:$A&amp;'Podium Target Times'!$B:$B, 0))
</f>
        <v/>
      </c>
      <c r="L312" s="12">
        <f>L315+G315</f>
        <v/>
      </c>
      <c r="M312" s="43">
        <f>IF(L312&lt;60, TEXT(L312,"0.00"), IF(L312&lt;600, TEXT(L312/86400,"m:ss.00"), TEXT(L312/86400,"mm:ss.00")))
</f>
        <v/>
      </c>
      <c r="N312" s="14">
        <f>IFERROR(__xludf.DUMMYFUNCTION("LET(
  gen,$A312, ev,$B312, t,$M312,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312" s="65" t="n"/>
      <c r="P312" s="69">
        <f>A315</f>
        <v/>
      </c>
      <c r="Q312" s="65">
        <f>B315</f>
        <v/>
      </c>
      <c r="R312" s="69">
        <f>C315</f>
        <v/>
      </c>
      <c r="S312" s="58">
        <f>M315</f>
        <v/>
      </c>
      <c r="T312" s="69">
        <f>N315</f>
        <v/>
      </c>
      <c r="U312" s="65" t="n"/>
      <c r="V312" s="65" t="n"/>
      <c r="W312" s="65" t="n"/>
    </row>
    <row r="313">
      <c r="A313" s="17" t="inlineStr">
        <is>
          <t>F</t>
        </is>
      </c>
      <c r="B313" s="18" t="inlineStr">
        <is>
          <t>50 Free</t>
        </is>
      </c>
      <c r="C313" s="18" t="n">
        <v>18</v>
      </c>
      <c r="D313" s="18" t="n">
        <v>2</v>
      </c>
      <c r="E313" s="46" t="inlineStr">
        <is>
          <t>25.48</t>
        </is>
      </c>
      <c r="F313" s="21">
        <f>IFERROR(__xludf.DUMMYFUNCTION("IF(
  REGEXMATCH(E313, "":""),
  60*VALUE(INDEX(SPLIT(E313, "":""),1,1)) + VALUE(INDEX(SPLIT(E313, "":""),1,2)),
  VALUE(E313)
)"),25.48)</f>
        <v/>
      </c>
      <c r="G313" s="21">
        <f>average(F310-F312,F311-F313)</f>
        <v/>
      </c>
      <c r="H313" s="21" t="n">
        <v>0.1999999999999993</v>
      </c>
      <c r="I313" s="211">
        <f>C309</f>
        <v/>
      </c>
      <c r="J313" s="211">
        <f>C326</f>
        <v/>
      </c>
      <c r="K313" s="60">
        <f t="array" ref="K313">INDEX('Podium Target Times'!$C:$C, MATCH(A313&amp;B313, 'Podium Target Times'!$A:$A&amp;'Podium Target Times'!$B:$B, 0))
</f>
        <v/>
      </c>
      <c r="L313" s="24">
        <f>L315+G315</f>
        <v/>
      </c>
      <c r="M313" s="60">
        <f>IF(L313&lt;60, TEXT(L313,"0.00"), IF(L313&lt;600, TEXT(L313/86400,"m:ss.00"), TEXT(L313/86400,"mm:ss.00")))
</f>
        <v/>
      </c>
      <c r="N313" s="25">
        <f>IFERROR(__xludf.DUMMYFUNCTION("LET(
  gen,$A313, ev,$B313, t,$M313,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313" s="65" t="n"/>
      <c r="P313" s="69">
        <f>A318</f>
        <v/>
      </c>
      <c r="Q313" s="65">
        <f>B318</f>
        <v/>
      </c>
      <c r="R313" s="69">
        <f>C318</f>
        <v/>
      </c>
      <c r="S313" s="58">
        <f>M318</f>
        <v/>
      </c>
      <c r="T313" s="69">
        <f>N318</f>
        <v/>
      </c>
      <c r="U313" s="65" t="n"/>
      <c r="V313" s="65" t="n"/>
      <c r="W313" s="65" t="n"/>
    </row>
    <row r="314">
      <c r="A314" s="8" t="inlineStr">
        <is>
          <t>F</t>
        </is>
      </c>
      <c r="B314" s="9" t="inlineStr">
        <is>
          <t>50 Free</t>
        </is>
      </c>
      <c r="C314" s="9" t="n">
        <v>18</v>
      </c>
      <c r="D314" s="9" t="n">
        <v>3</v>
      </c>
      <c r="E314" s="41" t="inlineStr">
        <is>
          <t>25.64</t>
        </is>
      </c>
      <c r="F314" s="35">
        <f>IFERROR(__xludf.DUMMYFUNCTION("IF(
  REGEXMATCH(E314, "":""),
  60*VALUE(INDEX(SPLIT(E314, "":""),1,1)) + VALUE(INDEX(SPLIT(E314, "":""),1,2)),
  VALUE(E314)
)"),25.64)</f>
        <v/>
      </c>
      <c r="G314" s="35">
        <f>average(F310-F312,F311-F313)</f>
        <v/>
      </c>
      <c r="H314" s="35" t="n">
        <v>0.1999999999999993</v>
      </c>
      <c r="I314" s="215">
        <f>C309</f>
        <v/>
      </c>
      <c r="J314" s="215">
        <f>C326</f>
        <v/>
      </c>
      <c r="K314" s="43">
        <f t="array" ref="K314">INDEX('Podium Target Times'!$C:$C, MATCH(A314&amp;B314, 'Podium Target Times'!$A:$A&amp;'Podium Target Times'!$B:$B, 0))
</f>
        <v/>
      </c>
      <c r="L314" s="12">
        <f>L315+G315</f>
        <v/>
      </c>
      <c r="M314" s="43">
        <f>IF(L314&lt;60, TEXT(L314,"0.00"), IF(L314&lt;600, TEXT(L314/86400,"m:ss.00"), TEXT(L314/86400,"mm:ss.00")))
</f>
        <v/>
      </c>
      <c r="N314" s="14">
        <f>IFERROR(__xludf.DUMMYFUNCTION("LET(
  gen,$A314, ev,$B314, t,$M314,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314" s="65" t="n"/>
      <c r="P314" s="69">
        <f>A321</f>
        <v/>
      </c>
      <c r="Q314" s="65">
        <f>B321</f>
        <v/>
      </c>
      <c r="R314" s="69">
        <f>C321</f>
        <v/>
      </c>
      <c r="S314" s="58">
        <f>M321</f>
        <v/>
      </c>
      <c r="T314" s="69">
        <f>N321</f>
        <v/>
      </c>
      <c r="U314" s="65" t="n"/>
      <c r="V314" s="65" t="n"/>
      <c r="W314" s="65" t="n"/>
    </row>
    <row r="315">
      <c r="A315" s="17" t="inlineStr">
        <is>
          <t>F</t>
        </is>
      </c>
      <c r="B315" s="18" t="inlineStr">
        <is>
          <t>50 Free</t>
        </is>
      </c>
      <c r="C315" s="18" t="n">
        <v>19</v>
      </c>
      <c r="D315" s="18" t="n">
        <v>1</v>
      </c>
      <c r="E315" s="46" t="inlineStr">
        <is>
          <t>25.02</t>
        </is>
      </c>
      <c r="F315" s="21">
        <f>IFERROR(__xludf.DUMMYFUNCTION("IF(
  REGEXMATCH(E315, "":""),
  60*VALUE(INDEX(SPLIT(E315, "":""),1,1)) + VALUE(INDEX(SPLIT(E315, "":""),1,2)),
  VALUE(E315)
)"),25.02)</f>
        <v/>
      </c>
      <c r="G315" s="21">
        <f>average(F312-F315,F313-F316,F314-F317)</f>
        <v/>
      </c>
      <c r="H315" s="21" t="n">
        <v>0.1766666666666671</v>
      </c>
      <c r="I315" s="211">
        <f>C309</f>
        <v/>
      </c>
      <c r="J315" s="211">
        <f>C326</f>
        <v/>
      </c>
      <c r="K315" s="60">
        <f t="array" ref="K315">INDEX('Podium Target Times'!$C:$C, MATCH(A315&amp;B315, 'Podium Target Times'!$A:$A&amp;'Podium Target Times'!$B:$B, 0))
</f>
        <v/>
      </c>
      <c r="L315" s="24">
        <f>L318+G318</f>
        <v/>
      </c>
      <c r="M315" s="60">
        <f>IF(L315&lt;60, TEXT(L315,"0.00"), IF(L315&lt;600, TEXT(L315/86400,"m:ss.00"), TEXT(L315/86400,"mm:ss.00")))
</f>
        <v/>
      </c>
      <c r="N315" s="25">
        <f>IFERROR(__xludf.DUMMYFUNCTION("LET(
  gen,$A315, ev,$B315, t,$M315,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
      </c>
      <c r="O315" s="65" t="n"/>
      <c r="P315" s="69">
        <f>A323</f>
        <v/>
      </c>
      <c r="Q315" s="65">
        <f>B323</f>
        <v/>
      </c>
      <c r="R315" s="69">
        <f>C323</f>
        <v/>
      </c>
      <c r="S315" s="58">
        <f>M323</f>
        <v/>
      </c>
      <c r="T315" s="69">
        <f>N323</f>
        <v/>
      </c>
      <c r="U315" s="65" t="n"/>
      <c r="V315" s="65" t="n"/>
      <c r="W315" s="65" t="n"/>
    </row>
    <row r="316">
      <c r="A316" s="8" t="inlineStr">
        <is>
          <t>F</t>
        </is>
      </c>
      <c r="B316" s="9" t="inlineStr">
        <is>
          <t>50 Free</t>
        </is>
      </c>
      <c r="C316" s="9" t="n">
        <v>19</v>
      </c>
      <c r="D316" s="9" t="n">
        <v>2</v>
      </c>
      <c r="E316" s="41" t="inlineStr">
        <is>
          <t>25.30</t>
        </is>
      </c>
      <c r="F316" s="35">
        <f>IFERROR(__xludf.DUMMYFUNCTION("IF(
  REGEXMATCH(E316, "":""),
  60*VALUE(INDEX(SPLIT(E316, "":""),1,1)) + VALUE(INDEX(SPLIT(E316, "":""),1,2)),
  VALUE(E316)
)"),25.3)</f>
        <v/>
      </c>
      <c r="G316" s="35">
        <f>average(F312-F315,F313-F316,F314-F317)</f>
        <v/>
      </c>
      <c r="H316" s="35" t="n">
        <v>0.1766666666666671</v>
      </c>
      <c r="I316" s="215">
        <f>C309</f>
        <v/>
      </c>
      <c r="J316" s="215">
        <f>C326</f>
        <v/>
      </c>
      <c r="K316" s="43">
        <f t="array" ref="K316">INDEX('Podium Target Times'!$C:$C, MATCH(A316&amp;B316, 'Podium Target Times'!$A:$A&amp;'Podium Target Times'!$B:$B, 0))
</f>
        <v/>
      </c>
      <c r="L316" s="12">
        <f>L318+G318</f>
        <v/>
      </c>
      <c r="M316" s="43">
        <f>IF(L316&lt;60, TEXT(L316,"0.00"), IF(L316&lt;600, TEXT(L316/86400,"m:ss.00"), TEXT(L316/86400,"mm:ss.00")))
</f>
        <v/>
      </c>
      <c r="N316" s="14">
        <f>IFERROR(__xludf.DUMMYFUNCTION("LET(
  gen,$A316, ev,$B316, t,$M316,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
      </c>
      <c r="O316" s="65" t="n"/>
      <c r="P316" s="69">
        <f>A325</f>
        <v/>
      </c>
      <c r="Q316" s="65">
        <f>B325</f>
        <v/>
      </c>
      <c r="R316" s="69">
        <f>C325</f>
        <v/>
      </c>
      <c r="S316" s="58">
        <f>M325</f>
        <v/>
      </c>
      <c r="T316" s="69">
        <f>N325</f>
        <v/>
      </c>
      <c r="U316" s="65" t="n"/>
      <c r="V316" s="65" t="n"/>
      <c r="W316" s="65" t="n"/>
    </row>
    <row r="317">
      <c r="A317" s="17" t="inlineStr">
        <is>
          <t>F</t>
        </is>
      </c>
      <c r="B317" s="18" t="inlineStr">
        <is>
          <t>50 Free</t>
        </is>
      </c>
      <c r="C317" s="18" t="n">
        <v>19</v>
      </c>
      <c r="D317" s="18" t="n">
        <v>3</v>
      </c>
      <c r="E317" s="46" t="inlineStr">
        <is>
          <t>25.47</t>
        </is>
      </c>
      <c r="F317" s="21">
        <f>IFERROR(__xludf.DUMMYFUNCTION("IF(
  REGEXMATCH(E317, "":""),
  60*VALUE(INDEX(SPLIT(E317, "":""),1,1)) + VALUE(INDEX(SPLIT(E317, "":""),1,2)),
  VALUE(E317)
)"),25.47)</f>
        <v/>
      </c>
      <c r="G317" s="21">
        <f>average(F312-F315,F313-F316,F314-F317)</f>
        <v/>
      </c>
      <c r="H317" s="21" t="n">
        <v>0.1766666666666671</v>
      </c>
      <c r="I317" s="211">
        <f>C309</f>
        <v/>
      </c>
      <c r="J317" s="211">
        <f>C326</f>
        <v/>
      </c>
      <c r="K317" s="60">
        <f t="array" ref="K317">INDEX('Podium Target Times'!$C:$C, MATCH(A317&amp;B317, 'Podium Target Times'!$A:$A&amp;'Podium Target Times'!$B:$B, 0))
</f>
        <v/>
      </c>
      <c r="L317" s="24">
        <f>L318+G318</f>
        <v/>
      </c>
      <c r="M317" s="60">
        <f>IF(L317&lt;60, TEXT(L317,"0.00"), IF(L317&lt;600, TEXT(L317/86400,"m:ss.00"), TEXT(L317/86400,"mm:ss.00")))
</f>
        <v/>
      </c>
      <c r="N317" s="25">
        <f>IFERROR(__xludf.DUMMYFUNCTION("LET(
  gen,$A317, ev,$B317, t,$M317,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
      </c>
      <c r="O317" s="65" t="n"/>
      <c r="P317" s="69">
        <f>A326</f>
        <v/>
      </c>
      <c r="Q317" s="65">
        <f>B326</f>
        <v/>
      </c>
      <c r="R317" s="69">
        <f>C326</f>
        <v/>
      </c>
      <c r="S317" s="58">
        <f>M326</f>
        <v/>
      </c>
      <c r="T317" s="69">
        <f>N326</f>
        <v/>
      </c>
      <c r="U317" s="65" t="n">
        <v>810</v>
      </c>
      <c r="V317" s="65" t="n"/>
      <c r="W317" s="65" t="n"/>
    </row>
    <row r="318">
      <c r="A318" s="8" t="inlineStr">
        <is>
          <t>F</t>
        </is>
      </c>
      <c r="B318" s="9" t="inlineStr">
        <is>
          <t>50 Free</t>
        </is>
      </c>
      <c r="C318" s="9" t="n">
        <v>20</v>
      </c>
      <c r="D318" s="9" t="n">
        <v>1</v>
      </c>
      <c r="E318" s="41" t="inlineStr">
        <is>
          <t>24.86</t>
        </is>
      </c>
      <c r="F318" s="35">
        <f>IFERROR(__xludf.DUMMYFUNCTION("IF(
  REGEXMATCH(E318, "":""),
  60*VALUE(INDEX(SPLIT(E318, "":""),1,1)) + VALUE(INDEX(SPLIT(E318, "":""),1,2)),
  VALUE(E318)
)"),24.86)</f>
        <v/>
      </c>
      <c r="G318" s="35">
        <f>average(F315-F318,F316-F319,F317-F320)</f>
        <v/>
      </c>
      <c r="H318" s="35" t="n">
        <v>0.1633333333333328</v>
      </c>
      <c r="I318" s="215">
        <f>C309</f>
        <v/>
      </c>
      <c r="J318" s="215">
        <f>C326</f>
        <v/>
      </c>
      <c r="K318" s="43">
        <f t="array" ref="K318">INDEX('Podium Target Times'!$C:$C, MATCH(A318&amp;B318, 'Podium Target Times'!$A:$A&amp;'Podium Target Times'!$B:$B, 0))
</f>
        <v/>
      </c>
      <c r="L318" s="12">
        <f>L321+G321</f>
        <v/>
      </c>
      <c r="M318" s="43">
        <f>IF(L318&lt;60, TEXT(L318,"0.00"), IF(L318&lt;600, TEXT(L318/86400,"m:ss.00"), TEXT(L318/86400,"mm:ss.00")))
</f>
        <v/>
      </c>
      <c r="N318" s="14">
        <f>IFERROR(__xludf.DUMMYFUNCTION("LET(
  gen,$A318, ev,$B318, t,$M318,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318" s="65" t="n"/>
      <c r="P318" s="69">
        <f>P317</f>
        <v/>
      </c>
      <c r="Q318" s="65">
        <f>Q317</f>
        <v/>
      </c>
      <c r="R318" s="69">
        <f>R317+1</f>
        <v/>
      </c>
      <c r="S318" s="58">
        <f>M327</f>
        <v/>
      </c>
      <c r="T318" s="69">
        <f>N327</f>
        <v/>
      </c>
      <c r="U318" s="65" t="n"/>
      <c r="V318" s="65" t="n"/>
      <c r="W318" s="65" t="n"/>
    </row>
    <row r="319">
      <c r="A319" s="17" t="inlineStr">
        <is>
          <t>F</t>
        </is>
      </c>
      <c r="B319" s="18" t="inlineStr">
        <is>
          <t>50 Free</t>
        </is>
      </c>
      <c r="C319" s="18" t="n">
        <v>20</v>
      </c>
      <c r="D319" s="18" t="n">
        <v>2</v>
      </c>
      <c r="E319" s="46" t="inlineStr">
        <is>
          <t>25.14</t>
        </is>
      </c>
      <c r="F319" s="21">
        <f>IFERROR(__xludf.DUMMYFUNCTION("IF(
  REGEXMATCH(E319, "":""),
  60*VALUE(INDEX(SPLIT(E319, "":""),1,1)) + VALUE(INDEX(SPLIT(E319, "":""),1,2)),
  VALUE(E319)
)"),25.14)</f>
        <v/>
      </c>
      <c r="G319" s="21">
        <f>average(F315-F318,F316-F319,F317-F320)</f>
        <v/>
      </c>
      <c r="H319" s="21" t="n">
        <v>0.1633333333333328</v>
      </c>
      <c r="I319" s="211">
        <f>C309</f>
        <v/>
      </c>
      <c r="J319" s="211">
        <f>C326</f>
        <v/>
      </c>
      <c r="K319" s="60">
        <f t="array" ref="K319">INDEX('Podium Target Times'!$C:$C, MATCH(A319&amp;B319, 'Podium Target Times'!$A:$A&amp;'Podium Target Times'!$B:$B, 0))
</f>
        <v/>
      </c>
      <c r="L319" s="24">
        <f>L321+G321</f>
        <v/>
      </c>
      <c r="M319" s="60">
        <f>IF(L319&lt;60, TEXT(L319,"0.00"), IF(L319&lt;600, TEXT(L319/86400,"m:ss.00"), TEXT(L319/86400,"mm:ss.00")))
</f>
        <v/>
      </c>
      <c r="N319" s="25">
        <f>IFERROR(__xludf.DUMMYFUNCTION("LET(
  gen,$A319, ev,$B319, t,$M319,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319" s="65" t="n"/>
      <c r="P319" s="69" t="n"/>
      <c r="Q319" s="65" t="n"/>
      <c r="R319" s="69" t="n"/>
      <c r="S319" s="58" t="n"/>
      <c r="T319" s="69" t="n"/>
      <c r="U319" s="65" t="n"/>
      <c r="V319" s="65" t="n"/>
      <c r="W319" s="65" t="n"/>
    </row>
    <row r="320">
      <c r="A320" s="8" t="inlineStr">
        <is>
          <t>F</t>
        </is>
      </c>
      <c r="B320" s="9" t="inlineStr">
        <is>
          <t>50 Free</t>
        </is>
      </c>
      <c r="C320" s="9" t="n">
        <v>20</v>
      </c>
      <c r="D320" s="9" t="n">
        <v>3</v>
      </c>
      <c r="E320" s="41" t="inlineStr">
        <is>
          <t>25.30</t>
        </is>
      </c>
      <c r="F320" s="35">
        <f>IFERROR(__xludf.DUMMYFUNCTION("IF(
  REGEXMATCH(E320, "":""),
  60*VALUE(INDEX(SPLIT(E320, "":""),1,1)) + VALUE(INDEX(SPLIT(E320, "":""),1,2)),
  VALUE(E320)
)"),25.3)</f>
        <v/>
      </c>
      <c r="G320" s="35">
        <f>average(F315-F318,F316-F319,F317-F320)</f>
        <v/>
      </c>
      <c r="H320" s="35" t="n">
        <v>0.1633333333333328</v>
      </c>
      <c r="I320" s="215">
        <f>C309</f>
        <v/>
      </c>
      <c r="J320" s="215">
        <f>C326</f>
        <v/>
      </c>
      <c r="K320" s="43">
        <f t="array" ref="K320">INDEX('Podium Target Times'!$C:$C, MATCH(A320&amp;B320, 'Podium Target Times'!$A:$A&amp;'Podium Target Times'!$B:$B, 0))
</f>
        <v/>
      </c>
      <c r="L320" s="12">
        <f>L321+G321</f>
        <v/>
      </c>
      <c r="M320" s="43">
        <f>IF(L320&lt;60, TEXT(L320,"0.00"), IF(L320&lt;600, TEXT(L320/86400,"m:ss.00"), TEXT(L320/86400,"mm:ss.00")))
</f>
        <v/>
      </c>
      <c r="N320" s="14">
        <f>IFERROR(__xludf.DUMMYFUNCTION("LET(
  gen,$A320, ev,$B320, t,$M320,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320" s="65" t="n"/>
      <c r="P320" s="69" t="n"/>
      <c r="Q320" s="65" t="n"/>
      <c r="R320" s="69" t="n"/>
      <c r="S320" s="58" t="n"/>
      <c r="T320" s="69" t="n"/>
      <c r="U320" s="65" t="n"/>
      <c r="V320" s="65" t="n"/>
      <c r="W320" s="65" t="n"/>
    </row>
    <row r="321">
      <c r="A321" s="17" t="inlineStr">
        <is>
          <t>F</t>
        </is>
      </c>
      <c r="B321" s="18" t="inlineStr">
        <is>
          <t>50 Free</t>
        </is>
      </c>
      <c r="C321" s="18" t="n">
        <v>21</v>
      </c>
      <c r="D321" s="221" t="n">
        <v>2</v>
      </c>
      <c r="E321" s="46" t="inlineStr">
        <is>
          <t>24.99</t>
        </is>
      </c>
      <c r="F321" s="21">
        <f>IFERROR(__xludf.DUMMYFUNCTION("IF(
  REGEXMATCH(E321, "":""),
  60*VALUE(INDEX(SPLIT(E321, "":""),1,1)) + VALUE(INDEX(SPLIT(E321, "":""),1,2)),
  VALUE(E321)
)"),24.99)</f>
        <v/>
      </c>
      <c r="G321" s="21">
        <f>average(F319-F321,F320-F322)</f>
        <v/>
      </c>
      <c r="H321" s="21" t="n">
        <v>0.1500000000000021</v>
      </c>
      <c r="I321" s="211">
        <f>C309</f>
        <v/>
      </c>
      <c r="J321" s="211">
        <f>C326</f>
        <v/>
      </c>
      <c r="K321" s="60">
        <f t="array" ref="K321">INDEX('Podium Target Times'!$C:$C, MATCH(A321&amp;B321, 'Podium Target Times'!$A:$A&amp;'Podium Target Times'!$B:$B, 0))
</f>
        <v/>
      </c>
      <c r="L321" s="24">
        <f>L323+G323</f>
        <v/>
      </c>
      <c r="M321" s="60">
        <f>IF(L321&lt;60, TEXT(L321,"0.00"), IF(L321&lt;600, TEXT(L321/86400,"m:ss.00"), TEXT(L321/86400,"mm:ss.00")))
</f>
        <v/>
      </c>
      <c r="N321" s="25">
        <f>IFERROR(__xludf.DUMMYFUNCTION("LET(
  gen,$A321, ev,$B321, t,$M321,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O321" s="65" t="n"/>
      <c r="P321" s="69" t="n"/>
      <c r="Q321" s="65" t="n"/>
      <c r="R321" s="69" t="n"/>
      <c r="S321" s="58" t="n"/>
      <c r="T321" s="69" t="n"/>
      <c r="U321" s="65" t="n"/>
      <c r="V321" s="65" t="n"/>
      <c r="W321" s="65" t="n"/>
    </row>
    <row r="322">
      <c r="A322" s="8" t="inlineStr">
        <is>
          <t>F</t>
        </is>
      </c>
      <c r="B322" s="9" t="inlineStr">
        <is>
          <t>50 Free</t>
        </is>
      </c>
      <c r="C322" s="9" t="n">
        <v>21</v>
      </c>
      <c r="D322" s="9" t="n">
        <v>3</v>
      </c>
      <c r="E322" s="41" t="inlineStr">
        <is>
          <t>25.15</t>
        </is>
      </c>
      <c r="F322" s="35">
        <f>IFERROR(__xludf.DUMMYFUNCTION("IF(
  REGEXMATCH(E322, "":""),
  60*VALUE(INDEX(SPLIT(E322, "":""),1,1)) + VALUE(INDEX(SPLIT(E322, "":""),1,2)),
  VALUE(E322)
)"),25.15)</f>
        <v/>
      </c>
      <c r="G322" s="35">
        <f>average(F319-F321,F320-F322)</f>
        <v/>
      </c>
      <c r="H322" s="35" t="n">
        <v>0.1500000000000021</v>
      </c>
      <c r="I322" s="215">
        <f>C309</f>
        <v/>
      </c>
      <c r="J322" s="215">
        <f>C326</f>
        <v/>
      </c>
      <c r="K322" s="43">
        <f t="array" ref="K322">INDEX('Podium Target Times'!$C:$C, MATCH(A322&amp;B322, 'Podium Target Times'!$A:$A&amp;'Podium Target Times'!$B:$B, 0))
</f>
        <v/>
      </c>
      <c r="L322" s="12">
        <f>L323+G323</f>
        <v/>
      </c>
      <c r="M322" s="43">
        <f>IF(L322&lt;60, TEXT(L322,"0.00"), IF(L322&lt;600, TEXT(L322/86400,"m:ss.00"), TEXT(L322/86400,"mm:ss.00")))
</f>
        <v/>
      </c>
      <c r="N322" s="14">
        <f>IFERROR(__xludf.DUMMYFUNCTION("LET(
  gen,$A322, ev,$B322, t,$M322,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O322" s="65" t="n"/>
      <c r="P322" s="69" t="n"/>
      <c r="Q322" s="65" t="n"/>
      <c r="R322" s="69" t="n"/>
      <c r="S322" s="58" t="n"/>
      <c r="T322" s="69" t="n"/>
      <c r="U322" s="65" t="n"/>
      <c r="V322" s="65" t="n"/>
      <c r="W322" s="65" t="n"/>
    </row>
    <row r="323">
      <c r="A323" s="17" t="inlineStr">
        <is>
          <t>F</t>
        </is>
      </c>
      <c r="B323" s="18" t="inlineStr">
        <is>
          <t>50 Free</t>
        </is>
      </c>
      <c r="C323" s="18" t="n">
        <v>22</v>
      </c>
      <c r="D323" s="221" t="n">
        <v>2</v>
      </c>
      <c r="E323" s="46" t="inlineStr">
        <is>
          <t>24.86</t>
        </is>
      </c>
      <c r="F323" s="21">
        <f>IFERROR(__xludf.DUMMYFUNCTION("IF(
  REGEXMATCH(E323, "":""),
  60*VALUE(INDEX(SPLIT(E323, "":""),1,1)) + VALUE(INDEX(SPLIT(E323, "":""),1,2)),
  VALUE(E323)
)"),24.86)</f>
        <v/>
      </c>
      <c r="G323" s="21">
        <f>average(F321-F323,F322-F324)</f>
        <v/>
      </c>
      <c r="H323" s="21" t="n">
        <v>0.129999999999999</v>
      </c>
      <c r="I323" s="211">
        <f>C309</f>
        <v/>
      </c>
      <c r="J323" s="211">
        <f>C326</f>
        <v/>
      </c>
      <c r="K323" s="60">
        <f t="array" ref="K323">INDEX('Podium Target Times'!$C:$C, MATCH(A323&amp;B323, 'Podium Target Times'!$A:$A&amp;'Podium Target Times'!$B:$B, 0))
</f>
        <v/>
      </c>
      <c r="L323" s="24">
        <f>L325+G325</f>
        <v/>
      </c>
      <c r="M323" s="60">
        <f>IF(L323&lt;60, TEXT(L323,"0.00"), IF(L323&lt;600, TEXT(L323/86400,"m:ss.00"), TEXT(L323/86400,"mm:ss.00")))
</f>
        <v/>
      </c>
      <c r="N323" s="25">
        <f>IFERROR(__xludf.DUMMYFUNCTION("LET(
  gen,$A323, ev,$B323, t,$M323,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
      </c>
      <c r="O323" s="65" t="n"/>
      <c r="P323" s="69" t="n"/>
      <c r="Q323" s="65" t="n"/>
      <c r="R323" s="69" t="n"/>
      <c r="S323" s="58" t="n"/>
      <c r="T323" s="69" t="n"/>
      <c r="U323" s="65" t="n"/>
      <c r="V323" s="65" t="n"/>
      <c r="W323" s="65" t="n"/>
    </row>
    <row r="324">
      <c r="A324" s="8" t="inlineStr">
        <is>
          <t>F</t>
        </is>
      </c>
      <c r="B324" s="9" t="inlineStr">
        <is>
          <t>50 Free</t>
        </is>
      </c>
      <c r="C324" s="9" t="n">
        <v>22</v>
      </c>
      <c r="D324" s="9" t="n">
        <v>3</v>
      </c>
      <c r="E324" s="41" t="inlineStr">
        <is>
          <t>25.02</t>
        </is>
      </c>
      <c r="F324" s="35">
        <f>IFERROR(__xludf.DUMMYFUNCTION("IF(
  REGEXMATCH(E324, "":""),
  60*VALUE(INDEX(SPLIT(E324, "":""),1,1)) + VALUE(INDEX(SPLIT(E324, "":""),1,2)),
  VALUE(E324)
)"),25.02)</f>
        <v/>
      </c>
      <c r="G324" s="35">
        <f>average(F321-F323,F322-F324)</f>
        <v/>
      </c>
      <c r="H324" s="35" t="n">
        <v>0.129999999999999</v>
      </c>
      <c r="I324" s="215">
        <f>C309</f>
        <v/>
      </c>
      <c r="J324" s="215">
        <f>C326</f>
        <v/>
      </c>
      <c r="K324" s="43">
        <f t="array" ref="K324">INDEX('Podium Target Times'!$C:$C, MATCH(A324&amp;B324, 'Podium Target Times'!$A:$A&amp;'Podium Target Times'!$B:$B, 0))
</f>
        <v/>
      </c>
      <c r="L324" s="12">
        <f>L325+G325</f>
        <v/>
      </c>
      <c r="M324" s="43">
        <f>IF(L324&lt;60, TEXT(L324,"0.00"), IF(L324&lt;600, TEXT(L324/86400,"m:ss.00"), TEXT(L324/86400,"mm:ss.00")))
</f>
        <v/>
      </c>
      <c r="N324" s="14">
        <f>IFERROR(__xludf.DUMMYFUNCTION("LET(
  gen,$A324, ev,$B324, t,$M324,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
      </c>
      <c r="O324" s="65" t="n"/>
      <c r="P324" s="69" t="n"/>
      <c r="Q324" s="65" t="n"/>
      <c r="R324" s="69" t="n"/>
      <c r="S324" s="58" t="n"/>
      <c r="T324" s="69" t="n"/>
      <c r="U324" s="65" t="n"/>
      <c r="V324" s="65" t="n"/>
      <c r="W324" s="65" t="n"/>
    </row>
    <row r="325">
      <c r="A325" s="17" t="inlineStr">
        <is>
          <t>F</t>
        </is>
      </c>
      <c r="B325" s="18" t="inlineStr">
        <is>
          <t>50 Free</t>
        </is>
      </c>
      <c r="C325" s="18" t="n">
        <v>23</v>
      </c>
      <c r="D325" s="18" t="n">
        <v>3</v>
      </c>
      <c r="E325" s="46" t="inlineStr">
        <is>
          <t>24.93</t>
        </is>
      </c>
      <c r="F325" s="21">
        <f>IFERROR(__xludf.DUMMYFUNCTION("IF(
  REGEXMATCH(E325, "":""),
  60*VALUE(INDEX(SPLIT(E325, "":""),1,1)) + VALUE(INDEX(SPLIT(E325, "":""),1,2)),
  VALUE(E325)
)"),24.93)</f>
        <v/>
      </c>
      <c r="G325" s="21">
        <f>F324-F325</f>
        <v/>
      </c>
      <c r="H325" s="21" t="n">
        <v>0.08999999999999986</v>
      </c>
      <c r="I325" s="211">
        <f>C309</f>
        <v/>
      </c>
      <c r="J325" s="211">
        <f>C326</f>
        <v/>
      </c>
      <c r="K325" s="60">
        <f t="array" ref="K325">INDEX('Podium Target Times'!$C:$C, MATCH(A325&amp;B325, 'Podium Target Times'!$A:$A&amp;'Podium Target Times'!$B:$B, 0))
</f>
        <v/>
      </c>
      <c r="L325" s="24">
        <f>L326+G326</f>
        <v/>
      </c>
      <c r="M325" s="60">
        <f>IF(L325&lt;60, TEXT(L325,"0.00"), IF(L325&lt;600, TEXT(L325/86400,"m:ss.00"), TEXT(L325/86400,"mm:ss.00")))
</f>
        <v/>
      </c>
      <c r="N325" s="25">
        <f>IFERROR(__xludf.DUMMYFUNCTION("LET(
  gen,$A325, ev,$B325, t,$M325,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
      </c>
      <c r="O325" s="65" t="n"/>
      <c r="P325" s="69" t="n"/>
      <c r="Q325" s="65" t="n"/>
      <c r="R325" s="69" t="n"/>
      <c r="S325" s="58" t="n"/>
      <c r="T325" s="69" t="n"/>
      <c r="U325" s="65" t="n"/>
      <c r="V325" s="65" t="n"/>
      <c r="W325" s="65" t="n"/>
    </row>
    <row r="326">
      <c r="A326" s="8" t="inlineStr">
        <is>
          <t>F</t>
        </is>
      </c>
      <c r="B326" s="9" t="inlineStr">
        <is>
          <t>50 Free</t>
        </is>
      </c>
      <c r="C326" s="9" t="n">
        <v>24</v>
      </c>
      <c r="D326" s="9" t="n">
        <v>3</v>
      </c>
      <c r="E326" s="41" t="inlineStr">
        <is>
          <t>24.86</t>
        </is>
      </c>
      <c r="F326" s="35">
        <f>IFERROR(__xludf.DUMMYFUNCTION("IF(
  REGEXMATCH(E326, "":""),
  60*VALUE(INDEX(SPLIT(E326, "":""),1,1)) + VALUE(INDEX(SPLIT(E326, "":""),1,2)),
  VALUE(E326)
)"),24.86)</f>
        <v/>
      </c>
      <c r="G326" s="35">
        <f>F325-F326</f>
        <v/>
      </c>
      <c r="H326" s="35" t="n">
        <v>0.07000000000000028</v>
      </c>
      <c r="I326" s="215">
        <f>C309</f>
        <v/>
      </c>
      <c r="J326" s="215">
        <f>C326</f>
        <v/>
      </c>
      <c r="K326" s="43">
        <f t="array" ref="K326">INDEX('Podium Target Times'!$C:$C, MATCH(A326&amp;B326, 'Podium Target Times'!$A:$A&amp;'Podium Target Times'!$B:$B, 0))
</f>
        <v/>
      </c>
      <c r="L326" s="35">
        <f>G326+L327</f>
        <v/>
      </c>
      <c r="M326" s="43">
        <f>IF(L326&lt;60, TEXT(L326,"0.00"), IF(L326&lt;600, TEXT(L326/86400,"m:ss.00"), TEXT(L326/86400,"mm:ss.00")))
</f>
        <v/>
      </c>
      <c r="N326" s="14">
        <f>IFERROR(__xludf.DUMMYFUNCTION("LET(
  gen,$A326, ev,$B326, t,$M326,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
      </c>
      <c r="O326" s="65" t="n"/>
      <c r="P326" s="69" t="n"/>
      <c r="Q326" s="65" t="n"/>
      <c r="R326" s="69" t="n"/>
      <c r="S326" s="58" t="n"/>
      <c r="T326" s="69" t="n"/>
      <c r="U326" s="65" t="n"/>
      <c r="V326" s="65" t="n"/>
      <c r="W326" s="65" t="n"/>
    </row>
    <row r="327">
      <c r="A327" s="17" t="inlineStr">
        <is>
          <t>F</t>
        </is>
      </c>
      <c r="B327" s="18" t="inlineStr">
        <is>
          <t>50 Free</t>
        </is>
      </c>
      <c r="C327" s="18" t="n">
        <v>25</v>
      </c>
      <c r="D327" s="18" t="n"/>
      <c r="E327" s="491" t="n"/>
      <c r="F327" s="21">
        <f>IFERROR(__xludf.DUMMYFUNCTION("IF(
  REGEXMATCH(E327, "":""),
  60*VALUE(INDEX(SPLIT(E327, "":""),1,1)) + VALUE(INDEX(SPLIT(E327, "":""),1,2)),
  VALUE(E327)
)"),0.0)</f>
        <v/>
      </c>
      <c r="G327" s="24" t="n"/>
      <c r="H327" s="24" t="n"/>
      <c r="I327" s="60">
        <f>C309</f>
        <v/>
      </c>
      <c r="J327" s="60">
        <f>C326</f>
        <v/>
      </c>
      <c r="K327" s="60">
        <f t="array" ref="K327">INDEX('Podium Target Times'!$C:$C, MATCH(A327&amp;B327, 'Podium Target Times'!$A:$A&amp;'Podium Target Times'!$B:$B, 0))
</f>
        <v/>
      </c>
      <c r="L327" s="60">
        <f>K327</f>
        <v/>
      </c>
      <c r="M327" s="60">
        <f>IF(L327&lt;60, TEXT(L327,"0.00"), IF(L327&lt;600, TEXT(L327/86400,"m:ss.00"), TEXT(L327/86400,"mm:ss.00")))
</f>
        <v/>
      </c>
      <c r="N327" s="25">
        <f>IFERROR(__xludf.DUMMYFUNCTION("LET(
  gen,$A327, ev,$B327, t,$M327,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O327" s="65" t="n"/>
      <c r="P327" s="69" t="n"/>
      <c r="Q327" s="65" t="n"/>
      <c r="R327" s="69" t="n"/>
      <c r="S327" s="58" t="n"/>
      <c r="T327" s="69" t="n"/>
      <c r="U327" s="65" t="n"/>
      <c r="V327" s="65" t="n"/>
      <c r="W327" s="65" t="n"/>
    </row>
    <row r="328">
      <c r="A328" s="8" t="inlineStr">
        <is>
          <t>F</t>
        </is>
      </c>
      <c r="B328" s="9" t="inlineStr">
        <is>
          <t>800 Free</t>
        </is>
      </c>
      <c r="C328" s="9" t="n">
        <v>14</v>
      </c>
      <c r="D328" s="9" t="n">
        <v>1</v>
      </c>
      <c r="E328" s="43" t="inlineStr">
        <is>
          <t>9:04.09</t>
        </is>
      </c>
      <c r="F328" s="35">
        <f>IFERROR(__xludf.DUMMYFUNCTION("IF(
  REGEXMATCH(E328, "":""),
  60*VALUE(INDEX(SPLIT(E328, "":""),1,1)) + VALUE(INDEX(SPLIT(E328, "":""),1,2)),
  VALUE(E328)
)"),544.09)</f>
        <v/>
      </c>
      <c r="G328" s="12" t="n">
        <v>0</v>
      </c>
      <c r="H328" s="12" t="n">
        <v>0</v>
      </c>
      <c r="I328" s="43">
        <f>C328</f>
        <v/>
      </c>
      <c r="J328" s="43">
        <f>C345</f>
        <v/>
      </c>
      <c r="K328" s="43">
        <f t="array" ref="K328">INDEX('Podium Target Times'!$C:$C, MATCH(A328&amp;B328, 'Podium Target Times'!$A:$A&amp;'Podium Target Times'!$B:$B, 0))
</f>
        <v/>
      </c>
      <c r="L328" s="12">
        <f>L329+G329</f>
        <v/>
      </c>
      <c r="M328" s="43">
        <f>IF(L328&lt;60, TEXT(L328,"0.00"), IF(L328&lt;600, TEXT(L328/86400,"m:ss.00"), TEXT(L328/86400,"mm:ss.00")))
</f>
        <v/>
      </c>
      <c r="N328" s="14">
        <f>IFERROR(__xludf.DUMMYFUNCTION("LET(
  gen,$A328, ev,$B328, t,$M328,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)"),615.0)</f>
        <v/>
      </c>
      <c r="O328" s="65" t="n"/>
      <c r="P328" s="69">
        <f>A328</f>
        <v/>
      </c>
      <c r="Q328" s="65">
        <f>B328</f>
        <v/>
      </c>
      <c r="R328" s="69">
        <f>C328</f>
        <v/>
      </c>
      <c r="S328" s="58">
        <f>M328</f>
        <v/>
      </c>
      <c r="T328" s="69">
        <f>N328</f>
        <v/>
      </c>
      <c r="U328" s="65" t="n">
        <v>617</v>
      </c>
      <c r="V328" s="65" t="n"/>
      <c r="W328" s="65" t="n"/>
    </row>
    <row r="329">
      <c r="A329" s="17" t="inlineStr">
        <is>
          <t>F</t>
        </is>
      </c>
      <c r="B329" s="18" t="inlineStr">
        <is>
          <t>800 Free</t>
        </is>
      </c>
      <c r="C329" s="18" t="n">
        <v>15</v>
      </c>
      <c r="D329" s="18" t="n">
        <v>1</v>
      </c>
      <c r="E329" s="60" t="inlineStr">
        <is>
          <t>8:51.31</t>
        </is>
      </c>
      <c r="F329" s="21">
        <f>IFERROR(__xludf.DUMMYFUNCTION("IF(
  REGEXMATCH(E329, "":""),
  60*VALUE(INDEX(SPLIT(E329, "":""),1,1)) + VALUE(INDEX(SPLIT(E329, "":""),1,2)),
  VALUE(E329)
)"),531.31)</f>
        <v/>
      </c>
      <c r="G329" s="21">
        <f>F328-F329</f>
        <v/>
      </c>
      <c r="H329" s="21" t="n">
        <v>12.78000000000009</v>
      </c>
      <c r="I329" s="211">
        <f>C328</f>
        <v/>
      </c>
      <c r="J329" s="211">
        <f>C345</f>
        <v/>
      </c>
      <c r="K329" s="60">
        <f t="array" ref="K329">INDEX('Podium Target Times'!$C:$C, MATCH(A329&amp;B329, 'Podium Target Times'!$A:$A&amp;'Podium Target Times'!$B:$B, 0))
</f>
        <v/>
      </c>
      <c r="L329" s="24">
        <f>L331+G331</f>
        <v/>
      </c>
      <c r="M329" s="60">
        <f>IF(L329&lt;60, TEXT(L329,"0.00"), IF(L329&lt;600, TEXT(L329/86400,"m:ss.00"), TEXT(L329/86400,"mm:ss.00")))
</f>
        <v/>
      </c>
      <c r="N329" s="25">
        <f>IFERROR(__xludf.DUMMYFUNCTION("LET(
  gen,$A329, ev,$B329, t,$M329,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
      </c>
      <c r="O329" s="65" t="n"/>
      <c r="P329" s="69">
        <f>A329</f>
        <v/>
      </c>
      <c r="Q329" s="65">
        <f>B329</f>
        <v/>
      </c>
      <c r="R329" s="69">
        <f>C329</f>
        <v/>
      </c>
      <c r="S329" s="58">
        <f>M329</f>
        <v/>
      </c>
      <c r="T329" s="69">
        <f>N329</f>
        <v/>
      </c>
      <c r="U329" s="65" t="n"/>
      <c r="V329" s="65" t="n"/>
      <c r="W329" s="65" t="n"/>
    </row>
    <row r="330">
      <c r="A330" s="8" t="inlineStr">
        <is>
          <t>F</t>
        </is>
      </c>
      <c r="B330" s="9" t="inlineStr">
        <is>
          <t>800 Free</t>
        </is>
      </c>
      <c r="C330" s="9" t="n">
        <v>15</v>
      </c>
      <c r="D330" s="9" t="n">
        <v>2</v>
      </c>
      <c r="E330" s="43" t="inlineStr">
        <is>
          <t>8:54.21</t>
        </is>
      </c>
      <c r="F330" s="35">
        <f>IFERROR(__xludf.DUMMYFUNCTION("IF(
  REGEXMATCH(E330, "":""),
  60*VALUE(INDEX(SPLIT(E330, "":""),1,1)) + VALUE(INDEX(SPLIT(E330, "":""),1,2)),
  VALUE(E330)
)"),534.21)</f>
        <v/>
      </c>
      <c r="G330" s="35">
        <f>F328-F329</f>
        <v/>
      </c>
      <c r="H330" s="35" t="n">
        <v>12.78000000000009</v>
      </c>
      <c r="I330" s="215">
        <f>C328</f>
        <v/>
      </c>
      <c r="J330" s="215">
        <f>C345</f>
        <v/>
      </c>
      <c r="K330" s="43">
        <f t="array" ref="K330">INDEX('Podium Target Times'!$C:$C, MATCH(A330&amp;B330, 'Podium Target Times'!$A:$A&amp;'Podium Target Times'!$B:$B, 0))
</f>
        <v/>
      </c>
      <c r="L330" s="12">
        <f>L331+G331</f>
        <v/>
      </c>
      <c r="M330" s="43">
        <f>IF(L330&lt;60, TEXT(L330,"0.00"), IF(L330&lt;600, TEXT(L330/86400,"m:ss.00"), TEXT(L330/86400,"mm:ss.00")))
</f>
        <v/>
      </c>
      <c r="N330" s="14">
        <f>IFERROR(__xludf.DUMMYFUNCTION("LET(
  gen,$A330, ev,$B330, t,$M330,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
      </c>
      <c r="O330" s="65" t="n"/>
      <c r="P330" s="69">
        <f>A331</f>
        <v/>
      </c>
      <c r="Q330" s="65">
        <f>B331</f>
        <v/>
      </c>
      <c r="R330" s="69">
        <f>C331</f>
        <v/>
      </c>
      <c r="S330" s="58">
        <f>M331</f>
        <v/>
      </c>
      <c r="T330" s="69">
        <f>N331</f>
        <v/>
      </c>
      <c r="U330" s="65" t="n"/>
      <c r="V330" s="65" t="n"/>
      <c r="W330" s="65" t="n"/>
    </row>
    <row r="331">
      <c r="A331" s="17" t="inlineStr">
        <is>
          <t>F</t>
        </is>
      </c>
      <c r="B331" s="18" t="inlineStr">
        <is>
          <t>800 Free</t>
        </is>
      </c>
      <c r="C331" s="18" t="n">
        <v>16</v>
      </c>
      <c r="D331" s="18" t="n">
        <v>1</v>
      </c>
      <c r="E331" s="491" t="inlineStr">
        <is>
          <t>8:42.92</t>
        </is>
      </c>
      <c r="F331" s="21">
        <f>IFERROR(__xludf.DUMMYFUNCTION("IF(
  REGEXMATCH(E331, "":""),
  60*VALUE(INDEX(SPLIT(E331, "":""),1,1)) + VALUE(INDEX(SPLIT(E331, "":""),1,2)),
  VALUE(E331)
)"),522.92)</f>
        <v/>
      </c>
      <c r="G331" s="21">
        <f>average(F329-F331,F330-F332)</f>
        <v/>
      </c>
      <c r="H331" s="21" t="n">
        <v>8.41500000000002</v>
      </c>
      <c r="I331" s="211">
        <f>C328</f>
        <v/>
      </c>
      <c r="J331" s="211">
        <f>C345</f>
        <v/>
      </c>
      <c r="K331" s="60">
        <f t="array" ref="K331">INDEX('Podium Target Times'!$C:$C, MATCH(A331&amp;B331, 'Podium Target Times'!$A:$A&amp;'Podium Target Times'!$B:$B, 0))
</f>
        <v/>
      </c>
      <c r="L331" s="24">
        <f>L334+G334</f>
        <v/>
      </c>
      <c r="M331" s="60">
        <f>IF(L331&lt;60, TEXT(L331,"0.00"), IF(L331&lt;600, TEXT(L331/86400,"m:ss.00"), TEXT(L331/86400,"mm:ss.00")))
</f>
        <v/>
      </c>
      <c r="N331" s="25">
        <f>IFERROR(__xludf.DUMMYFUNCTION("LET(
  gen,$A331, ev,$B331, t,$M331,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)"),689.0)</f>
        <v/>
      </c>
      <c r="O331" s="65" t="n"/>
      <c r="P331" s="69">
        <f>A334</f>
        <v/>
      </c>
      <c r="Q331" s="65">
        <f>B334</f>
        <v/>
      </c>
      <c r="R331" s="69">
        <f>C334</f>
        <v/>
      </c>
      <c r="S331" s="58">
        <f>M334</f>
        <v/>
      </c>
      <c r="T331" s="69">
        <f>N334</f>
        <v/>
      </c>
      <c r="U331" s="65" t="n"/>
      <c r="V331" s="65" t="n"/>
      <c r="W331" s="65" t="n"/>
    </row>
    <row r="332">
      <c r="A332" s="8" t="inlineStr">
        <is>
          <t>F</t>
        </is>
      </c>
      <c r="B332" s="9" t="inlineStr">
        <is>
          <t>800 Free</t>
        </is>
      </c>
      <c r="C332" s="9" t="n">
        <v>16</v>
      </c>
      <c r="D332" s="219" t="n">
        <v>2</v>
      </c>
      <c r="E332" s="41" t="inlineStr">
        <is>
          <t>8:45.77</t>
        </is>
      </c>
      <c r="F332" s="35">
        <f>IFERROR(__xludf.DUMMYFUNCTION("IF(
  REGEXMATCH(E332, "":""),
  60*VALUE(INDEX(SPLIT(E332, "":""),1,1)) + VALUE(INDEX(SPLIT(E332, "":""),1,2)),
  VALUE(E332)
)"),525.77)</f>
        <v/>
      </c>
      <c r="G332" s="35">
        <f>average(F329-F331,F330-F332)</f>
        <v/>
      </c>
      <c r="H332" s="35" t="n">
        <v>8.41500000000002</v>
      </c>
      <c r="I332" s="215">
        <f>C328</f>
        <v/>
      </c>
      <c r="J332" s="215">
        <f>C345</f>
        <v/>
      </c>
      <c r="K332" s="43">
        <f t="array" ref="K332">INDEX('Podium Target Times'!$C:$C, MATCH(A332&amp;B332, 'Podium Target Times'!$A:$A&amp;'Podium Target Times'!$B:$B, 0))
</f>
        <v/>
      </c>
      <c r="L332" s="12">
        <f>L334+G334</f>
        <v/>
      </c>
      <c r="M332" s="43">
        <f>IF(L332&lt;60, TEXT(L332,"0.00"), IF(L332&lt;600, TEXT(L332/86400,"m:ss.00"), TEXT(L332/86400,"mm:ss.00")))
</f>
        <v/>
      </c>
      <c r="N332" s="14">
        <f>IFERROR(__xludf.DUMMYFUNCTION("LET(
  gen,$A332, ev,$B332, t,$M332,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)"),689.0)</f>
        <v/>
      </c>
      <c r="O332" s="65" t="n"/>
      <c r="P332" s="69">
        <f>A337</f>
        <v/>
      </c>
      <c r="Q332" s="65">
        <f>B337</f>
        <v/>
      </c>
      <c r="R332" s="69">
        <f>C337</f>
        <v/>
      </c>
      <c r="S332" s="58">
        <f>M337</f>
        <v/>
      </c>
      <c r="T332" s="69">
        <f>N337</f>
        <v/>
      </c>
      <c r="U332" s="65" t="n"/>
      <c r="V332" s="65" t="n"/>
      <c r="W332" s="65" t="n"/>
    </row>
    <row r="333">
      <c r="A333" s="17" t="inlineStr">
        <is>
          <t>F</t>
        </is>
      </c>
      <c r="B333" s="18" t="inlineStr">
        <is>
          <t>800 Free</t>
        </is>
      </c>
      <c r="C333" s="18" t="n">
        <v>16</v>
      </c>
      <c r="D333" s="18" t="n">
        <v>3</v>
      </c>
      <c r="E333" s="46" t="inlineStr">
        <is>
          <t>8:46.60</t>
        </is>
      </c>
      <c r="F333" s="21">
        <f>IFERROR(__xludf.DUMMYFUNCTION("IF(
  REGEXMATCH(E333, "":""),
  60*VALUE(INDEX(SPLIT(E333, "":""),1,1)) + VALUE(INDEX(SPLIT(E333, "":""),1,2)),
  VALUE(E333)
)"),526.6)</f>
        <v/>
      </c>
      <c r="G333" s="21">
        <f>average(F329-F331,F330-F332)</f>
        <v/>
      </c>
      <c r="H333" s="21" t="n">
        <v>8.41500000000002</v>
      </c>
      <c r="I333" s="211">
        <f>C328</f>
        <v/>
      </c>
      <c r="J333" s="211">
        <f>C345</f>
        <v/>
      </c>
      <c r="K333" s="60">
        <f t="array" ref="K333">INDEX('Podium Target Times'!$C:$C, MATCH(A333&amp;B333, 'Podium Target Times'!$A:$A&amp;'Podium Target Times'!$B:$B, 0))
</f>
        <v/>
      </c>
      <c r="L333" s="24">
        <f>L334+G334</f>
        <v/>
      </c>
      <c r="M333" s="60">
        <f>IF(L333&lt;60, TEXT(L333,"0.00"), IF(L333&lt;600, TEXT(L333/86400,"m:ss.00"), TEXT(L333/86400,"mm:ss.00")))
</f>
        <v/>
      </c>
      <c r="N333" s="25">
        <f>IFERROR(__xludf.DUMMYFUNCTION("LET(
  gen,$A333, ev,$B333, t,$M333,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)"),689.0)</f>
        <v/>
      </c>
      <c r="O333" s="65" t="n"/>
      <c r="P333" s="69">
        <f>A340</f>
        <v/>
      </c>
      <c r="Q333" s="65">
        <f>B340</f>
        <v/>
      </c>
      <c r="R333" s="69">
        <f>C340</f>
        <v/>
      </c>
      <c r="S333" s="58">
        <f>M340</f>
        <v/>
      </c>
      <c r="T333" s="69">
        <f>N340</f>
        <v/>
      </c>
      <c r="U333" s="65" t="n"/>
      <c r="V333" s="65" t="n"/>
      <c r="W333" s="65" t="n"/>
    </row>
    <row r="334">
      <c r="A334" s="8" t="inlineStr">
        <is>
          <t>F</t>
        </is>
      </c>
      <c r="B334" s="9" t="inlineStr">
        <is>
          <t>800 Free</t>
        </is>
      </c>
      <c r="C334" s="9" t="n">
        <v>17</v>
      </c>
      <c r="D334" s="9" t="n">
        <v>1</v>
      </c>
      <c r="E334" s="483" t="inlineStr">
        <is>
          <t>8:37.81</t>
        </is>
      </c>
      <c r="F334" s="35">
        <f>IFERROR(__xludf.DUMMYFUNCTION("IF(
  REGEXMATCH(E334, "":""),
  60*VALUE(INDEX(SPLIT(E334, "":""),1,1)) + VALUE(INDEX(SPLIT(E334, "":""),1,2)),
  VALUE(E334)
)"),517.81)</f>
        <v/>
      </c>
      <c r="G334" s="35">
        <f>average(F331-F334,F332-F335,F333-F336)</f>
        <v/>
      </c>
      <c r="H334" s="35" t="n">
        <v>5.126666666666665</v>
      </c>
      <c r="I334" s="215">
        <f>C328</f>
        <v/>
      </c>
      <c r="J334" s="215">
        <f>C345</f>
        <v/>
      </c>
      <c r="K334" s="43">
        <f t="array" ref="K334">INDEX('Podium Target Times'!$C:$C, MATCH(A334&amp;B334, 'Podium Target Times'!$A:$A&amp;'Podium Target Times'!$B:$B, 0))
</f>
        <v/>
      </c>
      <c r="L334" s="12">
        <f>L337+G337</f>
        <v/>
      </c>
      <c r="M334" s="43">
        <f>IF(L334&lt;60, TEXT(L334,"0.00"), IF(L334&lt;600, TEXT(L334/86400,"m:ss.00"), TEXT(L334/86400,"mm:ss.00")))
</f>
        <v/>
      </c>
      <c r="N334" s="14">
        <f>IFERROR(__xludf.DUMMYFUNCTION("LET(
  gen,$A334, ev,$B334, t,$M334,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334" s="65" t="n"/>
      <c r="P334" s="69">
        <f>A342</f>
        <v/>
      </c>
      <c r="Q334" s="65">
        <f>B342</f>
        <v/>
      </c>
      <c r="R334" s="69">
        <f>C342</f>
        <v/>
      </c>
      <c r="S334" s="58">
        <f>M342</f>
        <v/>
      </c>
      <c r="T334" s="69">
        <f>N342</f>
        <v/>
      </c>
      <c r="U334" s="65" t="n"/>
      <c r="V334" s="65" t="n"/>
      <c r="W334" s="65" t="n"/>
    </row>
    <row r="335">
      <c r="A335" s="17" t="inlineStr">
        <is>
          <t>F</t>
        </is>
      </c>
      <c r="B335" s="18" t="inlineStr">
        <is>
          <t>800 Free</t>
        </is>
      </c>
      <c r="C335" s="18" t="n">
        <v>17</v>
      </c>
      <c r="D335" s="18" t="n">
        <v>2</v>
      </c>
      <c r="E335" s="46" t="inlineStr">
        <is>
          <t>8:40.64</t>
        </is>
      </c>
      <c r="F335" s="21">
        <f>IFERROR(__xludf.DUMMYFUNCTION("IF(
  REGEXMATCH(E335, "":""),
  60*VALUE(INDEX(SPLIT(E335, "":""),1,1)) + VALUE(INDEX(SPLIT(E335, "":""),1,2)),
  VALUE(E335)
)"),520.64)</f>
        <v/>
      </c>
      <c r="G335" s="21">
        <f>average(F331-F334,F332-F335,F333-F336)</f>
        <v/>
      </c>
      <c r="H335" s="21" t="n">
        <v>5.126666666666665</v>
      </c>
      <c r="I335" s="211">
        <f>C328</f>
        <v/>
      </c>
      <c r="J335" s="211">
        <f>C345</f>
        <v/>
      </c>
      <c r="K335" s="60">
        <f t="array" ref="K335">INDEX('Podium Target Times'!$C:$C, MATCH(A335&amp;B335, 'Podium Target Times'!$A:$A&amp;'Podium Target Times'!$B:$B, 0))
</f>
        <v/>
      </c>
      <c r="L335" s="24">
        <f>L337+G337</f>
        <v/>
      </c>
      <c r="M335" s="60">
        <f>IF(L335&lt;60, TEXT(L335,"0.00"), IF(L335&lt;600, TEXT(L335/86400,"m:ss.00"), TEXT(L335/86400,"mm:ss.00")))
</f>
        <v/>
      </c>
      <c r="N335" s="25">
        <f>IFERROR(__xludf.DUMMYFUNCTION("LET(
  gen,$A335, ev,$B335, t,$M335,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335" s="65" t="n"/>
      <c r="P335" s="69">
        <f>A344</f>
        <v/>
      </c>
      <c r="Q335" s="65">
        <f>B344</f>
        <v/>
      </c>
      <c r="R335" s="69">
        <f>C344</f>
        <v/>
      </c>
      <c r="S335" s="58">
        <f>M344</f>
        <v/>
      </c>
      <c r="T335" s="69">
        <f>N344</f>
        <v/>
      </c>
      <c r="U335" s="65" t="n"/>
      <c r="V335" s="65" t="n"/>
      <c r="W335" s="65" t="n"/>
    </row>
    <row r="336">
      <c r="A336" s="8" t="inlineStr">
        <is>
          <t>F</t>
        </is>
      </c>
      <c r="B336" s="9" t="inlineStr">
        <is>
          <t>800 Free</t>
        </is>
      </c>
      <c r="C336" s="9" t="n">
        <v>17</v>
      </c>
      <c r="D336" s="9" t="n">
        <v>3</v>
      </c>
      <c r="E336" s="41" t="inlineStr">
        <is>
          <t>8:41.46</t>
        </is>
      </c>
      <c r="F336" s="35">
        <f>IFERROR(__xludf.DUMMYFUNCTION("IF(
  REGEXMATCH(E336, "":""),
  60*VALUE(INDEX(SPLIT(E336, "":""),1,1)) + VALUE(INDEX(SPLIT(E336, "":""),1,2)),
  VALUE(E336)
)"),521.46)</f>
        <v/>
      </c>
      <c r="G336" s="35">
        <f>average(F331-F334,F332-F335,F333-F336)</f>
        <v/>
      </c>
      <c r="H336" s="35" t="n">
        <v>5.126666666666665</v>
      </c>
      <c r="I336" s="215">
        <f>C328</f>
        <v/>
      </c>
      <c r="J336" s="215">
        <f>C345</f>
        <v/>
      </c>
      <c r="K336" s="43">
        <f t="array" ref="K336">INDEX('Podium Target Times'!$C:$C, MATCH(A336&amp;B336, 'Podium Target Times'!$A:$A&amp;'Podium Target Times'!$B:$B, 0))
</f>
        <v/>
      </c>
      <c r="L336" s="12">
        <f>L337+G337</f>
        <v/>
      </c>
      <c r="M336" s="43">
        <f>IF(L336&lt;60, TEXT(L336,"0.00"), IF(L336&lt;600, TEXT(L336/86400,"m:ss.00"), TEXT(L336/86400,"mm:ss.00")))
</f>
        <v/>
      </c>
      <c r="N336" s="14">
        <f>IFERROR(__xludf.DUMMYFUNCTION("LET(
  gen,$A336, ev,$B336, t,$M336,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)"),708.0)</f>
        <v/>
      </c>
      <c r="O336" s="65" t="n"/>
      <c r="P336" s="69">
        <f>A345</f>
        <v/>
      </c>
      <c r="Q336" s="65">
        <f>B345</f>
        <v/>
      </c>
      <c r="R336" s="69">
        <f>C345</f>
        <v/>
      </c>
      <c r="S336" s="58">
        <f>M345</f>
        <v/>
      </c>
      <c r="T336" s="69">
        <f>N345</f>
        <v/>
      </c>
      <c r="U336" s="65" t="n">
        <v>739</v>
      </c>
      <c r="V336" s="65" t="n"/>
      <c r="W336" s="65" t="n"/>
    </row>
    <row r="337">
      <c r="A337" s="17" t="inlineStr">
        <is>
          <t>F</t>
        </is>
      </c>
      <c r="B337" s="18" t="inlineStr">
        <is>
          <t>800 Free</t>
        </is>
      </c>
      <c r="C337" s="18" t="n">
        <v>18</v>
      </c>
      <c r="D337" s="18" t="n">
        <v>1</v>
      </c>
      <c r="E337" s="46" t="inlineStr">
        <is>
          <t>8:34.62</t>
        </is>
      </c>
      <c r="F337" s="21">
        <f>IFERROR(__xludf.DUMMYFUNCTION("IF(
  REGEXMATCH(E337, "":""),
  60*VALUE(INDEX(SPLIT(E337, "":""),1,1)) + VALUE(INDEX(SPLIT(E337, "":""),1,2)),
  VALUE(E337)
)"),514.62)</f>
        <v/>
      </c>
      <c r="G337" s="21">
        <f>average(F334-F337,F335-F338,F336-F339)</f>
        <v/>
      </c>
      <c r="H337" s="21" t="n">
        <v>3.203333333333338</v>
      </c>
      <c r="I337" s="211">
        <f>C328</f>
        <v/>
      </c>
      <c r="J337" s="211">
        <f>C345</f>
        <v/>
      </c>
      <c r="K337" s="60">
        <f t="array" ref="K337">INDEX('Podium Target Times'!$C:$C, MATCH(A337&amp;B337, 'Podium Target Times'!$A:$A&amp;'Podium Target Times'!$B:$B, 0))
</f>
        <v/>
      </c>
      <c r="L337" s="24">
        <f>L340+G340</f>
        <v/>
      </c>
      <c r="M337" s="60">
        <f>IF(L337&lt;60, TEXT(L337,"0.00"), IF(L337&lt;600, TEXT(L337/86400,"m:ss.00"), TEXT(L337/86400,"mm:ss.00")))
</f>
        <v/>
      </c>
      <c r="N337" s="25">
        <f>IFERROR(__xludf.DUMMYFUNCTION("LET(
  gen,$A337, ev,$B337, t,$M337,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337" s="65" t="n"/>
      <c r="P337" s="69">
        <f>P336</f>
        <v/>
      </c>
      <c r="Q337" s="65">
        <f>Q336</f>
        <v/>
      </c>
      <c r="R337" s="69">
        <f>R336+1</f>
        <v/>
      </c>
      <c r="S337" s="58">
        <f>M346</f>
        <v/>
      </c>
      <c r="T337" s="69">
        <f>N346</f>
        <v/>
      </c>
      <c r="U337" s="65" t="n"/>
      <c r="V337" s="65" t="n"/>
      <c r="W337" s="65" t="n"/>
    </row>
    <row r="338">
      <c r="A338" s="8" t="inlineStr">
        <is>
          <t>F</t>
        </is>
      </c>
      <c r="B338" s="9" t="inlineStr">
        <is>
          <t>800 Free</t>
        </is>
      </c>
      <c r="C338" s="9" t="n">
        <v>18</v>
      </c>
      <c r="D338" s="9" t="n">
        <v>2</v>
      </c>
      <c r="E338" s="41" t="inlineStr">
        <is>
          <t>8:37.43</t>
        </is>
      </c>
      <c r="F338" s="35">
        <f>IFERROR(__xludf.DUMMYFUNCTION("IF(
  REGEXMATCH(E338, "":""),
  60*VALUE(INDEX(SPLIT(E338, "":""),1,1)) + VALUE(INDEX(SPLIT(E338, "":""),1,2)),
  VALUE(E338)
)"),517.43)</f>
        <v/>
      </c>
      <c r="G338" s="35">
        <f>average(F334-F337,F335-F338,F336-F339)</f>
        <v/>
      </c>
      <c r="H338" s="35" t="n">
        <v>3.203333333333338</v>
      </c>
      <c r="I338" s="215">
        <f>C328</f>
        <v/>
      </c>
      <c r="J338" s="215">
        <f>C345</f>
        <v/>
      </c>
      <c r="K338" s="43">
        <f t="array" ref="K338">INDEX('Podium Target Times'!$C:$C, MATCH(A338&amp;B338, 'Podium Target Times'!$A:$A&amp;'Podium Target Times'!$B:$B, 0))
</f>
        <v/>
      </c>
      <c r="L338" s="12">
        <f>L340+G340</f>
        <v/>
      </c>
      <c r="M338" s="43">
        <f>IF(L338&lt;60, TEXT(L338,"0.00"), IF(L338&lt;600, TEXT(L338/86400,"m:ss.00"), TEXT(L338/86400,"mm:ss.00")))
</f>
        <v/>
      </c>
      <c r="N338" s="14">
        <f>IFERROR(__xludf.DUMMYFUNCTION("LET(
  gen,$A338, ev,$B338, t,$M338,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338" s="65" t="n"/>
      <c r="P338" s="69">
        <f>P337</f>
        <v/>
      </c>
      <c r="Q338" s="65">
        <f>Q337</f>
        <v/>
      </c>
      <c r="R338" s="69">
        <f>R337+1</f>
        <v/>
      </c>
      <c r="S338" s="58">
        <f>M347</f>
        <v/>
      </c>
      <c r="T338" s="69">
        <f>N347</f>
        <v/>
      </c>
      <c r="U338" s="65" t="n"/>
      <c r="V338" s="65" t="n"/>
      <c r="W338" s="65" t="n"/>
    </row>
    <row r="339">
      <c r="A339" s="17" t="inlineStr">
        <is>
          <t>F</t>
        </is>
      </c>
      <c r="B339" s="18" t="inlineStr">
        <is>
          <t>800 Free</t>
        </is>
      </c>
      <c r="C339" s="18" t="n">
        <v>18</v>
      </c>
      <c r="D339" s="18" t="n">
        <v>3</v>
      </c>
      <c r="E339" s="46" t="inlineStr">
        <is>
          <t>8:38.25</t>
        </is>
      </c>
      <c r="F339" s="21">
        <f>IFERROR(__xludf.DUMMYFUNCTION("IF(
  REGEXMATCH(E339, "":""),
  60*VALUE(INDEX(SPLIT(E339, "":""),1,1)) + VALUE(INDEX(SPLIT(E339, "":""),1,2)),
  VALUE(E339)
)"),518.25)</f>
        <v/>
      </c>
      <c r="G339" s="21">
        <f>average(F334-F337,F335-F338,F336-F339)</f>
        <v/>
      </c>
      <c r="H339" s="21" t="n">
        <v>3.203333333333338</v>
      </c>
      <c r="I339" s="211">
        <f>C328</f>
        <v/>
      </c>
      <c r="J339" s="211">
        <f>C345</f>
        <v/>
      </c>
      <c r="K339" s="60">
        <f t="array" ref="K339">INDEX('Podium Target Times'!$C:$C, MATCH(A339&amp;B339, 'Podium Target Times'!$A:$A&amp;'Podium Target Times'!$B:$B, 0))
</f>
        <v/>
      </c>
      <c r="L339" s="24">
        <f>L340+G340</f>
        <v/>
      </c>
      <c r="M339" s="60">
        <f>IF(L339&lt;60, TEXT(L339,"0.00"), IF(L339&lt;600, TEXT(L339/86400,"m:ss.00"), TEXT(L339/86400,"mm:ss.00")))
</f>
        <v/>
      </c>
      <c r="N339" s="25">
        <f>IFERROR(__xludf.DUMMYFUNCTION("LET(
  gen,$A339, ev,$B339, t,$M339,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339" s="65" t="n"/>
      <c r="P339" s="69">
        <f>P338</f>
        <v/>
      </c>
      <c r="Q339" s="65">
        <f>Q338</f>
        <v/>
      </c>
      <c r="R339" s="69">
        <f>R338+1</f>
        <v/>
      </c>
      <c r="S339" s="58">
        <f>M348</f>
        <v/>
      </c>
      <c r="T339" s="69">
        <f>N348</f>
        <v/>
      </c>
      <c r="U339" s="65" t="n"/>
      <c r="V339" s="65" t="n"/>
      <c r="W339" s="65" t="n"/>
    </row>
    <row r="340">
      <c r="A340" s="8" t="inlineStr">
        <is>
          <t>F</t>
        </is>
      </c>
      <c r="B340" s="9" t="inlineStr">
        <is>
          <t>800 Free</t>
        </is>
      </c>
      <c r="C340" s="9" t="n">
        <v>19</v>
      </c>
      <c r="D340" s="219" t="n">
        <v>2</v>
      </c>
      <c r="E340" s="41" t="inlineStr">
        <is>
          <t>8:35.61</t>
        </is>
      </c>
      <c r="F340" s="35">
        <f>IFERROR(__xludf.DUMMYFUNCTION("IF(
  REGEXMATCH(E340, "":""),
  60*VALUE(INDEX(SPLIT(E340, "":""),1,1)) + VALUE(INDEX(SPLIT(E340, "":""),1,2)),
  VALUE(E340)
)"),515.61)</f>
        <v/>
      </c>
      <c r="G340" s="35">
        <f>average(F338-F340,F339-F341)</f>
        <v/>
      </c>
      <c r="H340" s="35" t="n">
        <v>1.824999999999989</v>
      </c>
      <c r="I340" s="215">
        <f>C328</f>
        <v/>
      </c>
      <c r="J340" s="215">
        <f>C345</f>
        <v/>
      </c>
      <c r="K340" s="43">
        <f t="array" ref="K340">INDEX('Podium Target Times'!$C:$C, MATCH(A340&amp;B340, 'Podium Target Times'!$A:$A&amp;'Podium Target Times'!$B:$B, 0))
</f>
        <v/>
      </c>
      <c r="L340" s="12">
        <f>L342+G342</f>
        <v/>
      </c>
      <c r="M340" s="43">
        <f>IF(L340&lt;60, TEXT(L340,"0.00"), IF(L340&lt;600, TEXT(L340/86400,"m:ss.00"), TEXT(L340/86400,"mm:ss.00")))
</f>
        <v/>
      </c>
      <c r="N340" s="14">
        <f>IFERROR(__xludf.DUMMYFUNCTION("LET(
  gen,$A340, ev,$B340, t,$M340,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O340" s="65" t="n"/>
      <c r="P340" s="69" t="n"/>
      <c r="Q340" s="65" t="n"/>
      <c r="R340" s="69" t="n"/>
      <c r="S340" s="58" t="n"/>
      <c r="T340" s="69" t="n"/>
      <c r="U340" s="65" t="n"/>
      <c r="V340" s="65" t="n"/>
      <c r="W340" s="65" t="n"/>
    </row>
    <row r="341">
      <c r="A341" s="17" t="inlineStr">
        <is>
          <t>F</t>
        </is>
      </c>
      <c r="B341" s="18" t="inlineStr">
        <is>
          <t>800 Free</t>
        </is>
      </c>
      <c r="C341" s="18" t="n">
        <v>19</v>
      </c>
      <c r="D341" s="18" t="n">
        <v>3</v>
      </c>
      <c r="E341" s="46" t="inlineStr">
        <is>
          <t>8:36.42</t>
        </is>
      </c>
      <c r="F341" s="21">
        <f>IFERROR(__xludf.DUMMYFUNCTION("IF(
  REGEXMATCH(E341, "":""),
  60*VALUE(INDEX(SPLIT(E341, "":""),1,1)) + VALUE(INDEX(SPLIT(E341, "":""),1,2)),
  VALUE(E341)
)"),516.42)</f>
        <v/>
      </c>
      <c r="G341" s="21">
        <f>average(F338-F340,F339-F341)</f>
        <v/>
      </c>
      <c r="H341" s="21" t="n">
        <v>1.824999999999989</v>
      </c>
      <c r="I341" s="211">
        <f>C328</f>
        <v/>
      </c>
      <c r="J341" s="211">
        <f>C345</f>
        <v/>
      </c>
      <c r="K341" s="60">
        <f t="array" ref="K341">INDEX('Podium Target Times'!$C:$C, MATCH(A341&amp;B341, 'Podium Target Times'!$A:$A&amp;'Podium Target Times'!$B:$B, 0))
</f>
        <v/>
      </c>
      <c r="L341" s="24">
        <f>L342+G342</f>
        <v/>
      </c>
      <c r="M341" s="60">
        <f>IF(L341&lt;60, TEXT(L341,"0.00"), IF(L341&lt;600, TEXT(L341/86400,"m:ss.00"), TEXT(L341/86400,"mm:ss.00")))
</f>
        <v/>
      </c>
      <c r="N341" s="25">
        <f>IFERROR(__xludf.DUMMYFUNCTION("LET(
  gen,$A341, ev,$B341, t,$M341,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O341" s="65" t="n"/>
      <c r="P341" s="69" t="n"/>
      <c r="Q341" s="65" t="n"/>
      <c r="R341" s="69" t="n"/>
      <c r="S341" s="58" t="n"/>
      <c r="T341" s="69" t="n"/>
      <c r="U341" s="65" t="n"/>
      <c r="V341" s="65" t="n"/>
      <c r="W341" s="65" t="n"/>
    </row>
    <row r="342">
      <c r="A342" s="8" t="inlineStr">
        <is>
          <t>F</t>
        </is>
      </c>
      <c r="B342" s="9" t="inlineStr">
        <is>
          <t>800 Free</t>
        </is>
      </c>
      <c r="C342" s="9" t="n">
        <v>20</v>
      </c>
      <c r="D342" s="9" t="n">
        <v>2</v>
      </c>
      <c r="E342" s="41" t="inlineStr">
        <is>
          <t>8:34.62</t>
        </is>
      </c>
      <c r="F342" s="35">
        <f>IFERROR(__xludf.DUMMYFUNCTION("IF(
  REGEXMATCH(E342, "":""),
  60*VALUE(INDEX(SPLIT(E342, "":""),1,1)) + VALUE(INDEX(SPLIT(E342, "":""),1,2)),
  VALUE(E342)
)"),514.62)</f>
        <v/>
      </c>
      <c r="G342" s="35">
        <f>average(F340-F342,F341-F343)</f>
        <v/>
      </c>
      <c r="H342" s="35" t="n">
        <v>0.9900000000000091</v>
      </c>
      <c r="I342" s="215">
        <f>C328</f>
        <v/>
      </c>
      <c r="J342" s="215">
        <f>C345</f>
        <v/>
      </c>
      <c r="K342" s="43">
        <f t="array" ref="K342">INDEX('Podium Target Times'!$C:$C, MATCH(A342&amp;B342, 'Podium Target Times'!$A:$A&amp;'Podium Target Times'!$B:$B, 0))
</f>
        <v/>
      </c>
      <c r="L342" s="12">
        <f>L344+G344</f>
        <v/>
      </c>
      <c r="M342" s="43">
        <f>IF(L342&lt;60, TEXT(L342,"0.00"), IF(L342&lt;600, TEXT(L342/86400,"m:ss.00"), TEXT(L342/86400,"mm:ss.00")))
</f>
        <v/>
      </c>
      <c r="N342" s="14">
        <f>IFERROR(__xludf.DUMMYFUNCTION("LET(
  gen,$A342, ev,$B342, t,$M342,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342" s="65" t="n"/>
      <c r="P342" s="69" t="n"/>
      <c r="Q342" s="65" t="n"/>
      <c r="R342" s="69" t="n"/>
      <c r="S342" s="58" t="n"/>
      <c r="T342" s="69" t="n"/>
      <c r="U342" s="65" t="n"/>
      <c r="V342" s="65" t="n"/>
      <c r="W342" s="65" t="n"/>
    </row>
    <row r="343">
      <c r="A343" s="17" t="inlineStr">
        <is>
          <t>F</t>
        </is>
      </c>
      <c r="B343" s="18" t="inlineStr">
        <is>
          <t>800 Free</t>
        </is>
      </c>
      <c r="C343" s="18" t="n">
        <v>20</v>
      </c>
      <c r="D343" s="18" t="n">
        <v>3</v>
      </c>
      <c r="E343" s="46" t="inlineStr">
        <is>
          <t>8:35.43</t>
        </is>
      </c>
      <c r="F343" s="21">
        <f>IFERROR(__xludf.DUMMYFUNCTION("IF(
  REGEXMATCH(E343, "":""),
  60*VALUE(INDEX(SPLIT(E343, "":""),1,1)) + VALUE(INDEX(SPLIT(E343, "":""),1,2)),
  VALUE(E343)
)"),515.43)</f>
        <v/>
      </c>
      <c r="G343" s="21">
        <f>average(F340-F342,F341-F343)</f>
        <v/>
      </c>
      <c r="H343" s="21" t="n">
        <v>0.9900000000000091</v>
      </c>
      <c r="I343" s="211">
        <f>C328</f>
        <v/>
      </c>
      <c r="J343" s="211">
        <f>C345</f>
        <v/>
      </c>
      <c r="K343" s="60">
        <f t="array" ref="K343">INDEX('Podium Target Times'!$C:$C, MATCH(A343&amp;B343, 'Podium Target Times'!$A:$A&amp;'Podium Target Times'!$B:$B, 0))
</f>
        <v/>
      </c>
      <c r="L343" s="24">
        <f>L344+G344</f>
        <v/>
      </c>
      <c r="M343" s="60">
        <f>IF(L343&lt;60, TEXT(L343,"0.00"), IF(L343&lt;600, TEXT(L343/86400,"m:ss.00"), TEXT(L343/86400,"mm:ss.00")))
</f>
        <v/>
      </c>
      <c r="N343" s="25">
        <f>IFERROR(__xludf.DUMMYFUNCTION("LET(
  gen,$A343, ev,$B343, t,$M343,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343" s="65" t="n"/>
      <c r="P343" s="69" t="n"/>
      <c r="Q343" s="65" t="n"/>
      <c r="R343" s="69" t="n"/>
      <c r="S343" s="58" t="n"/>
      <c r="T343" s="69" t="n"/>
      <c r="U343" s="65" t="n"/>
      <c r="V343" s="65" t="n"/>
      <c r="W343" s="65" t="n"/>
    </row>
    <row r="344">
      <c r="A344" s="8" t="inlineStr">
        <is>
          <t>F</t>
        </is>
      </c>
      <c r="B344" s="9" t="inlineStr">
        <is>
          <t>800 Free</t>
        </is>
      </c>
      <c r="C344" s="9" t="n">
        <v>21</v>
      </c>
      <c r="D344" s="9" t="n">
        <v>3</v>
      </c>
      <c r="E344" s="41" t="inlineStr">
        <is>
          <t>8:34.90</t>
        </is>
      </c>
      <c r="F344" s="35">
        <f>IFERROR(__xludf.DUMMYFUNCTION("IF(
  REGEXMATCH(E344, "":""),
  60*VALUE(INDEX(SPLIT(E344, "":""),1,1)) + VALUE(INDEX(SPLIT(E344, "":""),1,2)),
  VALUE(E344)
)"),514.9)</f>
        <v/>
      </c>
      <c r="G344" s="35">
        <f>F343-F344</f>
        <v/>
      </c>
      <c r="H344" s="35" t="n">
        <v>0.5299999999999727</v>
      </c>
      <c r="I344" s="215">
        <f>C328</f>
        <v/>
      </c>
      <c r="J344" s="215">
        <f>C345</f>
        <v/>
      </c>
      <c r="K344" s="43">
        <f t="array" ref="K344">INDEX('Podium Target Times'!$C:$C, MATCH(A344&amp;B344, 'Podium Target Times'!$A:$A&amp;'Podium Target Times'!$B:$B, 0))
</f>
        <v/>
      </c>
      <c r="L344" s="12">
        <f>L345+G345</f>
        <v/>
      </c>
      <c r="M344" s="43">
        <f>IF(L344&lt;60, TEXT(L344,"0.00"), IF(L344&lt;600, TEXT(L344/86400,"m:ss.00"), TEXT(L344/86400,"mm:ss.00")))
</f>
        <v/>
      </c>
      <c r="N344" s="14">
        <f>IFERROR(__xludf.DUMMYFUNCTION("LET(
  gen,$A344, ev,$B344, t,$M344,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344" s="65" t="n"/>
      <c r="P344" s="69" t="n"/>
      <c r="Q344" s="65" t="n"/>
      <c r="R344" s="69" t="n"/>
      <c r="S344" s="58" t="n"/>
      <c r="T344" s="69" t="n"/>
      <c r="U344" s="65" t="n"/>
      <c r="V344" s="65" t="n"/>
      <c r="W344" s="65" t="n"/>
    </row>
    <row r="345">
      <c r="A345" s="17" t="inlineStr">
        <is>
          <t>F</t>
        </is>
      </c>
      <c r="B345" s="18" t="inlineStr">
        <is>
          <t>800 Free</t>
        </is>
      </c>
      <c r="C345" s="18" t="n">
        <v>22</v>
      </c>
      <c r="D345" s="18" t="n">
        <v>3</v>
      </c>
      <c r="E345" s="46" t="inlineStr">
        <is>
          <t>8:34.62</t>
        </is>
      </c>
      <c r="F345" s="21">
        <f>IFERROR(__xludf.DUMMYFUNCTION("IF(
  REGEXMATCH(E345, "":""),
  60*VALUE(INDEX(SPLIT(E345, "":""),1,1)) + VALUE(INDEX(SPLIT(E345, "":""),1,2)),
  VALUE(E345)
)"),514.62)</f>
        <v/>
      </c>
      <c r="G345" s="21">
        <f>F344-F345</f>
        <v/>
      </c>
      <c r="H345" s="21" t="n">
        <v>0.2799999999999727</v>
      </c>
      <c r="I345" s="211">
        <f>C328</f>
        <v/>
      </c>
      <c r="J345" s="211">
        <f>C345</f>
        <v/>
      </c>
      <c r="K345" s="60">
        <f t="array" ref="K345">INDEX('Podium Target Times'!$C:$C, MATCH(A345&amp;B345, 'Podium Target Times'!$A:$A&amp;'Podium Target Times'!$B:$B, 0))
</f>
        <v/>
      </c>
      <c r="L345" s="21">
        <f>G345+L346</f>
        <v/>
      </c>
      <c r="M345" s="60">
        <f>IF(L345&lt;60, TEXT(L345,"0.00"), IF(L345&lt;600, TEXT(L345/86400,"m:ss.00"), TEXT(L345/86400,"mm:ss.00")))
</f>
        <v/>
      </c>
      <c r="N345" s="25">
        <f>IFERROR(__xludf.DUMMYFUNCTION("LET(
  gen,$A345, ev,$B345, t,$M345,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O345" s="65" t="n"/>
      <c r="P345" s="69" t="n"/>
      <c r="Q345" s="65" t="n"/>
      <c r="R345" s="69" t="n"/>
      <c r="S345" s="58" t="n"/>
      <c r="T345" s="69" t="n"/>
      <c r="U345" s="65" t="n"/>
      <c r="V345" s="65" t="n"/>
      <c r="W345" s="65" t="n"/>
    </row>
    <row r="346">
      <c r="A346" s="8" t="inlineStr">
        <is>
          <t>F</t>
        </is>
      </c>
      <c r="B346" s="9" t="inlineStr">
        <is>
          <t>800 Free</t>
        </is>
      </c>
      <c r="C346" s="9" t="n">
        <v>23</v>
      </c>
      <c r="D346" s="9" t="n"/>
      <c r="E346" s="41" t="n"/>
      <c r="F346" s="35">
        <f>IFERROR(__xludf.DUMMYFUNCTION("IF(
  REGEXMATCH(E346, "":""),
  60*VALUE(INDEX(SPLIT(E346, "":""),1,1)) + VALUE(INDEX(SPLIT(E346, "":""),1,2)),
  VALUE(E346)
)"),0.0)</f>
        <v/>
      </c>
      <c r="G346" s="12" t="n"/>
      <c r="H346" s="12" t="n"/>
      <c r="I346" s="43">
        <f>C328</f>
        <v/>
      </c>
      <c r="J346" s="43">
        <f>C345</f>
        <v/>
      </c>
      <c r="K346" s="43">
        <f t="array" ref="K346">INDEX('Podium Target Times'!$C:$C, MATCH(A346&amp;B346, 'Podium Target Times'!$A:$A&amp;'Podium Target Times'!$B:$B, 0))
</f>
        <v/>
      </c>
      <c r="L346" s="12">
        <f>G345+L347</f>
        <v/>
      </c>
      <c r="M346" s="43">
        <f>IF(L346&lt;60, TEXT(L346,"0.00"), IF(L346&lt;600, TEXT(L346/86400,"m:ss.00"), TEXT(L346/86400,"mm:ss.00")))
</f>
        <v/>
      </c>
      <c r="N346" s="14">
        <f>IFERROR(__xludf.DUMMYFUNCTION("LET(
  gen,$A346, ev,$B346, t,$M346,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O346" s="65" t="n"/>
      <c r="P346" s="69" t="n"/>
      <c r="Q346" s="65" t="n"/>
      <c r="R346" s="69" t="n"/>
      <c r="S346" s="58" t="n"/>
      <c r="T346" s="69" t="n"/>
      <c r="U346" s="65" t="n"/>
      <c r="V346" s="65" t="n"/>
      <c r="W346" s="65" t="n"/>
    </row>
    <row r="347">
      <c r="A347" s="17" t="inlineStr">
        <is>
          <t>F</t>
        </is>
      </c>
      <c r="B347" s="18" t="inlineStr">
        <is>
          <t>800 Free</t>
        </is>
      </c>
      <c r="C347" s="18" t="n">
        <v>24</v>
      </c>
      <c r="D347" s="18" t="n"/>
      <c r="E347" s="46" t="n"/>
      <c r="F347" s="21">
        <f>IFERROR(__xludf.DUMMYFUNCTION("IF(
  REGEXMATCH(E347, "":""),
  60*VALUE(INDEX(SPLIT(E347, "":""),1,1)) + VALUE(INDEX(SPLIT(E347, "":""),1,2)),
  VALUE(E347)
)"),0.0)</f>
        <v/>
      </c>
      <c r="G347" s="24" t="n"/>
      <c r="H347" s="24" t="n"/>
      <c r="I347" s="60">
        <f>C328</f>
        <v/>
      </c>
      <c r="J347" s="60">
        <f>C345</f>
        <v/>
      </c>
      <c r="K347" s="60">
        <f t="array" ref="K347">INDEX('Podium Target Times'!$C:$C, MATCH(A347&amp;B347, 'Podium Target Times'!$A:$A&amp;'Podium Target Times'!$B:$B, 0))
</f>
        <v/>
      </c>
      <c r="L347" s="24">
        <f>G345+L348</f>
        <v/>
      </c>
      <c r="M347" s="60">
        <f>IF(L347&lt;60, TEXT(L347,"0.00"), IF(L347&lt;600, TEXT(L347/86400,"m:ss.00"), TEXT(L347/86400,"mm:ss.00")))
</f>
        <v/>
      </c>
      <c r="N347" s="25">
        <f>IFERROR(__xludf.DUMMYFUNCTION("LET(
  gen,$A347, ev,$B347, t,$M347,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O347" s="65" t="n"/>
      <c r="P347" s="69" t="n"/>
      <c r="Q347" s="65" t="n"/>
      <c r="R347" s="69" t="n"/>
      <c r="S347" s="58" t="n"/>
      <c r="T347" s="69" t="n"/>
      <c r="U347" s="65" t="n"/>
      <c r="V347" s="65" t="n"/>
      <c r="W347" s="65" t="n"/>
    </row>
    <row r="348">
      <c r="A348" s="8" t="inlineStr">
        <is>
          <t>F</t>
        </is>
      </c>
      <c r="B348" s="9" t="inlineStr">
        <is>
          <t>800 Free</t>
        </is>
      </c>
      <c r="C348" s="9" t="n">
        <v>25</v>
      </c>
      <c r="D348" s="9" t="n"/>
      <c r="E348" s="41" t="n"/>
      <c r="F348" s="35">
        <f>IFERROR(__xludf.DUMMYFUNCTION("IF(
  REGEXMATCH(E348, "":""),
  60*VALUE(INDEX(SPLIT(E348, "":""),1,1)) + VALUE(INDEX(SPLIT(E348, "":""),1,2)),
  VALUE(E348)
)"),0.0)</f>
        <v/>
      </c>
      <c r="G348" s="12" t="n"/>
      <c r="H348" s="12" t="n"/>
      <c r="I348" s="43">
        <f>C328</f>
        <v/>
      </c>
      <c r="J348" s="43">
        <f>C345</f>
        <v/>
      </c>
      <c r="K348" s="43">
        <f t="array" ref="K348">INDEX('Podium Target Times'!$C:$C, MATCH(A348&amp;B348, 'Podium Target Times'!$A:$A&amp;'Podium Target Times'!$B:$B, 0))
</f>
        <v/>
      </c>
      <c r="L348" s="43">
        <f>K348</f>
        <v/>
      </c>
      <c r="M348" s="43">
        <f>IF(L348&lt;60, TEXT(L348,"0.00"), IF(L348&lt;600, TEXT(L348/86400,"m:ss.00"), TEXT(L348/86400,"mm:ss.00")))
</f>
        <v/>
      </c>
      <c r="N348" s="14">
        <f>IFERROR(__xludf.DUMMYFUNCTION("LET(
  gen,$A348, ev,$B348, t,$M348,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O348" s="65" t="n"/>
      <c r="P348" s="69" t="n"/>
      <c r="Q348" s="65" t="n"/>
      <c r="R348" s="69" t="n"/>
      <c r="S348" s="58" t="n"/>
      <c r="T348" s="69" t="n"/>
      <c r="U348" s="65" t="n"/>
      <c r="V348" s="65" t="n"/>
      <c r="W348" s="65" t="n"/>
    </row>
    <row r="349">
      <c r="A349" s="17" t="inlineStr">
        <is>
          <t>M</t>
        </is>
      </c>
      <c r="B349" s="18" t="inlineStr">
        <is>
          <t>100 Back</t>
        </is>
      </c>
      <c r="C349" s="18" t="n">
        <v>16</v>
      </c>
      <c r="D349" s="18" t="n">
        <v>1</v>
      </c>
      <c r="E349" s="46" t="inlineStr">
        <is>
          <t>57.82</t>
        </is>
      </c>
      <c r="F349" s="21">
        <f>IFERROR(__xludf.DUMMYFUNCTION("IF(
  REGEXMATCH(E349, "":""),
  60*VALUE(INDEX(SPLIT(E349, "":""),1,1)) + VALUE(INDEX(SPLIT(E349, "":""),1,2)),
  VALUE(E349)
)"),57.82)</f>
        <v/>
      </c>
      <c r="G349" s="24" t="n">
        <v>0</v>
      </c>
      <c r="H349" s="24" t="n">
        <v>0</v>
      </c>
      <c r="I349" s="60">
        <f>C349</f>
        <v/>
      </c>
      <c r="J349" s="60">
        <f>C366</f>
        <v/>
      </c>
      <c r="K349" s="60">
        <f t="array" ref="K349">INDEX('Podium Target Times'!$C:$C, MATCH(A349&amp;B349, 'Podium Target Times'!$A:$A&amp;'Podium Target Times'!$B:$B, 0))
</f>
        <v/>
      </c>
      <c r="L349" s="24">
        <f>L350+G350</f>
        <v/>
      </c>
      <c r="M349" s="60">
        <f>IF(L349&lt;60, TEXT(L349,"0.00"), IF(L349&lt;600, TEXT(L349/86400,"m:ss.00"), TEXT(L349/86400,"mm:ss.00")))
</f>
        <v/>
      </c>
      <c r="N349" s="25">
        <f>IFERROR(__xludf.DUMMYFUNCTION("LET(
  gen,$A349, ev,$B349, t,$M349,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)"),617.0)</f>
        <v/>
      </c>
      <c r="O349" s="65" t="n"/>
      <c r="P349" s="69">
        <f>A349</f>
        <v/>
      </c>
      <c r="Q349" s="65">
        <f>B349</f>
        <v/>
      </c>
      <c r="R349" s="69">
        <f>C349</f>
        <v/>
      </c>
      <c r="S349" s="58">
        <f>M349</f>
        <v/>
      </c>
      <c r="T349" s="69">
        <f>N349</f>
        <v/>
      </c>
      <c r="U349" s="65" t="n">
        <v>618</v>
      </c>
      <c r="V349" s="65" t="n"/>
      <c r="W349" s="65" t="n"/>
    </row>
    <row r="350">
      <c r="A350" s="8" t="inlineStr">
        <is>
          <t>M</t>
        </is>
      </c>
      <c r="B350" s="9" t="inlineStr">
        <is>
          <t>100 Back</t>
        </is>
      </c>
      <c r="C350" s="9" t="n">
        <v>17</v>
      </c>
      <c r="D350" s="9" t="n">
        <v>1</v>
      </c>
      <c r="E350" s="41" t="inlineStr">
        <is>
          <t>56.23</t>
        </is>
      </c>
      <c r="F350" s="35">
        <f>IFERROR(__xludf.DUMMYFUNCTION("IF(
  REGEXMATCH(E350, "":""),
  60*VALUE(INDEX(SPLIT(E350, "":""),1,1)) + VALUE(INDEX(SPLIT(E350, "":""),1,2)),
  VALUE(E350)
)"),56.23)</f>
        <v/>
      </c>
      <c r="G350" s="35">
        <f>F349-F350</f>
        <v/>
      </c>
      <c r="H350" s="35" t="n">
        <v>1.590000000000003</v>
      </c>
      <c r="I350" s="215">
        <f>C349</f>
        <v/>
      </c>
      <c r="J350" s="215">
        <f>C366</f>
        <v/>
      </c>
      <c r="K350" s="43">
        <f t="array" ref="K350">INDEX('Podium Target Times'!$C:$C, MATCH(A350&amp;B350, 'Podium Target Times'!$A:$A&amp;'Podium Target Times'!$B:$B, 0))
</f>
        <v/>
      </c>
      <c r="L350" s="12">
        <f>L352+G352</f>
        <v/>
      </c>
      <c r="M350" s="43">
        <f>IF(L350&lt;60, TEXT(L350,"0.00"), IF(L350&lt;600, TEXT(L350/86400,"m:ss.00"), TEXT(L350/86400,"mm:ss.00")))
</f>
        <v/>
      </c>
      <c r="N350" s="14">
        <f>IFERROR(__xludf.DUMMYFUNCTION("LET(
  gen,$A350, ev,$B350, t,$M350,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350" s="65" t="n"/>
      <c r="P350" s="69">
        <f>A350</f>
        <v/>
      </c>
      <c r="Q350" s="65">
        <f>B350</f>
        <v/>
      </c>
      <c r="R350" s="69">
        <f>C350</f>
        <v/>
      </c>
      <c r="S350" s="58">
        <f>M350</f>
        <v/>
      </c>
      <c r="T350" s="69">
        <f>N350</f>
        <v/>
      </c>
      <c r="U350" s="65" t="n"/>
      <c r="V350" s="65" t="n"/>
      <c r="W350" s="65" t="n"/>
    </row>
    <row r="351">
      <c r="A351" s="17" t="inlineStr">
        <is>
          <t>M</t>
        </is>
      </c>
      <c r="B351" s="18" t="inlineStr">
        <is>
          <t>100 Back</t>
        </is>
      </c>
      <c r="C351" s="18" t="n">
        <v>17</v>
      </c>
      <c r="D351" s="18" t="n">
        <v>2</v>
      </c>
      <c r="E351" s="46" t="inlineStr">
        <is>
          <t>56.79</t>
        </is>
      </c>
      <c r="F351" s="21">
        <f>IFERROR(__xludf.DUMMYFUNCTION("IF(
  REGEXMATCH(E351, "":""),
  60*VALUE(INDEX(SPLIT(E351, "":""),1,1)) + VALUE(INDEX(SPLIT(E351, "":""),1,2)),
  VALUE(E351)
)"),56.79)</f>
        <v/>
      </c>
      <c r="G351" s="21">
        <f>F349-F350</f>
        <v/>
      </c>
      <c r="H351" s="21" t="n">
        <v>1.590000000000003</v>
      </c>
      <c r="I351" s="211">
        <f>C349</f>
        <v/>
      </c>
      <c r="J351" s="211">
        <f>C366</f>
        <v/>
      </c>
      <c r="K351" s="60">
        <f t="array" ref="K351">INDEX('Podium Target Times'!$C:$C, MATCH(A351&amp;B351, 'Podium Target Times'!$A:$A&amp;'Podium Target Times'!$B:$B, 0))
</f>
        <v/>
      </c>
      <c r="L351" s="24">
        <f>L352+G352</f>
        <v/>
      </c>
      <c r="M351" s="60">
        <f>IF(L351&lt;60, TEXT(L351,"0.00"), IF(L351&lt;600, TEXT(L351/86400,"m:ss.00"), TEXT(L351/86400,"mm:ss.00")))
</f>
        <v/>
      </c>
      <c r="N351" s="25">
        <f>IFERROR(__xludf.DUMMYFUNCTION("LET(
  gen,$A351, ev,$B351, t,$M351,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351" s="65" t="n"/>
      <c r="P351" s="69">
        <f>A352</f>
        <v/>
      </c>
      <c r="Q351" s="65">
        <f>B352</f>
        <v/>
      </c>
      <c r="R351" s="69">
        <f>C352</f>
        <v/>
      </c>
      <c r="S351" s="58">
        <f>M352</f>
        <v/>
      </c>
      <c r="T351" s="69">
        <f>N352</f>
        <v/>
      </c>
      <c r="U351" s="65" t="n"/>
      <c r="V351" s="65" t="n"/>
      <c r="W351" s="65" t="n"/>
    </row>
    <row r="352">
      <c r="A352" s="8" t="inlineStr">
        <is>
          <t>M</t>
        </is>
      </c>
      <c r="B352" s="9" t="inlineStr">
        <is>
          <t>100 Back</t>
        </is>
      </c>
      <c r="C352" s="9" t="n">
        <v>18</v>
      </c>
      <c r="D352" s="9" t="n">
        <v>1</v>
      </c>
      <c r="E352" s="41" t="inlineStr">
        <is>
          <t>55.17</t>
        </is>
      </c>
      <c r="F352" s="35">
        <f>IFERROR(__xludf.DUMMYFUNCTION("IF(
  REGEXMATCH(E352, "":""),
  60*VALUE(INDEX(SPLIT(E352, "":""),1,1)) + VALUE(INDEX(SPLIT(E352, "":""),1,2)),
  VALUE(E352)
)"),55.17)</f>
        <v/>
      </c>
      <c r="G352" s="35">
        <f>average(F350-F352,F351-F353)</f>
        <v/>
      </c>
      <c r="H352" s="35" t="n">
        <v>1.064999999999998</v>
      </c>
      <c r="I352" s="215">
        <f>C349</f>
        <v/>
      </c>
      <c r="J352" s="215">
        <f>C366</f>
        <v/>
      </c>
      <c r="K352" s="43">
        <f t="array" ref="K352">INDEX('Podium Target Times'!$C:$C, MATCH(A352&amp;B352, 'Podium Target Times'!$A:$A&amp;'Podium Target Times'!$B:$B, 0))
</f>
        <v/>
      </c>
      <c r="L352" s="12">
        <f>L355+G355</f>
        <v/>
      </c>
      <c r="M352" s="43">
        <f>IF(L352&lt;60, TEXT(L352,"0.00"), IF(L352&lt;600, TEXT(L352/86400,"m:ss.00"), TEXT(L352/86400,"mm:ss.00")))
</f>
        <v/>
      </c>
      <c r="N352" s="14">
        <f>IFERROR(__xludf.DUMMYFUNCTION("LET(
  gen,$A352, ev,$B352, t,$M352,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352" s="65" t="n"/>
      <c r="P352" s="69">
        <f>A355</f>
        <v/>
      </c>
      <c r="Q352" s="65">
        <f>B355</f>
        <v/>
      </c>
      <c r="R352" s="69">
        <f>C355</f>
        <v/>
      </c>
      <c r="S352" s="58">
        <f>M355</f>
        <v/>
      </c>
      <c r="T352" s="69">
        <f>N355</f>
        <v/>
      </c>
      <c r="U352" s="65" t="n"/>
      <c r="V352" s="65" t="n"/>
      <c r="W352" s="65" t="n"/>
    </row>
    <row r="353">
      <c r="A353" s="17" t="inlineStr">
        <is>
          <t>M</t>
        </is>
      </c>
      <c r="B353" s="18" t="inlineStr">
        <is>
          <t>100 Back</t>
        </is>
      </c>
      <c r="C353" s="18" t="n">
        <v>18</v>
      </c>
      <c r="D353" s="18" t="n">
        <v>2</v>
      </c>
      <c r="E353" s="46" t="inlineStr">
        <is>
          <t>55.72</t>
        </is>
      </c>
      <c r="F353" s="21">
        <f>IFERROR(__xludf.DUMMYFUNCTION("IF(
  REGEXMATCH(E353, "":""),
  60*VALUE(INDEX(SPLIT(E353, "":""),1,1)) + VALUE(INDEX(SPLIT(E353, "":""),1,2)),
  VALUE(E353)
)"),55.72)</f>
        <v/>
      </c>
      <c r="G353" s="21">
        <f>average(F350-F352,F351-F353)</f>
        <v/>
      </c>
      <c r="H353" s="21" t="n">
        <v>1.064999999999998</v>
      </c>
      <c r="I353" s="211">
        <f>C349</f>
        <v/>
      </c>
      <c r="J353" s="211">
        <f>C366</f>
        <v/>
      </c>
      <c r="K353" s="60">
        <f t="array" ref="K353">INDEX('Podium Target Times'!$C:$C, MATCH(A353&amp;B353, 'Podium Target Times'!$A:$A&amp;'Podium Target Times'!$B:$B, 0))
</f>
        <v/>
      </c>
      <c r="L353" s="24">
        <f>L355+G355</f>
        <v/>
      </c>
      <c r="M353" s="60">
        <f>IF(L353&lt;60, TEXT(L353,"0.00"), IF(L353&lt;600, TEXT(L353/86400,"m:ss.00"), TEXT(L353/86400,"mm:ss.00")))
</f>
        <v/>
      </c>
      <c r="N353" s="25">
        <f>IFERROR(__xludf.DUMMYFUNCTION("LET(
  gen,$A353, ev,$B353, t,$M353,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353" s="65" t="n"/>
      <c r="P353" s="69">
        <f>A358</f>
        <v/>
      </c>
      <c r="Q353" s="65">
        <f>B358</f>
        <v/>
      </c>
      <c r="R353" s="69">
        <f>C358</f>
        <v/>
      </c>
      <c r="S353" s="58">
        <f>M358</f>
        <v/>
      </c>
      <c r="T353" s="69">
        <f>N358</f>
        <v/>
      </c>
      <c r="U353" s="65" t="n"/>
      <c r="V353" s="65" t="n"/>
      <c r="W353" s="65" t="n"/>
    </row>
    <row r="354">
      <c r="A354" s="8" t="inlineStr">
        <is>
          <t>M</t>
        </is>
      </c>
      <c r="B354" s="9" t="inlineStr">
        <is>
          <t>100 Back</t>
        </is>
      </c>
      <c r="C354" s="9" t="n">
        <v>18</v>
      </c>
      <c r="D354" s="9" t="n">
        <v>3</v>
      </c>
      <c r="E354" s="41" t="inlineStr">
        <is>
          <t>55.86</t>
        </is>
      </c>
      <c r="F354" s="35">
        <f>IFERROR(__xludf.DUMMYFUNCTION("IF(
  REGEXMATCH(E354, "":""),
  60*VALUE(INDEX(SPLIT(E354, "":""),1,1)) + VALUE(INDEX(SPLIT(E354, "":""),1,2)),
  VALUE(E354)
)"),55.86)</f>
        <v/>
      </c>
      <c r="G354" s="35">
        <f>average(F350-F352,F351-F353)</f>
        <v/>
      </c>
      <c r="H354" s="35" t="n">
        <v>1.064999999999998</v>
      </c>
      <c r="I354" s="215">
        <f>C349</f>
        <v/>
      </c>
      <c r="J354" s="215">
        <f>C366</f>
        <v/>
      </c>
      <c r="K354" s="43">
        <f t="array" ref="K354">INDEX('Podium Target Times'!$C:$C, MATCH(A354&amp;B354, 'Podium Target Times'!$A:$A&amp;'Podium Target Times'!$B:$B, 0))
</f>
        <v/>
      </c>
      <c r="L354" s="12">
        <f>L355+G355</f>
        <v/>
      </c>
      <c r="M354" s="43">
        <f>IF(L354&lt;60, TEXT(L354,"0.00"), IF(L354&lt;600, TEXT(L354/86400,"m:ss.00"), TEXT(L354/86400,"mm:ss.00")))
</f>
        <v/>
      </c>
      <c r="N354" s="14">
        <f>IFERROR(__xludf.DUMMYFUNCTION("LET(
  gen,$A354, ev,$B354, t,$M354,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354" s="65" t="n"/>
      <c r="P354" s="69">
        <f>A361</f>
        <v/>
      </c>
      <c r="Q354" s="65">
        <f>B361</f>
        <v/>
      </c>
      <c r="R354" s="69">
        <f>C361</f>
        <v/>
      </c>
      <c r="S354" s="58">
        <f>M361</f>
        <v/>
      </c>
      <c r="T354" s="69">
        <f>N361</f>
        <v/>
      </c>
      <c r="U354" s="65" t="n"/>
      <c r="V354" s="65" t="n"/>
      <c r="W354" s="65" t="n"/>
    </row>
    <row r="355">
      <c r="A355" s="17" t="inlineStr">
        <is>
          <t>M</t>
        </is>
      </c>
      <c r="B355" s="18" t="inlineStr">
        <is>
          <t>100 Back</t>
        </is>
      </c>
      <c r="C355" s="18" t="n">
        <v>19</v>
      </c>
      <c r="D355" s="18" t="n">
        <v>1</v>
      </c>
      <c r="E355" s="46" t="inlineStr">
        <is>
          <t>54.43</t>
        </is>
      </c>
      <c r="F355" s="21">
        <f>IFERROR(__xludf.DUMMYFUNCTION("IF(
  REGEXMATCH(E355, "":""),
  60*VALUE(INDEX(SPLIT(E355, "":""),1,1)) + VALUE(INDEX(SPLIT(E355, "":""),1,2)),
  VALUE(E355)
)"),54.43)</f>
        <v/>
      </c>
      <c r="G355" s="21">
        <f>average(F352-F355,F353-F356,F354-F357)</f>
        <v/>
      </c>
      <c r="H355" s="21" t="n">
        <v>0.740000000000002</v>
      </c>
      <c r="I355" s="211">
        <f>C349</f>
        <v/>
      </c>
      <c r="J355" s="211">
        <f>C366</f>
        <v/>
      </c>
      <c r="K355" s="60">
        <f t="array" ref="K355">INDEX('Podium Target Times'!$C:$C, MATCH(A355&amp;B355, 'Podium Target Times'!$A:$A&amp;'Podium Target Times'!$B:$B, 0))
</f>
        <v/>
      </c>
      <c r="L355" s="24">
        <f>L358+G358</f>
        <v/>
      </c>
      <c r="M355" s="60">
        <f>IF(L355&lt;60, TEXT(L355,"0.00"), IF(L355&lt;600, TEXT(L355/86400,"m:ss.00"), TEXT(L355/86400,"mm:ss.00")))
</f>
        <v/>
      </c>
      <c r="N355" s="25">
        <f>IFERROR(__xludf.DUMMYFUNCTION("LET(
  gen,$A355, ev,$B355, t,$M355,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355" s="65" t="n"/>
      <c r="P355" s="69">
        <f>A363</f>
        <v/>
      </c>
      <c r="Q355" s="65">
        <f>B363</f>
        <v/>
      </c>
      <c r="R355" s="69">
        <f>C363</f>
        <v/>
      </c>
      <c r="S355" s="58">
        <f>M363</f>
        <v/>
      </c>
      <c r="T355" s="69">
        <f>N363</f>
        <v/>
      </c>
      <c r="U355" s="65" t="n"/>
      <c r="V355" s="65" t="n"/>
      <c r="W355" s="65" t="n"/>
    </row>
    <row r="356">
      <c r="A356" s="8" t="inlineStr">
        <is>
          <t>M</t>
        </is>
      </c>
      <c r="B356" s="9" t="inlineStr">
        <is>
          <t>100 Back</t>
        </is>
      </c>
      <c r="C356" s="9" t="n">
        <v>19</v>
      </c>
      <c r="D356" s="9" t="n">
        <v>2</v>
      </c>
      <c r="E356" s="41" t="inlineStr">
        <is>
          <t>54.98</t>
        </is>
      </c>
      <c r="F356" s="35">
        <f>IFERROR(__xludf.DUMMYFUNCTION("IF(
  REGEXMATCH(E356, "":""),
  60*VALUE(INDEX(SPLIT(E356, "":""),1,1)) + VALUE(INDEX(SPLIT(E356, "":""),1,2)),
  VALUE(E356)
)"),54.98)</f>
        <v/>
      </c>
      <c r="G356" s="35">
        <f>average(F352-F355,F353-F356,F354-F357)</f>
        <v/>
      </c>
      <c r="H356" s="35" t="n">
        <v>0.740000000000002</v>
      </c>
      <c r="I356" s="215">
        <f>C349</f>
        <v/>
      </c>
      <c r="J356" s="215">
        <f>C366</f>
        <v/>
      </c>
      <c r="K356" s="43">
        <f t="array" ref="K356">INDEX('Podium Target Times'!$C:$C, MATCH(A356&amp;B356, 'Podium Target Times'!$A:$A&amp;'Podium Target Times'!$B:$B, 0))
</f>
        <v/>
      </c>
      <c r="L356" s="12">
        <f>L358+G358</f>
        <v/>
      </c>
      <c r="M356" s="43">
        <f>IF(L356&lt;60, TEXT(L356,"0.00"), IF(L356&lt;600, TEXT(L356/86400,"m:ss.00"), TEXT(L356/86400,"mm:ss.00")))
</f>
        <v/>
      </c>
      <c r="N356" s="14">
        <f>IFERROR(__xludf.DUMMYFUNCTION("LET(
  gen,$A356, ev,$B356, t,$M356,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356" s="65" t="n"/>
      <c r="P356" s="69">
        <f>A365</f>
        <v/>
      </c>
      <c r="Q356" s="65">
        <f>B365</f>
        <v/>
      </c>
      <c r="R356" s="69">
        <f>C365</f>
        <v/>
      </c>
      <c r="S356" s="58">
        <f>M365</f>
        <v/>
      </c>
      <c r="T356" s="69">
        <f>N365</f>
        <v/>
      </c>
      <c r="U356" s="65" t="n"/>
      <c r="V356" s="65" t="n"/>
      <c r="W356" s="65" t="n"/>
    </row>
    <row r="357">
      <c r="A357" s="17" t="inlineStr">
        <is>
          <t>M</t>
        </is>
      </c>
      <c r="B357" s="18" t="inlineStr">
        <is>
          <t>100 Back</t>
        </is>
      </c>
      <c r="C357" s="18" t="n">
        <v>19</v>
      </c>
      <c r="D357" s="18" t="n">
        <v>3</v>
      </c>
      <c r="E357" s="46" t="inlineStr">
        <is>
          <t>55.12</t>
        </is>
      </c>
      <c r="F357" s="21">
        <f>IFERROR(__xludf.DUMMYFUNCTION("IF(
  REGEXMATCH(E357, "":""),
  60*VALUE(INDEX(SPLIT(E357, "":""),1,1)) + VALUE(INDEX(SPLIT(E357, "":""),1,2)),
  VALUE(E357)
)"),55.12)</f>
        <v/>
      </c>
      <c r="G357" s="21">
        <f>average(F352-F355,F353-F356,F354-F357)</f>
        <v/>
      </c>
      <c r="H357" s="21" t="n">
        <v>0.740000000000002</v>
      </c>
      <c r="I357" s="211">
        <f>C349</f>
        <v/>
      </c>
      <c r="J357" s="211">
        <f>C366</f>
        <v/>
      </c>
      <c r="K357" s="60">
        <f t="array" ref="K357">INDEX('Podium Target Times'!$C:$C, MATCH(A357&amp;B357, 'Podium Target Times'!$A:$A&amp;'Podium Target Times'!$B:$B, 0))
</f>
        <v/>
      </c>
      <c r="L357" s="24">
        <f>L358+G358</f>
        <v/>
      </c>
      <c r="M357" s="60">
        <f>IF(L357&lt;60, TEXT(L357,"0.00"), IF(L357&lt;600, TEXT(L357/86400,"m:ss.00"), TEXT(L357/86400,"mm:ss.00")))
</f>
        <v/>
      </c>
      <c r="N357" s="25">
        <f>IFERROR(__xludf.DUMMYFUNCTION("LET(
  gen,$A357, ev,$B357, t,$M357,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357" s="65" t="n"/>
      <c r="P357" s="69">
        <f>A366</f>
        <v/>
      </c>
      <c r="Q357" s="65">
        <f>B366</f>
        <v/>
      </c>
      <c r="R357" s="69">
        <f>C366</f>
        <v/>
      </c>
      <c r="S357" s="58">
        <f>M366</f>
        <v/>
      </c>
      <c r="T357" s="69">
        <f>N366</f>
        <v/>
      </c>
      <c r="U357" s="65" t="n">
        <v>782</v>
      </c>
      <c r="V357" s="65" t="n"/>
      <c r="W357" s="65" t="n"/>
    </row>
    <row r="358">
      <c r="A358" s="8" t="inlineStr">
        <is>
          <t>M</t>
        </is>
      </c>
      <c r="B358" s="9" t="inlineStr">
        <is>
          <t>100 Back</t>
        </is>
      </c>
      <c r="C358" s="9" t="n">
        <v>20</v>
      </c>
      <c r="D358" s="9" t="n">
        <v>1</v>
      </c>
      <c r="E358" s="41" t="inlineStr">
        <is>
          <t>53.94</t>
        </is>
      </c>
      <c r="F358" s="35">
        <f>IFERROR(__xludf.DUMMYFUNCTION("IF(
  REGEXMATCH(E358, "":""),
  60*VALUE(INDEX(SPLIT(E358, "":""),1,1)) + VALUE(INDEX(SPLIT(E358, "":""),1,2)),
  VALUE(E358)
)"),53.94)</f>
        <v/>
      </c>
      <c r="G358" s="35">
        <f>average(F355-F358,F356-F359,F357-F360)</f>
        <v/>
      </c>
      <c r="H358" s="35" t="n">
        <v>0.4966666666666673</v>
      </c>
      <c r="I358" s="215">
        <f>C349</f>
        <v/>
      </c>
      <c r="J358" s="215">
        <f>C366</f>
        <v/>
      </c>
      <c r="K358" s="43">
        <f t="array" ref="K358">INDEX('Podium Target Times'!$C:$C, MATCH(A358&amp;B358, 'Podium Target Times'!$A:$A&amp;'Podium Target Times'!$B:$B, 0))
</f>
        <v/>
      </c>
      <c r="L358" s="12">
        <f>L361+G361</f>
        <v/>
      </c>
      <c r="M358" s="43">
        <f>IF(L358&lt;60, TEXT(L358,"0.00"), IF(L358&lt;600, TEXT(L358/86400,"m:ss.00"), TEXT(L358/86400,"mm:ss.00")))
</f>
        <v/>
      </c>
      <c r="N358" s="14">
        <f>IFERROR(__xludf.DUMMYFUNCTION("LET(
  gen,$A358, ev,$B358, t,$M358,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
      </c>
      <c r="O358" s="65" t="n"/>
      <c r="P358" s="69">
        <f>P357</f>
        <v/>
      </c>
      <c r="Q358" s="65">
        <f>Q357</f>
        <v/>
      </c>
      <c r="R358" s="69">
        <f>R357+1</f>
        <v/>
      </c>
      <c r="S358" s="58">
        <f>M367</f>
        <v/>
      </c>
      <c r="T358" s="69">
        <f>N367</f>
        <v/>
      </c>
      <c r="U358" s="65" t="n"/>
      <c r="V358" s="65" t="n"/>
      <c r="W358" s="65" t="n"/>
    </row>
    <row r="359">
      <c r="A359" s="17" t="inlineStr">
        <is>
          <t>M</t>
        </is>
      </c>
      <c r="B359" s="18" t="inlineStr">
        <is>
          <t>100 Back</t>
        </is>
      </c>
      <c r="C359" s="18" t="n">
        <v>20</v>
      </c>
      <c r="D359" s="18" t="n">
        <v>2</v>
      </c>
      <c r="E359" s="46" t="inlineStr">
        <is>
          <t>54.48</t>
        </is>
      </c>
      <c r="F359" s="21">
        <f>IFERROR(__xludf.DUMMYFUNCTION("IF(
  REGEXMATCH(E359, "":""),
  60*VALUE(INDEX(SPLIT(E359, "":""),1,1)) + VALUE(INDEX(SPLIT(E359, "":""),1,2)),
  VALUE(E359)
)"),54.48)</f>
        <v/>
      </c>
      <c r="G359" s="21">
        <f>average(F355-F358,F356-F359,F357-F360)</f>
        <v/>
      </c>
      <c r="H359" s="21" t="n">
        <v>0.4966666666666673</v>
      </c>
      <c r="I359" s="211">
        <f>C349</f>
        <v/>
      </c>
      <c r="J359" s="211">
        <f>C366</f>
        <v/>
      </c>
      <c r="K359" s="60">
        <f t="array" ref="K359">INDEX('Podium Target Times'!$C:$C, MATCH(A359&amp;B359, 'Podium Target Times'!$A:$A&amp;'Podium Target Times'!$B:$B, 0))
</f>
        <v/>
      </c>
      <c r="L359" s="24">
        <f>L361+G361</f>
        <v/>
      </c>
      <c r="M359" s="60">
        <f>IF(L359&lt;60, TEXT(L359,"0.00"), IF(L359&lt;600, TEXT(L359/86400,"m:ss.00"), TEXT(L359/86400,"mm:ss.00")))
</f>
        <v/>
      </c>
      <c r="N359" s="25">
        <f>IFERROR(__xludf.DUMMYFUNCTION("LET(
  gen,$A359, ev,$B359, t,$M359,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
      </c>
      <c r="O359" s="65" t="n"/>
      <c r="P359" s="69" t="n"/>
      <c r="Q359" s="65" t="n"/>
      <c r="R359" s="69" t="n"/>
      <c r="S359" s="58" t="n"/>
      <c r="T359" s="69" t="n"/>
      <c r="U359" s="65" t="n"/>
      <c r="V359" s="65" t="n"/>
      <c r="W359" s="65" t="n"/>
    </row>
    <row r="360">
      <c r="A360" s="8" t="inlineStr">
        <is>
          <t>M</t>
        </is>
      </c>
      <c r="B360" s="9" t="inlineStr">
        <is>
          <t>100 Back</t>
        </is>
      </c>
      <c r="C360" s="9" t="n">
        <v>20</v>
      </c>
      <c r="D360" s="9" t="n">
        <v>3</v>
      </c>
      <c r="E360" s="41" t="inlineStr">
        <is>
          <t>54.62</t>
        </is>
      </c>
      <c r="F360" s="35">
        <f>IFERROR(__xludf.DUMMYFUNCTION("IF(
  REGEXMATCH(E360, "":""),
  60*VALUE(INDEX(SPLIT(E360, "":""),1,1)) + VALUE(INDEX(SPLIT(E360, "":""),1,2)),
  VALUE(E360)
)"),54.62)</f>
        <v/>
      </c>
      <c r="G360" s="35">
        <f>average(F355-F358,F356-F359,F357-F360)</f>
        <v/>
      </c>
      <c r="H360" s="35" t="n">
        <v>0.4966666666666673</v>
      </c>
      <c r="I360" s="215">
        <f>C349</f>
        <v/>
      </c>
      <c r="J360" s="215">
        <f>C366</f>
        <v/>
      </c>
      <c r="K360" s="43">
        <f t="array" ref="K360">INDEX('Podium Target Times'!$C:$C, MATCH(A360&amp;B360, 'Podium Target Times'!$A:$A&amp;'Podium Target Times'!$B:$B, 0))
</f>
        <v/>
      </c>
      <c r="L360" s="12">
        <f>L361+G361</f>
        <v/>
      </c>
      <c r="M360" s="43">
        <f>IF(L360&lt;60, TEXT(L360,"0.00"), IF(L360&lt;600, TEXT(L360/86400,"m:ss.00"), TEXT(L360/86400,"mm:ss.00")))
</f>
        <v/>
      </c>
      <c r="N360" s="14">
        <f>IFERROR(__xludf.DUMMYFUNCTION("LET(
  gen,$A360, ev,$B360, t,$M360,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)"),753.0)</f>
        <v/>
      </c>
      <c r="O360" s="65" t="n"/>
      <c r="P360" s="69" t="n"/>
      <c r="Q360" s="65" t="n"/>
      <c r="R360" s="69" t="n"/>
      <c r="S360" s="58" t="n"/>
      <c r="T360" s="69" t="n"/>
      <c r="U360" s="65" t="n"/>
      <c r="V360" s="65" t="n"/>
      <c r="W360" s="65" t="n"/>
    </row>
    <row r="361">
      <c r="A361" s="17" t="inlineStr">
        <is>
          <t>M</t>
        </is>
      </c>
      <c r="B361" s="18" t="inlineStr">
        <is>
          <t>100 Back</t>
        </is>
      </c>
      <c r="C361" s="18" t="n">
        <v>21</v>
      </c>
      <c r="D361" s="18" t="n">
        <v>2</v>
      </c>
      <c r="E361" s="46" t="inlineStr">
        <is>
          <t>54.15</t>
        </is>
      </c>
      <c r="F361" s="21">
        <f>IFERROR(__xludf.DUMMYFUNCTION("IF(
  REGEXMATCH(E361, "":""),
  60*VALUE(INDEX(SPLIT(E361, "":""),1,1)) + VALUE(INDEX(SPLIT(E361, "":""),1,2)),
  VALUE(E361)
)"),54.15)</f>
        <v/>
      </c>
      <c r="G361" s="21">
        <f>average(F359-F361,F360-F362)</f>
        <v/>
      </c>
      <c r="H361" s="21" t="n">
        <v>0.3349999999999973</v>
      </c>
      <c r="I361" s="211">
        <f>C349</f>
        <v/>
      </c>
      <c r="J361" s="211">
        <f>C366</f>
        <v/>
      </c>
      <c r="K361" s="60">
        <f t="array" ref="K361">INDEX('Podium Target Times'!$C:$C, MATCH(A361&amp;B361, 'Podium Target Times'!$A:$A&amp;'Podium Target Times'!$B:$B, 0))
</f>
        <v/>
      </c>
      <c r="L361" s="24">
        <f>L363+G363</f>
        <v/>
      </c>
      <c r="M361" s="60">
        <f>IF(L361&lt;60, TEXT(L361,"0.00"), IF(L361&lt;600, TEXT(L361/86400,"m:ss.00"), TEXT(L361/86400,"mm:ss.00")))
</f>
        <v/>
      </c>
      <c r="N361" s="25">
        <f>IFERROR(__xludf.DUMMYFUNCTION("LET(
  gen,$A361, ev,$B361, t,$M361,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O361" s="65" t="n"/>
      <c r="P361" s="69" t="n"/>
      <c r="Q361" s="65" t="n"/>
      <c r="R361" s="69" t="n"/>
      <c r="S361" s="58" t="n"/>
      <c r="T361" s="69" t="n"/>
      <c r="U361" s="65" t="n"/>
      <c r="V361" s="65" t="n"/>
      <c r="W361" s="65" t="n"/>
    </row>
    <row r="362">
      <c r="A362" s="8" t="inlineStr">
        <is>
          <t>M</t>
        </is>
      </c>
      <c r="B362" s="9" t="inlineStr">
        <is>
          <t>100 Back</t>
        </is>
      </c>
      <c r="C362" s="9" t="n">
        <v>21</v>
      </c>
      <c r="D362" s="9" t="n">
        <v>3</v>
      </c>
      <c r="E362" s="41" t="inlineStr">
        <is>
          <t>54.28</t>
        </is>
      </c>
      <c r="F362" s="35">
        <f>IFERROR(__xludf.DUMMYFUNCTION("IF(
  REGEXMATCH(E362, "":""),
  60*VALUE(INDEX(SPLIT(E362, "":""),1,1)) + VALUE(INDEX(SPLIT(E362, "":""),1,2)),
  VALUE(E362)
)"),54.28)</f>
        <v/>
      </c>
      <c r="G362" s="35">
        <f>average(F359-F361,F360-F362)</f>
        <v/>
      </c>
      <c r="H362" s="35" t="n">
        <v>0.3349999999999973</v>
      </c>
      <c r="I362" s="215">
        <f>C349</f>
        <v/>
      </c>
      <c r="J362" s="215">
        <f>C366</f>
        <v/>
      </c>
      <c r="K362" s="43">
        <f t="array" ref="K362">INDEX('Podium Target Times'!$C:$C, MATCH(A362&amp;B362, 'Podium Target Times'!$A:$A&amp;'Podium Target Times'!$B:$B, 0))
</f>
        <v/>
      </c>
      <c r="L362" s="12">
        <f>L363+G363</f>
        <v/>
      </c>
      <c r="M362" s="43">
        <f>IF(L362&lt;60, TEXT(L362,"0.00"), IF(L362&lt;600, TEXT(L362/86400,"m:ss.00"), TEXT(L362/86400,"mm:ss.00")))
</f>
        <v/>
      </c>
      <c r="N362" s="14">
        <f>IFERROR(__xludf.DUMMYFUNCTION("LET(
  gen,$A362, ev,$B362, t,$M362,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O362" s="65" t="n"/>
      <c r="P362" s="69" t="n"/>
      <c r="Q362" s="65" t="n"/>
      <c r="R362" s="69" t="n"/>
      <c r="S362" s="58" t="n"/>
      <c r="T362" s="69" t="n"/>
      <c r="U362" s="65" t="n"/>
      <c r="V362" s="65" t="n"/>
      <c r="W362" s="65" t="n"/>
    </row>
    <row r="363">
      <c r="A363" s="17" t="inlineStr">
        <is>
          <t>M</t>
        </is>
      </c>
      <c r="B363" s="18" t="inlineStr">
        <is>
          <t>100 Back</t>
        </is>
      </c>
      <c r="C363" s="18" t="n">
        <v>22</v>
      </c>
      <c r="D363" s="18" t="n">
        <v>2</v>
      </c>
      <c r="E363" s="46" t="inlineStr">
        <is>
          <t>53.94</t>
        </is>
      </c>
      <c r="F363" s="21">
        <f>IFERROR(__xludf.DUMMYFUNCTION("IF(
  REGEXMATCH(E363, "":""),
  60*VALUE(INDEX(SPLIT(E363, "":""),1,1)) + VALUE(INDEX(SPLIT(E363, "":""),1,2)),
  VALUE(E363)
)"),53.94)</f>
        <v/>
      </c>
      <c r="G363" s="21">
        <f>average(F361-F363,F362-F364)</f>
        <v/>
      </c>
      <c r="H363" s="21" t="n">
        <v>0.2050000000000018</v>
      </c>
      <c r="I363" s="211">
        <f>C349</f>
        <v/>
      </c>
      <c r="J363" s="211">
        <f>C366</f>
        <v/>
      </c>
      <c r="K363" s="60">
        <f t="array" ref="K363">INDEX('Podium Target Times'!$C:$C, MATCH(A363&amp;B363, 'Podium Target Times'!$A:$A&amp;'Podium Target Times'!$B:$B, 0))
</f>
        <v/>
      </c>
      <c r="L363" s="24">
        <f>L365+G365</f>
        <v/>
      </c>
      <c r="M363" s="60">
        <f>IF(L363&lt;60, TEXT(L363,"0.00"), IF(L363&lt;600, TEXT(L363/86400,"m:ss.00"), TEXT(L363/86400,"mm:ss.00")))
</f>
        <v/>
      </c>
      <c r="N363" s="25">
        <f>IFERROR(__xludf.DUMMYFUNCTION("LET(
  gen,$A363, ev,$B363, t,$M363,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363" s="65" t="n"/>
      <c r="P363" s="69" t="n"/>
      <c r="Q363" s="65" t="n"/>
      <c r="R363" s="69" t="n"/>
      <c r="S363" s="58" t="n"/>
      <c r="T363" s="69" t="n"/>
      <c r="U363" s="65" t="n"/>
      <c r="V363" s="65" t="n"/>
      <c r="W363" s="65" t="n"/>
    </row>
    <row r="364">
      <c r="A364" s="8" t="inlineStr">
        <is>
          <t>M</t>
        </is>
      </c>
      <c r="B364" s="9" t="inlineStr">
        <is>
          <t>100 Back</t>
        </is>
      </c>
      <c r="C364" s="9" t="n">
        <v>22</v>
      </c>
      <c r="D364" s="9" t="n">
        <v>3</v>
      </c>
      <c r="E364" s="41" t="inlineStr">
        <is>
          <t>54.08</t>
        </is>
      </c>
      <c r="F364" s="35">
        <f>IFERROR(__xludf.DUMMYFUNCTION("IF(
  REGEXMATCH(E364, "":""),
  60*VALUE(INDEX(SPLIT(E364, "":""),1,1)) + VALUE(INDEX(SPLIT(E364, "":""),1,2)),
  VALUE(E364)
)"),54.08)</f>
        <v/>
      </c>
      <c r="G364" s="35">
        <f>average(F361-F363,F362-F364)</f>
        <v/>
      </c>
      <c r="H364" s="35" t="n">
        <v>0.2050000000000018</v>
      </c>
      <c r="I364" s="215">
        <f>C349</f>
        <v/>
      </c>
      <c r="J364" s="215">
        <f>C366</f>
        <v/>
      </c>
      <c r="K364" s="43">
        <f t="array" ref="K364">INDEX('Podium Target Times'!$C:$C, MATCH(A364&amp;B364, 'Podium Target Times'!$A:$A&amp;'Podium Target Times'!$B:$B, 0))
</f>
        <v/>
      </c>
      <c r="L364" s="12">
        <f>L365+G365</f>
        <v/>
      </c>
      <c r="M364" s="43">
        <f>IF(L364&lt;60, TEXT(L364,"0.00"), IF(L364&lt;600, TEXT(L364/86400,"m:ss.00"), TEXT(L364/86400,"mm:ss.00")))
</f>
        <v/>
      </c>
      <c r="N364" s="14">
        <f>IFERROR(__xludf.DUMMYFUNCTION("LET(
  gen,$A364, ev,$B364, t,$M364,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364" s="65" t="n"/>
      <c r="P364" s="69" t="n"/>
      <c r="Q364" s="65" t="n"/>
      <c r="R364" s="69" t="n"/>
      <c r="S364" s="58" t="n"/>
      <c r="T364" s="69" t="n"/>
      <c r="U364" s="65" t="n"/>
      <c r="V364" s="65" t="n"/>
      <c r="W364" s="65" t="n"/>
    </row>
    <row r="365">
      <c r="A365" s="17" t="inlineStr">
        <is>
          <t>M</t>
        </is>
      </c>
      <c r="B365" s="18" t="inlineStr">
        <is>
          <t>100 Back</t>
        </is>
      </c>
      <c r="C365" s="18" t="n">
        <v>23</v>
      </c>
      <c r="D365" s="18" t="n">
        <v>3</v>
      </c>
      <c r="E365" s="46" t="inlineStr">
        <is>
          <t>53.97</t>
        </is>
      </c>
      <c r="F365" s="21">
        <f>IFERROR(__xludf.DUMMYFUNCTION("IF(
  REGEXMATCH(E365, "":""),
  60*VALUE(INDEX(SPLIT(E365, "":""),1,1)) + VALUE(INDEX(SPLIT(E365, "":""),1,2)),
  VALUE(E365)
)"),53.97)</f>
        <v/>
      </c>
      <c r="G365" s="21">
        <f>F364-F365</f>
        <v/>
      </c>
      <c r="H365" s="21" t="n">
        <v>0.1099999999999994</v>
      </c>
      <c r="I365" s="211">
        <f>C349</f>
        <v/>
      </c>
      <c r="J365" s="211">
        <f>C366</f>
        <v/>
      </c>
      <c r="K365" s="60">
        <f t="array" ref="K365">INDEX('Podium Target Times'!$C:$C, MATCH(A365&amp;B365, 'Podium Target Times'!$A:$A&amp;'Podium Target Times'!$B:$B, 0))
</f>
        <v/>
      </c>
      <c r="L365" s="24">
        <f>L366+G366</f>
        <v/>
      </c>
      <c r="M365" s="60">
        <f>IF(L365&lt;60, TEXT(L365,"0.00"), IF(L365&lt;600, TEXT(L365/86400,"m:ss.00"), TEXT(L365/86400,"mm:ss.00")))
</f>
        <v/>
      </c>
      <c r="N365" s="25">
        <f>IFERROR(__xludf.DUMMYFUNCTION("LET(
  gen,$A365, ev,$B365, t,$M365,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
      </c>
      <c r="O365" s="65" t="n"/>
      <c r="P365" s="69" t="n"/>
      <c r="Q365" s="65" t="n"/>
      <c r="R365" s="69" t="n"/>
      <c r="S365" s="58" t="n"/>
      <c r="T365" s="69" t="n"/>
      <c r="U365" s="65" t="n"/>
      <c r="V365" s="65" t="n"/>
      <c r="W365" s="65" t="n"/>
    </row>
    <row r="366">
      <c r="A366" s="8" t="inlineStr">
        <is>
          <t>M</t>
        </is>
      </c>
      <c r="B366" s="9" t="inlineStr">
        <is>
          <t>100 Back</t>
        </is>
      </c>
      <c r="C366" s="9" t="n">
        <v>24</v>
      </c>
      <c r="D366" s="9" t="n">
        <v>3</v>
      </c>
      <c r="E366" s="41" t="inlineStr">
        <is>
          <t>53.94</t>
        </is>
      </c>
      <c r="F366" s="35">
        <f>IFERROR(__xludf.DUMMYFUNCTION("IF(
  REGEXMATCH(E366, "":""),
  60*VALUE(INDEX(SPLIT(E366, "":""),1,1)) + VALUE(INDEX(SPLIT(E366, "":""),1,2)),
  VALUE(E366)
)"),53.94)</f>
        <v/>
      </c>
      <c r="G366" s="35">
        <f>F365-F366</f>
        <v/>
      </c>
      <c r="H366" s="35" t="n">
        <v>0.03000000000000114</v>
      </c>
      <c r="I366" s="215">
        <f>C349</f>
        <v/>
      </c>
      <c r="J366" s="215">
        <f>C366</f>
        <v/>
      </c>
      <c r="K366" s="43">
        <f t="array" ref="K366">INDEX('Podium Target Times'!$C:$C, MATCH(A366&amp;B366, 'Podium Target Times'!$A:$A&amp;'Podium Target Times'!$B:$B, 0))
</f>
        <v/>
      </c>
      <c r="L366" s="35">
        <f>G366+L367</f>
        <v/>
      </c>
      <c r="M366" s="43">
        <f>IF(L366&lt;60, TEXT(L366,"0.00"), IF(L366&lt;600, TEXT(L366/86400,"m:ss.00"), TEXT(L366/86400,"mm:ss.00")))
</f>
        <v/>
      </c>
      <c r="N366" s="14">
        <f>IFERROR(__xludf.DUMMYFUNCTION("LET(
  gen,$A366, ev,$B366, t,$M366,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O366" s="65" t="n"/>
      <c r="P366" s="69" t="n"/>
      <c r="Q366" s="65" t="n"/>
      <c r="R366" s="69" t="n"/>
      <c r="S366" s="58" t="n"/>
      <c r="T366" s="69" t="n"/>
      <c r="U366" s="65" t="n"/>
      <c r="V366" s="65" t="n"/>
      <c r="W366" s="65" t="n"/>
    </row>
    <row r="367">
      <c r="A367" s="17" t="inlineStr">
        <is>
          <t>M</t>
        </is>
      </c>
      <c r="B367" s="18" t="inlineStr">
        <is>
          <t>100 Back</t>
        </is>
      </c>
      <c r="C367" s="18" t="n">
        <v>25</v>
      </c>
      <c r="D367" s="18" t="n"/>
      <c r="E367" s="46" t="n"/>
      <c r="F367" s="21">
        <f>IFERROR(__xludf.DUMMYFUNCTION("IF(
  REGEXMATCH(E367, "":""),
  60*VALUE(INDEX(SPLIT(E367, "":""),1,1)) + VALUE(INDEX(SPLIT(E367, "":""),1,2)),
  VALUE(E367)
)"),0.0)</f>
        <v/>
      </c>
      <c r="G367" s="24" t="n"/>
      <c r="H367" s="24" t="n"/>
      <c r="I367" s="60">
        <f>C349</f>
        <v/>
      </c>
      <c r="J367" s="60">
        <f>C366</f>
        <v/>
      </c>
      <c r="K367" s="60">
        <f t="array" ref="K367">INDEX('Podium Target Times'!$C:$C, MATCH(A367&amp;B367, 'Podium Target Times'!$A:$A&amp;'Podium Target Times'!$B:$B, 0))
</f>
        <v/>
      </c>
      <c r="L367" s="60">
        <f>K367</f>
        <v/>
      </c>
      <c r="M367" s="60">
        <f>IF(L367&lt;60, TEXT(L367,"0.00"), IF(L367&lt;600, TEXT(L367/86400,"m:ss.00"), TEXT(L367/86400,"mm:ss.00")))
</f>
        <v/>
      </c>
      <c r="N367" s="25">
        <f>IFERROR(__xludf.DUMMYFUNCTION("LET(
  gen,$A367, ev,$B367, t,$M367,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O367" s="65" t="n"/>
      <c r="P367" s="69" t="n"/>
      <c r="Q367" s="65" t="n"/>
      <c r="R367" s="69" t="n"/>
      <c r="S367" s="58" t="n"/>
      <c r="T367" s="69" t="n"/>
      <c r="U367" s="65" t="n"/>
      <c r="V367" s="65" t="n"/>
      <c r="W367" s="65" t="n"/>
    </row>
    <row r="368">
      <c r="A368" s="8" t="inlineStr">
        <is>
          <t>M</t>
        </is>
      </c>
      <c r="B368" s="9" t="inlineStr">
        <is>
          <t>100 Breast</t>
        </is>
      </c>
      <c r="C368" s="9" t="n">
        <v>16</v>
      </c>
      <c r="D368" s="9" t="n">
        <v>1</v>
      </c>
      <c r="E368" s="41" t="inlineStr">
        <is>
          <t>1:04.06</t>
        </is>
      </c>
      <c r="F368" s="35">
        <f>IFERROR(__xludf.DUMMYFUNCTION("IF(
  REGEXMATCH(E368, "":""),
  60*VALUE(INDEX(SPLIT(E368, "":""),1,1)) + VALUE(INDEX(SPLIT(E368, "":""),1,2)),
  VALUE(E368)
)"),64.06)</f>
        <v/>
      </c>
      <c r="G368" s="12" t="n">
        <v>0</v>
      </c>
      <c r="H368" s="12" t="n">
        <v>0</v>
      </c>
      <c r="I368" s="43">
        <f>C368</f>
        <v/>
      </c>
      <c r="J368" s="43">
        <f>C385</f>
        <v/>
      </c>
      <c r="K368" s="43">
        <f t="array" ref="K368">INDEX('Podium Target Times'!$C:$C, MATCH(A368&amp;B368, 'Podium Target Times'!$A:$A&amp;'Podium Target Times'!$B:$B, 0))
</f>
        <v/>
      </c>
      <c r="L368" s="12">
        <f>L369+G369</f>
        <v/>
      </c>
      <c r="M368" s="43">
        <f>IF(L368&lt;60, TEXT(L368,"0.00"), IF(L368&lt;600, TEXT(L368/86400,"m:ss.00"), TEXT(L368/86400,"mm:ss.00")))
</f>
        <v/>
      </c>
      <c r="N368" s="14">
        <f>IFERROR(__xludf.DUMMYFUNCTION("LET(
  gen,$A368, ev,$B368, t,$M368,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)"),588.0)</f>
        <v/>
      </c>
      <c r="O368" s="65" t="n"/>
      <c r="P368" s="69">
        <f>A368</f>
        <v/>
      </c>
      <c r="Q368" s="65">
        <f>B368</f>
        <v/>
      </c>
      <c r="R368" s="69">
        <f>C368</f>
        <v/>
      </c>
      <c r="S368" s="58">
        <f>M368</f>
        <v/>
      </c>
      <c r="T368" s="69">
        <f>N368</f>
        <v/>
      </c>
      <c r="U368" s="65" t="n">
        <v>592</v>
      </c>
      <c r="V368" s="65" t="n"/>
      <c r="W368" s="65" t="n"/>
    </row>
    <row r="369">
      <c r="A369" s="17" t="inlineStr">
        <is>
          <t>M</t>
        </is>
      </c>
      <c r="B369" s="18" t="inlineStr">
        <is>
          <t>100 Breast</t>
        </is>
      </c>
      <c r="C369" s="18" t="n">
        <v>17</v>
      </c>
      <c r="D369" s="18" t="n">
        <v>1</v>
      </c>
      <c r="E369" s="46" t="inlineStr">
        <is>
          <t>1:02.45</t>
        </is>
      </c>
      <c r="F369" s="21">
        <f>IFERROR(__xludf.DUMMYFUNCTION("IF(
  REGEXMATCH(E369, "":""),
  60*VALUE(INDEX(SPLIT(E369, "":""),1,1)) + VALUE(INDEX(SPLIT(E369, "":""),1,2)),
  VALUE(E369)
)"),62.45)</f>
        <v/>
      </c>
      <c r="G369" s="21">
        <f>F368-F369</f>
        <v/>
      </c>
      <c r="H369" s="21" t="n">
        <v>1.609999999999999</v>
      </c>
      <c r="I369" s="211">
        <f>C368</f>
        <v/>
      </c>
      <c r="J369" s="211">
        <f>C385</f>
        <v/>
      </c>
      <c r="K369" s="60">
        <f t="array" ref="K369">INDEX('Podium Target Times'!$C:$C, MATCH(A369&amp;B369, 'Podium Target Times'!$A:$A&amp;'Podium Target Times'!$B:$B, 0))
</f>
        <v/>
      </c>
      <c r="L369" s="24">
        <f>L371+G371</f>
        <v/>
      </c>
      <c r="M369" s="60">
        <f>IF(L369&lt;60, TEXT(L369,"0.00"), IF(L369&lt;600, TEXT(L369/86400,"m:ss.00"), TEXT(L369/86400,"mm:ss.00")))
</f>
        <v/>
      </c>
      <c r="N369" s="25">
        <f>IFERROR(__xludf.DUMMYFUNCTION("LET(
  gen,$A369, ev,$B369, t,$M369,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)"),632.0)</f>
        <v/>
      </c>
      <c r="O369" s="65" t="n"/>
      <c r="P369" s="69">
        <f>A369</f>
        <v/>
      </c>
      <c r="Q369" s="65">
        <f>B369</f>
        <v/>
      </c>
      <c r="R369" s="69">
        <f>C369</f>
        <v/>
      </c>
      <c r="S369" s="58">
        <f>M369</f>
        <v/>
      </c>
      <c r="T369" s="69">
        <f>N369</f>
        <v/>
      </c>
      <c r="U369" s="65" t="n"/>
      <c r="V369" s="65" t="n"/>
      <c r="W369" s="65" t="n"/>
    </row>
    <row r="370">
      <c r="A370" s="8" t="inlineStr">
        <is>
          <t>M</t>
        </is>
      </c>
      <c r="B370" s="9" t="inlineStr">
        <is>
          <t>100 Breast</t>
        </is>
      </c>
      <c r="C370" s="9" t="n">
        <v>17</v>
      </c>
      <c r="D370" s="9" t="n">
        <v>2</v>
      </c>
      <c r="E370" s="41" t="inlineStr">
        <is>
          <t>1:03.26</t>
        </is>
      </c>
      <c r="F370" s="35">
        <f>IFERROR(__xludf.DUMMYFUNCTION("IF(
  REGEXMATCH(E370, "":""),
  60*VALUE(INDEX(SPLIT(E370, "":""),1,1)) + VALUE(INDEX(SPLIT(E370, "":""),1,2)),
  VALUE(E370)
)"),63.26)</f>
        <v/>
      </c>
      <c r="G370" s="35">
        <f>F368-F369</f>
        <v/>
      </c>
      <c r="H370" s="35" t="n">
        <v>1.609999999999999</v>
      </c>
      <c r="I370" s="215">
        <f>C368</f>
        <v/>
      </c>
      <c r="J370" s="215">
        <f>C385</f>
        <v/>
      </c>
      <c r="K370" s="43">
        <f t="array" ref="K370">INDEX('Podium Target Times'!$C:$C, MATCH(A370&amp;B370, 'Podium Target Times'!$A:$A&amp;'Podium Target Times'!$B:$B, 0))
</f>
        <v/>
      </c>
      <c r="L370" s="12">
        <f>L371+G371</f>
        <v/>
      </c>
      <c r="M370" s="43">
        <f>IF(L370&lt;60, TEXT(L370,"0.00"), IF(L370&lt;600, TEXT(L370/86400,"m:ss.00"), TEXT(L370/86400,"mm:ss.00")))
</f>
        <v/>
      </c>
      <c r="N370" s="14">
        <f>IFERROR(__xludf.DUMMYFUNCTION("LET(
  gen,$A370, ev,$B370, t,$M370,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)"),632.0)</f>
        <v/>
      </c>
      <c r="O370" s="65" t="n"/>
      <c r="P370" s="69">
        <f>A371</f>
        <v/>
      </c>
      <c r="Q370" s="65">
        <f>B371</f>
        <v/>
      </c>
      <c r="R370" s="69">
        <f>C371</f>
        <v/>
      </c>
      <c r="S370" s="58">
        <f>M371</f>
        <v/>
      </c>
      <c r="T370" s="69">
        <f>N371</f>
        <v/>
      </c>
      <c r="U370" s="65" t="n"/>
      <c r="V370" s="65" t="n"/>
      <c r="W370" s="65" t="n"/>
    </row>
    <row r="371">
      <c r="A371" s="17" t="inlineStr">
        <is>
          <t>M</t>
        </is>
      </c>
      <c r="B371" s="18" t="inlineStr">
        <is>
          <t>100 Breast</t>
        </is>
      </c>
      <c r="C371" s="18" t="n">
        <v>18</v>
      </c>
      <c r="D371" s="18" t="n">
        <v>1</v>
      </c>
      <c r="E371" s="46" t="inlineStr">
        <is>
          <t>1:01.25</t>
        </is>
      </c>
      <c r="F371" s="21">
        <f>IFERROR(__xludf.DUMMYFUNCTION("IF(
  REGEXMATCH(E371, "":""),
  60*VALUE(INDEX(SPLIT(E371, "":""),1,1)) + VALUE(INDEX(SPLIT(E371, "":""),1,2)),
  VALUE(E371)
)"),61.25)</f>
        <v/>
      </c>
      <c r="G371" s="21">
        <f>average(F369-F371,F370-F372)</f>
        <v/>
      </c>
      <c r="H371" s="21" t="n">
        <v>1.205000000000002</v>
      </c>
      <c r="I371" s="211">
        <f>C368</f>
        <v/>
      </c>
      <c r="J371" s="211">
        <f>C385</f>
        <v/>
      </c>
      <c r="K371" s="60">
        <f t="array" ref="K371">INDEX('Podium Target Times'!$C:$C, MATCH(A371&amp;B371, 'Podium Target Times'!$A:$A&amp;'Podium Target Times'!$B:$B, 0))
</f>
        <v/>
      </c>
      <c r="L371" s="24">
        <f>L374+G374</f>
        <v/>
      </c>
      <c r="M371" s="60">
        <f>IF(L371&lt;60, TEXT(L371,"0.00"), IF(L371&lt;600, TEXT(L371/86400,"m:ss.00"), TEXT(L371/86400,"mm:ss.00")))
</f>
        <v/>
      </c>
      <c r="N371" s="25">
        <f>IFERROR(__xludf.DUMMYFUNCTION("LET(
  gen,$A371, ev,$B371, t,$M371,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)"),667.0)</f>
        <v/>
      </c>
      <c r="O371" s="65" t="n"/>
      <c r="P371" s="69">
        <f>A374</f>
        <v/>
      </c>
      <c r="Q371" s="65">
        <f>B374</f>
        <v/>
      </c>
      <c r="R371" s="69">
        <f>C374</f>
        <v/>
      </c>
      <c r="S371" s="58">
        <f>M374</f>
        <v/>
      </c>
      <c r="T371" s="69">
        <f>N374</f>
        <v/>
      </c>
      <c r="U371" s="65" t="n"/>
      <c r="V371" s="65" t="n"/>
      <c r="W371" s="65" t="n"/>
    </row>
    <row r="372">
      <c r="A372" s="8" t="inlineStr">
        <is>
          <t>M</t>
        </is>
      </c>
      <c r="B372" s="9" t="inlineStr">
        <is>
          <t>100 Breast</t>
        </is>
      </c>
      <c r="C372" s="9" t="n">
        <v>18</v>
      </c>
      <c r="D372" s="9" t="n">
        <v>2</v>
      </c>
      <c r="E372" s="41" t="inlineStr">
        <is>
          <t>1:02.05</t>
        </is>
      </c>
      <c r="F372" s="35">
        <f>IFERROR(__xludf.DUMMYFUNCTION("IF(
  REGEXMATCH(E372, "":""),
  60*VALUE(INDEX(SPLIT(E372, "":""),1,1)) + VALUE(INDEX(SPLIT(E372, "":""),1,2)),
  VALUE(E372)
)"),62.05)</f>
        <v/>
      </c>
      <c r="G372" s="35">
        <f>average(F369-F371,F370-F372)</f>
        <v/>
      </c>
      <c r="H372" s="35" t="n">
        <v>1.205000000000002</v>
      </c>
      <c r="I372" s="215">
        <f>C368</f>
        <v/>
      </c>
      <c r="J372" s="215">
        <f>C385</f>
        <v/>
      </c>
      <c r="K372" s="43">
        <f t="array" ref="K372">INDEX('Podium Target Times'!$C:$C, MATCH(A372&amp;B372, 'Podium Target Times'!$A:$A&amp;'Podium Target Times'!$B:$B, 0))
</f>
        <v/>
      </c>
      <c r="L372" s="12">
        <f>L374+G374</f>
        <v/>
      </c>
      <c r="M372" s="43">
        <f>IF(L372&lt;60, TEXT(L372,"0.00"), IF(L372&lt;600, TEXT(L372/86400,"m:ss.00"), TEXT(L372/86400,"mm:ss.00")))
</f>
        <v/>
      </c>
      <c r="N372" s="14">
        <f>IFERROR(__xludf.DUMMYFUNCTION("LET(
  gen,$A372, ev,$B372, t,$M372,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)"),667.0)</f>
        <v/>
      </c>
      <c r="O372" s="65" t="n"/>
      <c r="P372" s="69">
        <f>A377</f>
        <v/>
      </c>
      <c r="Q372" s="65">
        <f>B377</f>
        <v/>
      </c>
      <c r="R372" s="69">
        <f>C377</f>
        <v/>
      </c>
      <c r="S372" s="58">
        <f>M377</f>
        <v/>
      </c>
      <c r="T372" s="69">
        <f>N377</f>
        <v/>
      </c>
      <c r="U372" s="65" t="n"/>
      <c r="V372" s="65" t="n"/>
      <c r="W372" s="65" t="n"/>
    </row>
    <row r="373">
      <c r="A373" s="17" t="inlineStr">
        <is>
          <t>M</t>
        </is>
      </c>
      <c r="B373" s="18" t="inlineStr">
        <is>
          <t>100 Breast</t>
        </is>
      </c>
      <c r="C373" s="18" t="n">
        <v>18</v>
      </c>
      <c r="D373" s="18" t="n">
        <v>3</v>
      </c>
      <c r="E373" s="46" t="inlineStr">
        <is>
          <t>1:02.46</t>
        </is>
      </c>
      <c r="F373" s="21">
        <f>IFERROR(__xludf.DUMMYFUNCTION("IF(
  REGEXMATCH(E373, "":""),
  60*VALUE(INDEX(SPLIT(E373, "":""),1,1)) + VALUE(INDEX(SPLIT(E373, "":""),1,2)),
  VALUE(E373)
)"),62.46)</f>
        <v/>
      </c>
      <c r="G373" s="21">
        <f>average(F369-F371,F370-F372)</f>
        <v/>
      </c>
      <c r="H373" s="21" t="n">
        <v>1.205000000000002</v>
      </c>
      <c r="I373" s="211">
        <f>C368</f>
        <v/>
      </c>
      <c r="J373" s="211">
        <f>C385</f>
        <v/>
      </c>
      <c r="K373" s="60">
        <f t="array" ref="K373">INDEX('Podium Target Times'!$C:$C, MATCH(A373&amp;B373, 'Podium Target Times'!$A:$A&amp;'Podium Target Times'!$B:$B, 0))
</f>
        <v/>
      </c>
      <c r="L373" s="24">
        <f>L374+G374</f>
        <v/>
      </c>
      <c r="M373" s="60">
        <f>IF(L373&lt;60, TEXT(L373,"0.00"), IF(L373&lt;600, TEXT(L373/86400,"m:ss.00"), TEXT(L373/86400,"mm:ss.00")))
</f>
        <v/>
      </c>
      <c r="N373" s="25">
        <f>IFERROR(__xludf.DUMMYFUNCTION("LET(
  gen,$A373, ev,$B373, t,$M373,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)"),667.0)</f>
        <v/>
      </c>
      <c r="O373" s="65" t="n"/>
      <c r="P373" s="69">
        <f>A380</f>
        <v/>
      </c>
      <c r="Q373" s="65">
        <f>B380</f>
        <v/>
      </c>
      <c r="R373" s="69">
        <f>C380</f>
        <v/>
      </c>
      <c r="S373" s="58">
        <f>M380</f>
        <v/>
      </c>
      <c r="T373" s="69">
        <f>N380</f>
        <v/>
      </c>
      <c r="U373" s="65" t="n"/>
      <c r="V373" s="65" t="n"/>
      <c r="W373" s="65" t="n"/>
    </row>
    <row r="374">
      <c r="A374" s="8" t="inlineStr">
        <is>
          <t>M</t>
        </is>
      </c>
      <c r="B374" s="9" t="inlineStr">
        <is>
          <t>100 Breast</t>
        </is>
      </c>
      <c r="C374" s="9" t="n">
        <v>19</v>
      </c>
      <c r="D374" s="9" t="n">
        <v>1</v>
      </c>
      <c r="E374" s="41" t="inlineStr">
        <is>
          <t>1:00.37</t>
        </is>
      </c>
      <c r="F374" s="35">
        <f>IFERROR(__xludf.DUMMYFUNCTION("IF(
  REGEXMATCH(E374, "":""),
  60*VALUE(INDEX(SPLIT(E374, "":""),1,1)) + VALUE(INDEX(SPLIT(E374, "":""),1,2)),
  VALUE(E374)
)"),60.37)</f>
        <v/>
      </c>
      <c r="G374" s="35">
        <f>average(F371-F374,F372-F375,F373-F376)</f>
        <v/>
      </c>
      <c r="H374" s="35" t="n">
        <v>0.8866666666666679</v>
      </c>
      <c r="I374" s="215">
        <f>C368</f>
        <v/>
      </c>
      <c r="J374" s="215">
        <f>C385</f>
        <v/>
      </c>
      <c r="K374" s="43">
        <f t="array" ref="K374">INDEX('Podium Target Times'!$C:$C, MATCH(A374&amp;B374, 'Podium Target Times'!$A:$A&amp;'Podium Target Times'!$B:$B, 0))
</f>
        <v/>
      </c>
      <c r="L374" s="12">
        <f>L377+G377</f>
        <v/>
      </c>
      <c r="M374" s="43">
        <f>IF(L374&lt;60, TEXT(L374,"0.00"), IF(L374&lt;600, TEXT(L374/86400,"m:ss.00"), TEXT(L374/86400,"mm:ss.00")))
</f>
        <v/>
      </c>
      <c r="N374" s="14">
        <f>IFERROR(__xludf.DUMMYFUNCTION("LET(
  gen,$A374, ev,$B374, t,$M374,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O374" s="65" t="n"/>
      <c r="P374" s="69">
        <f>A382</f>
        <v/>
      </c>
      <c r="Q374" s="65">
        <f>B382</f>
        <v/>
      </c>
      <c r="R374" s="69">
        <f>C382</f>
        <v/>
      </c>
      <c r="S374" s="58">
        <f>M382</f>
        <v/>
      </c>
      <c r="T374" s="69">
        <f>N382</f>
        <v/>
      </c>
      <c r="U374" s="65" t="n"/>
      <c r="V374" s="65" t="n"/>
      <c r="W374" s="65" t="n"/>
    </row>
    <row r="375">
      <c r="A375" s="17" t="inlineStr">
        <is>
          <t>M</t>
        </is>
      </c>
      <c r="B375" s="18" t="inlineStr">
        <is>
          <t>100 Breast</t>
        </is>
      </c>
      <c r="C375" s="18" t="n">
        <v>19</v>
      </c>
      <c r="D375" s="18" t="n">
        <v>2</v>
      </c>
      <c r="E375" s="46" t="inlineStr">
        <is>
          <t>1:01.16</t>
        </is>
      </c>
      <c r="F375" s="21">
        <f>IFERROR(__xludf.DUMMYFUNCTION("IF(
  REGEXMATCH(E375, "":""),
  60*VALUE(INDEX(SPLIT(E375, "":""),1,1)) + VALUE(INDEX(SPLIT(E375, "":""),1,2)),
  VALUE(E375)
)"),61.16)</f>
        <v/>
      </c>
      <c r="G375" s="21">
        <f>average(F371-F374,F372-F375,F373-F376)</f>
        <v/>
      </c>
      <c r="H375" s="21" t="n">
        <v>0.8866666666666679</v>
      </c>
      <c r="I375" s="211">
        <f>C368</f>
        <v/>
      </c>
      <c r="J375" s="211">
        <f>C385</f>
        <v/>
      </c>
      <c r="K375" s="60">
        <f t="array" ref="K375">INDEX('Podium Target Times'!$C:$C, MATCH(A375&amp;B375, 'Podium Target Times'!$A:$A&amp;'Podium Target Times'!$B:$B, 0))
</f>
        <v/>
      </c>
      <c r="L375" s="24">
        <f>L377+G377</f>
        <v/>
      </c>
      <c r="M375" s="60">
        <f>IF(L375&lt;60, TEXT(L375,"0.00"), IF(L375&lt;600, TEXT(L375/86400,"m:ss.00"), TEXT(L375/86400,"mm:ss.00")))
</f>
        <v/>
      </c>
      <c r="N375" s="25">
        <f>IFERROR(__xludf.DUMMYFUNCTION("LET(
  gen,$A375, ev,$B375, t,$M375,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O375" s="65" t="n"/>
      <c r="P375" s="69">
        <f>A384</f>
        <v/>
      </c>
      <c r="Q375" s="65">
        <f>B384</f>
        <v/>
      </c>
      <c r="R375" s="69">
        <f>C384</f>
        <v/>
      </c>
      <c r="S375" s="58">
        <f>M384</f>
        <v/>
      </c>
      <c r="T375" s="69">
        <f>N384</f>
        <v/>
      </c>
      <c r="U375" s="65" t="n"/>
      <c r="V375" s="65" t="n"/>
      <c r="W375" s="65" t="n"/>
    </row>
    <row r="376">
      <c r="A376" s="8" t="inlineStr">
        <is>
          <t>M</t>
        </is>
      </c>
      <c r="B376" s="9" t="inlineStr">
        <is>
          <t>100 Breast</t>
        </is>
      </c>
      <c r="C376" s="9" t="n">
        <v>19</v>
      </c>
      <c r="D376" s="9" t="n">
        <v>3</v>
      </c>
      <c r="E376" s="41" t="inlineStr">
        <is>
          <t>1:01.57</t>
        </is>
      </c>
      <c r="F376" s="35">
        <f>IFERROR(__xludf.DUMMYFUNCTION("IF(
  REGEXMATCH(E376, "":""),
  60*VALUE(INDEX(SPLIT(E376, "":""),1,1)) + VALUE(INDEX(SPLIT(E376, "":""),1,2)),
  VALUE(E376)
)"),61.57)</f>
        <v/>
      </c>
      <c r="G376" s="35">
        <f>average(F371-F374,F372-F375,F373-F376)</f>
        <v/>
      </c>
      <c r="H376" s="35" t="n">
        <v>0.8866666666666679</v>
      </c>
      <c r="I376" s="215">
        <f>C368</f>
        <v/>
      </c>
      <c r="J376" s="215">
        <f>C385</f>
        <v/>
      </c>
      <c r="K376" s="43">
        <f t="array" ref="K376">INDEX('Podium Target Times'!$C:$C, MATCH(A376&amp;B376, 'Podium Target Times'!$A:$A&amp;'Podium Target Times'!$B:$B, 0))
</f>
        <v/>
      </c>
      <c r="L376" s="12">
        <f>L377+G377</f>
        <v/>
      </c>
      <c r="M376" s="43">
        <f>IF(L376&lt;60, TEXT(L376,"0.00"), IF(L376&lt;600, TEXT(L376/86400,"m:ss.00"), TEXT(L376/86400,"mm:ss.00")))
</f>
        <v/>
      </c>
      <c r="N376" s="14">
        <f>IFERROR(__xludf.DUMMYFUNCTION("LET(
  gen,$A376, ev,$B376, t,$M376,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O376" s="65" t="n"/>
      <c r="P376" s="69">
        <f>A385</f>
        <v/>
      </c>
      <c r="Q376" s="65">
        <f>B385</f>
        <v/>
      </c>
      <c r="R376" s="69">
        <f>C385</f>
        <v/>
      </c>
      <c r="S376" s="58">
        <f>M385</f>
        <v/>
      </c>
      <c r="T376" s="69">
        <f>N385</f>
        <v/>
      </c>
      <c r="U376" s="65" t="n">
        <v>763</v>
      </c>
      <c r="V376" s="65" t="n"/>
      <c r="W376" s="65" t="n"/>
    </row>
    <row r="377">
      <c r="A377" s="17" t="inlineStr">
        <is>
          <t>M</t>
        </is>
      </c>
      <c r="B377" s="18" t="inlineStr">
        <is>
          <t>100 Breast</t>
        </is>
      </c>
      <c r="C377" s="18" t="n">
        <v>20</v>
      </c>
      <c r="D377" s="18" t="n">
        <v>1</v>
      </c>
      <c r="E377" s="46" t="inlineStr">
        <is>
          <t>59.75</t>
        </is>
      </c>
      <c r="F377" s="21">
        <f>IFERROR(__xludf.DUMMYFUNCTION("IF(
  REGEXMATCH(E377, "":""),
  60*VALUE(INDEX(SPLIT(E377, "":""),1,1)) + VALUE(INDEX(SPLIT(E377, "":""),1,2)),
  VALUE(E377)
)"),59.75)</f>
        <v/>
      </c>
      <c r="G377" s="21">
        <f>average(F374-F377,F375-F378,F376-F379)</f>
        <v/>
      </c>
      <c r="H377" s="21" t="n">
        <v>0.6299999999999978</v>
      </c>
      <c r="I377" s="211">
        <f>C368</f>
        <v/>
      </c>
      <c r="J377" s="211">
        <f>C385</f>
        <v/>
      </c>
      <c r="K377" s="60">
        <f t="array" ref="K377">INDEX('Podium Target Times'!$C:$C, MATCH(A377&amp;B377, 'Podium Target Times'!$A:$A&amp;'Podium Target Times'!$B:$B, 0))
</f>
        <v/>
      </c>
      <c r="L377" s="24">
        <f>L380+G380</f>
        <v/>
      </c>
      <c r="M377" s="60">
        <f>IF(L377&lt;60, TEXT(L377,"0.00"), IF(L377&lt;600, TEXT(L377/86400,"m:ss.00"), TEXT(L377/86400,"mm:ss.00")))
</f>
        <v/>
      </c>
      <c r="N377" s="25">
        <f>IFERROR(__xludf.DUMMYFUNCTION("LET(
  gen,$A377, ev,$B377, t,$M377,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O377" s="65" t="n"/>
      <c r="P377" s="69">
        <f>P376</f>
        <v/>
      </c>
      <c r="Q377" s="65">
        <f>Q376</f>
        <v/>
      </c>
      <c r="R377" s="69">
        <f>R376+1</f>
        <v/>
      </c>
      <c r="S377" s="58">
        <f>M386</f>
        <v/>
      </c>
      <c r="T377" s="69">
        <f>N386</f>
        <v/>
      </c>
      <c r="U377" s="65" t="n"/>
      <c r="V377" s="65" t="n"/>
      <c r="W377" s="65" t="n"/>
    </row>
    <row r="378">
      <c r="A378" s="8" t="inlineStr">
        <is>
          <t>M</t>
        </is>
      </c>
      <c r="B378" s="9" t="inlineStr">
        <is>
          <t>100 Breast</t>
        </is>
      </c>
      <c r="C378" s="9" t="n">
        <v>20</v>
      </c>
      <c r="D378" s="9" t="n">
        <v>2</v>
      </c>
      <c r="E378" s="41" t="inlineStr">
        <is>
          <t>1:00.53</t>
        </is>
      </c>
      <c r="F378" s="35">
        <f>IFERROR(__xludf.DUMMYFUNCTION("IF(
  REGEXMATCH(E378, "":""),
  60*VALUE(INDEX(SPLIT(E378, "":""),1,1)) + VALUE(INDEX(SPLIT(E378, "":""),1,2)),
  VALUE(E378)
)"),60.53)</f>
        <v/>
      </c>
      <c r="G378" s="35">
        <f>average(F374-F377,F375-F378,F376-F379)</f>
        <v/>
      </c>
      <c r="H378" s="35" t="n">
        <v>0.6299999999999978</v>
      </c>
      <c r="I378" s="215">
        <f>C368</f>
        <v/>
      </c>
      <c r="J378" s="215">
        <f>C385</f>
        <v/>
      </c>
      <c r="K378" s="43">
        <f t="array" ref="K378">INDEX('Podium Target Times'!$C:$C, MATCH(A378&amp;B378, 'Podium Target Times'!$A:$A&amp;'Podium Target Times'!$B:$B, 0))
</f>
        <v/>
      </c>
      <c r="L378" s="12">
        <f>L380+G380</f>
        <v/>
      </c>
      <c r="M378" s="43">
        <f>IF(L378&lt;60, TEXT(L378,"0.00"), IF(L378&lt;600, TEXT(L378/86400,"m:ss.00"), TEXT(L378/86400,"mm:ss.00")))
</f>
        <v/>
      </c>
      <c r="N378" s="14">
        <f>IFERROR(__xludf.DUMMYFUNCTION("LET(
  gen,$A378, ev,$B378, t,$M378,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O378" s="65" t="n"/>
      <c r="P378" s="69" t="n"/>
      <c r="Q378" s="65" t="n"/>
      <c r="R378" s="69" t="n"/>
      <c r="S378" s="58" t="n"/>
      <c r="T378" s="69" t="n"/>
      <c r="U378" s="65" t="n"/>
      <c r="V378" s="65" t="n"/>
      <c r="W378" s="65" t="n"/>
    </row>
    <row r="379">
      <c r="A379" s="17" t="inlineStr">
        <is>
          <t>M</t>
        </is>
      </c>
      <c r="B379" s="18" t="inlineStr">
        <is>
          <t>100 Breast</t>
        </is>
      </c>
      <c r="C379" s="18" t="n">
        <v>20</v>
      </c>
      <c r="D379" s="18" t="n">
        <v>3</v>
      </c>
      <c r="E379" s="46" t="inlineStr">
        <is>
          <t>1:00.93</t>
        </is>
      </c>
      <c r="F379" s="21">
        <f>IFERROR(__xludf.DUMMYFUNCTION("IF(
  REGEXMATCH(E379, "":""),
  60*VALUE(INDEX(SPLIT(E379, "":""),1,1)) + VALUE(INDEX(SPLIT(E379, "":""),1,2)),
  VALUE(E379)
)"),60.93)</f>
        <v/>
      </c>
      <c r="G379" s="21">
        <f>average(F374-F377,F375-F378,F376-F379)</f>
        <v/>
      </c>
      <c r="H379" s="21" t="n">
        <v>0.6299999999999978</v>
      </c>
      <c r="I379" s="211">
        <f>C368</f>
        <v/>
      </c>
      <c r="J379" s="211">
        <f>C385</f>
        <v/>
      </c>
      <c r="K379" s="60">
        <f t="array" ref="K379">INDEX('Podium Target Times'!$C:$C, MATCH(A379&amp;B379, 'Podium Target Times'!$A:$A&amp;'Podium Target Times'!$B:$B, 0))
</f>
        <v/>
      </c>
      <c r="L379" s="24">
        <f>L380+G380</f>
        <v/>
      </c>
      <c r="M379" s="60">
        <f>IF(L379&lt;60, TEXT(L379,"0.00"), IF(L379&lt;600, TEXT(L379/86400,"m:ss.00"), TEXT(L379/86400,"mm:ss.00")))
</f>
        <v/>
      </c>
      <c r="N379" s="25">
        <f>IFERROR(__xludf.DUMMYFUNCTION("LET(
  gen,$A379, ev,$B379, t,$M379,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O379" s="65" t="n"/>
      <c r="P379" s="69" t="n"/>
      <c r="Q379" s="65" t="n"/>
      <c r="R379" s="69" t="n"/>
      <c r="S379" s="58" t="n"/>
      <c r="T379" s="69" t="n"/>
      <c r="U379" s="65" t="n"/>
      <c r="V379" s="65" t="n"/>
      <c r="W379" s="65" t="n"/>
    </row>
    <row r="380">
      <c r="A380" s="8" t="inlineStr">
        <is>
          <t>M</t>
        </is>
      </c>
      <c r="B380" s="9" t="inlineStr">
        <is>
          <t>100 Breast</t>
        </is>
      </c>
      <c r="C380" s="9" t="n">
        <v>21</v>
      </c>
      <c r="D380" s="9" t="n">
        <v>2</v>
      </c>
      <c r="E380" s="41" t="inlineStr">
        <is>
          <t>1:00.09</t>
        </is>
      </c>
      <c r="F380" s="35">
        <f>IFERROR(__xludf.DUMMYFUNCTION("IF(
  REGEXMATCH(E380, "":""),
  60*VALUE(INDEX(SPLIT(E380, "":""),1,1)) + VALUE(INDEX(SPLIT(E380, "":""),1,2)),
  VALUE(E380)
)"),60.09)</f>
        <v/>
      </c>
      <c r="G380" s="35">
        <f>average(F378-F380,F379-F381)</f>
        <v/>
      </c>
      <c r="H380" s="35" t="n">
        <v>0.4450000000000003</v>
      </c>
      <c r="I380" s="215">
        <f>C368</f>
        <v/>
      </c>
      <c r="J380" s="215">
        <f>C385</f>
        <v/>
      </c>
      <c r="K380" s="43">
        <f t="array" ref="K380">INDEX('Podium Target Times'!$C:$C, MATCH(A380&amp;B380, 'Podium Target Times'!$A:$A&amp;'Podium Target Times'!$B:$B, 0))
</f>
        <v/>
      </c>
      <c r="L380" s="12">
        <f>L382+G382</f>
        <v/>
      </c>
      <c r="M380" s="43">
        <f>IF(L380&lt;60, TEXT(L380,"0.00"), IF(L380&lt;600, TEXT(L380/86400,"m:ss.00"), TEXT(L380/86400,"mm:ss.00")))
</f>
        <v/>
      </c>
      <c r="N380" s="14">
        <f>IFERROR(__xludf.DUMMYFUNCTION("LET(
  gen,$A380, ev,$B380, t,$M380,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380" s="65" t="n"/>
      <c r="P380" s="69" t="n"/>
      <c r="Q380" s="65" t="n"/>
      <c r="R380" s="69" t="n"/>
      <c r="S380" s="58" t="n"/>
      <c r="T380" s="69" t="n"/>
      <c r="U380" s="65" t="n"/>
      <c r="V380" s="65" t="n"/>
      <c r="W380" s="65" t="n"/>
    </row>
    <row r="381">
      <c r="A381" s="17" t="inlineStr">
        <is>
          <t>M</t>
        </is>
      </c>
      <c r="B381" s="18" t="inlineStr">
        <is>
          <t>100 Breast</t>
        </is>
      </c>
      <c r="C381" s="18" t="n">
        <v>21</v>
      </c>
      <c r="D381" s="18" t="n">
        <v>3</v>
      </c>
      <c r="E381" s="46" t="inlineStr">
        <is>
          <t>1:00.48</t>
        </is>
      </c>
      <c r="F381" s="21">
        <f>IFERROR(__xludf.DUMMYFUNCTION("IF(
  REGEXMATCH(E381, "":""),
  60*VALUE(INDEX(SPLIT(E381, "":""),1,1)) + VALUE(INDEX(SPLIT(E381, "":""),1,2)),
  VALUE(E381)
)"),60.48)</f>
        <v/>
      </c>
      <c r="G381" s="21">
        <f>average(F378-F380,F379-F381)</f>
        <v/>
      </c>
      <c r="H381" s="21" t="n">
        <v>0.4450000000000003</v>
      </c>
      <c r="I381" s="211">
        <f>C368</f>
        <v/>
      </c>
      <c r="J381" s="211">
        <f>C385</f>
        <v/>
      </c>
      <c r="K381" s="60">
        <f t="array" ref="K381">INDEX('Podium Target Times'!$C:$C, MATCH(A381&amp;B381, 'Podium Target Times'!$A:$A&amp;'Podium Target Times'!$B:$B, 0))
</f>
        <v/>
      </c>
      <c r="L381" s="24">
        <f>L382+G382</f>
        <v/>
      </c>
      <c r="M381" s="60">
        <f>IF(L381&lt;60, TEXT(L381,"0.00"), IF(L381&lt;600, TEXT(L381/86400,"m:ss.00"), TEXT(L381/86400,"mm:ss.00")))
</f>
        <v/>
      </c>
      <c r="N381" s="25">
        <f>IFERROR(__xludf.DUMMYFUNCTION("LET(
  gen,$A381, ev,$B381, t,$M381,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O381" s="65" t="n"/>
      <c r="P381" s="69" t="n"/>
      <c r="Q381" s="65" t="n"/>
      <c r="R381" s="69" t="n"/>
      <c r="S381" s="58" t="n"/>
      <c r="T381" s="69" t="n"/>
      <c r="U381" s="65" t="n"/>
      <c r="V381" s="65" t="n"/>
      <c r="W381" s="65" t="n"/>
    </row>
    <row r="382">
      <c r="A382" s="8" t="inlineStr">
        <is>
          <t>M</t>
        </is>
      </c>
      <c r="B382" s="9" t="inlineStr">
        <is>
          <t>100 Breast</t>
        </is>
      </c>
      <c r="C382" s="9" t="n">
        <v>22</v>
      </c>
      <c r="D382" s="9" t="n">
        <v>2</v>
      </c>
      <c r="E382" s="41" t="inlineStr">
        <is>
          <t>59.75</t>
        </is>
      </c>
      <c r="F382" s="35">
        <f>IFERROR(__xludf.DUMMYFUNCTION("IF(
  REGEXMATCH(E382, "":""),
  60*VALUE(INDEX(SPLIT(E382, "":""),1,1)) + VALUE(INDEX(SPLIT(E382, "":""),1,2)),
  VALUE(E382)
)"),59.75)</f>
        <v/>
      </c>
      <c r="G382" s="35">
        <f>average(F380-F382,F381-F383)</f>
        <v/>
      </c>
      <c r="H382" s="35" t="n">
        <v>0.3399999999999999</v>
      </c>
      <c r="I382" s="215">
        <f>C368</f>
        <v/>
      </c>
      <c r="J382" s="215">
        <f>C385</f>
        <v/>
      </c>
      <c r="K382" s="43">
        <f t="array" ref="K382">INDEX('Podium Target Times'!$C:$C, MATCH(A382&amp;B382, 'Podium Target Times'!$A:$A&amp;'Podium Target Times'!$B:$B, 0))
</f>
        <v/>
      </c>
      <c r="L382" s="12">
        <f>L384+G384</f>
        <v/>
      </c>
      <c r="M382" s="43">
        <f>IF(L382&lt;60, TEXT(L382,"0.00"), IF(L382&lt;600, TEXT(L382/86400,"m:ss.00"), TEXT(L382/86400,"mm:ss.00")))
</f>
        <v/>
      </c>
      <c r="N382" s="14">
        <f>IFERROR(__xludf.DUMMYFUNCTION("LET(
  gen,$A382, ev,$B382, t,$M382,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O382" s="65" t="n"/>
      <c r="P382" s="69" t="n"/>
      <c r="Q382" s="65" t="n"/>
      <c r="R382" s="69" t="n"/>
      <c r="S382" s="58" t="n"/>
      <c r="T382" s="69" t="n"/>
      <c r="U382" s="65" t="n"/>
      <c r="V382" s="65" t="n"/>
      <c r="W382" s="65" t="n"/>
    </row>
    <row r="383">
      <c r="A383" s="17" t="inlineStr">
        <is>
          <t>M</t>
        </is>
      </c>
      <c r="B383" s="18" t="inlineStr">
        <is>
          <t>100 Breast</t>
        </is>
      </c>
      <c r="C383" s="18" t="n">
        <v>22</v>
      </c>
      <c r="D383" s="18" t="n">
        <v>3</v>
      </c>
      <c r="E383" s="46" t="inlineStr">
        <is>
          <t>1:00.14</t>
        </is>
      </c>
      <c r="F383" s="21">
        <f>IFERROR(__xludf.DUMMYFUNCTION("IF(
  REGEXMATCH(E383, "":""),
  60*VALUE(INDEX(SPLIT(E383, "":""),1,1)) + VALUE(INDEX(SPLIT(E383, "":""),1,2)),
  VALUE(E383)
)"),60.14)</f>
        <v/>
      </c>
      <c r="G383" s="21">
        <f>average(F380-F382,F381-F383)</f>
        <v/>
      </c>
      <c r="H383" s="21" t="n">
        <v>0.3399999999999999</v>
      </c>
      <c r="I383" s="211">
        <f>C368</f>
        <v/>
      </c>
      <c r="J383" s="211">
        <f>C385</f>
        <v/>
      </c>
      <c r="K383" s="60">
        <f t="array" ref="K383">INDEX('Podium Target Times'!$C:$C, MATCH(A383&amp;B383, 'Podium Target Times'!$A:$A&amp;'Podium Target Times'!$B:$B, 0))
</f>
        <v/>
      </c>
      <c r="L383" s="24">
        <f>L384+G384</f>
        <v/>
      </c>
      <c r="M383" s="60">
        <f>IF(L383&lt;60, TEXT(L383,"0.00"), IF(L383&lt;600, TEXT(L383/86400,"m:ss.00"), TEXT(L383/86400,"mm:ss.00")))
</f>
        <v/>
      </c>
      <c r="N383" s="25">
        <f>IFERROR(__xludf.DUMMYFUNCTION("LET(
  gen,$A383, ev,$B383, t,$M383,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O383" s="65" t="n"/>
      <c r="P383" s="69" t="n"/>
      <c r="Q383" s="65" t="n"/>
      <c r="R383" s="69" t="n"/>
      <c r="S383" s="58" t="n"/>
      <c r="T383" s="69" t="n"/>
      <c r="U383" s="65" t="n"/>
      <c r="V383" s="65" t="n"/>
      <c r="W383" s="65" t="n"/>
    </row>
    <row r="384">
      <c r="A384" s="8" t="inlineStr">
        <is>
          <t>M</t>
        </is>
      </c>
      <c r="B384" s="9" t="inlineStr">
        <is>
          <t>100 Breast</t>
        </is>
      </c>
      <c r="C384" s="9" t="n">
        <v>23</v>
      </c>
      <c r="D384" s="9" t="n">
        <v>3</v>
      </c>
      <c r="E384" s="41" t="inlineStr">
        <is>
          <t>59.91</t>
        </is>
      </c>
      <c r="F384" s="35">
        <f>IFERROR(__xludf.DUMMYFUNCTION("IF(
  REGEXMATCH(E384, "":""),
  60*VALUE(INDEX(SPLIT(E384, "":""),1,1)) + VALUE(INDEX(SPLIT(E384, "":""),1,2)),
  VALUE(E384)
)"),59.91)</f>
        <v/>
      </c>
      <c r="G384" s="35">
        <f>F383-F384</f>
        <v/>
      </c>
      <c r="H384" s="35" t="n">
        <v>0.230000000000004</v>
      </c>
      <c r="I384" s="215">
        <f>C368</f>
        <v/>
      </c>
      <c r="J384" s="215">
        <f>C385</f>
        <v/>
      </c>
      <c r="K384" s="43">
        <f t="array" ref="K384">INDEX('Podium Target Times'!$C:$C, MATCH(A384&amp;B384, 'Podium Target Times'!$A:$A&amp;'Podium Target Times'!$B:$B, 0))
</f>
        <v/>
      </c>
      <c r="L384" s="12">
        <f>L385+G385</f>
        <v/>
      </c>
      <c r="M384" s="43">
        <f>IF(L384&lt;60, TEXT(L384,"0.00"), IF(L384&lt;600, TEXT(L384/86400,"m:ss.00"), TEXT(L384/86400,"mm:ss.00")))
</f>
        <v/>
      </c>
      <c r="N384" s="14">
        <f>IFERROR(__xludf.DUMMYFUNCTION("LET(
  gen,$A384, ev,$B384, t,$M384,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O384" s="65" t="n"/>
      <c r="P384" s="69" t="n"/>
      <c r="Q384" s="65" t="n"/>
      <c r="R384" s="69" t="n"/>
      <c r="S384" s="58" t="n"/>
      <c r="T384" s="69" t="n"/>
      <c r="U384" s="65" t="n"/>
      <c r="V384" s="65" t="n"/>
      <c r="W384" s="65" t="n"/>
    </row>
    <row r="385">
      <c r="A385" s="17" t="inlineStr">
        <is>
          <t>M</t>
        </is>
      </c>
      <c r="B385" s="18" t="inlineStr">
        <is>
          <t>100 Breast</t>
        </is>
      </c>
      <c r="C385" s="18" t="n">
        <v>24</v>
      </c>
      <c r="D385" s="18" t="n">
        <v>3</v>
      </c>
      <c r="E385" s="46" t="inlineStr">
        <is>
          <t>59.75</t>
        </is>
      </c>
      <c r="F385" s="21">
        <f>IFERROR(__xludf.DUMMYFUNCTION("IF(
  REGEXMATCH(E385, "":""),
  60*VALUE(INDEX(SPLIT(E385, "":""),1,1)) + VALUE(INDEX(SPLIT(E385, "":""),1,2)),
  VALUE(E385)
)"),59.75)</f>
        <v/>
      </c>
      <c r="G385" s="21">
        <f>F384-F385</f>
        <v/>
      </c>
      <c r="H385" s="21" t="n">
        <v>0.1599999999999966</v>
      </c>
      <c r="I385" s="211">
        <f>C368</f>
        <v/>
      </c>
      <c r="J385" s="211">
        <f>C385</f>
        <v/>
      </c>
      <c r="K385" s="60">
        <f t="array" ref="K385">INDEX('Podium Target Times'!$C:$C, MATCH(A385&amp;B385, 'Podium Target Times'!$A:$A&amp;'Podium Target Times'!$B:$B, 0))
</f>
        <v/>
      </c>
      <c r="L385" s="21">
        <f>G385+L386</f>
        <v/>
      </c>
      <c r="M385" s="60">
        <f>IF(L385&lt;60, TEXT(L385,"0.00"), IF(L385&lt;600, TEXT(L385/86400,"m:ss.00"), TEXT(L385/86400,"mm:ss.00")))
</f>
        <v/>
      </c>
      <c r="N385" s="25">
        <f>IFERROR(__xludf.DUMMYFUNCTION("LET(
  gen,$A385, ev,$B385, t,$M385,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)"),758.0)</f>
        <v/>
      </c>
      <c r="O385" s="65" t="n"/>
      <c r="P385" s="69" t="n"/>
      <c r="Q385" s="65" t="n"/>
      <c r="R385" s="69" t="n"/>
      <c r="S385" s="58" t="n"/>
      <c r="T385" s="69" t="n"/>
      <c r="U385" s="65" t="n"/>
      <c r="V385" s="65" t="n"/>
      <c r="W385" s="65" t="n"/>
    </row>
    <row r="386">
      <c r="A386" s="8" t="inlineStr">
        <is>
          <t>M</t>
        </is>
      </c>
      <c r="B386" s="9" t="inlineStr">
        <is>
          <t>100 Breast</t>
        </is>
      </c>
      <c r="C386" s="9" t="n">
        <v>25</v>
      </c>
      <c r="D386" s="9" t="n"/>
      <c r="E386" s="483" t="n"/>
      <c r="F386" s="35">
        <f>IFERROR(__xludf.DUMMYFUNCTION("IF(
  REGEXMATCH(E386, "":""),
  60*VALUE(INDEX(SPLIT(E386, "":""),1,1)) + VALUE(INDEX(SPLIT(E386, "":""),1,2)),
  VALUE(E386)
)"),0.0)</f>
        <v/>
      </c>
      <c r="G386" s="12" t="n"/>
      <c r="H386" s="12" t="n"/>
      <c r="I386" s="43">
        <f>C368</f>
        <v/>
      </c>
      <c r="J386" s="43">
        <f>C385</f>
        <v/>
      </c>
      <c r="K386" s="43">
        <f t="array" ref="K386">INDEX('Podium Target Times'!$C:$C, MATCH(A386&amp;B386, 'Podium Target Times'!$A:$A&amp;'Podium Target Times'!$B:$B, 0))
</f>
        <v/>
      </c>
      <c r="L386" s="43">
        <f>K386</f>
        <v/>
      </c>
      <c r="M386" s="43">
        <f>IF(L386&lt;60, TEXT(L386,"0.00"), IF(L386&lt;600, TEXT(L386/86400,"m:ss.00"), TEXT(L386/86400,"mm:ss.00")))
</f>
        <v/>
      </c>
      <c r="N386" s="14">
        <f>IFERROR(__xludf.DUMMYFUNCTION("LET(
  gen,$A386, ev,$B386, t,$M386,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386" s="65" t="n"/>
      <c r="P386" s="69" t="n"/>
      <c r="Q386" s="65" t="n"/>
      <c r="R386" s="69" t="n"/>
      <c r="S386" s="58" t="n"/>
      <c r="T386" s="69" t="n"/>
      <c r="U386" s="65" t="n"/>
      <c r="V386" s="65" t="n"/>
      <c r="W386" s="65" t="n"/>
    </row>
    <row r="387">
      <c r="A387" s="17" t="inlineStr">
        <is>
          <t>M</t>
        </is>
      </c>
      <c r="B387" s="18" t="inlineStr">
        <is>
          <t>100 Fly</t>
        </is>
      </c>
      <c r="C387" s="18" t="n">
        <v>16</v>
      </c>
      <c r="D387" s="18" t="n">
        <v>1</v>
      </c>
      <c r="E387" s="491" t="inlineStr">
        <is>
          <t>55.15</t>
        </is>
      </c>
      <c r="F387" s="21">
        <f>IFERROR(__xludf.DUMMYFUNCTION("IF(
  REGEXMATCH(E387, "":""),
  60*VALUE(INDEX(SPLIT(E387, "":""),1,1)) + VALUE(INDEX(SPLIT(E387, "":""),1,2)),
  VALUE(E387)
)"),55.15)</f>
        <v/>
      </c>
      <c r="G387" s="24" t="n">
        <v>0</v>
      </c>
      <c r="H387" s="24" t="n">
        <v>0</v>
      </c>
      <c r="I387" s="60">
        <f>C387</f>
        <v/>
      </c>
      <c r="J387" s="60">
        <f>C404</f>
        <v/>
      </c>
      <c r="K387" s="60">
        <f t="array" ref="K387">INDEX('Podium Target Times'!$C:$C, MATCH(A387&amp;B387, 'Podium Target Times'!$A:$A&amp;'Podium Target Times'!$B:$B, 0))
</f>
        <v/>
      </c>
      <c r="L387" s="24">
        <f>L388+G388</f>
        <v/>
      </c>
      <c r="M387" s="60">
        <f>IF(L387&lt;60, TEXT(L387,"0.00"), IF(L387&lt;600, TEXT(L387/86400,"m:ss.00"), TEXT(L387/86400,"mm:ss.00")))
</f>
        <v/>
      </c>
      <c r="N387" s="25">
        <f>IFERROR(__xludf.DUMMYFUNCTION("LET(
  gen,$A387, ev,$B387, t,$M387,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)"),652.0)</f>
        <v/>
      </c>
      <c r="O387" s="65" t="n"/>
      <c r="P387" s="69">
        <f>A387</f>
        <v/>
      </c>
      <c r="Q387" s="65">
        <f>B387</f>
        <v/>
      </c>
      <c r="R387" s="69">
        <f>C387</f>
        <v/>
      </c>
      <c r="S387" s="58">
        <f>M387</f>
        <v/>
      </c>
      <c r="T387" s="69">
        <f>N387</f>
        <v/>
      </c>
      <c r="U387" s="65" t="n">
        <v>653</v>
      </c>
      <c r="V387" s="65" t="n"/>
      <c r="W387" s="65" t="n"/>
    </row>
    <row r="388">
      <c r="A388" s="8" t="inlineStr">
        <is>
          <t>M</t>
        </is>
      </c>
      <c r="B388" s="9" t="inlineStr">
        <is>
          <t>100 Fly</t>
        </is>
      </c>
      <c r="C388" s="9" t="n">
        <v>17</v>
      </c>
      <c r="D388" s="9" t="n">
        <v>1</v>
      </c>
      <c r="E388" s="41" t="inlineStr">
        <is>
          <t>53.75</t>
        </is>
      </c>
      <c r="F388" s="35">
        <f>IFERROR(__xludf.DUMMYFUNCTION("IF(
  REGEXMATCH(E388, "":""),
  60*VALUE(INDEX(SPLIT(E388, "":""),1,1)) + VALUE(INDEX(SPLIT(E388, "":""),1,2)),
  VALUE(E388)
)"),53.75)</f>
        <v/>
      </c>
      <c r="G388" s="35">
        <f>F387-F388</f>
        <v/>
      </c>
      <c r="H388" s="35" t="n">
        <v>1.399999999999999</v>
      </c>
      <c r="I388" s="215">
        <f>C387</f>
        <v/>
      </c>
      <c r="J388" s="215">
        <f>C404</f>
        <v/>
      </c>
      <c r="K388" s="43">
        <f t="array" ref="K388">INDEX('Podium Target Times'!$C:$C, MATCH(A388&amp;B388, 'Podium Target Times'!$A:$A&amp;'Podium Target Times'!$B:$B, 0))
</f>
        <v/>
      </c>
      <c r="L388" s="12">
        <f>L390+G390</f>
        <v/>
      </c>
      <c r="M388" s="43">
        <f>IF(L388&lt;60, TEXT(L388,"0.00"), IF(L388&lt;600, TEXT(L388/86400,"m:ss.00"), TEXT(L388/86400,"mm:ss.00")))
</f>
        <v/>
      </c>
      <c r="N388" s="14">
        <f>IFERROR(__xludf.DUMMYFUNCTION("LET(
  gen,$A388, ev,$B388, t,$M388,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)"),703.0)</f>
        <v/>
      </c>
      <c r="O388" s="65" t="n"/>
      <c r="P388" s="69">
        <f>A388</f>
        <v/>
      </c>
      <c r="Q388" s="65">
        <f>B388</f>
        <v/>
      </c>
      <c r="R388" s="69">
        <f>C388</f>
        <v/>
      </c>
      <c r="S388" s="58">
        <f>M388</f>
        <v/>
      </c>
      <c r="T388" s="69">
        <f>N388</f>
        <v/>
      </c>
      <c r="U388" s="65" t="n"/>
      <c r="V388" s="65" t="n"/>
      <c r="W388" s="65" t="n"/>
    </row>
    <row r="389">
      <c r="A389" s="17" t="inlineStr">
        <is>
          <t>M</t>
        </is>
      </c>
      <c r="B389" s="18" t="inlineStr">
        <is>
          <t>100 Fly</t>
        </is>
      </c>
      <c r="C389" s="18" t="n">
        <v>17</v>
      </c>
      <c r="D389" s="18" t="n">
        <v>2</v>
      </c>
      <c r="E389" s="46" t="inlineStr">
        <is>
          <t>54.31</t>
        </is>
      </c>
      <c r="F389" s="21">
        <f>IFERROR(__xludf.DUMMYFUNCTION("IF(
  REGEXMATCH(E389, "":""),
  60*VALUE(INDEX(SPLIT(E389, "":""),1,1)) + VALUE(INDEX(SPLIT(E389, "":""),1,2)),
  VALUE(E389)
)"),54.31)</f>
        <v/>
      </c>
      <c r="G389" s="21">
        <f>F387-F388</f>
        <v/>
      </c>
      <c r="H389" s="21" t="n">
        <v>1.399999999999999</v>
      </c>
      <c r="I389" s="211">
        <f>C387</f>
        <v/>
      </c>
      <c r="J389" s="211">
        <f>C404</f>
        <v/>
      </c>
      <c r="K389" s="60">
        <f t="array" ref="K389">INDEX('Podium Target Times'!$C:$C, MATCH(A389&amp;B389, 'Podium Target Times'!$A:$A&amp;'Podium Target Times'!$B:$B, 0))
</f>
        <v/>
      </c>
      <c r="L389" s="24">
        <f>L390+G390</f>
        <v/>
      </c>
      <c r="M389" s="60">
        <f>IF(L389&lt;60, TEXT(L389,"0.00"), IF(L389&lt;600, TEXT(L389/86400,"m:ss.00"), TEXT(L389/86400,"mm:ss.00")))
</f>
        <v/>
      </c>
      <c r="N389" s="25">
        <f>IFERROR(__xludf.DUMMYFUNCTION("LET(
  gen,$A389, ev,$B389, t,$M389,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)"),703.0)</f>
        <v/>
      </c>
      <c r="O389" s="65" t="n"/>
      <c r="P389" s="69">
        <f>A390</f>
        <v/>
      </c>
      <c r="Q389" s="65">
        <f>B390</f>
        <v/>
      </c>
      <c r="R389" s="69">
        <f>C390</f>
        <v/>
      </c>
      <c r="S389" s="58">
        <f>M390</f>
        <v/>
      </c>
      <c r="T389" s="69">
        <f>N390</f>
        <v/>
      </c>
      <c r="U389" s="65" t="n"/>
      <c r="V389" s="65" t="n"/>
      <c r="W389" s="65" t="n"/>
    </row>
    <row r="390">
      <c r="A390" s="8" t="inlineStr">
        <is>
          <t>M</t>
        </is>
      </c>
      <c r="B390" s="9" t="inlineStr">
        <is>
          <t>100 Fly</t>
        </is>
      </c>
      <c r="C390" s="9" t="n">
        <v>18</v>
      </c>
      <c r="D390" s="9" t="n">
        <v>1</v>
      </c>
      <c r="E390" s="41" t="inlineStr">
        <is>
          <t>52.83</t>
        </is>
      </c>
      <c r="F390" s="35">
        <f>IFERROR(__xludf.DUMMYFUNCTION("IF(
  REGEXMATCH(E390, "":""),
  60*VALUE(INDEX(SPLIT(E390, "":""),1,1)) + VALUE(INDEX(SPLIT(E390, "":""),1,2)),
  VALUE(E390)
)"),52.83)</f>
        <v/>
      </c>
      <c r="G390" s="35">
        <f>average(F388-F390,F389-F391)</f>
        <v/>
      </c>
      <c r="H390" s="35" t="n">
        <v>0.9250000000000007</v>
      </c>
      <c r="I390" s="215">
        <f>C387</f>
        <v/>
      </c>
      <c r="J390" s="215">
        <f>C404</f>
        <v/>
      </c>
      <c r="K390" s="43">
        <f t="array" ref="K390">INDEX('Podium Target Times'!$C:$C, MATCH(A390&amp;B390, 'Podium Target Times'!$A:$A&amp;'Podium Target Times'!$B:$B, 0))
</f>
        <v/>
      </c>
      <c r="L390" s="12">
        <f>L393+G393</f>
        <v/>
      </c>
      <c r="M390" s="43">
        <f>IF(L390&lt;60, TEXT(L390,"0.00"), IF(L390&lt;600, TEXT(L390/86400,"m:ss.00"), TEXT(L390/86400,"mm:ss.00")))
</f>
        <v/>
      </c>
      <c r="N390" s="14">
        <f>IFERROR(__xludf.DUMMYFUNCTION("LET(
  gen,$A390, ev,$B390, t,$M390,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390" s="65" t="n"/>
      <c r="P390" s="69">
        <f>A393</f>
        <v/>
      </c>
      <c r="Q390" s="65">
        <f>B393</f>
        <v/>
      </c>
      <c r="R390" s="69">
        <f>C393</f>
        <v/>
      </c>
      <c r="S390" s="58">
        <f>M393</f>
        <v/>
      </c>
      <c r="T390" s="69">
        <f>N393</f>
        <v/>
      </c>
      <c r="U390" s="65" t="n"/>
      <c r="V390" s="65" t="n"/>
      <c r="W390" s="65" t="n"/>
    </row>
    <row r="391">
      <c r="A391" s="17" t="inlineStr">
        <is>
          <t>M</t>
        </is>
      </c>
      <c r="B391" s="18" t="inlineStr">
        <is>
          <t>100 Fly</t>
        </is>
      </c>
      <c r="C391" s="18" t="n">
        <v>18</v>
      </c>
      <c r="D391" s="18" t="n">
        <v>2</v>
      </c>
      <c r="E391" s="46" t="inlineStr">
        <is>
          <t>53.38</t>
        </is>
      </c>
      <c r="F391" s="21">
        <f>IFERROR(__xludf.DUMMYFUNCTION("IF(
  REGEXMATCH(E391, "":""),
  60*VALUE(INDEX(SPLIT(E391, "":""),1,1)) + VALUE(INDEX(SPLIT(E391, "":""),1,2)),
  VALUE(E391)
)"),53.38)</f>
        <v/>
      </c>
      <c r="G391" s="21">
        <f>average(F388-F390,F389-F391)</f>
        <v/>
      </c>
      <c r="H391" s="21" t="n">
        <v>0.9250000000000007</v>
      </c>
      <c r="I391" s="211">
        <f>C387</f>
        <v/>
      </c>
      <c r="J391" s="211">
        <f>C404</f>
        <v/>
      </c>
      <c r="K391" s="60">
        <f t="array" ref="K391">INDEX('Podium Target Times'!$C:$C, MATCH(A391&amp;B391, 'Podium Target Times'!$A:$A&amp;'Podium Target Times'!$B:$B, 0))
</f>
        <v/>
      </c>
      <c r="L391" s="24">
        <f>L393+G393</f>
        <v/>
      </c>
      <c r="M391" s="60">
        <f>IF(L391&lt;60, TEXT(L391,"0.00"), IF(L391&lt;600, TEXT(L391/86400,"m:ss.00"), TEXT(L391/86400,"mm:ss.00")))
</f>
        <v/>
      </c>
      <c r="N391" s="25">
        <f>IFERROR(__xludf.DUMMYFUNCTION("LET(
  gen,$A391, ev,$B391, t,$M391,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391" s="65" t="n"/>
      <c r="P391" s="69">
        <f>A396</f>
        <v/>
      </c>
      <c r="Q391" s="65">
        <f>B396</f>
        <v/>
      </c>
      <c r="R391" s="69">
        <f>C396</f>
        <v/>
      </c>
      <c r="S391" s="58">
        <f>M396</f>
        <v/>
      </c>
      <c r="T391" s="69">
        <f>N396</f>
        <v/>
      </c>
      <c r="U391" s="65" t="n"/>
      <c r="V391" s="65" t="n"/>
      <c r="W391" s="65" t="n"/>
    </row>
    <row r="392">
      <c r="A392" s="8" t="inlineStr">
        <is>
          <t>M</t>
        </is>
      </c>
      <c r="B392" s="9" t="inlineStr">
        <is>
          <t>100 Fly</t>
        </is>
      </c>
      <c r="C392" s="9" t="n">
        <v>18</v>
      </c>
      <c r="D392" s="9" t="n">
        <v>3</v>
      </c>
      <c r="E392" s="41" t="inlineStr">
        <is>
          <t>53.52</t>
        </is>
      </c>
      <c r="F392" s="35">
        <f>IFERROR(__xludf.DUMMYFUNCTION("IF(
  REGEXMATCH(E392, "":""),
  60*VALUE(INDEX(SPLIT(E392, "":""),1,1)) + VALUE(INDEX(SPLIT(E392, "":""),1,2)),
  VALUE(E392)
)"),53.52)</f>
        <v/>
      </c>
      <c r="G392" s="35">
        <f>average(F388-F390,F389-F391)</f>
        <v/>
      </c>
      <c r="H392" s="35" t="n">
        <v>0.9250000000000007</v>
      </c>
      <c r="I392" s="215">
        <f>C387</f>
        <v/>
      </c>
      <c r="J392" s="215">
        <f>C404</f>
        <v/>
      </c>
      <c r="K392" s="43">
        <f t="array" ref="K392">INDEX('Podium Target Times'!$C:$C, MATCH(A392&amp;B392, 'Podium Target Times'!$A:$A&amp;'Podium Target Times'!$B:$B, 0))
</f>
        <v/>
      </c>
      <c r="L392" s="12">
        <f>L393+G393</f>
        <v/>
      </c>
      <c r="M392" s="43">
        <f>IF(L392&lt;60, TEXT(L392,"0.00"), IF(L392&lt;600, TEXT(L392/86400,"m:ss.00"), TEXT(L392/86400,"mm:ss.00")))
</f>
        <v/>
      </c>
      <c r="N392" s="14">
        <f>IFERROR(__xludf.DUMMYFUNCTION("LET(
  gen,$A392, ev,$B392, t,$M392,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392" s="65" t="n"/>
      <c r="P392" s="69">
        <f>A399</f>
        <v/>
      </c>
      <c r="Q392" s="65">
        <f>B399</f>
        <v/>
      </c>
      <c r="R392" s="69">
        <f>C399</f>
        <v/>
      </c>
      <c r="S392" s="58">
        <f>M399</f>
        <v/>
      </c>
      <c r="T392" s="69">
        <f>N399</f>
        <v/>
      </c>
      <c r="U392" s="65" t="n"/>
      <c r="V392" s="65" t="n"/>
      <c r="W392" s="65" t="n"/>
    </row>
    <row r="393">
      <c r="A393" s="17" t="inlineStr">
        <is>
          <t>M</t>
        </is>
      </c>
      <c r="B393" s="18" t="inlineStr">
        <is>
          <t>100 Fly</t>
        </is>
      </c>
      <c r="C393" s="18" t="n">
        <v>19</v>
      </c>
      <c r="D393" s="18" t="n">
        <v>1</v>
      </c>
      <c r="E393" s="46" t="inlineStr">
        <is>
          <t>52.22</t>
        </is>
      </c>
      <c r="F393" s="21">
        <f>IFERROR(__xludf.DUMMYFUNCTION("IF(
  REGEXMATCH(E393, "":""),
  60*VALUE(INDEX(SPLIT(E393, "":""),1,1)) + VALUE(INDEX(SPLIT(E393, "":""),1,2)),
  VALUE(E393)
)"),52.22)</f>
        <v/>
      </c>
      <c r="G393" s="21">
        <f>average(F390-F393,F391-F394,F392-F395)</f>
        <v/>
      </c>
      <c r="H393" s="21" t="n">
        <v>0.6166666666666695</v>
      </c>
      <c r="I393" s="211">
        <f>C387</f>
        <v/>
      </c>
      <c r="J393" s="211">
        <f>C404</f>
        <v/>
      </c>
      <c r="K393" s="60">
        <f t="array" ref="K393">INDEX('Podium Target Times'!$C:$C, MATCH(A393&amp;B393, 'Podium Target Times'!$A:$A&amp;'Podium Target Times'!$B:$B, 0))
</f>
        <v/>
      </c>
      <c r="L393" s="24">
        <f>L396+G396</f>
        <v/>
      </c>
      <c r="M393" s="60">
        <f>IF(L393&lt;60, TEXT(L393,"0.00"), IF(L393&lt;600, TEXT(L393/86400,"m:ss.00"), TEXT(L393/86400,"mm:ss.00")))
</f>
        <v/>
      </c>
      <c r="N393" s="25">
        <f>IFERROR(__xludf.DUMMYFUNCTION("LET(
  gen,$A393, ev,$B393, t,$M393,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O393" s="65" t="n"/>
      <c r="P393" s="69">
        <f>A401</f>
        <v/>
      </c>
      <c r="Q393" s="65">
        <f>B401</f>
        <v/>
      </c>
      <c r="R393" s="69">
        <f>C401</f>
        <v/>
      </c>
      <c r="S393" s="58">
        <f>M401</f>
        <v/>
      </c>
      <c r="T393" s="69">
        <f>N401</f>
        <v/>
      </c>
      <c r="U393" s="65" t="n"/>
      <c r="V393" s="65" t="n"/>
      <c r="W393" s="65" t="n"/>
    </row>
    <row r="394">
      <c r="A394" s="8" t="inlineStr">
        <is>
          <t>M</t>
        </is>
      </c>
      <c r="B394" s="9" t="inlineStr">
        <is>
          <t>100 Fly</t>
        </is>
      </c>
      <c r="C394" s="9" t="n">
        <v>19</v>
      </c>
      <c r="D394" s="9" t="n">
        <v>2</v>
      </c>
      <c r="E394" s="41" t="inlineStr">
        <is>
          <t>52.76</t>
        </is>
      </c>
      <c r="F394" s="35">
        <f>IFERROR(__xludf.DUMMYFUNCTION("IF(
  REGEXMATCH(E394, "":""),
  60*VALUE(INDEX(SPLIT(E394, "":""),1,1)) + VALUE(INDEX(SPLIT(E394, "":""),1,2)),
  VALUE(E394)
)"),52.76)</f>
        <v/>
      </c>
      <c r="G394" s="35">
        <f>average(F390-F393,F391-F394,F392-F395)</f>
        <v/>
      </c>
      <c r="H394" s="35" t="n">
        <v>0.6166666666666695</v>
      </c>
      <c r="I394" s="215">
        <f>C387</f>
        <v/>
      </c>
      <c r="J394" s="215">
        <f>C404</f>
        <v/>
      </c>
      <c r="K394" s="43">
        <f t="array" ref="K394">INDEX('Podium Target Times'!$C:$C, MATCH(A394&amp;B394, 'Podium Target Times'!$A:$A&amp;'Podium Target Times'!$B:$B, 0))
</f>
        <v/>
      </c>
      <c r="L394" s="12">
        <f>L396+G396</f>
        <v/>
      </c>
      <c r="M394" s="43">
        <f>IF(L394&lt;60, TEXT(L394,"0.00"), IF(L394&lt;600, TEXT(L394/86400,"m:ss.00"), TEXT(L394/86400,"mm:ss.00")))
</f>
        <v/>
      </c>
      <c r="N394" s="14">
        <f>IFERROR(__xludf.DUMMYFUNCTION("LET(
  gen,$A394, ev,$B394, t,$M394,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O394" s="65" t="n"/>
      <c r="P394" s="69">
        <f>A403</f>
        <v/>
      </c>
      <c r="Q394" s="65">
        <f>B403</f>
        <v/>
      </c>
      <c r="R394" s="69">
        <f>C403</f>
        <v/>
      </c>
      <c r="S394" s="58">
        <f>M403</f>
        <v/>
      </c>
      <c r="T394" s="69">
        <f>N403</f>
        <v/>
      </c>
      <c r="U394" s="65" t="n"/>
      <c r="V394" s="65" t="n"/>
      <c r="W394" s="65" t="n"/>
    </row>
    <row r="395">
      <c r="A395" s="17" t="inlineStr">
        <is>
          <t>M</t>
        </is>
      </c>
      <c r="B395" s="18" t="inlineStr">
        <is>
          <t>100 Fly</t>
        </is>
      </c>
      <c r="C395" s="18" t="n">
        <v>19</v>
      </c>
      <c r="D395" s="18" t="n">
        <v>3</v>
      </c>
      <c r="E395" s="46" t="inlineStr">
        <is>
          <t>52.90</t>
        </is>
      </c>
      <c r="F395" s="21">
        <f>IFERROR(__xludf.DUMMYFUNCTION("IF(
  REGEXMATCH(E395, "":""),
  60*VALUE(INDEX(SPLIT(E395, "":""),1,1)) + VALUE(INDEX(SPLIT(E395, "":""),1,2)),
  VALUE(E395)
)"),52.9)</f>
        <v/>
      </c>
      <c r="G395" s="21">
        <f>average(F390-F393,F391-F394,F392-F395)</f>
        <v/>
      </c>
      <c r="H395" s="21" t="n">
        <v>0.6166666666666695</v>
      </c>
      <c r="I395" s="211">
        <f>C387</f>
        <v/>
      </c>
      <c r="J395" s="211">
        <f>C404</f>
        <v/>
      </c>
      <c r="K395" s="60">
        <f t="array" ref="K395">INDEX('Podium Target Times'!$C:$C, MATCH(A395&amp;B395, 'Podium Target Times'!$A:$A&amp;'Podium Target Times'!$B:$B, 0))
</f>
        <v/>
      </c>
      <c r="L395" s="24">
        <f>L396+G396</f>
        <v/>
      </c>
      <c r="M395" s="60">
        <f>IF(L395&lt;60, TEXT(L395,"0.00"), IF(L395&lt;600, TEXT(L395/86400,"m:ss.00"), TEXT(L395/86400,"mm:ss.00")))
</f>
        <v/>
      </c>
      <c r="N395" s="25">
        <f>IFERROR(__xludf.DUMMYFUNCTION("LET(
  gen,$A395, ev,$B395, t,$M395,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O395" s="65" t="n"/>
      <c r="P395" s="69">
        <f>A404</f>
        <v/>
      </c>
      <c r="Q395" s="65">
        <f>B404</f>
        <v/>
      </c>
      <c r="R395" s="69">
        <f>C404</f>
        <v/>
      </c>
      <c r="S395" s="58">
        <f>M404</f>
        <v/>
      </c>
      <c r="T395" s="69">
        <f>N404</f>
        <v/>
      </c>
      <c r="U395" s="65" t="n">
        <v>816</v>
      </c>
      <c r="V395" s="65" t="n"/>
      <c r="W395" s="65" t="n"/>
    </row>
    <row r="396">
      <c r="A396" s="8" t="inlineStr">
        <is>
          <t>M</t>
        </is>
      </c>
      <c r="B396" s="9" t="inlineStr">
        <is>
          <t>100 Fly</t>
        </is>
      </c>
      <c r="C396" s="9" t="n">
        <v>20</v>
      </c>
      <c r="D396" s="9" t="n">
        <v>1</v>
      </c>
      <c r="E396" s="41" t="inlineStr">
        <is>
          <t>51.77</t>
        </is>
      </c>
      <c r="F396" s="35">
        <f>IFERROR(__xludf.DUMMYFUNCTION("IF(
  REGEXMATCH(E396, "":""),
  60*VALUE(INDEX(SPLIT(E396, "":""),1,1)) + VALUE(INDEX(SPLIT(E396, "":""),1,2)),
  VALUE(E396)
)"),51.77)</f>
        <v/>
      </c>
      <c r="G396" s="35">
        <f>average(F393-F396,F394-F397,F395-F398)</f>
        <v/>
      </c>
      <c r="H396" s="35" t="n">
        <v>0.4499999999999957</v>
      </c>
      <c r="I396" s="215">
        <f>C387</f>
        <v/>
      </c>
      <c r="J396" s="215">
        <f>C404</f>
        <v/>
      </c>
      <c r="K396" s="43">
        <f t="array" ref="K396">INDEX('Podium Target Times'!$C:$C, MATCH(A396&amp;B396, 'Podium Target Times'!$A:$A&amp;'Podium Target Times'!$B:$B, 0))
</f>
        <v/>
      </c>
      <c r="L396" s="12">
        <f>L399+G399</f>
        <v/>
      </c>
      <c r="M396" s="43">
        <f>IF(L396&lt;60, TEXT(L396,"0.00"), IF(L396&lt;600, TEXT(L396/86400,"m:ss.00"), TEXT(L396/86400,"mm:ss.00")))
</f>
        <v/>
      </c>
      <c r="N396" s="14">
        <f>IFERROR(__xludf.DUMMYFUNCTION("LET(
  gen,$A396, ev,$B396, t,$M396,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
      </c>
      <c r="O396" s="65" t="n"/>
      <c r="P396" s="69">
        <f>P395</f>
        <v/>
      </c>
      <c r="Q396" s="65">
        <f>Q395</f>
        <v/>
      </c>
      <c r="R396" s="69">
        <f>R395+1</f>
        <v/>
      </c>
      <c r="S396" s="58">
        <f>M405</f>
        <v/>
      </c>
      <c r="T396" s="69">
        <f>N405</f>
        <v/>
      </c>
      <c r="U396" s="65" t="n"/>
      <c r="V396" s="65" t="n"/>
      <c r="W396" s="65" t="n"/>
    </row>
    <row r="397">
      <c r="A397" s="17" t="inlineStr">
        <is>
          <t>M</t>
        </is>
      </c>
      <c r="B397" s="18" t="inlineStr">
        <is>
          <t>100 Fly</t>
        </is>
      </c>
      <c r="C397" s="18" t="n">
        <v>20</v>
      </c>
      <c r="D397" s="18" t="n">
        <v>2</v>
      </c>
      <c r="E397" s="46" t="inlineStr">
        <is>
          <t>52.31</t>
        </is>
      </c>
      <c r="F397" s="21">
        <f>IFERROR(__xludf.DUMMYFUNCTION("IF(
  REGEXMATCH(E397, "":""),
  60*VALUE(INDEX(SPLIT(E397, "":""),1,1)) + VALUE(INDEX(SPLIT(E397, "":""),1,2)),
  VALUE(E397)
)"),52.31)</f>
        <v/>
      </c>
      <c r="G397" s="21">
        <f>average(F393-F396,F394-F397,F395-F398)</f>
        <v/>
      </c>
      <c r="H397" s="21" t="n">
        <v>0.4499999999999957</v>
      </c>
      <c r="I397" s="211">
        <f>C387</f>
        <v/>
      </c>
      <c r="J397" s="211">
        <f>C404</f>
        <v/>
      </c>
      <c r="K397" s="60">
        <f t="array" ref="K397">INDEX('Podium Target Times'!$C:$C, MATCH(A397&amp;B397, 'Podium Target Times'!$A:$A&amp;'Podium Target Times'!$B:$B, 0))
</f>
        <v/>
      </c>
      <c r="L397" s="24">
        <f>L399+G399</f>
        <v/>
      </c>
      <c r="M397" s="60">
        <f>IF(L397&lt;60, TEXT(L397,"0.00"), IF(L397&lt;600, TEXT(L397/86400,"m:ss.00"), TEXT(L397/86400,"mm:ss.00")))
</f>
        <v/>
      </c>
      <c r="N397" s="25">
        <f>IFERROR(__xludf.DUMMYFUNCTION("LET(
  gen,$A397, ev,$B397, t,$M397,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
      </c>
      <c r="O397" s="65" t="n"/>
      <c r="P397" s="69" t="n"/>
      <c r="Q397" s="65" t="n"/>
      <c r="R397" s="69" t="n"/>
      <c r="S397" s="58" t="n"/>
      <c r="T397" s="69" t="n"/>
      <c r="U397" s="65" t="n"/>
      <c r="V397" s="65" t="n"/>
      <c r="W397" s="65" t="n"/>
    </row>
    <row r="398">
      <c r="A398" s="8" t="inlineStr">
        <is>
          <t>M</t>
        </is>
      </c>
      <c r="B398" s="9" t="inlineStr">
        <is>
          <t>100 Fly</t>
        </is>
      </c>
      <c r="C398" s="9" t="n">
        <v>20</v>
      </c>
      <c r="D398" s="9" t="n">
        <v>3</v>
      </c>
      <c r="E398" s="41" t="inlineStr">
        <is>
          <t>52.45</t>
        </is>
      </c>
      <c r="F398" s="35">
        <f>IFERROR(__xludf.DUMMYFUNCTION("IF(
  REGEXMATCH(E398, "":""),
  60*VALUE(INDEX(SPLIT(E398, "":""),1,1)) + VALUE(INDEX(SPLIT(E398, "":""),1,2)),
  VALUE(E398)
)"),52.45)</f>
        <v/>
      </c>
      <c r="G398" s="35">
        <f>average(F393-F396,F394-F397,F395-F398)</f>
        <v/>
      </c>
      <c r="H398" s="35" t="n">
        <v>0.4499999999999957</v>
      </c>
      <c r="I398" s="215">
        <f>C387</f>
        <v/>
      </c>
      <c r="J398" s="215">
        <f>C404</f>
        <v/>
      </c>
      <c r="K398" s="43">
        <f t="array" ref="K398">INDEX('Podium Target Times'!$C:$C, MATCH(A398&amp;B398, 'Podium Target Times'!$A:$A&amp;'Podium Target Times'!$B:$B, 0))
</f>
        <v/>
      </c>
      <c r="L398" s="12">
        <f>L399+G399</f>
        <v/>
      </c>
      <c r="M398" s="43">
        <f>IF(L398&lt;60, TEXT(L398,"0.00"), IF(L398&lt;600, TEXT(L398/86400,"m:ss.00"), TEXT(L398/86400,"mm:ss.00")))
</f>
        <v/>
      </c>
      <c r="N398" s="14">
        <f>IFERROR(__xludf.DUMMYFUNCTION("LET(
  gen,$A398, ev,$B398, t,$M398,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
      </c>
      <c r="O398" s="65" t="n"/>
      <c r="P398" s="69" t="n"/>
      <c r="Q398" s="65" t="n"/>
      <c r="R398" s="69" t="n"/>
      <c r="S398" s="58" t="n"/>
      <c r="T398" s="69" t="n"/>
      <c r="U398" s="65" t="n"/>
      <c r="V398" s="65" t="n"/>
      <c r="W398" s="65" t="n"/>
    </row>
    <row r="399">
      <c r="A399" s="17" t="inlineStr">
        <is>
          <t>M</t>
        </is>
      </c>
      <c r="B399" s="18" t="inlineStr">
        <is>
          <t>100 Fly</t>
        </is>
      </c>
      <c r="C399" s="18" t="n">
        <v>21</v>
      </c>
      <c r="D399" s="18" t="n">
        <v>2</v>
      </c>
      <c r="E399" s="46" t="inlineStr">
        <is>
          <t>51.99</t>
        </is>
      </c>
      <c r="F399" s="21">
        <f>IFERROR(__xludf.DUMMYFUNCTION("IF(
  REGEXMATCH(E399, "":""),
  60*VALUE(INDEX(SPLIT(E399, "":""),1,1)) + VALUE(INDEX(SPLIT(E399, "":""),1,2)),
  VALUE(E399)
)"),51.99)</f>
        <v/>
      </c>
      <c r="G399" s="21">
        <f>average(F397-F399,F398-F400)</f>
        <v/>
      </c>
      <c r="H399" s="21" t="n">
        <v>0.3200000000000003</v>
      </c>
      <c r="I399" s="211">
        <f>C387</f>
        <v/>
      </c>
      <c r="J399" s="211">
        <f>C404</f>
        <v/>
      </c>
      <c r="K399" s="60">
        <f t="array" ref="K399">INDEX('Podium Target Times'!$C:$C, MATCH(A399&amp;B399, 'Podium Target Times'!$A:$A&amp;'Podium Target Times'!$B:$B, 0))
</f>
        <v/>
      </c>
      <c r="L399" s="24">
        <f>L401+G401</f>
        <v/>
      </c>
      <c r="M399" s="60">
        <f>IF(L399&lt;60, TEXT(L399,"0.00"), IF(L399&lt;600, TEXT(L399/86400,"m:ss.00"), TEXT(L399/86400,"mm:ss.00")))
</f>
        <v/>
      </c>
      <c r="N399" s="25">
        <f>IFERROR(__xludf.DUMMYFUNCTION("LET(
  gen,$A399, ev,$B399, t,$M399,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O399" s="65" t="n"/>
      <c r="P399" s="69" t="n"/>
      <c r="Q399" s="65" t="n"/>
      <c r="R399" s="69" t="n"/>
      <c r="S399" s="58" t="n"/>
      <c r="T399" s="69" t="n"/>
      <c r="U399" s="65" t="n"/>
      <c r="V399" s="65" t="n"/>
      <c r="W399" s="65" t="n"/>
    </row>
    <row r="400">
      <c r="A400" s="8" t="inlineStr">
        <is>
          <t>M</t>
        </is>
      </c>
      <c r="B400" s="9" t="inlineStr">
        <is>
          <t>100 Fly</t>
        </is>
      </c>
      <c r="C400" s="9" t="n">
        <v>21</v>
      </c>
      <c r="D400" s="9" t="n">
        <v>3</v>
      </c>
      <c r="E400" s="41" t="inlineStr">
        <is>
          <t>52.13</t>
        </is>
      </c>
      <c r="F400" s="35">
        <f>IFERROR(__xludf.DUMMYFUNCTION("IF(
  REGEXMATCH(E400, "":""),
  60*VALUE(INDEX(SPLIT(E400, "":""),1,1)) + VALUE(INDEX(SPLIT(E400, "":""),1,2)),
  VALUE(E400)
)"),52.13)</f>
        <v/>
      </c>
      <c r="G400" s="35">
        <f>average(F397-F399,F398-F400)</f>
        <v/>
      </c>
      <c r="H400" s="35" t="n">
        <v>0.3200000000000003</v>
      </c>
      <c r="I400" s="215">
        <f>C387</f>
        <v/>
      </c>
      <c r="J400" s="215">
        <f>C404</f>
        <v/>
      </c>
      <c r="K400" s="43">
        <f t="array" ref="K400">INDEX('Podium Target Times'!$C:$C, MATCH(A400&amp;B400, 'Podium Target Times'!$A:$A&amp;'Podium Target Times'!$B:$B, 0))
</f>
        <v/>
      </c>
      <c r="L400" s="12">
        <f>L401+G401</f>
        <v/>
      </c>
      <c r="M400" s="43">
        <f>IF(L400&lt;60, TEXT(L400,"0.00"), IF(L400&lt;600, TEXT(L400/86400,"m:ss.00"), TEXT(L400/86400,"mm:ss.00")))
</f>
        <v/>
      </c>
      <c r="N400" s="14">
        <f>IFERROR(__xludf.DUMMYFUNCTION("LET(
  gen,$A400, ev,$B400, t,$M400,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O400" s="65" t="n"/>
      <c r="P400" s="69" t="n"/>
      <c r="Q400" s="65" t="n"/>
      <c r="R400" s="69" t="n"/>
      <c r="S400" s="58" t="n"/>
      <c r="T400" s="69" t="n"/>
      <c r="U400" s="65" t="n"/>
      <c r="V400" s="65" t="n"/>
      <c r="W400" s="65" t="n"/>
    </row>
    <row r="401">
      <c r="A401" s="17" t="inlineStr">
        <is>
          <t>M</t>
        </is>
      </c>
      <c r="B401" s="18" t="inlineStr">
        <is>
          <t>100 Fly</t>
        </is>
      </c>
      <c r="C401" s="18" t="n">
        <v>22</v>
      </c>
      <c r="D401" s="18" t="n">
        <v>2</v>
      </c>
      <c r="E401" s="46" t="inlineStr">
        <is>
          <t>51.77</t>
        </is>
      </c>
      <c r="F401" s="21">
        <f>IFERROR(__xludf.DUMMYFUNCTION("IF(
  REGEXMATCH(E401, "":""),
  60*VALUE(INDEX(SPLIT(E401, "":""),1,1)) + VALUE(INDEX(SPLIT(E401, "":""),1,2)),
  VALUE(E401)
)"),51.77)</f>
        <v/>
      </c>
      <c r="G401" s="21">
        <f>average(F399-F401,F400-F402)</f>
        <v/>
      </c>
      <c r="H401" s="21" t="n">
        <v>0.2250000000000014</v>
      </c>
      <c r="I401" s="211">
        <f>C387</f>
        <v/>
      </c>
      <c r="J401" s="211">
        <f>C404</f>
        <v/>
      </c>
      <c r="K401" s="60">
        <f t="array" ref="K401">INDEX('Podium Target Times'!$C:$C, MATCH(A401&amp;B401, 'Podium Target Times'!$A:$A&amp;'Podium Target Times'!$B:$B, 0))
</f>
        <v/>
      </c>
      <c r="L401" s="24">
        <f>L403+G403</f>
        <v/>
      </c>
      <c r="M401" s="60">
        <f>IF(L401&lt;60, TEXT(L401,"0.00"), IF(L401&lt;600, TEXT(L401/86400,"m:ss.00"), TEXT(L401/86400,"mm:ss.00")))
</f>
        <v/>
      </c>
      <c r="N401" s="25">
        <f>IFERROR(__xludf.DUMMYFUNCTION("LET(
  gen,$A401, ev,$B401, t,$M401,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)"),809.0)</f>
        <v/>
      </c>
      <c r="O401" s="65" t="n"/>
      <c r="P401" s="69" t="n"/>
      <c r="Q401" s="65" t="n"/>
      <c r="R401" s="69" t="n"/>
      <c r="S401" s="58" t="n"/>
      <c r="T401" s="69" t="n"/>
      <c r="U401" s="65" t="n"/>
      <c r="V401" s="65" t="n"/>
      <c r="W401" s="65" t="n"/>
    </row>
    <row r="402">
      <c r="A402" s="8" t="inlineStr">
        <is>
          <t>M</t>
        </is>
      </c>
      <c r="B402" s="9" t="inlineStr">
        <is>
          <t>100 Fly</t>
        </is>
      </c>
      <c r="C402" s="9" t="n">
        <v>22</v>
      </c>
      <c r="D402" s="9" t="n">
        <v>3</v>
      </c>
      <c r="E402" s="41" t="inlineStr">
        <is>
          <t>51.90</t>
        </is>
      </c>
      <c r="F402" s="35">
        <f>IFERROR(__xludf.DUMMYFUNCTION("IF(
  REGEXMATCH(E402, "":""),
  60*VALUE(INDEX(SPLIT(E402, "":""),1,1)) + VALUE(INDEX(SPLIT(E402, "":""),1,2)),
  VALUE(E402)
)"),51.9)</f>
        <v/>
      </c>
      <c r="G402" s="35">
        <f>average(F399-F401,F400-F402)</f>
        <v/>
      </c>
      <c r="H402" s="35" t="n">
        <v>0.2250000000000014</v>
      </c>
      <c r="I402" s="215">
        <f>C387</f>
        <v/>
      </c>
      <c r="J402" s="215">
        <f>C404</f>
        <v/>
      </c>
      <c r="K402" s="43">
        <f t="array" ref="K402">INDEX('Podium Target Times'!$C:$C, MATCH(A402&amp;B402, 'Podium Target Times'!$A:$A&amp;'Podium Target Times'!$B:$B, 0))
</f>
        <v/>
      </c>
      <c r="L402" s="12">
        <f>L403+G403</f>
        <v/>
      </c>
      <c r="M402" s="43">
        <f>IF(L402&lt;60, TEXT(L402,"0.00"), IF(L402&lt;600, TEXT(L402/86400,"m:ss.00"), TEXT(L402/86400,"mm:ss.00")))
</f>
        <v/>
      </c>
      <c r="N402" s="14">
        <f>IFERROR(__xludf.DUMMYFUNCTION("LET(
  gen,$A402, ev,$B402, t,$M402,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)"),809.0)</f>
        <v/>
      </c>
      <c r="O402" s="65" t="n"/>
      <c r="P402" s="69" t="n"/>
      <c r="Q402" s="65" t="n"/>
      <c r="R402" s="69" t="n"/>
      <c r="S402" s="58" t="n"/>
      <c r="T402" s="69" t="n"/>
      <c r="U402" s="65" t="n"/>
      <c r="V402" s="65" t="n"/>
      <c r="W402" s="65" t="n"/>
    </row>
    <row r="403">
      <c r="A403" s="17" t="inlineStr">
        <is>
          <t>M</t>
        </is>
      </c>
      <c r="B403" s="18" t="inlineStr">
        <is>
          <t>100 Fly</t>
        </is>
      </c>
      <c r="C403" s="18" t="n">
        <v>23</v>
      </c>
      <c r="D403" s="18" t="n">
        <v>3</v>
      </c>
      <c r="E403" s="46" t="inlineStr">
        <is>
          <t>51.79</t>
        </is>
      </c>
      <c r="F403" s="21">
        <f>IFERROR(__xludf.DUMMYFUNCTION("IF(
  REGEXMATCH(E403, "":""),
  60*VALUE(INDEX(SPLIT(E403, "":""),1,1)) + VALUE(INDEX(SPLIT(E403, "":""),1,2)),
  VALUE(E403)
)"),51.79)</f>
        <v/>
      </c>
      <c r="G403" s="21">
        <f>F402-F403</f>
        <v/>
      </c>
      <c r="H403" s="21" t="n">
        <v>0.1099999999999994</v>
      </c>
      <c r="I403" s="211">
        <f>C387</f>
        <v/>
      </c>
      <c r="J403" s="211">
        <f>C404</f>
        <v/>
      </c>
      <c r="K403" s="60">
        <f t="array" ref="K403">INDEX('Podium Target Times'!$C:$C, MATCH(A403&amp;B403, 'Podium Target Times'!$A:$A&amp;'Podium Target Times'!$B:$B, 0))
</f>
        <v/>
      </c>
      <c r="L403" s="24">
        <f>L404+G404</f>
        <v/>
      </c>
      <c r="M403" s="60">
        <f>IF(L403&lt;60, TEXT(L403,"0.00"), IF(L403&lt;600, TEXT(L403/86400,"m:ss.00"), TEXT(L403/86400,"mm:ss.00")))
</f>
        <v/>
      </c>
      <c r="N403" s="25">
        <f>IFERROR(__xludf.DUMMYFUNCTION("LET(
  gen,$A403, ev,$B403, t,$M403,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
      </c>
      <c r="O403" s="65" t="n"/>
      <c r="P403" s="69" t="n"/>
      <c r="Q403" s="65" t="n"/>
      <c r="R403" s="69" t="n"/>
      <c r="S403" s="58" t="n"/>
      <c r="T403" s="69" t="n"/>
      <c r="U403" s="65" t="n"/>
      <c r="V403" s="65" t="n"/>
      <c r="W403" s="65" t="n"/>
    </row>
    <row r="404">
      <c r="A404" s="8" t="inlineStr">
        <is>
          <t>M</t>
        </is>
      </c>
      <c r="B404" s="9" t="inlineStr">
        <is>
          <t>100 Fly</t>
        </is>
      </c>
      <c r="C404" s="9" t="n">
        <v>24</v>
      </c>
      <c r="D404" s="9" t="n">
        <v>3</v>
      </c>
      <c r="E404" s="41" t="inlineStr">
        <is>
          <t>51.77</t>
        </is>
      </c>
      <c r="F404" s="35">
        <f>IFERROR(__xludf.DUMMYFUNCTION("IF(
  REGEXMATCH(E404, "":""),
  60*VALUE(INDEX(SPLIT(E404, "":""),1,1)) + VALUE(INDEX(SPLIT(E404, "":""),1,2)),
  VALUE(E404)
)"),51.77)</f>
        <v/>
      </c>
      <c r="G404" s="35">
        <f>F403-F404</f>
        <v/>
      </c>
      <c r="H404" s="35" t="n">
        <v>0.01999999999999602</v>
      </c>
      <c r="I404" s="215">
        <f>C387</f>
        <v/>
      </c>
      <c r="J404" s="215">
        <f>C404</f>
        <v/>
      </c>
      <c r="K404" s="43">
        <f t="array" ref="K404">INDEX('Podium Target Times'!$C:$C, MATCH(A404&amp;B404, 'Podium Target Times'!$A:$A&amp;'Podium Target Times'!$B:$B, 0))
</f>
        <v/>
      </c>
      <c r="L404" s="35">
        <f>G404+L405</f>
        <v/>
      </c>
      <c r="M404" s="43">
        <f>IF(L404&lt;60, TEXT(L404,"0.00"), IF(L404&lt;600, TEXT(L404/86400,"m:ss.00"), TEXT(L404/86400,"mm:ss.00")))
</f>
        <v/>
      </c>
      <c r="N404" s="14">
        <f>IFERROR(__xludf.DUMMYFUNCTION("LET(
  gen,$A404, ev,$B404, t,$M404,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
      </c>
      <c r="O404" s="65" t="n"/>
      <c r="P404" s="69" t="n"/>
      <c r="Q404" s="65" t="n"/>
      <c r="R404" s="69" t="n"/>
      <c r="S404" s="58" t="n"/>
      <c r="T404" s="69" t="n"/>
      <c r="U404" s="65" t="n"/>
      <c r="V404" s="65" t="n"/>
      <c r="W404" s="65" t="n"/>
    </row>
    <row r="405">
      <c r="A405" s="17" t="inlineStr">
        <is>
          <t>M</t>
        </is>
      </c>
      <c r="B405" s="18" t="inlineStr">
        <is>
          <t>100 Fly</t>
        </is>
      </c>
      <c r="C405" s="18" t="n">
        <v>25</v>
      </c>
      <c r="D405" s="18" t="n"/>
      <c r="E405" s="46" t="n"/>
      <c r="F405" s="21">
        <f>IFERROR(__xludf.DUMMYFUNCTION("IF(
  REGEXMATCH(E405, "":""),
  60*VALUE(INDEX(SPLIT(E405, "":""),1,1)) + VALUE(INDEX(SPLIT(E405, "":""),1,2)),
  VALUE(E405)
)"),0.0)</f>
        <v/>
      </c>
      <c r="G405" s="24" t="n"/>
      <c r="H405" s="24" t="n"/>
      <c r="I405" s="60">
        <f>C387</f>
        <v/>
      </c>
      <c r="J405" s="60">
        <f>C404</f>
        <v/>
      </c>
      <c r="K405" s="60">
        <f t="array" ref="K405">INDEX('Podium Target Times'!$C:$C, MATCH(A405&amp;B405, 'Podium Target Times'!$A:$A&amp;'Podium Target Times'!$B:$B, 0))
</f>
        <v/>
      </c>
      <c r="L405" s="60">
        <f>K405</f>
        <v/>
      </c>
      <c r="M405" s="60">
        <f>IF(L405&lt;60, TEXT(L405,"0.00"), IF(L405&lt;600, TEXT(L405/86400,"m:ss.00"), TEXT(L405/86400,"mm:ss.00")))
</f>
        <v/>
      </c>
      <c r="N405" s="25">
        <f>IFERROR(__xludf.DUMMYFUNCTION("LET(
  gen,$A405, ev,$B405, t,$M405,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
      </c>
      <c r="O405" s="65" t="n"/>
      <c r="P405" s="69" t="n"/>
      <c r="Q405" s="65" t="n"/>
      <c r="R405" s="69" t="n"/>
      <c r="S405" s="58" t="n"/>
      <c r="T405" s="69" t="n"/>
      <c r="U405" s="65" t="n"/>
      <c r="V405" s="65" t="n"/>
      <c r="W405" s="65" t="n"/>
    </row>
    <row r="406">
      <c r="A406" s="8" t="inlineStr">
        <is>
          <t>M</t>
        </is>
      </c>
      <c r="B406" s="9" t="inlineStr">
        <is>
          <t>100 Free</t>
        </is>
      </c>
      <c r="C406" s="9" t="n">
        <v>15</v>
      </c>
      <c r="D406" s="9" t="n">
        <v>1</v>
      </c>
      <c r="E406" s="41" t="inlineStr">
        <is>
          <t>53.28</t>
        </is>
      </c>
      <c r="F406" s="35">
        <f>IFERROR(__xludf.DUMMYFUNCTION("IF(
  REGEXMATCH(E406, "":""),
  60*VALUE(INDEX(SPLIT(E406, "":""),1,1)) + VALUE(INDEX(SPLIT(E406, "":""),1,2)),
  VALUE(E406)
)"),53.28)</f>
        <v/>
      </c>
      <c r="G406" s="12" t="n">
        <v>0</v>
      </c>
      <c r="H406" s="12" t="n">
        <v>0</v>
      </c>
      <c r="I406" s="43">
        <f>C406</f>
        <v/>
      </c>
      <c r="J406" s="43">
        <f>C423</f>
        <v/>
      </c>
      <c r="K406" s="43">
        <f t="array" ref="K406">INDEX('Podium Target Times'!$C:$C, MATCH(A406&amp;B406, 'Podium Target Times'!$A:$A&amp;'Podium Target Times'!$B:$B, 0))
</f>
        <v/>
      </c>
      <c r="L406" s="12">
        <f>L407+G407</f>
        <v/>
      </c>
      <c r="M406" s="43">
        <f>IF(L406&lt;60, TEXT(L406,"0.00"), IF(L406&lt;600, TEXT(L406/86400,"m:ss.00"), TEXT(L406/86400,"mm:ss.00")))
</f>
        <v/>
      </c>
      <c r="N406" s="14">
        <f>IFERROR(__xludf.DUMMYFUNCTION("LET(
  gen,$A406, ev,$B406, t,$M406,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)"),560.0)</f>
        <v/>
      </c>
      <c r="O406" s="65" t="n"/>
      <c r="P406" s="69">
        <f>A406</f>
        <v/>
      </c>
      <c r="Q406" s="65">
        <f>B406</f>
        <v/>
      </c>
      <c r="R406" s="69">
        <f>C406</f>
        <v/>
      </c>
      <c r="S406" s="58">
        <f>M406</f>
        <v/>
      </c>
      <c r="T406" s="69">
        <f>N406</f>
        <v/>
      </c>
      <c r="U406" s="65" t="n">
        <v>569</v>
      </c>
      <c r="V406" s="65" t="n"/>
      <c r="W406" s="65" t="n"/>
    </row>
    <row r="407">
      <c r="A407" s="17" t="inlineStr">
        <is>
          <t>M</t>
        </is>
      </c>
      <c r="B407" s="18" t="inlineStr">
        <is>
          <t>100 Free</t>
        </is>
      </c>
      <c r="C407" s="18" t="n">
        <v>16</v>
      </c>
      <c r="D407" s="18" t="n">
        <v>1</v>
      </c>
      <c r="E407" s="46" t="inlineStr">
        <is>
          <t>51.48</t>
        </is>
      </c>
      <c r="F407" s="21">
        <f>IFERROR(__xludf.DUMMYFUNCTION("IF(
  REGEXMATCH(E407, "":""),
  60*VALUE(INDEX(SPLIT(E407, "":""),1,1)) + VALUE(INDEX(SPLIT(E407, "":""),1,2)),
  VALUE(E407)
)"),51.48)</f>
        <v/>
      </c>
      <c r="G407" s="21">
        <f>F406-F407</f>
        <v/>
      </c>
      <c r="H407" s="21" t="n">
        <v>1.800000000000004</v>
      </c>
      <c r="I407" s="211">
        <f>C406</f>
        <v/>
      </c>
      <c r="J407" s="211">
        <f>C423</f>
        <v/>
      </c>
      <c r="K407" s="60">
        <f t="array" ref="K407">INDEX('Podium Target Times'!$C:$C, MATCH(A407&amp;B407, 'Podium Target Times'!$A:$A&amp;'Podium Target Times'!$B:$B, 0))
</f>
        <v/>
      </c>
      <c r="L407" s="24">
        <f>L409+G409</f>
        <v/>
      </c>
      <c r="M407" s="60">
        <f>IF(L407&lt;60, TEXT(L407,"0.00"), IF(L407&lt;600, TEXT(L407/86400,"m:ss.00"), TEXT(L407/86400,"mm:ss.00")))
</f>
        <v/>
      </c>
      <c r="N407" s="25">
        <f>IFERROR(__xludf.DUMMYFUNCTION("LET(
  gen,$A407, ev,$B407, t,$M407,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)"),618.0)</f>
        <v/>
      </c>
      <c r="O407" s="65" t="n"/>
      <c r="P407" s="69">
        <f>A407</f>
        <v/>
      </c>
      <c r="Q407" s="65">
        <f>B407</f>
        <v/>
      </c>
      <c r="R407" s="69">
        <f>C407</f>
        <v/>
      </c>
      <c r="S407" s="58">
        <f>M407</f>
        <v/>
      </c>
      <c r="T407" s="69">
        <f>N407</f>
        <v/>
      </c>
      <c r="U407" s="65" t="n"/>
      <c r="V407" s="65" t="n"/>
      <c r="W407" s="65" t="n"/>
    </row>
    <row r="408">
      <c r="A408" s="8" t="inlineStr">
        <is>
          <t>M</t>
        </is>
      </c>
      <c r="B408" s="9" t="inlineStr">
        <is>
          <t>100 Free</t>
        </is>
      </c>
      <c r="C408" s="9" t="n">
        <v>16</v>
      </c>
      <c r="D408" s="9" t="n">
        <v>2</v>
      </c>
      <c r="E408" s="41" t="inlineStr">
        <is>
          <t>52.43</t>
        </is>
      </c>
      <c r="F408" s="35">
        <f>IFERROR(__xludf.DUMMYFUNCTION("IF(
  REGEXMATCH(E408, "":""),
  60*VALUE(INDEX(SPLIT(E408, "":""),1,1)) + VALUE(INDEX(SPLIT(E408, "":""),1,2)),
  VALUE(E408)
)"),52.43)</f>
        <v/>
      </c>
      <c r="G408" s="35">
        <f>F406-F407</f>
        <v/>
      </c>
      <c r="H408" s="35" t="n">
        <v>1.800000000000004</v>
      </c>
      <c r="I408" s="215">
        <f>C406</f>
        <v/>
      </c>
      <c r="J408" s="215">
        <f>C423</f>
        <v/>
      </c>
      <c r="K408" s="43">
        <f t="array" ref="K408">INDEX('Podium Target Times'!$C:$C, MATCH(A408&amp;B408, 'Podium Target Times'!$A:$A&amp;'Podium Target Times'!$B:$B, 0))
</f>
        <v/>
      </c>
      <c r="L408" s="12">
        <f>L409+G409</f>
        <v/>
      </c>
      <c r="M408" s="43">
        <f>IF(L408&lt;60, TEXT(L408,"0.00"), IF(L408&lt;600, TEXT(L408/86400,"m:ss.00"), TEXT(L408/86400,"mm:ss.00")))
</f>
        <v/>
      </c>
      <c r="N408" s="14">
        <f>IFERROR(__xludf.DUMMYFUNCTION("LET(
  gen,$A408, ev,$B408, t,$M408,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)"),618.0)</f>
        <v/>
      </c>
      <c r="O408" s="65" t="n"/>
      <c r="P408" s="69">
        <f>A409</f>
        <v/>
      </c>
      <c r="Q408" s="65">
        <f>B409</f>
        <v/>
      </c>
      <c r="R408" s="69">
        <f>C409</f>
        <v/>
      </c>
      <c r="S408" s="58">
        <f>M409</f>
        <v/>
      </c>
      <c r="T408" s="69">
        <f>N409</f>
        <v/>
      </c>
      <c r="U408" s="65" t="n"/>
      <c r="V408" s="65" t="n"/>
      <c r="W408" s="65" t="n"/>
    </row>
    <row r="409">
      <c r="A409" s="17" t="inlineStr">
        <is>
          <t>M</t>
        </is>
      </c>
      <c r="B409" s="18" t="inlineStr">
        <is>
          <t>100 Free</t>
        </is>
      </c>
      <c r="C409" s="18" t="n">
        <v>17</v>
      </c>
      <c r="D409" s="18" t="n">
        <v>1</v>
      </c>
      <c r="E409" s="46" t="inlineStr">
        <is>
          <t>50.09</t>
        </is>
      </c>
      <c r="F409" s="21">
        <f>IFERROR(__xludf.DUMMYFUNCTION("IF(
  REGEXMATCH(E409, "":""),
  60*VALUE(INDEX(SPLIT(E409, "":""),1,1)) + VALUE(INDEX(SPLIT(E409, "":""),1,2)),
  VALUE(E409)
)"),50.09)</f>
        <v/>
      </c>
      <c r="G409" s="21">
        <f>average(F407-F409,F408-F410)</f>
        <v/>
      </c>
      <c r="H409" s="21" t="n">
        <v>1.399999999999995</v>
      </c>
      <c r="I409" s="211">
        <f>C406</f>
        <v/>
      </c>
      <c r="J409" s="211">
        <f>C423</f>
        <v/>
      </c>
      <c r="K409" s="60">
        <f t="array" ref="K409">INDEX('Podium Target Times'!$C:$C, MATCH(A409&amp;B409, 'Podium Target Times'!$A:$A&amp;'Podium Target Times'!$B:$B, 0))
</f>
        <v/>
      </c>
      <c r="L409" s="24">
        <f>L412+G412</f>
        <v/>
      </c>
      <c r="M409" s="60">
        <f>IF(L409&lt;60, TEXT(L409,"0.00"), IF(L409&lt;600, TEXT(L409/86400,"m:ss.00"), TEXT(L409/86400,"mm:ss.00")))
</f>
        <v/>
      </c>
      <c r="N409" s="25">
        <f>IFERROR(__xludf.DUMMYFUNCTION("LET(
  gen,$A409, ev,$B409, t,$M409,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409" s="65" t="n"/>
      <c r="P409" s="69">
        <f>A412</f>
        <v/>
      </c>
      <c r="Q409" s="65">
        <f>B412</f>
        <v/>
      </c>
      <c r="R409" s="69">
        <f>C412</f>
        <v/>
      </c>
      <c r="S409" s="58">
        <f>M412</f>
        <v/>
      </c>
      <c r="T409" s="69">
        <f>N412</f>
        <v/>
      </c>
      <c r="U409" s="65" t="n"/>
      <c r="V409" s="65" t="n"/>
      <c r="W409" s="65" t="n"/>
    </row>
    <row r="410">
      <c r="A410" s="8" t="inlineStr">
        <is>
          <t>M</t>
        </is>
      </c>
      <c r="B410" s="9" t="inlineStr">
        <is>
          <t>100 Free</t>
        </is>
      </c>
      <c r="C410" s="9" t="n">
        <v>17</v>
      </c>
      <c r="D410" s="9" t="n">
        <v>2</v>
      </c>
      <c r="E410" s="41" t="inlineStr">
        <is>
          <t>51.02</t>
        </is>
      </c>
      <c r="F410" s="35">
        <f>IFERROR(__xludf.DUMMYFUNCTION("IF(
  REGEXMATCH(E410, "":""),
  60*VALUE(INDEX(SPLIT(E410, "":""),1,1)) + VALUE(INDEX(SPLIT(E410, "":""),1,2)),
  VALUE(E410)
)"),51.02)</f>
        <v/>
      </c>
      <c r="G410" s="35">
        <f>average(F407-F409,F408-F410)</f>
        <v/>
      </c>
      <c r="H410" s="35" t="n">
        <v>1.399999999999995</v>
      </c>
      <c r="I410" s="215">
        <f>C406</f>
        <v/>
      </c>
      <c r="J410" s="215">
        <f>C423</f>
        <v/>
      </c>
      <c r="K410" s="43">
        <f t="array" ref="K410">INDEX('Podium Target Times'!$C:$C, MATCH(A410&amp;B410, 'Podium Target Times'!$A:$A&amp;'Podium Target Times'!$B:$B, 0))
</f>
        <v/>
      </c>
      <c r="L410" s="12">
        <f>L412+G412</f>
        <v/>
      </c>
      <c r="M410" s="43">
        <f>IF(L410&lt;60, TEXT(L410,"0.00"), IF(L410&lt;600, TEXT(L410/86400,"m:ss.00"), TEXT(L410/86400,"mm:ss.00")))
</f>
        <v/>
      </c>
      <c r="N410" s="14">
        <f>IFERROR(__xludf.DUMMYFUNCTION("LET(
  gen,$A410, ev,$B410, t,$M410,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410" s="65" t="n"/>
      <c r="P410" s="69">
        <f>A415</f>
        <v/>
      </c>
      <c r="Q410" s="65">
        <f>B415</f>
        <v/>
      </c>
      <c r="R410" s="69">
        <f>C415</f>
        <v/>
      </c>
      <c r="S410" s="58">
        <f>M415</f>
        <v/>
      </c>
      <c r="T410" s="69">
        <f>N415</f>
        <v/>
      </c>
      <c r="U410" s="65" t="n"/>
      <c r="V410" s="65" t="n"/>
      <c r="W410" s="65" t="n"/>
    </row>
    <row r="411">
      <c r="A411" s="17" t="inlineStr">
        <is>
          <t>M</t>
        </is>
      </c>
      <c r="B411" s="18" t="inlineStr">
        <is>
          <t>100 Free</t>
        </is>
      </c>
      <c r="C411" s="18" t="n">
        <v>17</v>
      </c>
      <c r="D411" s="18" t="n">
        <v>3</v>
      </c>
      <c r="E411" s="46" t="inlineStr">
        <is>
          <t>51.44</t>
        </is>
      </c>
      <c r="F411" s="21">
        <f>IFERROR(__xludf.DUMMYFUNCTION("IF(
  REGEXMATCH(E411, "":""),
  60*VALUE(INDEX(SPLIT(E411, "":""),1,1)) + VALUE(INDEX(SPLIT(E411, "":""),1,2)),
  VALUE(E411)
)"),51.44)</f>
        <v/>
      </c>
      <c r="G411" s="21">
        <f>average(F407-F409,F408-F410)</f>
        <v/>
      </c>
      <c r="H411" s="21" t="n">
        <v>1.399999999999995</v>
      </c>
      <c r="I411" s="211">
        <f>C406</f>
        <v/>
      </c>
      <c r="J411" s="211">
        <f>C423</f>
        <v/>
      </c>
      <c r="K411" s="60">
        <f t="array" ref="K411">INDEX('Podium Target Times'!$C:$C, MATCH(A411&amp;B411, 'Podium Target Times'!$A:$A&amp;'Podium Target Times'!$B:$B, 0))
</f>
        <v/>
      </c>
      <c r="L411" s="24">
        <f>L412+G412</f>
        <v/>
      </c>
      <c r="M411" s="60">
        <f>IF(L411&lt;60, TEXT(L411,"0.00"), IF(L411&lt;600, TEXT(L411/86400,"m:ss.00"), TEXT(L411/86400,"mm:ss.00")))
</f>
        <v/>
      </c>
      <c r="N411" s="25">
        <f>IFERROR(__xludf.DUMMYFUNCTION("LET(
  gen,$A411, ev,$B411, t,$M411,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411" s="65" t="n"/>
      <c r="P411" s="69">
        <f>A418</f>
        <v/>
      </c>
      <c r="Q411" s="65">
        <f>B418</f>
        <v/>
      </c>
      <c r="R411" s="69">
        <f>C418</f>
        <v/>
      </c>
      <c r="S411" s="58">
        <f>M418</f>
        <v/>
      </c>
      <c r="T411" s="69">
        <f>N418</f>
        <v/>
      </c>
      <c r="U411" s="65" t="n"/>
      <c r="V411" s="65" t="n"/>
      <c r="W411" s="65" t="n"/>
    </row>
    <row r="412">
      <c r="A412" s="8" t="inlineStr">
        <is>
          <t>M</t>
        </is>
      </c>
      <c r="B412" s="9" t="inlineStr">
        <is>
          <t>100 Free</t>
        </is>
      </c>
      <c r="C412" s="9" t="n">
        <v>18</v>
      </c>
      <c r="D412" s="9" t="n">
        <v>1</v>
      </c>
      <c r="E412" s="41" t="inlineStr">
        <is>
          <t>49.07</t>
        </is>
      </c>
      <c r="F412" s="35">
        <f>IFERROR(__xludf.DUMMYFUNCTION("IF(
  REGEXMATCH(E412, "":""),
  60*VALUE(INDEX(SPLIT(E412, "":""),1,1)) + VALUE(INDEX(SPLIT(E412, "":""),1,2)),
  VALUE(E412)
)"),49.07)</f>
        <v/>
      </c>
      <c r="G412" s="35">
        <f>average(F409-F412,F410-F413,F411-F414)</f>
        <v/>
      </c>
      <c r="H412" s="35" t="n">
        <v>1.036666666666669</v>
      </c>
      <c r="I412" s="215">
        <f>C406</f>
        <v/>
      </c>
      <c r="J412" s="215">
        <f>C423</f>
        <v/>
      </c>
      <c r="K412" s="43">
        <f t="array" ref="K412">INDEX('Podium Target Times'!$C:$C, MATCH(A412&amp;B412, 'Podium Target Times'!$A:$A&amp;'Podium Target Times'!$B:$B, 0))
</f>
        <v/>
      </c>
      <c r="L412" s="12">
        <f>L415+G415</f>
        <v/>
      </c>
      <c r="M412" s="43">
        <f>IF(L412&lt;60, TEXT(L412,"0.00"), IF(L412&lt;600, TEXT(L412/86400,"m:ss.00"), TEXT(L412/86400,"mm:ss.00")))
</f>
        <v/>
      </c>
      <c r="N412" s="14">
        <f>IFERROR(__xludf.DUMMYFUNCTION("LET(
  gen,$A412, ev,$B412, t,$M412,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)"),709.0)</f>
        <v/>
      </c>
      <c r="O412" s="65" t="n"/>
      <c r="P412" s="69">
        <f>A420</f>
        <v/>
      </c>
      <c r="Q412" s="65">
        <f>B420</f>
        <v/>
      </c>
      <c r="R412" s="69">
        <f>C420</f>
        <v/>
      </c>
      <c r="S412" s="58">
        <f>M420</f>
        <v/>
      </c>
      <c r="T412" s="69">
        <f>N420</f>
        <v/>
      </c>
      <c r="U412" s="65" t="n"/>
      <c r="V412" s="65" t="n"/>
      <c r="W412" s="65" t="n"/>
    </row>
    <row r="413">
      <c r="A413" s="17" t="inlineStr">
        <is>
          <t>M</t>
        </is>
      </c>
      <c r="B413" s="18" t="inlineStr">
        <is>
          <t>100 Free</t>
        </is>
      </c>
      <c r="C413" s="18" t="n">
        <v>18</v>
      </c>
      <c r="D413" s="18" t="n">
        <v>2</v>
      </c>
      <c r="E413" s="46" t="inlineStr">
        <is>
          <t>49.98</t>
        </is>
      </c>
      <c r="F413" s="21">
        <f>IFERROR(__xludf.DUMMYFUNCTION("IF(
  REGEXMATCH(E413, "":""),
  60*VALUE(INDEX(SPLIT(E413, "":""),1,1)) + VALUE(INDEX(SPLIT(E413, "":""),1,2)),
  VALUE(E413)
)"),49.98)</f>
        <v/>
      </c>
      <c r="G413" s="21">
        <f>average(F409-F412,F410-F413,F411-F414)</f>
        <v/>
      </c>
      <c r="H413" s="21" t="n">
        <v>1.036666666666669</v>
      </c>
      <c r="I413" s="211">
        <f>C406</f>
        <v/>
      </c>
      <c r="J413" s="211">
        <f>C423</f>
        <v/>
      </c>
      <c r="K413" s="60">
        <f t="array" ref="K413">INDEX('Podium Target Times'!$C:$C, MATCH(A413&amp;B413, 'Podium Target Times'!$A:$A&amp;'Podium Target Times'!$B:$B, 0))
</f>
        <v/>
      </c>
      <c r="L413" s="24">
        <f>L415+G415</f>
        <v/>
      </c>
      <c r="M413" s="60">
        <f>IF(L413&lt;60, TEXT(L413,"0.00"), IF(L413&lt;600, TEXT(L413/86400,"m:ss.00"), TEXT(L413/86400,"mm:ss.00")))
</f>
        <v/>
      </c>
      <c r="N413" s="25">
        <f>IFERROR(__xludf.DUMMYFUNCTION("LET(
  gen,$A413, ev,$B413, t,$M413,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)"),709.0)</f>
        <v/>
      </c>
      <c r="O413" s="65" t="n"/>
      <c r="P413" s="69">
        <f>A422</f>
        <v/>
      </c>
      <c r="Q413" s="65">
        <f>B422</f>
        <v/>
      </c>
      <c r="R413" s="69">
        <f>C422</f>
        <v/>
      </c>
      <c r="S413" s="58">
        <f>M422</f>
        <v/>
      </c>
      <c r="T413" s="69">
        <f>N422</f>
        <v/>
      </c>
      <c r="U413" s="65" t="n"/>
      <c r="V413" s="65" t="n"/>
      <c r="W413" s="65" t="n"/>
    </row>
    <row r="414">
      <c r="A414" s="8" t="inlineStr">
        <is>
          <t>M</t>
        </is>
      </c>
      <c r="B414" s="9" t="inlineStr">
        <is>
          <t>100 Free</t>
        </is>
      </c>
      <c r="C414" s="9" t="n">
        <v>18</v>
      </c>
      <c r="D414" s="9" t="n">
        <v>3</v>
      </c>
      <c r="E414" s="41" t="inlineStr">
        <is>
          <t>50.39</t>
        </is>
      </c>
      <c r="F414" s="35">
        <f>IFERROR(__xludf.DUMMYFUNCTION("IF(
  REGEXMATCH(E414, "":""),
  60*VALUE(INDEX(SPLIT(E414, "":""),1,1)) + VALUE(INDEX(SPLIT(E414, "":""),1,2)),
  VALUE(E414)
)"),50.39)</f>
        <v/>
      </c>
      <c r="G414" s="35">
        <f>average(F409-F412,F410-F413,F411-F414)</f>
        <v/>
      </c>
      <c r="H414" s="35" t="n">
        <v>1.036666666666669</v>
      </c>
      <c r="I414" s="215">
        <f>C406</f>
        <v/>
      </c>
      <c r="J414" s="215">
        <f>C423</f>
        <v/>
      </c>
      <c r="K414" s="43">
        <f t="array" ref="K414">INDEX('Podium Target Times'!$C:$C, MATCH(A414&amp;B414, 'Podium Target Times'!$A:$A&amp;'Podium Target Times'!$B:$B, 0))
</f>
        <v/>
      </c>
      <c r="L414" s="12">
        <f>L415+G415</f>
        <v/>
      </c>
      <c r="M414" s="43">
        <f>IF(L414&lt;60, TEXT(L414,"0.00"), IF(L414&lt;600, TEXT(L414/86400,"m:ss.00"), TEXT(L414/86400,"mm:ss.00")))
</f>
        <v/>
      </c>
      <c r="N414" s="14">
        <f>IFERROR(__xludf.DUMMYFUNCTION("LET(
  gen,$A414, ev,$B414, t,$M414,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)"),709.0)</f>
        <v/>
      </c>
      <c r="O414" s="65" t="n"/>
      <c r="P414" s="69">
        <f>A423</f>
        <v/>
      </c>
      <c r="Q414" s="65">
        <f>B423</f>
        <v/>
      </c>
      <c r="R414" s="69">
        <f>C423</f>
        <v/>
      </c>
      <c r="S414" s="58">
        <f>M423</f>
        <v/>
      </c>
      <c r="T414" s="69">
        <f>N423</f>
        <v/>
      </c>
      <c r="U414" s="65" t="n">
        <v>814</v>
      </c>
      <c r="V414" s="65" t="n"/>
      <c r="W414" s="65" t="n"/>
    </row>
    <row r="415">
      <c r="A415" s="17" t="inlineStr">
        <is>
          <t>M</t>
        </is>
      </c>
      <c r="B415" s="18" t="inlineStr">
        <is>
          <t>100 Free</t>
        </is>
      </c>
      <c r="C415" s="18" t="n">
        <v>19</v>
      </c>
      <c r="D415" s="18" t="n">
        <v>1</v>
      </c>
      <c r="E415" s="46" t="inlineStr">
        <is>
          <t>48.34</t>
        </is>
      </c>
      <c r="F415" s="21">
        <f>IFERROR(__xludf.DUMMYFUNCTION("IF(
  REGEXMATCH(E415, "":""),
  60*VALUE(INDEX(SPLIT(E415, "":""),1,1)) + VALUE(INDEX(SPLIT(E415, "":""),1,2)),
  VALUE(E415)
)"),48.34)</f>
        <v/>
      </c>
      <c r="G415" s="21">
        <f>average(F412-F415,F413-F416,F414-F417)</f>
        <v/>
      </c>
      <c r="H415" s="21" t="n">
        <v>0.7433333333333323</v>
      </c>
      <c r="I415" s="211">
        <f>C406</f>
        <v/>
      </c>
      <c r="J415" s="211">
        <f>C423</f>
        <v/>
      </c>
      <c r="K415" s="60">
        <f t="array" ref="K415">INDEX('Podium Target Times'!$C:$C, MATCH(A415&amp;B415, 'Podium Target Times'!$A:$A&amp;'Podium Target Times'!$B:$B, 0))
</f>
        <v/>
      </c>
      <c r="L415" s="24">
        <f>L418+G418</f>
        <v/>
      </c>
      <c r="M415" s="60">
        <f>IF(L415&lt;60, TEXT(L415,"0.00"), IF(L415&lt;600, TEXT(L415/86400,"m:ss.00"), TEXT(L415/86400,"mm:ss.00")))
</f>
        <v/>
      </c>
      <c r="N415" s="25">
        <f>IFERROR(__xludf.DUMMYFUNCTION("LET(
  gen,$A415, ev,$B415, t,$M415,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415" s="65" t="n"/>
      <c r="P415" s="69">
        <f>P414</f>
        <v/>
      </c>
      <c r="Q415" s="65">
        <f>Q414</f>
        <v/>
      </c>
      <c r="R415" s="69">
        <f>R414+1</f>
        <v/>
      </c>
      <c r="S415" s="58">
        <f>M424</f>
        <v/>
      </c>
      <c r="T415" s="69">
        <f>N424</f>
        <v/>
      </c>
      <c r="U415" s="65" t="n"/>
      <c r="V415" s="65" t="n"/>
      <c r="W415" s="65" t="n"/>
    </row>
    <row r="416">
      <c r="A416" s="8" t="inlineStr">
        <is>
          <t>M</t>
        </is>
      </c>
      <c r="B416" s="9" t="inlineStr">
        <is>
          <t>100 Free</t>
        </is>
      </c>
      <c r="C416" s="9" t="n">
        <v>19</v>
      </c>
      <c r="D416" s="9" t="n">
        <v>2</v>
      </c>
      <c r="E416" s="41" t="inlineStr">
        <is>
          <t>49.23</t>
        </is>
      </c>
      <c r="F416" s="35">
        <f>IFERROR(__xludf.DUMMYFUNCTION("IF(
  REGEXMATCH(E416, "":""),
  60*VALUE(INDEX(SPLIT(E416, "":""),1,1)) + VALUE(INDEX(SPLIT(E416, "":""),1,2)),
  VALUE(E416)
)"),49.23)</f>
        <v/>
      </c>
      <c r="G416" s="35">
        <f>average(F412-F415,F413-F416,F414-F417)</f>
        <v/>
      </c>
      <c r="H416" s="35" t="n">
        <v>0.7433333333333323</v>
      </c>
      <c r="I416" s="215">
        <f>C406</f>
        <v/>
      </c>
      <c r="J416" s="215">
        <f>C423</f>
        <v/>
      </c>
      <c r="K416" s="43">
        <f t="array" ref="K416">INDEX('Podium Target Times'!$C:$C, MATCH(A416&amp;B416, 'Podium Target Times'!$A:$A&amp;'Podium Target Times'!$B:$B, 0))
</f>
        <v/>
      </c>
      <c r="L416" s="12">
        <f>L418+G418</f>
        <v/>
      </c>
      <c r="M416" s="43">
        <f>IF(L416&lt;60, TEXT(L416,"0.00"), IF(L416&lt;600, TEXT(L416/86400,"m:ss.00"), TEXT(L416/86400,"mm:ss.00")))
</f>
        <v/>
      </c>
      <c r="N416" s="14">
        <f>IFERROR(__xludf.DUMMYFUNCTION("LET(
  gen,$A416, ev,$B416, t,$M416,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416" s="65" t="n"/>
      <c r="P416" s="69">
        <f>P415</f>
        <v/>
      </c>
      <c r="Q416" s="65">
        <f>Q415</f>
        <v/>
      </c>
      <c r="R416" s="69">
        <f>R415+1</f>
        <v/>
      </c>
      <c r="S416" s="58">
        <f>M425</f>
        <v/>
      </c>
      <c r="T416" s="69">
        <f>N425</f>
        <v/>
      </c>
      <c r="U416" s="65" t="n"/>
      <c r="V416" s="65" t="n"/>
      <c r="W416" s="65" t="n"/>
    </row>
    <row r="417">
      <c r="A417" s="17" t="inlineStr">
        <is>
          <t>M</t>
        </is>
      </c>
      <c r="B417" s="18" t="inlineStr">
        <is>
          <t>100 Free</t>
        </is>
      </c>
      <c r="C417" s="18" t="n">
        <v>19</v>
      </c>
      <c r="D417" s="18" t="n">
        <v>3</v>
      </c>
      <c r="E417" s="46" t="inlineStr">
        <is>
          <t>49.64</t>
        </is>
      </c>
      <c r="F417" s="21">
        <f>IFERROR(__xludf.DUMMYFUNCTION("IF(
  REGEXMATCH(E417, "":""),
  60*VALUE(INDEX(SPLIT(E417, "":""),1,1)) + VALUE(INDEX(SPLIT(E417, "":""),1,2)),
  VALUE(E417)
)"),49.64)</f>
        <v/>
      </c>
      <c r="G417" s="21">
        <f>average(F412-F415,F413-F416,F414-F417)</f>
        <v/>
      </c>
      <c r="H417" s="21" t="n">
        <v>0.7433333333333323</v>
      </c>
      <c r="I417" s="211">
        <f>C406</f>
        <v/>
      </c>
      <c r="J417" s="211">
        <f>C423</f>
        <v/>
      </c>
      <c r="K417" s="60">
        <f t="array" ref="K417">INDEX('Podium Target Times'!$C:$C, MATCH(A417&amp;B417, 'Podium Target Times'!$A:$A&amp;'Podium Target Times'!$B:$B, 0))
</f>
        <v/>
      </c>
      <c r="L417" s="24">
        <f>L418+G418</f>
        <v/>
      </c>
      <c r="M417" s="60">
        <f>IF(L417&lt;60, TEXT(L417,"0.00"), IF(L417&lt;600, TEXT(L417/86400,"m:ss.00"), TEXT(L417/86400,"mm:ss.00")))
</f>
        <v/>
      </c>
      <c r="N417" s="25">
        <f>IFERROR(__xludf.DUMMYFUNCTION("LET(
  gen,$A417, ev,$B417, t,$M417,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O417" s="65" t="n"/>
      <c r="P417" s="69" t="n"/>
      <c r="Q417" s="65" t="n"/>
      <c r="R417" s="69" t="n"/>
      <c r="S417" s="58" t="n"/>
      <c r="T417" s="69" t="n"/>
      <c r="U417" s="65" t="n"/>
      <c r="V417" s="65" t="n"/>
      <c r="W417" s="65" t="n"/>
    </row>
    <row r="418">
      <c r="A418" s="8" t="inlineStr">
        <is>
          <t>M</t>
        </is>
      </c>
      <c r="B418" s="9" t="inlineStr">
        <is>
          <t>100 Free</t>
        </is>
      </c>
      <c r="C418" s="9" t="n">
        <v>20</v>
      </c>
      <c r="D418" s="9" t="n">
        <v>2</v>
      </c>
      <c r="E418" s="41" t="inlineStr">
        <is>
          <t>48.72</t>
        </is>
      </c>
      <c r="F418" s="35">
        <f>IFERROR(__xludf.DUMMYFUNCTION("IF(
  REGEXMATCH(E418, "":""),
  60*VALUE(INDEX(SPLIT(E418, "":""),1,1)) + VALUE(INDEX(SPLIT(E418, "":""),1,2)),
  VALUE(E418)
)"),48.72)</f>
        <v/>
      </c>
      <c r="G418" s="35">
        <f>average(F416-F418,F417-F419)</f>
        <v/>
      </c>
      <c r="H418" s="35" t="n">
        <v>0.5150000000000006</v>
      </c>
      <c r="I418" s="215">
        <f>C406</f>
        <v/>
      </c>
      <c r="J418" s="215">
        <f>C423</f>
        <v/>
      </c>
      <c r="K418" s="43">
        <f t="array" ref="K418">INDEX('Podium Target Times'!$C:$C, MATCH(A418&amp;B418, 'Podium Target Times'!$A:$A&amp;'Podium Target Times'!$B:$B, 0))
</f>
        <v/>
      </c>
      <c r="L418" s="12">
        <f>L420+G420</f>
        <v/>
      </c>
      <c r="M418" s="43">
        <f>IF(L418&lt;60, TEXT(L418,"0.00"), IF(L418&lt;600, TEXT(L418/86400,"m:ss.00"), TEXT(L418/86400,"mm:ss.00")))
</f>
        <v/>
      </c>
      <c r="N418" s="14">
        <f>IFERROR(__xludf.DUMMYFUNCTION("LET(
  gen,$A418, ev,$B418, t,$M418,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418" s="65" t="n"/>
      <c r="P418" s="69" t="n"/>
      <c r="Q418" s="65" t="n"/>
      <c r="R418" s="69" t="n"/>
      <c r="S418" s="58" t="n"/>
      <c r="T418" s="69" t="n"/>
      <c r="U418" s="65" t="n"/>
      <c r="V418" s="65" t="n"/>
      <c r="W418" s="65" t="n"/>
    </row>
    <row r="419">
      <c r="A419" s="17" t="inlineStr">
        <is>
          <t>M</t>
        </is>
      </c>
      <c r="B419" s="18" t="inlineStr">
        <is>
          <t>100 Free</t>
        </is>
      </c>
      <c r="C419" s="18" t="n">
        <v>20</v>
      </c>
      <c r="D419" s="18" t="n">
        <v>3</v>
      </c>
      <c r="E419" s="491" t="inlineStr">
        <is>
          <t>49.12</t>
        </is>
      </c>
      <c r="F419" s="21">
        <f>IFERROR(__xludf.DUMMYFUNCTION("IF(
  REGEXMATCH(E419, "":""),
  60*VALUE(INDEX(SPLIT(E419, "":""),1,1)) + VALUE(INDEX(SPLIT(E419, "":""),1,2)),
  VALUE(E419)
)"),49.12)</f>
        <v/>
      </c>
      <c r="G419" s="21">
        <f>average(F416-F418,F417-F419)</f>
        <v/>
      </c>
      <c r="H419" s="21" t="n">
        <v>0.5150000000000006</v>
      </c>
      <c r="I419" s="211">
        <f>C406</f>
        <v/>
      </c>
      <c r="J419" s="211">
        <f>C423</f>
        <v/>
      </c>
      <c r="K419" s="60">
        <f t="array" ref="K419">INDEX('Podium Target Times'!$C:$C, MATCH(A419&amp;B419, 'Podium Target Times'!$A:$A&amp;'Podium Target Times'!$B:$B, 0))
</f>
        <v/>
      </c>
      <c r="L419" s="24">
        <f>L420+G420</f>
        <v/>
      </c>
      <c r="M419" s="60">
        <f>IF(L419&lt;60, TEXT(L419,"0.00"), IF(L419&lt;600, TEXT(L419/86400,"m:ss.00"), TEXT(L419/86400,"mm:ss.00")))
</f>
        <v/>
      </c>
      <c r="N419" s="25">
        <f>IFERROR(__xludf.DUMMYFUNCTION("LET(
  gen,$A419, ev,$B419, t,$M419,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419" s="65" t="n"/>
      <c r="P419" s="69" t="n"/>
      <c r="Q419" s="65" t="n"/>
      <c r="R419" s="69" t="n"/>
      <c r="S419" s="58" t="n"/>
      <c r="T419" s="69" t="n"/>
      <c r="U419" s="65" t="n"/>
      <c r="V419" s="65" t="n"/>
      <c r="W419" s="65" t="n"/>
    </row>
    <row r="420">
      <c r="A420" s="8" t="inlineStr">
        <is>
          <t>M</t>
        </is>
      </c>
      <c r="B420" s="9" t="inlineStr">
        <is>
          <t>100 Free</t>
        </is>
      </c>
      <c r="C420" s="9" t="n">
        <v>21</v>
      </c>
      <c r="D420" s="9" t="n">
        <v>2</v>
      </c>
      <c r="E420" s="41" t="inlineStr">
        <is>
          <t>48.34</t>
        </is>
      </c>
      <c r="F420" s="35">
        <f>IFERROR(__xludf.DUMMYFUNCTION("IF(
  REGEXMATCH(E420, "":""),
  60*VALUE(INDEX(SPLIT(E420, "":""),1,1)) + VALUE(INDEX(SPLIT(E420, "":""),1,2)),
  VALUE(E420)
)"),48.34)</f>
        <v/>
      </c>
      <c r="G420" s="35">
        <f>average(F418-F420,F419-F421)</f>
        <v/>
      </c>
      <c r="H420" s="35" t="n">
        <v>0.3799999999999955</v>
      </c>
      <c r="I420" s="215">
        <f>C406</f>
        <v/>
      </c>
      <c r="J420" s="215">
        <f>C423</f>
        <v/>
      </c>
      <c r="K420" s="43">
        <f t="array" ref="K420">INDEX('Podium Target Times'!$C:$C, MATCH(A420&amp;B420, 'Podium Target Times'!$A:$A&amp;'Podium Target Times'!$B:$B, 0))
</f>
        <v/>
      </c>
      <c r="L420" s="12">
        <f>L422+G422</f>
        <v/>
      </c>
      <c r="M420" s="43">
        <f>IF(L420&lt;60, TEXT(L420,"0.00"), IF(L420&lt;600, TEXT(L420/86400,"m:ss.00"), TEXT(L420/86400,"mm:ss.00")))
</f>
        <v/>
      </c>
      <c r="N420" s="14">
        <f>IFERROR(__xludf.DUMMYFUNCTION("LET(
  gen,$A420, ev,$B420, t,$M420,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
      </c>
      <c r="O420" s="65" t="n"/>
      <c r="P420" s="69" t="n"/>
      <c r="Q420" s="65" t="n"/>
      <c r="R420" s="69" t="n"/>
      <c r="S420" s="58" t="n"/>
      <c r="T420" s="69" t="n"/>
      <c r="U420" s="65" t="n"/>
      <c r="V420" s="65" t="n"/>
      <c r="W420" s="65" t="n"/>
    </row>
    <row r="421">
      <c r="A421" s="17" t="inlineStr">
        <is>
          <t>M</t>
        </is>
      </c>
      <c r="B421" s="18" t="inlineStr">
        <is>
          <t>100 Free</t>
        </is>
      </c>
      <c r="C421" s="18" t="n">
        <v>21</v>
      </c>
      <c r="D421" s="18" t="n">
        <v>3</v>
      </c>
      <c r="E421" s="46" t="inlineStr">
        <is>
          <t>48.74</t>
        </is>
      </c>
      <c r="F421" s="21">
        <f>IFERROR(__xludf.DUMMYFUNCTION("IF(
  REGEXMATCH(E421, "":""),
  60*VALUE(INDEX(SPLIT(E421, "":""),1,1)) + VALUE(INDEX(SPLIT(E421, "":""),1,2)),
  VALUE(E421)
)"),48.74)</f>
        <v/>
      </c>
      <c r="G421" s="21">
        <f>average(F418-F420,F419-F421)</f>
        <v/>
      </c>
      <c r="H421" s="21" t="n">
        <v>0.3799999999999955</v>
      </c>
      <c r="I421" s="211">
        <f>C406</f>
        <v/>
      </c>
      <c r="J421" s="211">
        <f>C423</f>
        <v/>
      </c>
      <c r="K421" s="60">
        <f t="array" ref="K421">INDEX('Podium Target Times'!$C:$C, MATCH(A421&amp;B421, 'Podium Target Times'!$A:$A&amp;'Podium Target Times'!$B:$B, 0))
</f>
        <v/>
      </c>
      <c r="L421" s="24">
        <f>L422+G422</f>
        <v/>
      </c>
      <c r="M421" s="60">
        <f>IF(L421&lt;60, TEXT(L421,"0.00"), IF(L421&lt;600, TEXT(L421/86400,"m:ss.00"), TEXT(L421/86400,"mm:ss.00")))
</f>
        <v/>
      </c>
      <c r="N421" s="25">
        <f>IFERROR(__xludf.DUMMYFUNCTION("LET(
  gen,$A421, ev,$B421, t,$M421,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
      </c>
      <c r="O421" s="65" t="n"/>
      <c r="P421" s="69" t="n"/>
      <c r="Q421" s="65" t="n"/>
      <c r="R421" s="69" t="n"/>
      <c r="S421" s="58" t="n"/>
      <c r="T421" s="69" t="n"/>
      <c r="U421" s="65" t="n"/>
      <c r="V421" s="65" t="n"/>
      <c r="W421" s="65" t="n"/>
    </row>
    <row r="422">
      <c r="A422" s="8" t="inlineStr">
        <is>
          <t>M</t>
        </is>
      </c>
      <c r="B422" s="9" t="inlineStr">
        <is>
          <t>100 Free</t>
        </is>
      </c>
      <c r="C422" s="9" t="n">
        <v>22</v>
      </c>
      <c r="D422" s="9" t="n">
        <v>3</v>
      </c>
      <c r="E422" s="41" t="inlineStr">
        <is>
          <t>48.49</t>
        </is>
      </c>
      <c r="F422" s="35">
        <f>IFERROR(__xludf.DUMMYFUNCTION("IF(
  REGEXMATCH(E422, "":""),
  60*VALUE(INDEX(SPLIT(E422, "":""),1,1)) + VALUE(INDEX(SPLIT(E422, "":""),1,2)),
  VALUE(E422)
)"),48.49)</f>
        <v/>
      </c>
      <c r="G422" s="35">
        <f>F421-F422</f>
        <v/>
      </c>
      <c r="H422" s="35" t="n">
        <v>0.25</v>
      </c>
      <c r="I422" s="215">
        <f>C406</f>
        <v/>
      </c>
      <c r="J422" s="215">
        <f>C423</f>
        <v/>
      </c>
      <c r="K422" s="43">
        <f t="array" ref="K422">INDEX('Podium Target Times'!$C:$C, MATCH(A422&amp;B422, 'Podium Target Times'!$A:$A&amp;'Podium Target Times'!$B:$B, 0))
</f>
        <v/>
      </c>
      <c r="L422" s="12">
        <f>L423+G423</f>
        <v/>
      </c>
      <c r="M422" s="43">
        <f>IF(L422&lt;60, TEXT(L422,"0.00"), IF(L422&lt;600, TEXT(L422/86400,"m:ss.00"), TEXT(L422/86400,"mm:ss.00")))
</f>
        <v/>
      </c>
      <c r="N422" s="14">
        <f>IFERROR(__xludf.DUMMYFUNCTION("LET(
  gen,$A422, ev,$B422, t,$M422,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
      </c>
      <c r="O422" s="65" t="n"/>
      <c r="P422" s="69" t="n"/>
      <c r="Q422" s="65" t="n"/>
      <c r="R422" s="69" t="n"/>
      <c r="S422" s="58" t="n"/>
      <c r="T422" s="69" t="n"/>
      <c r="U422" s="65" t="n"/>
      <c r="V422" s="65" t="n"/>
      <c r="W422" s="65" t="n"/>
    </row>
    <row r="423">
      <c r="A423" s="17" t="inlineStr">
        <is>
          <t>M</t>
        </is>
      </c>
      <c r="B423" s="18" t="inlineStr">
        <is>
          <t>100 Free</t>
        </is>
      </c>
      <c r="C423" s="18" t="n">
        <v>23</v>
      </c>
      <c r="D423" s="18" t="n">
        <v>3</v>
      </c>
      <c r="E423" s="46" t="inlineStr">
        <is>
          <t>48.34</t>
        </is>
      </c>
      <c r="F423" s="21">
        <f>IFERROR(__xludf.DUMMYFUNCTION("IF(
  REGEXMATCH(E423, "":""),
  60*VALUE(INDEX(SPLIT(E423, "":""),1,1)) + VALUE(INDEX(SPLIT(E423, "":""),1,2)),
  VALUE(E423)
)"),48.34)</f>
        <v/>
      </c>
      <c r="G423" s="21">
        <f>F422-F423</f>
        <v/>
      </c>
      <c r="H423" s="21" t="n">
        <v>0.1499999999999986</v>
      </c>
      <c r="I423" s="211">
        <f>C406</f>
        <v/>
      </c>
      <c r="J423" s="211">
        <f>C423</f>
        <v/>
      </c>
      <c r="K423" s="60">
        <f t="array" ref="K423">INDEX('Podium Target Times'!$C:$C, MATCH(A423&amp;B423, 'Podium Target Times'!$A:$A&amp;'Podium Target Times'!$B:$B, 0))
</f>
        <v/>
      </c>
      <c r="L423" s="21">
        <f>G423+L424</f>
        <v/>
      </c>
      <c r="M423" s="60">
        <f>IF(L423&lt;60, TEXT(L423,"0.00"), IF(L423&lt;600, TEXT(L423/86400,"m:ss.00"), TEXT(L423/86400,"mm:ss.00")))
</f>
        <v/>
      </c>
      <c r="N423" s="25">
        <f>IFERROR(__xludf.DUMMYFUNCTION("LET(
  gen,$A423, ev,$B423, t,$M423,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O423" s="65" t="n"/>
      <c r="P423" s="69" t="n"/>
      <c r="Q423" s="65" t="n"/>
      <c r="R423" s="69" t="n"/>
      <c r="S423" s="58" t="n"/>
      <c r="T423" s="69" t="n"/>
      <c r="U423" s="65" t="n"/>
      <c r="V423" s="65" t="n"/>
      <c r="W423" s="65" t="n"/>
    </row>
    <row r="424">
      <c r="A424" s="8" t="inlineStr">
        <is>
          <t>M</t>
        </is>
      </c>
      <c r="B424" s="9" t="inlineStr">
        <is>
          <t>100 Free</t>
        </is>
      </c>
      <c r="C424" s="9" t="n">
        <v>24</v>
      </c>
      <c r="D424" s="9" t="n"/>
      <c r="E424" s="41" t="n"/>
      <c r="F424" s="35">
        <f>IFERROR(__xludf.DUMMYFUNCTION("IF(
  REGEXMATCH(E424, "":""),
  60*VALUE(INDEX(SPLIT(E424, "":""),1,1)) + VALUE(INDEX(SPLIT(E424, "":""),1,2)),
  VALUE(E424)
)"),0.0)</f>
        <v/>
      </c>
      <c r="G424" s="12" t="n"/>
      <c r="H424" s="12" t="n"/>
      <c r="I424" s="43">
        <f>C406</f>
        <v/>
      </c>
      <c r="J424" s="43">
        <f>C423</f>
        <v/>
      </c>
      <c r="K424" s="43">
        <f t="array" ref="K424">INDEX('Podium Target Times'!$C:$C, MATCH(A424&amp;B424, 'Podium Target Times'!$A:$A&amp;'Podium Target Times'!$B:$B, 0))
</f>
        <v/>
      </c>
      <c r="L424" s="12">
        <f>G423+L425</f>
        <v/>
      </c>
      <c r="M424" s="43">
        <f>IF(L424&lt;60, TEXT(L424,"0.00"), IF(L424&lt;600, TEXT(L424/86400,"m:ss.00"), TEXT(L424/86400,"mm:ss.00")))
</f>
        <v/>
      </c>
      <c r="N424" s="14">
        <f>IFERROR(__xludf.DUMMYFUNCTION("LET(
  gen,$A424, ev,$B424, t,$M424,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
      </c>
      <c r="O424" s="65" t="n"/>
      <c r="P424" s="69" t="n"/>
      <c r="Q424" s="65" t="n"/>
      <c r="R424" s="69" t="n"/>
      <c r="S424" s="58" t="n"/>
      <c r="T424" s="69" t="n"/>
      <c r="U424" s="65" t="n"/>
      <c r="V424" s="65" t="n"/>
      <c r="W424" s="65" t="n"/>
    </row>
    <row r="425">
      <c r="A425" s="17" t="inlineStr">
        <is>
          <t>M</t>
        </is>
      </c>
      <c r="B425" s="18" t="inlineStr">
        <is>
          <t>100 Free</t>
        </is>
      </c>
      <c r="C425" s="18" t="n">
        <v>25</v>
      </c>
      <c r="D425" s="18" t="n"/>
      <c r="E425" s="46" t="n"/>
      <c r="F425" s="21">
        <f>IFERROR(__xludf.DUMMYFUNCTION("IF(
  REGEXMATCH(E425, "":""),
  60*VALUE(INDEX(SPLIT(E425, "":""),1,1)) + VALUE(INDEX(SPLIT(E425, "":""),1,2)),
  VALUE(E425)
)"),0.0)</f>
        <v/>
      </c>
      <c r="G425" s="24" t="n"/>
      <c r="H425" s="24" t="n"/>
      <c r="I425" s="60">
        <f>C406</f>
        <v/>
      </c>
      <c r="J425" s="60">
        <f>C423</f>
        <v/>
      </c>
      <c r="K425" s="60">
        <f t="array" ref="K425">INDEX('Podium Target Times'!$C:$C, MATCH(A425&amp;B425, 'Podium Target Times'!$A:$A&amp;'Podium Target Times'!$B:$B, 0))
</f>
        <v/>
      </c>
      <c r="L425" s="60">
        <f>K425</f>
        <v/>
      </c>
      <c r="M425" s="60">
        <f>IF(L425&lt;60, TEXT(L425,"0.00"), IF(L425&lt;600, TEXT(L425/86400,"m:ss.00"), TEXT(L425/86400,"mm:ss.00")))
</f>
        <v/>
      </c>
      <c r="N425" s="25">
        <f>IFERROR(__xludf.DUMMYFUNCTION("LET(
  gen,$A425, ev,$B425, t,$M425,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
      </c>
      <c r="O425" s="65" t="n"/>
      <c r="P425" s="69" t="n"/>
      <c r="Q425" s="65" t="n"/>
      <c r="R425" s="69" t="n"/>
      <c r="S425" s="58" t="n"/>
      <c r="T425" s="69" t="n"/>
      <c r="U425" s="65" t="n"/>
      <c r="V425" s="65" t="n"/>
      <c r="W425" s="65" t="n"/>
    </row>
    <row r="426">
      <c r="A426" s="8" t="inlineStr">
        <is>
          <t>M</t>
        </is>
      </c>
      <c r="B426" s="9" t="inlineStr">
        <is>
          <t>1500 Free</t>
        </is>
      </c>
      <c r="C426" s="9" t="n">
        <v>15</v>
      </c>
      <c r="D426" s="9" t="n">
        <v>1</v>
      </c>
      <c r="E426" s="41" t="inlineStr">
        <is>
          <t>16:17.69</t>
        </is>
      </c>
      <c r="F426" s="35">
        <f>IFERROR(__xludf.DUMMYFUNCTION("IF(
  REGEXMATCH(E426, "":""),
  60*VALUE(INDEX(SPLIT(E426, "":""),1,1)) + VALUE(INDEX(SPLIT(E426, "":""),1,2)),
  VALUE(E426)
)"),977.69)</f>
        <v/>
      </c>
      <c r="G426" s="12" t="n">
        <v>0</v>
      </c>
      <c r="H426" s="12" t="n">
        <v>0</v>
      </c>
      <c r="I426" s="43">
        <f>C426</f>
        <v/>
      </c>
      <c r="J426" s="43">
        <f>C443</f>
        <v/>
      </c>
      <c r="K426" s="43">
        <f t="array" ref="K426">INDEX('Podium Target Times'!$C:$C, MATCH(A426&amp;B426, 'Podium Target Times'!$A:$A&amp;'Podium Target Times'!$B:$B, 0))
</f>
        <v/>
      </c>
      <c r="L426" s="12">
        <f>L427+G427</f>
        <v/>
      </c>
      <c r="M426" s="43">
        <f>IF(L426&lt;60, TEXT(L426,"0.00"), IF(L426&lt;600, TEXT(L426/86400,"m:ss.00"), TEXT(L426/86400,"mm:ss.00")))
</f>
        <v/>
      </c>
      <c r="N426" s="14">
        <f>IFERROR(__xludf.DUMMYFUNCTION("LET(
  gen,$A426, ev,$B426, t,$M426,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)"),610.0)</f>
        <v/>
      </c>
      <c r="O426" s="65" t="n"/>
      <c r="P426" s="69">
        <f>A426</f>
        <v/>
      </c>
      <c r="Q426" s="65">
        <f>B426</f>
        <v/>
      </c>
      <c r="R426" s="69">
        <f>C426</f>
        <v/>
      </c>
      <c r="S426" s="58">
        <f>M426</f>
        <v/>
      </c>
      <c r="T426" s="69">
        <f>N426</f>
        <v/>
      </c>
      <c r="U426" s="65" t="n">
        <v>612</v>
      </c>
      <c r="V426" s="65" t="n"/>
      <c r="W426" s="65" t="n"/>
    </row>
    <row r="427">
      <c r="A427" s="17" t="inlineStr">
        <is>
          <t>M</t>
        </is>
      </c>
      <c r="B427" s="18" t="inlineStr">
        <is>
          <t>1500 Free</t>
        </is>
      </c>
      <c r="C427" s="18" t="n">
        <v>16</v>
      </c>
      <c r="D427" s="18" t="n">
        <v>1</v>
      </c>
      <c r="E427" s="46" t="inlineStr">
        <is>
          <t>15:46.32</t>
        </is>
      </c>
      <c r="F427" s="21">
        <f>IFERROR(__xludf.DUMMYFUNCTION("IF(
  REGEXMATCH(E427, "":""),
  60*VALUE(INDEX(SPLIT(E427, "":""),1,1)) + VALUE(INDEX(SPLIT(E427, "":""),1,2)),
  VALUE(E427)
)"),946.32)</f>
        <v/>
      </c>
      <c r="G427" s="21">
        <f>F426-F427</f>
        <v/>
      </c>
      <c r="H427" s="21" t="n">
        <v>31.37</v>
      </c>
      <c r="I427" s="211">
        <f>C426</f>
        <v/>
      </c>
      <c r="J427" s="211">
        <f>C443</f>
        <v/>
      </c>
      <c r="K427" s="60">
        <f t="array" ref="K427">INDEX('Podium Target Times'!$C:$C, MATCH(A427&amp;B427, 'Podium Target Times'!$A:$A&amp;'Podium Target Times'!$B:$B, 0))
</f>
        <v/>
      </c>
      <c r="L427" s="24">
        <f>L429+G429</f>
        <v/>
      </c>
      <c r="M427" s="60">
        <f>IF(L427&lt;60, TEXT(L427,"0.00"), IF(L427&lt;600, TEXT(L427/86400,"m:ss.00"), TEXT(L427/86400,"mm:ss.00")))
</f>
        <v/>
      </c>
      <c r="N427" s="25">
        <f>IFERROR(__xludf.DUMMYFUNCTION("LET(
  gen,$A427, ev,$B427, t,$M427,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)"),670.0)</f>
        <v/>
      </c>
      <c r="O427" s="65" t="n"/>
      <c r="P427" s="69">
        <f>A427</f>
        <v/>
      </c>
      <c r="Q427" s="65">
        <f>B427</f>
        <v/>
      </c>
      <c r="R427" s="69">
        <f>C427</f>
        <v/>
      </c>
      <c r="S427" s="58">
        <f>M427</f>
        <v/>
      </c>
      <c r="T427" s="69">
        <f>N427</f>
        <v/>
      </c>
      <c r="U427" s="65" t="n"/>
      <c r="V427" s="65" t="n"/>
      <c r="W427" s="65" t="n"/>
    </row>
    <row r="428">
      <c r="A428" s="8" t="inlineStr">
        <is>
          <t>M</t>
        </is>
      </c>
      <c r="B428" s="9" t="inlineStr">
        <is>
          <t>1500 Free</t>
        </is>
      </c>
      <c r="C428" s="9" t="n">
        <v>16</v>
      </c>
      <c r="D428" s="9" t="n">
        <v>2</v>
      </c>
      <c r="E428" s="41" t="inlineStr">
        <is>
          <t>15:53.70</t>
        </is>
      </c>
      <c r="F428" s="35">
        <f>IFERROR(__xludf.DUMMYFUNCTION("IF(
  REGEXMATCH(E428, "":""),
  60*VALUE(INDEX(SPLIT(E428, "":""),1,1)) + VALUE(INDEX(SPLIT(E428, "":""),1,2)),
  VALUE(E428)
)"),953.7)</f>
        <v/>
      </c>
      <c r="G428" s="35">
        <f>F426-F427</f>
        <v/>
      </c>
      <c r="H428" s="35" t="n">
        <v>31.37</v>
      </c>
      <c r="I428" s="215">
        <f>C426</f>
        <v/>
      </c>
      <c r="J428" s="215">
        <f>C443</f>
        <v/>
      </c>
      <c r="K428" s="43">
        <f t="array" ref="K428">INDEX('Podium Target Times'!$C:$C, MATCH(A428&amp;B428, 'Podium Target Times'!$A:$A&amp;'Podium Target Times'!$B:$B, 0))
</f>
        <v/>
      </c>
      <c r="L428" s="12">
        <f>L429+G429</f>
        <v/>
      </c>
      <c r="M428" s="43">
        <f>IF(L428&lt;60, TEXT(L428,"0.00"), IF(L428&lt;600, TEXT(L428/86400,"m:ss.00"), TEXT(L428/86400,"mm:ss.00")))
</f>
        <v/>
      </c>
      <c r="N428" s="14">
        <f>IFERROR(__xludf.DUMMYFUNCTION("LET(
  gen,$A428, ev,$B428, t,$M428,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)"),670.0)</f>
        <v/>
      </c>
      <c r="O428" s="65" t="n"/>
      <c r="P428" s="69">
        <f>A429</f>
        <v/>
      </c>
      <c r="Q428" s="65">
        <f>B429</f>
        <v/>
      </c>
      <c r="R428" s="69">
        <f>C429</f>
        <v/>
      </c>
      <c r="S428" s="58">
        <f>M429</f>
        <v/>
      </c>
      <c r="T428" s="69">
        <f>N429</f>
        <v/>
      </c>
      <c r="U428" s="65" t="n"/>
      <c r="V428" s="65" t="n"/>
      <c r="W428" s="65" t="n"/>
    </row>
    <row r="429">
      <c r="A429" s="17" t="inlineStr">
        <is>
          <t>M</t>
        </is>
      </c>
      <c r="B429" s="18" t="inlineStr">
        <is>
          <t>1500 Free</t>
        </is>
      </c>
      <c r="C429" s="18" t="n">
        <v>17</v>
      </c>
      <c r="D429" s="18" t="n">
        <v>1</v>
      </c>
      <c r="E429" s="46" t="inlineStr">
        <is>
          <t>15:24.14</t>
        </is>
      </c>
      <c r="F429" s="21">
        <f>IFERROR(__xludf.DUMMYFUNCTION("IF(
  REGEXMATCH(E429, "":""),
  60*VALUE(INDEX(SPLIT(E429, "":""),1,1)) + VALUE(INDEX(SPLIT(E429, "":""),1,2)),
  VALUE(E429)
)"),924.14)</f>
        <v/>
      </c>
      <c r="G429" s="21">
        <f>average(F427-F429,F428-F430)</f>
        <v/>
      </c>
      <c r="H429" s="21" t="n">
        <v>22.27000000000004</v>
      </c>
      <c r="I429" s="211">
        <f>C426</f>
        <v/>
      </c>
      <c r="J429" s="211">
        <f>C443</f>
        <v/>
      </c>
      <c r="K429" s="60">
        <f t="array" ref="K429">INDEX('Podium Target Times'!$C:$C, MATCH(A429&amp;B429, 'Podium Target Times'!$A:$A&amp;'Podium Target Times'!$B:$B, 0))
</f>
        <v/>
      </c>
      <c r="L429" s="24">
        <f>L432+G432</f>
        <v/>
      </c>
      <c r="M429" s="60">
        <f>IF(L429&lt;60, TEXT(L429,"0.00"), IF(L429&lt;600, TEXT(L429/86400,"m:ss.00"), TEXT(L429/86400,"mm:ss.00")))
</f>
        <v/>
      </c>
      <c r="N429" s="25">
        <f>IFERROR(__xludf.DUMMYFUNCTION("LET(
  gen,$A429, ev,$B429, t,$M429,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O429" s="65" t="n"/>
      <c r="P429" s="69">
        <f>A432</f>
        <v/>
      </c>
      <c r="Q429" s="65">
        <f>B432</f>
        <v/>
      </c>
      <c r="R429" s="69">
        <f>C432</f>
        <v/>
      </c>
      <c r="S429" s="58">
        <f>M432</f>
        <v/>
      </c>
      <c r="T429" s="69">
        <f>N432</f>
        <v/>
      </c>
      <c r="U429" s="65" t="n"/>
      <c r="V429" s="65" t="n"/>
      <c r="W429" s="65" t="n"/>
    </row>
    <row r="430">
      <c r="A430" s="8" t="inlineStr">
        <is>
          <t>M</t>
        </is>
      </c>
      <c r="B430" s="9" t="inlineStr">
        <is>
          <t>1500 Free</t>
        </is>
      </c>
      <c r="C430" s="9" t="n">
        <v>17</v>
      </c>
      <c r="D430" s="9" t="n">
        <v>2</v>
      </c>
      <c r="E430" s="41" t="inlineStr">
        <is>
          <t>15:31.34</t>
        </is>
      </c>
      <c r="F430" s="35">
        <f>IFERROR(__xludf.DUMMYFUNCTION("IF(
  REGEXMATCH(E430, "":""),
  60*VALUE(INDEX(SPLIT(E430, "":""),1,1)) + VALUE(INDEX(SPLIT(E430, "":""),1,2)),
  VALUE(E430)
)"),931.34)</f>
        <v/>
      </c>
      <c r="G430" s="35">
        <f>average(F427-F429,F428-F430)</f>
        <v/>
      </c>
      <c r="H430" s="35" t="n">
        <v>22.27000000000004</v>
      </c>
      <c r="I430" s="215">
        <f>C426</f>
        <v/>
      </c>
      <c r="J430" s="215">
        <f>C443</f>
        <v/>
      </c>
      <c r="K430" s="43">
        <f t="array" ref="K430">INDEX('Podium Target Times'!$C:$C, MATCH(A430&amp;B430, 'Podium Target Times'!$A:$A&amp;'Podium Target Times'!$B:$B, 0))
</f>
        <v/>
      </c>
      <c r="L430" s="12">
        <f>L432+G432</f>
        <v/>
      </c>
      <c r="M430" s="43">
        <f>IF(L430&lt;60, TEXT(L430,"0.00"), IF(L430&lt;600, TEXT(L430/86400,"m:ss.00"), TEXT(L430/86400,"mm:ss.00")))
</f>
        <v/>
      </c>
      <c r="N430" s="14">
        <f>IFERROR(__xludf.DUMMYFUNCTION("LET(
  gen,$A430, ev,$B430, t,$M430,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O430" s="65" t="n"/>
      <c r="P430" s="69">
        <f>A435</f>
        <v/>
      </c>
      <c r="Q430" s="65">
        <f>B435</f>
        <v/>
      </c>
      <c r="R430" s="69">
        <f>C435</f>
        <v/>
      </c>
      <c r="S430" s="58">
        <f>M435</f>
        <v/>
      </c>
      <c r="T430" s="69">
        <f>N435</f>
        <v/>
      </c>
      <c r="U430" s="65" t="n"/>
      <c r="V430" s="65" t="n"/>
      <c r="W430" s="65" t="n"/>
    </row>
    <row r="431">
      <c r="A431" s="17" t="inlineStr">
        <is>
          <t>M</t>
        </is>
      </c>
      <c r="B431" s="18" t="inlineStr">
        <is>
          <t>1500 Free</t>
        </is>
      </c>
      <c r="C431" s="18" t="n">
        <v>17</v>
      </c>
      <c r="D431" s="18" t="n">
        <v>3</v>
      </c>
      <c r="E431" s="46" t="inlineStr">
        <is>
          <t>15:33.06</t>
        </is>
      </c>
      <c r="F431" s="21">
        <f>IFERROR(__xludf.DUMMYFUNCTION("IF(
  REGEXMATCH(E431, "":""),
  60*VALUE(INDEX(SPLIT(E431, "":""),1,1)) + VALUE(INDEX(SPLIT(E431, "":""),1,2)),
  VALUE(E431)
)"),933.06)</f>
        <v/>
      </c>
      <c r="G431" s="21">
        <f>average(F427-F429,F428-F430)</f>
        <v/>
      </c>
      <c r="H431" s="21" t="n">
        <v>22.27000000000004</v>
      </c>
      <c r="I431" s="211">
        <f>C426</f>
        <v/>
      </c>
      <c r="J431" s="211">
        <f>C443</f>
        <v/>
      </c>
      <c r="K431" s="60">
        <f t="array" ref="K431">INDEX('Podium Target Times'!$C:$C, MATCH(A431&amp;B431, 'Podium Target Times'!$A:$A&amp;'Podium Target Times'!$B:$B, 0))
</f>
        <v/>
      </c>
      <c r="L431" s="24">
        <f>L432+G432</f>
        <v/>
      </c>
      <c r="M431" s="60">
        <f>IF(L431&lt;60, TEXT(L431,"0.00"), IF(L431&lt;600, TEXT(L431/86400,"m:ss.00"), TEXT(L431/86400,"mm:ss.00")))
</f>
        <v/>
      </c>
      <c r="N431" s="25">
        <f>IFERROR(__xludf.DUMMYFUNCTION("LET(
  gen,$A431, ev,$B431, t,$M431,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O431" s="65" t="n"/>
      <c r="P431" s="69">
        <f>A438</f>
        <v/>
      </c>
      <c r="Q431" s="65">
        <f>B438</f>
        <v/>
      </c>
      <c r="R431" s="69">
        <f>C438</f>
        <v/>
      </c>
      <c r="S431" s="58">
        <f>M438</f>
        <v/>
      </c>
      <c r="T431" s="69">
        <f>N438</f>
        <v/>
      </c>
      <c r="U431" s="65" t="n"/>
      <c r="V431" s="65" t="n"/>
      <c r="W431" s="65" t="n"/>
    </row>
    <row r="432">
      <c r="A432" s="8" t="inlineStr">
        <is>
          <t>M</t>
        </is>
      </c>
      <c r="B432" s="9" t="inlineStr">
        <is>
          <t>1500 Free</t>
        </is>
      </c>
      <c r="C432" s="9" t="n">
        <v>18</v>
      </c>
      <c r="D432" s="9" t="n">
        <v>1</v>
      </c>
      <c r="E432" s="41" t="inlineStr">
        <is>
          <t>15:10.35</t>
        </is>
      </c>
      <c r="F432" s="35">
        <f>IFERROR(__xludf.DUMMYFUNCTION("IF(
  REGEXMATCH(E432, "":""),
  60*VALUE(INDEX(SPLIT(E432, "":""),1,1)) + VALUE(INDEX(SPLIT(E432, "":""),1,2)),
  VALUE(E432)
)"),910.35)</f>
        <v/>
      </c>
      <c r="G432" s="35">
        <f>average(F429-F432,F430-F433,F431-F434)</f>
        <v/>
      </c>
      <c r="H432" s="35" t="n">
        <v>13.86999999999997</v>
      </c>
      <c r="I432" s="215">
        <f>C426</f>
        <v/>
      </c>
      <c r="J432" s="215">
        <f>C443</f>
        <v/>
      </c>
      <c r="K432" s="43">
        <f t="array" ref="K432">INDEX('Podium Target Times'!$C:$C, MATCH(A432&amp;B432, 'Podium Target Times'!$A:$A&amp;'Podium Target Times'!$B:$B, 0))
</f>
        <v/>
      </c>
      <c r="L432" s="12">
        <f>L435+G435</f>
        <v/>
      </c>
      <c r="M432" s="43">
        <f>IF(L432&lt;60, TEXT(L432,"0.00"), IF(L432&lt;600, TEXT(L432/86400,"m:ss.00"), TEXT(L432/86400,"mm:ss.00")))
</f>
        <v/>
      </c>
      <c r="N432" s="14">
        <f>IFERROR(__xludf.DUMMYFUNCTION("LET(
  gen,$A432, ev,$B432, t,$M432,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O432" s="65" t="n"/>
      <c r="P432" s="69">
        <f>A440</f>
        <v/>
      </c>
      <c r="Q432" s="65">
        <f>B440</f>
        <v/>
      </c>
      <c r="R432" s="69">
        <f>C440</f>
        <v/>
      </c>
      <c r="S432" s="58">
        <f>M440</f>
        <v/>
      </c>
      <c r="T432" s="69">
        <f>N440</f>
        <v/>
      </c>
      <c r="U432" s="65" t="n"/>
      <c r="V432" s="65" t="n"/>
      <c r="W432" s="65" t="n"/>
    </row>
    <row r="433">
      <c r="A433" s="17" t="inlineStr">
        <is>
          <t>M</t>
        </is>
      </c>
      <c r="B433" s="18" t="inlineStr">
        <is>
          <t>1500 Free</t>
        </is>
      </c>
      <c r="C433" s="18" t="n">
        <v>18</v>
      </c>
      <c r="D433" s="18" t="n">
        <v>2</v>
      </c>
      <c r="E433" s="46" t="inlineStr">
        <is>
          <t>15:17.45</t>
        </is>
      </c>
      <c r="F433" s="21">
        <f>IFERROR(__xludf.DUMMYFUNCTION("IF(
  REGEXMATCH(E433, "":""),
  60*VALUE(INDEX(SPLIT(E433, "":""),1,1)) + VALUE(INDEX(SPLIT(E433, "":""),1,2)),
  VALUE(E433)
)"),917.45)</f>
        <v/>
      </c>
      <c r="G433" s="21">
        <f>average(F429-F432,F430-F433,F431-F434)</f>
        <v/>
      </c>
      <c r="H433" s="21" t="n">
        <v>13.86999999999997</v>
      </c>
      <c r="I433" s="211">
        <f>C426</f>
        <v/>
      </c>
      <c r="J433" s="211">
        <f>C443</f>
        <v/>
      </c>
      <c r="K433" s="60">
        <f t="array" ref="K433">INDEX('Podium Target Times'!$C:$C, MATCH(A433&amp;B433, 'Podium Target Times'!$A:$A&amp;'Podium Target Times'!$B:$B, 0))
</f>
        <v/>
      </c>
      <c r="L433" s="24">
        <f>L435+G435</f>
        <v/>
      </c>
      <c r="M433" s="60">
        <f>IF(L433&lt;60, TEXT(L433,"0.00"), IF(L433&lt;600, TEXT(L433/86400,"m:ss.00"), TEXT(L433/86400,"mm:ss.00")))
</f>
        <v/>
      </c>
      <c r="N433" s="25">
        <f>IFERROR(__xludf.DUMMYFUNCTION("LET(
  gen,$A433, ev,$B433, t,$M433,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O433" s="65" t="n"/>
      <c r="P433" s="69">
        <f>A442</f>
        <v/>
      </c>
      <c r="Q433" s="65">
        <f>B442</f>
        <v/>
      </c>
      <c r="R433" s="69">
        <f>C442</f>
        <v/>
      </c>
      <c r="S433" s="58">
        <f>M442</f>
        <v/>
      </c>
      <c r="T433" s="69">
        <f>N442</f>
        <v/>
      </c>
      <c r="U433" s="65" t="n"/>
      <c r="V433" s="65" t="n"/>
      <c r="W433" s="65" t="n"/>
    </row>
    <row r="434">
      <c r="A434" s="8" t="inlineStr">
        <is>
          <t>M</t>
        </is>
      </c>
      <c r="B434" s="9" t="inlineStr">
        <is>
          <t>1500 Free</t>
        </is>
      </c>
      <c r="C434" s="9" t="n">
        <v>18</v>
      </c>
      <c r="D434" s="9" t="n">
        <v>3</v>
      </c>
      <c r="E434" s="41" t="inlineStr">
        <is>
          <t>15:19.13</t>
        </is>
      </c>
      <c r="F434" s="35">
        <f>IFERROR(__xludf.DUMMYFUNCTION("IF(
  REGEXMATCH(E434, "":""),
  60*VALUE(INDEX(SPLIT(E434, "":""),1,1)) + VALUE(INDEX(SPLIT(E434, "":""),1,2)),
  VALUE(E434)
)"),919.13)</f>
        <v/>
      </c>
      <c r="G434" s="35">
        <f>average(F429-F432,F430-F433,F431-F434)</f>
        <v/>
      </c>
      <c r="H434" s="35" t="n">
        <v>13.86999999999997</v>
      </c>
      <c r="I434" s="215">
        <f>C426</f>
        <v/>
      </c>
      <c r="J434" s="215">
        <f>C443</f>
        <v/>
      </c>
      <c r="K434" s="43">
        <f t="array" ref="K434">INDEX('Podium Target Times'!$C:$C, MATCH(A434&amp;B434, 'Podium Target Times'!$A:$A&amp;'Podium Target Times'!$B:$B, 0))
</f>
        <v/>
      </c>
      <c r="L434" s="12">
        <f>L435+G435</f>
        <v/>
      </c>
      <c r="M434" s="43">
        <f>IF(L434&lt;60, TEXT(L434,"0.00"), IF(L434&lt;600, TEXT(L434/86400,"m:ss.00"), TEXT(L434/86400,"mm:ss.00")))
</f>
        <v/>
      </c>
      <c r="N434" s="14">
        <f>IFERROR(__xludf.DUMMYFUNCTION("LET(
  gen,$A434, ev,$B434, t,$M434,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O434" s="65" t="n"/>
      <c r="P434" s="69">
        <f>A443</f>
        <v/>
      </c>
      <c r="Q434" s="65">
        <f>B443</f>
        <v/>
      </c>
      <c r="R434" s="69">
        <f>C443</f>
        <v/>
      </c>
      <c r="S434" s="58">
        <f>M443</f>
        <v/>
      </c>
      <c r="T434" s="69">
        <f>N443</f>
        <v/>
      </c>
      <c r="U434" s="65" t="n">
        <v>793</v>
      </c>
      <c r="V434" s="65" t="n"/>
      <c r="W434" s="65" t="n"/>
    </row>
    <row r="435">
      <c r="A435" s="17" t="inlineStr">
        <is>
          <t>M</t>
        </is>
      </c>
      <c r="B435" s="18" t="inlineStr">
        <is>
          <t>1500 Free</t>
        </is>
      </c>
      <c r="C435" s="18" t="n">
        <v>19</v>
      </c>
      <c r="D435" s="18" t="n">
        <v>1</v>
      </c>
      <c r="E435" s="46" t="inlineStr">
        <is>
          <t>15:01.89</t>
        </is>
      </c>
      <c r="F435" s="21">
        <f>IFERROR(__xludf.DUMMYFUNCTION("IF(
  REGEXMATCH(E435, "":""),
  60*VALUE(INDEX(SPLIT(E435, "":""),1,1)) + VALUE(INDEX(SPLIT(E435, "":""),1,2)),
  VALUE(E435)
)"),901.89)</f>
        <v/>
      </c>
      <c r="G435" s="21">
        <f>average(F432-F435,F433-F436,F434-F437)</f>
        <v/>
      </c>
      <c r="H435" s="21" t="n">
        <v>8.510000000000028</v>
      </c>
      <c r="I435" s="211">
        <f>C426</f>
        <v/>
      </c>
      <c r="J435" s="211">
        <f>C443</f>
        <v/>
      </c>
      <c r="K435" s="60">
        <f t="array" ref="K435">INDEX('Podium Target Times'!$C:$C, MATCH(A435&amp;B435, 'Podium Target Times'!$A:$A&amp;'Podium Target Times'!$B:$B, 0))
</f>
        <v/>
      </c>
      <c r="L435" s="24">
        <f>L438+G438</f>
        <v/>
      </c>
      <c r="M435" s="60">
        <f>IF(L435&lt;60, TEXT(L435,"0.00"), IF(L435&lt;600, TEXT(L435/86400,"m:ss.00"), TEXT(L435/86400,"mm:ss.00")))
</f>
        <v/>
      </c>
      <c r="N435" s="25">
        <f>IFERROR(__xludf.DUMMYFUNCTION("LET(
  gen,$A435, ev,$B435, t,$M435,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O435" s="65" t="n"/>
      <c r="P435" s="69">
        <f>P434</f>
        <v/>
      </c>
      <c r="Q435" s="65">
        <f>Q434</f>
        <v/>
      </c>
      <c r="R435" s="69">
        <f>R434+1</f>
        <v/>
      </c>
      <c r="S435" s="58">
        <f>M444</f>
        <v/>
      </c>
      <c r="T435" s="69">
        <f>N444</f>
        <v/>
      </c>
      <c r="U435" s="65" t="n"/>
      <c r="V435" s="65" t="n"/>
      <c r="W435" s="65" t="n"/>
    </row>
    <row r="436">
      <c r="A436" s="8" t="inlineStr">
        <is>
          <t>M</t>
        </is>
      </c>
      <c r="B436" s="9" t="inlineStr">
        <is>
          <t>1500 Free</t>
        </is>
      </c>
      <c r="C436" s="9" t="n">
        <v>19</v>
      </c>
      <c r="D436" s="9" t="n">
        <v>2</v>
      </c>
      <c r="E436" s="41" t="inlineStr">
        <is>
          <t>15:08.92</t>
        </is>
      </c>
      <c r="F436" s="35">
        <f>IFERROR(__xludf.DUMMYFUNCTION("IF(
  REGEXMATCH(E436, "":""),
  60*VALUE(INDEX(SPLIT(E436, "":""),1,1)) + VALUE(INDEX(SPLIT(E436, "":""),1,2)),
  VALUE(E436)
)"),908.92)</f>
        <v/>
      </c>
      <c r="G436" s="35">
        <f>average(F432-F435,F433-F436,F434-F437)</f>
        <v/>
      </c>
      <c r="H436" s="35" t="n">
        <v>8.510000000000028</v>
      </c>
      <c r="I436" s="215">
        <f>C426</f>
        <v/>
      </c>
      <c r="J436" s="215">
        <f>C443</f>
        <v/>
      </c>
      <c r="K436" s="43">
        <f t="array" ref="K436">INDEX('Podium Target Times'!$C:$C, MATCH(A436&amp;B436, 'Podium Target Times'!$A:$A&amp;'Podium Target Times'!$B:$B, 0))
</f>
        <v/>
      </c>
      <c r="L436" s="12">
        <f>L438+G438</f>
        <v/>
      </c>
      <c r="M436" s="43">
        <f>IF(L436&lt;60, TEXT(L436,"0.00"), IF(L436&lt;600, TEXT(L436/86400,"m:ss.00"), TEXT(L436/86400,"mm:ss.00")))
</f>
        <v/>
      </c>
      <c r="N436" s="14">
        <f>IFERROR(__xludf.DUMMYFUNCTION("LET(
  gen,$A436, ev,$B436, t,$M436,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O436" s="65" t="n"/>
      <c r="P436" s="69">
        <f>P435</f>
        <v/>
      </c>
      <c r="Q436" s="65">
        <f>Q435</f>
        <v/>
      </c>
      <c r="R436" s="69">
        <f>R435+1</f>
        <v/>
      </c>
      <c r="S436" s="58">
        <f>M445</f>
        <v/>
      </c>
      <c r="T436" s="69">
        <f>N445</f>
        <v/>
      </c>
      <c r="U436" s="65" t="n"/>
      <c r="V436" s="65" t="n"/>
      <c r="W436" s="65" t="n"/>
    </row>
    <row r="437">
      <c r="A437" s="17" t="inlineStr">
        <is>
          <t>M</t>
        </is>
      </c>
      <c r="B437" s="18" t="inlineStr">
        <is>
          <t>1500 Free</t>
        </is>
      </c>
      <c r="C437" s="18" t="n">
        <v>19</v>
      </c>
      <c r="D437" s="18" t="n">
        <v>3</v>
      </c>
      <c r="E437" s="46" t="inlineStr">
        <is>
          <t>15:10.59</t>
        </is>
      </c>
      <c r="F437" s="21">
        <f>IFERROR(__xludf.DUMMYFUNCTION("IF(
  REGEXMATCH(E437, "":""),
  60*VALUE(INDEX(SPLIT(E437, "":""),1,1)) + VALUE(INDEX(SPLIT(E437, "":""),1,2)),
  VALUE(E437)
)"),910.59)</f>
        <v/>
      </c>
      <c r="G437" s="21">
        <f>average(F432-F435,F433-F436,F434-F437)</f>
        <v/>
      </c>
      <c r="H437" s="21" t="n">
        <v>8.510000000000028</v>
      </c>
      <c r="I437" s="211">
        <f>C426</f>
        <v/>
      </c>
      <c r="J437" s="211">
        <f>C443</f>
        <v/>
      </c>
      <c r="K437" s="60">
        <f t="array" ref="K437">INDEX('Podium Target Times'!$C:$C, MATCH(A437&amp;B437, 'Podium Target Times'!$A:$A&amp;'Podium Target Times'!$B:$B, 0))
</f>
        <v/>
      </c>
      <c r="L437" s="24">
        <f>L438+G438</f>
        <v/>
      </c>
      <c r="M437" s="60">
        <f>IF(L437&lt;60, TEXT(L437,"0.00"), IF(L437&lt;600, TEXT(L437/86400,"m:ss.00"), TEXT(L437/86400,"mm:ss.00")))
</f>
        <v/>
      </c>
      <c r="N437" s="25">
        <f>IFERROR(__xludf.DUMMYFUNCTION("LET(
  gen,$A437, ev,$B437, t,$M437,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O437" s="65" t="n"/>
      <c r="P437" s="69" t="n"/>
      <c r="Q437" s="65" t="n"/>
      <c r="R437" s="69" t="n"/>
      <c r="S437" s="58" t="n"/>
      <c r="T437" s="69" t="n"/>
      <c r="U437" s="65" t="n"/>
      <c r="V437" s="65" t="n"/>
      <c r="W437" s="65" t="n"/>
    </row>
    <row r="438">
      <c r="A438" s="8" t="inlineStr">
        <is>
          <t>M</t>
        </is>
      </c>
      <c r="B438" s="9" t="inlineStr">
        <is>
          <t>1500 Free</t>
        </is>
      </c>
      <c r="C438" s="9" t="n">
        <v>20</v>
      </c>
      <c r="D438" s="9" t="n">
        <v>2</v>
      </c>
      <c r="E438" s="41" t="inlineStr">
        <is>
          <t>15:04.13</t>
        </is>
      </c>
      <c r="F438" s="35">
        <f>IFERROR(__xludf.DUMMYFUNCTION("IF(
  REGEXMATCH(E438, "":""),
  60*VALUE(INDEX(SPLIT(E438, "":""),1,1)) + VALUE(INDEX(SPLIT(E438, "":""),1,2)),
  VALUE(E438)
)"),904.13)</f>
        <v/>
      </c>
      <c r="G438" s="35">
        <f>average(F436-F438,F437-F439)</f>
        <v/>
      </c>
      <c r="H438" s="35" t="n">
        <v>4.795000000000016</v>
      </c>
      <c r="I438" s="215">
        <f>C426</f>
        <v/>
      </c>
      <c r="J438" s="215">
        <f>C443</f>
        <v/>
      </c>
      <c r="K438" s="43">
        <f t="array" ref="K438">INDEX('Podium Target Times'!$C:$C, MATCH(A438&amp;B438, 'Podium Target Times'!$A:$A&amp;'Podium Target Times'!$B:$B, 0))
</f>
        <v/>
      </c>
      <c r="L438" s="12">
        <f>L440+G440</f>
        <v/>
      </c>
      <c r="M438" s="43">
        <f>IF(L438&lt;60, TEXT(L438,"0.00"), IF(L438&lt;600, TEXT(L438/86400,"m:ss.00"), TEXT(L438/86400,"mm:ss.00")))
</f>
        <v/>
      </c>
      <c r="N438" s="14">
        <f>IFERROR(__xludf.DUMMYFUNCTION("LET(
  gen,$A438, ev,$B438, t,$M438,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
      </c>
      <c r="O438" s="65" t="n"/>
      <c r="P438" s="69" t="n"/>
      <c r="Q438" s="65" t="n"/>
      <c r="R438" s="69" t="n"/>
      <c r="S438" s="58" t="n"/>
      <c r="T438" s="69" t="n"/>
      <c r="U438" s="65" t="n"/>
      <c r="V438" s="65" t="n"/>
      <c r="W438" s="65" t="n"/>
    </row>
    <row r="439">
      <c r="A439" s="17" t="inlineStr">
        <is>
          <t>M</t>
        </is>
      </c>
      <c r="B439" s="18" t="inlineStr">
        <is>
          <t>1500 Free</t>
        </is>
      </c>
      <c r="C439" s="18" t="n">
        <v>20</v>
      </c>
      <c r="D439" s="18" t="n">
        <v>3</v>
      </c>
      <c r="E439" s="46" t="inlineStr">
        <is>
          <t>15:05.79</t>
        </is>
      </c>
      <c r="F439" s="21">
        <f>IFERROR(__xludf.DUMMYFUNCTION("IF(
  REGEXMATCH(E439, "":""),
  60*VALUE(INDEX(SPLIT(E439, "":""),1,1)) + VALUE(INDEX(SPLIT(E439, "":""),1,2)),
  VALUE(E439)
)"),905.79)</f>
        <v/>
      </c>
      <c r="G439" s="21">
        <f>average(F436-F438,F437-F439)</f>
        <v/>
      </c>
      <c r="H439" s="21" t="n">
        <v>4.795000000000016</v>
      </c>
      <c r="I439" s="211">
        <f>C426</f>
        <v/>
      </c>
      <c r="J439" s="211">
        <f>C443</f>
        <v/>
      </c>
      <c r="K439" s="60">
        <f t="array" ref="K439">INDEX('Podium Target Times'!$C:$C, MATCH(A439&amp;B439, 'Podium Target Times'!$A:$A&amp;'Podium Target Times'!$B:$B, 0))
</f>
        <v/>
      </c>
      <c r="L439" s="24">
        <f>L440+G440</f>
        <v/>
      </c>
      <c r="M439" s="60">
        <f>IF(L439&lt;60, TEXT(L439,"0.00"), IF(L439&lt;600, TEXT(L439/86400,"m:ss.00"), TEXT(L439/86400,"mm:ss.00")))
</f>
        <v/>
      </c>
      <c r="N439" s="25">
        <f>IFERROR(__xludf.DUMMYFUNCTION("LET(
  gen,$A439, ev,$B439, t,$M439,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)"),780.0)</f>
        <v/>
      </c>
      <c r="O439" s="65" t="n"/>
      <c r="P439" s="69" t="n"/>
      <c r="Q439" s="65" t="n"/>
      <c r="R439" s="69" t="n"/>
      <c r="S439" s="58" t="n"/>
      <c r="T439" s="69" t="n"/>
      <c r="U439" s="65" t="n"/>
      <c r="V439" s="65" t="n"/>
      <c r="W439" s="65" t="n"/>
    </row>
    <row r="440">
      <c r="A440" s="8" t="inlineStr">
        <is>
          <t>M</t>
        </is>
      </c>
      <c r="B440" s="9" t="inlineStr">
        <is>
          <t>1500 Free</t>
        </is>
      </c>
      <c r="C440" s="9" t="n">
        <v>21</v>
      </c>
      <c r="D440" s="9" t="n">
        <v>2</v>
      </c>
      <c r="E440" s="41" t="inlineStr">
        <is>
          <t>15:01.89</t>
        </is>
      </c>
      <c r="F440" s="35">
        <f>IFERROR(__xludf.DUMMYFUNCTION("IF(
  REGEXMATCH(E440, "":""),
  60*VALUE(INDEX(SPLIT(E440, "":""),1,1)) + VALUE(INDEX(SPLIT(E440, "":""),1,2)),
  VALUE(E440)
)"),901.89)</f>
        <v/>
      </c>
      <c r="G440" s="35">
        <f>average(F438-F440,F439-F441)</f>
        <v/>
      </c>
      <c r="H440" s="35" t="n">
        <v>2.240000000000009</v>
      </c>
      <c r="I440" s="215">
        <f>C426</f>
        <v/>
      </c>
      <c r="J440" s="215">
        <f>C443</f>
        <v/>
      </c>
      <c r="K440" s="43">
        <f t="array" ref="K440">INDEX('Podium Target Times'!$C:$C, MATCH(A440&amp;B440, 'Podium Target Times'!$A:$A&amp;'Podium Target Times'!$B:$B, 0))
</f>
        <v/>
      </c>
      <c r="L440" s="12">
        <f>L442+G442</f>
        <v/>
      </c>
      <c r="M440" s="43">
        <f>IF(L440&lt;60, TEXT(L440,"0.00"), IF(L440&lt;600, TEXT(L440/86400,"m:ss.00"), TEXT(L440/86400,"mm:ss.00")))
</f>
        <v/>
      </c>
      <c r="N440" s="14">
        <f>IFERROR(__xludf.DUMMYFUNCTION("LET(
  gen,$A440, ev,$B440, t,$M440,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)"),786.0)</f>
        <v/>
      </c>
      <c r="O440" s="65" t="n"/>
      <c r="P440" s="69" t="n"/>
      <c r="Q440" s="65" t="n"/>
      <c r="R440" s="69" t="n"/>
      <c r="S440" s="58" t="n"/>
      <c r="T440" s="69" t="n"/>
      <c r="U440" s="65" t="n"/>
      <c r="V440" s="65" t="n"/>
      <c r="W440" s="65" t="n"/>
    </row>
    <row r="441">
      <c r="A441" s="17" t="inlineStr">
        <is>
          <t>M</t>
        </is>
      </c>
      <c r="B441" s="18" t="inlineStr">
        <is>
          <t>1500 Free</t>
        </is>
      </c>
      <c r="C441" s="18" t="n">
        <v>21</v>
      </c>
      <c r="D441" s="18" t="n">
        <v>3</v>
      </c>
      <c r="E441" s="46" t="inlineStr">
        <is>
          <t>15:03.55</t>
        </is>
      </c>
      <c r="F441" s="21">
        <f>IFERROR(__xludf.DUMMYFUNCTION("IF(
  REGEXMATCH(E441, "":""),
  60*VALUE(INDEX(SPLIT(E441, "":""),1,1)) + VALUE(INDEX(SPLIT(E441, "":""),1,2)),
  VALUE(E441)
)"),903.55)</f>
        <v/>
      </c>
      <c r="G441" s="21">
        <f>average(F438-F440,F439-F441)</f>
        <v/>
      </c>
      <c r="H441" s="21" t="n">
        <v>2.240000000000009</v>
      </c>
      <c r="I441" s="211">
        <f>C426</f>
        <v/>
      </c>
      <c r="J441" s="211">
        <f>C443</f>
        <v/>
      </c>
      <c r="K441" s="60">
        <f t="array" ref="K441">INDEX('Podium Target Times'!$C:$C, MATCH(A441&amp;B441, 'Podium Target Times'!$A:$A&amp;'Podium Target Times'!$B:$B, 0))
</f>
        <v/>
      </c>
      <c r="L441" s="24">
        <f>L442+G442</f>
        <v/>
      </c>
      <c r="M441" s="60">
        <f>IF(L441&lt;60, TEXT(L441,"0.00"), IF(L441&lt;600, TEXT(L441/86400,"m:ss.00"), TEXT(L441/86400,"mm:ss.00")))
</f>
        <v/>
      </c>
      <c r="N441" s="25">
        <f>IFERROR(__xludf.DUMMYFUNCTION("LET(
  gen,$A441, ev,$B441, t,$M441,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)"),786.0)</f>
        <v/>
      </c>
      <c r="O441" s="65" t="n"/>
      <c r="P441" s="69" t="n"/>
      <c r="Q441" s="65" t="n"/>
      <c r="R441" s="69" t="n"/>
      <c r="S441" s="58" t="n"/>
      <c r="T441" s="69" t="n"/>
      <c r="U441" s="65" t="n"/>
      <c r="V441" s="65" t="n"/>
      <c r="W441" s="65" t="n"/>
    </row>
    <row r="442">
      <c r="A442" s="8" t="inlineStr">
        <is>
          <t>M</t>
        </is>
      </c>
      <c r="B442" s="9" t="inlineStr">
        <is>
          <t>1500 Free</t>
        </is>
      </c>
      <c r="C442" s="9" t="n">
        <v>22</v>
      </c>
      <c r="D442" s="9" t="n">
        <v>3</v>
      </c>
      <c r="E442" s="41" t="inlineStr">
        <is>
          <t>15:02.44</t>
        </is>
      </c>
      <c r="F442" s="35">
        <f>IFERROR(__xludf.DUMMYFUNCTION("IF(
  REGEXMATCH(E442, "":""),
  60*VALUE(INDEX(SPLIT(E442, "":""),1,1)) + VALUE(INDEX(SPLIT(E442, "":""),1,2)),
  VALUE(E442)
)"),902.44)</f>
        <v/>
      </c>
      <c r="G442" s="35">
        <f>F441-F442</f>
        <v/>
      </c>
      <c r="H442" s="35" t="n">
        <v>1.1099999999999</v>
      </c>
      <c r="I442" s="215">
        <f>C426</f>
        <v/>
      </c>
      <c r="J442" s="215">
        <f>C443</f>
        <v/>
      </c>
      <c r="K442" s="43">
        <f t="array" ref="K442">INDEX('Podium Target Times'!$C:$C, MATCH(A442&amp;B442, 'Podium Target Times'!$A:$A&amp;'Podium Target Times'!$B:$B, 0))
</f>
        <v/>
      </c>
      <c r="L442" s="12">
        <f>L443+G443</f>
        <v/>
      </c>
      <c r="M442" s="43">
        <f>IF(L442&lt;60, TEXT(L442,"0.00"), IF(L442&lt;600, TEXT(L442/86400,"m:ss.00"), TEXT(L442/86400,"mm:ss.00")))
</f>
        <v/>
      </c>
      <c r="N442" s="14">
        <f>IFERROR(__xludf.DUMMYFUNCTION("LET(
  gen,$A442, ev,$B442, t,$M442,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)"),789.0)</f>
        <v/>
      </c>
      <c r="O442" s="65" t="n"/>
      <c r="P442" s="69" t="n"/>
      <c r="Q442" s="65" t="n"/>
      <c r="R442" s="69" t="n"/>
      <c r="S442" s="58" t="n"/>
      <c r="T442" s="69" t="n"/>
      <c r="U442" s="65" t="n"/>
      <c r="V442" s="65" t="n"/>
      <c r="W442" s="65" t="n"/>
    </row>
    <row r="443">
      <c r="A443" s="17" t="inlineStr">
        <is>
          <t>M</t>
        </is>
      </c>
      <c r="B443" s="18" t="inlineStr">
        <is>
          <t>1500 Free</t>
        </is>
      </c>
      <c r="C443" s="18" t="n">
        <v>23</v>
      </c>
      <c r="D443" s="18" t="n">
        <v>3</v>
      </c>
      <c r="E443" s="46" t="inlineStr">
        <is>
          <t>15:01.89</t>
        </is>
      </c>
      <c r="F443" s="21">
        <f>IFERROR(__xludf.DUMMYFUNCTION("IF(
  REGEXMATCH(E443, "":""),
  60*VALUE(INDEX(SPLIT(E443, "":""),1,1)) + VALUE(INDEX(SPLIT(E443, "":""),1,2)),
  VALUE(E443)
)"),901.89)</f>
        <v/>
      </c>
      <c r="G443" s="21">
        <f>F442-F443</f>
        <v/>
      </c>
      <c r="H443" s="21" t="n">
        <v>0.5500000000000682</v>
      </c>
      <c r="I443" s="211">
        <f>C426</f>
        <v/>
      </c>
      <c r="J443" s="211">
        <f>C443</f>
        <v/>
      </c>
      <c r="K443" s="60">
        <f t="array" ref="K443">INDEX('Podium Target Times'!$C:$C, MATCH(A443&amp;B443, 'Podium Target Times'!$A:$A&amp;'Podium Target Times'!$B:$B, 0))
</f>
        <v/>
      </c>
      <c r="L443" s="21">
        <f>G443+L444</f>
        <v/>
      </c>
      <c r="M443" s="60">
        <f>IF(L443&lt;60, TEXT(L443,"0.00"), IF(L443&lt;600, TEXT(L443/86400,"m:ss.00"), TEXT(L443/86400,"mm:ss.00")))
</f>
        <v/>
      </c>
      <c r="N443" s="25">
        <f>IFERROR(__xludf.DUMMYFUNCTION("LET(
  gen,$A443, ev,$B443, t,$M443,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O443" s="65" t="n"/>
      <c r="P443" s="69" t="n"/>
      <c r="Q443" s="65" t="n"/>
      <c r="R443" s="69" t="n"/>
      <c r="S443" s="58" t="n"/>
      <c r="T443" s="69" t="n"/>
      <c r="U443" s="65" t="n"/>
      <c r="V443" s="65" t="n"/>
      <c r="W443" s="65" t="n"/>
    </row>
    <row r="444">
      <c r="A444" s="8" t="inlineStr">
        <is>
          <t>M</t>
        </is>
      </c>
      <c r="B444" s="9" t="inlineStr">
        <is>
          <t>1500 Free</t>
        </is>
      </c>
      <c r="C444" s="9" t="n">
        <v>24</v>
      </c>
      <c r="D444" s="9" t="n"/>
      <c r="E444" s="41" t="n"/>
      <c r="F444" s="35">
        <f>IFERROR(__xludf.DUMMYFUNCTION("IF(
  REGEXMATCH(E444, "":""),
  60*VALUE(INDEX(SPLIT(E444, "":""),1,1)) + VALUE(INDEX(SPLIT(E444, "":""),1,2)),
  VALUE(E444)
)"),0.0)</f>
        <v/>
      </c>
      <c r="G444" s="12" t="n"/>
      <c r="H444" s="12" t="n"/>
      <c r="I444" s="43">
        <f>C426</f>
        <v/>
      </c>
      <c r="J444" s="43">
        <f>C443</f>
        <v/>
      </c>
      <c r="K444" s="43">
        <f t="array" ref="K444">INDEX('Podium Target Times'!$C:$C, MATCH(A444&amp;B444, 'Podium Target Times'!$A:$A&amp;'Podium Target Times'!$B:$B, 0))
</f>
        <v/>
      </c>
      <c r="L444" s="12">
        <f>G443+L445</f>
        <v/>
      </c>
      <c r="M444" s="43">
        <f>IF(L444&lt;60, TEXT(L444,"0.00"), IF(L444&lt;600, TEXT(L444/86400,"m:ss.00"), TEXT(L444/86400,"mm:ss.00")))
</f>
        <v/>
      </c>
      <c r="N444" s="14">
        <f>IFERROR(__xludf.DUMMYFUNCTION("LET(
  gen,$A444, ev,$B444, t,$M444,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
      </c>
      <c r="O444" s="65" t="n"/>
      <c r="P444" s="69" t="n"/>
      <c r="Q444" s="65" t="n"/>
      <c r="R444" s="69" t="n"/>
      <c r="S444" s="58" t="n"/>
      <c r="T444" s="69" t="n"/>
      <c r="U444" s="65" t="n"/>
      <c r="V444" s="65" t="n"/>
      <c r="W444" s="65" t="n"/>
    </row>
    <row r="445">
      <c r="A445" s="17" t="inlineStr">
        <is>
          <t>M</t>
        </is>
      </c>
      <c r="B445" s="18" t="inlineStr">
        <is>
          <t>1500 Free</t>
        </is>
      </c>
      <c r="C445" s="18" t="n">
        <v>25</v>
      </c>
      <c r="D445" s="18" t="n"/>
      <c r="E445" s="46" t="n"/>
      <c r="F445" s="21">
        <f>IFERROR(__xludf.DUMMYFUNCTION("IF(
  REGEXMATCH(E445, "":""),
  60*VALUE(INDEX(SPLIT(E445, "":""),1,1)) + VALUE(INDEX(SPLIT(E445, "":""),1,2)),
  VALUE(E445)
)"),0.0)</f>
        <v/>
      </c>
      <c r="G445" s="24" t="n"/>
      <c r="H445" s="24" t="n"/>
      <c r="I445" s="60">
        <f>C426</f>
        <v/>
      </c>
      <c r="J445" s="60">
        <f>C443</f>
        <v/>
      </c>
      <c r="K445" s="60">
        <f t="array" ref="K445">INDEX('Podium Target Times'!$C:$C, MATCH(A445&amp;B445, 'Podium Target Times'!$A:$A&amp;'Podium Target Times'!$B:$B, 0))
</f>
        <v/>
      </c>
      <c r="L445" s="60">
        <f>K445</f>
        <v/>
      </c>
      <c r="M445" s="60">
        <f>IF(L445&lt;60, TEXT(L445,"0.00"), IF(L445&lt;600, TEXT(L445/86400,"m:ss.00"), TEXT(L445/86400,"mm:ss.00")))
</f>
        <v/>
      </c>
      <c r="N445" s="25">
        <f>IFERROR(__xludf.DUMMYFUNCTION("LET(
  gen,$A445, ev,$B445, t,$M445,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O445" s="65" t="n"/>
      <c r="P445" s="69" t="n"/>
      <c r="Q445" s="65" t="n"/>
      <c r="R445" s="69" t="n"/>
      <c r="S445" s="58" t="n"/>
      <c r="T445" s="69" t="n"/>
      <c r="U445" s="65" t="n"/>
      <c r="V445" s="65" t="n"/>
      <c r="W445" s="65" t="n"/>
    </row>
    <row r="446">
      <c r="A446" s="8" t="inlineStr">
        <is>
          <t>M</t>
        </is>
      </c>
      <c r="B446" s="9" t="inlineStr">
        <is>
          <t>200 Back</t>
        </is>
      </c>
      <c r="C446" s="9" t="n">
        <v>15</v>
      </c>
      <c r="D446" s="9" t="n">
        <v>1</v>
      </c>
      <c r="E446" s="41" t="inlineStr">
        <is>
          <t>2:07.63</t>
        </is>
      </c>
      <c r="F446" s="35">
        <f>IFERROR(__xludf.DUMMYFUNCTION("IF(
  REGEXMATCH(E446, "":""),
  60*VALUE(INDEX(SPLIT(E446, "":""),1,1)) + VALUE(INDEX(SPLIT(E446, "":""),1,2)),
  VALUE(E446)
)"),127.63)</f>
        <v/>
      </c>
      <c r="G446" s="12" t="n">
        <v>0</v>
      </c>
      <c r="H446" s="12" t="n">
        <v>0</v>
      </c>
      <c r="I446" s="43">
        <f>C446</f>
        <v/>
      </c>
      <c r="J446" s="43">
        <f>C463</f>
        <v/>
      </c>
      <c r="K446" s="43">
        <f t="array" ref="K446">INDEX('Podium Target Times'!$C:$C, MATCH(A446&amp;B446, 'Podium Target Times'!$A:$A&amp;'Podium Target Times'!$B:$B, 0))
</f>
        <v/>
      </c>
      <c r="L446" s="12">
        <f>L447+G447</f>
        <v/>
      </c>
      <c r="M446" s="43">
        <f>IF(L446&lt;60, TEXT(L446,"0.00"), IF(L446&lt;600, TEXT(L446/86400,"m:ss.00"), TEXT(L446/86400,"mm:ss.00")))
</f>
        <v/>
      </c>
      <c r="N446" s="14">
        <f>IFERROR(__xludf.DUMMYFUNCTION("LET(
  gen,$A446, ev,$B446, t,$M446,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)"),598.0)</f>
        <v/>
      </c>
      <c r="O446" s="65" t="n"/>
      <c r="P446" s="69">
        <f>A446</f>
        <v/>
      </c>
      <c r="Q446" s="65">
        <f>B446</f>
        <v/>
      </c>
      <c r="R446" s="69">
        <f>C446</f>
        <v/>
      </c>
      <c r="S446" s="58">
        <f>M446</f>
        <v/>
      </c>
      <c r="T446" s="69">
        <f>N446</f>
        <v/>
      </c>
      <c r="U446" s="65" t="n">
        <v>600</v>
      </c>
      <c r="V446" s="65" t="n"/>
      <c r="W446" s="65" t="n"/>
    </row>
    <row r="447">
      <c r="A447" s="17" t="inlineStr">
        <is>
          <t>M</t>
        </is>
      </c>
      <c r="B447" s="18" t="inlineStr">
        <is>
          <t>200 Back</t>
        </is>
      </c>
      <c r="C447" s="18" t="n">
        <v>16</v>
      </c>
      <c r="D447" s="18" t="n">
        <v>1</v>
      </c>
      <c r="E447" s="46" t="inlineStr">
        <is>
          <t>2:03.66</t>
        </is>
      </c>
      <c r="F447" s="21">
        <f>IFERROR(__xludf.DUMMYFUNCTION("IF(
  REGEXMATCH(E447, "":""),
  60*VALUE(INDEX(SPLIT(E447, "":""),1,1)) + VALUE(INDEX(SPLIT(E447, "":""),1,2)),
  VALUE(E447)
)"),123.66)</f>
        <v/>
      </c>
      <c r="G447" s="21">
        <f>F446-F447</f>
        <v/>
      </c>
      <c r="H447" s="21" t="n">
        <v>3.969999999999999</v>
      </c>
      <c r="I447" s="211">
        <f>C446</f>
        <v/>
      </c>
      <c r="J447" s="211">
        <f>C463</f>
        <v/>
      </c>
      <c r="K447" s="60">
        <f t="array" ref="K447">INDEX('Podium Target Times'!$C:$C, MATCH(A447&amp;B447, 'Podium Target Times'!$A:$A&amp;'Podium Target Times'!$B:$B, 0))
</f>
        <v/>
      </c>
      <c r="L447" s="24">
        <f>L449+G449</f>
        <v/>
      </c>
      <c r="M447" s="60">
        <f>IF(L447&lt;60, TEXT(L447,"0.00"), IF(L447&lt;600, TEXT(L447/86400,"m:ss.00"), TEXT(L447/86400,"mm:ss.00")))
</f>
        <v/>
      </c>
      <c r="N447" s="25">
        <f>IFERROR(__xludf.DUMMYFUNCTION("LET(
  gen,$A447, ev,$B447, t,$M447,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)"),655.0)</f>
        <v/>
      </c>
      <c r="O447" s="65" t="n"/>
      <c r="P447" s="69">
        <f>A447</f>
        <v/>
      </c>
      <c r="Q447" s="65">
        <f>B447</f>
        <v/>
      </c>
      <c r="R447" s="69">
        <f>C447</f>
        <v/>
      </c>
      <c r="S447" s="58">
        <f>M447</f>
        <v/>
      </c>
      <c r="T447" s="69">
        <f>N447</f>
        <v/>
      </c>
      <c r="U447" s="65" t="n"/>
      <c r="V447" s="65" t="n"/>
      <c r="W447" s="65" t="n"/>
    </row>
    <row r="448">
      <c r="A448" s="8" t="inlineStr">
        <is>
          <t>M</t>
        </is>
      </c>
      <c r="B448" s="9" t="inlineStr">
        <is>
          <t>200 Back</t>
        </is>
      </c>
      <c r="C448" s="9" t="n">
        <v>16</v>
      </c>
      <c r="D448" s="9" t="n">
        <v>2</v>
      </c>
      <c r="E448" s="41" t="inlineStr">
        <is>
          <t>2:04.75</t>
        </is>
      </c>
      <c r="F448" s="35">
        <f>IFERROR(__xludf.DUMMYFUNCTION("IF(
  REGEXMATCH(E448, "":""),
  60*VALUE(INDEX(SPLIT(E448, "":""),1,1)) + VALUE(INDEX(SPLIT(E448, "":""),1,2)),
  VALUE(E448)
)"),124.75)</f>
        <v/>
      </c>
      <c r="G448" s="35">
        <f>F446-F447</f>
        <v/>
      </c>
      <c r="H448" s="35" t="n">
        <v>3.969999999999999</v>
      </c>
      <c r="I448" s="215">
        <f>C446</f>
        <v/>
      </c>
      <c r="J448" s="215">
        <f>C463</f>
        <v/>
      </c>
      <c r="K448" s="43">
        <f t="array" ref="K448">INDEX('Podium Target Times'!$C:$C, MATCH(A448&amp;B448, 'Podium Target Times'!$A:$A&amp;'Podium Target Times'!$B:$B, 0))
</f>
        <v/>
      </c>
      <c r="L448" s="12">
        <f>L449+G449</f>
        <v/>
      </c>
      <c r="M448" s="43">
        <f>IF(L448&lt;60, TEXT(L448,"0.00"), IF(L448&lt;600, TEXT(L448/86400,"m:ss.00"), TEXT(L448/86400,"mm:ss.00")))
</f>
        <v/>
      </c>
      <c r="N448" s="14">
        <f>IFERROR(__xludf.DUMMYFUNCTION("LET(
  gen,$A448, ev,$B448, t,$M448,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)"),655.0)</f>
        <v/>
      </c>
      <c r="O448" s="65" t="n"/>
      <c r="P448" s="69">
        <f>A449</f>
        <v/>
      </c>
      <c r="Q448" s="65">
        <f>B449</f>
        <v/>
      </c>
      <c r="R448" s="69">
        <f>C449</f>
        <v/>
      </c>
      <c r="S448" s="58">
        <f>M449</f>
        <v/>
      </c>
      <c r="T448" s="69">
        <f>N449</f>
        <v/>
      </c>
      <c r="U448" s="65" t="n"/>
      <c r="V448" s="65" t="n"/>
      <c r="W448" s="65" t="n"/>
    </row>
    <row r="449">
      <c r="A449" s="17" t="inlineStr">
        <is>
          <t>M</t>
        </is>
      </c>
      <c r="B449" s="18" t="inlineStr">
        <is>
          <t>200 Back</t>
        </is>
      </c>
      <c r="C449" s="18" t="n">
        <v>17</v>
      </c>
      <c r="D449" s="18" t="n">
        <v>1</v>
      </c>
      <c r="E449" s="46" t="inlineStr">
        <is>
          <t>2:00.86</t>
        </is>
      </c>
      <c r="F449" s="21">
        <f>IFERROR(__xludf.DUMMYFUNCTION("IF(
  REGEXMATCH(E449, "":""),
  60*VALUE(INDEX(SPLIT(E449, "":""),1,1)) + VALUE(INDEX(SPLIT(E449, "":""),1,2)),
  VALUE(E449)
)"),120.86)</f>
        <v/>
      </c>
      <c r="G449" s="21">
        <f>average(F447-F449,F448-F450)</f>
        <v/>
      </c>
      <c r="H449" s="21" t="n">
        <v>2.809999999999995</v>
      </c>
      <c r="I449" s="211">
        <f>C446</f>
        <v/>
      </c>
      <c r="J449" s="211">
        <f>C463</f>
        <v/>
      </c>
      <c r="K449" s="60">
        <f t="array" ref="K449">INDEX('Podium Target Times'!$C:$C, MATCH(A449&amp;B449, 'Podium Target Times'!$A:$A&amp;'Podium Target Times'!$B:$B, 0))
</f>
        <v/>
      </c>
      <c r="L449" s="24">
        <f>L452+G452</f>
        <v/>
      </c>
      <c r="M449" s="60">
        <f>IF(L449&lt;60, TEXT(L449,"0.00"), IF(L449&lt;600, TEXT(L449/86400,"m:ss.00"), TEXT(L449/86400,"mm:ss.00")))
</f>
        <v/>
      </c>
      <c r="N449" s="25">
        <f>IFERROR(__xludf.DUMMYFUNCTION("LET(
  gen,$A449, ev,$B449, t,$M449,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
      </c>
      <c r="O449" s="65" t="n"/>
      <c r="P449" s="69">
        <f>A452</f>
        <v/>
      </c>
      <c r="Q449" s="65">
        <f>B452</f>
        <v/>
      </c>
      <c r="R449" s="69">
        <f>C452</f>
        <v/>
      </c>
      <c r="S449" s="58">
        <f>M452</f>
        <v/>
      </c>
      <c r="T449" s="69">
        <f>N452</f>
        <v/>
      </c>
      <c r="U449" s="65" t="n"/>
      <c r="V449" s="65" t="n"/>
      <c r="W449" s="65" t="n"/>
    </row>
    <row r="450">
      <c r="A450" s="8" t="inlineStr">
        <is>
          <t>M</t>
        </is>
      </c>
      <c r="B450" s="9" t="inlineStr">
        <is>
          <t>200 Back</t>
        </is>
      </c>
      <c r="C450" s="9" t="n">
        <v>17</v>
      </c>
      <c r="D450" s="9" t="n">
        <v>2</v>
      </c>
      <c r="E450" s="41" t="inlineStr">
        <is>
          <t>2:01.93</t>
        </is>
      </c>
      <c r="F450" s="35">
        <f>IFERROR(__xludf.DUMMYFUNCTION("IF(
  REGEXMATCH(E450, "":""),
  60*VALUE(INDEX(SPLIT(E450, "":""),1,1)) + VALUE(INDEX(SPLIT(E450, "":""),1,2)),
  VALUE(E450)
)"),121.93)</f>
        <v/>
      </c>
      <c r="G450" s="35">
        <f>average(F447-F449,F448-F450)</f>
        <v/>
      </c>
      <c r="H450" s="35" t="n">
        <v>2.809999999999995</v>
      </c>
      <c r="I450" s="215">
        <f>C446</f>
        <v/>
      </c>
      <c r="J450" s="215">
        <f>C463</f>
        <v/>
      </c>
      <c r="K450" s="43">
        <f t="array" ref="K450">INDEX('Podium Target Times'!$C:$C, MATCH(A450&amp;B450, 'Podium Target Times'!$A:$A&amp;'Podium Target Times'!$B:$B, 0))
</f>
        <v/>
      </c>
      <c r="L450" s="12">
        <f>L452+G452</f>
        <v/>
      </c>
      <c r="M450" s="43">
        <f>IF(L450&lt;60, TEXT(L450,"0.00"), IF(L450&lt;600, TEXT(L450/86400,"m:ss.00"), TEXT(L450/86400,"mm:ss.00")))
</f>
        <v/>
      </c>
      <c r="N450" s="14">
        <f>IFERROR(__xludf.DUMMYFUNCTION("LET(
  gen,$A450, ev,$B450, t,$M450,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
      </c>
      <c r="O450" s="65" t="n"/>
      <c r="P450" s="69">
        <f>A455</f>
        <v/>
      </c>
      <c r="Q450" s="65">
        <f>B455</f>
        <v/>
      </c>
      <c r="R450" s="69">
        <f>C455</f>
        <v/>
      </c>
      <c r="S450" s="58">
        <f>M455</f>
        <v/>
      </c>
      <c r="T450" s="69">
        <f>N455</f>
        <v/>
      </c>
      <c r="U450" s="65" t="n"/>
      <c r="V450" s="65" t="n"/>
      <c r="W450" s="65" t="n"/>
    </row>
    <row r="451">
      <c r="A451" s="17" t="inlineStr">
        <is>
          <t>M</t>
        </is>
      </c>
      <c r="B451" s="18" t="inlineStr">
        <is>
          <t>200 Back</t>
        </is>
      </c>
      <c r="C451" s="18" t="n">
        <v>17</v>
      </c>
      <c r="D451" s="18" t="n">
        <v>3</v>
      </c>
      <c r="E451" s="46" t="inlineStr">
        <is>
          <t>2:02.23</t>
        </is>
      </c>
      <c r="F451" s="21">
        <f>IFERROR(__xludf.DUMMYFUNCTION("IF(
  REGEXMATCH(E451, "":""),
  60*VALUE(INDEX(SPLIT(E451, "":""),1,1)) + VALUE(INDEX(SPLIT(E451, "":""),1,2)),
  VALUE(E451)
)"),122.23)</f>
        <v/>
      </c>
      <c r="G451" s="21">
        <f>average(F447-F449,F448-F450)</f>
        <v/>
      </c>
      <c r="H451" s="21" t="n">
        <v>2.809999999999995</v>
      </c>
      <c r="I451" s="211">
        <f>C446</f>
        <v/>
      </c>
      <c r="J451" s="211">
        <f>C463</f>
        <v/>
      </c>
      <c r="K451" s="60">
        <f t="array" ref="K451">INDEX('Podium Target Times'!$C:$C, MATCH(A451&amp;B451, 'Podium Target Times'!$A:$A&amp;'Podium Target Times'!$B:$B, 0))
</f>
        <v/>
      </c>
      <c r="L451" s="24">
        <f>L452+G452</f>
        <v/>
      </c>
      <c r="M451" s="60">
        <f>IF(L451&lt;60, TEXT(L451,"0.00"), IF(L451&lt;600, TEXT(L451/86400,"m:ss.00"), TEXT(L451/86400,"mm:ss.00")))
</f>
        <v/>
      </c>
      <c r="N451" s="25">
        <f>IFERROR(__xludf.DUMMYFUNCTION("LET(
  gen,$A451, ev,$B451, t,$M451,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
      </c>
      <c r="O451" s="65" t="n"/>
      <c r="P451" s="69">
        <f>A458</f>
        <v/>
      </c>
      <c r="Q451" s="65">
        <f>B458</f>
        <v/>
      </c>
      <c r="R451" s="69">
        <f>C458</f>
        <v/>
      </c>
      <c r="S451" s="58">
        <f>M458</f>
        <v/>
      </c>
      <c r="T451" s="69">
        <f>N458</f>
        <v/>
      </c>
      <c r="U451" s="65" t="n"/>
      <c r="V451" s="65" t="n"/>
      <c r="W451" s="65" t="n"/>
    </row>
    <row r="452">
      <c r="A452" s="8" t="inlineStr">
        <is>
          <t>M</t>
        </is>
      </c>
      <c r="B452" s="9" t="inlineStr">
        <is>
          <t>200 Back</t>
        </is>
      </c>
      <c r="C452" s="9" t="n">
        <v>18</v>
      </c>
      <c r="D452" s="9" t="n">
        <v>1</v>
      </c>
      <c r="E452" s="41" t="inlineStr">
        <is>
          <t>1:59.15</t>
        </is>
      </c>
      <c r="F452" s="35">
        <f>IFERROR(__xludf.DUMMYFUNCTION("IF(
  REGEXMATCH(E452, "":""),
  60*VALUE(INDEX(SPLIT(E452, "":""),1,1)) + VALUE(INDEX(SPLIT(E452, "":""),1,2)),
  VALUE(E452)
)"),119.15)</f>
        <v/>
      </c>
      <c r="G452" s="35">
        <f>average(F449-F452,F450-F453,F451-F454)</f>
        <v/>
      </c>
      <c r="H452" s="35" t="n">
        <v>1.716666666666669</v>
      </c>
      <c r="I452" s="215">
        <f>C446</f>
        <v/>
      </c>
      <c r="J452" s="215">
        <f>C463</f>
        <v/>
      </c>
      <c r="K452" s="43">
        <f t="array" ref="K452">INDEX('Podium Target Times'!$C:$C, MATCH(A452&amp;B452, 'Podium Target Times'!$A:$A&amp;'Podium Target Times'!$B:$B, 0))
</f>
        <v/>
      </c>
      <c r="L452" s="12">
        <f>L455+G455</f>
        <v/>
      </c>
      <c r="M452" s="43">
        <f>IF(L452&lt;60, TEXT(L452,"0.00"), IF(L452&lt;600, TEXT(L452/86400,"m:ss.00"), TEXT(L452/86400,"mm:ss.00")))
</f>
        <v/>
      </c>
      <c r="N452" s="14">
        <f>IFERROR(__xludf.DUMMYFUNCTION("LET(
  gen,$A452, ev,$B452, t,$M452,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452" s="65" t="n"/>
      <c r="P452" s="69">
        <f>A460</f>
        <v/>
      </c>
      <c r="Q452" s="65">
        <f>B460</f>
        <v/>
      </c>
      <c r="R452" s="69">
        <f>C460</f>
        <v/>
      </c>
      <c r="S452" s="58">
        <f>M460</f>
        <v/>
      </c>
      <c r="T452" s="69">
        <f>N460</f>
        <v/>
      </c>
      <c r="U452" s="65" t="n"/>
      <c r="V452" s="65" t="n"/>
      <c r="W452" s="65" t="n"/>
    </row>
    <row r="453">
      <c r="A453" s="17" t="inlineStr">
        <is>
          <t>M</t>
        </is>
      </c>
      <c r="B453" s="18" t="inlineStr">
        <is>
          <t>200 Back</t>
        </is>
      </c>
      <c r="C453" s="18" t="n">
        <v>18</v>
      </c>
      <c r="D453" s="18" t="n">
        <v>2</v>
      </c>
      <c r="E453" s="46" t="inlineStr">
        <is>
          <t>2:00.21</t>
        </is>
      </c>
      <c r="F453" s="21">
        <f>IFERROR(__xludf.DUMMYFUNCTION("IF(
  REGEXMATCH(E453, "":""),
  60*VALUE(INDEX(SPLIT(E453, "":""),1,1)) + VALUE(INDEX(SPLIT(E453, "":""),1,2)),
  VALUE(E453)
)"),120.21)</f>
        <v/>
      </c>
      <c r="G453" s="21">
        <f>average(F449-F452,F450-F453,F451-F454)</f>
        <v/>
      </c>
      <c r="H453" s="21" t="n">
        <v>1.716666666666669</v>
      </c>
      <c r="I453" s="211">
        <f>C446</f>
        <v/>
      </c>
      <c r="J453" s="211">
        <f>C463</f>
        <v/>
      </c>
      <c r="K453" s="60">
        <f t="array" ref="K453">INDEX('Podium Target Times'!$C:$C, MATCH(A453&amp;B453, 'Podium Target Times'!$A:$A&amp;'Podium Target Times'!$B:$B, 0))
</f>
        <v/>
      </c>
      <c r="L453" s="24">
        <f>L455+G455</f>
        <v/>
      </c>
      <c r="M453" s="60">
        <f>IF(L453&lt;60, TEXT(L453,"0.00"), IF(L453&lt;600, TEXT(L453/86400,"m:ss.00"), TEXT(L453/86400,"mm:ss.00")))
</f>
        <v/>
      </c>
      <c r="N453" s="25">
        <f>IFERROR(__xludf.DUMMYFUNCTION("LET(
  gen,$A453, ev,$B453, t,$M453,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453" s="65" t="n"/>
      <c r="P453" s="69">
        <f>A462</f>
        <v/>
      </c>
      <c r="Q453" s="65">
        <f>B462</f>
        <v/>
      </c>
      <c r="R453" s="69">
        <f>C462</f>
        <v/>
      </c>
      <c r="S453" s="58">
        <f>M462</f>
        <v/>
      </c>
      <c r="T453" s="69">
        <f>N462</f>
        <v/>
      </c>
      <c r="U453" s="65" t="n"/>
      <c r="V453" s="65" t="n"/>
      <c r="W453" s="65" t="n"/>
    </row>
    <row r="454">
      <c r="A454" s="8" t="inlineStr">
        <is>
          <t>M</t>
        </is>
      </c>
      <c r="B454" s="9" t="inlineStr">
        <is>
          <t>200 Back</t>
        </is>
      </c>
      <c r="C454" s="9" t="n">
        <v>18</v>
      </c>
      <c r="D454" s="9" t="n">
        <v>3</v>
      </c>
      <c r="E454" s="41" t="inlineStr">
        <is>
          <t>2:00.51</t>
        </is>
      </c>
      <c r="F454" s="35">
        <f>IFERROR(__xludf.DUMMYFUNCTION("IF(
  REGEXMATCH(E454, "":""),
  60*VALUE(INDEX(SPLIT(E454, "":""),1,1)) + VALUE(INDEX(SPLIT(E454, "":""),1,2)),
  VALUE(E454)
)"),120.51)</f>
        <v/>
      </c>
      <c r="G454" s="35">
        <f>average(F449-F452,F450-F453,F451-F454)</f>
        <v/>
      </c>
      <c r="H454" s="35" t="n">
        <v>1.716666666666669</v>
      </c>
      <c r="I454" s="215">
        <f>C446</f>
        <v/>
      </c>
      <c r="J454" s="215">
        <f>C463</f>
        <v/>
      </c>
      <c r="K454" s="43">
        <f t="array" ref="K454">INDEX('Podium Target Times'!$C:$C, MATCH(A454&amp;B454, 'Podium Target Times'!$A:$A&amp;'Podium Target Times'!$B:$B, 0))
</f>
        <v/>
      </c>
      <c r="L454" s="12">
        <f>L455+G455</f>
        <v/>
      </c>
      <c r="M454" s="43">
        <f>IF(L454&lt;60, TEXT(L454,"0.00"), IF(L454&lt;600, TEXT(L454/86400,"m:ss.00"), TEXT(L454/86400,"mm:ss.00")))
</f>
        <v/>
      </c>
      <c r="N454" s="14">
        <f>IFERROR(__xludf.DUMMYFUNCTION("LET(
  gen,$A454, ev,$B454, t,$M454,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O454" s="65" t="n"/>
      <c r="P454" s="69">
        <f>A463</f>
        <v/>
      </c>
      <c r="Q454" s="65">
        <f>B463</f>
        <v/>
      </c>
      <c r="R454" s="69">
        <f>C463</f>
        <v/>
      </c>
      <c r="S454" s="58">
        <f>M463</f>
        <v/>
      </c>
      <c r="T454" s="69">
        <f>N463</f>
        <v/>
      </c>
      <c r="U454" s="65" t="n">
        <v>777</v>
      </c>
      <c r="V454" s="65" t="n"/>
      <c r="W454" s="65" t="n"/>
    </row>
    <row r="455">
      <c r="A455" s="17" t="inlineStr">
        <is>
          <t>M</t>
        </is>
      </c>
      <c r="B455" s="18" t="inlineStr">
        <is>
          <t>200 Back</t>
        </is>
      </c>
      <c r="C455" s="18" t="n">
        <v>19</v>
      </c>
      <c r="D455" s="18" t="n">
        <v>1</v>
      </c>
      <c r="E455" s="46" t="inlineStr">
        <is>
          <t>1:58.07</t>
        </is>
      </c>
      <c r="F455" s="21">
        <f>IFERROR(__xludf.DUMMYFUNCTION("IF(
  REGEXMATCH(E455, "":""),
  60*VALUE(INDEX(SPLIT(E455, "":""),1,1)) + VALUE(INDEX(SPLIT(E455, "":""),1,2)),
  VALUE(E455)
)"),118.07)</f>
        <v/>
      </c>
      <c r="G455" s="21">
        <f>average(F452-F455,F453-F456,F454-F457)</f>
        <v/>
      </c>
      <c r="H455" s="21" t="n">
        <v>1.090000000000003</v>
      </c>
      <c r="I455" s="211">
        <f>C446</f>
        <v/>
      </c>
      <c r="J455" s="211">
        <f>C463</f>
        <v/>
      </c>
      <c r="K455" s="60">
        <f t="array" ref="K455">INDEX('Podium Target Times'!$C:$C, MATCH(A455&amp;B455, 'Podium Target Times'!$A:$A&amp;'Podium Target Times'!$B:$B, 0))
</f>
        <v/>
      </c>
      <c r="L455" s="24">
        <f>L458+G458</f>
        <v/>
      </c>
      <c r="M455" s="60">
        <f>IF(L455&lt;60, TEXT(L455,"0.00"), IF(L455&lt;600, TEXT(L455/86400,"m:ss.00"), TEXT(L455/86400,"mm:ss.00")))
</f>
        <v/>
      </c>
      <c r="N455" s="25">
        <f>IFERROR(__xludf.DUMMYFUNCTION("LET(
  gen,$A455, ev,$B455, t,$M455,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
      </c>
      <c r="O455" s="65" t="n"/>
      <c r="P455" s="69">
        <f>P454</f>
        <v/>
      </c>
      <c r="Q455" s="65">
        <f>Q454</f>
        <v/>
      </c>
      <c r="R455" s="69">
        <f>R454+1</f>
        <v/>
      </c>
      <c r="S455" s="58">
        <f>M464</f>
        <v/>
      </c>
      <c r="T455" s="69">
        <f>N464</f>
        <v/>
      </c>
      <c r="U455" s="65" t="n"/>
      <c r="V455" s="65" t="n"/>
      <c r="W455" s="65" t="n"/>
    </row>
    <row r="456">
      <c r="A456" s="8" t="inlineStr">
        <is>
          <t>M</t>
        </is>
      </c>
      <c r="B456" s="9" t="inlineStr">
        <is>
          <t>200 Back</t>
        </is>
      </c>
      <c r="C456" s="9" t="n">
        <v>19</v>
      </c>
      <c r="D456" s="9" t="n">
        <v>2</v>
      </c>
      <c r="E456" s="41" t="inlineStr">
        <is>
          <t>1:59.12</t>
        </is>
      </c>
      <c r="F456" s="35">
        <f>IFERROR(__xludf.DUMMYFUNCTION("IF(
  REGEXMATCH(E456, "":""),
  60*VALUE(INDEX(SPLIT(E456, "":""),1,1)) + VALUE(INDEX(SPLIT(E456, "":""),1,2)),
  VALUE(E456)
)"),119.12)</f>
        <v/>
      </c>
      <c r="G456" s="35">
        <f>average(F452-F455,F453-F456,F454-F457)</f>
        <v/>
      </c>
      <c r="H456" s="35" t="n">
        <v>1.090000000000003</v>
      </c>
      <c r="I456" s="215">
        <f>C446</f>
        <v/>
      </c>
      <c r="J456" s="215">
        <f>C463</f>
        <v/>
      </c>
      <c r="K456" s="43">
        <f t="array" ref="K456">INDEX('Podium Target Times'!$C:$C, MATCH(A456&amp;B456, 'Podium Target Times'!$A:$A&amp;'Podium Target Times'!$B:$B, 0))
</f>
        <v/>
      </c>
      <c r="L456" s="12">
        <f>L458+G458</f>
        <v/>
      </c>
      <c r="M456" s="43">
        <f>IF(L456&lt;60, TEXT(L456,"0.00"), IF(L456&lt;600, TEXT(L456/86400,"m:ss.00"), TEXT(L456/86400,"mm:ss.00")))
</f>
        <v/>
      </c>
      <c r="N456" s="14">
        <f>IFERROR(__xludf.DUMMYFUNCTION("LET(
  gen,$A456, ev,$B456, t,$M456,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
      </c>
      <c r="O456" s="65" t="n"/>
      <c r="P456" s="69">
        <f>P455</f>
        <v/>
      </c>
      <c r="Q456" s="65">
        <f>Q455</f>
        <v/>
      </c>
      <c r="R456" s="69">
        <f>R455+1</f>
        <v/>
      </c>
      <c r="S456" s="58">
        <f>M465</f>
        <v/>
      </c>
      <c r="T456" s="69">
        <f>N465</f>
        <v/>
      </c>
      <c r="U456" s="65" t="n"/>
      <c r="V456" s="65" t="n"/>
      <c r="W456" s="65" t="n"/>
    </row>
    <row r="457">
      <c r="A457" s="17" t="inlineStr">
        <is>
          <t>M</t>
        </is>
      </c>
      <c r="B457" s="18" t="inlineStr">
        <is>
          <t>200 Back</t>
        </is>
      </c>
      <c r="C457" s="18" t="n">
        <v>19</v>
      </c>
      <c r="D457" s="18" t="n">
        <v>3</v>
      </c>
      <c r="E457" s="46" t="inlineStr">
        <is>
          <t>1:59.41</t>
        </is>
      </c>
      <c r="F457" s="21">
        <f>IFERROR(__xludf.DUMMYFUNCTION("IF(
  REGEXMATCH(E457, "":""),
  60*VALUE(INDEX(SPLIT(E457, "":""),1,1)) + VALUE(INDEX(SPLIT(E457, "":""),1,2)),
  VALUE(E457)
)"),119.41)</f>
        <v/>
      </c>
      <c r="G457" s="21">
        <f>average(F452-F455,F453-F456,F454-F457)</f>
        <v/>
      </c>
      <c r="H457" s="21" t="n">
        <v>1.090000000000003</v>
      </c>
      <c r="I457" s="211">
        <f>C446</f>
        <v/>
      </c>
      <c r="J457" s="211">
        <f>C463</f>
        <v/>
      </c>
      <c r="K457" s="60">
        <f t="array" ref="K457">INDEX('Podium Target Times'!$C:$C, MATCH(A457&amp;B457, 'Podium Target Times'!$A:$A&amp;'Podium Target Times'!$B:$B, 0))
</f>
        <v/>
      </c>
      <c r="L457" s="24">
        <f>L458+G458</f>
        <v/>
      </c>
      <c r="M457" s="60">
        <f>IF(L457&lt;60, TEXT(L457,"0.00"), IF(L457&lt;600, TEXT(L457/86400,"m:ss.00"), TEXT(L457/86400,"mm:ss.00")))
</f>
        <v/>
      </c>
      <c r="N457" s="25">
        <f>IFERROR(__xludf.DUMMYFUNCTION("LET(
  gen,$A457, ev,$B457, t,$M457,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)"),749.0)</f>
        <v/>
      </c>
      <c r="O457" s="65" t="n"/>
      <c r="P457" s="69" t="n"/>
      <c r="Q457" s="65" t="n"/>
      <c r="R457" s="69" t="n"/>
      <c r="S457" s="58" t="n"/>
      <c r="T457" s="69" t="n"/>
      <c r="U457" s="65" t="n"/>
      <c r="V457" s="65" t="n"/>
      <c r="W457" s="65" t="n"/>
    </row>
    <row r="458">
      <c r="A458" s="8" t="inlineStr">
        <is>
          <t>M</t>
        </is>
      </c>
      <c r="B458" s="9" t="inlineStr">
        <is>
          <t>200 Back</t>
        </is>
      </c>
      <c r="C458" s="9" t="n">
        <v>20</v>
      </c>
      <c r="D458" s="9" t="n">
        <v>2</v>
      </c>
      <c r="E458" s="41" t="inlineStr">
        <is>
          <t>1:58.48</t>
        </is>
      </c>
      <c r="F458" s="35">
        <f>IFERROR(__xludf.DUMMYFUNCTION("IF(
  REGEXMATCH(E458, "":""),
  60*VALUE(INDEX(SPLIT(E458, "":""),1,1)) + VALUE(INDEX(SPLIT(E458, "":""),1,2)),
  VALUE(E458)
)"),118.47999999999999)</f>
        <v/>
      </c>
      <c r="G458" s="35">
        <f>average(F456-F458,F457-F459)</f>
        <v/>
      </c>
      <c r="H458" s="35" t="n">
        <v>0.6400000000000006</v>
      </c>
      <c r="I458" s="215">
        <f>C446</f>
        <v/>
      </c>
      <c r="J458" s="215">
        <f>C463</f>
        <v/>
      </c>
      <c r="K458" s="43">
        <f t="array" ref="K458">INDEX('Podium Target Times'!$C:$C, MATCH(A458&amp;B458, 'Podium Target Times'!$A:$A&amp;'Podium Target Times'!$B:$B, 0))
</f>
        <v/>
      </c>
      <c r="L458" s="12">
        <f>L460+G460</f>
        <v/>
      </c>
      <c r="M458" s="43">
        <f>IF(L458&lt;60, TEXT(L458,"0.00"), IF(L458&lt;600, TEXT(L458/86400,"m:ss.00"), TEXT(L458/86400,"mm:ss.00")))
</f>
        <v/>
      </c>
      <c r="N458" s="14">
        <f>IFERROR(__xludf.DUMMYFUNCTION("LET(
  gen,$A458, ev,$B458, t,$M458,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
      </c>
      <c r="O458" s="65" t="n"/>
      <c r="P458" s="69" t="n"/>
      <c r="Q458" s="65" t="n"/>
      <c r="R458" s="69" t="n"/>
      <c r="S458" s="58" t="n"/>
      <c r="T458" s="69" t="n"/>
      <c r="U458" s="65" t="n"/>
      <c r="V458" s="65" t="n"/>
      <c r="W458" s="65" t="n"/>
    </row>
    <row r="459">
      <c r="A459" s="17" t="inlineStr">
        <is>
          <t>M</t>
        </is>
      </c>
      <c r="B459" s="18" t="inlineStr">
        <is>
          <t>200 Back</t>
        </is>
      </c>
      <c r="C459" s="18" t="n">
        <v>20</v>
      </c>
      <c r="D459" s="18" t="n">
        <v>3</v>
      </c>
      <c r="E459" s="46" t="inlineStr">
        <is>
          <t>1:58.77</t>
        </is>
      </c>
      <c r="F459" s="21">
        <f>IFERROR(__xludf.DUMMYFUNCTION("IF(
  REGEXMATCH(E459, "":""),
  60*VALUE(INDEX(SPLIT(E459, "":""),1,1)) + VALUE(INDEX(SPLIT(E459, "":""),1,2)),
  VALUE(E459)
)"),118.77000000000001)</f>
        <v/>
      </c>
      <c r="G459" s="21">
        <f>average(F456-F458,F457-F459)</f>
        <v/>
      </c>
      <c r="H459" s="21" t="n">
        <v>0.6400000000000006</v>
      </c>
      <c r="I459" s="211">
        <f>C446</f>
        <v/>
      </c>
      <c r="J459" s="211">
        <f>C463</f>
        <v/>
      </c>
      <c r="K459" s="60">
        <f t="array" ref="K459">INDEX('Podium Target Times'!$C:$C, MATCH(A459&amp;B459, 'Podium Target Times'!$A:$A&amp;'Podium Target Times'!$B:$B, 0))
</f>
        <v/>
      </c>
      <c r="L459" s="24">
        <f>L460+G460</f>
        <v/>
      </c>
      <c r="M459" s="60">
        <f>IF(L459&lt;60, TEXT(L459,"0.00"), IF(L459&lt;600, TEXT(L459/86400,"m:ss.00"), TEXT(L459/86400,"mm:ss.00")))
</f>
        <v/>
      </c>
      <c r="N459" s="25">
        <f>IFERROR(__xludf.DUMMYFUNCTION("LET(
  gen,$A459, ev,$B459, t,$M459,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
      </c>
      <c r="O459" s="65" t="n"/>
      <c r="P459" s="69" t="n"/>
      <c r="Q459" s="65" t="n"/>
      <c r="R459" s="69" t="n"/>
      <c r="S459" s="58" t="n"/>
      <c r="T459" s="69" t="n"/>
      <c r="U459" s="65" t="n"/>
      <c r="V459" s="65" t="n"/>
      <c r="W459" s="65" t="n"/>
    </row>
    <row r="460">
      <c r="A460" s="8" t="inlineStr">
        <is>
          <t>M</t>
        </is>
      </c>
      <c r="B460" s="9" t="inlineStr">
        <is>
          <t>200 Back</t>
        </is>
      </c>
      <c r="C460" s="9" t="n">
        <v>21</v>
      </c>
      <c r="D460" s="9" t="n">
        <v>2</v>
      </c>
      <c r="E460" s="41" t="inlineStr">
        <is>
          <t>1:58.07</t>
        </is>
      </c>
      <c r="F460" s="35">
        <f>IFERROR(__xludf.DUMMYFUNCTION("IF(
  REGEXMATCH(E460, "":""),
  60*VALUE(INDEX(SPLIT(E460, "":""),1,1)) + VALUE(INDEX(SPLIT(E460, "":""),1,2)),
  VALUE(E460)
)"),118.07)</f>
        <v/>
      </c>
      <c r="G460" s="35">
        <f>average(F458-F460,F459-F461)</f>
        <v/>
      </c>
      <c r="H460" s="35" t="n">
        <v>0.4100000000000037</v>
      </c>
      <c r="I460" s="215">
        <f>C446</f>
        <v/>
      </c>
      <c r="J460" s="215">
        <f>C463</f>
        <v/>
      </c>
      <c r="K460" s="43">
        <f t="array" ref="K460">INDEX('Podium Target Times'!$C:$C, MATCH(A460&amp;B460, 'Podium Target Times'!$A:$A&amp;'Podium Target Times'!$B:$B, 0))
</f>
        <v/>
      </c>
      <c r="L460" s="12">
        <f>L462+G462</f>
        <v/>
      </c>
      <c r="M460" s="43">
        <f>IF(L460&lt;60, TEXT(L460,"0.00"), IF(L460&lt;600, TEXT(L460/86400,"m:ss.00"), TEXT(L460/86400,"mm:ss.00")))
</f>
        <v/>
      </c>
      <c r="N460" s="14">
        <f>IFERROR(__xludf.DUMMYFUNCTION("LET(
  gen,$A460, ev,$B460, t,$M460,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O460" s="65" t="n"/>
      <c r="P460" s="69" t="n"/>
      <c r="Q460" s="65" t="n"/>
      <c r="R460" s="69" t="n"/>
      <c r="S460" s="58" t="n"/>
      <c r="T460" s="69" t="n"/>
      <c r="U460" s="65" t="n"/>
      <c r="V460" s="65" t="n"/>
      <c r="W460" s="65" t="n"/>
    </row>
    <row r="461">
      <c r="A461" s="17" t="inlineStr">
        <is>
          <t>M</t>
        </is>
      </c>
      <c r="B461" s="18" t="inlineStr">
        <is>
          <t>200 Back</t>
        </is>
      </c>
      <c r="C461" s="18" t="n">
        <v>21</v>
      </c>
      <c r="D461" s="18" t="n">
        <v>3</v>
      </c>
      <c r="E461" s="46" t="inlineStr">
        <is>
          <t>1:58.36</t>
        </is>
      </c>
      <c r="F461" s="21">
        <f>IFERROR(__xludf.DUMMYFUNCTION("IF(
  REGEXMATCH(E461, "":""),
  60*VALUE(INDEX(SPLIT(E461, "":""),1,1)) + VALUE(INDEX(SPLIT(E461, "":""),1,2)),
  VALUE(E461)
)"),118.36)</f>
        <v/>
      </c>
      <c r="G461" s="21">
        <f>average(F458-F460,F459-F461)</f>
        <v/>
      </c>
      <c r="H461" s="21" t="n">
        <v>0.4100000000000037</v>
      </c>
      <c r="I461" s="211">
        <f>C446</f>
        <v/>
      </c>
      <c r="J461" s="211">
        <f>C463</f>
        <v/>
      </c>
      <c r="K461" s="60">
        <f t="array" ref="K461">INDEX('Podium Target Times'!$C:$C, MATCH(A461&amp;B461, 'Podium Target Times'!$A:$A&amp;'Podium Target Times'!$B:$B, 0))
</f>
        <v/>
      </c>
      <c r="L461" s="24">
        <f>L462+G462</f>
        <v/>
      </c>
      <c r="M461" s="60">
        <f>IF(L461&lt;60, TEXT(L461,"0.00"), IF(L461&lt;600, TEXT(L461/86400,"m:ss.00"), TEXT(L461/86400,"mm:ss.00")))
</f>
        <v/>
      </c>
      <c r="N461" s="25">
        <f>IFERROR(__xludf.DUMMYFUNCTION("LET(
  gen,$A461, ev,$B461, t,$M461,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O461" s="65" t="n"/>
      <c r="P461" s="69" t="n"/>
      <c r="Q461" s="65" t="n"/>
      <c r="R461" s="69" t="n"/>
      <c r="S461" s="58" t="n"/>
      <c r="T461" s="69" t="n"/>
      <c r="U461" s="65" t="n"/>
      <c r="V461" s="65" t="n"/>
      <c r="W461" s="65" t="n"/>
    </row>
    <row r="462">
      <c r="A462" s="8" t="inlineStr">
        <is>
          <t>M</t>
        </is>
      </c>
      <c r="B462" s="9" t="inlineStr">
        <is>
          <t>200 Back</t>
        </is>
      </c>
      <c r="C462" s="9" t="n">
        <v>22</v>
      </c>
      <c r="D462" s="9" t="n">
        <v>3</v>
      </c>
      <c r="E462" s="41" t="inlineStr">
        <is>
          <t>1:58.13</t>
        </is>
      </c>
      <c r="F462" s="35">
        <f>IFERROR(__xludf.DUMMYFUNCTION("IF(
  REGEXMATCH(E462, "":""),
  60*VALUE(INDEX(SPLIT(E462, "":""),1,1)) + VALUE(INDEX(SPLIT(E462, "":""),1,2)),
  VALUE(E462)
)"),118.13)</f>
        <v/>
      </c>
      <c r="G462" s="35">
        <f>F461-F462</f>
        <v/>
      </c>
      <c r="H462" s="35" t="n">
        <v>0.230000000000004</v>
      </c>
      <c r="I462" s="215">
        <f>C446</f>
        <v/>
      </c>
      <c r="J462" s="215">
        <f>C463</f>
        <v/>
      </c>
      <c r="K462" s="43">
        <f t="array" ref="K462">INDEX('Podium Target Times'!$C:$C, MATCH(A462&amp;B462, 'Podium Target Times'!$A:$A&amp;'Podium Target Times'!$B:$B, 0))
</f>
        <v/>
      </c>
      <c r="L462" s="12">
        <f>L463+G463</f>
        <v/>
      </c>
      <c r="M462" s="43">
        <f>IF(L462&lt;60, TEXT(L462,"0.00"), IF(L462&lt;600, TEXT(L462/86400,"m:ss.00"), TEXT(L462/86400,"mm:ss.00")))
</f>
        <v/>
      </c>
      <c r="N462" s="14">
        <f>IFERROR(__xludf.DUMMYFUNCTION("LET(
  gen,$A462, ev,$B462, t,$M462,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
      </c>
      <c r="O462" s="65" t="n"/>
      <c r="P462" s="69" t="n"/>
      <c r="Q462" s="65" t="n"/>
      <c r="R462" s="69" t="n"/>
      <c r="S462" s="58" t="n"/>
      <c r="T462" s="69" t="n"/>
      <c r="U462" s="65" t="n"/>
      <c r="V462" s="65" t="n"/>
      <c r="W462" s="65" t="n"/>
    </row>
    <row r="463">
      <c r="A463" s="17" t="inlineStr">
        <is>
          <t>M</t>
        </is>
      </c>
      <c r="B463" s="18" t="inlineStr">
        <is>
          <t>200 Back</t>
        </is>
      </c>
      <c r="C463" s="18" t="n">
        <v>23</v>
      </c>
      <c r="D463" s="18" t="n">
        <v>3</v>
      </c>
      <c r="E463" s="46" t="inlineStr">
        <is>
          <t>1:58.07</t>
        </is>
      </c>
      <c r="F463" s="21">
        <f>IFERROR(__xludf.DUMMYFUNCTION("IF(
  REGEXMATCH(E463, "":""),
  60*VALUE(INDEX(SPLIT(E463, "":""),1,1)) + VALUE(INDEX(SPLIT(E463, "":""),1,2)),
  VALUE(E463)
)"),118.07)</f>
        <v/>
      </c>
      <c r="G463" s="21">
        <f>F462-F463</f>
        <v/>
      </c>
      <c r="H463" s="21" t="n">
        <v>0.06000000000000227</v>
      </c>
      <c r="I463" s="211">
        <f>C446</f>
        <v/>
      </c>
      <c r="J463" s="211">
        <f>C463</f>
        <v/>
      </c>
      <c r="K463" s="60">
        <f t="array" ref="K463">INDEX('Podium Target Times'!$C:$C, MATCH(A463&amp;B463, 'Podium Target Times'!$A:$A&amp;'Podium Target Times'!$B:$B, 0))
</f>
        <v/>
      </c>
      <c r="L463" s="21">
        <f>G463+L464</f>
        <v/>
      </c>
      <c r="M463" s="60">
        <f>IF(L463&lt;60, TEXT(L463,"0.00"), IF(L463&lt;600, TEXT(L463/86400,"m:ss.00"), TEXT(L463/86400,"mm:ss.00")))
</f>
        <v/>
      </c>
      <c r="N463" s="25">
        <f>IFERROR(__xludf.DUMMYFUNCTION("LET(
  gen,$A463, ev,$B463, t,$M463,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)"),774.0)</f>
        <v/>
      </c>
      <c r="O463" s="65" t="n"/>
      <c r="P463" s="69" t="n"/>
      <c r="Q463" s="65" t="n"/>
      <c r="R463" s="69" t="n"/>
      <c r="S463" s="58" t="n"/>
      <c r="T463" s="69" t="n"/>
      <c r="U463" s="65" t="n"/>
      <c r="V463" s="65" t="n"/>
      <c r="W463" s="65" t="n"/>
    </row>
    <row r="464">
      <c r="A464" s="8" t="inlineStr">
        <is>
          <t>M</t>
        </is>
      </c>
      <c r="B464" s="9" t="inlineStr">
        <is>
          <t>200 Back</t>
        </is>
      </c>
      <c r="C464" s="9" t="n">
        <v>24</v>
      </c>
      <c r="D464" s="9" t="n"/>
      <c r="E464" s="41" t="n"/>
      <c r="F464" s="35">
        <f>IFERROR(__xludf.DUMMYFUNCTION("IF(
  REGEXMATCH(E464, "":""),
  60*VALUE(INDEX(SPLIT(E464, "":""),1,1)) + VALUE(INDEX(SPLIT(E464, "":""),1,2)),
  VALUE(E464)
)"),0.0)</f>
        <v/>
      </c>
      <c r="G464" s="12" t="n"/>
      <c r="H464" s="12" t="n"/>
      <c r="I464" s="43">
        <f>C446</f>
        <v/>
      </c>
      <c r="J464" s="43">
        <f>C463</f>
        <v/>
      </c>
      <c r="K464" s="43">
        <f t="array" ref="K464">INDEX('Podium Target Times'!$C:$C, MATCH(A464&amp;B464, 'Podium Target Times'!$A:$A&amp;'Podium Target Times'!$B:$B, 0))
</f>
        <v/>
      </c>
      <c r="L464" s="12">
        <f>G463+L465</f>
        <v/>
      </c>
      <c r="M464" s="43">
        <f>IF(L464&lt;60, TEXT(L464,"0.00"), IF(L464&lt;600, TEXT(L464/86400,"m:ss.00"), TEXT(L464/86400,"mm:ss.00")))
</f>
        <v/>
      </c>
      <c r="N464" s="14">
        <f>IFERROR(__xludf.DUMMYFUNCTION("LET(
  gen,$A464, ev,$B464, t,$M464,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464" s="65" t="n"/>
      <c r="P464" s="69" t="n"/>
      <c r="Q464" s="65" t="n"/>
      <c r="R464" s="69" t="n"/>
      <c r="S464" s="58" t="n"/>
      <c r="T464" s="69" t="n"/>
      <c r="U464" s="65" t="n"/>
      <c r="V464" s="65" t="n"/>
      <c r="W464" s="65" t="n"/>
    </row>
    <row r="465">
      <c r="A465" s="17" t="inlineStr">
        <is>
          <t>M</t>
        </is>
      </c>
      <c r="B465" s="18" t="inlineStr">
        <is>
          <t>200 Back</t>
        </is>
      </c>
      <c r="C465" s="18" t="n">
        <v>25</v>
      </c>
      <c r="D465" s="18" t="n"/>
      <c r="E465" s="46" t="n"/>
      <c r="F465" s="21">
        <f>IFERROR(__xludf.DUMMYFUNCTION("IF(
  REGEXMATCH(E465, "":""),
  60*VALUE(INDEX(SPLIT(E465, "":""),1,1)) + VALUE(INDEX(SPLIT(E465, "":""),1,2)),
  VALUE(E465)
)"),0.0)</f>
        <v/>
      </c>
      <c r="G465" s="24" t="n"/>
      <c r="H465" s="24" t="n"/>
      <c r="I465" s="60">
        <f>C446</f>
        <v/>
      </c>
      <c r="J465" s="60">
        <f>C463</f>
        <v/>
      </c>
      <c r="K465" s="60">
        <f t="array" ref="K465">INDEX('Podium Target Times'!$C:$C, MATCH(A465&amp;B465, 'Podium Target Times'!$A:$A&amp;'Podium Target Times'!$B:$B, 0))
</f>
        <v/>
      </c>
      <c r="L465" s="60">
        <f>K465</f>
        <v/>
      </c>
      <c r="M465" s="60">
        <f>IF(L465&lt;60, TEXT(L465,"0.00"), IF(L465&lt;600, TEXT(L465/86400,"m:ss.00"), TEXT(L465/86400,"mm:ss.00")))
</f>
        <v/>
      </c>
      <c r="N465" s="25">
        <f>IFERROR(__xludf.DUMMYFUNCTION("LET(
  gen,$A465, ev,$B465, t,$M465,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O465" s="65" t="n"/>
      <c r="P465" s="69" t="n"/>
      <c r="Q465" s="65" t="n"/>
      <c r="R465" s="69" t="n"/>
      <c r="S465" s="58" t="n"/>
      <c r="T465" s="69" t="n"/>
      <c r="U465" s="65" t="n"/>
      <c r="V465" s="65" t="n"/>
      <c r="W465" s="65" t="n"/>
    </row>
    <row r="466">
      <c r="A466" s="8" t="inlineStr">
        <is>
          <t>M</t>
        </is>
      </c>
      <c r="B466" s="9" t="inlineStr">
        <is>
          <t>200 Breast</t>
        </is>
      </c>
      <c r="C466" s="9" t="n">
        <v>15</v>
      </c>
      <c r="D466" s="9" t="n">
        <v>1</v>
      </c>
      <c r="E466" s="41" t="inlineStr">
        <is>
          <t>2:23.31</t>
        </is>
      </c>
      <c r="F466" s="35">
        <f>IFERROR(__xludf.DUMMYFUNCTION("IF(
  REGEXMATCH(E466, "":""),
  60*VALUE(INDEX(SPLIT(E466, "":""),1,1)) + VALUE(INDEX(SPLIT(E466, "":""),1,2)),
  VALUE(E466)
)"),143.31)</f>
        <v/>
      </c>
      <c r="G466" s="12" t="n">
        <v>0</v>
      </c>
      <c r="H466" s="12" t="n">
        <v>0</v>
      </c>
      <c r="I466" s="43">
        <f>C466</f>
        <v/>
      </c>
      <c r="J466" s="43">
        <f>C483</f>
        <v/>
      </c>
      <c r="K466" s="43">
        <f t="array" ref="K466">INDEX('Podium Target Times'!$C:$C, MATCH(A466&amp;B466, 'Podium Target Times'!$A:$A&amp;'Podium Target Times'!$B:$B, 0))
</f>
        <v/>
      </c>
      <c r="L466" s="12">
        <f>L467+G467</f>
        <v/>
      </c>
      <c r="M466" s="43">
        <f>IF(L466&lt;60, TEXT(L466,"0.00"), IF(L466&lt;600, TEXT(L466/86400,"m:ss.00"), TEXT(L466/86400,"mm:ss.00")))
</f>
        <v/>
      </c>
      <c r="N466" s="14">
        <f>IFERROR(__xludf.DUMMYFUNCTION("LET(
  gen,$A466, ev,$B466, t,$M466,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)"),570.0)</f>
        <v/>
      </c>
      <c r="O466" s="65" t="n"/>
      <c r="P466" s="69">
        <f>A466</f>
        <v/>
      </c>
      <c r="Q466" s="65">
        <f>B466</f>
        <v/>
      </c>
      <c r="R466" s="69">
        <f>C466</f>
        <v/>
      </c>
      <c r="S466" s="58">
        <f>M466</f>
        <v/>
      </c>
      <c r="T466" s="69">
        <f>N466</f>
        <v/>
      </c>
      <c r="U466" s="65" t="n">
        <v>578</v>
      </c>
      <c r="V466" s="65" t="n"/>
      <c r="W466" s="65" t="n"/>
    </row>
    <row r="467">
      <c r="A467" s="17" t="inlineStr">
        <is>
          <t>M</t>
        </is>
      </c>
      <c r="B467" s="18" t="inlineStr">
        <is>
          <t>200 Breast</t>
        </is>
      </c>
      <c r="C467" s="18" t="n">
        <v>16</v>
      </c>
      <c r="D467" s="18" t="n">
        <v>1</v>
      </c>
      <c r="E467" s="46" t="inlineStr">
        <is>
          <t>2:18.55</t>
        </is>
      </c>
      <c r="F467" s="21">
        <f>IFERROR(__xludf.DUMMYFUNCTION("IF(
  REGEXMATCH(E467, "":""),
  60*VALUE(INDEX(SPLIT(E467, "":""),1,1)) + VALUE(INDEX(SPLIT(E467, "":""),1,2)),
  VALUE(E467)
)"),138.55)</f>
        <v/>
      </c>
      <c r="G467" s="21">
        <f>F466-F467</f>
        <v/>
      </c>
      <c r="H467" s="21" t="n">
        <v>4.759999999999991</v>
      </c>
      <c r="I467" s="211">
        <f>C466</f>
        <v/>
      </c>
      <c r="J467" s="211">
        <f>C483</f>
        <v/>
      </c>
      <c r="K467" s="60">
        <f t="array" ref="K467">INDEX('Podium Target Times'!$C:$C, MATCH(A467&amp;B467, 'Podium Target Times'!$A:$A&amp;'Podium Target Times'!$B:$B, 0))
</f>
        <v/>
      </c>
      <c r="L467" s="24">
        <f>L469+G469</f>
        <v/>
      </c>
      <c r="M467" s="60">
        <f>IF(L467&lt;60, TEXT(L467,"0.00"), IF(L467&lt;600, TEXT(L467/86400,"m:ss.00"), TEXT(L467/86400,"mm:ss.00")))
</f>
        <v/>
      </c>
      <c r="N467" s="25">
        <f>IFERROR(__xludf.DUMMYFUNCTION("LET(
  gen,$A467, ev,$B467, t,$M467,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)"),628.0)</f>
        <v/>
      </c>
      <c r="O467" s="65" t="n"/>
      <c r="P467" s="69">
        <f>A467</f>
        <v/>
      </c>
      <c r="Q467" s="65">
        <f>B467</f>
        <v/>
      </c>
      <c r="R467" s="69">
        <f>C467</f>
        <v/>
      </c>
      <c r="S467" s="58">
        <f>M467</f>
        <v/>
      </c>
      <c r="T467" s="69">
        <f>N467</f>
        <v/>
      </c>
      <c r="U467" s="65" t="n"/>
      <c r="V467" s="65" t="n"/>
      <c r="W467" s="65" t="n"/>
    </row>
    <row r="468">
      <c r="A468" s="8" t="inlineStr">
        <is>
          <t>M</t>
        </is>
      </c>
      <c r="B468" s="9" t="inlineStr">
        <is>
          <t>200 Breast</t>
        </is>
      </c>
      <c r="C468" s="9" t="n">
        <v>16</v>
      </c>
      <c r="D468" s="9" t="n">
        <v>2</v>
      </c>
      <c r="E468" s="41" t="inlineStr">
        <is>
          <t>2:20.95</t>
        </is>
      </c>
      <c r="F468" s="35">
        <f>IFERROR(__xludf.DUMMYFUNCTION("IF(
  REGEXMATCH(E468, "":""),
  60*VALUE(INDEX(SPLIT(E468, "":""),1,1)) + VALUE(INDEX(SPLIT(E468, "":""),1,2)),
  VALUE(E468)
)"),140.95)</f>
        <v/>
      </c>
      <c r="G468" s="35">
        <f>F466-F467</f>
        <v/>
      </c>
      <c r="H468" s="35" t="n">
        <v>4.759999999999991</v>
      </c>
      <c r="I468" s="215">
        <f>C466</f>
        <v/>
      </c>
      <c r="J468" s="215">
        <f>C483</f>
        <v/>
      </c>
      <c r="K468" s="43">
        <f t="array" ref="K468">INDEX('Podium Target Times'!$C:$C, MATCH(A468&amp;B468, 'Podium Target Times'!$A:$A&amp;'Podium Target Times'!$B:$B, 0))
</f>
        <v/>
      </c>
      <c r="L468" s="12">
        <f>L469+G469</f>
        <v/>
      </c>
      <c r="M468" s="43">
        <f>IF(L468&lt;60, TEXT(L468,"0.00"), IF(L468&lt;600, TEXT(L468/86400,"m:ss.00"), TEXT(L468/86400,"mm:ss.00")))
</f>
        <v/>
      </c>
      <c r="N468" s="14">
        <f>IFERROR(__xludf.DUMMYFUNCTION("LET(
  gen,$A468, ev,$B468, t,$M468,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)"),628.0)</f>
        <v/>
      </c>
      <c r="O468" s="65" t="n"/>
      <c r="P468" s="69">
        <f>A469</f>
        <v/>
      </c>
      <c r="Q468" s="65">
        <f>B469</f>
        <v/>
      </c>
      <c r="R468" s="69">
        <f>C469</f>
        <v/>
      </c>
      <c r="S468" s="58">
        <f>M469</f>
        <v/>
      </c>
      <c r="T468" s="69">
        <f>N469</f>
        <v/>
      </c>
      <c r="U468" s="65" t="n"/>
      <c r="V468" s="65" t="n"/>
      <c r="W468" s="65" t="n"/>
    </row>
    <row r="469">
      <c r="A469" s="17" t="inlineStr">
        <is>
          <t>M</t>
        </is>
      </c>
      <c r="B469" s="18" t="inlineStr">
        <is>
          <t>200 Breast</t>
        </is>
      </c>
      <c r="C469" s="18" t="n">
        <v>17</v>
      </c>
      <c r="D469" s="18" t="n">
        <v>1</v>
      </c>
      <c r="E469" s="46" t="inlineStr">
        <is>
          <t>2:14.89</t>
        </is>
      </c>
      <c r="F469" s="21">
        <f>IFERROR(__xludf.DUMMYFUNCTION("IF(
  REGEXMATCH(E469, "":""),
  60*VALUE(INDEX(SPLIT(E469, "":""),1,1)) + VALUE(INDEX(SPLIT(E469, "":""),1,2)),
  VALUE(E469)
)"),134.89)</f>
        <v/>
      </c>
      <c r="G469" s="21">
        <f>average(F467-F469,F468-F470)</f>
        <v/>
      </c>
      <c r="H469" s="21" t="n">
        <v>3.685000000000002</v>
      </c>
      <c r="I469" s="211">
        <f>C466</f>
        <v/>
      </c>
      <c r="J469" s="211">
        <f>C483</f>
        <v/>
      </c>
      <c r="K469" s="60">
        <f t="array" ref="K469">INDEX('Podium Target Times'!$C:$C, MATCH(A469&amp;B469, 'Podium Target Times'!$A:$A&amp;'Podium Target Times'!$B:$B, 0))
</f>
        <v/>
      </c>
      <c r="L469" s="24">
        <f>L472+G472</f>
        <v/>
      </c>
      <c r="M469" s="60">
        <f>IF(L469&lt;60, TEXT(L469,"0.00"), IF(L469&lt;600, TEXT(L469/86400,"m:ss.00"), TEXT(L469/86400,"mm:ss.00")))
</f>
        <v/>
      </c>
      <c r="N469" s="25">
        <f>IFERROR(__xludf.DUMMYFUNCTION("LET(
  gen,$A469, ev,$B469, t,$M469,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)"),678.0)</f>
        <v/>
      </c>
      <c r="O469" s="65" t="n"/>
      <c r="P469" s="69">
        <f>A472</f>
        <v/>
      </c>
      <c r="Q469" s="65">
        <f>B472</f>
        <v/>
      </c>
      <c r="R469" s="69">
        <f>C472</f>
        <v/>
      </c>
      <c r="S469" s="58">
        <f>M472</f>
        <v/>
      </c>
      <c r="T469" s="69">
        <f>N472</f>
        <v/>
      </c>
      <c r="U469" s="65" t="n"/>
      <c r="V469" s="65" t="n"/>
      <c r="W469" s="65" t="n"/>
    </row>
    <row r="470">
      <c r="A470" s="8" t="inlineStr">
        <is>
          <t>M</t>
        </is>
      </c>
      <c r="B470" s="9" t="inlineStr">
        <is>
          <t>200 Breast</t>
        </is>
      </c>
      <c r="C470" s="9" t="n">
        <v>17</v>
      </c>
      <c r="D470" s="9" t="n">
        <v>2</v>
      </c>
      <c r="E470" s="41" t="inlineStr">
        <is>
          <t>2:17.24</t>
        </is>
      </c>
      <c r="F470" s="35">
        <f>IFERROR(__xludf.DUMMYFUNCTION("IF(
  REGEXMATCH(E470, "":""),
  60*VALUE(INDEX(SPLIT(E470, "":""),1,1)) + VALUE(INDEX(SPLIT(E470, "":""),1,2)),
  VALUE(E470)
)"),137.24)</f>
        <v/>
      </c>
      <c r="G470" s="35">
        <f>average(F467-F469,F468-F470)</f>
        <v/>
      </c>
      <c r="H470" s="35" t="n">
        <v>3.685000000000002</v>
      </c>
      <c r="I470" s="215">
        <f>C466</f>
        <v/>
      </c>
      <c r="J470" s="215">
        <f>C483</f>
        <v/>
      </c>
      <c r="K470" s="43">
        <f t="array" ref="K470">INDEX('Podium Target Times'!$C:$C, MATCH(A470&amp;B470, 'Podium Target Times'!$A:$A&amp;'Podium Target Times'!$B:$B, 0))
</f>
        <v/>
      </c>
      <c r="L470" s="12">
        <f>L472+G472</f>
        <v/>
      </c>
      <c r="M470" s="43">
        <f>IF(L470&lt;60, TEXT(L470,"0.00"), IF(L470&lt;600, TEXT(L470/86400,"m:ss.00"), TEXT(L470/86400,"mm:ss.00")))
</f>
        <v/>
      </c>
      <c r="N470" s="14">
        <f>IFERROR(__xludf.DUMMYFUNCTION("LET(
  gen,$A470, ev,$B470, t,$M470,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)"),678.0)</f>
        <v/>
      </c>
      <c r="O470" s="65" t="n"/>
      <c r="P470" s="69">
        <f>A475</f>
        <v/>
      </c>
      <c r="Q470" s="65">
        <f>B475</f>
        <v/>
      </c>
      <c r="R470" s="69">
        <f>C475</f>
        <v/>
      </c>
      <c r="S470" s="58">
        <f>M475</f>
        <v/>
      </c>
      <c r="T470" s="69">
        <f>N475</f>
        <v/>
      </c>
      <c r="U470" s="65" t="n"/>
      <c r="V470" s="65" t="n"/>
      <c r="W470" s="65" t="n"/>
    </row>
    <row r="471">
      <c r="A471" s="17" t="inlineStr">
        <is>
          <t>M</t>
        </is>
      </c>
      <c r="B471" s="18" t="inlineStr">
        <is>
          <t>200 Breast</t>
        </is>
      </c>
      <c r="C471" s="18" t="n">
        <v>17</v>
      </c>
      <c r="D471" s="18" t="n">
        <v>3</v>
      </c>
      <c r="E471" s="46" t="inlineStr">
        <is>
          <t>2:18.23</t>
        </is>
      </c>
      <c r="F471" s="21">
        <f>IFERROR(__xludf.DUMMYFUNCTION("IF(
  REGEXMATCH(E471, "":""),
  60*VALUE(INDEX(SPLIT(E471, "":""),1,1)) + VALUE(INDEX(SPLIT(E471, "":""),1,2)),
  VALUE(E471)
)"),138.23)</f>
        <v/>
      </c>
      <c r="G471" s="21">
        <f>average(F467-F469,F468-F470)</f>
        <v/>
      </c>
      <c r="H471" s="21" t="n">
        <v>3.685000000000002</v>
      </c>
      <c r="I471" s="211">
        <f>C466</f>
        <v/>
      </c>
      <c r="J471" s="211">
        <f>C483</f>
        <v/>
      </c>
      <c r="K471" s="60">
        <f t="array" ref="K471">INDEX('Podium Target Times'!$C:$C, MATCH(A471&amp;B471, 'Podium Target Times'!$A:$A&amp;'Podium Target Times'!$B:$B, 0))
</f>
        <v/>
      </c>
      <c r="L471" s="24">
        <f>L472+G472</f>
        <v/>
      </c>
      <c r="M471" s="60">
        <f>IF(L471&lt;60, TEXT(L471,"0.00"), IF(L471&lt;600, TEXT(L471/86400,"m:ss.00"), TEXT(L471/86400,"mm:ss.00")))
</f>
        <v/>
      </c>
      <c r="N471" s="25">
        <f>IFERROR(__xludf.DUMMYFUNCTION("LET(
  gen,$A471, ev,$B471, t,$M471,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)"),678.0)</f>
        <v/>
      </c>
      <c r="O471" s="65" t="n"/>
      <c r="P471" s="69">
        <f>A478</f>
        <v/>
      </c>
      <c r="Q471" s="65">
        <f>B478</f>
        <v/>
      </c>
      <c r="R471" s="69">
        <f>C478</f>
        <v/>
      </c>
      <c r="S471" s="58">
        <f>M478</f>
        <v/>
      </c>
      <c r="T471" s="69">
        <f>N478</f>
        <v/>
      </c>
      <c r="U471" s="65" t="n"/>
      <c r="V471" s="65" t="n"/>
      <c r="W471" s="65" t="n"/>
    </row>
    <row r="472">
      <c r="A472" s="8" t="inlineStr">
        <is>
          <t>M</t>
        </is>
      </c>
      <c r="B472" s="9" t="inlineStr">
        <is>
          <t>200 Breast</t>
        </is>
      </c>
      <c r="C472" s="9" t="n">
        <v>18</v>
      </c>
      <c r="D472" s="9" t="n">
        <v>1</v>
      </c>
      <c r="E472" s="41" t="inlineStr">
        <is>
          <t>2:12.22</t>
        </is>
      </c>
      <c r="F472" s="35">
        <f>IFERROR(__xludf.DUMMYFUNCTION("IF(
  REGEXMATCH(E472, "":""),
  60*VALUE(INDEX(SPLIT(E472, "":""),1,1)) + VALUE(INDEX(SPLIT(E472, "":""),1,2)),
  VALUE(E472)
)"),132.22)</f>
        <v/>
      </c>
      <c r="G472" s="35">
        <f>average(F469-F472,F470-F473,F471-F474)</f>
        <v/>
      </c>
      <c r="H472" s="35" t="n">
        <v>2.716666666666669</v>
      </c>
      <c r="I472" s="215">
        <f>C466</f>
        <v/>
      </c>
      <c r="J472" s="215">
        <f>C483</f>
        <v/>
      </c>
      <c r="K472" s="43">
        <f t="array" ref="K472">INDEX('Podium Target Times'!$C:$C, MATCH(A472&amp;B472, 'Podium Target Times'!$A:$A&amp;'Podium Target Times'!$B:$B, 0))
</f>
        <v/>
      </c>
      <c r="L472" s="12">
        <f>L475+G475</f>
        <v/>
      </c>
      <c r="M472" s="43">
        <f>IF(L472&lt;60, TEXT(L472,"0.00"), IF(L472&lt;600, TEXT(L472/86400,"m:ss.00"), TEXT(L472/86400,"mm:ss.00")))
</f>
        <v/>
      </c>
      <c r="N472" s="14">
        <f>IFERROR(__xludf.DUMMYFUNCTION("LET(
  gen,$A472, ev,$B472, t,$M472,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
      </c>
      <c r="O472" s="65" t="n"/>
      <c r="P472" s="69">
        <f>A480</f>
        <v/>
      </c>
      <c r="Q472" s="65">
        <f>B480</f>
        <v/>
      </c>
      <c r="R472" s="69">
        <f>C480</f>
        <v/>
      </c>
      <c r="S472" s="58">
        <f>M480</f>
        <v/>
      </c>
      <c r="T472" s="69">
        <f>N480</f>
        <v/>
      </c>
      <c r="U472" s="65" t="n"/>
      <c r="V472" s="65" t="n"/>
      <c r="W472" s="65" t="n"/>
    </row>
    <row r="473">
      <c r="A473" s="17" t="inlineStr">
        <is>
          <t>M</t>
        </is>
      </c>
      <c r="B473" s="18" t="inlineStr">
        <is>
          <t>200 Breast</t>
        </is>
      </c>
      <c r="C473" s="18" t="n">
        <v>18</v>
      </c>
      <c r="D473" s="18" t="n">
        <v>2</v>
      </c>
      <c r="E473" s="46" t="inlineStr">
        <is>
          <t>2:14.51</t>
        </is>
      </c>
      <c r="F473" s="21">
        <f>IFERROR(__xludf.DUMMYFUNCTION("IF(
  REGEXMATCH(E473, "":""),
  60*VALUE(INDEX(SPLIT(E473, "":""),1,1)) + VALUE(INDEX(SPLIT(E473, "":""),1,2)),
  VALUE(E473)
)"),134.51)</f>
        <v/>
      </c>
      <c r="G473" s="21">
        <f>average(F469-F472,F470-F473,F471-F474)</f>
        <v/>
      </c>
      <c r="H473" s="21" t="n">
        <v>2.716666666666669</v>
      </c>
      <c r="I473" s="211">
        <f>C466</f>
        <v/>
      </c>
      <c r="J473" s="211">
        <f>C483</f>
        <v/>
      </c>
      <c r="K473" s="60">
        <f t="array" ref="K473">INDEX('Podium Target Times'!$C:$C, MATCH(A473&amp;B473, 'Podium Target Times'!$A:$A&amp;'Podium Target Times'!$B:$B, 0))
</f>
        <v/>
      </c>
      <c r="L473" s="24">
        <f>L475+G475</f>
        <v/>
      </c>
      <c r="M473" s="60">
        <f>IF(L473&lt;60, TEXT(L473,"0.00"), IF(L473&lt;600, TEXT(L473/86400,"m:ss.00"), TEXT(L473/86400,"mm:ss.00")))
</f>
        <v/>
      </c>
      <c r="N473" s="25">
        <f>IFERROR(__xludf.DUMMYFUNCTION("LET(
  gen,$A473, ev,$B473, t,$M473,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
      </c>
      <c r="O473" s="65" t="n"/>
      <c r="P473" s="69">
        <f>A482</f>
        <v/>
      </c>
      <c r="Q473" s="65">
        <f>B482</f>
        <v/>
      </c>
      <c r="R473" s="69">
        <f>C482</f>
        <v/>
      </c>
      <c r="S473" s="58">
        <f>M482</f>
        <v/>
      </c>
      <c r="T473" s="69">
        <f>N482</f>
        <v/>
      </c>
      <c r="U473" s="65" t="n"/>
      <c r="V473" s="65" t="n"/>
      <c r="W473" s="65" t="n"/>
    </row>
    <row r="474">
      <c r="A474" s="8" t="inlineStr">
        <is>
          <t>M</t>
        </is>
      </c>
      <c r="B474" s="9" t="inlineStr">
        <is>
          <t>200 Breast</t>
        </is>
      </c>
      <c r="C474" s="9" t="n">
        <v>18</v>
      </c>
      <c r="D474" s="9" t="n">
        <v>3</v>
      </c>
      <c r="E474" s="41" t="inlineStr">
        <is>
          <t>2:15.48</t>
        </is>
      </c>
      <c r="F474" s="35">
        <f>IFERROR(__xludf.DUMMYFUNCTION("IF(
  REGEXMATCH(E474, "":""),
  60*VALUE(INDEX(SPLIT(E474, "":""),1,1)) + VALUE(INDEX(SPLIT(E474, "":""),1,2)),
  VALUE(E474)
)"),135.48)</f>
        <v/>
      </c>
      <c r="G474" s="35">
        <f>average(F469-F472,F470-F473,F471-F474)</f>
        <v/>
      </c>
      <c r="H474" s="35" t="n">
        <v>2.716666666666669</v>
      </c>
      <c r="I474" s="215">
        <f>C466</f>
        <v/>
      </c>
      <c r="J474" s="215">
        <f>C483</f>
        <v/>
      </c>
      <c r="K474" s="43">
        <f t="array" ref="K474">INDEX('Podium Target Times'!$C:$C, MATCH(A474&amp;B474, 'Podium Target Times'!$A:$A&amp;'Podium Target Times'!$B:$B, 0))
</f>
        <v/>
      </c>
      <c r="L474" s="12">
        <f>L475+G475</f>
        <v/>
      </c>
      <c r="M474" s="43">
        <f>IF(L474&lt;60, TEXT(L474,"0.00"), IF(L474&lt;600, TEXT(L474/86400,"m:ss.00"), TEXT(L474/86400,"mm:ss.00")))
</f>
        <v/>
      </c>
      <c r="N474" s="14">
        <f>IFERROR(__xludf.DUMMYFUNCTION("LET(
  gen,$A474, ev,$B474, t,$M474,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
      </c>
      <c r="O474" s="65" t="n"/>
      <c r="P474" s="69">
        <f>A483</f>
        <v/>
      </c>
      <c r="Q474" s="65">
        <f>B483</f>
        <v/>
      </c>
      <c r="R474" s="69">
        <f>C483</f>
        <v/>
      </c>
      <c r="S474" s="58">
        <f>M483</f>
        <v/>
      </c>
      <c r="T474" s="69">
        <f>N483</f>
        <v/>
      </c>
      <c r="U474" s="65" t="n">
        <v>815</v>
      </c>
      <c r="V474" s="65" t="n"/>
      <c r="W474" s="65" t="n"/>
    </row>
    <row r="475">
      <c r="A475" s="17" t="inlineStr">
        <is>
          <t>M</t>
        </is>
      </c>
      <c r="B475" s="18" t="inlineStr">
        <is>
          <t>200 Breast</t>
        </is>
      </c>
      <c r="C475" s="18" t="n">
        <v>19</v>
      </c>
      <c r="D475" s="18" t="n">
        <v>1</v>
      </c>
      <c r="E475" s="46" t="inlineStr">
        <is>
          <t>2:10.32</t>
        </is>
      </c>
      <c r="F475" s="21">
        <f>IFERROR(__xludf.DUMMYFUNCTION("IF(
  REGEXMATCH(E475, "":""),
  60*VALUE(INDEX(SPLIT(E475, "":""),1,1)) + VALUE(INDEX(SPLIT(E475, "":""),1,2)),
  VALUE(E475)
)"),130.32)</f>
        <v/>
      </c>
      <c r="G475" s="21">
        <f>average(F472-F475,F473-F476,F474-F477)</f>
        <v/>
      </c>
      <c r="H475" s="21" t="n">
        <v>1.923333333333327</v>
      </c>
      <c r="I475" s="211">
        <f>C466</f>
        <v/>
      </c>
      <c r="J475" s="211">
        <f>C483</f>
        <v/>
      </c>
      <c r="K475" s="60">
        <f t="array" ref="K475">INDEX('Podium Target Times'!$C:$C, MATCH(A475&amp;B475, 'Podium Target Times'!$A:$A&amp;'Podium Target Times'!$B:$B, 0))
</f>
        <v/>
      </c>
      <c r="L475" s="24">
        <f>L478+G478</f>
        <v/>
      </c>
      <c r="M475" s="60">
        <f>IF(L475&lt;60, TEXT(L475,"0.00"), IF(L475&lt;600, TEXT(L475/86400,"m:ss.00"), TEXT(L475/86400,"mm:ss.00")))
</f>
        <v/>
      </c>
      <c r="N475" s="25">
        <f>IFERROR(__xludf.DUMMYFUNCTION("LET(
  gen,$A475, ev,$B475, t,$M475,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O475" s="65" t="n"/>
      <c r="P475" s="69">
        <f>P474</f>
        <v/>
      </c>
      <c r="Q475" s="65">
        <f>Q474</f>
        <v/>
      </c>
      <c r="R475" s="69">
        <f>R474+1</f>
        <v/>
      </c>
      <c r="S475" s="58">
        <f>M484</f>
        <v/>
      </c>
      <c r="T475" s="69">
        <f>N484</f>
        <v/>
      </c>
      <c r="U475" s="65" t="n"/>
      <c r="V475" s="65" t="n"/>
      <c r="W475" s="65" t="n"/>
    </row>
    <row r="476">
      <c r="A476" s="8" t="inlineStr">
        <is>
          <t>M</t>
        </is>
      </c>
      <c r="B476" s="9" t="inlineStr">
        <is>
          <t>200 Breast</t>
        </is>
      </c>
      <c r="C476" s="9" t="n">
        <v>19</v>
      </c>
      <c r="D476" s="9" t="n">
        <v>2</v>
      </c>
      <c r="E476" s="41" t="inlineStr">
        <is>
          <t>2:12.58</t>
        </is>
      </c>
      <c r="F476" s="35">
        <f>IFERROR(__xludf.DUMMYFUNCTION("IF(
  REGEXMATCH(E476, "":""),
  60*VALUE(INDEX(SPLIT(E476, "":""),1,1)) + VALUE(INDEX(SPLIT(E476, "":""),1,2)),
  VALUE(E476)
)"),132.58)</f>
        <v/>
      </c>
      <c r="G476" s="35">
        <f>average(F472-F475,F473-F476,F474-F477)</f>
        <v/>
      </c>
      <c r="H476" s="35" t="n">
        <v>1.923333333333327</v>
      </c>
      <c r="I476" s="215">
        <f>C466</f>
        <v/>
      </c>
      <c r="J476" s="215">
        <f>C483</f>
        <v/>
      </c>
      <c r="K476" s="43">
        <f t="array" ref="K476">INDEX('Podium Target Times'!$C:$C, MATCH(A476&amp;B476, 'Podium Target Times'!$A:$A&amp;'Podium Target Times'!$B:$B, 0))
</f>
        <v/>
      </c>
      <c r="L476" s="12">
        <f>L478+G478</f>
        <v/>
      </c>
      <c r="M476" s="43">
        <f>IF(L476&lt;60, TEXT(L476,"0.00"), IF(L476&lt;600, TEXT(L476/86400,"m:ss.00"), TEXT(L476/86400,"mm:ss.00")))
</f>
        <v/>
      </c>
      <c r="N476" s="14">
        <f>IFERROR(__xludf.DUMMYFUNCTION("LET(
  gen,$A476, ev,$B476, t,$M476,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O476" s="65" t="n"/>
      <c r="P476" s="69">
        <f>P475</f>
        <v/>
      </c>
      <c r="Q476" s="65">
        <f>Q475</f>
        <v/>
      </c>
      <c r="R476" s="69">
        <f>R475+1</f>
        <v/>
      </c>
      <c r="S476" s="58">
        <f>M485</f>
        <v/>
      </c>
      <c r="T476" s="69">
        <f>N485</f>
        <v/>
      </c>
      <c r="U476" s="65" t="n"/>
      <c r="V476" s="65" t="n"/>
      <c r="W476" s="65" t="n"/>
    </row>
    <row r="477">
      <c r="A477" s="17" t="inlineStr">
        <is>
          <t>M</t>
        </is>
      </c>
      <c r="B477" s="18" t="inlineStr">
        <is>
          <t>200 Breast</t>
        </is>
      </c>
      <c r="C477" s="18" t="n">
        <v>19</v>
      </c>
      <c r="D477" s="18" t="n">
        <v>3</v>
      </c>
      <c r="E477" s="46" t="inlineStr">
        <is>
          <t>2:13.54</t>
        </is>
      </c>
      <c r="F477" s="21">
        <f>IFERROR(__xludf.DUMMYFUNCTION("IF(
  REGEXMATCH(E477, "":""),
  60*VALUE(INDEX(SPLIT(E477, "":""),1,1)) + VALUE(INDEX(SPLIT(E477, "":""),1,2)),
  VALUE(E477)
)"),133.54)</f>
        <v/>
      </c>
      <c r="G477" s="21">
        <f>average(F472-F475,F473-F476,F474-F477)</f>
        <v/>
      </c>
      <c r="H477" s="21" t="n">
        <v>1.923333333333327</v>
      </c>
      <c r="I477" s="211">
        <f>C466</f>
        <v/>
      </c>
      <c r="J477" s="211">
        <f>C483</f>
        <v/>
      </c>
      <c r="K477" s="60">
        <f t="array" ref="K477">INDEX('Podium Target Times'!$C:$C, MATCH(A477&amp;B477, 'Podium Target Times'!$A:$A&amp;'Podium Target Times'!$B:$B, 0))
</f>
        <v/>
      </c>
      <c r="L477" s="24">
        <f>L478+G478</f>
        <v/>
      </c>
      <c r="M477" s="60">
        <f>IF(L477&lt;60, TEXT(L477,"0.00"), IF(L477&lt;600, TEXT(L477/86400,"m:ss.00"), TEXT(L477/86400,"mm:ss.00")))
</f>
        <v/>
      </c>
      <c r="N477" s="25">
        <f>IFERROR(__xludf.DUMMYFUNCTION("LET(
  gen,$A477, ev,$B477, t,$M477,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O477" s="65" t="n"/>
      <c r="P477" s="69" t="n"/>
      <c r="Q477" s="65" t="n"/>
      <c r="R477" s="69" t="n"/>
      <c r="S477" s="58" t="n"/>
      <c r="T477" s="69" t="n"/>
      <c r="U477" s="65" t="n"/>
      <c r="V477" s="65" t="n"/>
      <c r="W477" s="65" t="n"/>
    </row>
    <row r="478">
      <c r="A478" s="8" t="inlineStr">
        <is>
          <t>M</t>
        </is>
      </c>
      <c r="B478" s="9" t="inlineStr">
        <is>
          <t>200 Breast</t>
        </is>
      </c>
      <c r="C478" s="9" t="n">
        <v>20</v>
      </c>
      <c r="D478" s="9" t="n">
        <v>2</v>
      </c>
      <c r="E478" s="41" t="inlineStr">
        <is>
          <t>2:11.26</t>
        </is>
      </c>
      <c r="F478" s="35">
        <f>IFERROR(__xludf.DUMMYFUNCTION("IF(
  REGEXMATCH(E478, "":""),
  60*VALUE(INDEX(SPLIT(E478, "":""),1,1)) + VALUE(INDEX(SPLIT(E478, "":""),1,2)),
  VALUE(E478)
)"),131.26)</f>
        <v/>
      </c>
      <c r="G478" s="35">
        <f>average(F476-F478,F477-F479)</f>
        <v/>
      </c>
      <c r="H478" s="35" t="n">
        <v>1.325000000000003</v>
      </c>
      <c r="I478" s="215">
        <f>C466</f>
        <v/>
      </c>
      <c r="J478" s="215">
        <f>C483</f>
        <v/>
      </c>
      <c r="K478" s="43">
        <f t="array" ref="K478">INDEX('Podium Target Times'!$C:$C, MATCH(A478&amp;B478, 'Podium Target Times'!$A:$A&amp;'Podium Target Times'!$B:$B, 0))
</f>
        <v/>
      </c>
      <c r="L478" s="12">
        <f>L480+G480</f>
        <v/>
      </c>
      <c r="M478" s="43">
        <f>IF(L478&lt;60, TEXT(L478,"0.00"), IF(L478&lt;600, TEXT(L478/86400,"m:ss.00"), TEXT(L478/86400,"mm:ss.00")))
</f>
        <v/>
      </c>
      <c r="N478" s="14">
        <f>IFERROR(__xludf.DUMMYFUNCTION("LET(
  gen,$A478, ev,$B478, t,$M478,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
      </c>
      <c r="O478" s="65" t="n"/>
      <c r="P478" s="69" t="n"/>
      <c r="Q478" s="65" t="n"/>
      <c r="R478" s="69" t="n"/>
      <c r="S478" s="58" t="n"/>
      <c r="T478" s="69" t="n"/>
      <c r="U478" s="65" t="n"/>
      <c r="V478" s="65" t="n"/>
      <c r="W478" s="65" t="n"/>
    </row>
    <row r="479">
      <c r="A479" s="17" t="inlineStr">
        <is>
          <t>M</t>
        </is>
      </c>
      <c r="B479" s="18" t="inlineStr">
        <is>
          <t>200 Breast</t>
        </is>
      </c>
      <c r="C479" s="18" t="n">
        <v>20</v>
      </c>
      <c r="D479" s="18" t="n">
        <v>3</v>
      </c>
      <c r="E479" s="46" t="inlineStr">
        <is>
          <t>2:12.21</t>
        </is>
      </c>
      <c r="F479" s="21">
        <f>IFERROR(__xludf.DUMMYFUNCTION("IF(
  REGEXMATCH(E479, "":""),
  60*VALUE(INDEX(SPLIT(E479, "":""),1,1)) + VALUE(INDEX(SPLIT(E479, "":""),1,2)),
  VALUE(E479)
)"),132.21)</f>
        <v/>
      </c>
      <c r="G479" s="21">
        <f>average(F476-F478,F477-F479)</f>
        <v/>
      </c>
      <c r="H479" s="21" t="n">
        <v>1.325000000000003</v>
      </c>
      <c r="I479" s="211">
        <f>C466</f>
        <v/>
      </c>
      <c r="J479" s="211">
        <f>C483</f>
        <v/>
      </c>
      <c r="K479" s="60">
        <f t="array" ref="K479">INDEX('Podium Target Times'!$C:$C, MATCH(A479&amp;B479, 'Podium Target Times'!$A:$A&amp;'Podium Target Times'!$B:$B, 0))
</f>
        <v/>
      </c>
      <c r="L479" s="24">
        <f>L480+G480</f>
        <v/>
      </c>
      <c r="M479" s="60">
        <f>IF(L479&lt;60, TEXT(L479,"0.00"), IF(L479&lt;600, TEXT(L479/86400,"m:ss.00"), TEXT(L479/86400,"mm:ss.00")))
</f>
        <v/>
      </c>
      <c r="N479" s="25">
        <f>IFERROR(__xludf.DUMMYFUNCTION("LET(
  gen,$A479, ev,$B479, t,$M479,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
      </c>
      <c r="O479" s="65" t="n"/>
      <c r="P479" s="69" t="n"/>
      <c r="Q479" s="65" t="n"/>
      <c r="R479" s="69" t="n"/>
      <c r="S479" s="58" t="n"/>
      <c r="T479" s="69" t="n"/>
      <c r="U479" s="65" t="n"/>
      <c r="V479" s="65" t="n"/>
      <c r="W479" s="65" t="n"/>
    </row>
    <row r="480">
      <c r="A480" s="8" t="inlineStr">
        <is>
          <t>M</t>
        </is>
      </c>
      <c r="B480" s="9" t="inlineStr">
        <is>
          <t>200 Breast</t>
        </is>
      </c>
      <c r="C480" s="9" t="n">
        <v>21</v>
      </c>
      <c r="D480" s="9" t="n">
        <v>2</v>
      </c>
      <c r="E480" s="41" t="inlineStr">
        <is>
          <t>2:10.32</t>
        </is>
      </c>
      <c r="F480" s="35">
        <f>IFERROR(__xludf.DUMMYFUNCTION("IF(
  REGEXMATCH(E480, "":""),
  60*VALUE(INDEX(SPLIT(E480, "":""),1,1)) + VALUE(INDEX(SPLIT(E480, "":""),1,2)),
  VALUE(E480)
)"),130.32)</f>
        <v/>
      </c>
      <c r="G480" s="35">
        <f>average(F478-F480,F479-F481)</f>
        <v/>
      </c>
      <c r="H480" s="35" t="n">
        <v>0.9450000000000074</v>
      </c>
      <c r="I480" s="215">
        <f>C466</f>
        <v/>
      </c>
      <c r="J480" s="215">
        <f>C483</f>
        <v/>
      </c>
      <c r="K480" s="43">
        <f t="array" ref="K480">INDEX('Podium Target Times'!$C:$C, MATCH(A480&amp;B480, 'Podium Target Times'!$A:$A&amp;'Podium Target Times'!$B:$B, 0))
</f>
        <v/>
      </c>
      <c r="L480" s="12">
        <f>L482+G482</f>
        <v/>
      </c>
      <c r="M480" s="43">
        <f>IF(L480&lt;60, TEXT(L480,"0.00"), IF(L480&lt;600, TEXT(L480/86400,"m:ss.00"), TEXT(L480/86400,"mm:ss.00")))
</f>
        <v/>
      </c>
      <c r="N480" s="14">
        <f>IFERROR(__xludf.DUMMYFUNCTION("LET(
  gen,$A480, ev,$B480, t,$M480,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)"),786.0)</f>
        <v/>
      </c>
      <c r="O480" s="65" t="n"/>
      <c r="P480" s="69" t="n"/>
      <c r="Q480" s="65" t="n"/>
      <c r="R480" s="69" t="n"/>
      <c r="S480" s="58" t="n"/>
      <c r="T480" s="69" t="n"/>
      <c r="U480" s="65" t="n"/>
      <c r="V480" s="65" t="n"/>
      <c r="W480" s="65" t="n"/>
    </row>
    <row r="481">
      <c r="A481" s="17" t="inlineStr">
        <is>
          <t>M</t>
        </is>
      </c>
      <c r="B481" s="18" t="inlineStr">
        <is>
          <t>200 Breast</t>
        </is>
      </c>
      <c r="C481" s="18" t="n">
        <v>21</v>
      </c>
      <c r="D481" s="18" t="n">
        <v>3</v>
      </c>
      <c r="E481" s="46" t="inlineStr">
        <is>
          <t>2:11.26</t>
        </is>
      </c>
      <c r="F481" s="21">
        <f>IFERROR(__xludf.DUMMYFUNCTION("IF(
  REGEXMATCH(E481, "":""),
  60*VALUE(INDEX(SPLIT(E481, "":""),1,1)) + VALUE(INDEX(SPLIT(E481, "":""),1,2)),
  VALUE(E481)
)"),131.26)</f>
        <v/>
      </c>
      <c r="G481" s="21">
        <f>average(F478-F480,F479-F481)</f>
        <v/>
      </c>
      <c r="H481" s="21" t="n">
        <v>0.9450000000000074</v>
      </c>
      <c r="I481" s="211">
        <f>C466</f>
        <v/>
      </c>
      <c r="J481" s="211">
        <f>C483</f>
        <v/>
      </c>
      <c r="K481" s="60">
        <f t="array" ref="K481">INDEX('Podium Target Times'!$C:$C, MATCH(A481&amp;B481, 'Podium Target Times'!$A:$A&amp;'Podium Target Times'!$B:$B, 0))
</f>
        <v/>
      </c>
      <c r="L481" s="24">
        <f>L482+G482</f>
        <v/>
      </c>
      <c r="M481" s="60">
        <f>IF(L481&lt;60, TEXT(L481,"0.00"), IF(L481&lt;600, TEXT(L481/86400,"m:ss.00"), TEXT(L481/86400,"mm:ss.00")))
</f>
        <v/>
      </c>
      <c r="N481" s="25">
        <f>IFERROR(__xludf.DUMMYFUNCTION("LET(
  gen,$A481, ev,$B481, t,$M481,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)"),786.0)</f>
        <v/>
      </c>
      <c r="O481" s="65" t="n"/>
      <c r="P481" s="69" t="n"/>
      <c r="Q481" s="65" t="n"/>
      <c r="R481" s="69" t="n"/>
      <c r="S481" s="58" t="n"/>
      <c r="T481" s="69" t="n"/>
      <c r="U481" s="65" t="n"/>
      <c r="V481" s="65" t="n"/>
      <c r="W481" s="65" t="n"/>
    </row>
    <row r="482">
      <c r="A482" s="8" t="inlineStr">
        <is>
          <t>M</t>
        </is>
      </c>
      <c r="B482" s="9" t="inlineStr">
        <is>
          <t>200 Breast</t>
        </is>
      </c>
      <c r="C482" s="9" t="n">
        <v>22</v>
      </c>
      <c r="D482" s="9" t="n">
        <v>3</v>
      </c>
      <c r="E482" s="41" t="inlineStr">
        <is>
          <t>2:10.66</t>
        </is>
      </c>
      <c r="F482" s="35">
        <f>IFERROR(__xludf.DUMMYFUNCTION("IF(
  REGEXMATCH(E482, "":""),
  60*VALUE(INDEX(SPLIT(E482, "":""),1,1)) + VALUE(INDEX(SPLIT(E482, "":""),1,2)),
  VALUE(E482)
)"),130.66)</f>
        <v/>
      </c>
      <c r="G482" s="35">
        <f>F481-F482</f>
        <v/>
      </c>
      <c r="H482" s="35" t="n">
        <v>0.5999999999999943</v>
      </c>
      <c r="I482" s="215">
        <f>C466</f>
        <v/>
      </c>
      <c r="J482" s="215">
        <f>C483</f>
        <v/>
      </c>
      <c r="K482" s="43">
        <f t="array" ref="K482">INDEX('Podium Target Times'!$C:$C, MATCH(A482&amp;B482, 'Podium Target Times'!$A:$A&amp;'Podium Target Times'!$B:$B, 0))
</f>
        <v/>
      </c>
      <c r="L482" s="12">
        <f>L483+G483</f>
        <v/>
      </c>
      <c r="M482" s="43">
        <f>IF(L482&lt;60, TEXT(L482,"0.00"), IF(L482&lt;600, TEXT(L482/86400,"m:ss.00"), TEXT(L482/86400,"mm:ss.00")))
</f>
        <v/>
      </c>
      <c r="N482" s="14">
        <f>IFERROR(__xludf.DUMMYFUNCTION("LET(
  gen,$A482, ev,$B482, t,$M482,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
      </c>
      <c r="O482" s="65" t="n"/>
      <c r="P482" s="69" t="n"/>
      <c r="Q482" s="65" t="n"/>
      <c r="R482" s="69" t="n"/>
      <c r="S482" s="58" t="n"/>
      <c r="T482" s="69" t="n"/>
      <c r="U482" s="65" t="n"/>
      <c r="V482" s="65" t="n"/>
      <c r="W482" s="65" t="n"/>
    </row>
    <row r="483">
      <c r="A483" s="17" t="inlineStr">
        <is>
          <t>M</t>
        </is>
      </c>
      <c r="B483" s="18" t="inlineStr">
        <is>
          <t>200 Breast</t>
        </is>
      </c>
      <c r="C483" s="18" t="n">
        <v>23</v>
      </c>
      <c r="D483" s="18" t="n">
        <v>3</v>
      </c>
      <c r="E483" s="46" t="inlineStr">
        <is>
          <t>2:10.32</t>
        </is>
      </c>
      <c r="F483" s="21">
        <f>IFERROR(__xludf.DUMMYFUNCTION("IF(
  REGEXMATCH(E483, "":""),
  60*VALUE(INDEX(SPLIT(E483, "":""),1,1)) + VALUE(INDEX(SPLIT(E483, "":""),1,2)),
  VALUE(E483)
)"),130.32)</f>
        <v/>
      </c>
      <c r="G483" s="21">
        <f>F482-F483</f>
        <v/>
      </c>
      <c r="H483" s="21" t="n">
        <v>0.3400000000000034</v>
      </c>
      <c r="I483" s="211">
        <f>C466</f>
        <v/>
      </c>
      <c r="J483" s="211">
        <f>C483</f>
        <v/>
      </c>
      <c r="K483" s="60">
        <f t="array" ref="K483">INDEX('Podium Target Times'!$C:$C, MATCH(A483&amp;B483, 'Podium Target Times'!$A:$A&amp;'Podium Target Times'!$B:$B, 0))
</f>
        <v/>
      </c>
      <c r="L483" s="21">
        <f>G483+L484</f>
        <v/>
      </c>
      <c r="M483" s="60">
        <f>IF(L483&lt;60, TEXT(L483,"0.00"), IF(L483&lt;600, TEXT(L483/86400,"m:ss.00"), TEXT(L483/86400,"mm:ss.00")))
</f>
        <v/>
      </c>
      <c r="N483" s="25">
        <f>IFERROR(__xludf.DUMMYFUNCTION("LET(
  gen,$A483, ev,$B483, t,$M483,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
      </c>
      <c r="O483" s="65" t="n"/>
      <c r="P483" s="69" t="n"/>
      <c r="Q483" s="65" t="n"/>
      <c r="R483" s="69" t="n"/>
      <c r="S483" s="58" t="n"/>
      <c r="T483" s="69" t="n"/>
      <c r="U483" s="65" t="n"/>
      <c r="V483" s="65" t="n"/>
      <c r="W483" s="65" t="n"/>
    </row>
    <row r="484">
      <c r="A484" s="8" t="inlineStr">
        <is>
          <t>M</t>
        </is>
      </c>
      <c r="B484" s="9" t="inlineStr">
        <is>
          <t>200 Breast</t>
        </is>
      </c>
      <c r="C484" s="9" t="n">
        <v>24</v>
      </c>
      <c r="D484" s="9" t="n"/>
      <c r="E484" s="483" t="n"/>
      <c r="F484" s="35">
        <f>IFERROR(__xludf.DUMMYFUNCTION("IF(
  REGEXMATCH(E484, "":""),
  60*VALUE(INDEX(SPLIT(E484, "":""),1,1)) + VALUE(INDEX(SPLIT(E484, "":""),1,2)),
  VALUE(E484)
)"),0.0)</f>
        <v/>
      </c>
      <c r="G484" s="12" t="n"/>
      <c r="H484" s="12" t="n"/>
      <c r="I484" s="43">
        <f>C466</f>
        <v/>
      </c>
      <c r="J484" s="43">
        <f>C483</f>
        <v/>
      </c>
      <c r="K484" s="43">
        <f t="array" ref="K484">INDEX('Podium Target Times'!$C:$C, MATCH(A484&amp;B484, 'Podium Target Times'!$A:$A&amp;'Podium Target Times'!$B:$B, 0))
</f>
        <v/>
      </c>
      <c r="L484" s="12">
        <f>G483+L485</f>
        <v/>
      </c>
      <c r="M484" s="43">
        <f>IF(L484&lt;60, TEXT(L484,"0.00"), IF(L484&lt;600, TEXT(L484/86400,"m:ss.00"), TEXT(L484/86400,"mm:ss.00")))
</f>
        <v/>
      </c>
      <c r="N484" s="14">
        <f>IFERROR(__xludf.DUMMYFUNCTION("LET(
  gen,$A484, ev,$B484, t,$M484,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)"),809.0)</f>
        <v/>
      </c>
      <c r="O484" s="65" t="n"/>
      <c r="P484" s="69" t="n"/>
      <c r="Q484" s="65" t="n"/>
      <c r="R484" s="69" t="n"/>
      <c r="S484" s="58" t="n"/>
      <c r="T484" s="69" t="n"/>
      <c r="U484" s="65" t="n"/>
      <c r="V484" s="65" t="n"/>
      <c r="W484" s="65" t="n"/>
    </row>
    <row r="485">
      <c r="A485" s="17" t="inlineStr">
        <is>
          <t>M</t>
        </is>
      </c>
      <c r="B485" s="18" t="inlineStr">
        <is>
          <t>200 Breast</t>
        </is>
      </c>
      <c r="C485" s="18" t="n">
        <v>25</v>
      </c>
      <c r="D485" s="18" t="n"/>
      <c r="E485" s="491" t="n"/>
      <c r="F485" s="21">
        <f>IFERROR(__xludf.DUMMYFUNCTION("IF(
  REGEXMATCH(E485, "":""),
  60*VALUE(INDEX(SPLIT(E485, "":""),1,1)) + VALUE(INDEX(SPLIT(E485, "":""),1,2)),
  VALUE(E485)
)"),0.0)</f>
        <v/>
      </c>
      <c r="G485" s="24" t="n"/>
      <c r="H485" s="24" t="n"/>
      <c r="I485" s="60">
        <f>C466</f>
        <v/>
      </c>
      <c r="J485" s="60">
        <f>C483</f>
        <v/>
      </c>
      <c r="K485" s="60">
        <f t="array" ref="K485">INDEX('Podium Target Times'!$C:$C, MATCH(A485&amp;B485, 'Podium Target Times'!$A:$A&amp;'Podium Target Times'!$B:$B, 0))
</f>
        <v/>
      </c>
      <c r="L485" s="60">
        <f>K485</f>
        <v/>
      </c>
      <c r="M485" s="60">
        <f>IF(L485&lt;60, TEXT(L485,"0.00"), IF(L485&lt;600, TEXT(L485/86400,"m:ss.00"), TEXT(L485/86400,"mm:ss.00")))
</f>
        <v/>
      </c>
      <c r="N485" s="25">
        <f>IFERROR(__xludf.DUMMYFUNCTION("LET(
  gen,$A485, ev,$B485, t,$M485,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
      </c>
      <c r="O485" s="65" t="n"/>
      <c r="P485" s="69" t="n"/>
      <c r="Q485" s="65" t="n"/>
      <c r="R485" s="69" t="n"/>
      <c r="S485" s="58" t="n"/>
      <c r="T485" s="69" t="n"/>
      <c r="U485" s="65" t="n"/>
      <c r="V485" s="65" t="n"/>
      <c r="W485" s="65" t="n"/>
    </row>
    <row r="486">
      <c r="A486" s="8" t="inlineStr">
        <is>
          <t>M</t>
        </is>
      </c>
      <c r="B486" s="9" t="inlineStr">
        <is>
          <t>200 Fly</t>
        </is>
      </c>
      <c r="C486" s="9" t="n">
        <v>15</v>
      </c>
      <c r="D486" s="9" t="n">
        <v>1</v>
      </c>
      <c r="E486" s="43" t="inlineStr">
        <is>
          <t>2:07.69</t>
        </is>
      </c>
      <c r="F486" s="35">
        <f>IFERROR(__xludf.DUMMYFUNCTION("IF(
  REGEXMATCH(E486, "":""),
  60*VALUE(INDEX(SPLIT(E486, "":""),1,1)) + VALUE(INDEX(SPLIT(E486, "":""),1,2)),
  VALUE(E486)
)"),127.69)</f>
        <v/>
      </c>
      <c r="G486" s="12" t="n">
        <v>0</v>
      </c>
      <c r="H486" s="12" t="n">
        <v>0</v>
      </c>
      <c r="I486" s="43">
        <f>C486</f>
        <v/>
      </c>
      <c r="J486" s="43">
        <f>C503</f>
        <v/>
      </c>
      <c r="K486" s="43">
        <f t="array" ref="K486">INDEX('Podium Target Times'!$C:$C, MATCH(A486&amp;B486, 'Podium Target Times'!$A:$A&amp;'Podium Target Times'!$B:$B, 0))
</f>
        <v/>
      </c>
      <c r="L486" s="12">
        <f>L487+G487</f>
        <v/>
      </c>
      <c r="M486" s="43">
        <f>IF(L486&lt;60, TEXT(L486,"0.00"), IF(L486&lt;600, TEXT(L486/86400,"m:ss.00"), TEXT(L486/86400,"mm:ss.00")))
</f>
        <v/>
      </c>
      <c r="N486" s="14">
        <f>IFERROR(__xludf.DUMMYFUNCTION("LET(
  gen,$A486, ev,$B486, t,$M486,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)"),560.0)</f>
        <v/>
      </c>
      <c r="O486" s="65" t="n"/>
      <c r="P486" s="69">
        <f>A486</f>
        <v/>
      </c>
      <c r="Q486" s="65">
        <f>B486</f>
        <v/>
      </c>
      <c r="R486" s="69">
        <f>C486</f>
        <v/>
      </c>
      <c r="S486" s="58">
        <f>M486</f>
        <v/>
      </c>
      <c r="T486" s="69">
        <f>N486</f>
        <v/>
      </c>
      <c r="U486" s="65" t="n">
        <v>562</v>
      </c>
      <c r="V486" s="65" t="n"/>
      <c r="W486" s="65" t="n"/>
    </row>
    <row r="487">
      <c r="A487" s="17" t="inlineStr">
        <is>
          <t>M</t>
        </is>
      </c>
      <c r="B487" s="18" t="inlineStr">
        <is>
          <t>200 Fly</t>
        </is>
      </c>
      <c r="C487" s="18" t="n">
        <v>16</v>
      </c>
      <c r="D487" s="18" t="n">
        <v>1</v>
      </c>
      <c r="E487" s="60" t="inlineStr">
        <is>
          <t>2:03.12</t>
        </is>
      </c>
      <c r="F487" s="21">
        <f>IFERROR(__xludf.DUMMYFUNCTION("IF(
  REGEXMATCH(E487, "":""),
  60*VALUE(INDEX(SPLIT(E487, "":""),1,1)) + VALUE(INDEX(SPLIT(E487, "":""),1,2)),
  VALUE(E487)
)"),123.12)</f>
        <v/>
      </c>
      <c r="G487" s="21">
        <f>F486-F487</f>
        <v/>
      </c>
      <c r="H487" s="21" t="n">
        <v>4.569999999999993</v>
      </c>
      <c r="I487" s="211">
        <f>C486</f>
        <v/>
      </c>
      <c r="J487" s="211">
        <f>C503</f>
        <v/>
      </c>
      <c r="K487" s="60">
        <f t="array" ref="K487">INDEX('Podium Target Times'!$C:$C, MATCH(A487&amp;B487, 'Podium Target Times'!$A:$A&amp;'Podium Target Times'!$B:$B, 0))
</f>
        <v/>
      </c>
      <c r="L487" s="24">
        <f>L489+G489</f>
        <v/>
      </c>
      <c r="M487" s="60">
        <f>IF(L487&lt;60, TEXT(L487,"0.00"), IF(L487&lt;600, TEXT(L487/86400,"m:ss.00"), TEXT(L487/86400,"mm:ss.00")))
</f>
        <v/>
      </c>
      <c r="N487" s="25">
        <f>IFERROR(__xludf.DUMMYFUNCTION("LET(
  gen,$A487, ev,$B487, t,$M487,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)"),621.0)</f>
        <v/>
      </c>
      <c r="O487" s="65" t="n"/>
      <c r="P487" s="69">
        <f>A487</f>
        <v/>
      </c>
      <c r="Q487" s="65">
        <f>B487</f>
        <v/>
      </c>
      <c r="R487" s="69">
        <f>C487</f>
        <v/>
      </c>
      <c r="S487" s="58">
        <f>M487</f>
        <v/>
      </c>
      <c r="T487" s="69">
        <f>N487</f>
        <v/>
      </c>
      <c r="U487" s="65" t="n"/>
      <c r="V487" s="65" t="n"/>
      <c r="W487" s="65" t="n"/>
    </row>
    <row r="488">
      <c r="A488" s="8" t="inlineStr">
        <is>
          <t>M</t>
        </is>
      </c>
      <c r="B488" s="9" t="inlineStr">
        <is>
          <t>200 Fly</t>
        </is>
      </c>
      <c r="C488" s="9" t="n">
        <v>16</v>
      </c>
      <c r="D488" s="9" t="n">
        <v>2</v>
      </c>
      <c r="E488" s="41" t="inlineStr">
        <is>
          <t>2:04.65</t>
        </is>
      </c>
      <c r="F488" s="35">
        <f>IFERROR(__xludf.DUMMYFUNCTION("IF(
  REGEXMATCH(E488, "":""),
  60*VALUE(INDEX(SPLIT(E488, "":""),1,1)) + VALUE(INDEX(SPLIT(E488, "":""),1,2)),
  VALUE(E488)
)"),124.65)</f>
        <v/>
      </c>
      <c r="G488" s="35">
        <f>F486-F487</f>
        <v/>
      </c>
      <c r="H488" s="35" t="n">
        <v>4.569999999999993</v>
      </c>
      <c r="I488" s="215">
        <f>C486</f>
        <v/>
      </c>
      <c r="J488" s="215">
        <f>C503</f>
        <v/>
      </c>
      <c r="K488" s="43">
        <f t="array" ref="K488">INDEX('Podium Target Times'!$C:$C, MATCH(A488&amp;B488, 'Podium Target Times'!$A:$A&amp;'Podium Target Times'!$B:$B, 0))
</f>
        <v/>
      </c>
      <c r="L488" s="12">
        <f>L489+G489</f>
        <v/>
      </c>
      <c r="M488" s="43">
        <f>IF(L488&lt;60, TEXT(L488,"0.00"), IF(L488&lt;600, TEXT(L488/86400,"m:ss.00"), TEXT(L488/86400,"mm:ss.00")))
</f>
        <v/>
      </c>
      <c r="N488" s="14">
        <f>IFERROR(__xludf.DUMMYFUNCTION("LET(
  gen,$A488, ev,$B488, t,$M488,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)"),621.0)</f>
        <v/>
      </c>
      <c r="O488" s="65" t="n"/>
      <c r="P488" s="69">
        <f>A489</f>
        <v/>
      </c>
      <c r="Q488" s="65">
        <f>B489</f>
        <v/>
      </c>
      <c r="R488" s="69">
        <f>C489</f>
        <v/>
      </c>
      <c r="S488" s="58">
        <f>M489</f>
        <v/>
      </c>
      <c r="T488" s="69">
        <f>N489</f>
        <v/>
      </c>
      <c r="U488" s="65" t="n"/>
      <c r="V488" s="65" t="n"/>
      <c r="W488" s="65" t="n"/>
    </row>
    <row r="489">
      <c r="A489" s="17" t="inlineStr">
        <is>
          <t>M</t>
        </is>
      </c>
      <c r="B489" s="18" t="inlineStr">
        <is>
          <t>200 Fly</t>
        </is>
      </c>
      <c r="C489" s="18" t="n">
        <v>17</v>
      </c>
      <c r="D489" s="18" t="n">
        <v>1</v>
      </c>
      <c r="E489" s="46" t="inlineStr">
        <is>
          <t>1:59.88</t>
        </is>
      </c>
      <c r="F489" s="21">
        <f>IFERROR(__xludf.DUMMYFUNCTION("IF(
  REGEXMATCH(E489, "":""),
  60*VALUE(INDEX(SPLIT(E489, "":""),1,1)) + VALUE(INDEX(SPLIT(E489, "":""),1,2)),
  VALUE(E489)
)"),119.88)</f>
        <v/>
      </c>
      <c r="G489" s="21">
        <f>average(F487-F489,F488-F490)</f>
        <v/>
      </c>
      <c r="H489" s="21" t="n">
        <v>3.260000000000005</v>
      </c>
      <c r="I489" s="211">
        <f>C486</f>
        <v/>
      </c>
      <c r="J489" s="211">
        <f>C503</f>
        <v/>
      </c>
      <c r="K489" s="60">
        <f t="array" ref="K489">INDEX('Podium Target Times'!$C:$C, MATCH(A489&amp;B489, 'Podium Target Times'!$A:$A&amp;'Podium Target Times'!$B:$B, 0))
</f>
        <v/>
      </c>
      <c r="L489" s="24">
        <f>L492+G492</f>
        <v/>
      </c>
      <c r="M489" s="60">
        <f>IF(L489&lt;60, TEXT(L489,"0.00"), IF(L489&lt;600, TEXT(L489/86400,"m:ss.00"), TEXT(L489/86400,"mm:ss.00")))
</f>
        <v/>
      </c>
      <c r="N489" s="25">
        <f>IFERROR(__xludf.DUMMYFUNCTION("LET(
  gen,$A489, ev,$B489, t,$M489,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
      </c>
      <c r="O489" s="65" t="n"/>
      <c r="P489" s="69">
        <f>A492</f>
        <v/>
      </c>
      <c r="Q489" s="65">
        <f>B492</f>
        <v/>
      </c>
      <c r="R489" s="69">
        <f>C492</f>
        <v/>
      </c>
      <c r="S489" s="58">
        <f>M492</f>
        <v/>
      </c>
      <c r="T489" s="69">
        <f>N492</f>
        <v/>
      </c>
      <c r="U489" s="65" t="n"/>
      <c r="V489" s="65" t="n"/>
      <c r="W489" s="65" t="n"/>
    </row>
    <row r="490">
      <c r="A490" s="8" t="inlineStr">
        <is>
          <t>M</t>
        </is>
      </c>
      <c r="B490" s="9" t="inlineStr">
        <is>
          <t>200 Fly</t>
        </is>
      </c>
      <c r="C490" s="9" t="n">
        <v>17</v>
      </c>
      <c r="D490" s="9" t="n">
        <v>2</v>
      </c>
      <c r="E490" s="41" t="inlineStr">
        <is>
          <t>2:01.37</t>
        </is>
      </c>
      <c r="F490" s="35">
        <f>IFERROR(__xludf.DUMMYFUNCTION("IF(
  REGEXMATCH(E490, "":""),
  60*VALUE(INDEX(SPLIT(E490, "":""),1,1)) + VALUE(INDEX(SPLIT(E490, "":""),1,2)),
  VALUE(E490)
)"),121.37)</f>
        <v/>
      </c>
      <c r="G490" s="35">
        <f>average(F487-F489,F488-F490)</f>
        <v/>
      </c>
      <c r="H490" s="35" t="n">
        <v>3.260000000000005</v>
      </c>
      <c r="I490" s="215">
        <f>C486</f>
        <v/>
      </c>
      <c r="J490" s="215">
        <f>C503</f>
        <v/>
      </c>
      <c r="K490" s="43">
        <f t="array" ref="K490">INDEX('Podium Target Times'!$C:$C, MATCH(A490&amp;B490, 'Podium Target Times'!$A:$A&amp;'Podium Target Times'!$B:$B, 0))
</f>
        <v/>
      </c>
      <c r="L490" s="12">
        <f>L492+G492</f>
        <v/>
      </c>
      <c r="M490" s="43">
        <f>IF(L490&lt;60, TEXT(L490,"0.00"), IF(L490&lt;600, TEXT(L490/86400,"m:ss.00"), TEXT(L490/86400,"mm:ss.00")))
</f>
        <v/>
      </c>
      <c r="N490" s="14">
        <f>IFERROR(__xludf.DUMMYFUNCTION("LET(
  gen,$A490, ev,$B490, t,$M490,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
      </c>
      <c r="O490" s="65" t="n"/>
      <c r="P490" s="69">
        <f>A495</f>
        <v/>
      </c>
      <c r="Q490" s="65">
        <f>B495</f>
        <v/>
      </c>
      <c r="R490" s="69">
        <f>C495</f>
        <v/>
      </c>
      <c r="S490" s="58">
        <f>M495</f>
        <v/>
      </c>
      <c r="T490" s="69">
        <f>N495</f>
        <v/>
      </c>
      <c r="U490" s="65" t="n"/>
      <c r="V490" s="65" t="n"/>
      <c r="W490" s="65" t="n"/>
    </row>
    <row r="491">
      <c r="A491" s="17" t="inlineStr">
        <is>
          <t>M</t>
        </is>
      </c>
      <c r="B491" s="18" t="inlineStr">
        <is>
          <t>200 Fly</t>
        </is>
      </c>
      <c r="C491" s="18" t="n">
        <v>17</v>
      </c>
      <c r="D491" s="18" t="n">
        <v>3</v>
      </c>
      <c r="E491" s="46" t="inlineStr">
        <is>
          <t>2:01.77</t>
        </is>
      </c>
      <c r="F491" s="21">
        <f>IFERROR(__xludf.DUMMYFUNCTION("IF(
  REGEXMATCH(E491, "":""),
  60*VALUE(INDEX(SPLIT(E491, "":""),1,1)) + VALUE(INDEX(SPLIT(E491, "":""),1,2)),
  VALUE(E491)
)"),121.77)</f>
        <v/>
      </c>
      <c r="G491" s="21">
        <f>average(F487-F489,F488-F490)</f>
        <v/>
      </c>
      <c r="H491" s="21" t="n">
        <v>3.260000000000005</v>
      </c>
      <c r="I491" s="211">
        <f>C486</f>
        <v/>
      </c>
      <c r="J491" s="211">
        <f>C503</f>
        <v/>
      </c>
      <c r="K491" s="60">
        <f t="array" ref="K491">INDEX('Podium Target Times'!$C:$C, MATCH(A491&amp;B491, 'Podium Target Times'!$A:$A&amp;'Podium Target Times'!$B:$B, 0))
</f>
        <v/>
      </c>
      <c r="L491" s="24">
        <f>L492+G492</f>
        <v/>
      </c>
      <c r="M491" s="60">
        <f>IF(L491&lt;60, TEXT(L491,"0.00"), IF(L491&lt;600, TEXT(L491/86400,"m:ss.00"), TEXT(L491/86400,"mm:ss.00")))
</f>
        <v/>
      </c>
      <c r="N491" s="25">
        <f>IFERROR(__xludf.DUMMYFUNCTION("LET(
  gen,$A491, ev,$B491, t,$M491,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
      </c>
      <c r="O491" s="65" t="n"/>
      <c r="P491" s="69">
        <f>A498</f>
        <v/>
      </c>
      <c r="Q491" s="65">
        <f>B498</f>
        <v/>
      </c>
      <c r="R491" s="69">
        <f>C498</f>
        <v/>
      </c>
      <c r="S491" s="58">
        <f>M498</f>
        <v/>
      </c>
      <c r="T491" s="69">
        <f>N498</f>
        <v/>
      </c>
      <c r="U491" s="65" t="n"/>
      <c r="V491" s="65" t="n"/>
      <c r="W491" s="65" t="n"/>
    </row>
    <row r="492">
      <c r="A492" s="8" t="inlineStr">
        <is>
          <t>M</t>
        </is>
      </c>
      <c r="B492" s="9" t="inlineStr">
        <is>
          <t>200 Fly</t>
        </is>
      </c>
      <c r="C492" s="9" t="n">
        <v>18</v>
      </c>
      <c r="D492" s="9" t="n">
        <v>1</v>
      </c>
      <c r="E492" s="41" t="inlineStr">
        <is>
          <t>1:57.84</t>
        </is>
      </c>
      <c r="F492" s="35">
        <f>IFERROR(__xludf.DUMMYFUNCTION("IF(
  REGEXMATCH(E492, "":""),
  60*VALUE(INDEX(SPLIT(E492, "":""),1,1)) + VALUE(INDEX(SPLIT(E492, "":""),1,2)),
  VALUE(E492)
)"),117.84)</f>
        <v/>
      </c>
      <c r="G492" s="35">
        <f>average(F489-F492,F490-F493,F491-F494)</f>
        <v/>
      </c>
      <c r="H492" s="35" t="n">
        <v>2.059999999999997</v>
      </c>
      <c r="I492" s="215">
        <f>C486</f>
        <v/>
      </c>
      <c r="J492" s="215">
        <f>C503</f>
        <v/>
      </c>
      <c r="K492" s="43">
        <f t="array" ref="K492">INDEX('Podium Target Times'!$C:$C, MATCH(A492&amp;B492, 'Podium Target Times'!$A:$A&amp;'Podium Target Times'!$B:$B, 0))
</f>
        <v/>
      </c>
      <c r="L492" s="12">
        <f>L495+G495</f>
        <v/>
      </c>
      <c r="M492" s="43">
        <f>IF(L492&lt;60, TEXT(L492,"0.00"), IF(L492&lt;600, TEXT(L492/86400,"m:ss.00"), TEXT(L492/86400,"mm:ss.00")))
</f>
        <v/>
      </c>
      <c r="N492" s="14">
        <f>IFERROR(__xludf.DUMMYFUNCTION("LET(
  gen,$A492, ev,$B492, t,$M492,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
      </c>
      <c r="O492" s="65" t="n"/>
      <c r="P492" s="69">
        <f>A500</f>
        <v/>
      </c>
      <c r="Q492" s="65">
        <f>B500</f>
        <v/>
      </c>
      <c r="R492" s="69">
        <f>C500</f>
        <v/>
      </c>
      <c r="S492" s="58">
        <f>M500</f>
        <v/>
      </c>
      <c r="T492" s="69">
        <f>N500</f>
        <v/>
      </c>
      <c r="U492" s="65" t="n"/>
      <c r="V492" s="65" t="n"/>
      <c r="W492" s="65" t="n"/>
    </row>
    <row r="493">
      <c r="A493" s="17" t="inlineStr">
        <is>
          <t>M</t>
        </is>
      </c>
      <c r="B493" s="18" t="inlineStr">
        <is>
          <t>200 Fly</t>
        </is>
      </c>
      <c r="C493" s="18" t="n">
        <v>18</v>
      </c>
      <c r="D493" s="18" t="n">
        <v>2</v>
      </c>
      <c r="E493" s="46" t="inlineStr">
        <is>
          <t>1:59.30</t>
        </is>
      </c>
      <c r="F493" s="21">
        <f>IFERROR(__xludf.DUMMYFUNCTION("IF(
  REGEXMATCH(E493, "":""),
  60*VALUE(INDEX(SPLIT(E493, "":""),1,1)) + VALUE(INDEX(SPLIT(E493, "":""),1,2)),
  VALUE(E493)
)"),119.3)</f>
        <v/>
      </c>
      <c r="G493" s="21">
        <f>average(F489-F492,F490-F493,F491-F494)</f>
        <v/>
      </c>
      <c r="H493" s="21" t="n">
        <v>2.059999999999997</v>
      </c>
      <c r="I493" s="211">
        <f>C486</f>
        <v/>
      </c>
      <c r="J493" s="211">
        <f>C503</f>
        <v/>
      </c>
      <c r="K493" s="60">
        <f t="array" ref="K493">INDEX('Podium Target Times'!$C:$C, MATCH(A493&amp;B493, 'Podium Target Times'!$A:$A&amp;'Podium Target Times'!$B:$B, 0))
</f>
        <v/>
      </c>
      <c r="L493" s="24">
        <f>L495+G495</f>
        <v/>
      </c>
      <c r="M493" s="60">
        <f>IF(L493&lt;60, TEXT(L493,"0.00"), IF(L493&lt;600, TEXT(L493/86400,"m:ss.00"), TEXT(L493/86400,"mm:ss.00")))
</f>
        <v/>
      </c>
      <c r="N493" s="25">
        <f>IFERROR(__xludf.DUMMYFUNCTION("LET(
  gen,$A493, ev,$B493, t,$M493,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
      </c>
      <c r="O493" s="65" t="n"/>
      <c r="P493" s="69">
        <f>A502</f>
        <v/>
      </c>
      <c r="Q493" s="65">
        <f>B502</f>
        <v/>
      </c>
      <c r="R493" s="69">
        <f>C502</f>
        <v/>
      </c>
      <c r="S493" s="58">
        <f>M502</f>
        <v/>
      </c>
      <c r="T493" s="69">
        <f>N502</f>
        <v/>
      </c>
      <c r="U493" s="65" t="n"/>
      <c r="V493" s="65" t="n"/>
      <c r="W493" s="65" t="n"/>
    </row>
    <row r="494">
      <c r="A494" s="8" t="inlineStr">
        <is>
          <t>M</t>
        </is>
      </c>
      <c r="B494" s="9" t="inlineStr">
        <is>
          <t>200 Fly</t>
        </is>
      </c>
      <c r="C494" s="9" t="n">
        <v>18</v>
      </c>
      <c r="D494" s="9" t="n">
        <v>3</v>
      </c>
      <c r="E494" s="41" t="inlineStr">
        <is>
          <t>1:59.70</t>
        </is>
      </c>
      <c r="F494" s="35">
        <f>IFERROR(__xludf.DUMMYFUNCTION("IF(
  REGEXMATCH(E494, "":""),
  60*VALUE(INDEX(SPLIT(E494, "":""),1,1)) + VALUE(INDEX(SPLIT(E494, "":""),1,2)),
  VALUE(E494)
)"),119.7)</f>
        <v/>
      </c>
      <c r="G494" s="35">
        <f>average(F489-F492,F490-F493,F491-F494)</f>
        <v/>
      </c>
      <c r="H494" s="35" t="n">
        <v>2.059999999999997</v>
      </c>
      <c r="I494" s="215">
        <f>C486</f>
        <v/>
      </c>
      <c r="J494" s="215">
        <f>C503</f>
        <v/>
      </c>
      <c r="K494" s="43">
        <f t="array" ref="K494">INDEX('Podium Target Times'!$C:$C, MATCH(A494&amp;B494, 'Podium Target Times'!$A:$A&amp;'Podium Target Times'!$B:$B, 0))
</f>
        <v/>
      </c>
      <c r="L494" s="12">
        <f>L495+G495</f>
        <v/>
      </c>
      <c r="M494" s="43">
        <f>IF(L494&lt;60, TEXT(L494,"0.00"), IF(L494&lt;600, TEXT(L494/86400,"m:ss.00"), TEXT(L494/86400,"mm:ss.00")))
</f>
        <v/>
      </c>
      <c r="N494" s="14">
        <f>IFERROR(__xludf.DUMMYFUNCTION("LET(
  gen,$A494, ev,$B494, t,$M494,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)"),705.0)</f>
        <v/>
      </c>
      <c r="O494" s="65" t="n"/>
      <c r="P494" s="69">
        <f>A503</f>
        <v/>
      </c>
      <c r="Q494" s="65">
        <f>B503</f>
        <v/>
      </c>
      <c r="R494" s="69">
        <f>C503</f>
        <v/>
      </c>
      <c r="S494" s="58">
        <f>M503</f>
        <v/>
      </c>
      <c r="T494" s="69">
        <f>N503</f>
        <v/>
      </c>
      <c r="U494" s="65" t="n">
        <v>765</v>
      </c>
      <c r="V494" s="65" t="n"/>
      <c r="W494" s="65" t="n"/>
    </row>
    <row r="495">
      <c r="A495" s="17" t="inlineStr">
        <is>
          <t>M</t>
        </is>
      </c>
      <c r="B495" s="18" t="inlineStr">
        <is>
          <t>200 Fly</t>
        </is>
      </c>
      <c r="C495" s="18" t="n">
        <v>19</v>
      </c>
      <c r="D495" s="18" t="n">
        <v>1</v>
      </c>
      <c r="E495" s="46" t="inlineStr">
        <is>
          <t>1:56.51</t>
        </is>
      </c>
      <c r="F495" s="21">
        <f>IFERROR(__xludf.DUMMYFUNCTION("IF(
  REGEXMATCH(E495, "":""),
  60*VALUE(INDEX(SPLIT(E495, "":""),1,1)) + VALUE(INDEX(SPLIT(E495, "":""),1,2)),
  VALUE(E495)
)"),116.50999999999999)</f>
        <v/>
      </c>
      <c r="G495" s="21">
        <f>average(F492-F495,F493-F496,F494-F497)</f>
        <v/>
      </c>
      <c r="H495" s="21" t="n">
        <v>1.343333333333338</v>
      </c>
      <c r="I495" s="211">
        <f>C486</f>
        <v/>
      </c>
      <c r="J495" s="211">
        <f>C503</f>
        <v/>
      </c>
      <c r="K495" s="60">
        <f t="array" ref="K495">INDEX('Podium Target Times'!$C:$C, MATCH(A495&amp;B495, 'Podium Target Times'!$A:$A&amp;'Podium Target Times'!$B:$B, 0))
</f>
        <v/>
      </c>
      <c r="L495" s="24">
        <f>L498+G498</f>
        <v/>
      </c>
      <c r="M495" s="60">
        <f>IF(L495&lt;60, TEXT(L495,"0.00"), IF(L495&lt;600, TEXT(L495/86400,"m:ss.00"), TEXT(L495/86400,"mm:ss.00")))
</f>
        <v/>
      </c>
      <c r="N495" s="25">
        <f>IFERROR(__xludf.DUMMYFUNCTION("LET(
  gen,$A495, ev,$B495, t,$M495,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O495" s="65" t="n"/>
      <c r="P495" s="69">
        <f>P494</f>
        <v/>
      </c>
      <c r="Q495" s="65">
        <f>Q494</f>
        <v/>
      </c>
      <c r="R495" s="69">
        <f>R494+1</f>
        <v/>
      </c>
      <c r="S495" s="58">
        <f>M504</f>
        <v/>
      </c>
      <c r="T495" s="69">
        <f>N504</f>
        <v/>
      </c>
      <c r="U495" s="65" t="n"/>
      <c r="V495" s="65" t="n"/>
      <c r="W495" s="65" t="n"/>
    </row>
    <row r="496">
      <c r="A496" s="8" t="inlineStr">
        <is>
          <t>M</t>
        </is>
      </c>
      <c r="B496" s="9" t="inlineStr">
        <is>
          <t>200 Fly</t>
        </is>
      </c>
      <c r="C496" s="9" t="n">
        <v>19</v>
      </c>
      <c r="D496" s="9" t="n">
        <v>2</v>
      </c>
      <c r="E496" s="41" t="inlineStr">
        <is>
          <t>1:57.95</t>
        </is>
      </c>
      <c r="F496" s="35">
        <f>IFERROR(__xludf.DUMMYFUNCTION("IF(
  REGEXMATCH(E496, "":""),
  60*VALUE(INDEX(SPLIT(E496, "":""),1,1)) + VALUE(INDEX(SPLIT(E496, "":""),1,2)),
  VALUE(E496)
)"),117.95)</f>
        <v/>
      </c>
      <c r="G496" s="35">
        <f>average(F492-F495,F493-F496,F494-F497)</f>
        <v/>
      </c>
      <c r="H496" s="35" t="n">
        <v>1.343333333333338</v>
      </c>
      <c r="I496" s="215">
        <f>C486</f>
        <v/>
      </c>
      <c r="J496" s="215">
        <f>C503</f>
        <v/>
      </c>
      <c r="K496" s="43">
        <f t="array" ref="K496">INDEX('Podium Target Times'!$C:$C, MATCH(A496&amp;B496, 'Podium Target Times'!$A:$A&amp;'Podium Target Times'!$B:$B, 0))
</f>
        <v/>
      </c>
      <c r="L496" s="12">
        <f>L498+G498</f>
        <v/>
      </c>
      <c r="M496" s="43">
        <f>IF(L496&lt;60, TEXT(L496,"0.00"), IF(L496&lt;600, TEXT(L496/86400,"m:ss.00"), TEXT(L496/86400,"mm:ss.00")))
</f>
        <v/>
      </c>
      <c r="N496" s="14">
        <f>IFERROR(__xludf.DUMMYFUNCTION("LET(
  gen,$A496, ev,$B496, t,$M496,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O496" s="65" t="n"/>
      <c r="P496" s="69">
        <f>P495</f>
        <v/>
      </c>
      <c r="Q496" s="65">
        <f>Q495</f>
        <v/>
      </c>
      <c r="R496" s="69">
        <f>R495+1</f>
        <v/>
      </c>
      <c r="S496" s="58">
        <f>M505</f>
        <v/>
      </c>
      <c r="T496" s="69">
        <f>N505</f>
        <v/>
      </c>
      <c r="U496" s="65" t="n"/>
      <c r="V496" s="65" t="n"/>
      <c r="W496" s="65" t="n"/>
    </row>
    <row r="497">
      <c r="A497" s="17" t="inlineStr">
        <is>
          <t>M</t>
        </is>
      </c>
      <c r="B497" s="18" t="inlineStr">
        <is>
          <t>200 Fly</t>
        </is>
      </c>
      <c r="C497" s="18" t="n">
        <v>19</v>
      </c>
      <c r="D497" s="18" t="n">
        <v>3</v>
      </c>
      <c r="E497" s="46" t="inlineStr">
        <is>
          <t>1:58.35</t>
        </is>
      </c>
      <c r="F497" s="21">
        <f>IFERROR(__xludf.DUMMYFUNCTION("IF(
  REGEXMATCH(E497, "":""),
  60*VALUE(INDEX(SPLIT(E497, "":""),1,1)) + VALUE(INDEX(SPLIT(E497, "":""),1,2)),
  VALUE(E497)
)"),118.35)</f>
        <v/>
      </c>
      <c r="G497" s="21">
        <f>average(F492-F495,F493-F496,F494-F497)</f>
        <v/>
      </c>
      <c r="H497" s="21" t="n">
        <v>1.343333333333338</v>
      </c>
      <c r="I497" s="211">
        <f>C486</f>
        <v/>
      </c>
      <c r="J497" s="211">
        <f>C503</f>
        <v/>
      </c>
      <c r="K497" s="60">
        <f t="array" ref="K497">INDEX('Podium Target Times'!$C:$C, MATCH(A497&amp;B497, 'Podium Target Times'!$A:$A&amp;'Podium Target Times'!$B:$B, 0))
</f>
        <v/>
      </c>
      <c r="L497" s="24">
        <f>L498+G498</f>
        <v/>
      </c>
      <c r="M497" s="60">
        <f>IF(L497&lt;60, TEXT(L497,"0.00"), IF(L497&lt;600, TEXT(L497/86400,"m:ss.00"), TEXT(L497/86400,"mm:ss.00")))
</f>
        <v/>
      </c>
      <c r="N497" s="25">
        <f>IFERROR(__xludf.DUMMYFUNCTION("LET(
  gen,$A497, ev,$B497, t,$M497,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O497" s="65" t="n"/>
      <c r="P497" s="69" t="n"/>
      <c r="Q497" s="65" t="n"/>
      <c r="R497" s="69" t="n"/>
      <c r="S497" s="58" t="n"/>
      <c r="T497" s="69" t="n"/>
      <c r="U497" s="65" t="n"/>
      <c r="V497" s="65" t="n"/>
      <c r="W497" s="65" t="n"/>
    </row>
    <row r="498">
      <c r="A498" s="8" t="inlineStr">
        <is>
          <t>M</t>
        </is>
      </c>
      <c r="B498" s="9" t="inlineStr">
        <is>
          <t>200 Fly</t>
        </is>
      </c>
      <c r="C498" s="9" t="n">
        <v>20</v>
      </c>
      <c r="D498" s="9" t="n">
        <v>2</v>
      </c>
      <c r="E498" s="41" t="inlineStr">
        <is>
          <t>1:57.06</t>
        </is>
      </c>
      <c r="F498" s="35">
        <f>IFERROR(__xludf.DUMMYFUNCTION("IF(
  REGEXMATCH(E498, "":""),
  60*VALUE(INDEX(SPLIT(E498, "":""),1,1)) + VALUE(INDEX(SPLIT(E498, "":""),1,2)),
  VALUE(E498)
)"),117.06)</f>
        <v/>
      </c>
      <c r="G498" s="35">
        <f>average(F496-F498,F497-F499)</f>
        <v/>
      </c>
      <c r="H498" s="35" t="n">
        <v>0.894999999999996</v>
      </c>
      <c r="I498" s="215">
        <f>C486</f>
        <v/>
      </c>
      <c r="J498" s="215">
        <f>C503</f>
        <v/>
      </c>
      <c r="K498" s="43">
        <f t="array" ref="K498">INDEX('Podium Target Times'!$C:$C, MATCH(A498&amp;B498, 'Podium Target Times'!$A:$A&amp;'Podium Target Times'!$B:$B, 0))
</f>
        <v/>
      </c>
      <c r="L498" s="12">
        <f>L500+G500</f>
        <v/>
      </c>
      <c r="M498" s="43">
        <f>IF(L498&lt;60, TEXT(L498,"0.00"), IF(L498&lt;600, TEXT(L498/86400,"m:ss.00"), TEXT(L498/86400,"mm:ss.00")))
</f>
        <v/>
      </c>
      <c r="N498" s="14">
        <f>IFERROR(__xludf.DUMMYFUNCTION("LET(
  gen,$A498, ev,$B498, t,$M498,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O498" s="65" t="n"/>
      <c r="P498" s="69" t="n"/>
      <c r="Q498" s="65" t="n"/>
      <c r="R498" s="69" t="n"/>
      <c r="S498" s="58" t="n"/>
      <c r="T498" s="69" t="n"/>
      <c r="U498" s="65" t="n"/>
      <c r="V498" s="65" t="n"/>
      <c r="W498" s="65" t="n"/>
    </row>
    <row r="499">
      <c r="A499" s="17" t="inlineStr">
        <is>
          <t>M</t>
        </is>
      </c>
      <c r="B499" s="18" t="inlineStr">
        <is>
          <t>200 Fly</t>
        </is>
      </c>
      <c r="C499" s="18" t="n">
        <v>20</v>
      </c>
      <c r="D499" s="18" t="n">
        <v>3</v>
      </c>
      <c r="E499" s="46" t="inlineStr">
        <is>
          <t>1:57.45</t>
        </is>
      </c>
      <c r="F499" s="21">
        <f>IFERROR(__xludf.DUMMYFUNCTION("IF(
  REGEXMATCH(E499, "":""),
  60*VALUE(INDEX(SPLIT(E499, "":""),1,1)) + VALUE(INDEX(SPLIT(E499, "":""),1,2)),
  VALUE(E499)
)"),117.45)</f>
        <v/>
      </c>
      <c r="G499" s="21">
        <f>average(F496-F498,F497-F499)</f>
        <v/>
      </c>
      <c r="H499" s="21" t="n">
        <v>0.894999999999996</v>
      </c>
      <c r="I499" s="211">
        <f>C486</f>
        <v/>
      </c>
      <c r="J499" s="211">
        <f>C503</f>
        <v/>
      </c>
      <c r="K499" s="60">
        <f t="array" ref="K499">INDEX('Podium Target Times'!$C:$C, MATCH(A499&amp;B499, 'Podium Target Times'!$A:$A&amp;'Podium Target Times'!$B:$B, 0))
</f>
        <v/>
      </c>
      <c r="L499" s="24">
        <f>L500+G500</f>
        <v/>
      </c>
      <c r="M499" s="60">
        <f>IF(L499&lt;60, TEXT(L499,"0.00"), IF(L499&lt;600, TEXT(L499/86400,"m:ss.00"), TEXT(L499/86400,"mm:ss.00")))
</f>
        <v/>
      </c>
      <c r="N499" s="25">
        <f>IFERROR(__xludf.DUMMYFUNCTION("LET(
  gen,$A499, ev,$B499, t,$M499,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O499" s="65" t="n"/>
      <c r="P499" s="69" t="n"/>
      <c r="Q499" s="65" t="n"/>
      <c r="R499" s="69" t="n"/>
      <c r="S499" s="58" t="n"/>
      <c r="T499" s="69" t="n"/>
      <c r="U499" s="65" t="n"/>
      <c r="V499" s="65" t="n"/>
      <c r="W499" s="65" t="n"/>
    </row>
    <row r="500">
      <c r="A500" s="8" t="inlineStr">
        <is>
          <t>M</t>
        </is>
      </c>
      <c r="B500" s="9" t="inlineStr">
        <is>
          <t>200 Fly</t>
        </is>
      </c>
      <c r="C500" s="9" t="n">
        <v>21</v>
      </c>
      <c r="D500" s="9" t="n">
        <v>2</v>
      </c>
      <c r="E500" s="41" t="inlineStr">
        <is>
          <t>1:56.51</t>
        </is>
      </c>
      <c r="F500" s="35">
        <f>IFERROR(__xludf.DUMMYFUNCTION("IF(
  REGEXMATCH(E500, "":""),
  60*VALUE(INDEX(SPLIT(E500, "":""),1,1)) + VALUE(INDEX(SPLIT(E500, "":""),1,2)),
  VALUE(E500)
)"),116.50999999999999)</f>
        <v/>
      </c>
      <c r="G500" s="35">
        <f>average(F498-F500,F499-F501)</f>
        <v/>
      </c>
      <c r="H500" s="35" t="n">
        <v>0.5500000000000043</v>
      </c>
      <c r="I500" s="215">
        <f>C486</f>
        <v/>
      </c>
      <c r="J500" s="215">
        <f>C503</f>
        <v/>
      </c>
      <c r="K500" s="43">
        <f t="array" ref="K500">INDEX('Podium Target Times'!$C:$C, MATCH(A500&amp;B500, 'Podium Target Times'!$A:$A&amp;'Podium Target Times'!$B:$B, 0))
</f>
        <v/>
      </c>
      <c r="L500" s="12">
        <f>L502+G502</f>
        <v/>
      </c>
      <c r="M500" s="43">
        <f>IF(L500&lt;60, TEXT(L500,"0.00"), IF(L500&lt;600, TEXT(L500/86400,"m:ss.00"), TEXT(L500/86400,"mm:ss.00")))
</f>
        <v/>
      </c>
      <c r="N500" s="14">
        <f>IFERROR(__xludf.DUMMYFUNCTION("LET(
  gen,$A500, ev,$B500, t,$M500,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O500" s="65" t="n"/>
      <c r="P500" s="69" t="n"/>
      <c r="Q500" s="65" t="n"/>
      <c r="R500" s="69" t="n"/>
      <c r="S500" s="58" t="n"/>
      <c r="T500" s="69" t="n"/>
      <c r="U500" s="65" t="n"/>
      <c r="V500" s="65" t="n"/>
      <c r="W500" s="65" t="n"/>
    </row>
    <row r="501">
      <c r="A501" s="17" t="inlineStr">
        <is>
          <t>M</t>
        </is>
      </c>
      <c r="B501" s="18" t="inlineStr">
        <is>
          <t>200 Fly</t>
        </is>
      </c>
      <c r="C501" s="18" t="n">
        <v>21</v>
      </c>
      <c r="D501" s="18" t="n">
        <v>3</v>
      </c>
      <c r="E501" s="46" t="inlineStr">
        <is>
          <t>1:56.90</t>
        </is>
      </c>
      <c r="F501" s="21">
        <f>IFERROR(__xludf.DUMMYFUNCTION("IF(
  REGEXMATCH(E501, "":""),
  60*VALUE(INDEX(SPLIT(E501, "":""),1,1)) + VALUE(INDEX(SPLIT(E501, "":""),1,2)),
  VALUE(E501)
)"),116.9)</f>
        <v/>
      </c>
      <c r="G501" s="21">
        <f>average(F498-F500,F499-F501)</f>
        <v/>
      </c>
      <c r="H501" s="21" t="n">
        <v>0.5500000000000043</v>
      </c>
      <c r="I501" s="211">
        <f>C486</f>
        <v/>
      </c>
      <c r="J501" s="211">
        <f>C503</f>
        <v/>
      </c>
      <c r="K501" s="60">
        <f t="array" ref="K501">INDEX('Podium Target Times'!$C:$C, MATCH(A501&amp;B501, 'Podium Target Times'!$A:$A&amp;'Podium Target Times'!$B:$B, 0))
</f>
        <v/>
      </c>
      <c r="L501" s="24">
        <f>L502+G502</f>
        <v/>
      </c>
      <c r="M501" s="60">
        <f>IF(L501&lt;60, TEXT(L501,"0.00"), IF(L501&lt;600, TEXT(L501/86400,"m:ss.00"), TEXT(L501/86400,"mm:ss.00")))
</f>
        <v/>
      </c>
      <c r="N501" s="25">
        <f>IFERROR(__xludf.DUMMYFUNCTION("LET(
  gen,$A501, ev,$B501, t,$M501,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O501" s="65" t="n"/>
      <c r="P501" s="69" t="n"/>
      <c r="Q501" s="65" t="n"/>
      <c r="R501" s="69" t="n"/>
      <c r="S501" s="58" t="n"/>
      <c r="T501" s="69" t="n"/>
      <c r="U501" s="65" t="n"/>
      <c r="V501" s="65" t="n"/>
      <c r="W501" s="65" t="n"/>
    </row>
    <row r="502">
      <c r="A502" s="8" t="inlineStr">
        <is>
          <t>M</t>
        </is>
      </c>
      <c r="B502" s="9" t="inlineStr">
        <is>
          <t>200 Fly</t>
        </is>
      </c>
      <c r="C502" s="9" t="n">
        <v>22</v>
      </c>
      <c r="D502" s="9" t="n">
        <v>3</v>
      </c>
      <c r="E502" s="41" t="inlineStr">
        <is>
          <t>1:56.60</t>
        </is>
      </c>
      <c r="F502" s="35">
        <f>IFERROR(__xludf.DUMMYFUNCTION("IF(
  REGEXMATCH(E502, "":""),
  60*VALUE(INDEX(SPLIT(E502, "":""),1,1)) + VALUE(INDEX(SPLIT(E502, "":""),1,2)),
  VALUE(E502)
)"),116.6)</f>
        <v/>
      </c>
      <c r="G502" s="35">
        <f>F501-F502</f>
        <v/>
      </c>
      <c r="H502" s="35" t="n">
        <v>0.3000000000000114</v>
      </c>
      <c r="I502" s="215">
        <f>C486</f>
        <v/>
      </c>
      <c r="J502" s="215">
        <f>C503</f>
        <v/>
      </c>
      <c r="K502" s="43">
        <f t="array" ref="K502">INDEX('Podium Target Times'!$C:$C, MATCH(A502&amp;B502, 'Podium Target Times'!$A:$A&amp;'Podium Target Times'!$B:$B, 0))
</f>
        <v/>
      </c>
      <c r="L502" s="12">
        <f>L503+G503</f>
        <v/>
      </c>
      <c r="M502" s="43">
        <f>IF(L502&lt;60, TEXT(L502,"0.00"), IF(L502&lt;600, TEXT(L502/86400,"m:ss.00"), TEXT(L502/86400,"mm:ss.00")))
</f>
        <v/>
      </c>
      <c r="N502" s="14">
        <f>IFERROR(__xludf.DUMMYFUNCTION("LET(
  gen,$A502, ev,$B502, t,$M502,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O502" s="65" t="n"/>
      <c r="P502" s="69" t="n"/>
      <c r="Q502" s="65" t="n"/>
      <c r="R502" s="69" t="n"/>
      <c r="S502" s="58" t="n"/>
      <c r="T502" s="69" t="n"/>
      <c r="U502" s="65" t="n"/>
      <c r="V502" s="65" t="n"/>
      <c r="W502" s="65" t="n"/>
    </row>
    <row r="503">
      <c r="A503" s="17" t="inlineStr">
        <is>
          <t>M</t>
        </is>
      </c>
      <c r="B503" s="18" t="inlineStr">
        <is>
          <t>200 Fly</t>
        </is>
      </c>
      <c r="C503" s="18" t="n">
        <v>23</v>
      </c>
      <c r="D503" s="18" t="n">
        <v>3</v>
      </c>
      <c r="E503" s="46" t="inlineStr">
        <is>
          <t>1:56.51</t>
        </is>
      </c>
      <c r="F503" s="21">
        <f>IFERROR(__xludf.DUMMYFUNCTION("IF(
  REGEXMATCH(E503, "":""),
  60*VALUE(INDEX(SPLIT(E503, "":""),1,1)) + VALUE(INDEX(SPLIT(E503, "":""),1,2)),
  VALUE(E503)
)"),116.50999999999999)</f>
        <v/>
      </c>
      <c r="G503" s="21">
        <f>F502-F503</f>
        <v/>
      </c>
      <c r="H503" s="21" t="n">
        <v>0.09000000000000341</v>
      </c>
      <c r="I503" s="211">
        <f>C486</f>
        <v/>
      </c>
      <c r="J503" s="211">
        <f>C503</f>
        <v/>
      </c>
      <c r="K503" s="60">
        <f t="array" ref="K503">INDEX('Podium Target Times'!$C:$C, MATCH(A503&amp;B503, 'Podium Target Times'!$A:$A&amp;'Podium Target Times'!$B:$B, 0))
</f>
        <v/>
      </c>
      <c r="L503" s="21">
        <f>G503+L504</f>
        <v/>
      </c>
      <c r="M503" s="60">
        <f>IF(L503&lt;60, TEXT(L503,"0.00"), IF(L503&lt;600, TEXT(L503/86400,"m:ss.00"), TEXT(L503/86400,"mm:ss.00")))
</f>
        <v/>
      </c>
      <c r="N503" s="25">
        <f>IFERROR(__xludf.DUMMYFUNCTION("LET(
  gen,$A503, ev,$B503, t,$M503,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
      </c>
      <c r="O503" s="65" t="n"/>
      <c r="P503" s="69" t="n"/>
      <c r="Q503" s="65" t="n"/>
      <c r="R503" s="69" t="n"/>
      <c r="S503" s="58" t="n"/>
      <c r="T503" s="69" t="n"/>
      <c r="U503" s="65" t="n"/>
      <c r="V503" s="65" t="n"/>
      <c r="W503" s="65" t="n"/>
    </row>
    <row r="504">
      <c r="A504" s="8" t="inlineStr">
        <is>
          <t>M</t>
        </is>
      </c>
      <c r="B504" s="9" t="inlineStr">
        <is>
          <t>200 Fly</t>
        </is>
      </c>
      <c r="C504" s="9" t="n">
        <v>24</v>
      </c>
      <c r="D504" s="9" t="n"/>
      <c r="E504" s="41" t="n"/>
      <c r="F504" s="35">
        <f>IFERROR(__xludf.DUMMYFUNCTION("IF(
  REGEXMATCH(E504, "":""),
  60*VALUE(INDEX(SPLIT(E504, "":""),1,1)) + VALUE(INDEX(SPLIT(E504, "":""),1,2)),
  VALUE(E504)
)"),0.0)</f>
        <v/>
      </c>
      <c r="G504" s="12" t="n"/>
      <c r="H504" s="12" t="n"/>
      <c r="I504" s="43">
        <f>C486</f>
        <v/>
      </c>
      <c r="J504" s="43">
        <f>C503</f>
        <v/>
      </c>
      <c r="K504" s="43">
        <f t="array" ref="K504">INDEX('Podium Target Times'!$C:$C, MATCH(A504&amp;B504, 'Podium Target Times'!$A:$A&amp;'Podium Target Times'!$B:$B, 0))
</f>
        <v/>
      </c>
      <c r="L504" s="12">
        <f>G503+L505</f>
        <v/>
      </c>
      <c r="M504" s="43">
        <f>IF(L504&lt;60, TEXT(L504,"0.00"), IF(L504&lt;600, TEXT(L504/86400,"m:ss.00"), TEXT(L504/86400,"mm:ss.00")))
</f>
        <v/>
      </c>
      <c r="N504" s="14">
        <f>IFERROR(__xludf.DUMMYFUNCTION("LET(
  gen,$A504, ev,$B504, t,$M504,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
      </c>
      <c r="O504" s="65" t="n"/>
      <c r="P504" s="69" t="n"/>
      <c r="Q504" s="65" t="n"/>
      <c r="R504" s="69" t="n"/>
      <c r="S504" s="58" t="n"/>
      <c r="T504" s="69" t="n"/>
      <c r="U504" s="65" t="n"/>
      <c r="V504" s="65" t="n"/>
      <c r="W504" s="65" t="n"/>
    </row>
    <row r="505">
      <c r="A505" s="17" t="inlineStr">
        <is>
          <t>M</t>
        </is>
      </c>
      <c r="B505" s="18" t="inlineStr">
        <is>
          <t>200 Fly</t>
        </is>
      </c>
      <c r="C505" s="18" t="n">
        <v>25</v>
      </c>
      <c r="D505" s="18" t="n"/>
      <c r="E505" s="46" t="n"/>
      <c r="F505" s="21">
        <f>IFERROR(__xludf.DUMMYFUNCTION("IF(
  REGEXMATCH(E505, "":""),
  60*VALUE(INDEX(SPLIT(E505, "":""),1,1)) + VALUE(INDEX(SPLIT(E505, "":""),1,2)),
  VALUE(E505)
)"),0.0)</f>
        <v/>
      </c>
      <c r="G505" s="24" t="n"/>
      <c r="H505" s="24" t="n"/>
      <c r="I505" s="60">
        <f>C486</f>
        <v/>
      </c>
      <c r="J505" s="60">
        <f>C503</f>
        <v/>
      </c>
      <c r="K505" s="60">
        <f t="array" ref="K505">INDEX('Podium Target Times'!$C:$C, MATCH(A505&amp;B505, 'Podium Target Times'!$A:$A&amp;'Podium Target Times'!$B:$B, 0))
</f>
        <v/>
      </c>
      <c r="L505" s="60">
        <f>K505</f>
        <v/>
      </c>
      <c r="M505" s="60">
        <f>IF(L505&lt;60, TEXT(L505,"0.00"), IF(L505&lt;600, TEXT(L505/86400,"m:ss.00"), TEXT(L505/86400,"mm:ss.00")))
</f>
        <v/>
      </c>
      <c r="N505" s="25">
        <f>IFERROR(__xludf.DUMMYFUNCTION("LET(
  gen,$A505, ev,$B505, t,$M505,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O505" s="65" t="n"/>
      <c r="P505" s="69" t="n"/>
      <c r="Q505" s="65" t="n"/>
      <c r="R505" s="69" t="n"/>
      <c r="S505" s="58" t="n"/>
      <c r="T505" s="69" t="n"/>
      <c r="U505" s="65" t="n"/>
      <c r="V505" s="65" t="n"/>
      <c r="W505" s="65" t="n"/>
    </row>
    <row r="506">
      <c r="A506" s="8" t="inlineStr">
        <is>
          <t>M</t>
        </is>
      </c>
      <c r="B506" s="9" t="inlineStr">
        <is>
          <t>200 Free</t>
        </is>
      </c>
      <c r="C506" s="9" t="n">
        <v>15</v>
      </c>
      <c r="D506" s="9" t="n">
        <v>1</v>
      </c>
      <c r="E506" s="41" t="inlineStr">
        <is>
          <t>1:56.62</t>
        </is>
      </c>
      <c r="F506" s="35">
        <f>IFERROR(__xludf.DUMMYFUNCTION("IF(
  REGEXMATCH(E506, "":""),
  60*VALUE(INDEX(SPLIT(E506, "":""),1,1)) + VALUE(INDEX(SPLIT(E506, "":""),1,2)),
  VALUE(E506)
)"),116.62)</f>
        <v/>
      </c>
      <c r="G506" s="12" t="n">
        <v>0</v>
      </c>
      <c r="H506" s="12" t="n">
        <v>0</v>
      </c>
      <c r="I506" s="43">
        <f>C506</f>
        <v/>
      </c>
      <c r="J506" s="43">
        <f>C523</f>
        <v/>
      </c>
      <c r="K506" s="43">
        <f t="array" ref="K506">INDEX('Podium Target Times'!$C:$C, MATCH(A506&amp;B506, 'Podium Target Times'!$A:$A&amp;'Podium Target Times'!$B:$B, 0))
</f>
        <v/>
      </c>
      <c r="L506" s="12">
        <f>L507+G507</f>
        <v/>
      </c>
      <c r="M506" s="43">
        <f>IF(L506&lt;60, TEXT(L506,"0.00"), IF(L506&lt;600, TEXT(L506/86400,"m:ss.00"), TEXT(L506/86400,"mm:ss.00")))
</f>
        <v/>
      </c>
      <c r="N506" s="14">
        <f>IFERROR(__xludf.DUMMYFUNCTION("LET(
  gen,$A506, ev,$B506, t,$M506,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)"),588.0)</f>
        <v/>
      </c>
      <c r="O506" s="65" t="n"/>
      <c r="P506" s="69">
        <f>A506</f>
        <v/>
      </c>
      <c r="Q506" s="65">
        <f>B506</f>
        <v/>
      </c>
      <c r="R506" s="69">
        <f>C506</f>
        <v/>
      </c>
      <c r="S506" s="58">
        <f>M506</f>
        <v/>
      </c>
      <c r="T506" s="69">
        <f>N506</f>
        <v/>
      </c>
      <c r="U506" s="65" t="n">
        <v>594</v>
      </c>
      <c r="V506" s="65" t="n"/>
      <c r="W506" s="65" t="n"/>
    </row>
    <row r="507">
      <c r="A507" s="17" t="inlineStr">
        <is>
          <t>M</t>
        </is>
      </c>
      <c r="B507" s="18" t="inlineStr">
        <is>
          <t>200 Free</t>
        </is>
      </c>
      <c r="C507" s="18" t="n">
        <v>16</v>
      </c>
      <c r="D507" s="18" t="n">
        <v>1</v>
      </c>
      <c r="E507" s="46" t="inlineStr">
        <is>
          <t>1:52.75</t>
        </is>
      </c>
      <c r="F507" s="21">
        <f>IFERROR(__xludf.DUMMYFUNCTION("IF(
  REGEXMATCH(E507, "":""),
  60*VALUE(INDEX(SPLIT(E507, "":""),1,1)) + VALUE(INDEX(SPLIT(E507, "":""),1,2)),
  VALUE(E507)
)"),112.75)</f>
        <v/>
      </c>
      <c r="G507" s="21">
        <f>F506-F507</f>
        <v/>
      </c>
      <c r="H507" s="21" t="n">
        <v>3.870000000000005</v>
      </c>
      <c r="I507" s="211">
        <f>C506</f>
        <v/>
      </c>
      <c r="J507" s="211">
        <f>C523</f>
        <v/>
      </c>
      <c r="K507" s="60">
        <f t="array" ref="K507">INDEX('Podium Target Times'!$C:$C, MATCH(A507&amp;B507, 'Podium Target Times'!$A:$A&amp;'Podium Target Times'!$B:$B, 0))
</f>
        <v/>
      </c>
      <c r="L507" s="24">
        <f>L509+G509</f>
        <v/>
      </c>
      <c r="M507" s="60">
        <f>IF(L507&lt;60, TEXT(L507,"0.00"), IF(L507&lt;600, TEXT(L507/86400,"m:ss.00"), TEXT(L507/86400,"mm:ss.00")))
</f>
        <v/>
      </c>
      <c r="N507" s="25">
        <f>IFERROR(__xludf.DUMMYFUNCTION("LET(
  gen,$A507, ev,$B507, t,$M507,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)"),648.0)</f>
        <v/>
      </c>
      <c r="O507" s="65" t="n"/>
      <c r="P507" s="69">
        <f>A507</f>
        <v/>
      </c>
      <c r="Q507" s="65">
        <f>B507</f>
        <v/>
      </c>
      <c r="R507" s="69">
        <f>C507</f>
        <v/>
      </c>
      <c r="S507" s="58">
        <f>M507</f>
        <v/>
      </c>
      <c r="T507" s="69">
        <f>N507</f>
        <v/>
      </c>
      <c r="U507" s="65" t="n"/>
      <c r="V507" s="65" t="n"/>
      <c r="W507" s="65" t="n"/>
    </row>
    <row r="508">
      <c r="A508" s="8" t="inlineStr">
        <is>
          <t>M</t>
        </is>
      </c>
      <c r="B508" s="9" t="inlineStr">
        <is>
          <t>200 Free</t>
        </is>
      </c>
      <c r="C508" s="9" t="n">
        <v>16</v>
      </c>
      <c r="D508" s="9" t="n">
        <v>2</v>
      </c>
      <c r="E508" s="41" t="inlineStr">
        <is>
          <t>1:54.33</t>
        </is>
      </c>
      <c r="F508" s="35">
        <f>IFERROR(__xludf.DUMMYFUNCTION("IF(
  REGEXMATCH(E508, "":""),
  60*VALUE(INDEX(SPLIT(E508, "":""),1,1)) + VALUE(INDEX(SPLIT(E508, "":""),1,2)),
  VALUE(E508)
)"),114.33)</f>
        <v/>
      </c>
      <c r="G508" s="35">
        <f>F506-F507</f>
        <v/>
      </c>
      <c r="H508" s="35" t="n">
        <v>3.870000000000005</v>
      </c>
      <c r="I508" s="215">
        <f>C506</f>
        <v/>
      </c>
      <c r="J508" s="215">
        <f>C523</f>
        <v/>
      </c>
      <c r="K508" s="43">
        <f t="array" ref="K508">INDEX('Podium Target Times'!$C:$C, MATCH(A508&amp;B508, 'Podium Target Times'!$A:$A&amp;'Podium Target Times'!$B:$B, 0))
</f>
        <v/>
      </c>
      <c r="L508" s="12">
        <f>L509+G509</f>
        <v/>
      </c>
      <c r="M508" s="43">
        <f>IF(L508&lt;60, TEXT(L508,"0.00"), IF(L508&lt;600, TEXT(L508/86400,"m:ss.00"), TEXT(L508/86400,"mm:ss.00")))
</f>
        <v/>
      </c>
      <c r="N508" s="14">
        <f>IFERROR(__xludf.DUMMYFUNCTION("LET(
  gen,$A508, ev,$B508, t,$M508,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)"),648.0)</f>
        <v/>
      </c>
      <c r="O508" s="65" t="n"/>
      <c r="P508" s="69">
        <f>A509</f>
        <v/>
      </c>
      <c r="Q508" s="65">
        <f>B509</f>
        <v/>
      </c>
      <c r="R508" s="69">
        <f>C509</f>
        <v/>
      </c>
      <c r="S508" s="58">
        <f>M509</f>
        <v/>
      </c>
      <c r="T508" s="69">
        <f>N509</f>
        <v/>
      </c>
      <c r="U508" s="65" t="n"/>
      <c r="V508" s="65" t="n"/>
      <c r="W508" s="65" t="n"/>
    </row>
    <row r="509">
      <c r="A509" s="17" t="inlineStr">
        <is>
          <t>M</t>
        </is>
      </c>
      <c r="B509" s="18" t="inlineStr">
        <is>
          <t>200 Free</t>
        </is>
      </c>
      <c r="C509" s="18" t="n">
        <v>17</v>
      </c>
      <c r="D509" s="18" t="n">
        <v>1</v>
      </c>
      <c r="E509" s="46" t="inlineStr">
        <is>
          <t>1:49.93</t>
        </is>
      </c>
      <c r="F509" s="21">
        <f>IFERROR(__xludf.DUMMYFUNCTION("IF(
  REGEXMATCH(E509, "":""),
  60*VALUE(INDEX(SPLIT(E509, "":""),1,1)) + VALUE(INDEX(SPLIT(E509, "":""),1,2)),
  VALUE(E509)
)"),109.93)</f>
        <v/>
      </c>
      <c r="G509" s="21">
        <f>average(F507-F509,F508-F510)</f>
        <v/>
      </c>
      <c r="H509" s="21" t="n">
        <v>2.839999999999996</v>
      </c>
      <c r="I509" s="211">
        <f>C506</f>
        <v/>
      </c>
      <c r="J509" s="211">
        <f>C523</f>
        <v/>
      </c>
      <c r="K509" s="60">
        <f t="array" ref="K509">INDEX('Podium Target Times'!$C:$C, MATCH(A509&amp;B509, 'Podium Target Times'!$A:$A&amp;'Podium Target Times'!$B:$B, 0))
</f>
        <v/>
      </c>
      <c r="L509" s="24">
        <f>L512+G512</f>
        <v/>
      </c>
      <c r="M509" s="60">
        <f>IF(L509&lt;60, TEXT(L509,"0.00"), IF(L509&lt;600, TEXT(L509/86400,"m:ss.00"), TEXT(L509/86400,"mm:ss.00")))
</f>
        <v/>
      </c>
      <c r="N509" s="25">
        <f>IFERROR(__xludf.DUMMYFUNCTION("LET(
  gen,$A509, ev,$B509, t,$M509,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
      </c>
      <c r="O509" s="65" t="n"/>
      <c r="P509" s="69">
        <f>A512</f>
        <v/>
      </c>
      <c r="Q509" s="65">
        <f>B512</f>
        <v/>
      </c>
      <c r="R509" s="69">
        <f>C512</f>
        <v/>
      </c>
      <c r="S509" s="58">
        <f>M512</f>
        <v/>
      </c>
      <c r="T509" s="69">
        <f>N512</f>
        <v/>
      </c>
      <c r="U509" s="65" t="n"/>
      <c r="V509" s="65" t="n"/>
      <c r="W509" s="65" t="n"/>
    </row>
    <row r="510">
      <c r="A510" s="8" t="inlineStr">
        <is>
          <t>M</t>
        </is>
      </c>
      <c r="B510" s="9" t="inlineStr">
        <is>
          <t>200 Free</t>
        </is>
      </c>
      <c r="C510" s="9" t="n">
        <v>17</v>
      </c>
      <c r="D510" s="9" t="n">
        <v>2</v>
      </c>
      <c r="E510" s="41" t="inlineStr">
        <is>
          <t>1:51.47</t>
        </is>
      </c>
      <c r="F510" s="35">
        <f>IFERROR(__xludf.DUMMYFUNCTION("IF(
  REGEXMATCH(E510, "":""),
  60*VALUE(INDEX(SPLIT(E510, "":""),1,1)) + VALUE(INDEX(SPLIT(E510, "":""),1,2)),
  VALUE(E510)
)"),111.47)</f>
        <v/>
      </c>
      <c r="G510" s="35">
        <f>average(F507-F509,F508-F510)</f>
        <v/>
      </c>
      <c r="H510" s="35" t="n">
        <v>2.839999999999996</v>
      </c>
      <c r="I510" s="215">
        <f>C506</f>
        <v/>
      </c>
      <c r="J510" s="215">
        <f>C523</f>
        <v/>
      </c>
      <c r="K510" s="43">
        <f t="array" ref="K510">INDEX('Podium Target Times'!$C:$C, MATCH(A510&amp;B510, 'Podium Target Times'!$A:$A&amp;'Podium Target Times'!$B:$B, 0))
</f>
        <v/>
      </c>
      <c r="L510" s="12">
        <f>L512+G512</f>
        <v/>
      </c>
      <c r="M510" s="43">
        <f>IF(L510&lt;60, TEXT(L510,"0.00"), IF(L510&lt;600, TEXT(L510/86400,"m:ss.00"), TEXT(L510/86400,"mm:ss.00")))
</f>
        <v/>
      </c>
      <c r="N510" s="14">
        <f>IFERROR(__xludf.DUMMYFUNCTION("LET(
  gen,$A510, ev,$B510, t,$M510,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
      </c>
      <c r="O510" s="65" t="n"/>
      <c r="P510" s="69">
        <f>A515</f>
        <v/>
      </c>
      <c r="Q510" s="65">
        <f>B515</f>
        <v/>
      </c>
      <c r="R510" s="69">
        <f>C515</f>
        <v/>
      </c>
      <c r="S510" s="58">
        <f>M515</f>
        <v/>
      </c>
      <c r="T510" s="69">
        <f>N515</f>
        <v/>
      </c>
      <c r="U510" s="65" t="n"/>
      <c r="V510" s="65" t="n"/>
      <c r="W510" s="65" t="n"/>
    </row>
    <row r="511">
      <c r="A511" s="17" t="inlineStr">
        <is>
          <t>M</t>
        </is>
      </c>
      <c r="B511" s="18" t="inlineStr">
        <is>
          <t>200 Free</t>
        </is>
      </c>
      <c r="C511" s="18" t="n">
        <v>17</v>
      </c>
      <c r="D511" s="18" t="n">
        <v>3</v>
      </c>
      <c r="E511" s="46" t="inlineStr">
        <is>
          <t>1:52.04</t>
        </is>
      </c>
      <c r="F511" s="21">
        <f>IFERROR(__xludf.DUMMYFUNCTION("IF(
  REGEXMATCH(E511, "":""),
  60*VALUE(INDEX(SPLIT(E511, "":""),1,1)) + VALUE(INDEX(SPLIT(E511, "":""),1,2)),
  VALUE(E511)
)"),112.03999999999999)</f>
        <v/>
      </c>
      <c r="G511" s="21">
        <f>average(F507-F509,F508-F510)</f>
        <v/>
      </c>
      <c r="H511" s="21" t="n">
        <v>2.839999999999996</v>
      </c>
      <c r="I511" s="211">
        <f>C506</f>
        <v/>
      </c>
      <c r="J511" s="211">
        <f>C523</f>
        <v/>
      </c>
      <c r="K511" s="60">
        <f t="array" ref="K511">INDEX('Podium Target Times'!$C:$C, MATCH(A511&amp;B511, 'Podium Target Times'!$A:$A&amp;'Podium Target Times'!$B:$B, 0))
</f>
        <v/>
      </c>
      <c r="L511" s="24">
        <f>L512+G512</f>
        <v/>
      </c>
      <c r="M511" s="60">
        <f>IF(L511&lt;60, TEXT(L511,"0.00"), IF(L511&lt;600, TEXT(L511/86400,"m:ss.00"), TEXT(L511/86400,"mm:ss.00")))
</f>
        <v/>
      </c>
      <c r="N511" s="25">
        <f>IFERROR(__xludf.DUMMYFUNCTION("LET(
  gen,$A511, ev,$B511, t,$M511,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
      </c>
      <c r="O511" s="65" t="n"/>
      <c r="P511" s="69">
        <f>A518</f>
        <v/>
      </c>
      <c r="Q511" s="65">
        <f>B518</f>
        <v/>
      </c>
      <c r="R511" s="69">
        <f>C518</f>
        <v/>
      </c>
      <c r="S511" s="58">
        <f>M518</f>
        <v/>
      </c>
      <c r="T511" s="69">
        <f>N518</f>
        <v/>
      </c>
      <c r="U511" s="65" t="n"/>
      <c r="V511" s="65" t="n"/>
      <c r="W511" s="65" t="n"/>
    </row>
    <row r="512">
      <c r="A512" s="8" t="inlineStr">
        <is>
          <t>M</t>
        </is>
      </c>
      <c r="B512" s="9" t="inlineStr">
        <is>
          <t>200 Free</t>
        </is>
      </c>
      <c r="C512" s="9" t="n">
        <v>18</v>
      </c>
      <c r="D512" s="9" t="n">
        <v>1</v>
      </c>
      <c r="E512" s="41" t="inlineStr">
        <is>
          <t>1:48.02</t>
        </is>
      </c>
      <c r="F512" s="35">
        <f>IFERROR(__xludf.DUMMYFUNCTION("IF(
  REGEXMATCH(E512, "":""),
  60*VALUE(INDEX(SPLIT(E512, "":""),1,1)) + VALUE(INDEX(SPLIT(E512, "":""),1,2)),
  VALUE(E512)
)"),108.02000000000001)</f>
        <v/>
      </c>
      <c r="G512" s="35">
        <f>average(F509-F512,F510-F513,F511-F514)</f>
        <v/>
      </c>
      <c r="H512" s="35" t="n">
        <v>1.933333333333328</v>
      </c>
      <c r="I512" s="215">
        <f>C506</f>
        <v/>
      </c>
      <c r="J512" s="215">
        <f>C523</f>
        <v/>
      </c>
      <c r="K512" s="43">
        <f t="array" ref="K512">INDEX('Podium Target Times'!$C:$C, MATCH(A512&amp;B512, 'Podium Target Times'!$A:$A&amp;'Podium Target Times'!$B:$B, 0))
</f>
        <v/>
      </c>
      <c r="L512" s="12">
        <f>L515+G515</f>
        <v/>
      </c>
      <c r="M512" s="43">
        <f>IF(L512&lt;60, TEXT(L512,"0.00"), IF(L512&lt;600, TEXT(L512/86400,"m:ss.00"), TEXT(L512/86400,"mm:ss.00")))
</f>
        <v/>
      </c>
      <c r="N512" s="14">
        <f>IFERROR(__xludf.DUMMYFUNCTION("LET(
  gen,$A512, ev,$B512, t,$M512,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512" s="65" t="n"/>
      <c r="P512" s="69">
        <f>A520</f>
        <v/>
      </c>
      <c r="Q512" s="65">
        <f>B520</f>
        <v/>
      </c>
      <c r="R512" s="69">
        <f>C520</f>
        <v/>
      </c>
      <c r="S512" s="58">
        <f>M520</f>
        <v/>
      </c>
      <c r="T512" s="69">
        <f>N520</f>
        <v/>
      </c>
      <c r="U512" s="65" t="n"/>
      <c r="V512" s="65" t="n"/>
      <c r="W512" s="65" t="n"/>
    </row>
    <row r="513">
      <c r="A513" s="17" t="inlineStr">
        <is>
          <t>M</t>
        </is>
      </c>
      <c r="B513" s="18" t="inlineStr">
        <is>
          <t>200 Free</t>
        </is>
      </c>
      <c r="C513" s="18" t="n">
        <v>18</v>
      </c>
      <c r="D513" s="18" t="n">
        <v>2</v>
      </c>
      <c r="E513" s="46" t="inlineStr">
        <is>
          <t>1:49.53</t>
        </is>
      </c>
      <c r="F513" s="21">
        <f>IFERROR(__xludf.DUMMYFUNCTION("IF(
  REGEXMATCH(E513, "":""),
  60*VALUE(INDEX(SPLIT(E513, "":""),1,1)) + VALUE(INDEX(SPLIT(E513, "":""),1,2)),
  VALUE(E513)
)"),109.53)</f>
        <v/>
      </c>
      <c r="G513" s="21">
        <f>average(F509-F512,F510-F513,F511-F514)</f>
        <v/>
      </c>
      <c r="H513" s="21" t="n">
        <v>1.933333333333328</v>
      </c>
      <c r="I513" s="211">
        <f>C506</f>
        <v/>
      </c>
      <c r="J513" s="211">
        <f>C523</f>
        <v/>
      </c>
      <c r="K513" s="60">
        <f t="array" ref="K513">INDEX('Podium Target Times'!$C:$C, MATCH(A513&amp;B513, 'Podium Target Times'!$A:$A&amp;'Podium Target Times'!$B:$B, 0))
</f>
        <v/>
      </c>
      <c r="L513" s="24">
        <f>L515+G515</f>
        <v/>
      </c>
      <c r="M513" s="60">
        <f>IF(L513&lt;60, TEXT(L513,"0.00"), IF(L513&lt;600, TEXT(L513/86400,"m:ss.00"), TEXT(L513/86400,"mm:ss.00")))
</f>
        <v/>
      </c>
      <c r="N513" s="25">
        <f>IFERROR(__xludf.DUMMYFUNCTION("LET(
  gen,$A513, ev,$B513, t,$M513,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513" s="65" t="n"/>
      <c r="P513" s="69">
        <f>A522</f>
        <v/>
      </c>
      <c r="Q513" s="65">
        <f>B522</f>
        <v/>
      </c>
      <c r="R513" s="69">
        <f>C522</f>
        <v/>
      </c>
      <c r="S513" s="58">
        <f>M522</f>
        <v/>
      </c>
      <c r="T513" s="69">
        <f>N522</f>
        <v/>
      </c>
      <c r="U513" s="65" t="n"/>
      <c r="V513" s="65" t="n"/>
      <c r="W513" s="65" t="n"/>
    </row>
    <row r="514">
      <c r="A514" s="8" t="inlineStr">
        <is>
          <t>M</t>
        </is>
      </c>
      <c r="B514" s="9" t="inlineStr">
        <is>
          <t>200 Free</t>
        </is>
      </c>
      <c r="C514" s="9" t="n">
        <v>18</v>
      </c>
      <c r="D514" s="9" t="n">
        <v>3</v>
      </c>
      <c r="E514" s="41" t="inlineStr">
        <is>
          <t>1:50.09</t>
        </is>
      </c>
      <c r="F514" s="35">
        <f>IFERROR(__xludf.DUMMYFUNCTION("IF(
  REGEXMATCH(E514, "":""),
  60*VALUE(INDEX(SPLIT(E514, "":""),1,1)) + VALUE(INDEX(SPLIT(E514, "":""),1,2)),
  VALUE(E514)
)"),110.09)</f>
        <v/>
      </c>
      <c r="G514" s="35">
        <f>average(F509-F512,F510-F513,F511-F514)</f>
        <v/>
      </c>
      <c r="H514" s="35" t="n">
        <v>1.933333333333328</v>
      </c>
      <c r="I514" s="215">
        <f>C506</f>
        <v/>
      </c>
      <c r="J514" s="215">
        <f>C523</f>
        <v/>
      </c>
      <c r="K514" s="43">
        <f t="array" ref="K514">INDEX('Podium Target Times'!$C:$C, MATCH(A514&amp;B514, 'Podium Target Times'!$A:$A&amp;'Podium Target Times'!$B:$B, 0))
</f>
        <v/>
      </c>
      <c r="L514" s="12">
        <f>L515+G515</f>
        <v/>
      </c>
      <c r="M514" s="43">
        <f>IF(L514&lt;60, TEXT(L514,"0.00"), IF(L514&lt;600, TEXT(L514/86400,"m:ss.00"), TEXT(L514/86400,"mm:ss.00")))
</f>
        <v/>
      </c>
      <c r="N514" s="14">
        <f>IFERROR(__xludf.DUMMYFUNCTION("LET(
  gen,$A514, ev,$B514, t,$M514,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O514" s="65" t="n"/>
      <c r="P514" s="69">
        <f>A523</f>
        <v/>
      </c>
      <c r="Q514" s="65">
        <f>B523</f>
        <v/>
      </c>
      <c r="R514" s="69">
        <f>C523</f>
        <v/>
      </c>
      <c r="S514" s="58">
        <f>M523</f>
        <v/>
      </c>
      <c r="T514" s="69">
        <f>N523</f>
        <v/>
      </c>
      <c r="U514" s="65" t="n">
        <v>812</v>
      </c>
      <c r="V514" s="65" t="n"/>
      <c r="W514" s="65" t="n"/>
    </row>
    <row r="515">
      <c r="A515" s="17" t="inlineStr">
        <is>
          <t>M</t>
        </is>
      </c>
      <c r="B515" s="18" t="inlineStr">
        <is>
          <t>200 Free</t>
        </is>
      </c>
      <c r="C515" s="18" t="n">
        <v>19</v>
      </c>
      <c r="D515" s="18" t="n">
        <v>1</v>
      </c>
      <c r="E515" s="46" t="inlineStr">
        <is>
          <t>1:46.70</t>
        </is>
      </c>
      <c r="F515" s="21">
        <f>IFERROR(__xludf.DUMMYFUNCTION("IF(
  REGEXMATCH(E515, "":""),
  60*VALUE(INDEX(SPLIT(E515, "":""),1,1)) + VALUE(INDEX(SPLIT(E515, "":""),1,2)),
  VALUE(E515)
)"),106.7)</f>
        <v/>
      </c>
      <c r="G515" s="21">
        <f>average(F512-F515,F513-F516,F514-F517)</f>
        <v/>
      </c>
      <c r="H515" s="21" t="n">
        <v>1.330000000000003</v>
      </c>
      <c r="I515" s="211">
        <f>C506</f>
        <v/>
      </c>
      <c r="J515" s="211">
        <f>C523</f>
        <v/>
      </c>
      <c r="K515" s="60">
        <f t="array" ref="K515">INDEX('Podium Target Times'!$C:$C, MATCH(A515&amp;B515, 'Podium Target Times'!$A:$A&amp;'Podium Target Times'!$B:$B, 0))
</f>
        <v/>
      </c>
      <c r="L515" s="24">
        <f>L518+G518</f>
        <v/>
      </c>
      <c r="M515" s="60">
        <f>IF(L515&lt;60, TEXT(L515,"0.00"), IF(L515&lt;600, TEXT(L515/86400,"m:ss.00"), TEXT(L515/86400,"mm:ss.00")))
</f>
        <v/>
      </c>
      <c r="N515" s="25">
        <f>IFERROR(__xludf.DUMMYFUNCTION("LET(
  gen,$A515, ev,$B515, t,$M515,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
      </c>
      <c r="O515" s="65" t="n"/>
      <c r="P515" s="69">
        <f>P514</f>
        <v/>
      </c>
      <c r="Q515" s="65">
        <f>Q514</f>
        <v/>
      </c>
      <c r="R515" s="69">
        <f>R514+1</f>
        <v/>
      </c>
      <c r="S515" s="58">
        <f>M524</f>
        <v/>
      </c>
      <c r="T515" s="69">
        <f>N524</f>
        <v/>
      </c>
      <c r="U515" s="65" t="n"/>
      <c r="V515" s="65" t="n"/>
      <c r="W515" s="65" t="n"/>
    </row>
    <row r="516">
      <c r="A516" s="8" t="inlineStr">
        <is>
          <t>M</t>
        </is>
      </c>
      <c r="B516" s="9" t="inlineStr">
        <is>
          <t>200 Free</t>
        </is>
      </c>
      <c r="C516" s="9" t="n">
        <v>19</v>
      </c>
      <c r="D516" s="9" t="n">
        <v>2</v>
      </c>
      <c r="E516" s="41" t="inlineStr">
        <is>
          <t>1:48.20</t>
        </is>
      </c>
      <c r="F516" s="35">
        <f>IFERROR(__xludf.DUMMYFUNCTION("IF(
  REGEXMATCH(E516, "":""),
  60*VALUE(INDEX(SPLIT(E516, "":""),1,1)) + VALUE(INDEX(SPLIT(E516, "":""),1,2)),
  VALUE(E516)
)"),108.2)</f>
        <v/>
      </c>
      <c r="G516" s="35">
        <f>average(F512-F515,F513-F516,F514-F517)</f>
        <v/>
      </c>
      <c r="H516" s="35" t="n">
        <v>1.330000000000003</v>
      </c>
      <c r="I516" s="215">
        <f>C506</f>
        <v/>
      </c>
      <c r="J516" s="215">
        <f>C523</f>
        <v/>
      </c>
      <c r="K516" s="43">
        <f t="array" ref="K516">INDEX('Podium Target Times'!$C:$C, MATCH(A516&amp;B516, 'Podium Target Times'!$A:$A&amp;'Podium Target Times'!$B:$B, 0))
</f>
        <v/>
      </c>
      <c r="L516" s="12">
        <f>L518+G518</f>
        <v/>
      </c>
      <c r="M516" s="43">
        <f>IF(L516&lt;60, TEXT(L516,"0.00"), IF(L516&lt;600, TEXT(L516/86400,"m:ss.00"), TEXT(L516/86400,"mm:ss.00")))
</f>
        <v/>
      </c>
      <c r="N516" s="14">
        <f>IFERROR(__xludf.DUMMYFUNCTION("LET(
  gen,$A516, ev,$B516, t,$M516,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
      </c>
      <c r="O516" s="65" t="n"/>
      <c r="P516" s="69">
        <f>P515</f>
        <v/>
      </c>
      <c r="Q516" s="65">
        <f>Q515</f>
        <v/>
      </c>
      <c r="R516" s="69">
        <f>R515+1</f>
        <v/>
      </c>
      <c r="S516" s="58">
        <f>M525</f>
        <v/>
      </c>
      <c r="T516" s="69">
        <f>N525</f>
        <v/>
      </c>
      <c r="U516" s="65" t="n"/>
      <c r="V516" s="65" t="n"/>
      <c r="W516" s="65" t="n"/>
    </row>
    <row r="517">
      <c r="A517" s="17" t="inlineStr">
        <is>
          <t>M</t>
        </is>
      </c>
      <c r="B517" s="18" t="inlineStr">
        <is>
          <t>200 Free</t>
        </is>
      </c>
      <c r="C517" s="18" t="n">
        <v>19</v>
      </c>
      <c r="D517" s="18" t="n">
        <v>3</v>
      </c>
      <c r="E517" s="46" t="inlineStr">
        <is>
          <t>1:48.75</t>
        </is>
      </c>
      <c r="F517" s="21">
        <f>IFERROR(__xludf.DUMMYFUNCTION("IF(
  REGEXMATCH(E517, "":""),
  60*VALUE(INDEX(SPLIT(E517, "":""),1,1)) + VALUE(INDEX(SPLIT(E517, "":""),1,2)),
  VALUE(E517)
)"),108.75)</f>
        <v/>
      </c>
      <c r="G517" s="21">
        <f>average(F512-F515,F513-F516,F514-F517)</f>
        <v/>
      </c>
      <c r="H517" s="21" t="n">
        <v>1.330000000000003</v>
      </c>
      <c r="I517" s="211">
        <f>C506</f>
        <v/>
      </c>
      <c r="J517" s="211">
        <f>C523</f>
        <v/>
      </c>
      <c r="K517" s="60">
        <f t="array" ref="K517">INDEX('Podium Target Times'!$C:$C, MATCH(A517&amp;B517, 'Podium Target Times'!$A:$A&amp;'Podium Target Times'!$B:$B, 0))
</f>
        <v/>
      </c>
      <c r="L517" s="24">
        <f>L518+G518</f>
        <v/>
      </c>
      <c r="M517" s="60">
        <f>IF(L517&lt;60, TEXT(L517,"0.00"), IF(L517&lt;600, TEXT(L517/86400,"m:ss.00"), TEXT(L517/86400,"mm:ss.00")))
</f>
        <v/>
      </c>
      <c r="N517" s="25">
        <f>IFERROR(__xludf.DUMMYFUNCTION("LET(
  gen,$A517, ev,$B517, t,$M517,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)"),761.0)</f>
        <v/>
      </c>
      <c r="O517" s="65" t="n"/>
      <c r="P517" s="69" t="n"/>
      <c r="Q517" s="65" t="n"/>
      <c r="R517" s="69" t="n"/>
      <c r="S517" s="58" t="n"/>
      <c r="T517" s="69" t="n"/>
      <c r="U517" s="65" t="n"/>
      <c r="V517" s="65" t="n"/>
      <c r="W517" s="65" t="n"/>
    </row>
    <row r="518">
      <c r="A518" s="8" t="inlineStr">
        <is>
          <t>M</t>
        </is>
      </c>
      <c r="B518" s="9" t="inlineStr">
        <is>
          <t>200 Free</t>
        </is>
      </c>
      <c r="C518" s="9" t="n">
        <v>20</v>
      </c>
      <c r="D518" s="9" t="n">
        <v>2</v>
      </c>
      <c r="E518" s="41" t="inlineStr">
        <is>
          <t>1:47.30</t>
        </is>
      </c>
      <c r="F518" s="35">
        <f>IFERROR(__xludf.DUMMYFUNCTION("IF(
  REGEXMATCH(E518, "":""),
  60*VALUE(INDEX(SPLIT(E518, "":""),1,1)) + VALUE(INDEX(SPLIT(E518, "":""),1,2)),
  VALUE(E518)
)"),107.3)</f>
        <v/>
      </c>
      <c r="G518" s="35">
        <f>average(F516-F518,F517-F519)</f>
        <v/>
      </c>
      <c r="H518" s="35" t="n">
        <v>0.9050000000000011</v>
      </c>
      <c r="I518" s="215">
        <f>C506</f>
        <v/>
      </c>
      <c r="J518" s="215">
        <f>C523</f>
        <v/>
      </c>
      <c r="K518" s="43">
        <f t="array" ref="K518">INDEX('Podium Target Times'!$C:$C, MATCH(A518&amp;B518, 'Podium Target Times'!$A:$A&amp;'Podium Target Times'!$B:$B, 0))
</f>
        <v/>
      </c>
      <c r="L518" s="12">
        <f>L520+G520</f>
        <v/>
      </c>
      <c r="M518" s="43">
        <f>IF(L518&lt;60, TEXT(L518,"0.00"), IF(L518&lt;600, TEXT(L518/86400,"m:ss.00"), TEXT(L518/86400,"mm:ss.00")))
</f>
        <v/>
      </c>
      <c r="N518" s="14">
        <f>IFERROR(__xludf.DUMMYFUNCTION("LET(
  gen,$A518, ev,$B518, t,$M518,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
      </c>
      <c r="O518" s="65" t="n"/>
      <c r="P518" s="69" t="n"/>
      <c r="Q518" s="65" t="n"/>
      <c r="R518" s="69" t="n"/>
      <c r="S518" s="58" t="n"/>
      <c r="T518" s="69" t="n"/>
      <c r="U518" s="65" t="n"/>
      <c r="V518" s="65" t="n"/>
      <c r="W518" s="65" t="n"/>
    </row>
    <row r="519">
      <c r="A519" s="17" t="inlineStr">
        <is>
          <t>M</t>
        </is>
      </c>
      <c r="B519" s="18" t="inlineStr">
        <is>
          <t>200 Free</t>
        </is>
      </c>
      <c r="C519" s="18" t="n">
        <v>20</v>
      </c>
      <c r="D519" s="18" t="n">
        <v>3</v>
      </c>
      <c r="E519" s="46" t="inlineStr">
        <is>
          <t>1:47.84</t>
        </is>
      </c>
      <c r="F519" s="21">
        <f>IFERROR(__xludf.DUMMYFUNCTION("IF(
  REGEXMATCH(E519, "":""),
  60*VALUE(INDEX(SPLIT(E519, "":""),1,1)) + VALUE(INDEX(SPLIT(E519, "":""),1,2)),
  VALUE(E519)
)"),107.84)</f>
        <v/>
      </c>
      <c r="G519" s="21">
        <f>average(F516-F518,F517-F519)</f>
        <v/>
      </c>
      <c r="H519" s="21" t="n">
        <v>0.9050000000000011</v>
      </c>
      <c r="I519" s="211">
        <f>C506</f>
        <v/>
      </c>
      <c r="J519" s="211">
        <f>C523</f>
        <v/>
      </c>
      <c r="K519" s="60">
        <f t="array" ref="K519">INDEX('Podium Target Times'!$C:$C, MATCH(A519&amp;B519, 'Podium Target Times'!$A:$A&amp;'Podium Target Times'!$B:$B, 0))
</f>
        <v/>
      </c>
      <c r="L519" s="24">
        <f>L520+G520</f>
        <v/>
      </c>
      <c r="M519" s="60">
        <f>IF(L519&lt;60, TEXT(L519,"0.00"), IF(L519&lt;600, TEXT(L519/86400,"m:ss.00"), TEXT(L519/86400,"mm:ss.00")))
</f>
        <v/>
      </c>
      <c r="N519" s="25">
        <f>IFERROR(__xludf.DUMMYFUNCTION("LET(
  gen,$A519, ev,$B519, t,$M519,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
      </c>
      <c r="O519" s="65" t="n"/>
      <c r="P519" s="69" t="n"/>
      <c r="Q519" s="65" t="n"/>
      <c r="R519" s="69" t="n"/>
      <c r="S519" s="58" t="n"/>
      <c r="T519" s="69" t="n"/>
      <c r="U519" s="65" t="n"/>
      <c r="V519" s="65" t="n"/>
      <c r="W519" s="65" t="n"/>
    </row>
    <row r="520">
      <c r="A520" s="8" t="inlineStr">
        <is>
          <t>M</t>
        </is>
      </c>
      <c r="B520" s="9" t="inlineStr">
        <is>
          <t>200 Free</t>
        </is>
      </c>
      <c r="C520" s="9" t="n">
        <v>21</v>
      </c>
      <c r="D520" s="9" t="n">
        <v>2</v>
      </c>
      <c r="E520" s="41" t="inlineStr">
        <is>
          <t>1:46.70</t>
        </is>
      </c>
      <c r="F520" s="35">
        <f>IFERROR(__xludf.DUMMYFUNCTION("IF(
  REGEXMATCH(E520, "":""),
  60*VALUE(INDEX(SPLIT(E520, "":""),1,1)) + VALUE(INDEX(SPLIT(E520, "":""),1,2)),
  VALUE(E520)
)"),106.7)</f>
        <v/>
      </c>
      <c r="G520" s="35">
        <f>average(F518-F520,F519-F521)</f>
        <v/>
      </c>
      <c r="H520" s="35" t="n">
        <v>0.5999999999999943</v>
      </c>
      <c r="I520" s="215">
        <f>C506</f>
        <v/>
      </c>
      <c r="J520" s="215">
        <f>C523</f>
        <v/>
      </c>
      <c r="K520" s="43">
        <f t="array" ref="K520">INDEX('Podium Target Times'!$C:$C, MATCH(A520&amp;B520, 'Podium Target Times'!$A:$A&amp;'Podium Target Times'!$B:$B, 0))
</f>
        <v/>
      </c>
      <c r="L520" s="12">
        <f>L522+G522</f>
        <v/>
      </c>
      <c r="M520" s="43">
        <f>IF(L520&lt;60, TEXT(L520,"0.00"), IF(L520&lt;600, TEXT(L520/86400,"m:ss.00"), TEXT(L520/86400,"mm:ss.00")))
</f>
        <v/>
      </c>
      <c r="N520" s="14">
        <f>IFERROR(__xludf.DUMMYFUNCTION("LET(
  gen,$A520, ev,$B520, t,$M520,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
      </c>
      <c r="O520" s="65" t="n"/>
      <c r="P520" s="69" t="n"/>
      <c r="Q520" s="65" t="n"/>
      <c r="R520" s="69" t="n"/>
      <c r="S520" s="58" t="n"/>
      <c r="T520" s="69" t="n"/>
      <c r="U520" s="65" t="n"/>
      <c r="V520" s="65" t="n"/>
      <c r="W520" s="65" t="n"/>
    </row>
    <row r="521">
      <c r="A521" s="17" t="inlineStr">
        <is>
          <t>M</t>
        </is>
      </c>
      <c r="B521" s="18" t="inlineStr">
        <is>
          <t>200 Free</t>
        </is>
      </c>
      <c r="C521" s="18" t="n">
        <v>21</v>
      </c>
      <c r="D521" s="18" t="n">
        <v>3</v>
      </c>
      <c r="E521" s="46" t="inlineStr">
        <is>
          <t>1:47.24</t>
        </is>
      </c>
      <c r="F521" s="21">
        <f>IFERROR(__xludf.DUMMYFUNCTION("IF(
  REGEXMATCH(E521, "":""),
  60*VALUE(INDEX(SPLIT(E521, "":""),1,1)) + VALUE(INDEX(SPLIT(E521, "":""),1,2)),
  VALUE(E521)
)"),107.24000000000001)</f>
        <v/>
      </c>
      <c r="G521" s="21">
        <f>average(F518-F520,F519-F521)</f>
        <v/>
      </c>
      <c r="H521" s="21" t="n">
        <v>0.5999999999999943</v>
      </c>
      <c r="I521" s="211">
        <f>C506</f>
        <v/>
      </c>
      <c r="J521" s="211">
        <f>C523</f>
        <v/>
      </c>
      <c r="K521" s="60">
        <f t="array" ref="K521">INDEX('Podium Target Times'!$C:$C, MATCH(A521&amp;B521, 'Podium Target Times'!$A:$A&amp;'Podium Target Times'!$B:$B, 0))
</f>
        <v/>
      </c>
      <c r="L521" s="24">
        <f>L522+G522</f>
        <v/>
      </c>
      <c r="M521" s="60">
        <f>IF(L521&lt;60, TEXT(L521,"0.00"), IF(L521&lt;600, TEXT(L521/86400,"m:ss.00"), TEXT(L521/86400,"mm:ss.00")))
</f>
        <v/>
      </c>
      <c r="N521" s="25">
        <f>IFERROR(__xludf.DUMMYFUNCTION("LET(
  gen,$A521, ev,$B521, t,$M521,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)"),792.0)</f>
        <v/>
      </c>
      <c r="O521" s="65" t="n"/>
      <c r="P521" s="69" t="n"/>
      <c r="Q521" s="65" t="n"/>
      <c r="R521" s="69" t="n"/>
      <c r="S521" s="58" t="n"/>
      <c r="T521" s="69" t="n"/>
      <c r="U521" s="65" t="n"/>
      <c r="V521" s="65" t="n"/>
      <c r="W521" s="65" t="n"/>
    </row>
    <row r="522">
      <c r="A522" s="8" t="inlineStr">
        <is>
          <t>M</t>
        </is>
      </c>
      <c r="B522" s="9" t="inlineStr">
        <is>
          <t>200 Free</t>
        </is>
      </c>
      <c r="C522" s="9" t="n">
        <v>22</v>
      </c>
      <c r="D522" s="9" t="n">
        <v>3</v>
      </c>
      <c r="E522" s="41" t="inlineStr">
        <is>
          <t>1:46.88</t>
        </is>
      </c>
      <c r="F522" s="35">
        <f>IFERROR(__xludf.DUMMYFUNCTION("IF(
  REGEXMATCH(E522, "":""),
  60*VALUE(INDEX(SPLIT(E522, "":""),1,1)) + VALUE(INDEX(SPLIT(E522, "":""),1,2)),
  VALUE(E522)
)"),106.88)</f>
        <v/>
      </c>
      <c r="G522" s="35">
        <f>F521-F522</f>
        <v/>
      </c>
      <c r="H522" s="35" t="n">
        <v>0.3600000000000136</v>
      </c>
      <c r="I522" s="215">
        <f>C506</f>
        <v/>
      </c>
      <c r="J522" s="215">
        <f>C523</f>
        <v/>
      </c>
      <c r="K522" s="43">
        <f t="array" ref="K522">INDEX('Podium Target Times'!$C:$C, MATCH(A522&amp;B522, 'Podium Target Times'!$A:$A&amp;'Podium Target Times'!$B:$B, 0))
</f>
        <v/>
      </c>
      <c r="L522" s="12">
        <f>L523+G523</f>
        <v/>
      </c>
      <c r="M522" s="43">
        <f>IF(L522&lt;60, TEXT(L522,"0.00"), IF(L522&lt;600, TEXT(L522/86400,"m:ss.00"), TEXT(L522/86400,"mm:ss.00")))
</f>
        <v/>
      </c>
      <c r="N522" s="14">
        <f>IFERROR(__xludf.DUMMYFUNCTION("LET(
  gen,$A522, ev,$B522, t,$M522,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)"),800.0)</f>
        <v/>
      </c>
      <c r="O522" s="65" t="n"/>
      <c r="P522" s="69" t="n"/>
      <c r="Q522" s="65" t="n"/>
      <c r="R522" s="69" t="n"/>
      <c r="S522" s="58" t="n"/>
      <c r="T522" s="69" t="n"/>
      <c r="U522" s="65" t="n"/>
      <c r="V522" s="65" t="n"/>
      <c r="W522" s="65" t="n"/>
    </row>
    <row r="523">
      <c r="A523" s="17" t="inlineStr">
        <is>
          <t>M</t>
        </is>
      </c>
      <c r="B523" s="18" t="inlineStr">
        <is>
          <t>200 Free</t>
        </is>
      </c>
      <c r="C523" s="18" t="n">
        <v>23</v>
      </c>
      <c r="D523" s="18" t="n">
        <v>3</v>
      </c>
      <c r="E523" s="46" t="inlineStr">
        <is>
          <t>1:46.70</t>
        </is>
      </c>
      <c r="F523" s="21">
        <f>IFERROR(__xludf.DUMMYFUNCTION("IF(
  REGEXMATCH(E523, "":""),
  60*VALUE(INDEX(SPLIT(E523, "":""),1,1)) + VALUE(INDEX(SPLIT(E523, "":""),1,2)),
  VALUE(E523)
)"),106.7)</f>
        <v/>
      </c>
      <c r="G523" s="21">
        <f>F522-F523</f>
        <v/>
      </c>
      <c r="H523" s="21" t="n">
        <v>0.1799999999999926</v>
      </c>
      <c r="I523" s="211">
        <f>C506</f>
        <v/>
      </c>
      <c r="J523" s="211">
        <f>C523</f>
        <v/>
      </c>
      <c r="K523" s="60">
        <f t="array" ref="K523">INDEX('Podium Target Times'!$C:$C, MATCH(A523&amp;B523, 'Podium Target Times'!$A:$A&amp;'Podium Target Times'!$B:$B, 0))
</f>
        <v/>
      </c>
      <c r="L523" s="21">
        <f>G523+L524</f>
        <v/>
      </c>
      <c r="M523" s="60">
        <f>IF(L523&lt;60, TEXT(L523,"0.00"), IF(L523&lt;600, TEXT(L523/86400,"m:ss.00"), TEXT(L523/86400,"mm:ss.00")))
</f>
        <v/>
      </c>
      <c r="N523" s="25">
        <f>IFERROR(__xludf.DUMMYFUNCTION("LET(
  gen,$A523, ev,$B523, t,$M523,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)"),804.0)</f>
        <v/>
      </c>
      <c r="O523" s="65" t="n"/>
      <c r="P523" s="69" t="n"/>
      <c r="Q523" s="65" t="n"/>
      <c r="R523" s="69" t="n"/>
      <c r="S523" s="58" t="n"/>
      <c r="T523" s="69" t="n"/>
      <c r="U523" s="65" t="n"/>
      <c r="V523" s="65" t="n"/>
      <c r="W523" s="65" t="n"/>
    </row>
    <row r="524">
      <c r="A524" s="8" t="inlineStr">
        <is>
          <t>M</t>
        </is>
      </c>
      <c r="B524" s="9" t="inlineStr">
        <is>
          <t>200 Free</t>
        </is>
      </c>
      <c r="C524" s="9" t="n">
        <v>24</v>
      </c>
      <c r="D524" s="9" t="n"/>
      <c r="E524" s="41" t="n"/>
      <c r="F524" s="35">
        <f>IFERROR(__xludf.DUMMYFUNCTION("IF(
  REGEXMATCH(E524, "":""),
  60*VALUE(INDEX(SPLIT(E524, "":""),1,1)) + VALUE(INDEX(SPLIT(E524, "":""),1,2)),
  VALUE(E524)
)"),0.0)</f>
        <v/>
      </c>
      <c r="G524" s="12" t="n"/>
      <c r="H524" s="12" t="n"/>
      <c r="I524" s="43">
        <f>C506</f>
        <v/>
      </c>
      <c r="J524" s="43">
        <f>C523</f>
        <v/>
      </c>
      <c r="K524" s="43">
        <f t="array" ref="K524">INDEX('Podium Target Times'!$C:$C, MATCH(A524&amp;B524, 'Podium Target Times'!$A:$A&amp;'Podium Target Times'!$B:$B, 0))
</f>
        <v/>
      </c>
      <c r="L524" s="12">
        <f>G523+L525</f>
        <v/>
      </c>
      <c r="M524" s="43">
        <f>IF(L524&lt;60, TEXT(L524,"0.00"), IF(L524&lt;600, TEXT(L524/86400,"m:ss.00"), TEXT(L524/86400,"mm:ss.00")))
</f>
        <v/>
      </c>
      <c r="N524" s="14">
        <f>IFERROR(__xludf.DUMMYFUNCTION("LET(
  gen,$A524, ev,$B524, t,$M524,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
      </c>
      <c r="O524" s="65" t="n"/>
      <c r="P524" s="69" t="n"/>
      <c r="Q524" s="65" t="n"/>
      <c r="R524" s="69" t="n"/>
      <c r="S524" s="58" t="n"/>
      <c r="T524" s="69" t="n"/>
      <c r="U524" s="65" t="n"/>
      <c r="V524" s="65" t="n"/>
      <c r="W524" s="65" t="n"/>
    </row>
    <row r="525">
      <c r="A525" s="17" t="inlineStr">
        <is>
          <t>M</t>
        </is>
      </c>
      <c r="B525" s="18" t="inlineStr">
        <is>
          <t>200 Free</t>
        </is>
      </c>
      <c r="C525" s="18" t="n">
        <v>25</v>
      </c>
      <c r="D525" s="18" t="n"/>
      <c r="E525" s="46" t="n"/>
      <c r="F525" s="21">
        <f>IFERROR(__xludf.DUMMYFUNCTION("IF(
  REGEXMATCH(E525, "":""),
  60*VALUE(INDEX(SPLIT(E525, "":""),1,1)) + VALUE(INDEX(SPLIT(E525, "":""),1,2)),
  VALUE(E525)
)"),0.0)</f>
        <v/>
      </c>
      <c r="G525" s="24" t="n"/>
      <c r="H525" s="24" t="n"/>
      <c r="I525" s="60">
        <f>C506</f>
        <v/>
      </c>
      <c r="J525" s="60">
        <f>C523</f>
        <v/>
      </c>
      <c r="K525" s="60">
        <f t="array" ref="K525">INDEX('Podium Target Times'!$C:$C, MATCH(A525&amp;B525, 'Podium Target Times'!$A:$A&amp;'Podium Target Times'!$B:$B, 0))
</f>
        <v/>
      </c>
      <c r="L525" s="60">
        <f>K525</f>
        <v/>
      </c>
      <c r="M525" s="60">
        <f>IF(L525&lt;60, TEXT(L525,"0.00"), IF(L525&lt;600, TEXT(L525/86400,"m:ss.00"), TEXT(L525/86400,"mm:ss.00")))
</f>
        <v/>
      </c>
      <c r="N525" s="25">
        <f>IFERROR(__xludf.DUMMYFUNCTION("LET(
  gen,$A525, ev,$B525, t,$M525,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
      </c>
      <c r="O525" s="65" t="n"/>
      <c r="P525" s="69" t="n"/>
      <c r="Q525" s="65" t="n"/>
      <c r="R525" s="69" t="n"/>
      <c r="S525" s="58" t="n"/>
      <c r="T525" s="69" t="n"/>
      <c r="U525" s="65" t="n"/>
      <c r="V525" s="65" t="n"/>
      <c r="W525" s="65" t="n"/>
    </row>
    <row r="526">
      <c r="A526" s="8" t="inlineStr">
        <is>
          <t>M</t>
        </is>
      </c>
      <c r="B526" s="9" t="inlineStr">
        <is>
          <t>200 IM</t>
        </is>
      </c>
      <c r="C526" s="9" t="n">
        <v>16</v>
      </c>
      <c r="D526" s="9" t="n">
        <v>1</v>
      </c>
      <c r="E526" s="41" t="inlineStr">
        <is>
          <t>2:06.50</t>
        </is>
      </c>
      <c r="F526" s="35">
        <f>IFERROR(__xludf.DUMMYFUNCTION("IF(
  REGEXMATCH(E526, "":""),
  60*VALUE(INDEX(SPLIT(E526, "":""),1,1)) + VALUE(INDEX(SPLIT(E526, "":""),1,2)),
  VALUE(E526)
)"),126.5)</f>
        <v/>
      </c>
      <c r="G526" s="12" t="n">
        <v>0</v>
      </c>
      <c r="H526" s="12" t="n">
        <v>0</v>
      </c>
      <c r="I526" s="43">
        <f>C526</f>
        <v/>
      </c>
      <c r="J526" s="43">
        <f>C543</f>
        <v/>
      </c>
      <c r="K526" s="43">
        <f t="array" ref="K526">INDEX('Podium Target Times'!$C:$C, MATCH(A526&amp;B526, 'Podium Target Times'!$A:$A&amp;'Podium Target Times'!$B:$B, 0))
</f>
        <v/>
      </c>
      <c r="L526" s="12">
        <f>L527+G527</f>
        <v/>
      </c>
      <c r="M526" s="43">
        <f>IF(L526&lt;60, TEXT(L526,"0.00"), IF(L526&lt;600, TEXT(L526/86400,"m:ss.00"), TEXT(L526/86400,"mm:ss.00")))
</f>
        <v/>
      </c>
      <c r="N526" s="14">
        <f>IFERROR(__xludf.DUMMYFUNCTION("LET(
  gen,$A526, ev,$B526, t,$M526,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)"),656.0)</f>
        <v/>
      </c>
      <c r="O526" s="65" t="n"/>
      <c r="P526" s="69">
        <f>A526</f>
        <v/>
      </c>
      <c r="Q526" s="65">
        <f>B526</f>
        <v/>
      </c>
      <c r="R526" s="69">
        <f>C526</f>
        <v/>
      </c>
      <c r="S526" s="58">
        <f>M526</f>
        <v/>
      </c>
      <c r="T526" s="69">
        <f>N526</f>
        <v/>
      </c>
      <c r="U526" s="65" t="n">
        <v>656</v>
      </c>
      <c r="V526" s="65" t="n"/>
      <c r="W526" s="65" t="n"/>
    </row>
    <row r="527">
      <c r="A527" s="17" t="inlineStr">
        <is>
          <t>M</t>
        </is>
      </c>
      <c r="B527" s="18" t="inlineStr">
        <is>
          <t>200 IM</t>
        </is>
      </c>
      <c r="C527" s="18" t="n">
        <v>17</v>
      </c>
      <c r="D527" s="18" t="n">
        <v>1</v>
      </c>
      <c r="E527" s="46" t="inlineStr">
        <is>
          <t>2:03.32</t>
        </is>
      </c>
      <c r="F527" s="21">
        <f>IFERROR(__xludf.DUMMYFUNCTION("IF(
  REGEXMATCH(E527, "":""),
  60*VALUE(INDEX(SPLIT(E527, "":""),1,1)) + VALUE(INDEX(SPLIT(E527, "":""),1,2)),
  VALUE(E527)
)"),123.32)</f>
        <v/>
      </c>
      <c r="G527" s="21">
        <f>F526-F527</f>
        <v/>
      </c>
      <c r="H527" s="21" t="n">
        <v>3.180000000000007</v>
      </c>
      <c r="I527" s="211">
        <f>C526</f>
        <v/>
      </c>
      <c r="J527" s="211">
        <f>C543</f>
        <v/>
      </c>
      <c r="K527" s="60">
        <f t="array" ref="K527">INDEX('Podium Target Times'!$C:$C, MATCH(A527&amp;B527, 'Podium Target Times'!$A:$A&amp;'Podium Target Times'!$B:$B, 0))
</f>
        <v/>
      </c>
      <c r="L527" s="24">
        <f>L529+G529</f>
        <v/>
      </c>
      <c r="M527" s="60">
        <f>IF(L527&lt;60, TEXT(L527,"0.00"), IF(L527&lt;600, TEXT(L527/86400,"m:ss.00"), TEXT(L527/86400,"mm:ss.00")))
</f>
        <v/>
      </c>
      <c r="N527" s="25">
        <f>IFERROR(__xludf.DUMMYFUNCTION("LET(
  gen,$A527, ev,$B527, t,$M527,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527" s="65" t="n"/>
      <c r="P527" s="69">
        <f>A527</f>
        <v/>
      </c>
      <c r="Q527" s="65">
        <f>B527</f>
        <v/>
      </c>
      <c r="R527" s="69">
        <f>C527</f>
        <v/>
      </c>
      <c r="S527" s="58">
        <f>M527</f>
        <v/>
      </c>
      <c r="T527" s="69">
        <f>N527</f>
        <v/>
      </c>
      <c r="U527" s="65" t="n"/>
      <c r="V527" s="65" t="n"/>
      <c r="W527" s="65" t="n"/>
    </row>
    <row r="528">
      <c r="A528" s="8" t="inlineStr">
        <is>
          <t>M</t>
        </is>
      </c>
      <c r="B528" s="9" t="inlineStr">
        <is>
          <t>200 IM</t>
        </is>
      </c>
      <c r="C528" s="9" t="n">
        <v>17</v>
      </c>
      <c r="D528" s="9" t="n">
        <v>2</v>
      </c>
      <c r="E528" s="41" t="inlineStr">
        <is>
          <t>2:04.42</t>
        </is>
      </c>
      <c r="F528" s="35">
        <f>IFERROR(__xludf.DUMMYFUNCTION("IF(
  REGEXMATCH(E528, "":""),
  60*VALUE(INDEX(SPLIT(E528, "":""),1,1)) + VALUE(INDEX(SPLIT(E528, "":""),1,2)),
  VALUE(E528)
)"),124.42)</f>
        <v/>
      </c>
      <c r="G528" s="35">
        <f>F526-F527</f>
        <v/>
      </c>
      <c r="H528" s="35" t="n">
        <v>3.180000000000007</v>
      </c>
      <c r="I528" s="215">
        <f>C526</f>
        <v/>
      </c>
      <c r="J528" s="215">
        <f>C543</f>
        <v/>
      </c>
      <c r="K528" s="43">
        <f t="array" ref="K528">INDEX('Podium Target Times'!$C:$C, MATCH(A528&amp;B528, 'Podium Target Times'!$A:$A&amp;'Podium Target Times'!$B:$B, 0))
</f>
        <v/>
      </c>
      <c r="L528" s="12">
        <f>L529+G529</f>
        <v/>
      </c>
      <c r="M528" s="43">
        <f>IF(L528&lt;60, TEXT(L528,"0.00"), IF(L528&lt;600, TEXT(L528/86400,"m:ss.00"), TEXT(L528/86400,"mm:ss.00")))
</f>
        <v/>
      </c>
      <c r="N528" s="14">
        <f>IFERROR(__xludf.DUMMYFUNCTION("LET(
  gen,$A528, ev,$B528, t,$M528,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O528" s="65" t="n"/>
      <c r="P528" s="69">
        <f>A529</f>
        <v/>
      </c>
      <c r="Q528" s="65">
        <f>B529</f>
        <v/>
      </c>
      <c r="R528" s="69">
        <f>C529</f>
        <v/>
      </c>
      <c r="S528" s="58">
        <f>M529</f>
        <v/>
      </c>
      <c r="T528" s="69">
        <f>N529</f>
        <v/>
      </c>
      <c r="U528" s="65" t="n"/>
      <c r="V528" s="65" t="n"/>
      <c r="W528" s="65" t="n"/>
    </row>
    <row r="529">
      <c r="A529" s="17" t="inlineStr">
        <is>
          <t>M</t>
        </is>
      </c>
      <c r="B529" s="18" t="inlineStr">
        <is>
          <t>200 IM</t>
        </is>
      </c>
      <c r="C529" s="18" t="n">
        <v>18</v>
      </c>
      <c r="D529" s="18" t="n">
        <v>1</v>
      </c>
      <c r="E529" s="46" t="inlineStr">
        <is>
          <t>2:01.30</t>
        </is>
      </c>
      <c r="F529" s="21">
        <f>IFERROR(__xludf.DUMMYFUNCTION("IF(
  REGEXMATCH(E529, "":""),
  60*VALUE(INDEX(SPLIT(E529, "":""),1,1)) + VALUE(INDEX(SPLIT(E529, "":""),1,2)),
  VALUE(E529)
)"),121.3)</f>
        <v/>
      </c>
      <c r="G529" s="21">
        <f>average(F527-F529,F528-F530)</f>
        <v/>
      </c>
      <c r="H529" s="21" t="n">
        <v>2.024999999999999</v>
      </c>
      <c r="I529" s="211">
        <f>C526</f>
        <v/>
      </c>
      <c r="J529" s="211">
        <f>C543</f>
        <v/>
      </c>
      <c r="K529" s="60">
        <f t="array" ref="K529">INDEX('Podium Target Times'!$C:$C, MATCH(A529&amp;B529, 'Podium Target Times'!$A:$A&amp;'Podium Target Times'!$B:$B, 0))
</f>
        <v/>
      </c>
      <c r="L529" s="24">
        <f>L532+G532</f>
        <v/>
      </c>
      <c r="M529" s="60">
        <f>IF(L529&lt;60, TEXT(L529,"0.00"), IF(L529&lt;600, TEXT(L529/86400,"m:ss.00"), TEXT(L529/86400,"mm:ss.00")))
</f>
        <v/>
      </c>
      <c r="N529" s="25">
        <f>IFERROR(__xludf.DUMMYFUNCTION("LET(
  gen,$A529, ev,$B529, t,$M529,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529" s="65" t="n"/>
      <c r="P529" s="69">
        <f>A532</f>
        <v/>
      </c>
      <c r="Q529" s="65">
        <f>B532</f>
        <v/>
      </c>
      <c r="R529" s="69">
        <f>C532</f>
        <v/>
      </c>
      <c r="S529" s="58">
        <f>M532</f>
        <v/>
      </c>
      <c r="T529" s="69">
        <f>N532</f>
        <v/>
      </c>
      <c r="U529" s="65" t="n"/>
      <c r="V529" s="65" t="n"/>
      <c r="W529" s="65" t="n"/>
    </row>
    <row r="530">
      <c r="A530" s="8" t="inlineStr">
        <is>
          <t>M</t>
        </is>
      </c>
      <c r="B530" s="9" t="inlineStr">
        <is>
          <t>200 IM</t>
        </is>
      </c>
      <c r="C530" s="9" t="n">
        <v>18</v>
      </c>
      <c r="D530" s="9" t="n">
        <v>2</v>
      </c>
      <c r="E530" s="41" t="inlineStr">
        <is>
          <t>2:02.39</t>
        </is>
      </c>
      <c r="F530" s="35">
        <f>IFERROR(__xludf.DUMMYFUNCTION("IF(
  REGEXMATCH(E530, "":""),
  60*VALUE(INDEX(SPLIT(E530, "":""),1,1)) + VALUE(INDEX(SPLIT(E530, "":""),1,2)),
  VALUE(E530)
)"),122.39)</f>
        <v/>
      </c>
      <c r="G530" s="35">
        <f>average(F527-F529,F528-F530)</f>
        <v/>
      </c>
      <c r="H530" s="35" t="n">
        <v>2.024999999999999</v>
      </c>
      <c r="I530" s="215">
        <f>C526</f>
        <v/>
      </c>
      <c r="J530" s="215">
        <f>C543</f>
        <v/>
      </c>
      <c r="K530" s="43">
        <f t="array" ref="K530">INDEX('Podium Target Times'!$C:$C, MATCH(A530&amp;B530, 'Podium Target Times'!$A:$A&amp;'Podium Target Times'!$B:$B, 0))
</f>
        <v/>
      </c>
      <c r="L530" s="12">
        <f>L532+G532</f>
        <v/>
      </c>
      <c r="M530" s="43">
        <f>IF(L530&lt;60, TEXT(L530,"0.00"), IF(L530&lt;600, TEXT(L530/86400,"m:ss.00"), TEXT(L530/86400,"mm:ss.00")))
</f>
        <v/>
      </c>
      <c r="N530" s="14">
        <f>IFERROR(__xludf.DUMMYFUNCTION("LET(
  gen,$A530, ev,$B530, t,$M530,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530" s="65" t="n"/>
      <c r="P530" s="69">
        <f>A535</f>
        <v/>
      </c>
      <c r="Q530" s="65">
        <f>B535</f>
        <v/>
      </c>
      <c r="R530" s="69">
        <f>C535</f>
        <v/>
      </c>
      <c r="S530" s="58">
        <f>M535</f>
        <v/>
      </c>
      <c r="T530" s="69">
        <f>N535</f>
        <v/>
      </c>
      <c r="U530" s="65" t="n"/>
      <c r="V530" s="65" t="n"/>
      <c r="W530" s="65" t="n"/>
    </row>
    <row r="531">
      <c r="A531" s="17" t="inlineStr">
        <is>
          <t>M</t>
        </is>
      </c>
      <c r="B531" s="18" t="inlineStr">
        <is>
          <t>200 IM</t>
        </is>
      </c>
      <c r="C531" s="18" t="n">
        <v>18</v>
      </c>
      <c r="D531" s="18" t="n">
        <v>3</v>
      </c>
      <c r="E531" s="46" t="inlineStr">
        <is>
          <t>2:02.59</t>
        </is>
      </c>
      <c r="F531" s="21">
        <f>IFERROR(__xludf.DUMMYFUNCTION("IF(
  REGEXMATCH(E531, "":""),
  60*VALUE(INDEX(SPLIT(E531, "":""),1,1)) + VALUE(INDEX(SPLIT(E531, "":""),1,2)),
  VALUE(E531)
)"),122.59)</f>
        <v/>
      </c>
      <c r="G531" s="21">
        <f>average(F527-F529,F528-F530)</f>
        <v/>
      </c>
      <c r="H531" s="21" t="n">
        <v>2.024999999999999</v>
      </c>
      <c r="I531" s="211">
        <f>C526</f>
        <v/>
      </c>
      <c r="J531" s="211">
        <f>C543</f>
        <v/>
      </c>
      <c r="K531" s="60">
        <f t="array" ref="K531">INDEX('Podium Target Times'!$C:$C, MATCH(A531&amp;B531, 'Podium Target Times'!$A:$A&amp;'Podium Target Times'!$B:$B, 0))
</f>
        <v/>
      </c>
      <c r="L531" s="24">
        <f>L532+G532</f>
        <v/>
      </c>
      <c r="M531" s="60">
        <f>IF(L531&lt;60, TEXT(L531,"0.00"), IF(L531&lt;600, TEXT(L531/86400,"m:ss.00"), TEXT(L531/86400,"mm:ss.00")))
</f>
        <v/>
      </c>
      <c r="N531" s="25">
        <f>IFERROR(__xludf.DUMMYFUNCTION("LET(
  gen,$A531, ev,$B531, t,$M531,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O531" s="65" t="n"/>
      <c r="P531" s="69">
        <f>A538</f>
        <v/>
      </c>
      <c r="Q531" s="65">
        <f>B538</f>
        <v/>
      </c>
      <c r="R531" s="69">
        <f>C538</f>
        <v/>
      </c>
      <c r="S531" s="58">
        <f>M538</f>
        <v/>
      </c>
      <c r="T531" s="69">
        <f>N538</f>
        <v/>
      </c>
      <c r="U531" s="65" t="n"/>
      <c r="V531" s="65" t="n"/>
      <c r="W531" s="65" t="n"/>
    </row>
    <row r="532">
      <c r="A532" s="8" t="inlineStr">
        <is>
          <t>M</t>
        </is>
      </c>
      <c r="B532" s="9" t="inlineStr">
        <is>
          <t>200 IM</t>
        </is>
      </c>
      <c r="C532" s="9" t="n">
        <v>19</v>
      </c>
      <c r="D532" s="9" t="n">
        <v>1</v>
      </c>
      <c r="E532" s="41" t="inlineStr">
        <is>
          <t>1:59.95</t>
        </is>
      </c>
      <c r="F532" s="35">
        <f>IFERROR(__xludf.DUMMYFUNCTION("IF(
  REGEXMATCH(E532, "":""),
  60*VALUE(INDEX(SPLIT(E532, "":""),1,1)) + VALUE(INDEX(SPLIT(E532, "":""),1,2)),
  VALUE(E532)
)"),119.95)</f>
        <v/>
      </c>
      <c r="G532" s="35">
        <f>average(F529-F532,F530-F533,F531-F534)</f>
        <v/>
      </c>
      <c r="H532" s="35" t="n">
        <v>1.359999999999999</v>
      </c>
      <c r="I532" s="215">
        <f>C526</f>
        <v/>
      </c>
      <c r="J532" s="215">
        <f>C543</f>
        <v/>
      </c>
      <c r="K532" s="43">
        <f t="array" ref="K532">INDEX('Podium Target Times'!$C:$C, MATCH(A532&amp;B532, 'Podium Target Times'!$A:$A&amp;'Podium Target Times'!$B:$B, 0))
</f>
        <v/>
      </c>
      <c r="L532" s="12">
        <f>L535+G535</f>
        <v/>
      </c>
      <c r="M532" s="43">
        <f>IF(L532&lt;60, TEXT(L532,"0.00"), IF(L532&lt;600, TEXT(L532/86400,"m:ss.00"), TEXT(L532/86400,"mm:ss.00")))
</f>
        <v/>
      </c>
      <c r="N532" s="14">
        <f>IFERROR(__xludf.DUMMYFUNCTION("LET(
  gen,$A532, ev,$B532, t,$M532,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532" s="65" t="n"/>
      <c r="P532" s="69">
        <f>A540</f>
        <v/>
      </c>
      <c r="Q532" s="65">
        <f>B540</f>
        <v/>
      </c>
      <c r="R532" s="69">
        <f>C540</f>
        <v/>
      </c>
      <c r="S532" s="58">
        <f>M540</f>
        <v/>
      </c>
      <c r="T532" s="69">
        <f>N540</f>
        <v/>
      </c>
      <c r="U532" s="65" t="n"/>
      <c r="V532" s="65" t="n"/>
      <c r="W532" s="65" t="n"/>
    </row>
    <row r="533">
      <c r="A533" s="17" t="inlineStr">
        <is>
          <t>M</t>
        </is>
      </c>
      <c r="B533" s="18" t="inlineStr">
        <is>
          <t>200 IM</t>
        </is>
      </c>
      <c r="C533" s="18" t="n">
        <v>19</v>
      </c>
      <c r="D533" s="18" t="n">
        <v>2</v>
      </c>
      <c r="E533" s="46" t="inlineStr">
        <is>
          <t>2:01.03</t>
        </is>
      </c>
      <c r="F533" s="21">
        <f>IFERROR(__xludf.DUMMYFUNCTION("IF(
  REGEXMATCH(E533, "":""),
  60*VALUE(INDEX(SPLIT(E533, "":""),1,1)) + VALUE(INDEX(SPLIT(E533, "":""),1,2)),
  VALUE(E533)
)"),121.03)</f>
        <v/>
      </c>
      <c r="G533" s="21">
        <f>average(F529-F532,F530-F533,F531-F534)</f>
        <v/>
      </c>
      <c r="H533" s="21" t="n">
        <v>1.359999999999999</v>
      </c>
      <c r="I533" s="211">
        <f>C526</f>
        <v/>
      </c>
      <c r="J533" s="211">
        <f>C543</f>
        <v/>
      </c>
      <c r="K533" s="60">
        <f t="array" ref="K533">INDEX('Podium Target Times'!$C:$C, MATCH(A533&amp;B533, 'Podium Target Times'!$A:$A&amp;'Podium Target Times'!$B:$B, 0))
</f>
        <v/>
      </c>
      <c r="L533" s="24">
        <f>L535+G535</f>
        <v/>
      </c>
      <c r="M533" s="60">
        <f>IF(L533&lt;60, TEXT(L533,"0.00"), IF(L533&lt;600, TEXT(L533/86400,"m:ss.00"), TEXT(L533/86400,"mm:ss.00")))
</f>
        <v/>
      </c>
      <c r="N533" s="25">
        <f>IFERROR(__xludf.DUMMYFUNCTION("LET(
  gen,$A533, ev,$B533, t,$M533,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533" s="65" t="n"/>
      <c r="P533" s="69">
        <f>A542</f>
        <v/>
      </c>
      <c r="Q533" s="65">
        <f>B542</f>
        <v/>
      </c>
      <c r="R533" s="69">
        <f>C542</f>
        <v/>
      </c>
      <c r="S533" s="58">
        <f>M542</f>
        <v/>
      </c>
      <c r="T533" s="69">
        <f>N542</f>
        <v/>
      </c>
      <c r="U533" s="65" t="n"/>
      <c r="V533" s="65" t="n"/>
      <c r="W533" s="65" t="n"/>
    </row>
    <row r="534">
      <c r="A534" s="8" t="inlineStr">
        <is>
          <t>M</t>
        </is>
      </c>
      <c r="B534" s="9" t="inlineStr">
        <is>
          <t>200 IM</t>
        </is>
      </c>
      <c r="C534" s="9" t="n">
        <v>19</v>
      </c>
      <c r="D534" s="9" t="n">
        <v>3</v>
      </c>
      <c r="E534" s="41" t="inlineStr">
        <is>
          <t>2:01.22</t>
        </is>
      </c>
      <c r="F534" s="35">
        <f>IFERROR(__xludf.DUMMYFUNCTION("IF(
  REGEXMATCH(E534, "":""),
  60*VALUE(INDEX(SPLIT(E534, "":""),1,1)) + VALUE(INDEX(SPLIT(E534, "":""),1,2)),
  VALUE(E534)
)"),121.22)</f>
        <v/>
      </c>
      <c r="G534" s="35">
        <f>average(F529-F532,F530-F533,F531-F534)</f>
        <v/>
      </c>
      <c r="H534" s="35" t="n">
        <v>1.359999999999999</v>
      </c>
      <c r="I534" s="215">
        <f>C526</f>
        <v/>
      </c>
      <c r="J534" s="215">
        <f>C543</f>
        <v/>
      </c>
      <c r="K534" s="43">
        <f t="array" ref="K534">INDEX('Podium Target Times'!$C:$C, MATCH(A534&amp;B534, 'Podium Target Times'!$A:$A&amp;'Podium Target Times'!$B:$B, 0))
</f>
        <v/>
      </c>
      <c r="L534" s="12">
        <f>L535+G535</f>
        <v/>
      </c>
      <c r="M534" s="43">
        <f>IF(L534&lt;60, TEXT(L534,"0.00"), IF(L534&lt;600, TEXT(L534/86400,"m:ss.00"), TEXT(L534/86400,"mm:ss.00")))
</f>
        <v/>
      </c>
      <c r="N534" s="14">
        <f>IFERROR(__xludf.DUMMYFUNCTION("LET(
  gen,$A534, ev,$B534, t,$M534,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534" s="65" t="n"/>
      <c r="P534" s="69">
        <f>A543</f>
        <v/>
      </c>
      <c r="Q534" s="65">
        <f>B543</f>
        <v/>
      </c>
      <c r="R534" s="69">
        <f>C543</f>
        <v/>
      </c>
      <c r="S534" s="58">
        <f>M543</f>
        <v/>
      </c>
      <c r="T534" s="69">
        <f>N543</f>
        <v/>
      </c>
      <c r="U534" s="65" t="n">
        <v>807</v>
      </c>
      <c r="V534" s="65" t="n"/>
      <c r="W534" s="65" t="n"/>
    </row>
    <row r="535">
      <c r="A535" s="17" t="inlineStr">
        <is>
          <t>M</t>
        </is>
      </c>
      <c r="B535" s="18" t="inlineStr">
        <is>
          <t>200 IM</t>
        </is>
      </c>
      <c r="C535" s="18" t="n">
        <v>20</v>
      </c>
      <c r="D535" s="18" t="n">
        <v>1</v>
      </c>
      <c r="E535" s="46" t="inlineStr">
        <is>
          <t>1:59.05</t>
        </is>
      </c>
      <c r="F535" s="21">
        <f>IFERROR(__xludf.DUMMYFUNCTION("IF(
  REGEXMATCH(E535, "":""),
  60*VALUE(INDEX(SPLIT(E535, "":""),1,1)) + VALUE(INDEX(SPLIT(E535, "":""),1,2)),
  VALUE(E535)
)"),119.05)</f>
        <v/>
      </c>
      <c r="G535" s="21">
        <f>average(F532-F535,F533-F536,F534-F537)</f>
        <v/>
      </c>
      <c r="H535" s="21" t="n">
        <v>0.9066666666666663</v>
      </c>
      <c r="I535" s="211">
        <f>C526</f>
        <v/>
      </c>
      <c r="J535" s="211">
        <f>C543</f>
        <v/>
      </c>
      <c r="K535" s="60">
        <f t="array" ref="K535">INDEX('Podium Target Times'!$C:$C, MATCH(A535&amp;B535, 'Podium Target Times'!$A:$A&amp;'Podium Target Times'!$B:$B, 0))
</f>
        <v/>
      </c>
      <c r="L535" s="24">
        <f>L538+G538</f>
        <v/>
      </c>
      <c r="M535" s="60">
        <f>IF(L535&lt;60, TEXT(L535,"0.00"), IF(L535&lt;600, TEXT(L535/86400,"m:ss.00"), TEXT(L535/86400,"mm:ss.00")))
</f>
        <v/>
      </c>
      <c r="N535" s="25">
        <f>IFERROR(__xludf.DUMMYFUNCTION("LET(
  gen,$A535, ev,$B535, t,$M535,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535" s="65" t="n"/>
      <c r="P535" s="69">
        <f>P534</f>
        <v/>
      </c>
      <c r="Q535" s="65">
        <f>Q534</f>
        <v/>
      </c>
      <c r="R535" s="69">
        <f>R534+1</f>
        <v/>
      </c>
      <c r="S535" s="58">
        <f>M544</f>
        <v/>
      </c>
      <c r="T535" s="69">
        <f>N544</f>
        <v/>
      </c>
      <c r="U535" s="65" t="n"/>
      <c r="V535" s="65" t="n"/>
      <c r="W535" s="65" t="n"/>
    </row>
    <row r="536">
      <c r="A536" s="8" t="inlineStr">
        <is>
          <t>M</t>
        </is>
      </c>
      <c r="B536" s="9" t="inlineStr">
        <is>
          <t>200 IM</t>
        </is>
      </c>
      <c r="C536" s="9" t="n">
        <v>20</v>
      </c>
      <c r="D536" s="9" t="n">
        <v>2</v>
      </c>
      <c r="E536" s="41" t="inlineStr">
        <is>
          <t>2:00.12</t>
        </is>
      </c>
      <c r="F536" s="35">
        <f>IFERROR(__xludf.DUMMYFUNCTION("IF(
  REGEXMATCH(E536, "":""),
  60*VALUE(INDEX(SPLIT(E536, "":""),1,1)) + VALUE(INDEX(SPLIT(E536, "":""),1,2)),
  VALUE(E536)
)"),120.12)</f>
        <v/>
      </c>
      <c r="G536" s="35">
        <f>average(F532-F535,F533-F536,F534-F537)</f>
        <v/>
      </c>
      <c r="H536" s="35" t="n">
        <v>0.9066666666666663</v>
      </c>
      <c r="I536" s="215">
        <f>C526</f>
        <v/>
      </c>
      <c r="J536" s="215">
        <f>C543</f>
        <v/>
      </c>
      <c r="K536" s="43">
        <f t="array" ref="K536">INDEX('Podium Target Times'!$C:$C, MATCH(A536&amp;B536, 'Podium Target Times'!$A:$A&amp;'Podium Target Times'!$B:$B, 0))
</f>
        <v/>
      </c>
      <c r="L536" s="12">
        <f>L538+G538</f>
        <v/>
      </c>
      <c r="M536" s="43">
        <f>IF(L536&lt;60, TEXT(L536,"0.00"), IF(L536&lt;600, TEXT(L536/86400,"m:ss.00"), TEXT(L536/86400,"mm:ss.00")))
</f>
        <v/>
      </c>
      <c r="N536" s="14">
        <f>IFERROR(__xludf.DUMMYFUNCTION("LET(
  gen,$A536, ev,$B536, t,$M536,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536" s="65" t="n"/>
      <c r="P536" s="69" t="n"/>
      <c r="Q536" s="65" t="n"/>
      <c r="R536" s="69" t="n"/>
      <c r="S536" s="58" t="n"/>
      <c r="T536" s="69" t="n"/>
      <c r="U536" s="65" t="n"/>
      <c r="V536" s="65" t="n"/>
      <c r="W536" s="65" t="n"/>
    </row>
    <row r="537">
      <c r="A537" s="17" t="inlineStr">
        <is>
          <t>M</t>
        </is>
      </c>
      <c r="B537" s="18" t="inlineStr">
        <is>
          <t>200 IM</t>
        </is>
      </c>
      <c r="C537" s="18" t="n">
        <v>20</v>
      </c>
      <c r="D537" s="18" t="n">
        <v>3</v>
      </c>
      <c r="E537" s="46" t="inlineStr">
        <is>
          <t>2:00.31</t>
        </is>
      </c>
      <c r="F537" s="21">
        <f>IFERROR(__xludf.DUMMYFUNCTION("IF(
  REGEXMATCH(E537, "":""),
  60*VALUE(INDEX(SPLIT(E537, "":""),1,1)) + VALUE(INDEX(SPLIT(E537, "":""),1,2)),
  VALUE(E537)
)"),120.31)</f>
        <v/>
      </c>
      <c r="G537" s="21">
        <f>average(F532-F535,F533-F536,F534-F537)</f>
        <v/>
      </c>
      <c r="H537" s="21" t="n">
        <v>0.9066666666666663</v>
      </c>
      <c r="I537" s="211">
        <f>C526</f>
        <v/>
      </c>
      <c r="J537" s="211">
        <f>C543</f>
        <v/>
      </c>
      <c r="K537" s="60">
        <f t="array" ref="K537">INDEX('Podium Target Times'!$C:$C, MATCH(A537&amp;B537, 'Podium Target Times'!$A:$A&amp;'Podium Target Times'!$B:$B, 0))
</f>
        <v/>
      </c>
      <c r="L537" s="24">
        <f>L538+G538</f>
        <v/>
      </c>
      <c r="M537" s="60">
        <f>IF(L537&lt;60, TEXT(L537,"0.00"), IF(L537&lt;600, TEXT(L537/86400,"m:ss.00"), TEXT(L537/86400,"mm:ss.00")))
</f>
        <v/>
      </c>
      <c r="N537" s="25">
        <f>IFERROR(__xludf.DUMMYFUNCTION("LET(
  gen,$A537, ev,$B537, t,$M537,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O537" s="65" t="n"/>
      <c r="P537" s="69" t="n"/>
      <c r="Q537" s="65" t="n"/>
      <c r="R537" s="69" t="n"/>
      <c r="S537" s="58" t="n"/>
      <c r="T537" s="69" t="n"/>
      <c r="U537" s="65" t="n"/>
      <c r="V537" s="65" t="n"/>
      <c r="W537" s="65" t="n"/>
    </row>
    <row r="538">
      <c r="A538" s="8" t="inlineStr">
        <is>
          <t>M</t>
        </is>
      </c>
      <c r="B538" s="9" t="inlineStr">
        <is>
          <t>200 IM</t>
        </is>
      </c>
      <c r="C538" s="9" t="n">
        <v>21</v>
      </c>
      <c r="D538" s="9" t="n">
        <v>2</v>
      </c>
      <c r="E538" s="41" t="inlineStr">
        <is>
          <t>1:59.49</t>
        </is>
      </c>
      <c r="F538" s="35">
        <f>IFERROR(__xludf.DUMMYFUNCTION("IF(
  REGEXMATCH(E538, "":""),
  60*VALUE(INDEX(SPLIT(E538, "":""),1,1)) + VALUE(INDEX(SPLIT(E538, "":""),1,2)),
  VALUE(E538)
)"),119.49000000000001)</f>
        <v/>
      </c>
      <c r="G538" s="35">
        <f>average(F536-F538,F537-F539)</f>
        <v/>
      </c>
      <c r="H538" s="35" t="n">
        <v>0.625</v>
      </c>
      <c r="I538" s="215">
        <f>C526</f>
        <v/>
      </c>
      <c r="J538" s="215">
        <f>C543</f>
        <v/>
      </c>
      <c r="K538" s="43">
        <f t="array" ref="K538">INDEX('Podium Target Times'!$C:$C, MATCH(A538&amp;B538, 'Podium Target Times'!$A:$A&amp;'Podium Target Times'!$B:$B, 0))
</f>
        <v/>
      </c>
      <c r="L538" s="12">
        <f>L540+G540</f>
        <v/>
      </c>
      <c r="M538" s="43">
        <f>IF(L538&lt;60, TEXT(L538,"0.00"), IF(L538&lt;600, TEXT(L538/86400,"m:ss.00"), TEXT(L538/86400,"mm:ss.00")))
</f>
        <v/>
      </c>
      <c r="N538" s="14">
        <f>IFERROR(__xludf.DUMMYFUNCTION("LET(
  gen,$A538, ev,$B538, t,$M538,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
      </c>
      <c r="O538" s="65" t="n"/>
      <c r="P538" s="69" t="n"/>
      <c r="Q538" s="65" t="n"/>
      <c r="R538" s="69" t="n"/>
      <c r="S538" s="58" t="n"/>
      <c r="T538" s="69" t="n"/>
      <c r="U538" s="65" t="n"/>
      <c r="V538" s="65" t="n"/>
      <c r="W538" s="65" t="n"/>
    </row>
    <row r="539">
      <c r="A539" s="17" t="inlineStr">
        <is>
          <t>M</t>
        </is>
      </c>
      <c r="B539" s="18" t="inlineStr">
        <is>
          <t>200 IM</t>
        </is>
      </c>
      <c r="C539" s="18" t="n">
        <v>21</v>
      </c>
      <c r="D539" s="18" t="n">
        <v>3</v>
      </c>
      <c r="E539" s="46" t="inlineStr">
        <is>
          <t>1:59.69</t>
        </is>
      </c>
      <c r="F539" s="21">
        <f>IFERROR(__xludf.DUMMYFUNCTION("IF(
  REGEXMATCH(E539, "":""),
  60*VALUE(INDEX(SPLIT(E539, "":""),1,1)) + VALUE(INDEX(SPLIT(E539, "":""),1,2)),
  VALUE(E539)
)"),119.69)</f>
        <v/>
      </c>
      <c r="G539" s="21">
        <f>average(F536-F538,F537-F539)</f>
        <v/>
      </c>
      <c r="H539" s="21" t="n">
        <v>0.625</v>
      </c>
      <c r="I539" s="211">
        <f>C526</f>
        <v/>
      </c>
      <c r="J539" s="211">
        <f>C543</f>
        <v/>
      </c>
      <c r="K539" s="60">
        <f t="array" ref="K539">INDEX('Podium Target Times'!$C:$C, MATCH(A539&amp;B539, 'Podium Target Times'!$A:$A&amp;'Podium Target Times'!$B:$B, 0))
</f>
        <v/>
      </c>
      <c r="L539" s="24">
        <f>L540+G540</f>
        <v/>
      </c>
      <c r="M539" s="60">
        <f>IF(L539&lt;60, TEXT(L539,"0.00"), IF(L539&lt;600, TEXT(L539/86400,"m:ss.00"), TEXT(L539/86400,"mm:ss.00")))
</f>
        <v/>
      </c>
      <c r="N539" s="25">
        <f>IFERROR(__xludf.DUMMYFUNCTION("LET(
  gen,$A539, ev,$B539, t,$M539,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)"),794.0)</f>
        <v/>
      </c>
      <c r="O539" s="65" t="n"/>
      <c r="P539" s="69" t="n"/>
      <c r="Q539" s="65" t="n"/>
      <c r="R539" s="69" t="n"/>
      <c r="S539" s="58" t="n"/>
      <c r="T539" s="69" t="n"/>
      <c r="U539" s="65" t="n"/>
      <c r="V539" s="65" t="n"/>
      <c r="W539" s="65" t="n"/>
    </row>
    <row r="540">
      <c r="A540" s="8" t="inlineStr">
        <is>
          <t>M</t>
        </is>
      </c>
      <c r="B540" s="9" t="inlineStr">
        <is>
          <t>200 IM</t>
        </is>
      </c>
      <c r="C540" s="9" t="n">
        <v>22</v>
      </c>
      <c r="D540" s="9" t="n">
        <v>2</v>
      </c>
      <c r="E540" s="41" t="inlineStr">
        <is>
          <t>1:59.05</t>
        </is>
      </c>
      <c r="F540" s="35">
        <f>IFERROR(__xludf.DUMMYFUNCTION("IF(
  REGEXMATCH(E540, "":""),
  60*VALUE(INDEX(SPLIT(E540, "":""),1,1)) + VALUE(INDEX(SPLIT(E540, "":""),1,2)),
  VALUE(E540)
)"),119.05)</f>
        <v/>
      </c>
      <c r="G540" s="35">
        <f>average(F538-F540,F539-F541)</f>
        <v/>
      </c>
      <c r="H540" s="35" t="n">
        <v>0.4450000000000003</v>
      </c>
      <c r="I540" s="215">
        <f>C526</f>
        <v/>
      </c>
      <c r="J540" s="215">
        <f>C543</f>
        <v/>
      </c>
      <c r="K540" s="43">
        <f t="array" ref="K540">INDEX('Podium Target Times'!$C:$C, MATCH(A540&amp;B540, 'Podium Target Times'!$A:$A&amp;'Podium Target Times'!$B:$B, 0))
</f>
        <v/>
      </c>
      <c r="L540" s="12">
        <f>L542+G542</f>
        <v/>
      </c>
      <c r="M540" s="43">
        <f>IF(L540&lt;60, TEXT(L540,"0.00"), IF(L540&lt;600, TEXT(L540/86400,"m:ss.00"), TEXT(L540/86400,"mm:ss.00")))
</f>
        <v/>
      </c>
      <c r="N540" s="14">
        <f>IFERROR(__xludf.DUMMYFUNCTION("LET(
  gen,$A540, ev,$B540, t,$M540,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
      </c>
      <c r="O540" s="65" t="n"/>
      <c r="P540" s="69" t="n"/>
      <c r="Q540" s="65" t="n"/>
      <c r="R540" s="69" t="n"/>
      <c r="S540" s="58" t="n"/>
      <c r="T540" s="69" t="n"/>
      <c r="U540" s="65" t="n"/>
      <c r="V540" s="65" t="n"/>
      <c r="W540" s="65" t="n"/>
    </row>
    <row r="541">
      <c r="A541" s="17" t="inlineStr">
        <is>
          <t>M</t>
        </is>
      </c>
      <c r="B541" s="18" t="inlineStr">
        <is>
          <t>200 IM</t>
        </is>
      </c>
      <c r="C541" s="18" t="n">
        <v>22</v>
      </c>
      <c r="D541" s="18" t="n">
        <v>3</v>
      </c>
      <c r="E541" s="46" t="inlineStr">
        <is>
          <t>1:59.24</t>
        </is>
      </c>
      <c r="F541" s="21">
        <f>IFERROR(__xludf.DUMMYFUNCTION("IF(
  REGEXMATCH(E541, "":""),
  60*VALUE(INDEX(SPLIT(E541, "":""),1,1)) + VALUE(INDEX(SPLIT(E541, "":""),1,2)),
  VALUE(E541)
)"),119.24000000000001)</f>
        <v/>
      </c>
      <c r="G541" s="21">
        <f>average(F538-F540,F539-F541)</f>
        <v/>
      </c>
      <c r="H541" s="21" t="n">
        <v>0.4450000000000003</v>
      </c>
      <c r="I541" s="211">
        <f>C526</f>
        <v/>
      </c>
      <c r="J541" s="211">
        <f>C543</f>
        <v/>
      </c>
      <c r="K541" s="60">
        <f t="array" ref="K541">INDEX('Podium Target Times'!$C:$C, MATCH(A541&amp;B541, 'Podium Target Times'!$A:$A&amp;'Podium Target Times'!$B:$B, 0))
</f>
        <v/>
      </c>
      <c r="L541" s="24">
        <f>L542+G542</f>
        <v/>
      </c>
      <c r="M541" s="60">
        <f>IF(L541&lt;60, TEXT(L541,"0.00"), IF(L541&lt;600, TEXT(L541/86400,"m:ss.00"), TEXT(L541/86400,"mm:ss.00")))
</f>
        <v/>
      </c>
      <c r="N541" s="25">
        <f>IFERROR(__xludf.DUMMYFUNCTION("LET(
  gen,$A541, ev,$B541, t,$M541,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)"),803.0)</f>
        <v/>
      </c>
      <c r="O541" s="65" t="n"/>
      <c r="P541" s="69" t="n"/>
      <c r="Q541" s="65" t="n"/>
      <c r="R541" s="69" t="n"/>
      <c r="S541" s="58" t="n"/>
      <c r="T541" s="69" t="n"/>
      <c r="U541" s="65" t="n"/>
      <c r="V541" s="65" t="n"/>
      <c r="W541" s="65" t="n"/>
    </row>
    <row r="542">
      <c r="A542" s="8" t="inlineStr">
        <is>
          <t>M</t>
        </is>
      </c>
      <c r="B542" s="9" t="inlineStr">
        <is>
          <t>200 IM</t>
        </is>
      </c>
      <c r="C542" s="9" t="n">
        <v>23</v>
      </c>
      <c r="D542" s="9" t="n">
        <v>3</v>
      </c>
      <c r="E542" s="41" t="inlineStr">
        <is>
          <t>1:59.05</t>
        </is>
      </c>
      <c r="F542" s="35">
        <f>IFERROR(__xludf.DUMMYFUNCTION("IF(
  REGEXMATCH(E542, "":""),
  60*VALUE(INDEX(SPLIT(E542, "":""),1,1)) + VALUE(INDEX(SPLIT(E542, "":""),1,2)),
  VALUE(E542)
)"),119.05)</f>
        <v/>
      </c>
      <c r="G542" s="35">
        <f>F541-F542</f>
        <v/>
      </c>
      <c r="H542" s="35" t="n">
        <v>0.1900000000000119</v>
      </c>
      <c r="I542" s="215">
        <f>C526</f>
        <v/>
      </c>
      <c r="J542" s="215">
        <f>C543</f>
        <v/>
      </c>
      <c r="K542" s="43">
        <f t="array" ref="K542">INDEX('Podium Target Times'!$C:$C, MATCH(A542&amp;B542, 'Podium Target Times'!$A:$A&amp;'Podium Target Times'!$B:$B, 0))
</f>
        <v/>
      </c>
      <c r="L542" s="12">
        <f>L543+G543</f>
        <v/>
      </c>
      <c r="M542" s="43">
        <f>IF(L542&lt;60, TEXT(L542,"0.00"), IF(L542&lt;600, TEXT(L542/86400,"m:ss.00"), TEXT(L542/86400,"mm:ss.00")))
</f>
        <v/>
      </c>
      <c r="N542" s="14">
        <f>IFERROR(__xludf.DUMMYFUNCTION("LET(
  gen,$A542, ev,$B542, t,$M542,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O542" s="65" t="n"/>
      <c r="P542" s="69" t="n"/>
      <c r="Q542" s="65" t="n"/>
      <c r="R542" s="69" t="n"/>
      <c r="S542" s="58" t="n"/>
      <c r="T542" s="69" t="n"/>
      <c r="U542" s="65" t="n"/>
      <c r="V542" s="65" t="n"/>
      <c r="W542" s="65" t="n"/>
    </row>
    <row r="543">
      <c r="A543" s="17" t="inlineStr">
        <is>
          <t>M</t>
        </is>
      </c>
      <c r="B543" s="18" t="inlineStr">
        <is>
          <t>200 IM</t>
        </is>
      </c>
      <c r="C543" s="18" t="n">
        <v>24</v>
      </c>
      <c r="D543" s="18" t="n">
        <v>3</v>
      </c>
      <c r="E543" s="46" t="inlineStr">
        <is>
          <t>1:59.05</t>
        </is>
      </c>
      <c r="F543" s="21">
        <f>IFERROR(__xludf.DUMMYFUNCTION("IF(
  REGEXMATCH(E543, "":""),
  60*VALUE(INDEX(SPLIT(E543, "":""),1,1)) + VALUE(INDEX(SPLIT(E543, "":""),1,2)),
  VALUE(E543)
)"),119.05)</f>
        <v/>
      </c>
      <c r="G543" s="21">
        <f>F542-F543</f>
        <v/>
      </c>
      <c r="H543" s="21" t="n">
        <v>0</v>
      </c>
      <c r="I543" s="211">
        <f>C526</f>
        <v/>
      </c>
      <c r="J543" s="211">
        <f>C543</f>
        <v/>
      </c>
      <c r="K543" s="60">
        <f t="array" ref="K543">INDEX('Podium Target Times'!$C:$C, MATCH(A543&amp;B543, 'Podium Target Times'!$A:$A&amp;'Podium Target Times'!$B:$B, 0))
</f>
        <v/>
      </c>
      <c r="L543" s="21">
        <f>G543+L544</f>
        <v/>
      </c>
      <c r="M543" s="60">
        <f>IF(L543&lt;60, TEXT(L543,"0.00"), IF(L543&lt;600, TEXT(L543/86400,"m:ss.00"), TEXT(L543/86400,"mm:ss.00")))
</f>
        <v/>
      </c>
      <c r="N543" s="25">
        <f>IFERROR(__xludf.DUMMYFUNCTION("LET(
  gen,$A543, ev,$B543, t,$M543,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O543" s="65" t="n"/>
      <c r="P543" s="69" t="n"/>
      <c r="Q543" s="65" t="n"/>
      <c r="R543" s="69" t="n"/>
      <c r="S543" s="58" t="n"/>
      <c r="T543" s="69" t="n"/>
      <c r="U543" s="65" t="n"/>
      <c r="V543" s="65" t="n"/>
      <c r="W543" s="65" t="n"/>
    </row>
    <row r="544">
      <c r="A544" s="8" t="inlineStr">
        <is>
          <t>M</t>
        </is>
      </c>
      <c r="B544" s="9" t="inlineStr">
        <is>
          <t>200 IM</t>
        </is>
      </c>
      <c r="C544" s="9" t="n">
        <v>25</v>
      </c>
      <c r="D544" s="9" t="n"/>
      <c r="E544" s="41" t="n"/>
      <c r="F544" s="35">
        <f>IFERROR(__xludf.DUMMYFUNCTION("IF(
  REGEXMATCH(E544, "":""),
  60*VALUE(INDEX(SPLIT(E544, "":""),1,1)) + VALUE(INDEX(SPLIT(E544, "":""),1,2)),
  VALUE(E544)
)"),0.0)</f>
        <v/>
      </c>
      <c r="G544" s="35">
        <f>F543-F544</f>
        <v/>
      </c>
      <c r="H544" s="35" t="n"/>
      <c r="I544" s="215">
        <f>C526</f>
        <v/>
      </c>
      <c r="J544" s="215">
        <f>C543</f>
        <v/>
      </c>
      <c r="K544" s="43">
        <f t="array" ref="K544">INDEX('Podium Target Times'!$C:$C, MATCH(A544&amp;B544, 'Podium Target Times'!$A:$A&amp;'Podium Target Times'!$B:$B, 0))
</f>
        <v/>
      </c>
      <c r="L544" s="215">
        <f>K544</f>
        <v/>
      </c>
      <c r="M544" s="43">
        <f>IF(L544&lt;60, TEXT(L544,"0.00"), IF(L544&lt;600, TEXT(L544/86400,"m:ss.00"), TEXT(L544/86400,"mm:ss.00")))
</f>
        <v/>
      </c>
      <c r="N544" s="14">
        <f>IFERROR(__xludf.DUMMYFUNCTION("LET(
  gen,$A544, ev,$B544, t,$M544,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O544" s="65" t="n"/>
      <c r="P544" s="69" t="n"/>
      <c r="Q544" s="65" t="n"/>
      <c r="R544" s="69" t="n"/>
      <c r="S544" s="58" t="n"/>
      <c r="T544" s="69" t="n"/>
      <c r="U544" s="65" t="n"/>
      <c r="V544" s="65" t="n"/>
      <c r="W544" s="65" t="n"/>
    </row>
    <row r="545">
      <c r="A545" s="17" t="inlineStr">
        <is>
          <t>M</t>
        </is>
      </c>
      <c r="B545" s="18" t="inlineStr">
        <is>
          <t>400 Free</t>
        </is>
      </c>
      <c r="C545" s="18" t="n">
        <v>15</v>
      </c>
      <c r="D545" s="18" t="n">
        <v>1</v>
      </c>
      <c r="E545" s="46" t="inlineStr">
        <is>
          <t>4:08.91</t>
        </is>
      </c>
      <c r="F545" s="21">
        <f>IFERROR(__xludf.DUMMYFUNCTION("IF(
  REGEXMATCH(E545, "":""),
  60*VALUE(INDEX(SPLIT(E545, "":""),1,1)) + VALUE(INDEX(SPLIT(E545, "":""),1,2)),
  VALUE(E545)
)"),248.91)</f>
        <v/>
      </c>
      <c r="G545" s="24" t="n">
        <v>0</v>
      </c>
      <c r="H545" s="24" t="n">
        <v>0</v>
      </c>
      <c r="I545" s="60">
        <f>C545</f>
        <v/>
      </c>
      <c r="J545" s="60">
        <f>C562</f>
        <v/>
      </c>
      <c r="K545" s="60">
        <f t="array" ref="K545">INDEX('Podium Target Times'!$C:$C, MATCH(A545&amp;B545, 'Podium Target Times'!$A:$A&amp;'Podium Target Times'!$B:$B, 0))
</f>
        <v/>
      </c>
      <c r="L545" s="24">
        <f>L546+G546</f>
        <v/>
      </c>
      <c r="M545" s="60">
        <f>IF(L545&lt;60, TEXT(L545,"0.00"), IF(L545&lt;600, TEXT(L545/86400,"m:ss.00"), TEXT(L545/86400,"mm:ss.00")))
</f>
        <v/>
      </c>
      <c r="N545" s="25">
        <f>IFERROR(__xludf.DUMMYFUNCTION("LET(
  gen,$A545, ev,$B545, t,$M545,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)"),619.0)</f>
        <v/>
      </c>
      <c r="O545" s="65" t="n"/>
      <c r="P545" s="69">
        <f>A545</f>
        <v/>
      </c>
      <c r="Q545" s="65">
        <f>B545</f>
        <v/>
      </c>
      <c r="R545" s="69">
        <f>C545</f>
        <v/>
      </c>
      <c r="S545" s="58">
        <f>M545</f>
        <v/>
      </c>
      <c r="T545" s="69">
        <f>N545</f>
        <v/>
      </c>
      <c r="U545" s="65" t="n">
        <v>621</v>
      </c>
      <c r="V545" s="65" t="n"/>
      <c r="W545" s="65" t="n"/>
    </row>
    <row r="546">
      <c r="A546" s="8" t="inlineStr">
        <is>
          <t>M</t>
        </is>
      </c>
      <c r="B546" s="9" t="inlineStr">
        <is>
          <t>400 Free</t>
        </is>
      </c>
      <c r="C546" s="9" t="n">
        <v>16</v>
      </c>
      <c r="D546" s="9" t="n">
        <v>1</v>
      </c>
      <c r="E546" s="41" t="inlineStr">
        <is>
          <t>4:00.79</t>
        </is>
      </c>
      <c r="F546" s="35">
        <f>IFERROR(__xludf.DUMMYFUNCTION("IF(
  REGEXMATCH(E546, "":""),
  60*VALUE(INDEX(SPLIT(E546, "":""),1,1)) + VALUE(INDEX(SPLIT(E546, "":""),1,2)),
  VALUE(E546)
)"),240.79)</f>
        <v/>
      </c>
      <c r="G546" s="35">
        <f>F545-F546</f>
        <v/>
      </c>
      <c r="H546" s="35" t="n">
        <v>8.120000000000005</v>
      </c>
      <c r="I546" s="215">
        <f>C545</f>
        <v/>
      </c>
      <c r="J546" s="215">
        <f>C562</f>
        <v/>
      </c>
      <c r="K546" s="43">
        <f t="array" ref="K546">INDEX('Podium Target Times'!$C:$C, MATCH(A546&amp;B546, 'Podium Target Times'!$A:$A&amp;'Podium Target Times'!$B:$B, 0))
</f>
        <v/>
      </c>
      <c r="L546" s="12">
        <f>L548+G548</f>
        <v/>
      </c>
      <c r="M546" s="43">
        <f>IF(L546&lt;60, TEXT(L546,"0.00"), IF(L546&lt;600, TEXT(L546/86400,"m:ss.00"), TEXT(L546/86400,"mm:ss.00")))
</f>
        <v/>
      </c>
      <c r="N546" s="14">
        <f>IFERROR(__xludf.DUMMYFUNCTION("LET(
  gen,$A546, ev,$B546, t,$M546,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
      </c>
      <c r="O546" s="65" t="n"/>
      <c r="P546" s="69">
        <f>A546</f>
        <v/>
      </c>
      <c r="Q546" s="65">
        <f>B546</f>
        <v/>
      </c>
      <c r="R546" s="69">
        <f>C546</f>
        <v/>
      </c>
      <c r="S546" s="58">
        <f>M546</f>
        <v/>
      </c>
      <c r="T546" s="69">
        <f>N546</f>
        <v/>
      </c>
      <c r="U546" s="65" t="n"/>
      <c r="V546" s="65" t="n"/>
      <c r="W546" s="65" t="n"/>
    </row>
    <row r="547">
      <c r="A547" s="17" t="inlineStr">
        <is>
          <t>M</t>
        </is>
      </c>
      <c r="B547" s="18" t="inlineStr">
        <is>
          <t>400 Free</t>
        </is>
      </c>
      <c r="C547" s="18" t="n">
        <v>16</v>
      </c>
      <c r="D547" s="18" t="n">
        <v>2</v>
      </c>
      <c r="E547" s="46" t="inlineStr">
        <is>
          <t>4:03.63</t>
        </is>
      </c>
      <c r="F547" s="21">
        <f>IFERROR(__xludf.DUMMYFUNCTION("IF(
  REGEXMATCH(E547, "":""),
  60*VALUE(INDEX(SPLIT(E547, "":""),1,1)) + VALUE(INDEX(SPLIT(E547, "":""),1,2)),
  VALUE(E547)
)"),243.63)</f>
        <v/>
      </c>
      <c r="G547" s="21">
        <f>F545-F546</f>
        <v/>
      </c>
      <c r="H547" s="21" t="n">
        <v>8.120000000000005</v>
      </c>
      <c r="I547" s="211">
        <f>C545</f>
        <v/>
      </c>
      <c r="J547" s="211">
        <f>C562</f>
        <v/>
      </c>
      <c r="K547" s="60">
        <f t="array" ref="K547">INDEX('Podium Target Times'!$C:$C, MATCH(A547&amp;B547, 'Podium Target Times'!$A:$A&amp;'Podium Target Times'!$B:$B, 0))
</f>
        <v/>
      </c>
      <c r="L547" s="24">
        <f>L548+G548</f>
        <v/>
      </c>
      <c r="M547" s="60">
        <f>IF(L547&lt;60, TEXT(L547,"0.00"), IF(L547&lt;600, TEXT(L547/86400,"m:ss.00"), TEXT(L547/86400,"mm:ss.00")))
</f>
        <v/>
      </c>
      <c r="N547" s="25">
        <f>IFERROR(__xludf.DUMMYFUNCTION("LET(
  gen,$A547, ev,$B547, t,$M547,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
      </c>
      <c r="O547" s="65" t="n"/>
      <c r="P547" s="69">
        <f>A548</f>
        <v/>
      </c>
      <c r="Q547" s="65">
        <f>B548</f>
        <v/>
      </c>
      <c r="R547" s="69">
        <f>C548</f>
        <v/>
      </c>
      <c r="S547" s="58">
        <f>M548</f>
        <v/>
      </c>
      <c r="T547" s="69">
        <f>N548</f>
        <v/>
      </c>
      <c r="U547" s="65" t="n"/>
      <c r="V547" s="65" t="n"/>
      <c r="W547" s="65" t="n"/>
    </row>
    <row r="548">
      <c r="A548" s="8" t="inlineStr">
        <is>
          <t>M</t>
        </is>
      </c>
      <c r="B548" s="9" t="inlineStr">
        <is>
          <t>400 Free</t>
        </is>
      </c>
      <c r="C548" s="9" t="n">
        <v>17</v>
      </c>
      <c r="D548" s="9" t="n">
        <v>1</v>
      </c>
      <c r="E548" s="41" t="inlineStr">
        <is>
          <t>3:54.84</t>
        </is>
      </c>
      <c r="F548" s="35">
        <f>IFERROR(__xludf.DUMMYFUNCTION("IF(
  REGEXMATCH(E548, "":""),
  60*VALUE(INDEX(SPLIT(E548, "":""),1,1)) + VALUE(INDEX(SPLIT(E548, "":""),1,2)),
  VALUE(E548)
)"),234.84)</f>
        <v/>
      </c>
      <c r="G548" s="35">
        <f>average(F546-F548,F547-F549)</f>
        <v/>
      </c>
      <c r="H548" s="35" t="n">
        <v>5.984999999999985</v>
      </c>
      <c r="I548" s="215">
        <f>C545</f>
        <v/>
      </c>
      <c r="J548" s="215">
        <f>C562</f>
        <v/>
      </c>
      <c r="K548" s="43">
        <f t="array" ref="K548">INDEX('Podium Target Times'!$C:$C, MATCH(A548&amp;B548, 'Podium Target Times'!$A:$A&amp;'Podium Target Times'!$B:$B, 0))
</f>
        <v/>
      </c>
      <c r="L548" s="12">
        <f>L551+G551</f>
        <v/>
      </c>
      <c r="M548" s="43">
        <f>IF(L548&lt;60, TEXT(L548,"0.00"), IF(L548&lt;600, TEXT(L548/86400,"m:ss.00"), TEXT(L548/86400,"mm:ss.00")))
</f>
        <v/>
      </c>
      <c r="N548" s="14">
        <f>IFERROR(__xludf.DUMMYFUNCTION("LET(
  gen,$A548, ev,$B548, t,$M548,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O548" s="65" t="n"/>
      <c r="P548" s="69">
        <f>A551</f>
        <v/>
      </c>
      <c r="Q548" s="65">
        <f>B551</f>
        <v/>
      </c>
      <c r="R548" s="69">
        <f>C551</f>
        <v/>
      </c>
      <c r="S548" s="58">
        <f>M551</f>
        <v/>
      </c>
      <c r="T548" s="69">
        <f>N551</f>
        <v/>
      </c>
      <c r="U548" s="65" t="n"/>
      <c r="V548" s="65" t="n"/>
      <c r="W548" s="65" t="n"/>
    </row>
    <row r="549">
      <c r="A549" s="17" t="inlineStr">
        <is>
          <t>M</t>
        </is>
      </c>
      <c r="B549" s="18" t="inlineStr">
        <is>
          <t>400 Free</t>
        </is>
      </c>
      <c r="C549" s="18" t="n">
        <v>17</v>
      </c>
      <c r="D549" s="18" t="n">
        <v>2</v>
      </c>
      <c r="E549" s="46" t="inlineStr">
        <is>
          <t>3:57.61</t>
        </is>
      </c>
      <c r="F549" s="21">
        <f>IFERROR(__xludf.DUMMYFUNCTION("IF(
  REGEXMATCH(E549, "":""),
  60*VALUE(INDEX(SPLIT(E549, "":""),1,1)) + VALUE(INDEX(SPLIT(E549, "":""),1,2)),
  VALUE(E549)
)"),237.61)</f>
        <v/>
      </c>
      <c r="G549" s="21">
        <f>average(F546-F548,F547-F549)</f>
        <v/>
      </c>
      <c r="H549" s="21" t="n">
        <v>5.984999999999985</v>
      </c>
      <c r="I549" s="211">
        <f>C545</f>
        <v/>
      </c>
      <c r="J549" s="211">
        <f>C562</f>
        <v/>
      </c>
      <c r="K549" s="60">
        <f t="array" ref="K549">INDEX('Podium Target Times'!$C:$C, MATCH(A549&amp;B549, 'Podium Target Times'!$A:$A&amp;'Podium Target Times'!$B:$B, 0))
</f>
        <v/>
      </c>
      <c r="L549" s="24">
        <f>L551+G551</f>
        <v/>
      </c>
      <c r="M549" s="60">
        <f>IF(L549&lt;60, TEXT(L549,"0.00"), IF(L549&lt;600, TEXT(L549/86400,"m:ss.00"), TEXT(L549/86400,"mm:ss.00")))
</f>
        <v/>
      </c>
      <c r="N549" s="25">
        <f>IFERROR(__xludf.DUMMYFUNCTION("LET(
  gen,$A549, ev,$B549, t,$M549,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O549" s="65" t="n"/>
      <c r="P549" s="69">
        <f>A554</f>
        <v/>
      </c>
      <c r="Q549" s="65">
        <f>B554</f>
        <v/>
      </c>
      <c r="R549" s="69">
        <f>C554</f>
        <v/>
      </c>
      <c r="S549" s="58">
        <f>M554</f>
        <v/>
      </c>
      <c r="T549" s="69">
        <f>N554</f>
        <v/>
      </c>
      <c r="U549" s="65" t="n"/>
      <c r="V549" s="65" t="n"/>
      <c r="W549" s="65" t="n"/>
    </row>
    <row r="550">
      <c r="A550" s="8" t="inlineStr">
        <is>
          <t>M</t>
        </is>
      </c>
      <c r="B550" s="9" t="inlineStr">
        <is>
          <t>400 Free</t>
        </is>
      </c>
      <c r="C550" s="9" t="n">
        <v>17</v>
      </c>
      <c r="D550" s="9" t="n">
        <v>3</v>
      </c>
      <c r="E550" s="41" t="inlineStr">
        <is>
          <t>3:58.24</t>
        </is>
      </c>
      <c r="F550" s="35">
        <f>IFERROR(__xludf.DUMMYFUNCTION("IF(
  REGEXMATCH(E550, "":""),
  60*VALUE(INDEX(SPLIT(E550, "":""),1,1)) + VALUE(INDEX(SPLIT(E550, "":""),1,2)),
  VALUE(E550)
)"),238.24)</f>
        <v/>
      </c>
      <c r="G550" s="35">
        <f>average(F546-F548,F547-F549)</f>
        <v/>
      </c>
      <c r="H550" s="35" t="n">
        <v>5.984999999999985</v>
      </c>
      <c r="I550" s="215">
        <f>C545</f>
        <v/>
      </c>
      <c r="J550" s="215">
        <f>C562</f>
        <v/>
      </c>
      <c r="K550" s="43">
        <f t="array" ref="K550">INDEX('Podium Target Times'!$C:$C, MATCH(A550&amp;B550, 'Podium Target Times'!$A:$A&amp;'Podium Target Times'!$B:$B, 0))
</f>
        <v/>
      </c>
      <c r="L550" s="12">
        <f>L551+G551</f>
        <v/>
      </c>
      <c r="M550" s="43">
        <f>IF(L550&lt;60, TEXT(L550,"0.00"), IF(L550&lt;600, TEXT(L550/86400,"m:ss.00"), TEXT(L550/86400,"mm:ss.00")))
</f>
        <v/>
      </c>
      <c r="N550" s="14">
        <f>IFERROR(__xludf.DUMMYFUNCTION("LET(
  gen,$A550, ev,$B550, t,$M550,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O550" s="65" t="n"/>
      <c r="P550" s="69">
        <f>A557</f>
        <v/>
      </c>
      <c r="Q550" s="65">
        <f>B557</f>
        <v/>
      </c>
      <c r="R550" s="69">
        <f>C557</f>
        <v/>
      </c>
      <c r="S550" s="58">
        <f>M557</f>
        <v/>
      </c>
      <c r="T550" s="69">
        <f>N557</f>
        <v/>
      </c>
      <c r="U550" s="65" t="n"/>
      <c r="V550" s="65" t="n"/>
      <c r="W550" s="65" t="n"/>
    </row>
    <row r="551">
      <c r="A551" s="17" t="inlineStr">
        <is>
          <t>M</t>
        </is>
      </c>
      <c r="B551" s="18" t="inlineStr">
        <is>
          <t>400 Free</t>
        </is>
      </c>
      <c r="C551" s="18" t="n">
        <v>18</v>
      </c>
      <c r="D551" s="18" t="n">
        <v>1</v>
      </c>
      <c r="E551" s="46" t="inlineStr">
        <is>
          <t>3:50.84</t>
        </is>
      </c>
      <c r="F551" s="21">
        <f>IFERROR(__xludf.DUMMYFUNCTION("IF(
  REGEXMATCH(E551, "":""),
  60*VALUE(INDEX(SPLIT(E551, "":""),1,1)) + VALUE(INDEX(SPLIT(E551, "":""),1,2)),
  VALUE(E551)
)"),230.84)</f>
        <v/>
      </c>
      <c r="G551" s="21">
        <f>average(F548-F551,F549-F552,F550-F553)</f>
        <v/>
      </c>
      <c r="H551" s="21" t="n">
        <v>4.036666666666672</v>
      </c>
      <c r="I551" s="211">
        <f>C545</f>
        <v/>
      </c>
      <c r="J551" s="211">
        <f>C562</f>
        <v/>
      </c>
      <c r="K551" s="60">
        <f t="array" ref="K551">INDEX('Podium Target Times'!$C:$C, MATCH(A551&amp;B551, 'Podium Target Times'!$A:$A&amp;'Podium Target Times'!$B:$B, 0))
</f>
        <v/>
      </c>
      <c r="L551" s="24">
        <f>L554+G554</f>
        <v/>
      </c>
      <c r="M551" s="60">
        <f>IF(L551&lt;60, TEXT(L551,"0.00"), IF(L551&lt;600, TEXT(L551/86400,"m:ss.00"), TEXT(L551/86400,"mm:ss.00")))
</f>
        <v/>
      </c>
      <c r="N551" s="25">
        <f>IFERROR(__xludf.DUMMYFUNCTION("LET(
  gen,$A551, ev,$B551, t,$M551,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
      </c>
      <c r="O551" s="65" t="n"/>
      <c r="P551" s="69">
        <f>A559</f>
        <v/>
      </c>
      <c r="Q551" s="65">
        <f>B559</f>
        <v/>
      </c>
      <c r="R551" s="69">
        <f>C559</f>
        <v/>
      </c>
      <c r="S551" s="58">
        <f>M559</f>
        <v/>
      </c>
      <c r="T551" s="69">
        <f>N559</f>
        <v/>
      </c>
      <c r="U551" s="65" t="n"/>
      <c r="V551" s="65" t="n"/>
      <c r="W551" s="65" t="n"/>
    </row>
    <row r="552">
      <c r="A552" s="8" t="inlineStr">
        <is>
          <t>M</t>
        </is>
      </c>
      <c r="B552" s="9" t="inlineStr">
        <is>
          <t>400 Free</t>
        </is>
      </c>
      <c r="C552" s="9" t="n">
        <v>18</v>
      </c>
      <c r="D552" s="9" t="n">
        <v>2</v>
      </c>
      <c r="E552" s="41" t="inlineStr">
        <is>
          <t>3:53.56</t>
        </is>
      </c>
      <c r="F552" s="35">
        <f>IFERROR(__xludf.DUMMYFUNCTION("IF(
  REGEXMATCH(E552, "":""),
  60*VALUE(INDEX(SPLIT(E552, "":""),1,1)) + VALUE(INDEX(SPLIT(E552, "":""),1,2)),
  VALUE(E552)
)"),233.56)</f>
        <v/>
      </c>
      <c r="G552" s="35">
        <f>average(F548-F551,F549-F552,F550-F553)</f>
        <v/>
      </c>
      <c r="H552" s="35" t="n">
        <v>4.036666666666672</v>
      </c>
      <c r="I552" s="215">
        <f>C545</f>
        <v/>
      </c>
      <c r="J552" s="215">
        <f>C562</f>
        <v/>
      </c>
      <c r="K552" s="43">
        <f t="array" ref="K552">INDEX('Podium Target Times'!$C:$C, MATCH(A552&amp;B552, 'Podium Target Times'!$A:$A&amp;'Podium Target Times'!$B:$B, 0))
</f>
        <v/>
      </c>
      <c r="L552" s="12">
        <f>L554+G554</f>
        <v/>
      </c>
      <c r="M552" s="43">
        <f>IF(L552&lt;60, TEXT(L552,"0.00"), IF(L552&lt;600, TEXT(L552/86400,"m:ss.00"), TEXT(L552/86400,"mm:ss.00")))
</f>
        <v/>
      </c>
      <c r="N552" s="14">
        <f>IFERROR(__xludf.DUMMYFUNCTION("LET(
  gen,$A552, ev,$B552, t,$M552,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
      </c>
      <c r="O552" s="65" t="n"/>
      <c r="P552" s="69">
        <f>A561</f>
        <v/>
      </c>
      <c r="Q552" s="65">
        <f>B561</f>
        <v/>
      </c>
      <c r="R552" s="69">
        <f>C561</f>
        <v/>
      </c>
      <c r="S552" s="58">
        <f>M561</f>
        <v/>
      </c>
      <c r="T552" s="69">
        <f>N561</f>
        <v/>
      </c>
      <c r="U552" s="65" t="n"/>
      <c r="V552" s="65" t="n"/>
      <c r="W552" s="65" t="n"/>
    </row>
    <row r="553">
      <c r="A553" s="17" t="inlineStr">
        <is>
          <t>M</t>
        </is>
      </c>
      <c r="B553" s="18" t="inlineStr">
        <is>
          <t>400 Free</t>
        </is>
      </c>
      <c r="C553" s="18" t="n">
        <v>18</v>
      </c>
      <c r="D553" s="18" t="n">
        <v>3</v>
      </c>
      <c r="E553" s="46" t="inlineStr">
        <is>
          <t>3:54.18</t>
        </is>
      </c>
      <c r="F553" s="21">
        <f>IFERROR(__xludf.DUMMYFUNCTION("IF(
  REGEXMATCH(E553, "":""),
  60*VALUE(INDEX(SPLIT(E553, "":""),1,1)) + VALUE(INDEX(SPLIT(E553, "":""),1,2)),
  VALUE(E553)
)"),234.18)</f>
        <v/>
      </c>
      <c r="G553" s="21">
        <f>average(F548-F551,F549-F552,F550-F553)</f>
        <v/>
      </c>
      <c r="H553" s="21" t="n">
        <v>4.036666666666672</v>
      </c>
      <c r="I553" s="211">
        <f>C545</f>
        <v/>
      </c>
      <c r="J553" s="211">
        <f>C562</f>
        <v/>
      </c>
      <c r="K553" s="60">
        <f t="array" ref="K553">INDEX('Podium Target Times'!$C:$C, MATCH(A553&amp;B553, 'Podium Target Times'!$A:$A&amp;'Podium Target Times'!$B:$B, 0))
</f>
        <v/>
      </c>
      <c r="L553" s="24">
        <f>L554+G554</f>
        <v/>
      </c>
      <c r="M553" s="60">
        <f>IF(L553&lt;60, TEXT(L553,"0.00"), IF(L553&lt;600, TEXT(L553/86400,"m:ss.00"), TEXT(L553/86400,"mm:ss.00")))
</f>
        <v/>
      </c>
      <c r="N553" s="25">
        <f>IFERROR(__xludf.DUMMYFUNCTION("LET(
  gen,$A553, ev,$B553, t,$M553,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)"),770.0)</f>
        <v/>
      </c>
      <c r="O553" s="65" t="n"/>
      <c r="P553" s="69">
        <f>A562</f>
        <v/>
      </c>
      <c r="Q553" s="65">
        <f>B562</f>
        <v/>
      </c>
      <c r="R553" s="69">
        <f>C562</f>
        <v/>
      </c>
      <c r="S553" s="58">
        <f>M562</f>
        <v/>
      </c>
      <c r="T553" s="69">
        <f>N562</f>
        <v/>
      </c>
      <c r="U553" s="65" t="n">
        <v>834</v>
      </c>
      <c r="V553" s="65" t="n"/>
      <c r="W553" s="65" t="n"/>
    </row>
    <row r="554">
      <c r="A554" s="8" t="inlineStr">
        <is>
          <t>M</t>
        </is>
      </c>
      <c r="B554" s="9" t="inlineStr">
        <is>
          <t>400 Free</t>
        </is>
      </c>
      <c r="C554" s="9" t="n">
        <v>19</v>
      </c>
      <c r="D554" s="9" t="n">
        <v>1</v>
      </c>
      <c r="E554" s="41" t="inlineStr">
        <is>
          <t>3:48.15</t>
        </is>
      </c>
      <c r="F554" s="35">
        <f>IFERROR(__xludf.DUMMYFUNCTION("IF(
  REGEXMATCH(E554, "":""),
  60*VALUE(INDEX(SPLIT(E554, "":""),1,1)) + VALUE(INDEX(SPLIT(E554, "":""),1,2)),
  VALUE(E554)
)"),228.15)</f>
        <v/>
      </c>
      <c r="G554" s="35">
        <f>average(F551-F554,F552-F555,F553-F556)</f>
        <v/>
      </c>
      <c r="H554" s="35" t="n">
        <v>2.713333333333338</v>
      </c>
      <c r="I554" s="215">
        <f>C545</f>
        <v/>
      </c>
      <c r="J554" s="215">
        <f>C562</f>
        <v/>
      </c>
      <c r="K554" s="43">
        <f t="array" ref="K554">INDEX('Podium Target Times'!$C:$C, MATCH(A554&amp;B554, 'Podium Target Times'!$A:$A&amp;'Podium Target Times'!$B:$B, 0))
</f>
        <v/>
      </c>
      <c r="L554" s="12">
        <f>L557+G557</f>
        <v/>
      </c>
      <c r="M554" s="43">
        <f>IF(L554&lt;60, TEXT(L554,"0.00"), IF(L554&lt;600, TEXT(L554/86400,"m:ss.00"), TEXT(L554/86400,"mm:ss.00")))
</f>
        <v/>
      </c>
      <c r="N554" s="14">
        <f>IFERROR(__xludf.DUMMYFUNCTION("LET(
  gen,$A554, ev,$B554, t,$M554,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
      </c>
      <c r="O554" s="65" t="n"/>
      <c r="P554" s="69">
        <f>P553</f>
        <v/>
      </c>
      <c r="Q554" s="65">
        <f>Q553</f>
        <v/>
      </c>
      <c r="R554" s="69">
        <f>R553+1</f>
        <v/>
      </c>
      <c r="S554" s="58">
        <f>M563</f>
        <v/>
      </c>
      <c r="T554" s="69">
        <f>N563</f>
        <v/>
      </c>
      <c r="U554" s="65" t="n"/>
      <c r="V554" s="65" t="n"/>
      <c r="W554" s="65" t="n"/>
    </row>
    <row r="555">
      <c r="A555" s="17" t="inlineStr">
        <is>
          <t>M</t>
        </is>
      </c>
      <c r="B555" s="18" t="inlineStr">
        <is>
          <t>400 Free</t>
        </is>
      </c>
      <c r="C555" s="18" t="n">
        <v>19</v>
      </c>
      <c r="D555" s="18" t="n">
        <v>2</v>
      </c>
      <c r="E555" s="46" t="inlineStr">
        <is>
          <t>3:50.84</t>
        </is>
      </c>
      <c r="F555" s="21">
        <f>IFERROR(__xludf.DUMMYFUNCTION("IF(
  REGEXMATCH(E555, "":""),
  60*VALUE(INDEX(SPLIT(E555, "":""),1,1)) + VALUE(INDEX(SPLIT(E555, "":""),1,2)),
  VALUE(E555)
)"),230.84)</f>
        <v/>
      </c>
      <c r="G555" s="21">
        <f>average(F551-F554,F552-F555,F553-F556)</f>
        <v/>
      </c>
      <c r="H555" s="21" t="n">
        <v>2.713333333333338</v>
      </c>
      <c r="I555" s="211">
        <f>C545</f>
        <v/>
      </c>
      <c r="J555" s="211">
        <f>C562</f>
        <v/>
      </c>
      <c r="K555" s="60">
        <f t="array" ref="K555">INDEX('Podium Target Times'!$C:$C, MATCH(A555&amp;B555, 'Podium Target Times'!$A:$A&amp;'Podium Target Times'!$B:$B, 0))
</f>
        <v/>
      </c>
      <c r="L555" s="24">
        <f>L557+G557</f>
        <v/>
      </c>
      <c r="M555" s="60">
        <f>IF(L555&lt;60, TEXT(L555,"0.00"), IF(L555&lt;600, TEXT(L555/86400,"m:ss.00"), TEXT(L555/86400,"mm:ss.00")))
</f>
        <v/>
      </c>
      <c r="N555" s="25">
        <f>IFERROR(__xludf.DUMMYFUNCTION("LET(
  gen,$A555, ev,$B555, t,$M555,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
      </c>
      <c r="O555" s="65" t="n"/>
      <c r="P555" s="69">
        <f>P554</f>
        <v/>
      </c>
      <c r="Q555" s="65">
        <f>Q554</f>
        <v/>
      </c>
      <c r="R555" s="69">
        <f>R554+1</f>
        <v/>
      </c>
      <c r="S555" s="58">
        <f>M564</f>
        <v/>
      </c>
      <c r="T555" s="69">
        <f>N564</f>
        <v/>
      </c>
      <c r="U555" s="65" t="n"/>
      <c r="V555" s="65" t="n"/>
      <c r="W555" s="65" t="n"/>
    </row>
    <row r="556">
      <c r="A556" s="8" t="inlineStr">
        <is>
          <t>M</t>
        </is>
      </c>
      <c r="B556" s="9" t="inlineStr">
        <is>
          <t>400 Free</t>
        </is>
      </c>
      <c r="C556" s="9" t="n">
        <v>19</v>
      </c>
      <c r="D556" s="9" t="n">
        <v>3</v>
      </c>
      <c r="E556" s="41" t="inlineStr">
        <is>
          <t>3:51.45</t>
        </is>
      </c>
      <c r="F556" s="35">
        <f>IFERROR(__xludf.DUMMYFUNCTION("IF(
  REGEXMATCH(E556, "":""),
  60*VALUE(INDEX(SPLIT(E556, "":""),1,1)) + VALUE(INDEX(SPLIT(E556, "":""),1,2)),
  VALUE(E556)
)"),231.45)</f>
        <v/>
      </c>
      <c r="G556" s="35">
        <f>average(F551-F554,F552-F555,F553-F556)</f>
        <v/>
      </c>
      <c r="H556" s="35" t="n">
        <v>2.713333333333338</v>
      </c>
      <c r="I556" s="215">
        <f>C545</f>
        <v/>
      </c>
      <c r="J556" s="215">
        <f>C562</f>
        <v/>
      </c>
      <c r="K556" s="43">
        <f t="array" ref="K556">INDEX('Podium Target Times'!$C:$C, MATCH(A556&amp;B556, 'Podium Target Times'!$A:$A&amp;'Podium Target Times'!$B:$B, 0))
</f>
        <v/>
      </c>
      <c r="L556" s="12">
        <f>L557+G557</f>
        <v/>
      </c>
      <c r="M556" s="43">
        <f>IF(L556&lt;60, TEXT(L556,"0.00"), IF(L556&lt;600, TEXT(L556/86400,"m:ss.00"), TEXT(L556/86400,"mm:ss.00")))
</f>
        <v/>
      </c>
      <c r="N556" s="14">
        <f>IFERROR(__xludf.DUMMYFUNCTION("LET(
  gen,$A556, ev,$B556, t,$M556,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)"),797.0)</f>
        <v/>
      </c>
      <c r="O556" s="65" t="n"/>
      <c r="P556" s="69" t="n"/>
      <c r="Q556" s="65" t="n"/>
      <c r="R556" s="69" t="n"/>
      <c r="S556" s="58" t="n"/>
      <c r="T556" s="69" t="n"/>
      <c r="U556" s="65" t="n"/>
      <c r="V556" s="65" t="n"/>
      <c r="W556" s="65" t="n"/>
    </row>
    <row r="557">
      <c r="A557" s="17" t="inlineStr">
        <is>
          <t>M</t>
        </is>
      </c>
      <c r="B557" s="18" t="inlineStr">
        <is>
          <t>400 Free</t>
        </is>
      </c>
      <c r="C557" s="18" t="n">
        <v>20</v>
      </c>
      <c r="D557" s="18" t="n">
        <v>2</v>
      </c>
      <c r="E557" s="46" t="inlineStr">
        <is>
          <t>3:49.11</t>
        </is>
      </c>
      <c r="F557" s="21">
        <f>IFERROR(__xludf.DUMMYFUNCTION("IF(
  REGEXMATCH(E557, "":""),
  60*VALUE(INDEX(SPLIT(E557, "":""),1,1)) + VALUE(INDEX(SPLIT(E557, "":""),1,2)),
  VALUE(E557)
)"),229.11)</f>
        <v/>
      </c>
      <c r="G557" s="21">
        <f>average(F555-F557,F556-F558)</f>
        <v/>
      </c>
      <c r="H557" s="21" t="n">
        <v>1.72999999999999</v>
      </c>
      <c r="I557" s="211">
        <f>C545</f>
        <v/>
      </c>
      <c r="J557" s="211">
        <f>C562</f>
        <v/>
      </c>
      <c r="K557" s="60">
        <f t="array" ref="K557">INDEX('Podium Target Times'!$C:$C, MATCH(A557&amp;B557, 'Podium Target Times'!$A:$A&amp;'Podium Target Times'!$B:$B, 0))
</f>
        <v/>
      </c>
      <c r="L557" s="24">
        <f>L559+G559</f>
        <v/>
      </c>
      <c r="M557" s="60">
        <f>IF(L557&lt;60, TEXT(L557,"0.00"), IF(L557&lt;600, TEXT(L557/86400,"m:ss.00"), TEXT(L557/86400,"mm:ss.00")))
</f>
        <v/>
      </c>
      <c r="N557" s="25">
        <f>IFERROR(__xludf.DUMMYFUNCTION("LET(
  gen,$A557, ev,$B557, t,$M557,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
      </c>
      <c r="O557" s="65" t="n"/>
      <c r="P557" s="69" t="n"/>
      <c r="Q557" s="65" t="n"/>
      <c r="R557" s="69" t="n"/>
      <c r="S557" s="58" t="n"/>
      <c r="T557" s="69" t="n"/>
      <c r="U557" s="65" t="n"/>
      <c r="V557" s="65" t="n"/>
      <c r="W557" s="65" t="n"/>
    </row>
    <row r="558">
      <c r="A558" s="8" t="inlineStr">
        <is>
          <t>M</t>
        </is>
      </c>
      <c r="B558" s="9" t="inlineStr">
        <is>
          <t>400 Free</t>
        </is>
      </c>
      <c r="C558" s="9" t="n">
        <v>20</v>
      </c>
      <c r="D558" s="9" t="n">
        <v>3</v>
      </c>
      <c r="E558" s="41" t="inlineStr">
        <is>
          <t>3:49.72</t>
        </is>
      </c>
      <c r="F558" s="35">
        <f>IFERROR(__xludf.DUMMYFUNCTION("IF(
  REGEXMATCH(E558, "":""),
  60*VALUE(INDEX(SPLIT(E558, "":""),1,1)) + VALUE(INDEX(SPLIT(E558, "":""),1,2)),
  VALUE(E558)
)"),229.72)</f>
        <v/>
      </c>
      <c r="G558" s="35">
        <f>average(F555-F557,F556-F558)</f>
        <v/>
      </c>
      <c r="H558" s="35" t="n">
        <v>1.72999999999999</v>
      </c>
      <c r="I558" s="215">
        <f>C545</f>
        <v/>
      </c>
      <c r="J558" s="215">
        <f>C562</f>
        <v/>
      </c>
      <c r="K558" s="43">
        <f t="array" ref="K558">INDEX('Podium Target Times'!$C:$C, MATCH(A558&amp;B558, 'Podium Target Times'!$A:$A&amp;'Podium Target Times'!$B:$B, 0))
</f>
        <v/>
      </c>
      <c r="L558" s="12">
        <f>L559+G559</f>
        <v/>
      </c>
      <c r="M558" s="43">
        <f>IF(L558&lt;60, TEXT(L558,"0.00"), IF(L558&lt;600, TEXT(L558/86400,"m:ss.00"), TEXT(L558/86400,"mm:ss.00")))
</f>
        <v/>
      </c>
      <c r="N558" s="14">
        <f>IFERROR(__xludf.DUMMYFUNCTION("LET(
  gen,$A558, ev,$B558, t,$M558,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
      </c>
      <c r="O558" s="65" t="n"/>
      <c r="P558" s="69" t="n"/>
      <c r="Q558" s="65" t="n"/>
      <c r="R558" s="69" t="n"/>
      <c r="S558" s="58" t="n"/>
      <c r="T558" s="69" t="n"/>
      <c r="U558" s="65" t="n"/>
      <c r="V558" s="65" t="n"/>
      <c r="W558" s="65" t="n"/>
    </row>
    <row r="559">
      <c r="A559" s="17" t="inlineStr">
        <is>
          <t>M</t>
        </is>
      </c>
      <c r="B559" s="18" t="inlineStr">
        <is>
          <t>400 Free</t>
        </is>
      </c>
      <c r="C559" s="18" t="n">
        <v>21</v>
      </c>
      <c r="D559" s="18" t="n">
        <v>2</v>
      </c>
      <c r="E559" s="46" t="inlineStr">
        <is>
          <t>3:48.15</t>
        </is>
      </c>
      <c r="F559" s="21">
        <f>IFERROR(__xludf.DUMMYFUNCTION("IF(
  REGEXMATCH(E559, "":""),
  60*VALUE(INDEX(SPLIT(E559, "":""),1,1)) + VALUE(INDEX(SPLIT(E559, "":""),1,2)),
  VALUE(E559)
)"),228.15)</f>
        <v/>
      </c>
      <c r="G559" s="21">
        <f>average(F557-F559,F558-F560)</f>
        <v/>
      </c>
      <c r="H559" s="21" t="n">
        <v>0.9650000000000034</v>
      </c>
      <c r="I559" s="211">
        <f>C545</f>
        <v/>
      </c>
      <c r="J559" s="211">
        <f>C562</f>
        <v/>
      </c>
      <c r="K559" s="60">
        <f t="array" ref="K559">INDEX('Podium Target Times'!$C:$C, MATCH(A559&amp;B559, 'Podium Target Times'!$A:$A&amp;'Podium Target Times'!$B:$B, 0))
</f>
        <v/>
      </c>
      <c r="L559" s="24">
        <f>L561+G561</f>
        <v/>
      </c>
      <c r="M559" s="60">
        <f>IF(L559&lt;60, TEXT(L559,"0.00"), IF(L559&lt;600, TEXT(L559/86400,"m:ss.00"), TEXT(L559/86400,"mm:ss.00")))
</f>
        <v/>
      </c>
      <c r="N559" s="25">
        <f>IFERROR(__xludf.DUMMYFUNCTION("LET(
  gen,$A559, ev,$B559, t,$M559,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)"),825.0)</f>
        <v/>
      </c>
      <c r="O559" s="65" t="n"/>
      <c r="P559" s="69" t="n"/>
      <c r="Q559" s="65" t="n"/>
      <c r="R559" s="69" t="n"/>
      <c r="S559" s="58" t="n"/>
      <c r="T559" s="69" t="n"/>
      <c r="U559" s="65" t="n"/>
      <c r="V559" s="65" t="n"/>
      <c r="W559" s="65" t="n"/>
    </row>
    <row r="560">
      <c r="A560" s="8" t="inlineStr">
        <is>
          <t>M</t>
        </is>
      </c>
      <c r="B560" s="9" t="inlineStr">
        <is>
          <t>400 Free</t>
        </is>
      </c>
      <c r="C560" s="9" t="n">
        <v>21</v>
      </c>
      <c r="D560" s="9" t="n">
        <v>3</v>
      </c>
      <c r="E560" s="41" t="inlineStr">
        <is>
          <t>3:48.75</t>
        </is>
      </c>
      <c r="F560" s="35">
        <f>IFERROR(__xludf.DUMMYFUNCTION("IF(
  REGEXMATCH(E560, "":""),
  60*VALUE(INDEX(SPLIT(E560, "":""),1,1)) + VALUE(INDEX(SPLIT(E560, "":""),1,2)),
  VALUE(E560)
)"),228.75)</f>
        <v/>
      </c>
      <c r="G560" s="35">
        <f>average(F557-F559,F558-F560)</f>
        <v/>
      </c>
      <c r="H560" s="35" t="n">
        <v>0.9650000000000034</v>
      </c>
      <c r="I560" s="215">
        <f>C545</f>
        <v/>
      </c>
      <c r="J560" s="215">
        <f>C562</f>
        <v/>
      </c>
      <c r="K560" s="43">
        <f t="array" ref="K560">INDEX('Podium Target Times'!$C:$C, MATCH(A560&amp;B560, 'Podium Target Times'!$A:$A&amp;'Podium Target Times'!$B:$B, 0))
</f>
        <v/>
      </c>
      <c r="L560" s="12">
        <f>L561+G561</f>
        <v/>
      </c>
      <c r="M560" s="43">
        <f>IF(L560&lt;60, TEXT(L560,"0.00"), IF(L560&lt;600, TEXT(L560/86400,"m:ss.00"), TEXT(L560/86400,"mm:ss.00")))
</f>
        <v/>
      </c>
      <c r="N560" s="14">
        <f>IFERROR(__xludf.DUMMYFUNCTION("LET(
  gen,$A560, ev,$B560, t,$M560,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)"),825.0)</f>
        <v/>
      </c>
      <c r="O560" s="65" t="n"/>
      <c r="P560" s="69" t="n"/>
      <c r="Q560" s="65" t="n"/>
      <c r="R560" s="69" t="n"/>
      <c r="S560" s="58" t="n"/>
      <c r="T560" s="69" t="n"/>
      <c r="U560" s="65" t="n"/>
      <c r="V560" s="65" t="n"/>
      <c r="W560" s="65" t="n"/>
    </row>
    <row r="561">
      <c r="A561" s="17" t="inlineStr">
        <is>
          <t>M</t>
        </is>
      </c>
      <c r="B561" s="18" t="inlineStr">
        <is>
          <t>400 Free</t>
        </is>
      </c>
      <c r="C561" s="18" t="n">
        <v>22</v>
      </c>
      <c r="D561" s="18" t="n">
        <v>3</v>
      </c>
      <c r="E561" s="46" t="inlineStr">
        <is>
          <t>3:48.27</t>
        </is>
      </c>
      <c r="F561" s="21">
        <f>IFERROR(__xludf.DUMMYFUNCTION("IF(
  REGEXMATCH(E561, "":""),
  60*VALUE(INDEX(SPLIT(E561, "":""),1,1)) + VALUE(INDEX(SPLIT(E561, "":""),1,2)),
  VALUE(E561)
)"),228.27)</f>
        <v/>
      </c>
      <c r="G561" s="21">
        <f>F560-F561</f>
        <v/>
      </c>
      <c r="H561" s="21" t="n">
        <v>0.4799999999999898</v>
      </c>
      <c r="I561" s="211">
        <f>C545</f>
        <v/>
      </c>
      <c r="J561" s="211">
        <f>C562</f>
        <v/>
      </c>
      <c r="K561" s="60">
        <f t="array" ref="K561">INDEX('Podium Target Times'!$C:$C, MATCH(A561&amp;B561, 'Podium Target Times'!$A:$A&amp;'Podium Target Times'!$B:$B, 0))
</f>
        <v/>
      </c>
      <c r="L561" s="24">
        <f>L562+G562</f>
        <v/>
      </c>
      <c r="M561" s="60">
        <f>IF(L561&lt;60, TEXT(L561,"0.00"), IF(L561&lt;600, TEXT(L561/86400,"m:ss.00"), TEXT(L561/86400,"mm:ss.00")))
</f>
        <v/>
      </c>
      <c r="N561" s="25">
        <f>IFERROR(__xludf.DUMMYFUNCTION("LET(
  gen,$A561, ev,$B561, t,$M561,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)"),830.0)</f>
        <v/>
      </c>
      <c r="O561" s="65" t="n"/>
      <c r="P561" s="69" t="n"/>
      <c r="Q561" s="65" t="n"/>
      <c r="R561" s="69" t="n"/>
      <c r="S561" s="58" t="n"/>
      <c r="T561" s="69" t="n"/>
      <c r="U561" s="65" t="n"/>
      <c r="V561" s="65" t="n"/>
      <c r="W561" s="65" t="n"/>
    </row>
    <row r="562">
      <c r="A562" s="8" t="inlineStr">
        <is>
          <t>M</t>
        </is>
      </c>
      <c r="B562" s="9" t="inlineStr">
        <is>
          <t>400 Free</t>
        </is>
      </c>
      <c r="C562" s="9" t="n">
        <v>23</v>
      </c>
      <c r="D562" s="9" t="n">
        <v>3</v>
      </c>
      <c r="E562" s="41" t="inlineStr">
        <is>
          <t>3:48.15</t>
        </is>
      </c>
      <c r="F562" s="35">
        <f>IFERROR(__xludf.DUMMYFUNCTION("IF(
  REGEXMATCH(E562, "":""),
  60*VALUE(INDEX(SPLIT(E562, "":""),1,1)) + VALUE(INDEX(SPLIT(E562, "":""),1,2)),
  VALUE(E562)
)"),228.15)</f>
        <v/>
      </c>
      <c r="G562" s="35">
        <f>F561-F562</f>
        <v/>
      </c>
      <c r="H562" s="35" t="n">
        <v>0.1200000000000045</v>
      </c>
      <c r="I562" s="215">
        <f>C545</f>
        <v/>
      </c>
      <c r="J562" s="215">
        <f>C562</f>
        <v/>
      </c>
      <c r="K562" s="43">
        <f t="array" ref="K562">INDEX('Podium Target Times'!$C:$C, MATCH(A562&amp;B562, 'Podium Target Times'!$A:$A&amp;'Podium Target Times'!$B:$B, 0))
</f>
        <v/>
      </c>
      <c r="L562" s="35">
        <f>G562+L563</f>
        <v/>
      </c>
      <c r="M562" s="43">
        <f>IF(L562&lt;60, TEXT(L562,"0.00"), IF(L562&lt;600, TEXT(L562/86400,"m:ss.00"), TEXT(L562/86400,"mm:ss.00")))
</f>
        <v/>
      </c>
      <c r="N562" s="14">
        <f>IFERROR(__xludf.DUMMYFUNCTION("LET(
  gen,$A562, ev,$B562, t,$M562,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)"),831.0)</f>
        <v/>
      </c>
      <c r="O562" s="65" t="n"/>
      <c r="P562" s="69" t="n"/>
      <c r="Q562" s="65" t="n"/>
      <c r="R562" s="69" t="n"/>
      <c r="S562" s="58" t="n"/>
      <c r="T562" s="69" t="n"/>
      <c r="U562" s="65" t="n"/>
      <c r="V562" s="65" t="n"/>
      <c r="W562" s="65" t="n"/>
    </row>
    <row r="563">
      <c r="A563" s="17" t="inlineStr">
        <is>
          <t>M</t>
        </is>
      </c>
      <c r="B563" s="18" t="inlineStr">
        <is>
          <t>400 Free</t>
        </is>
      </c>
      <c r="C563" s="18" t="n">
        <v>24</v>
      </c>
      <c r="D563" s="18" t="n"/>
      <c r="E563" s="46" t="n"/>
      <c r="F563" s="21">
        <f>IFERROR(__xludf.DUMMYFUNCTION("IF(
  REGEXMATCH(E563, "":""),
  60*VALUE(INDEX(SPLIT(E563, "":""),1,1)) + VALUE(INDEX(SPLIT(E563, "":""),1,2)),
  VALUE(E563)
)"),0.0)</f>
        <v/>
      </c>
      <c r="G563" s="24" t="n"/>
      <c r="H563" s="24" t="n"/>
      <c r="I563" s="60">
        <f>C545</f>
        <v/>
      </c>
      <c r="J563" s="60">
        <f>C562</f>
        <v/>
      </c>
      <c r="K563" s="60">
        <f t="array" ref="K563">INDEX('Podium Target Times'!$C:$C, MATCH(A563&amp;B563, 'Podium Target Times'!$A:$A&amp;'Podium Target Times'!$B:$B, 0))
</f>
        <v/>
      </c>
      <c r="L563" s="24">
        <f>G562+L564</f>
        <v/>
      </c>
      <c r="M563" s="60">
        <f>IF(L563&lt;60, TEXT(L563,"0.00"), IF(L563&lt;600, TEXT(L563/86400,"m:ss.00"), TEXT(L563/86400,"mm:ss.00")))
</f>
        <v/>
      </c>
      <c r="N563" s="25">
        <f>IFERROR(__xludf.DUMMYFUNCTION("LET(
  gen,$A563, ev,$B563, t,$M563,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)"),832.0)</f>
        <v/>
      </c>
      <c r="O563" s="65" t="n"/>
      <c r="P563" s="69" t="n"/>
      <c r="Q563" s="65" t="n"/>
      <c r="R563" s="69" t="n"/>
      <c r="S563" s="58" t="n"/>
      <c r="T563" s="69" t="n"/>
      <c r="U563" s="65" t="n"/>
      <c r="V563" s="65" t="n"/>
      <c r="W563" s="65" t="n"/>
    </row>
    <row r="564">
      <c r="A564" s="8" t="inlineStr">
        <is>
          <t>M</t>
        </is>
      </c>
      <c r="B564" s="9" t="inlineStr">
        <is>
          <t>400 Free</t>
        </is>
      </c>
      <c r="C564" s="9" t="n">
        <v>25</v>
      </c>
      <c r="D564" s="9" t="n"/>
      <c r="E564" s="41" t="n"/>
      <c r="F564" s="35">
        <f>IFERROR(__xludf.DUMMYFUNCTION("IF(
  REGEXMATCH(E564, "":""),
  60*VALUE(INDEX(SPLIT(E564, "":""),1,1)) + VALUE(INDEX(SPLIT(E564, "":""),1,2)),
  VALUE(E564)
)"),0.0)</f>
        <v/>
      </c>
      <c r="G564" s="12" t="n"/>
      <c r="H564" s="12" t="n"/>
      <c r="I564" s="43">
        <f>C545</f>
        <v/>
      </c>
      <c r="J564" s="43">
        <f>C562</f>
        <v/>
      </c>
      <c r="K564" s="43">
        <f t="array" ref="K564">INDEX('Podium Target Times'!$C:$C, MATCH(A564&amp;B564, 'Podium Target Times'!$A:$A&amp;'Podium Target Times'!$B:$B, 0))
</f>
        <v/>
      </c>
      <c r="L564" s="43">
        <f>K564</f>
        <v/>
      </c>
      <c r="M564" s="43">
        <f>IF(L564&lt;60, TEXT(L564,"0.00"), IF(L564&lt;600, TEXT(L564/86400,"m:ss.00"), TEXT(L564/86400,"mm:ss.00")))
</f>
        <v/>
      </c>
      <c r="N564" s="14">
        <f>IFERROR(__xludf.DUMMYFUNCTION("LET(
  gen,$A564, ev,$B564, t,$M564,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
      </c>
      <c r="O564" s="65" t="n"/>
      <c r="P564" s="69" t="n"/>
      <c r="Q564" s="65" t="n"/>
      <c r="R564" s="69" t="n"/>
      <c r="S564" s="58" t="n"/>
      <c r="T564" s="69" t="n"/>
      <c r="U564" s="65" t="n"/>
      <c r="V564" s="65" t="n"/>
      <c r="W564" s="65" t="n"/>
    </row>
    <row r="565">
      <c r="A565" s="17" t="inlineStr">
        <is>
          <t>M</t>
        </is>
      </c>
      <c r="B565" s="18" t="inlineStr">
        <is>
          <t>400 IM</t>
        </is>
      </c>
      <c r="C565" s="18" t="n">
        <v>15</v>
      </c>
      <c r="D565" s="18" t="n">
        <v>1</v>
      </c>
      <c r="E565" s="46" t="inlineStr">
        <is>
          <t>4:38.79</t>
        </is>
      </c>
      <c r="F565" s="21">
        <f>IFERROR(__xludf.DUMMYFUNCTION("IF(
  REGEXMATCH(E565, "":""),
  60*VALUE(INDEX(SPLIT(E565, "":""),1,1)) + VALUE(INDEX(SPLIT(E565, "":""),1,2)),
  VALUE(E565)
)"),278.79)</f>
        <v/>
      </c>
      <c r="G565" s="24" t="n">
        <v>0</v>
      </c>
      <c r="H565" s="24" t="n">
        <v>0</v>
      </c>
      <c r="I565" s="60">
        <f>C565</f>
        <v/>
      </c>
      <c r="J565" s="60">
        <f>C582</f>
        <v/>
      </c>
      <c r="K565" s="60">
        <f t="array" ref="K565">INDEX('Podium Target Times'!$C:$C, MATCH(A565&amp;B565, 'Podium Target Times'!$A:$A&amp;'Podium Target Times'!$B:$B, 0))
</f>
        <v/>
      </c>
      <c r="L565" s="24">
        <f>L566+G566</f>
        <v/>
      </c>
      <c r="M565" s="60">
        <f>IF(L565&lt;60, TEXT(L565,"0.00"), IF(L565&lt;600, TEXT(L565/86400,"m:ss.00"), TEXT(L565/86400,"mm:ss.00")))
</f>
        <v/>
      </c>
      <c r="N565" s="25">
        <f>IFERROR(__xludf.DUMMYFUNCTION("LET(
  gen,$A565, ev,$B565, t,$M565,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)"),591.0)</f>
        <v/>
      </c>
      <c r="O565" s="65" t="n"/>
      <c r="P565" s="69">
        <f>A565</f>
        <v/>
      </c>
      <c r="Q565" s="65">
        <f>B565</f>
        <v/>
      </c>
      <c r="R565" s="69">
        <f>C565</f>
        <v/>
      </c>
      <c r="S565" s="58">
        <f>M565</f>
        <v/>
      </c>
      <c r="T565" s="69">
        <f>N565</f>
        <v/>
      </c>
      <c r="U565" s="65" t="n">
        <v>591</v>
      </c>
      <c r="V565" s="65" t="n"/>
      <c r="W565" s="65" t="n"/>
    </row>
    <row r="566">
      <c r="A566" s="8" t="inlineStr">
        <is>
          <t>M</t>
        </is>
      </c>
      <c r="B566" s="9" t="inlineStr">
        <is>
          <t>400 IM</t>
        </is>
      </c>
      <c r="C566" s="9" t="n">
        <v>16</v>
      </c>
      <c r="D566" s="9" t="n">
        <v>1</v>
      </c>
      <c r="E566" s="41" t="inlineStr">
        <is>
          <t>4:30.33</t>
        </is>
      </c>
      <c r="F566" s="35">
        <f>IFERROR(__xludf.DUMMYFUNCTION("IF(
  REGEXMATCH(E566, "":""),
  60*VALUE(INDEX(SPLIT(E566, "":""),1,1)) + VALUE(INDEX(SPLIT(E566, "":""),1,2)),
  VALUE(E566)
)"),270.33)</f>
        <v/>
      </c>
      <c r="G566" s="35">
        <f>F565-F566</f>
        <v/>
      </c>
      <c r="H566" s="35" t="n">
        <v>8.460000000000036</v>
      </c>
      <c r="I566" s="215">
        <f>C565</f>
        <v/>
      </c>
      <c r="J566" s="215">
        <f>C582</f>
        <v/>
      </c>
      <c r="K566" s="43">
        <f t="array" ref="K566">INDEX('Podium Target Times'!$C:$C, MATCH(A566&amp;B566, 'Podium Target Times'!$A:$A&amp;'Podium Target Times'!$B:$B, 0))
</f>
        <v/>
      </c>
      <c r="L566" s="12">
        <f>L568+G568</f>
        <v/>
      </c>
      <c r="M566" s="43">
        <f>IF(L566&lt;60, TEXT(L566,"0.00"), IF(L566&lt;600, TEXT(L566/86400,"m:ss.00"), TEXT(L566/86400,"mm:ss.00")))
</f>
        <v/>
      </c>
      <c r="N566" s="14">
        <f>IFERROR(__xludf.DUMMYFUNCTION("LET(
  gen,$A566, ev,$B566, t,$M566,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
      </c>
      <c r="O566" s="65" t="n"/>
      <c r="P566" s="69">
        <f>A566</f>
        <v/>
      </c>
      <c r="Q566" s="65">
        <f>B566</f>
        <v/>
      </c>
      <c r="R566" s="69">
        <f>C566</f>
        <v/>
      </c>
      <c r="S566" s="58">
        <f>M566</f>
        <v/>
      </c>
      <c r="T566" s="69">
        <f>N566</f>
        <v/>
      </c>
      <c r="U566" s="65" t="n"/>
      <c r="V566" s="65" t="n"/>
      <c r="W566" s="65" t="n"/>
    </row>
    <row r="567">
      <c r="A567" s="17" t="inlineStr">
        <is>
          <t>M</t>
        </is>
      </c>
      <c r="B567" s="18" t="inlineStr">
        <is>
          <t>400 IM</t>
        </is>
      </c>
      <c r="C567" s="18" t="n">
        <v>16</v>
      </c>
      <c r="D567" s="18" t="n">
        <v>2</v>
      </c>
      <c r="E567" s="46" t="inlineStr">
        <is>
          <t>4:34.00</t>
        </is>
      </c>
      <c r="F567" s="21">
        <f>IFERROR(__xludf.DUMMYFUNCTION("IF(
  REGEXMATCH(E567, "":""),
  60*VALUE(INDEX(SPLIT(E567, "":""),1,1)) + VALUE(INDEX(SPLIT(E567, "":""),1,2)),
  VALUE(E567)
)"),274.0)</f>
        <v/>
      </c>
      <c r="G567" s="21">
        <f>F565-F566</f>
        <v/>
      </c>
      <c r="H567" s="21" t="n">
        <v>8.460000000000036</v>
      </c>
      <c r="I567" s="211">
        <f>C565</f>
        <v/>
      </c>
      <c r="J567" s="211">
        <f>C582</f>
        <v/>
      </c>
      <c r="K567" s="60">
        <f t="array" ref="K567">INDEX('Podium Target Times'!$C:$C, MATCH(A567&amp;B567, 'Podium Target Times'!$A:$A&amp;'Podium Target Times'!$B:$B, 0))
</f>
        <v/>
      </c>
      <c r="L567" s="24">
        <f>L568+G568</f>
        <v/>
      </c>
      <c r="M567" s="60">
        <f>IF(L567&lt;60, TEXT(L567,"0.00"), IF(L567&lt;600, TEXT(L567/86400,"m:ss.00"), TEXT(L567/86400,"mm:ss.00")))
</f>
        <v/>
      </c>
      <c r="N567" s="25">
        <f>IFERROR(__xludf.DUMMYFUNCTION("LET(
  gen,$A567, ev,$B567, t,$M567,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
      </c>
      <c r="O567" s="65" t="n"/>
      <c r="P567" s="69">
        <f>A568</f>
        <v/>
      </c>
      <c r="Q567" s="65">
        <f>B568</f>
        <v/>
      </c>
      <c r="R567" s="69">
        <f>C568</f>
        <v/>
      </c>
      <c r="S567" s="58">
        <f>M568</f>
        <v/>
      </c>
      <c r="T567" s="69">
        <f>N568</f>
        <v/>
      </c>
      <c r="U567" s="65" t="n"/>
      <c r="V567" s="65" t="n"/>
      <c r="W567" s="65" t="n"/>
    </row>
    <row r="568">
      <c r="A568" s="8" t="inlineStr">
        <is>
          <t>M</t>
        </is>
      </c>
      <c r="B568" s="9" t="inlineStr">
        <is>
          <t>400 IM</t>
        </is>
      </c>
      <c r="C568" s="9" t="n">
        <v>17</v>
      </c>
      <c r="D568" s="9" t="n">
        <v>1</v>
      </c>
      <c r="E568" s="41" t="inlineStr">
        <is>
          <t>4:24.32</t>
        </is>
      </c>
      <c r="F568" s="35">
        <f>IFERROR(__xludf.DUMMYFUNCTION("IF(
  REGEXMATCH(E568, "":""),
  60*VALUE(INDEX(SPLIT(E568, "":""),1,1)) + VALUE(INDEX(SPLIT(E568, "":""),1,2)),
  VALUE(E568)
)"),264.32)</f>
        <v/>
      </c>
      <c r="G568" s="35">
        <f>average(F566-F568,F567-F569)</f>
        <v/>
      </c>
      <c r="H568" s="35" t="n">
        <v>6.049999999999983</v>
      </c>
      <c r="I568" s="215">
        <f>C565</f>
        <v/>
      </c>
      <c r="J568" s="215">
        <f>C582</f>
        <v/>
      </c>
      <c r="K568" s="43">
        <f t="array" ref="K568">INDEX('Podium Target Times'!$C:$C, MATCH(A568&amp;B568, 'Podium Target Times'!$A:$A&amp;'Podium Target Times'!$B:$B, 0))
</f>
        <v/>
      </c>
      <c r="L568" s="12">
        <f>L571+G571</f>
        <v/>
      </c>
      <c r="M568" s="43">
        <f>IF(L568&lt;60, TEXT(L568,"0.00"), IF(L568&lt;600, TEXT(L568/86400,"m:ss.00"), TEXT(L568/86400,"mm:ss.00")))
</f>
        <v/>
      </c>
      <c r="N568" s="14">
        <f>IFERROR(__xludf.DUMMYFUNCTION("LET(
  gen,$A568, ev,$B568, t,$M568,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68" s="65" t="n"/>
      <c r="P568" s="69">
        <f>A571</f>
        <v/>
      </c>
      <c r="Q568" s="65">
        <f>B571</f>
        <v/>
      </c>
      <c r="R568" s="69">
        <f>C571</f>
        <v/>
      </c>
      <c r="S568" s="58">
        <f>M571</f>
        <v/>
      </c>
      <c r="T568" s="69">
        <f>N571</f>
        <v/>
      </c>
      <c r="U568" s="65" t="n"/>
      <c r="V568" s="65" t="n"/>
      <c r="W568" s="65" t="n"/>
    </row>
    <row r="569">
      <c r="A569" s="17" t="inlineStr">
        <is>
          <t>M</t>
        </is>
      </c>
      <c r="B569" s="18" t="inlineStr">
        <is>
          <t>400 IM</t>
        </is>
      </c>
      <c r="C569" s="18" t="n">
        <v>17</v>
      </c>
      <c r="D569" s="18" t="n">
        <v>2</v>
      </c>
      <c r="E569" s="46" t="inlineStr">
        <is>
          <t>4:27.91</t>
        </is>
      </c>
      <c r="F569" s="21">
        <f>IFERROR(__xludf.DUMMYFUNCTION("IF(
  REGEXMATCH(E569, "":""),
  60*VALUE(INDEX(SPLIT(E569, "":""),1,1)) + VALUE(INDEX(SPLIT(E569, "":""),1,2)),
  VALUE(E569)
)"),267.91)</f>
        <v/>
      </c>
      <c r="G569" s="21">
        <f>average(F566-F568,F567-F569)</f>
        <v/>
      </c>
      <c r="H569" s="21" t="n">
        <v>6.049999999999983</v>
      </c>
      <c r="I569" s="211">
        <f>C565</f>
        <v/>
      </c>
      <c r="J569" s="211">
        <f>C582</f>
        <v/>
      </c>
      <c r="K569" s="60">
        <f t="array" ref="K569">INDEX('Podium Target Times'!$C:$C, MATCH(A569&amp;B569, 'Podium Target Times'!$A:$A&amp;'Podium Target Times'!$B:$B, 0))
</f>
        <v/>
      </c>
      <c r="L569" s="24">
        <f>L571+G571</f>
        <v/>
      </c>
      <c r="M569" s="60">
        <f>IF(L569&lt;60, TEXT(L569,"0.00"), IF(L569&lt;600, TEXT(L569/86400,"m:ss.00"), TEXT(L569/86400,"mm:ss.00")))
</f>
        <v/>
      </c>
      <c r="N569" s="25">
        <f>IFERROR(__xludf.DUMMYFUNCTION("LET(
  gen,$A569, ev,$B569, t,$M569,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69" s="65" t="n"/>
      <c r="P569" s="69">
        <f>A574</f>
        <v/>
      </c>
      <c r="Q569" s="65">
        <f>B574</f>
        <v/>
      </c>
      <c r="R569" s="69">
        <f>C574</f>
        <v/>
      </c>
      <c r="S569" s="58">
        <f>M574</f>
        <v/>
      </c>
      <c r="T569" s="69">
        <f>N574</f>
        <v/>
      </c>
      <c r="U569" s="65" t="n"/>
      <c r="V569" s="65" t="n"/>
      <c r="W569" s="65" t="n"/>
    </row>
    <row r="570">
      <c r="A570" s="8" t="inlineStr">
        <is>
          <t>M</t>
        </is>
      </c>
      <c r="B570" s="9" t="inlineStr">
        <is>
          <t>400 IM</t>
        </is>
      </c>
      <c r="C570" s="9" t="n">
        <v>17</v>
      </c>
      <c r="D570" s="9" t="n">
        <v>3</v>
      </c>
      <c r="E570" s="41" t="inlineStr">
        <is>
          <t>4:28.61</t>
        </is>
      </c>
      <c r="F570" s="35">
        <f>IFERROR(__xludf.DUMMYFUNCTION("IF(
  REGEXMATCH(E570, "":""),
  60*VALUE(INDEX(SPLIT(E570, "":""),1,1)) + VALUE(INDEX(SPLIT(E570, "":""),1,2)),
  VALUE(E570)
)"),268.61)</f>
        <v/>
      </c>
      <c r="G570" s="35">
        <f>average(F566-F568,F567-F569)</f>
        <v/>
      </c>
      <c r="H570" s="35" t="n">
        <v>6.049999999999983</v>
      </c>
      <c r="I570" s="215">
        <f>C565</f>
        <v/>
      </c>
      <c r="J570" s="215">
        <f>C582</f>
        <v/>
      </c>
      <c r="K570" s="43">
        <f t="array" ref="K570">INDEX('Podium Target Times'!$C:$C, MATCH(A570&amp;B570, 'Podium Target Times'!$A:$A&amp;'Podium Target Times'!$B:$B, 0))
</f>
        <v/>
      </c>
      <c r="L570" s="12">
        <f>L571+G571</f>
        <v/>
      </c>
      <c r="M570" s="43">
        <f>IF(L570&lt;60, TEXT(L570,"0.00"), IF(L570&lt;600, TEXT(L570/86400,"m:ss.00"), TEXT(L570/86400,"mm:ss.00")))
</f>
        <v/>
      </c>
      <c r="N570" s="14">
        <f>IFERROR(__xludf.DUMMYFUNCTION("LET(
  gen,$A570, ev,$B570, t,$M570,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70" s="65" t="n"/>
      <c r="P570" s="69">
        <f>A577</f>
        <v/>
      </c>
      <c r="Q570" s="65">
        <f>B577</f>
        <v/>
      </c>
      <c r="R570" s="69">
        <f>C577</f>
        <v/>
      </c>
      <c r="S570" s="58">
        <f>M577</f>
        <v/>
      </c>
      <c r="T570" s="69">
        <f>N577</f>
        <v/>
      </c>
      <c r="U570" s="65" t="n"/>
      <c r="V570" s="65" t="n"/>
      <c r="W570" s="65" t="n"/>
    </row>
    <row r="571">
      <c r="A571" s="17" t="inlineStr">
        <is>
          <t>M</t>
        </is>
      </c>
      <c r="B571" s="18" t="inlineStr">
        <is>
          <t>400 IM</t>
        </is>
      </c>
      <c r="C571" s="18" t="n">
        <v>18</v>
      </c>
      <c r="D571" s="18" t="n">
        <v>1</v>
      </c>
      <c r="E571" s="46" t="inlineStr">
        <is>
          <t>4:20.41</t>
        </is>
      </c>
      <c r="F571" s="21">
        <f>IFERROR(__xludf.DUMMYFUNCTION("IF(
  REGEXMATCH(E571, "":""),
  60*VALUE(INDEX(SPLIT(E571, "":""),1,1)) + VALUE(INDEX(SPLIT(E571, "":""),1,2)),
  VALUE(E571)
)"),260.41)</f>
        <v/>
      </c>
      <c r="G571" s="21">
        <f>average(F568-F571,F569-F572,F570-F573)</f>
        <v/>
      </c>
      <c r="H571" s="21" t="n">
        <v>3.953333333333338</v>
      </c>
      <c r="I571" s="211">
        <f>C565</f>
        <v/>
      </c>
      <c r="J571" s="211">
        <f>C582</f>
        <v/>
      </c>
      <c r="K571" s="60">
        <f t="array" ref="K571">INDEX('Podium Target Times'!$C:$C, MATCH(A571&amp;B571, 'Podium Target Times'!$A:$A&amp;'Podium Target Times'!$B:$B, 0))
</f>
        <v/>
      </c>
      <c r="L571" s="24">
        <f>L574+G574</f>
        <v/>
      </c>
      <c r="M571" s="60">
        <f>IF(L571&lt;60, TEXT(L571,"0.00"), IF(L571&lt;600, TEXT(L571/86400,"m:ss.00"), TEXT(L571/86400,"mm:ss.00")))
</f>
        <v/>
      </c>
      <c r="N571" s="25">
        <f>IFERROR(__xludf.DUMMYFUNCTION("LET(
  gen,$A571, ev,$B571, t,$M571,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571" s="65" t="n"/>
      <c r="P571" s="69">
        <f>A579</f>
        <v/>
      </c>
      <c r="Q571" s="65">
        <f>B579</f>
        <v/>
      </c>
      <c r="R571" s="69">
        <f>C579</f>
        <v/>
      </c>
      <c r="S571" s="58">
        <f>M579</f>
        <v/>
      </c>
      <c r="T571" s="69">
        <f>N579</f>
        <v/>
      </c>
      <c r="U571" s="65" t="n"/>
      <c r="V571" s="65" t="n"/>
      <c r="W571" s="65" t="n"/>
    </row>
    <row r="572">
      <c r="A572" s="8" t="inlineStr">
        <is>
          <t>M</t>
        </is>
      </c>
      <c r="B572" s="9" t="inlineStr">
        <is>
          <t>400 IM</t>
        </is>
      </c>
      <c r="C572" s="9" t="n">
        <v>18</v>
      </c>
      <c r="D572" s="9" t="n">
        <v>2</v>
      </c>
      <c r="E572" s="41" t="inlineStr">
        <is>
          <t>4:23.94</t>
        </is>
      </c>
      <c r="F572" s="35">
        <f>IFERROR(__xludf.DUMMYFUNCTION("IF(
  REGEXMATCH(E572, "":""),
  60*VALUE(INDEX(SPLIT(E572, "":""),1,1)) + VALUE(INDEX(SPLIT(E572, "":""),1,2)),
  VALUE(E572)
)"),263.94)</f>
        <v/>
      </c>
      <c r="G572" s="35">
        <f>average(F568-F571,F569-F572,F570-F573)</f>
        <v/>
      </c>
      <c r="H572" s="35" t="n">
        <v>3.953333333333338</v>
      </c>
      <c r="I572" s="215">
        <f>C565</f>
        <v/>
      </c>
      <c r="J572" s="215">
        <f>C582</f>
        <v/>
      </c>
      <c r="K572" s="43">
        <f t="array" ref="K572">INDEX('Podium Target Times'!$C:$C, MATCH(A572&amp;B572, 'Podium Target Times'!$A:$A&amp;'Podium Target Times'!$B:$B, 0))
</f>
        <v/>
      </c>
      <c r="L572" s="12">
        <f>L574+G574</f>
        <v/>
      </c>
      <c r="M572" s="43">
        <f>IF(L572&lt;60, TEXT(L572,"0.00"), IF(L572&lt;600, TEXT(L572/86400,"m:ss.00"), TEXT(L572/86400,"mm:ss.00")))
</f>
        <v/>
      </c>
      <c r="N572" s="14">
        <f>IFERROR(__xludf.DUMMYFUNCTION("LET(
  gen,$A572, ev,$B572, t,$M572,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572" s="65" t="n"/>
      <c r="P572" s="69">
        <f>A581</f>
        <v/>
      </c>
      <c r="Q572" s="65">
        <f>B581</f>
        <v/>
      </c>
      <c r="R572" s="69">
        <f>C581</f>
        <v/>
      </c>
      <c r="S572" s="58">
        <f>M581</f>
        <v/>
      </c>
      <c r="T572" s="69">
        <f>N581</f>
        <v/>
      </c>
      <c r="U572" s="65" t="n"/>
      <c r="V572" s="65" t="n"/>
      <c r="W572" s="65" t="n"/>
    </row>
    <row r="573">
      <c r="A573" s="17" t="inlineStr">
        <is>
          <t>M</t>
        </is>
      </c>
      <c r="B573" s="18" t="inlineStr">
        <is>
          <t>400 IM</t>
        </is>
      </c>
      <c r="C573" s="18" t="n">
        <v>18</v>
      </c>
      <c r="D573" s="18" t="n">
        <v>3</v>
      </c>
      <c r="E573" s="46" t="inlineStr">
        <is>
          <t>4:24.63</t>
        </is>
      </c>
      <c r="F573" s="21">
        <f>IFERROR(__xludf.DUMMYFUNCTION("IF(
  REGEXMATCH(E573, "":""),
  60*VALUE(INDEX(SPLIT(E573, "":""),1,1)) + VALUE(INDEX(SPLIT(E573, "":""),1,2)),
  VALUE(E573)
)"),264.63)</f>
        <v/>
      </c>
      <c r="G573" s="21">
        <f>average(F568-F571,F569-F572,F570-F573)</f>
        <v/>
      </c>
      <c r="H573" s="21" t="n">
        <v>3.953333333333338</v>
      </c>
      <c r="I573" s="211">
        <f>C565</f>
        <v/>
      </c>
      <c r="J573" s="211">
        <f>C582</f>
        <v/>
      </c>
      <c r="K573" s="60">
        <f t="array" ref="K573">INDEX('Podium Target Times'!$C:$C, MATCH(A573&amp;B573, 'Podium Target Times'!$A:$A&amp;'Podium Target Times'!$B:$B, 0))
</f>
        <v/>
      </c>
      <c r="L573" s="24">
        <f>L574+G574</f>
        <v/>
      </c>
      <c r="M573" s="60">
        <f>IF(L573&lt;60, TEXT(L573,"0.00"), IF(L573&lt;600, TEXT(L573/86400,"m:ss.00"), TEXT(L573/86400,"mm:ss.00")))
</f>
        <v/>
      </c>
      <c r="N573" s="25">
        <f>IFERROR(__xludf.DUMMYFUNCTION("LET(
  gen,$A573, ev,$B573, t,$M573,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O573" s="65" t="n"/>
      <c r="P573" s="69">
        <f>A582</f>
        <v/>
      </c>
      <c r="Q573" s="65">
        <f>B582</f>
        <v/>
      </c>
      <c r="R573" s="69">
        <f>C582</f>
        <v/>
      </c>
      <c r="S573" s="58">
        <f>M582</f>
        <v/>
      </c>
      <c r="T573" s="69">
        <f>N582</f>
        <v/>
      </c>
      <c r="U573" s="65" t="n">
        <v>781</v>
      </c>
      <c r="V573" s="65" t="n"/>
      <c r="W573" s="65" t="n"/>
    </row>
    <row r="574">
      <c r="A574" s="8" t="inlineStr">
        <is>
          <t>M</t>
        </is>
      </c>
      <c r="B574" s="9" t="inlineStr">
        <is>
          <t>400 IM</t>
        </is>
      </c>
      <c r="C574" s="9" t="n">
        <v>19</v>
      </c>
      <c r="D574" s="9" t="n">
        <v>1</v>
      </c>
      <c r="E574" s="41" t="inlineStr">
        <is>
          <t>4:17.48</t>
        </is>
      </c>
      <c r="F574" s="35">
        <f>IFERROR(__xludf.DUMMYFUNCTION("IF(
  REGEXMATCH(E574, "":""),
  60*VALUE(INDEX(SPLIT(E574, "":""),1,1)) + VALUE(INDEX(SPLIT(E574, "":""),1,2)),
  VALUE(E574)
)"),257.48)</f>
        <v/>
      </c>
      <c r="G574" s="35">
        <f>average(F571-F574,F572-F575,F573-F576)</f>
        <v/>
      </c>
      <c r="H574" s="35" t="n">
        <v>2.953333333333319</v>
      </c>
      <c r="I574" s="215">
        <f>C565</f>
        <v/>
      </c>
      <c r="J574" s="215">
        <f>C582</f>
        <v/>
      </c>
      <c r="K574" s="43">
        <f t="array" ref="K574">INDEX('Podium Target Times'!$C:$C, MATCH(A574&amp;B574, 'Podium Target Times'!$A:$A&amp;'Podium Target Times'!$B:$B, 0))
</f>
        <v/>
      </c>
      <c r="L574" s="12">
        <f>L577+G577</f>
        <v/>
      </c>
      <c r="M574" s="43">
        <f>IF(L574&lt;60, TEXT(L574,"0.00"), IF(L574&lt;600, TEXT(L574/86400,"m:ss.00"), TEXT(L574/86400,"mm:ss.00")))
</f>
        <v/>
      </c>
      <c r="N574" s="14">
        <f>IFERROR(__xludf.DUMMYFUNCTION("LET(
  gen,$A574, ev,$B574, t,$M574,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74" s="65" t="n"/>
      <c r="P574" s="69">
        <f>P573</f>
        <v/>
      </c>
      <c r="Q574" s="65">
        <f>Q573</f>
        <v/>
      </c>
      <c r="R574" s="69">
        <f>R573+1</f>
        <v/>
      </c>
      <c r="S574" s="58">
        <f>M583</f>
        <v/>
      </c>
      <c r="T574" s="69">
        <f>N583</f>
        <v/>
      </c>
      <c r="U574" s="65" t="n"/>
      <c r="V574" s="65" t="n"/>
      <c r="W574" s="65" t="n"/>
    </row>
    <row r="575">
      <c r="A575" s="17" t="inlineStr">
        <is>
          <t>M</t>
        </is>
      </c>
      <c r="B575" s="18" t="inlineStr">
        <is>
          <t>400 IM</t>
        </is>
      </c>
      <c r="C575" s="18" t="n">
        <v>19</v>
      </c>
      <c r="D575" s="18" t="n">
        <v>2</v>
      </c>
      <c r="E575" s="46" t="inlineStr">
        <is>
          <t>4:20.98</t>
        </is>
      </c>
      <c r="F575" s="21">
        <f>IFERROR(__xludf.DUMMYFUNCTION("IF(
  REGEXMATCH(E575, "":""),
  60*VALUE(INDEX(SPLIT(E575, "":""),1,1)) + VALUE(INDEX(SPLIT(E575, "":""),1,2)),
  VALUE(E575)
)"),260.98)</f>
        <v/>
      </c>
      <c r="G575" s="21">
        <f>average(F571-F574,F572-F575,F573-F576)</f>
        <v/>
      </c>
      <c r="H575" s="21" t="n">
        <v>2.953333333333319</v>
      </c>
      <c r="I575" s="211">
        <f>C565</f>
        <v/>
      </c>
      <c r="J575" s="211">
        <f>C582</f>
        <v/>
      </c>
      <c r="K575" s="60">
        <f t="array" ref="K575">INDEX('Podium Target Times'!$C:$C, MATCH(A575&amp;B575, 'Podium Target Times'!$A:$A&amp;'Podium Target Times'!$B:$B, 0))
</f>
        <v/>
      </c>
      <c r="L575" s="24">
        <f>L577+G577</f>
        <v/>
      </c>
      <c r="M575" s="60">
        <f>IF(L575&lt;60, TEXT(L575,"0.00"), IF(L575&lt;600, TEXT(L575/86400,"m:ss.00"), TEXT(L575/86400,"mm:ss.00")))
</f>
        <v/>
      </c>
      <c r="N575" s="25">
        <f>IFERROR(__xludf.DUMMYFUNCTION("LET(
  gen,$A575, ev,$B575, t,$M575,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75" s="65" t="n"/>
      <c r="P575" s="69">
        <f>P574</f>
        <v/>
      </c>
      <c r="Q575" s="65">
        <f>Q574</f>
        <v/>
      </c>
      <c r="R575" s="69">
        <f>R574+1</f>
        <v/>
      </c>
      <c r="S575" s="58">
        <f>M584</f>
        <v/>
      </c>
      <c r="T575" s="69">
        <f>N584</f>
        <v/>
      </c>
      <c r="U575" s="65" t="n"/>
      <c r="V575" s="65" t="n"/>
      <c r="W575" s="65" t="n"/>
    </row>
    <row r="576">
      <c r="A576" s="8" t="inlineStr">
        <is>
          <t>M</t>
        </is>
      </c>
      <c r="B576" s="9" t="inlineStr">
        <is>
          <t>400 IM</t>
        </is>
      </c>
      <c r="C576" s="9" t="n">
        <v>19</v>
      </c>
      <c r="D576" s="9" t="n">
        <v>3</v>
      </c>
      <c r="E576" s="41" t="inlineStr">
        <is>
          <t>4:21.66</t>
        </is>
      </c>
      <c r="F576" s="35">
        <f>IFERROR(__xludf.DUMMYFUNCTION("IF(
  REGEXMATCH(E576, "":""),
  60*VALUE(INDEX(SPLIT(E576, "":""),1,1)) + VALUE(INDEX(SPLIT(E576, "":""),1,2)),
  VALUE(E576)
)"),261.66)</f>
        <v/>
      </c>
      <c r="G576" s="35">
        <f>average(F571-F574,F572-F575,F573-F576)</f>
        <v/>
      </c>
      <c r="H576" s="35" t="n">
        <v>2.953333333333319</v>
      </c>
      <c r="I576" s="215">
        <f>C565</f>
        <v/>
      </c>
      <c r="J576" s="215">
        <f>C582</f>
        <v/>
      </c>
      <c r="K576" s="43">
        <f t="array" ref="K576">INDEX('Podium Target Times'!$C:$C, MATCH(A576&amp;B576, 'Podium Target Times'!$A:$A&amp;'Podium Target Times'!$B:$B, 0))
</f>
        <v/>
      </c>
      <c r="L576" s="12">
        <f>L577+G577</f>
        <v/>
      </c>
      <c r="M576" s="43">
        <f>IF(L576&lt;60, TEXT(L576,"0.00"), IF(L576&lt;600, TEXT(L576/86400,"m:ss.00"), TEXT(L576/86400,"mm:ss.00")))
</f>
        <v/>
      </c>
      <c r="N576" s="14">
        <f>IFERROR(__xludf.DUMMYFUNCTION("LET(
  gen,$A576, ev,$B576, t,$M576,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576" s="65" t="n"/>
      <c r="P576" s="69" t="n"/>
      <c r="Q576" s="65" t="n"/>
      <c r="R576" s="69" t="n"/>
      <c r="S576" s="58" t="n"/>
      <c r="T576" s="69" t="n"/>
      <c r="U576" s="65" t="n"/>
      <c r="V576" s="65" t="n"/>
      <c r="W576" s="65" t="n"/>
    </row>
    <row r="577">
      <c r="A577" s="17" t="inlineStr">
        <is>
          <t>M</t>
        </is>
      </c>
      <c r="B577" s="18" t="inlineStr">
        <is>
          <t>400 IM</t>
        </is>
      </c>
      <c r="C577" s="18" t="n">
        <v>20</v>
      </c>
      <c r="D577" s="18" t="n">
        <v>2</v>
      </c>
      <c r="E577" s="46" t="inlineStr">
        <is>
          <t>4:18.85</t>
        </is>
      </c>
      <c r="F577" s="21">
        <f>IFERROR(__xludf.DUMMYFUNCTION("IF(
  REGEXMATCH(E577, "":""),
  60*VALUE(INDEX(SPLIT(E577, "":""),1,1)) + VALUE(INDEX(SPLIT(E577, "":""),1,2)),
  VALUE(E577)
)"),258.85)</f>
        <v/>
      </c>
      <c r="G577" s="21">
        <f>average(F575-F577,F576-F578)</f>
        <v/>
      </c>
      <c r="H577" s="21" t="n">
        <v>2.130000000000024</v>
      </c>
      <c r="I577" s="211">
        <f>C565</f>
        <v/>
      </c>
      <c r="J577" s="211">
        <f>C582</f>
        <v/>
      </c>
      <c r="K577" s="60">
        <f t="array" ref="K577">INDEX('Podium Target Times'!$C:$C, MATCH(A577&amp;B577, 'Podium Target Times'!$A:$A&amp;'Podium Target Times'!$B:$B, 0))
</f>
        <v/>
      </c>
      <c r="L577" s="24">
        <f>L579+G579</f>
        <v/>
      </c>
      <c r="M577" s="60">
        <f>IF(L577&lt;60, TEXT(L577,"0.00"), IF(L577&lt;600, TEXT(L577/86400,"m:ss.00"), TEXT(L577/86400,"mm:ss.00")))
</f>
        <v/>
      </c>
      <c r="N577" s="25">
        <f>IFERROR(__xludf.DUMMYFUNCTION("LET(
  gen,$A577, ev,$B577, t,$M577,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577" s="65" t="n"/>
      <c r="P577" s="69" t="n"/>
      <c r="Q577" s="65" t="n"/>
      <c r="R577" s="69" t="n"/>
      <c r="S577" s="58" t="n"/>
      <c r="T577" s="69" t="n"/>
      <c r="U577" s="65" t="n"/>
      <c r="V577" s="65" t="n"/>
      <c r="W577" s="65" t="n"/>
    </row>
    <row r="578">
      <c r="A578" s="8" t="inlineStr">
        <is>
          <t>M</t>
        </is>
      </c>
      <c r="B578" s="9" t="inlineStr">
        <is>
          <t>400 IM</t>
        </is>
      </c>
      <c r="C578" s="9" t="n">
        <v>20</v>
      </c>
      <c r="D578" s="9" t="n">
        <v>3</v>
      </c>
      <c r="E578" s="41" t="inlineStr">
        <is>
          <t>4:19.53</t>
        </is>
      </c>
      <c r="F578" s="35">
        <f>IFERROR(__xludf.DUMMYFUNCTION("IF(
  REGEXMATCH(E578, "":""),
  60*VALUE(INDEX(SPLIT(E578, "":""),1,1)) + VALUE(INDEX(SPLIT(E578, "":""),1,2)),
  VALUE(E578)
)"),259.53)</f>
        <v/>
      </c>
      <c r="G578" s="35">
        <f>average(F575-F577,F576-F578)</f>
        <v/>
      </c>
      <c r="H578" s="35" t="n">
        <v>2.130000000000024</v>
      </c>
      <c r="I578" s="215">
        <f>C565</f>
        <v/>
      </c>
      <c r="J578" s="215">
        <f>C582</f>
        <v/>
      </c>
      <c r="K578" s="43">
        <f t="array" ref="K578">INDEX('Podium Target Times'!$C:$C, MATCH(A578&amp;B578, 'Podium Target Times'!$A:$A&amp;'Podium Target Times'!$B:$B, 0))
</f>
        <v/>
      </c>
      <c r="L578" s="12">
        <f>L579+G579</f>
        <v/>
      </c>
      <c r="M578" s="43">
        <f>IF(L578&lt;60, TEXT(L578,"0.00"), IF(L578&lt;600, TEXT(L578/86400,"m:ss.00"), TEXT(L578/86400,"mm:ss.00")))
</f>
        <v/>
      </c>
      <c r="N578" s="14">
        <f>IFERROR(__xludf.DUMMYFUNCTION("LET(
  gen,$A578, ev,$B578, t,$M578,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578" s="65" t="n"/>
      <c r="P578" s="69" t="n"/>
      <c r="Q578" s="65" t="n"/>
      <c r="R578" s="69" t="n"/>
      <c r="S578" s="58" t="n"/>
      <c r="T578" s="69" t="n"/>
      <c r="U578" s="65" t="n"/>
      <c r="V578" s="65" t="n"/>
      <c r="W578" s="65" t="n"/>
    </row>
    <row r="579">
      <c r="A579" s="17" t="inlineStr">
        <is>
          <t>M</t>
        </is>
      </c>
      <c r="B579" s="18" t="inlineStr">
        <is>
          <t>400 IM</t>
        </is>
      </c>
      <c r="C579" s="18" t="n">
        <v>21</v>
      </c>
      <c r="D579" s="18" t="n">
        <v>2</v>
      </c>
      <c r="E579" s="46" t="inlineStr">
        <is>
          <t>4:17.48</t>
        </is>
      </c>
      <c r="F579" s="21">
        <f>IFERROR(__xludf.DUMMYFUNCTION("IF(
  REGEXMATCH(E579, "":""),
  60*VALUE(INDEX(SPLIT(E579, "":""),1,1)) + VALUE(INDEX(SPLIT(E579, "":""),1,2)),
  VALUE(E579)
)"),257.48)</f>
        <v/>
      </c>
      <c r="G579" s="21">
        <f>average(F577-F579,F578-F580)</f>
        <v/>
      </c>
      <c r="H579" s="21" t="n">
        <v>1.375</v>
      </c>
      <c r="I579" s="211">
        <f>C565</f>
        <v/>
      </c>
      <c r="J579" s="211">
        <f>C582</f>
        <v/>
      </c>
      <c r="K579" s="60">
        <f t="array" ref="K579">INDEX('Podium Target Times'!$C:$C, MATCH(A579&amp;B579, 'Podium Target Times'!$A:$A&amp;'Podium Target Times'!$B:$B, 0))
</f>
        <v/>
      </c>
      <c r="L579" s="24">
        <f>L581+G581</f>
        <v/>
      </c>
      <c r="M579" s="60">
        <f>IF(L579&lt;60, TEXT(L579,"0.00"), IF(L579&lt;600, TEXT(L579/86400,"m:ss.00"), TEXT(L579/86400,"mm:ss.00")))
</f>
        <v/>
      </c>
      <c r="N579" s="25">
        <f>IFERROR(__xludf.DUMMYFUNCTION("LET(
  gen,$A579, ev,$B579, t,$M579,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579" s="65" t="n"/>
      <c r="P579" s="69" t="n"/>
      <c r="Q579" s="65" t="n"/>
      <c r="R579" s="69" t="n"/>
      <c r="S579" s="58" t="n"/>
      <c r="T579" s="69" t="n"/>
      <c r="U579" s="65" t="n"/>
      <c r="V579" s="65" t="n"/>
      <c r="W579" s="65" t="n"/>
    </row>
    <row r="580">
      <c r="A580" s="8" t="inlineStr">
        <is>
          <t>M</t>
        </is>
      </c>
      <c r="B580" s="9" t="inlineStr">
        <is>
          <t>400 IM</t>
        </is>
      </c>
      <c r="C580" s="9" t="n">
        <v>21</v>
      </c>
      <c r="D580" s="9" t="n">
        <v>3</v>
      </c>
      <c r="E580" s="41" t="inlineStr">
        <is>
          <t>4:18.15</t>
        </is>
      </c>
      <c r="F580" s="35">
        <f>IFERROR(__xludf.DUMMYFUNCTION("IF(
  REGEXMATCH(E580, "":""),
  60*VALUE(INDEX(SPLIT(E580, "":""),1,1)) + VALUE(INDEX(SPLIT(E580, "":""),1,2)),
  VALUE(E580)
)"),258.15)</f>
        <v/>
      </c>
      <c r="G580" s="35">
        <f>average(F577-F579,F578-F580)</f>
        <v/>
      </c>
      <c r="H580" s="35" t="n">
        <v>1.375</v>
      </c>
      <c r="I580" s="215">
        <f>C565</f>
        <v/>
      </c>
      <c r="J580" s="215">
        <f>C582</f>
        <v/>
      </c>
      <c r="K580" s="43">
        <f t="array" ref="K580">INDEX('Podium Target Times'!$C:$C, MATCH(A580&amp;B580, 'Podium Target Times'!$A:$A&amp;'Podium Target Times'!$B:$B, 0))
</f>
        <v/>
      </c>
      <c r="L580" s="12">
        <f>L581+G581</f>
        <v/>
      </c>
      <c r="M580" s="43">
        <f>IF(L580&lt;60, TEXT(L580,"0.00"), IF(L580&lt;600, TEXT(L580/86400,"m:ss.00"), TEXT(L580/86400,"mm:ss.00")))
</f>
        <v/>
      </c>
      <c r="N580" s="14">
        <f>IFERROR(__xludf.DUMMYFUNCTION("LET(
  gen,$A580, ev,$B580, t,$M580,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580" s="65" t="n"/>
      <c r="P580" s="69" t="n"/>
      <c r="Q580" s="65" t="n"/>
      <c r="R580" s="69" t="n"/>
      <c r="S580" s="58" t="n"/>
      <c r="T580" s="69" t="n"/>
      <c r="U580" s="65" t="n"/>
      <c r="V580" s="65" t="n"/>
      <c r="W580" s="65" t="n"/>
    </row>
    <row r="581">
      <c r="A581" s="17" t="inlineStr">
        <is>
          <t>M</t>
        </is>
      </c>
      <c r="B581" s="18" t="inlineStr">
        <is>
          <t>400 IM</t>
        </is>
      </c>
      <c r="C581" s="18" t="n">
        <v>22</v>
      </c>
      <c r="D581" s="18" t="n">
        <v>3</v>
      </c>
      <c r="E581" s="46" t="inlineStr">
        <is>
          <t>4:17.46</t>
        </is>
      </c>
      <c r="F581" s="21">
        <f>IFERROR(__xludf.DUMMYFUNCTION("IF(
  REGEXMATCH(E581, "":""),
  60*VALUE(INDEX(SPLIT(E581, "":""),1,1)) + VALUE(INDEX(SPLIT(E581, "":""),1,2)),
  VALUE(E581)
)"),257.46)</f>
        <v/>
      </c>
      <c r="G581" s="21">
        <f>F580-F581</f>
        <v/>
      </c>
      <c r="H581" s="21" t="n">
        <v>0.6899999999999977</v>
      </c>
      <c r="I581" s="211">
        <f>C565</f>
        <v/>
      </c>
      <c r="J581" s="211">
        <f>C582</f>
        <v/>
      </c>
      <c r="K581" s="60">
        <f t="array" ref="K581">INDEX('Podium Target Times'!$C:$C, MATCH(A581&amp;B581, 'Podium Target Times'!$A:$A&amp;'Podium Target Times'!$B:$B, 0))
</f>
        <v/>
      </c>
      <c r="L581" s="24">
        <f>L582+G582</f>
        <v/>
      </c>
      <c r="M581" s="60">
        <f>IF(L581&lt;60, TEXT(L581,"0.00"), IF(L581&lt;600, TEXT(L581/86400,"m:ss.00"), TEXT(L581/86400,"mm:ss.00")))
</f>
        <v/>
      </c>
      <c r="N581" s="25">
        <f>IFERROR(__xludf.DUMMYFUNCTION("LET(
  gen,$A581, ev,$B581, t,$M581,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O581" s="65" t="n"/>
      <c r="P581" s="69" t="n"/>
      <c r="Q581" s="65" t="n"/>
      <c r="R581" s="69" t="n"/>
      <c r="S581" s="58" t="n"/>
      <c r="T581" s="69" t="n"/>
      <c r="U581" s="65" t="n"/>
      <c r="V581" s="65" t="n"/>
      <c r="W581" s="65" t="n"/>
    </row>
    <row r="582">
      <c r="A582" s="8" t="inlineStr">
        <is>
          <t>M</t>
        </is>
      </c>
      <c r="B582" s="9" t="inlineStr">
        <is>
          <t>400 IM</t>
        </is>
      </c>
      <c r="C582" s="9" t="n">
        <v>23</v>
      </c>
      <c r="D582" s="9" t="n">
        <v>3</v>
      </c>
      <c r="E582" s="215" t="inlineStr">
        <is>
          <t>4:17.46</t>
        </is>
      </c>
      <c r="F582" s="35">
        <f>IFERROR(__xludf.DUMMYFUNCTION("IF(
  REGEXMATCH(E582, "":""),
  60*VALUE(INDEX(SPLIT(E582, "":""),1,1)) + VALUE(INDEX(SPLIT(E582, "":""),1,2)),
  VALUE(E582)
)"),257.46)</f>
        <v/>
      </c>
      <c r="G582" s="35">
        <f>F581-F582</f>
        <v/>
      </c>
      <c r="H582" s="35" t="n">
        <v>0</v>
      </c>
      <c r="I582" s="215">
        <f>C565</f>
        <v/>
      </c>
      <c r="J582" s="215">
        <f>C582</f>
        <v/>
      </c>
      <c r="K582" s="43">
        <f t="array" ref="K582">INDEX('Podium Target Times'!$C:$C, MATCH(A582&amp;B582, 'Podium Target Times'!$A:$A&amp;'Podium Target Times'!$B:$B, 0))
</f>
        <v/>
      </c>
      <c r="L582" s="35">
        <f>G582+L583</f>
        <v/>
      </c>
      <c r="M582" s="43">
        <f>IF(L582&lt;60, TEXT(L582,"0.00"), IF(L582&lt;600, TEXT(L582/86400,"m:ss.00"), TEXT(L582/86400,"mm:ss.00")))
</f>
        <v/>
      </c>
      <c r="N582" s="14">
        <f>IFERROR(__xludf.DUMMYFUNCTION("LET(
  gen,$A582, ev,$B582, t,$M582,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O582" s="65" t="n"/>
      <c r="P582" s="69" t="n"/>
      <c r="Q582" s="65" t="n"/>
      <c r="R582" s="69" t="n"/>
      <c r="S582" s="58" t="n"/>
      <c r="T582" s="69" t="n"/>
      <c r="U582" s="65" t="n"/>
      <c r="V582" s="65" t="n"/>
      <c r="W582" s="65" t="n"/>
    </row>
    <row r="583">
      <c r="A583" s="17" t="inlineStr">
        <is>
          <t>M</t>
        </is>
      </c>
      <c r="B583" s="18" t="inlineStr">
        <is>
          <t>400 IM</t>
        </is>
      </c>
      <c r="C583" s="18" t="n">
        <v>24</v>
      </c>
      <c r="D583" s="18" t="n"/>
      <c r="E583" s="46" t="n"/>
      <c r="F583" s="21">
        <f>IFERROR(__xludf.DUMMYFUNCTION("IF(
  REGEXMATCH(E583, "":""),
  60*VALUE(INDEX(SPLIT(E583, "":""),1,1)) + VALUE(INDEX(SPLIT(E583, "":""),1,2)),
  VALUE(E583)
)"),0.0)</f>
        <v/>
      </c>
      <c r="G583" s="24" t="n"/>
      <c r="H583" s="24" t="n"/>
      <c r="I583" s="60">
        <f>C565</f>
        <v/>
      </c>
      <c r="J583" s="60">
        <f>C582</f>
        <v/>
      </c>
      <c r="K583" s="60">
        <f t="array" ref="K583">INDEX('Podium Target Times'!$C:$C, MATCH(A583&amp;B583, 'Podium Target Times'!$A:$A&amp;'Podium Target Times'!$B:$B, 0))
</f>
        <v/>
      </c>
      <c r="L583" s="24">
        <f>G582+L584</f>
        <v/>
      </c>
      <c r="M583" s="60">
        <f>IF(L583&lt;60, TEXT(L583,"0.00"), IF(L583&lt;600, TEXT(L583/86400,"m:ss.00"), TEXT(L583/86400,"mm:ss.00")))
</f>
        <v/>
      </c>
      <c r="N583" s="25">
        <f>IFERROR(__xludf.DUMMYFUNCTION("LET(
  gen,$A583, ev,$B583, t,$M583,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O583" s="65" t="n"/>
      <c r="P583" s="69" t="n"/>
      <c r="Q583" s="65" t="n"/>
      <c r="R583" s="69" t="n"/>
      <c r="S583" s="58" t="n"/>
      <c r="T583" s="69" t="n"/>
      <c r="U583" s="65" t="n"/>
      <c r="V583" s="65" t="n"/>
      <c r="W583" s="65" t="n"/>
    </row>
    <row r="584">
      <c r="A584" s="8" t="inlineStr">
        <is>
          <t>M</t>
        </is>
      </c>
      <c r="B584" s="9" t="inlineStr">
        <is>
          <t>400 IM</t>
        </is>
      </c>
      <c r="C584" s="9" t="n">
        <v>25</v>
      </c>
      <c r="D584" s="9" t="n"/>
      <c r="E584" s="41" t="n"/>
      <c r="F584" s="35">
        <f>IFERROR(__xludf.DUMMYFUNCTION("IF(
  REGEXMATCH(E584, "":""),
  60*VALUE(INDEX(SPLIT(E584, "":""),1,1)) + VALUE(INDEX(SPLIT(E584, "":""),1,2)),
  VALUE(E584)
)"),0.0)</f>
        <v/>
      </c>
      <c r="G584" s="12" t="n"/>
      <c r="H584" s="12" t="n"/>
      <c r="I584" s="43">
        <f>C565</f>
        <v/>
      </c>
      <c r="J584" s="43">
        <f>C582</f>
        <v/>
      </c>
      <c r="K584" s="43">
        <f t="array" ref="K584">INDEX('Podium Target Times'!$C:$C, MATCH(A584&amp;B584, 'Podium Target Times'!$A:$A&amp;'Podium Target Times'!$B:$B, 0))
</f>
        <v/>
      </c>
      <c r="L584" s="43">
        <f>K584</f>
        <v/>
      </c>
      <c r="M584" s="43">
        <f>IF(L584&lt;60, TEXT(L584,"0.00"), IF(L584&lt;600, TEXT(L584/86400,"m:ss.00"), TEXT(L584/86400,"mm:ss.00")))
</f>
        <v/>
      </c>
      <c r="N584" s="14">
        <f>IFERROR(__xludf.DUMMYFUNCTION("LET(
  gen,$A584, ev,$B584, t,$M584,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O584" s="65" t="n"/>
      <c r="P584" s="69" t="n"/>
      <c r="Q584" s="65" t="n"/>
      <c r="R584" s="69" t="n"/>
      <c r="S584" s="58" t="n"/>
      <c r="T584" s="69" t="n"/>
      <c r="U584" s="65" t="n"/>
      <c r="V584" s="65" t="n"/>
      <c r="W584" s="65" t="n"/>
    </row>
    <row r="585">
      <c r="A585" s="17" t="inlineStr">
        <is>
          <t>M</t>
        </is>
      </c>
      <c r="B585" s="18" t="inlineStr">
        <is>
          <t>50 Back</t>
        </is>
      </c>
      <c r="C585" s="18" t="n">
        <v>16</v>
      </c>
      <c r="D585" s="18" t="n">
        <v>1</v>
      </c>
      <c r="E585" s="46" t="inlineStr">
        <is>
          <t>27.26</t>
        </is>
      </c>
      <c r="F585" s="21">
        <f>IFERROR(__xludf.DUMMYFUNCTION("IF(
  REGEXMATCH(E585, "":""),
  60*VALUE(INDEX(SPLIT(E585, "":""),1,1)) + VALUE(INDEX(SPLIT(E585, "":""),1,2)),
  VALUE(E585)
)"),27.26)</f>
        <v/>
      </c>
      <c r="G585" s="24" t="n">
        <v>0</v>
      </c>
      <c r="H585" s="24" t="n">
        <v>0</v>
      </c>
      <c r="I585" s="60">
        <f>C585</f>
        <v/>
      </c>
      <c r="J585" s="60">
        <f>C602</f>
        <v/>
      </c>
      <c r="K585" s="60">
        <f t="array" ref="K585">INDEX('Podium Target Times'!$C:$C, MATCH(A585&amp;B585, 'Podium Target Times'!$A:$A&amp;'Podium Target Times'!$B:$B, 0))
</f>
        <v/>
      </c>
      <c r="L585" s="24">
        <f>L586+G586</f>
        <v/>
      </c>
      <c r="M585" s="60">
        <f>IF(L585&lt;60, TEXT(L585,"0.00"), IF(L585&lt;600, TEXT(L585/86400,"m:ss.00"), TEXT(L585/86400,"mm:ss.00")))
</f>
        <v/>
      </c>
      <c r="N585" s="25">
        <f>IFERROR(__xludf.DUMMYFUNCTION("LET(
  gen,$A585, ev,$B585, t,$M585,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)"),590.0)</f>
        <v/>
      </c>
      <c r="O585" s="65" t="n"/>
      <c r="P585" s="69">
        <f>A585</f>
        <v/>
      </c>
      <c r="Q585" s="65">
        <f>B585</f>
        <v/>
      </c>
      <c r="R585" s="69">
        <f>C585</f>
        <v/>
      </c>
      <c r="S585" s="58">
        <f>M585</f>
        <v/>
      </c>
      <c r="T585" s="69">
        <f>N585</f>
        <v/>
      </c>
      <c r="U585" s="65" t="n">
        <v>591</v>
      </c>
      <c r="V585" s="65" t="n"/>
      <c r="W585" s="65" t="n"/>
    </row>
    <row r="586">
      <c r="A586" s="8" t="inlineStr">
        <is>
          <t>M</t>
        </is>
      </c>
      <c r="B586" s="9" t="inlineStr">
        <is>
          <t>50 Back</t>
        </is>
      </c>
      <c r="C586" s="9" t="n">
        <v>17</v>
      </c>
      <c r="D586" s="9" t="n">
        <v>1</v>
      </c>
      <c r="E586" s="215" t="inlineStr">
        <is>
          <t>26.47</t>
        </is>
      </c>
      <c r="F586" s="35">
        <f>IFERROR(__xludf.DUMMYFUNCTION("IF(
  REGEXMATCH(E586, "":""),
  60*VALUE(INDEX(SPLIT(E586, "":""),1,1)) + VALUE(INDEX(SPLIT(E586, "":""),1,2)),
  VALUE(E586)
)"),26.47)</f>
        <v/>
      </c>
      <c r="G586" s="35">
        <f>F585-F586</f>
        <v/>
      </c>
      <c r="H586" s="35" t="n">
        <v>0.7900000000000027</v>
      </c>
      <c r="I586" s="215">
        <f>C585</f>
        <v/>
      </c>
      <c r="J586" s="215">
        <f>C602</f>
        <v/>
      </c>
      <c r="K586" s="43">
        <f t="array" ref="K586">INDEX('Podium Target Times'!$C:$C, MATCH(A586&amp;B586, 'Podium Target Times'!$A:$A&amp;'Podium Target Times'!$B:$B, 0))
</f>
        <v/>
      </c>
      <c r="L586" s="12">
        <f>L588+G588</f>
        <v/>
      </c>
      <c r="M586" s="43">
        <f>IF(L586&lt;60, TEXT(L586,"0.00"), IF(L586&lt;600, TEXT(L586/86400,"m:ss.00"), TEXT(L586/86400,"mm:ss.00")))
</f>
        <v/>
      </c>
      <c r="N586" s="14">
        <f>IFERROR(__xludf.DUMMYFUNCTION("LET(
  gen,$A586, ev,$B586, t,$M586,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)"),643.0)</f>
        <v/>
      </c>
      <c r="O586" s="65" t="n"/>
      <c r="P586" s="69">
        <f>A586</f>
        <v/>
      </c>
      <c r="Q586" s="65">
        <f>B586</f>
        <v/>
      </c>
      <c r="R586" s="69">
        <f>C586</f>
        <v/>
      </c>
      <c r="S586" s="58">
        <f>M586</f>
        <v/>
      </c>
      <c r="T586" s="69">
        <f>N586</f>
        <v/>
      </c>
      <c r="U586" s="65" t="n"/>
      <c r="V586" s="65" t="n"/>
      <c r="W586" s="65" t="n"/>
    </row>
    <row r="587">
      <c r="A587" s="17" t="inlineStr">
        <is>
          <t>M</t>
        </is>
      </c>
      <c r="B587" s="18" t="inlineStr">
        <is>
          <t>50 Back</t>
        </is>
      </c>
      <c r="C587" s="18" t="n">
        <v>17</v>
      </c>
      <c r="D587" s="18" t="n">
        <v>2</v>
      </c>
      <c r="E587" s="211" t="inlineStr">
        <is>
          <t>26.73</t>
        </is>
      </c>
      <c r="F587" s="21">
        <f>IFERROR(__xludf.DUMMYFUNCTION("IF(
  REGEXMATCH(E587, "":""),
  60*VALUE(INDEX(SPLIT(E587, "":""),1,1)) + VALUE(INDEX(SPLIT(E587, "":""),1,2)),
  VALUE(E587)
)"),26.73)</f>
        <v/>
      </c>
      <c r="G587" s="21">
        <f>F585-F586</f>
        <v/>
      </c>
      <c r="H587" s="21" t="n">
        <v>0.7900000000000027</v>
      </c>
      <c r="I587" s="211">
        <f>C585</f>
        <v/>
      </c>
      <c r="J587" s="211">
        <f>C602</f>
        <v/>
      </c>
      <c r="K587" s="60">
        <f t="array" ref="K587">INDEX('Podium Target Times'!$C:$C, MATCH(A587&amp;B587, 'Podium Target Times'!$A:$A&amp;'Podium Target Times'!$B:$B, 0))
</f>
        <v/>
      </c>
      <c r="L587" s="24">
        <f>L588+G588</f>
        <v/>
      </c>
      <c r="M587" s="60">
        <f>IF(L587&lt;60, TEXT(L587,"0.00"), IF(L587&lt;600, TEXT(L587/86400,"m:ss.00"), TEXT(L587/86400,"mm:ss.00")))
</f>
        <v/>
      </c>
      <c r="N587" s="25">
        <f>IFERROR(__xludf.DUMMYFUNCTION("LET(
  gen,$A587, ev,$B587, t,$M587,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)"),643.0)</f>
        <v/>
      </c>
      <c r="O587" s="65" t="n"/>
      <c r="P587" s="69">
        <f>A588</f>
        <v/>
      </c>
      <c r="Q587" s="65">
        <f>B588</f>
        <v/>
      </c>
      <c r="R587" s="69">
        <f>C588</f>
        <v/>
      </c>
      <c r="S587" s="58">
        <f>M588</f>
        <v/>
      </c>
      <c r="T587" s="69">
        <f>N588</f>
        <v/>
      </c>
      <c r="U587" s="65" t="n"/>
      <c r="V587" s="65" t="n"/>
      <c r="W587" s="65" t="n"/>
    </row>
    <row r="588">
      <c r="A588" s="8" t="inlineStr">
        <is>
          <t>M</t>
        </is>
      </c>
      <c r="B588" s="9" t="inlineStr">
        <is>
          <t>50 Back</t>
        </is>
      </c>
      <c r="C588" s="9" t="n">
        <v>18</v>
      </c>
      <c r="D588" s="9" t="n">
        <v>1</v>
      </c>
      <c r="E588" s="483" t="inlineStr">
        <is>
          <t>25.85</t>
        </is>
      </c>
      <c r="F588" s="35">
        <f>IFERROR(__xludf.DUMMYFUNCTION("IF(
  REGEXMATCH(E588, "":""),
  60*VALUE(INDEX(SPLIT(E588, "":""),1,1)) + VALUE(INDEX(SPLIT(E588, "":""),1,2)),
  VALUE(E588)
)"),25.85)</f>
        <v/>
      </c>
      <c r="G588" s="35">
        <f>average(F586-F588,F587-F589)</f>
        <v/>
      </c>
      <c r="H588" s="35" t="n">
        <v>0.6249999999999982</v>
      </c>
      <c r="I588" s="215">
        <f>C585</f>
        <v/>
      </c>
      <c r="J588" s="215">
        <f>C602</f>
        <v/>
      </c>
      <c r="K588" s="43">
        <f t="array" ref="K588">INDEX('Podium Target Times'!$C:$C, MATCH(A588&amp;B588, 'Podium Target Times'!$A:$A&amp;'Podium Target Times'!$B:$B, 0))
</f>
        <v/>
      </c>
      <c r="L588" s="12">
        <f>L591+G591</f>
        <v/>
      </c>
      <c r="M588" s="43">
        <f>IF(L588&lt;60, TEXT(L588,"0.00"), IF(L588&lt;600, TEXT(L588/86400,"m:ss.00"), TEXT(L588/86400,"mm:ss.00")))
</f>
        <v/>
      </c>
      <c r="N588" s="14">
        <f>IFERROR(__xludf.DUMMYFUNCTION("LET(
  gen,$A588, ev,$B588, t,$M588,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88" s="65" t="n"/>
      <c r="P588" s="69">
        <f>A591</f>
        <v/>
      </c>
      <c r="Q588" s="65">
        <f>B591</f>
        <v/>
      </c>
      <c r="R588" s="69">
        <f>C591</f>
        <v/>
      </c>
      <c r="S588" s="58">
        <f>M591</f>
        <v/>
      </c>
      <c r="T588" s="69">
        <f>N591</f>
        <v/>
      </c>
      <c r="U588" s="65" t="n"/>
      <c r="V588" s="65" t="n"/>
      <c r="W588" s="65" t="n"/>
    </row>
    <row r="589">
      <c r="A589" s="17" t="inlineStr">
        <is>
          <t>M</t>
        </is>
      </c>
      <c r="B589" s="18" t="inlineStr">
        <is>
          <t>50 Back</t>
        </is>
      </c>
      <c r="C589" s="18" t="n">
        <v>18</v>
      </c>
      <c r="D589" s="18" t="n">
        <v>2</v>
      </c>
      <c r="E589" s="46" t="inlineStr">
        <is>
          <t>26.10</t>
        </is>
      </c>
      <c r="F589" s="21">
        <f>IFERROR(__xludf.DUMMYFUNCTION("IF(
  REGEXMATCH(E589, "":""),
  60*VALUE(INDEX(SPLIT(E589, "":""),1,1)) + VALUE(INDEX(SPLIT(E589, "":""),1,2)),
  VALUE(E589)
)"),26.1)</f>
        <v/>
      </c>
      <c r="G589" s="21">
        <f>average(F586-F588,F587-F589)</f>
        <v/>
      </c>
      <c r="H589" s="21" t="n">
        <v>0.6249999999999982</v>
      </c>
      <c r="I589" s="211">
        <f>C585</f>
        <v/>
      </c>
      <c r="J589" s="211">
        <f>C602</f>
        <v/>
      </c>
      <c r="K589" s="60">
        <f t="array" ref="K589">INDEX('Podium Target Times'!$C:$C, MATCH(A589&amp;B589, 'Podium Target Times'!$A:$A&amp;'Podium Target Times'!$B:$B, 0))
</f>
        <v/>
      </c>
      <c r="L589" s="24">
        <f>L591+G591</f>
        <v/>
      </c>
      <c r="M589" s="60">
        <f>IF(L589&lt;60, TEXT(L589,"0.00"), IF(L589&lt;600, TEXT(L589/86400,"m:ss.00"), TEXT(L589/86400,"mm:ss.00")))
</f>
        <v/>
      </c>
      <c r="N589" s="25">
        <f>IFERROR(__xludf.DUMMYFUNCTION("LET(
  gen,$A589, ev,$B589, t,$M589,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89" s="65" t="n"/>
      <c r="P589" s="69">
        <f>A594</f>
        <v/>
      </c>
      <c r="Q589" s="65">
        <f>B594</f>
        <v/>
      </c>
      <c r="R589" s="69">
        <f>C594</f>
        <v/>
      </c>
      <c r="S589" s="58">
        <f>M594</f>
        <v/>
      </c>
      <c r="T589" s="69">
        <f>N594</f>
        <v/>
      </c>
      <c r="U589" s="65" t="n"/>
      <c r="V589" s="65" t="n"/>
      <c r="W589" s="65" t="n"/>
    </row>
    <row r="590">
      <c r="A590" s="8" t="inlineStr">
        <is>
          <t>M</t>
        </is>
      </c>
      <c r="B590" s="9" t="inlineStr">
        <is>
          <t>50 Back</t>
        </is>
      </c>
      <c r="C590" s="9" t="n">
        <v>18</v>
      </c>
      <c r="D590" s="9" t="n">
        <v>3</v>
      </c>
      <c r="E590" s="41" t="inlineStr">
        <is>
          <t>26.15</t>
        </is>
      </c>
      <c r="F590" s="35">
        <f>IFERROR(__xludf.DUMMYFUNCTION("IF(
  REGEXMATCH(E590, "":""),
  60*VALUE(INDEX(SPLIT(E590, "":""),1,1)) + VALUE(INDEX(SPLIT(E590, "":""),1,2)),
  VALUE(E590)
)"),26.15)</f>
        <v/>
      </c>
      <c r="G590" s="35">
        <f>average(F586-F588,F587-F589)</f>
        <v/>
      </c>
      <c r="H590" s="35" t="n">
        <v>0.6249999999999982</v>
      </c>
      <c r="I590" s="215">
        <f>C585</f>
        <v/>
      </c>
      <c r="J590" s="215">
        <f>C602</f>
        <v/>
      </c>
      <c r="K590" s="43">
        <f t="array" ref="K590">INDEX('Podium Target Times'!$C:$C, MATCH(A590&amp;B590, 'Podium Target Times'!$A:$A&amp;'Podium Target Times'!$B:$B, 0))
</f>
        <v/>
      </c>
      <c r="L590" s="12">
        <f>L591+G591</f>
        <v/>
      </c>
      <c r="M590" s="43">
        <f>IF(L590&lt;60, TEXT(L590,"0.00"), IF(L590&lt;600, TEXT(L590/86400,"m:ss.00"), TEXT(L590/86400,"mm:ss.00")))
</f>
        <v/>
      </c>
      <c r="N590" s="14">
        <f>IFERROR(__xludf.DUMMYFUNCTION("LET(
  gen,$A590, ev,$B590, t,$M590,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)"),690.0)</f>
        <v/>
      </c>
      <c r="O590" s="65" t="n"/>
      <c r="P590" s="69">
        <f>A597</f>
        <v/>
      </c>
      <c r="Q590" s="65">
        <f>B597</f>
        <v/>
      </c>
      <c r="R590" s="69">
        <f>C597</f>
        <v/>
      </c>
      <c r="S590" s="58">
        <f>M597</f>
        <v/>
      </c>
      <c r="T590" s="69">
        <f>N597</f>
        <v/>
      </c>
      <c r="U590" s="65" t="n"/>
      <c r="V590" s="65" t="n"/>
      <c r="W590" s="65" t="n"/>
    </row>
    <row r="591">
      <c r="A591" s="17" t="inlineStr">
        <is>
          <t>M</t>
        </is>
      </c>
      <c r="B591" s="18" t="inlineStr">
        <is>
          <t>50 Back</t>
        </is>
      </c>
      <c r="C591" s="18" t="n">
        <v>19</v>
      </c>
      <c r="D591" s="18" t="n">
        <v>1</v>
      </c>
      <c r="E591" s="46" t="inlineStr">
        <is>
          <t>25.40</t>
        </is>
      </c>
      <c r="F591" s="21">
        <f>IFERROR(__xludf.DUMMYFUNCTION("IF(
  REGEXMATCH(E591, "":""),
  60*VALUE(INDEX(SPLIT(E591, "":""),1,1)) + VALUE(INDEX(SPLIT(E591, "":""),1,2)),
  VALUE(E591)
)"),25.4)</f>
        <v/>
      </c>
      <c r="G591" s="21">
        <f>average(F588-F591,F589-F592,F590-F593)</f>
        <v/>
      </c>
      <c r="H591" s="21" t="n">
        <v>0.456666666666667</v>
      </c>
      <c r="I591" s="211">
        <f>C585</f>
        <v/>
      </c>
      <c r="J591" s="211">
        <f>C602</f>
        <v/>
      </c>
      <c r="K591" s="60">
        <f t="array" ref="K591">INDEX('Podium Target Times'!$C:$C, MATCH(A591&amp;B591, 'Podium Target Times'!$A:$A&amp;'Podium Target Times'!$B:$B, 0))
</f>
        <v/>
      </c>
      <c r="L591" s="24">
        <f>L594+G594</f>
        <v/>
      </c>
      <c r="M591" s="60">
        <f>IF(L591&lt;60, TEXT(L591,"0.00"), IF(L591&lt;600, TEXT(L591/86400,"m:ss.00"), TEXT(L591/86400,"mm:ss.00")))
</f>
        <v/>
      </c>
      <c r="N591" s="25">
        <f>IFERROR(__xludf.DUMMYFUNCTION("LET(
  gen,$A591, ev,$B591, t,$M591,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
      </c>
      <c r="O591" s="65" t="n"/>
      <c r="P591" s="69">
        <f>A599</f>
        <v/>
      </c>
      <c r="Q591" s="65">
        <f>B599</f>
        <v/>
      </c>
      <c r="R591" s="69">
        <f>C599</f>
        <v/>
      </c>
      <c r="S591" s="58">
        <f>M599</f>
        <v/>
      </c>
      <c r="T591" s="69">
        <f>N599</f>
        <v/>
      </c>
      <c r="U591" s="65" t="n"/>
      <c r="V591" s="65" t="n"/>
      <c r="W591" s="65" t="n"/>
    </row>
    <row r="592">
      <c r="A592" s="8" t="inlineStr">
        <is>
          <t>M</t>
        </is>
      </c>
      <c r="B592" s="9" t="inlineStr">
        <is>
          <t>50 Back</t>
        </is>
      </c>
      <c r="C592" s="9" t="n">
        <v>19</v>
      </c>
      <c r="D592" s="9" t="n">
        <v>2</v>
      </c>
      <c r="E592" s="41" t="inlineStr">
        <is>
          <t>25.64</t>
        </is>
      </c>
      <c r="F592" s="35">
        <f>IFERROR(__xludf.DUMMYFUNCTION("IF(
  REGEXMATCH(E592, "":""),
  60*VALUE(INDEX(SPLIT(E592, "":""),1,1)) + VALUE(INDEX(SPLIT(E592, "":""),1,2)),
  VALUE(E592)
)"),25.64)</f>
        <v/>
      </c>
      <c r="G592" s="35">
        <f>average(F588-F591,F589-F592,F590-F593)</f>
        <v/>
      </c>
      <c r="H592" s="35" t="n">
        <v>0.456666666666667</v>
      </c>
      <c r="I592" s="215">
        <f>C585</f>
        <v/>
      </c>
      <c r="J592" s="215">
        <f>C602</f>
        <v/>
      </c>
      <c r="K592" s="43">
        <f t="array" ref="K592">INDEX('Podium Target Times'!$C:$C, MATCH(A592&amp;B592, 'Podium Target Times'!$A:$A&amp;'Podium Target Times'!$B:$B, 0))
</f>
        <v/>
      </c>
      <c r="L592" s="12">
        <f>L594+G594</f>
        <v/>
      </c>
      <c r="M592" s="43">
        <f>IF(L592&lt;60, TEXT(L592,"0.00"), IF(L592&lt;600, TEXT(L592/86400,"m:ss.00"), TEXT(L592/86400,"mm:ss.00")))
</f>
        <v/>
      </c>
      <c r="N592" s="14">
        <f>IFERROR(__xludf.DUMMYFUNCTION("LET(
  gen,$A592, ev,$B592, t,$M592,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
      </c>
      <c r="O592" s="65" t="n"/>
      <c r="P592" s="69">
        <f>A601</f>
        <v/>
      </c>
      <c r="Q592" s="65">
        <f>B601</f>
        <v/>
      </c>
      <c r="R592" s="69">
        <f>C601</f>
        <v/>
      </c>
      <c r="S592" s="58">
        <f>M601</f>
        <v/>
      </c>
      <c r="T592" s="69">
        <f>N601</f>
        <v/>
      </c>
      <c r="U592" s="65" t="n"/>
      <c r="V592" s="65" t="n"/>
      <c r="W592" s="65" t="n"/>
    </row>
    <row r="593">
      <c r="A593" s="17" t="inlineStr">
        <is>
          <t>M</t>
        </is>
      </c>
      <c r="B593" s="18" t="inlineStr">
        <is>
          <t>50 Back</t>
        </is>
      </c>
      <c r="C593" s="18" t="n">
        <v>19</v>
      </c>
      <c r="D593" s="18" t="n">
        <v>3</v>
      </c>
      <c r="E593" s="46" t="inlineStr">
        <is>
          <t>25.69</t>
        </is>
      </c>
      <c r="F593" s="21">
        <f>IFERROR(__xludf.DUMMYFUNCTION("IF(
  REGEXMATCH(E593, "":""),
  60*VALUE(INDEX(SPLIT(E593, "":""),1,1)) + VALUE(INDEX(SPLIT(E593, "":""),1,2)),
  VALUE(E593)
)"),25.69)</f>
        <v/>
      </c>
      <c r="G593" s="21">
        <f>average(F588-F591,F589-F592,F590-F593)</f>
        <v/>
      </c>
      <c r="H593" s="21" t="n">
        <v>0.456666666666667</v>
      </c>
      <c r="I593" s="211">
        <f>C585</f>
        <v/>
      </c>
      <c r="J593" s="211">
        <f>C602</f>
        <v/>
      </c>
      <c r="K593" s="60">
        <f t="array" ref="K593">INDEX('Podium Target Times'!$C:$C, MATCH(A593&amp;B593, 'Podium Target Times'!$A:$A&amp;'Podium Target Times'!$B:$B, 0))
</f>
        <v/>
      </c>
      <c r="L593" s="24">
        <f>L594+G594</f>
        <v/>
      </c>
      <c r="M593" s="60">
        <f>IF(L593&lt;60, TEXT(L593,"0.00"), IF(L593&lt;600, TEXT(L593/86400,"m:ss.00"), TEXT(L593/86400,"mm:ss.00")))
</f>
        <v/>
      </c>
      <c r="N593" s="25">
        <f>IFERROR(__xludf.DUMMYFUNCTION("LET(
  gen,$A593, ev,$B593, t,$M593,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
      </c>
      <c r="O593" s="65" t="n"/>
      <c r="P593" s="69">
        <f>A602</f>
        <v/>
      </c>
      <c r="Q593" s="65">
        <f>B602</f>
        <v/>
      </c>
      <c r="R593" s="69">
        <f>C602</f>
        <v/>
      </c>
      <c r="S593" s="58">
        <f>M602</f>
        <v/>
      </c>
      <c r="T593" s="69">
        <f>N602</f>
        <v/>
      </c>
      <c r="U593" s="65" t="n">
        <v>777</v>
      </c>
      <c r="V593" s="65" t="n"/>
      <c r="W593" s="65" t="n"/>
    </row>
    <row r="594">
      <c r="A594" s="8" t="inlineStr">
        <is>
          <t>M</t>
        </is>
      </c>
      <c r="B594" s="9" t="inlineStr">
        <is>
          <t>50 Back</t>
        </is>
      </c>
      <c r="C594" s="9" t="n">
        <v>20</v>
      </c>
      <c r="D594" s="9" t="n">
        <v>1</v>
      </c>
      <c r="E594" s="41" t="inlineStr">
        <is>
          <t>25.11</t>
        </is>
      </c>
      <c r="F594" s="35">
        <f>IFERROR(__xludf.DUMMYFUNCTION("IF(
  REGEXMATCH(E594, "":""),
  60*VALUE(INDEX(SPLIT(E594, "":""),1,1)) + VALUE(INDEX(SPLIT(E594, "":""),1,2)),
  VALUE(E594)
)"),25.11)</f>
        <v/>
      </c>
      <c r="G594" s="35">
        <f>average(F591-F594,F592-F595,F593-F596)</f>
        <v/>
      </c>
      <c r="H594" s="35" t="n">
        <v>0.2900000000000003</v>
      </c>
      <c r="I594" s="215">
        <f>C585</f>
        <v/>
      </c>
      <c r="J594" s="215">
        <f>C602</f>
        <v/>
      </c>
      <c r="K594" s="43">
        <f t="array" ref="K594">INDEX('Podium Target Times'!$C:$C, MATCH(A594&amp;B594, 'Podium Target Times'!$A:$A&amp;'Podium Target Times'!$B:$B, 0))
</f>
        <v/>
      </c>
      <c r="L594" s="12">
        <f>L597+G597</f>
        <v/>
      </c>
      <c r="M594" s="43">
        <f>IF(L594&lt;60, TEXT(L594,"0.00"), IF(L594&lt;600, TEXT(L594/86400,"m:ss.00"), TEXT(L594/86400,"mm:ss.00")))
</f>
        <v/>
      </c>
      <c r="N594" s="14">
        <f>IFERROR(__xludf.DUMMYFUNCTION("LET(
  gen,$A594, ev,$B594, t,$M594,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
      </c>
      <c r="O594" s="65" t="n"/>
      <c r="P594" s="69">
        <f>P593</f>
        <v/>
      </c>
      <c r="Q594" s="65">
        <f>Q593</f>
        <v/>
      </c>
      <c r="R594" s="69">
        <f>R593+1</f>
        <v/>
      </c>
      <c r="S594" s="58">
        <f>M603</f>
        <v/>
      </c>
      <c r="T594" s="69">
        <f>N603</f>
        <v/>
      </c>
      <c r="U594" s="65" t="n"/>
      <c r="V594" s="65" t="n"/>
      <c r="W594" s="65" t="n"/>
    </row>
    <row r="595">
      <c r="A595" s="17" t="inlineStr">
        <is>
          <t>M</t>
        </is>
      </c>
      <c r="B595" s="18" t="inlineStr">
        <is>
          <t>50 Back</t>
        </is>
      </c>
      <c r="C595" s="18" t="n">
        <v>20</v>
      </c>
      <c r="D595" s="18" t="n">
        <v>2</v>
      </c>
      <c r="E595" s="46" t="inlineStr">
        <is>
          <t>25.35</t>
        </is>
      </c>
      <c r="F595" s="21">
        <f>IFERROR(__xludf.DUMMYFUNCTION("IF(
  REGEXMATCH(E595, "":""),
  60*VALUE(INDEX(SPLIT(E595, "":""),1,1)) + VALUE(INDEX(SPLIT(E595, "":""),1,2)),
  VALUE(E595)
)"),25.35)</f>
        <v/>
      </c>
      <c r="G595" s="21">
        <f>average(F591-F594,F592-F595,F593-F596)</f>
        <v/>
      </c>
      <c r="H595" s="21" t="n">
        <v>0.2900000000000003</v>
      </c>
      <c r="I595" s="211">
        <f>C585</f>
        <v/>
      </c>
      <c r="J595" s="211">
        <f>C602</f>
        <v/>
      </c>
      <c r="K595" s="60">
        <f t="array" ref="K595">INDEX('Podium Target Times'!$C:$C, MATCH(A595&amp;B595, 'Podium Target Times'!$A:$A&amp;'Podium Target Times'!$B:$B, 0))
</f>
        <v/>
      </c>
      <c r="L595" s="24">
        <f>L597+G597</f>
        <v/>
      </c>
      <c r="M595" s="60">
        <f>IF(L595&lt;60, TEXT(L595,"0.00"), IF(L595&lt;600, TEXT(L595/86400,"m:ss.00"), TEXT(L595/86400,"mm:ss.00")))
</f>
        <v/>
      </c>
      <c r="N595" s="25">
        <f>IFERROR(__xludf.DUMMYFUNCTION("LET(
  gen,$A595, ev,$B595, t,$M595,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
      </c>
      <c r="O595" s="65" t="n"/>
      <c r="P595" s="69" t="n"/>
      <c r="Q595" s="65" t="n"/>
      <c r="R595" s="69" t="n"/>
      <c r="S595" s="58" t="n"/>
      <c r="T595" s="69" t="n"/>
      <c r="U595" s="65" t="n"/>
      <c r="V595" s="65" t="n"/>
      <c r="W595" s="65" t="n"/>
    </row>
    <row r="596">
      <c r="A596" s="8" t="inlineStr">
        <is>
          <t>M</t>
        </is>
      </c>
      <c r="B596" s="9" t="inlineStr">
        <is>
          <t>50 Back</t>
        </is>
      </c>
      <c r="C596" s="9" t="n">
        <v>20</v>
      </c>
      <c r="D596" s="9" t="n">
        <v>3</v>
      </c>
      <c r="E596" s="41" t="inlineStr">
        <is>
          <t>25.40</t>
        </is>
      </c>
      <c r="F596" s="35">
        <f>IFERROR(__xludf.DUMMYFUNCTION("IF(
  REGEXMATCH(E596, "":""),
  60*VALUE(INDEX(SPLIT(E596, "":""),1,1)) + VALUE(INDEX(SPLIT(E596, "":""),1,2)),
  VALUE(E596)
)"),25.4)</f>
        <v/>
      </c>
      <c r="G596" s="35">
        <f>average(F591-F594,F592-F595,F593-F596)</f>
        <v/>
      </c>
      <c r="H596" s="35" t="n">
        <v>0.2900000000000003</v>
      </c>
      <c r="I596" s="215">
        <f>C585</f>
        <v/>
      </c>
      <c r="J596" s="215">
        <f>C602</f>
        <v/>
      </c>
      <c r="K596" s="43">
        <f t="array" ref="K596">INDEX('Podium Target Times'!$C:$C, MATCH(A596&amp;B596, 'Podium Target Times'!$A:$A&amp;'Podium Target Times'!$B:$B, 0))
</f>
        <v/>
      </c>
      <c r="L596" s="12">
        <f>L597+G597</f>
        <v/>
      </c>
      <c r="M596" s="43">
        <f>IF(L596&lt;60, TEXT(L596,"0.00"), IF(L596&lt;600, TEXT(L596/86400,"m:ss.00"), TEXT(L596/86400,"mm:ss.00")))
</f>
        <v/>
      </c>
      <c r="N596" s="14">
        <f>IFERROR(__xludf.DUMMYFUNCTION("LET(
  gen,$A596, ev,$B596, t,$M596,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
      </c>
      <c r="O596" s="65" t="n"/>
      <c r="P596" s="69" t="n"/>
      <c r="Q596" s="65" t="n"/>
      <c r="R596" s="69" t="n"/>
      <c r="S596" s="58" t="n"/>
      <c r="T596" s="69" t="n"/>
      <c r="U596" s="65" t="n"/>
      <c r="V596" s="65" t="n"/>
      <c r="W596" s="65" t="n"/>
    </row>
    <row r="597">
      <c r="A597" s="17" t="inlineStr">
        <is>
          <t>M</t>
        </is>
      </c>
      <c r="B597" s="18" t="inlineStr">
        <is>
          <t>50 Back</t>
        </is>
      </c>
      <c r="C597" s="18" t="n">
        <v>21</v>
      </c>
      <c r="D597" s="18" t="n">
        <v>2</v>
      </c>
      <c r="E597" s="46" t="inlineStr">
        <is>
          <t>25.19</t>
        </is>
      </c>
      <c r="F597" s="21">
        <f>IFERROR(__xludf.DUMMYFUNCTION("IF(
  REGEXMATCH(E597, "":""),
  60*VALUE(INDEX(SPLIT(E597, "":""),1,1)) + VALUE(INDEX(SPLIT(E597, "":""),1,2)),
  VALUE(E597)
)"),25.19)</f>
        <v/>
      </c>
      <c r="G597" s="21">
        <f>average(F595-F597,F596-F598)</f>
        <v/>
      </c>
      <c r="H597" s="21" t="n">
        <v>0.1600000000000001</v>
      </c>
      <c r="I597" s="211">
        <f>C585</f>
        <v/>
      </c>
      <c r="J597" s="211">
        <f>C602</f>
        <v/>
      </c>
      <c r="K597" s="60">
        <f t="array" ref="K597">INDEX('Podium Target Times'!$C:$C, MATCH(A597&amp;B597, 'Podium Target Times'!$A:$A&amp;'Podium Target Times'!$B:$B, 0))
</f>
        <v/>
      </c>
      <c r="L597" s="24">
        <f>L599+G599</f>
        <v/>
      </c>
      <c r="M597" s="60">
        <f>IF(L597&lt;60, TEXT(L597,"0.00"), IF(L597&lt;600, TEXT(L597/86400,"m:ss.00"), TEXT(L597/86400,"mm:ss.00")))
</f>
        <v/>
      </c>
      <c r="N597" s="25">
        <f>IFERROR(__xludf.DUMMYFUNCTION("LET(
  gen,$A597, ev,$B597, t,$M597,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
      </c>
      <c r="O597" s="65" t="n"/>
      <c r="P597" s="69" t="n"/>
      <c r="Q597" s="65" t="n"/>
      <c r="R597" s="69" t="n"/>
      <c r="S597" s="58" t="n"/>
      <c r="T597" s="69" t="n"/>
      <c r="U597" s="65" t="n"/>
      <c r="V597" s="65" t="n"/>
      <c r="W597" s="65" t="n"/>
    </row>
    <row r="598">
      <c r="A598" s="8" t="inlineStr">
        <is>
          <t>M</t>
        </is>
      </c>
      <c r="B598" s="9" t="inlineStr">
        <is>
          <t>50 Back</t>
        </is>
      </c>
      <c r="C598" s="9" t="n">
        <v>21</v>
      </c>
      <c r="D598" s="9" t="n">
        <v>3</v>
      </c>
      <c r="E598" s="41" t="inlineStr">
        <is>
          <t>25.24</t>
        </is>
      </c>
      <c r="F598" s="35">
        <f>IFERROR(__xludf.DUMMYFUNCTION("IF(
  REGEXMATCH(E598, "":""),
  60*VALUE(INDEX(SPLIT(E598, "":""),1,1)) + VALUE(INDEX(SPLIT(E598, "":""),1,2)),
  VALUE(E598)
)"),25.24)</f>
        <v/>
      </c>
      <c r="G598" s="35">
        <f>average(F595-F597,F596-F598)</f>
        <v/>
      </c>
      <c r="H598" s="35" t="n">
        <v>0.1600000000000001</v>
      </c>
      <c r="I598" s="215">
        <f>C585</f>
        <v/>
      </c>
      <c r="J598" s="215">
        <f>C602</f>
        <v/>
      </c>
      <c r="K598" s="43">
        <f t="array" ref="K598">INDEX('Podium Target Times'!$C:$C, MATCH(A598&amp;B598, 'Podium Target Times'!$A:$A&amp;'Podium Target Times'!$B:$B, 0))
</f>
        <v/>
      </c>
      <c r="L598" s="12">
        <f>L599+G599</f>
        <v/>
      </c>
      <c r="M598" s="43">
        <f>IF(L598&lt;60, TEXT(L598,"0.00"), IF(L598&lt;600, TEXT(L598/86400,"m:ss.00"), TEXT(L598/86400,"mm:ss.00")))
</f>
        <v/>
      </c>
      <c r="N598" s="14">
        <f>IFERROR(__xludf.DUMMYFUNCTION("LET(
  gen,$A598, ev,$B598, t,$M598,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
      </c>
      <c r="O598" s="65" t="n"/>
      <c r="P598" s="69" t="n"/>
      <c r="Q598" s="65" t="n"/>
      <c r="R598" s="69" t="n"/>
      <c r="S598" s="58" t="n"/>
      <c r="T598" s="69" t="n"/>
      <c r="U598" s="65" t="n"/>
      <c r="V598" s="65" t="n"/>
      <c r="W598" s="65" t="n"/>
    </row>
    <row r="599">
      <c r="A599" s="17" t="inlineStr">
        <is>
          <t>M</t>
        </is>
      </c>
      <c r="B599" s="18" t="inlineStr">
        <is>
          <t>50 Back</t>
        </is>
      </c>
      <c r="C599" s="18" t="n">
        <v>22</v>
      </c>
      <c r="D599" s="18" t="n">
        <v>2</v>
      </c>
      <c r="E599" s="46" t="inlineStr">
        <is>
          <t>25.11</t>
        </is>
      </c>
      <c r="F599" s="21">
        <f>IFERROR(__xludf.DUMMYFUNCTION("IF(
  REGEXMATCH(E599, "":""),
  60*VALUE(INDEX(SPLIT(E599, "":""),1,1)) + VALUE(INDEX(SPLIT(E599, "":""),1,2)),
  VALUE(E599)
)"),25.11)</f>
        <v/>
      </c>
      <c r="G599" s="21">
        <f>average(F597-F599,F598-F600)</f>
        <v/>
      </c>
      <c r="H599" s="21" t="n">
        <v>0.08500000000000085</v>
      </c>
      <c r="I599" s="211">
        <f>C585</f>
        <v/>
      </c>
      <c r="J599" s="211">
        <f>C602</f>
        <v/>
      </c>
      <c r="K599" s="60">
        <f t="array" ref="K599">INDEX('Podium Target Times'!$C:$C, MATCH(A599&amp;B599, 'Podium Target Times'!$A:$A&amp;'Podium Target Times'!$B:$B, 0))
</f>
        <v/>
      </c>
      <c r="L599" s="24">
        <f>L601+G601</f>
        <v/>
      </c>
      <c r="M599" s="60">
        <f>IF(L599&lt;60, TEXT(L599,"0.00"), IF(L599&lt;600, TEXT(L599/86400,"m:ss.00"), TEXT(L599/86400,"mm:ss.00")))
</f>
        <v/>
      </c>
      <c r="N599" s="25">
        <f>IFERROR(__xludf.DUMMYFUNCTION("LET(
  gen,$A599, ev,$B599, t,$M599,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
      </c>
      <c r="O599" s="65" t="n"/>
      <c r="P599" s="69" t="n"/>
      <c r="Q599" s="65" t="n"/>
      <c r="R599" s="69" t="n"/>
      <c r="S599" s="58" t="n"/>
      <c r="T599" s="69" t="n"/>
      <c r="U599" s="65" t="n"/>
      <c r="V599" s="65" t="n"/>
      <c r="W599" s="65" t="n"/>
    </row>
    <row r="600">
      <c r="A600" s="8" t="inlineStr">
        <is>
          <t>M</t>
        </is>
      </c>
      <c r="B600" s="9" t="inlineStr">
        <is>
          <t>50 Back</t>
        </is>
      </c>
      <c r="C600" s="9" t="n">
        <v>22</v>
      </c>
      <c r="D600" s="9" t="n">
        <v>3</v>
      </c>
      <c r="E600" s="41" t="inlineStr">
        <is>
          <t>25.15</t>
        </is>
      </c>
      <c r="F600" s="35">
        <f>IFERROR(__xludf.DUMMYFUNCTION("IF(
  REGEXMATCH(E600, "":""),
  60*VALUE(INDEX(SPLIT(E600, "":""),1,1)) + VALUE(INDEX(SPLIT(E600, "":""),1,2)),
  VALUE(E600)
)"),25.15)</f>
        <v/>
      </c>
      <c r="G600" s="35">
        <f>average(F597-F599,F598-F600)</f>
        <v/>
      </c>
      <c r="H600" s="35" t="n">
        <v>0.08500000000000085</v>
      </c>
      <c r="I600" s="215">
        <f>C585</f>
        <v/>
      </c>
      <c r="J600" s="215">
        <f>C602</f>
        <v/>
      </c>
      <c r="K600" s="43">
        <f t="array" ref="K600">INDEX('Podium Target Times'!$C:$C, MATCH(A600&amp;B600, 'Podium Target Times'!$A:$A&amp;'Podium Target Times'!$B:$B, 0))
</f>
        <v/>
      </c>
      <c r="L600" s="12">
        <f>L601+G601</f>
        <v/>
      </c>
      <c r="M600" s="43">
        <f>IF(L600&lt;60, TEXT(L600,"0.00"), IF(L600&lt;600, TEXT(L600/86400,"m:ss.00"), TEXT(L600/86400,"mm:ss.00")))
</f>
        <v/>
      </c>
      <c r="N600" s="14">
        <f>IFERROR(__xludf.DUMMYFUNCTION("LET(
  gen,$A600, ev,$B600, t,$M600,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
      </c>
      <c r="O600" s="65" t="n"/>
      <c r="P600" s="69" t="n"/>
      <c r="Q600" s="65" t="n"/>
      <c r="R600" s="69" t="n"/>
      <c r="S600" s="58" t="n"/>
      <c r="T600" s="69" t="n"/>
      <c r="U600" s="65" t="n"/>
      <c r="V600" s="65" t="n"/>
      <c r="W600" s="65" t="n"/>
    </row>
    <row r="601">
      <c r="A601" s="17" t="inlineStr">
        <is>
          <t>M</t>
        </is>
      </c>
      <c r="B601" s="18" t="inlineStr">
        <is>
          <t>50 Back</t>
        </is>
      </c>
      <c r="C601" s="18" t="n">
        <v>23</v>
      </c>
      <c r="D601" s="18" t="n">
        <v>3</v>
      </c>
      <c r="E601" s="46" t="inlineStr">
        <is>
          <t>25.12</t>
        </is>
      </c>
      <c r="F601" s="21">
        <f>IFERROR(__xludf.DUMMYFUNCTION("IF(
  REGEXMATCH(E601, "":""),
  60*VALUE(INDEX(SPLIT(E601, "":""),1,1)) + VALUE(INDEX(SPLIT(E601, "":""),1,2)),
  VALUE(E601)
)"),25.12)</f>
        <v/>
      </c>
      <c r="G601" s="21">
        <f>F600-F601</f>
        <v/>
      </c>
      <c r="H601" s="21" t="n">
        <v>0.02999999999999758</v>
      </c>
      <c r="I601" s="211">
        <f>C585</f>
        <v/>
      </c>
      <c r="J601" s="211">
        <f>C602</f>
        <v/>
      </c>
      <c r="K601" s="60">
        <f t="array" ref="K601">INDEX('Podium Target Times'!$C:$C, MATCH(A601&amp;B601, 'Podium Target Times'!$A:$A&amp;'Podium Target Times'!$B:$B, 0))
</f>
        <v/>
      </c>
      <c r="L601" s="24">
        <f>L602+G602</f>
        <v/>
      </c>
      <c r="M601" s="60">
        <f>IF(L601&lt;60, TEXT(L601,"0.00"), IF(L601&lt;600, TEXT(L601/86400,"m:ss.00"), TEXT(L601/86400,"mm:ss.00")))
</f>
        <v/>
      </c>
      <c r="N601" s="25">
        <f>IFERROR(__xludf.DUMMYFUNCTION("LET(
  gen,$A601, ev,$B601, t,$M601,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O601" s="65" t="n"/>
      <c r="P601" s="69" t="n"/>
      <c r="Q601" s="65" t="n"/>
      <c r="R601" s="69" t="n"/>
      <c r="S601" s="58" t="n"/>
      <c r="T601" s="69" t="n"/>
      <c r="U601" s="65" t="n"/>
      <c r="V601" s="65" t="n"/>
      <c r="W601" s="65" t="n"/>
    </row>
    <row r="602">
      <c r="A602" s="8" t="inlineStr">
        <is>
          <t>M</t>
        </is>
      </c>
      <c r="B602" s="9" t="inlineStr">
        <is>
          <t>50 Back</t>
        </is>
      </c>
      <c r="C602" s="9" t="n">
        <v>24</v>
      </c>
      <c r="D602" s="9" t="n">
        <v>3</v>
      </c>
      <c r="E602" s="41" t="inlineStr">
        <is>
          <t>25.11</t>
        </is>
      </c>
      <c r="F602" s="35">
        <f>IFERROR(__xludf.DUMMYFUNCTION("IF(
  REGEXMATCH(E602, "":""),
  60*VALUE(INDEX(SPLIT(E602, "":""),1,1)) + VALUE(INDEX(SPLIT(E602, "":""),1,2)),
  VALUE(E602)
)"),25.11)</f>
        <v/>
      </c>
      <c r="G602" s="35">
        <f>F601-F602</f>
        <v/>
      </c>
      <c r="H602" s="35" t="n">
        <v>0.01000000000000156</v>
      </c>
      <c r="I602" s="215">
        <f>C585</f>
        <v/>
      </c>
      <c r="J602" s="215">
        <f>C602</f>
        <v/>
      </c>
      <c r="K602" s="43">
        <f t="array" ref="K602">INDEX('Podium Target Times'!$C:$C, MATCH(A602&amp;B602, 'Podium Target Times'!$A:$A&amp;'Podium Target Times'!$B:$B, 0))
</f>
        <v/>
      </c>
      <c r="L602" s="35">
        <f>G602+L603</f>
        <v/>
      </c>
      <c r="M602" s="43">
        <f>IF(L602&lt;60, TEXT(L602,"0.00"), IF(L602&lt;600, TEXT(L602/86400,"m:ss.00"), TEXT(L602/86400,"mm:ss.00")))
</f>
        <v/>
      </c>
      <c r="N602" s="14">
        <f>IFERROR(__xludf.DUMMYFUNCTION("LET(
  gen,$A602, ev,$B602, t,$M602,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
      </c>
      <c r="O602" s="65" t="n"/>
      <c r="P602" s="69" t="n"/>
      <c r="Q602" s="65" t="n"/>
      <c r="R602" s="69" t="n"/>
      <c r="S602" s="58" t="n"/>
      <c r="T602" s="69" t="n"/>
      <c r="U602" s="65" t="n"/>
      <c r="V602" s="65" t="n"/>
      <c r="W602" s="65" t="n"/>
    </row>
    <row r="603">
      <c r="A603" s="17" t="inlineStr">
        <is>
          <t>M</t>
        </is>
      </c>
      <c r="B603" s="18" t="inlineStr">
        <is>
          <t>50 Back</t>
        </is>
      </c>
      <c r="C603" s="18" t="n">
        <v>25</v>
      </c>
      <c r="D603" s="18" t="n"/>
      <c r="E603" s="46" t="n"/>
      <c r="F603" s="21">
        <f>IFERROR(__xludf.DUMMYFUNCTION("IF(
  REGEXMATCH(E603, "":""),
  60*VALUE(INDEX(SPLIT(E603, "":""),1,1)) + VALUE(INDEX(SPLIT(E603, "":""),1,2)),
  VALUE(E603)
)"),0.0)</f>
        <v/>
      </c>
      <c r="G603" s="24" t="n"/>
      <c r="H603" s="24" t="n"/>
      <c r="I603" s="60">
        <f>C585</f>
        <v/>
      </c>
      <c r="J603" s="60">
        <f>C602</f>
        <v/>
      </c>
      <c r="K603" s="60">
        <f t="array" ref="K603">INDEX('Podium Target Times'!$C:$C, MATCH(A603&amp;B603, 'Podium Target Times'!$A:$A&amp;'Podium Target Times'!$B:$B, 0))
</f>
        <v/>
      </c>
      <c r="L603" s="60">
        <f>K603</f>
        <v/>
      </c>
      <c r="M603" s="60">
        <f>IF(L603&lt;60, TEXT(L603,"0.00"), IF(L603&lt;600, TEXT(L603/86400,"m:ss.00"), TEXT(L603/86400,"mm:ss.00")))
</f>
        <v/>
      </c>
      <c r="N603" s="25">
        <f>IFERROR(__xludf.DUMMYFUNCTION("LET(
  gen,$A603, ev,$B603, t,$M603,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O603" s="65" t="n"/>
      <c r="P603" s="69" t="n"/>
      <c r="Q603" s="65" t="n"/>
      <c r="R603" s="69" t="n"/>
      <c r="S603" s="58" t="n"/>
      <c r="T603" s="69" t="n"/>
      <c r="U603" s="65" t="n"/>
      <c r="V603" s="65" t="n"/>
      <c r="W603" s="65" t="n"/>
    </row>
    <row r="604">
      <c r="A604" s="8" t="inlineStr">
        <is>
          <t>M</t>
        </is>
      </c>
      <c r="B604" s="9" t="inlineStr">
        <is>
          <t>50 Breast</t>
        </is>
      </c>
      <c r="C604" s="9" t="n">
        <v>18</v>
      </c>
      <c r="D604" s="9" t="n">
        <v>1</v>
      </c>
      <c r="E604" s="41" t="inlineStr">
        <is>
          <t>28.68</t>
        </is>
      </c>
      <c r="F604" s="35">
        <f>IFERROR(__xludf.DUMMYFUNCTION("IF(
  REGEXMATCH(E604, "":""),
  60*VALUE(INDEX(SPLIT(E604, "":""),1,1)) + VALUE(INDEX(SPLIT(E604, "":""),1,2)),
  VALUE(E604)
)"),28.68)</f>
        <v/>
      </c>
      <c r="G604" s="12" t="n">
        <v>0</v>
      </c>
      <c r="H604" s="12" t="n">
        <v>0</v>
      </c>
      <c r="I604" s="43">
        <f>C604</f>
        <v/>
      </c>
      <c r="J604" s="43">
        <f>C621</f>
        <v/>
      </c>
      <c r="K604" s="43">
        <f t="array" ref="K604">INDEX('Podium Target Times'!$C:$C, MATCH(A604&amp;B604, 'Podium Target Times'!$A:$A&amp;'Podium Target Times'!$B:$B, 0))
</f>
        <v/>
      </c>
      <c r="L604" s="12">
        <f>L605+G605</f>
        <v/>
      </c>
      <c r="M604" s="43">
        <f>IF(L604&lt;60, TEXT(L604,"0.00"), IF(L604&lt;600, TEXT(L604/86400,"m:ss.00"), TEXT(L604/86400,"mm:ss.00")))
</f>
        <v/>
      </c>
      <c r="N604" s="14">
        <f>IFERROR(__xludf.DUMMYFUNCTION("LET(
  gen,$A604, ev,$B604, t,$M604,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)"),671.0)</f>
        <v/>
      </c>
      <c r="O604" s="65" t="n"/>
      <c r="P604" s="69">
        <f>A604</f>
        <v/>
      </c>
      <c r="Q604" s="65">
        <f>B604</f>
        <v/>
      </c>
      <c r="R604" s="69">
        <f>C604</f>
        <v/>
      </c>
      <c r="S604" s="58">
        <f>M604</f>
        <v/>
      </c>
      <c r="T604" s="69">
        <f>N604</f>
        <v/>
      </c>
      <c r="U604" s="65" t="n">
        <v>671</v>
      </c>
      <c r="V604" s="65" t="n"/>
      <c r="W604" s="65" t="n"/>
    </row>
    <row r="605">
      <c r="A605" s="17" t="inlineStr">
        <is>
          <t>M</t>
        </is>
      </c>
      <c r="B605" s="18" t="inlineStr">
        <is>
          <t>50 Breast</t>
        </is>
      </c>
      <c r="C605" s="18" t="n">
        <v>19</v>
      </c>
      <c r="D605" s="18" t="n">
        <v>1</v>
      </c>
      <c r="E605" s="46" t="inlineStr">
        <is>
          <t>28.17</t>
        </is>
      </c>
      <c r="F605" s="21">
        <f>IFERROR(__xludf.DUMMYFUNCTION("IF(
  REGEXMATCH(E605, "":""),
  60*VALUE(INDEX(SPLIT(E605, "":""),1,1)) + VALUE(INDEX(SPLIT(E605, "":""),1,2)),
  VALUE(E605)
)"),28.17)</f>
        <v/>
      </c>
      <c r="G605" s="21">
        <f>F604-F605</f>
        <v/>
      </c>
      <c r="H605" s="21" t="n">
        <v>0.509999999999998</v>
      </c>
      <c r="I605" s="211">
        <f>C604</f>
        <v/>
      </c>
      <c r="J605" s="211">
        <f>C621</f>
        <v/>
      </c>
      <c r="K605" s="60">
        <f t="array" ref="K605">INDEX('Podium Target Times'!$C:$C, MATCH(A605&amp;B605, 'Podium Target Times'!$A:$A&amp;'Podium Target Times'!$B:$B, 0))
</f>
        <v/>
      </c>
      <c r="L605" s="24">
        <f>L607+G607</f>
        <v/>
      </c>
      <c r="M605" s="60">
        <f>IF(L605&lt;60, TEXT(L605,"0.00"), IF(L605&lt;600, TEXT(L605/86400,"m:ss.00"), TEXT(L605/86400,"mm:ss.00")))
</f>
        <v/>
      </c>
      <c r="N605" s="25">
        <f>IFERROR(__xludf.DUMMYFUNCTION("LET(
  gen,$A605, ev,$B605, t,$M605,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605" s="65" t="n"/>
      <c r="P605" s="69">
        <f>A605</f>
        <v/>
      </c>
      <c r="Q605" s="65">
        <f>B605</f>
        <v/>
      </c>
      <c r="R605" s="69">
        <f>C605</f>
        <v/>
      </c>
      <c r="S605" s="58">
        <f>M605</f>
        <v/>
      </c>
      <c r="T605" s="69">
        <f>N605</f>
        <v/>
      </c>
      <c r="U605" s="65" t="n"/>
      <c r="V605" s="65" t="n"/>
      <c r="W605" s="65" t="n"/>
    </row>
    <row r="606">
      <c r="A606" s="8" t="inlineStr">
        <is>
          <t>M</t>
        </is>
      </c>
      <c r="B606" s="9" t="inlineStr">
        <is>
          <t>50 Breast</t>
        </is>
      </c>
      <c r="C606" s="9" t="n">
        <v>19</v>
      </c>
      <c r="D606" s="9" t="n">
        <v>2</v>
      </c>
      <c r="E606" s="41" t="inlineStr">
        <is>
          <t>28.40</t>
        </is>
      </c>
      <c r="F606" s="35">
        <f>IFERROR(__xludf.DUMMYFUNCTION("IF(
  REGEXMATCH(E606, "":""),
  60*VALUE(INDEX(SPLIT(E606, "":""),1,1)) + VALUE(INDEX(SPLIT(E606, "":""),1,2)),
  VALUE(E606)
)"),28.4)</f>
        <v/>
      </c>
      <c r="G606" s="35">
        <f>F604-F605</f>
        <v/>
      </c>
      <c r="H606" s="35" t="n">
        <v>0.509999999999998</v>
      </c>
      <c r="I606" s="215">
        <f>C604</f>
        <v/>
      </c>
      <c r="J606" s="215">
        <f>C621</f>
        <v/>
      </c>
      <c r="K606" s="43">
        <f t="array" ref="K606">INDEX('Podium Target Times'!$C:$C, MATCH(A606&amp;B606, 'Podium Target Times'!$A:$A&amp;'Podium Target Times'!$B:$B, 0))
</f>
        <v/>
      </c>
      <c r="L606" s="12">
        <f>L607+G607</f>
        <v/>
      </c>
      <c r="M606" s="43">
        <f>IF(L606&lt;60, TEXT(L606,"0.00"), IF(L606&lt;600, TEXT(L606/86400,"m:ss.00"), TEXT(L606/86400,"mm:ss.00")))
</f>
        <v/>
      </c>
      <c r="N606" s="14">
        <f>IFERROR(__xludf.DUMMYFUNCTION("LET(
  gen,$A606, ev,$B606, t,$M606,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O606" s="65" t="n"/>
      <c r="P606" s="69">
        <f>A607</f>
        <v/>
      </c>
      <c r="Q606" s="65">
        <f>B607</f>
        <v/>
      </c>
      <c r="R606" s="69">
        <f>C607</f>
        <v/>
      </c>
      <c r="S606" s="58">
        <f>M607</f>
        <v/>
      </c>
      <c r="T606" s="69">
        <f>N607</f>
        <v/>
      </c>
      <c r="U606" s="65" t="n"/>
      <c r="V606" s="65" t="n"/>
      <c r="W606" s="65" t="n"/>
    </row>
    <row r="607">
      <c r="A607" s="17" t="inlineStr">
        <is>
          <t>M</t>
        </is>
      </c>
      <c r="B607" s="18" t="inlineStr">
        <is>
          <t>50 Breast</t>
        </is>
      </c>
      <c r="C607" s="18" t="n">
        <v>20</v>
      </c>
      <c r="D607" s="18" t="n">
        <v>1</v>
      </c>
      <c r="E607" s="46" t="inlineStr">
        <is>
          <t>27.79</t>
        </is>
      </c>
      <c r="F607" s="21">
        <f>IFERROR(__xludf.DUMMYFUNCTION("IF(
  REGEXMATCH(E607, "":""),
  60*VALUE(INDEX(SPLIT(E607, "":""),1,1)) + VALUE(INDEX(SPLIT(E607, "":""),1,2)),
  VALUE(E607)
)"),27.79)</f>
        <v/>
      </c>
      <c r="G607" s="21">
        <f>average(F605-F607,F606-F608)</f>
        <v/>
      </c>
      <c r="H607" s="21" t="n">
        <v>0.3849999999999998</v>
      </c>
      <c r="I607" s="211">
        <f>C604</f>
        <v/>
      </c>
      <c r="J607" s="211">
        <f>C621</f>
        <v/>
      </c>
      <c r="K607" s="60">
        <f t="array" ref="K607">INDEX('Podium Target Times'!$C:$C, MATCH(A607&amp;B607, 'Podium Target Times'!$A:$A&amp;'Podium Target Times'!$B:$B, 0))
</f>
        <v/>
      </c>
      <c r="L607" s="24">
        <f>L610+G610</f>
        <v/>
      </c>
      <c r="M607" s="60">
        <f>IF(L607&lt;60, TEXT(L607,"0.00"), IF(L607&lt;600, TEXT(L607/86400,"m:ss.00"), TEXT(L607/86400,"mm:ss.00")))
</f>
        <v/>
      </c>
      <c r="N607" s="25">
        <f>IFERROR(__xludf.DUMMYFUNCTION("LET(
  gen,$A607, ev,$B607, t,$M607,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O607" s="65" t="n"/>
      <c r="P607" s="69">
        <f>A610</f>
        <v/>
      </c>
      <c r="Q607" s="65">
        <f>B610</f>
        <v/>
      </c>
      <c r="R607" s="69">
        <f>C610</f>
        <v/>
      </c>
      <c r="S607" s="58">
        <f>M610</f>
        <v/>
      </c>
      <c r="T607" s="69">
        <f>N610</f>
        <v/>
      </c>
      <c r="U607" s="65" t="n"/>
      <c r="V607" s="65" t="n"/>
      <c r="W607" s="65" t="n"/>
    </row>
    <row r="608">
      <c r="A608" s="8" t="inlineStr">
        <is>
          <t>M</t>
        </is>
      </c>
      <c r="B608" s="9" t="inlineStr">
        <is>
          <t>50 Breast</t>
        </is>
      </c>
      <c r="C608" s="9" t="n">
        <v>20</v>
      </c>
      <c r="D608" s="9" t="n">
        <v>2</v>
      </c>
      <c r="E608" s="41" t="inlineStr">
        <is>
          <t>28.01</t>
        </is>
      </c>
      <c r="F608" s="35">
        <f>IFERROR(__xludf.DUMMYFUNCTION("IF(
  REGEXMATCH(E608, "":""),
  60*VALUE(INDEX(SPLIT(E608, "":""),1,1)) + VALUE(INDEX(SPLIT(E608, "":""),1,2)),
  VALUE(E608)
)"),28.01)</f>
        <v/>
      </c>
      <c r="G608" s="35">
        <f>average(F605-F607,F606-F608)</f>
        <v/>
      </c>
      <c r="H608" s="35" t="n">
        <v>0.3849999999999998</v>
      </c>
      <c r="I608" s="215">
        <f>C604</f>
        <v/>
      </c>
      <c r="J608" s="215">
        <f>C621</f>
        <v/>
      </c>
      <c r="K608" s="43">
        <f t="array" ref="K608">INDEX('Podium Target Times'!$C:$C, MATCH(A608&amp;B608, 'Podium Target Times'!$A:$A&amp;'Podium Target Times'!$B:$B, 0))
</f>
        <v/>
      </c>
      <c r="L608" s="12">
        <f>L610+G610</f>
        <v/>
      </c>
      <c r="M608" s="43">
        <f>IF(L608&lt;60, TEXT(L608,"0.00"), IF(L608&lt;600, TEXT(L608/86400,"m:ss.00"), TEXT(L608/86400,"mm:ss.00")))
</f>
        <v/>
      </c>
      <c r="N608" s="14">
        <f>IFERROR(__xludf.DUMMYFUNCTION("LET(
  gen,$A608, ev,$B608, t,$M608,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O608" s="65" t="n"/>
      <c r="P608" s="69">
        <f>A613</f>
        <v/>
      </c>
      <c r="Q608" s="65">
        <f>B613</f>
        <v/>
      </c>
      <c r="R608" s="69">
        <f>C613</f>
        <v/>
      </c>
      <c r="S608" s="58">
        <f>M613</f>
        <v/>
      </c>
      <c r="T608" s="69">
        <f>N613</f>
        <v/>
      </c>
      <c r="U608" s="65" t="n"/>
      <c r="V608" s="65" t="n"/>
      <c r="W608" s="65" t="n"/>
    </row>
    <row r="609">
      <c r="A609" s="17" t="inlineStr">
        <is>
          <t>M</t>
        </is>
      </c>
      <c r="B609" s="18" t="inlineStr">
        <is>
          <t>50 Breast</t>
        </is>
      </c>
      <c r="C609" s="18" t="n">
        <v>20</v>
      </c>
      <c r="D609" s="18" t="n">
        <v>3</v>
      </c>
      <c r="E609" s="46" t="inlineStr">
        <is>
          <t>28.07</t>
        </is>
      </c>
      <c r="F609" s="21">
        <f>IFERROR(__xludf.DUMMYFUNCTION("IF(
  REGEXMATCH(E609, "":""),
  60*VALUE(INDEX(SPLIT(E609, "":""),1,1)) + VALUE(INDEX(SPLIT(E609, "":""),1,2)),
  VALUE(E609)
)"),28.07)</f>
        <v/>
      </c>
      <c r="G609" s="21">
        <f>average(F605-F607,F606-F608)</f>
        <v/>
      </c>
      <c r="H609" s="21" t="n">
        <v>0.3849999999999998</v>
      </c>
      <c r="I609" s="211">
        <f>C604</f>
        <v/>
      </c>
      <c r="J609" s="211">
        <f>C621</f>
        <v/>
      </c>
      <c r="K609" s="60">
        <f t="array" ref="K609">INDEX('Podium Target Times'!$C:$C, MATCH(A609&amp;B609, 'Podium Target Times'!$A:$A&amp;'Podium Target Times'!$B:$B, 0))
</f>
        <v/>
      </c>
      <c r="L609" s="24">
        <f>L610+G610</f>
        <v/>
      </c>
      <c r="M609" s="60">
        <f>IF(L609&lt;60, TEXT(L609,"0.00"), IF(L609&lt;600, TEXT(L609/86400,"m:ss.00"), TEXT(L609/86400,"mm:ss.00")))
</f>
        <v/>
      </c>
      <c r="N609" s="25">
        <f>IFERROR(__xludf.DUMMYFUNCTION("LET(
  gen,$A609, ev,$B609, t,$M609,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O609" s="65" t="n"/>
      <c r="P609" s="69">
        <f>A616</f>
        <v/>
      </c>
      <c r="Q609" s="65">
        <f>B616</f>
        <v/>
      </c>
      <c r="R609" s="69">
        <f>C616</f>
        <v/>
      </c>
      <c r="S609" s="58">
        <f>M616</f>
        <v/>
      </c>
      <c r="T609" s="69">
        <f>N616</f>
        <v/>
      </c>
      <c r="U609" s="65" t="n"/>
      <c r="V609" s="65" t="n"/>
      <c r="W609" s="65" t="n"/>
    </row>
    <row r="610">
      <c r="A610" s="8" t="inlineStr">
        <is>
          <t>M</t>
        </is>
      </c>
      <c r="B610" s="9" t="inlineStr">
        <is>
          <t>50 Breast</t>
        </is>
      </c>
      <c r="C610" s="9" t="n">
        <v>21</v>
      </c>
      <c r="D610" s="9" t="n">
        <v>1</v>
      </c>
      <c r="E610" s="41" t="inlineStr">
        <is>
          <t>27.53</t>
        </is>
      </c>
      <c r="F610" s="35">
        <f>IFERROR(__xludf.DUMMYFUNCTION("IF(
  REGEXMATCH(E610, "":""),
  60*VALUE(INDEX(SPLIT(E610, "":""),1,1)) + VALUE(INDEX(SPLIT(E610, "":""),1,2)),
  VALUE(E610)
)"),27.53)</f>
        <v/>
      </c>
      <c r="G610" s="35">
        <f>average(F607-F610,F608-F611,F609-F612)</f>
        <v/>
      </c>
      <c r="H610" s="35" t="n">
        <v>0.2600000000000004</v>
      </c>
      <c r="I610" s="215">
        <f>C604</f>
        <v/>
      </c>
      <c r="J610" s="215">
        <f>C621</f>
        <v/>
      </c>
      <c r="K610" s="43">
        <f t="array" ref="K610">INDEX('Podium Target Times'!$C:$C, MATCH(A610&amp;B610, 'Podium Target Times'!$A:$A&amp;'Podium Target Times'!$B:$B, 0))
</f>
        <v/>
      </c>
      <c r="L610" s="12">
        <f>L613+G613</f>
        <v/>
      </c>
      <c r="M610" s="43">
        <f>IF(L610&lt;60, TEXT(L610,"0.00"), IF(L610&lt;600, TEXT(L610/86400,"m:ss.00"), TEXT(L610/86400,"mm:ss.00")))
</f>
        <v/>
      </c>
      <c r="N610" s="14">
        <f>IFERROR(__xludf.DUMMYFUNCTION("LET(
  gen,$A610, ev,$B610, t,$M610,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
      </c>
      <c r="O610" s="65" t="n"/>
      <c r="P610" s="69">
        <f>A618</f>
        <v/>
      </c>
      <c r="Q610" s="65">
        <f>B618</f>
        <v/>
      </c>
      <c r="R610" s="69">
        <f>C618</f>
        <v/>
      </c>
      <c r="S610" s="58">
        <f>M618</f>
        <v/>
      </c>
      <c r="T610" s="69">
        <f>N618</f>
        <v/>
      </c>
      <c r="U610" s="65" t="n"/>
      <c r="V610" s="65" t="n"/>
      <c r="W610" s="65" t="n"/>
    </row>
    <row r="611">
      <c r="A611" s="17" t="inlineStr">
        <is>
          <t>M</t>
        </is>
      </c>
      <c r="B611" s="18" t="inlineStr">
        <is>
          <t>50 Breast</t>
        </is>
      </c>
      <c r="C611" s="18" t="n">
        <v>21</v>
      </c>
      <c r="D611" s="18" t="n">
        <v>2</v>
      </c>
      <c r="E611" s="46" t="inlineStr">
        <is>
          <t>27.75</t>
        </is>
      </c>
      <c r="F611" s="21">
        <f>IFERROR(__xludf.DUMMYFUNCTION("IF(
  REGEXMATCH(E611, "":""),
  60*VALUE(INDEX(SPLIT(E611, "":""),1,1)) + VALUE(INDEX(SPLIT(E611, "":""),1,2)),
  VALUE(E611)
)"),27.75)</f>
        <v/>
      </c>
      <c r="G611" s="21">
        <f>average(F607-F610,F608-F611,F609-F612)</f>
        <v/>
      </c>
      <c r="H611" s="21" t="n">
        <v>0.2600000000000004</v>
      </c>
      <c r="I611" s="211">
        <f>C604</f>
        <v/>
      </c>
      <c r="J611" s="211">
        <f>C621</f>
        <v/>
      </c>
      <c r="K611" s="60">
        <f t="array" ref="K611">INDEX('Podium Target Times'!$C:$C, MATCH(A611&amp;B611, 'Podium Target Times'!$A:$A&amp;'Podium Target Times'!$B:$B, 0))
</f>
        <v/>
      </c>
      <c r="L611" s="24">
        <f>L613+G613</f>
        <v/>
      </c>
      <c r="M611" s="60">
        <f>IF(L611&lt;60, TEXT(L611,"0.00"), IF(L611&lt;600, TEXT(L611/86400,"m:ss.00"), TEXT(L611/86400,"mm:ss.00")))
</f>
        <v/>
      </c>
      <c r="N611" s="25">
        <f>IFERROR(__xludf.DUMMYFUNCTION("LET(
  gen,$A611, ev,$B611, t,$M611,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
      </c>
      <c r="O611" s="65" t="n"/>
      <c r="P611" s="69">
        <f>A620</f>
        <v/>
      </c>
      <c r="Q611" s="65">
        <f>B620</f>
        <v/>
      </c>
      <c r="R611" s="69">
        <f>C620</f>
        <v/>
      </c>
      <c r="S611" s="58">
        <f>M620</f>
        <v/>
      </c>
      <c r="T611" s="69">
        <f>N620</f>
        <v/>
      </c>
      <c r="U611" s="65" t="n">
        <v>795</v>
      </c>
      <c r="V611" s="65" t="n"/>
      <c r="W611" s="65" t="n"/>
    </row>
    <row r="612">
      <c r="A612" s="8" t="inlineStr">
        <is>
          <t>M</t>
        </is>
      </c>
      <c r="B612" s="9" t="inlineStr">
        <is>
          <t>50 Breast</t>
        </is>
      </c>
      <c r="C612" s="9" t="n">
        <v>21</v>
      </c>
      <c r="D612" s="9" t="n">
        <v>3</v>
      </c>
      <c r="E612" s="41" t="inlineStr">
        <is>
          <t>27.81</t>
        </is>
      </c>
      <c r="F612" s="35">
        <f>IFERROR(__xludf.DUMMYFUNCTION("IF(
  REGEXMATCH(E612, "":""),
  60*VALUE(INDEX(SPLIT(E612, "":""),1,1)) + VALUE(INDEX(SPLIT(E612, "":""),1,2)),
  VALUE(E612)
)"),27.81)</f>
        <v/>
      </c>
      <c r="G612" s="35">
        <f>average(F607-F610,F608-F611,F609-F612)</f>
        <v/>
      </c>
      <c r="H612" s="35" t="n">
        <v>0.2600000000000004</v>
      </c>
      <c r="I612" s="215">
        <f>C604</f>
        <v/>
      </c>
      <c r="J612" s="215">
        <f>C621</f>
        <v/>
      </c>
      <c r="K612" s="43">
        <f t="array" ref="K612">INDEX('Podium Target Times'!$C:$C, MATCH(A612&amp;B612, 'Podium Target Times'!$A:$A&amp;'Podium Target Times'!$B:$B, 0))
</f>
        <v/>
      </c>
      <c r="L612" s="12">
        <f>L613+G613</f>
        <v/>
      </c>
      <c r="M612" s="43">
        <f>IF(L612&lt;60, TEXT(L612,"0.00"), IF(L612&lt;600, TEXT(L612/86400,"m:ss.00"), TEXT(L612/86400,"mm:ss.00")))
</f>
        <v/>
      </c>
      <c r="N612" s="14">
        <f>IFERROR(__xludf.DUMMYFUNCTION("LET(
  gen,$A612, ev,$B612, t,$M612,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)"),756.0)</f>
        <v/>
      </c>
      <c r="O612" s="65" t="n"/>
      <c r="P612" s="61">
        <f>A621</f>
        <v/>
      </c>
      <c r="Q612" s="62">
        <f>B621</f>
        <v/>
      </c>
      <c r="R612" s="61">
        <f>C621</f>
        <v/>
      </c>
      <c r="S612" s="63">
        <f>M621</f>
        <v/>
      </c>
      <c r="T612" s="61">
        <f>N621</f>
        <v/>
      </c>
      <c r="U612" s="65" t="n"/>
      <c r="V612" s="65" t="n"/>
      <c r="W612" s="65" t="n"/>
    </row>
    <row r="613">
      <c r="A613" s="17" t="inlineStr">
        <is>
          <t>M</t>
        </is>
      </c>
      <c r="B613" s="18" t="inlineStr">
        <is>
          <t>50 Breast</t>
        </is>
      </c>
      <c r="C613" s="18" t="n">
        <v>22</v>
      </c>
      <c r="D613" s="18" t="n">
        <v>1</v>
      </c>
      <c r="E613" s="46" t="inlineStr">
        <is>
          <t>27.33</t>
        </is>
      </c>
      <c r="F613" s="21">
        <f>IFERROR(__xludf.DUMMYFUNCTION("IF(
  REGEXMATCH(E613, "":""),
  60*VALUE(INDEX(SPLIT(E613, "":""),1,1)) + VALUE(INDEX(SPLIT(E613, "":""),1,2)),
  VALUE(E613)
)"),27.33)</f>
        <v/>
      </c>
      <c r="G613" s="21">
        <f>average(F610-F613,F611-F614,F612-F615)</f>
        <v/>
      </c>
      <c r="H613" s="21" t="n">
        <v>0.2000000000000005</v>
      </c>
      <c r="I613" s="211">
        <f>C604</f>
        <v/>
      </c>
      <c r="J613" s="211">
        <f>C621</f>
        <v/>
      </c>
      <c r="K613" s="60">
        <f t="array" ref="K613">INDEX('Podium Target Times'!$C:$C, MATCH(A613&amp;B613, 'Podium Target Times'!$A:$A&amp;'Podium Target Times'!$B:$B, 0))
</f>
        <v/>
      </c>
      <c r="L613" s="24">
        <f>L616+G616</f>
        <v/>
      </c>
      <c r="M613" s="60">
        <f>IF(L613&lt;60, TEXT(L613,"0.00"), IF(L613&lt;600, TEXT(L613/86400,"m:ss.00"), TEXT(L613/86400,"mm:ss.00")))
</f>
        <v/>
      </c>
      <c r="N613" s="25">
        <f>IFERROR(__xludf.DUMMYFUNCTION("LET(
  gen,$A613, ev,$B613, t,$M613,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
      </c>
      <c r="O613" s="65" t="n"/>
      <c r="P613" s="69" t="n"/>
      <c r="Q613" s="65" t="n"/>
      <c r="R613" s="69" t="n"/>
      <c r="S613" s="58" t="n"/>
      <c r="T613" s="69" t="n"/>
      <c r="U613" s="65" t="n"/>
      <c r="V613" s="65" t="n"/>
      <c r="W613" s="65" t="n"/>
    </row>
    <row r="614">
      <c r="A614" s="8" t="inlineStr">
        <is>
          <t>M</t>
        </is>
      </c>
      <c r="B614" s="9" t="inlineStr">
        <is>
          <t>50 Breast</t>
        </is>
      </c>
      <c r="C614" s="9" t="n">
        <v>22</v>
      </c>
      <c r="D614" s="9" t="n">
        <v>2</v>
      </c>
      <c r="E614" s="483" t="inlineStr">
        <is>
          <t>27.55</t>
        </is>
      </c>
      <c r="F614" s="35">
        <f>IFERROR(__xludf.DUMMYFUNCTION("IF(
  REGEXMATCH(E614, "":""),
  60*VALUE(INDEX(SPLIT(E614, "":""),1,1)) + VALUE(INDEX(SPLIT(E614, "":""),1,2)),
  VALUE(E614)
)"),27.55)</f>
        <v/>
      </c>
      <c r="G614" s="35">
        <f>average(F610-F613,F611-F614,F612-F615)</f>
        <v/>
      </c>
      <c r="H614" s="35" t="n">
        <v>0.2000000000000005</v>
      </c>
      <c r="I614" s="215">
        <f>C604</f>
        <v/>
      </c>
      <c r="J614" s="215">
        <f>C621</f>
        <v/>
      </c>
      <c r="K614" s="43">
        <f t="array" ref="K614">INDEX('Podium Target Times'!$C:$C, MATCH(A614&amp;B614, 'Podium Target Times'!$A:$A&amp;'Podium Target Times'!$B:$B, 0))
</f>
        <v/>
      </c>
      <c r="L614" s="12">
        <f>L616+G616</f>
        <v/>
      </c>
      <c r="M614" s="43">
        <f>IF(L614&lt;60, TEXT(L614,"0.00"), IF(L614&lt;600, TEXT(L614/86400,"m:ss.00"), TEXT(L614/86400,"mm:ss.00")))
</f>
        <v/>
      </c>
      <c r="N614" s="14">
        <f>IFERROR(__xludf.DUMMYFUNCTION("LET(
  gen,$A614, ev,$B614, t,$M614,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
      </c>
      <c r="O614" s="65" t="n"/>
      <c r="P614" s="69" t="n"/>
      <c r="Q614" s="65" t="n"/>
      <c r="R614" s="69" t="n"/>
      <c r="S614" s="58" t="n"/>
      <c r="T614" s="69" t="n"/>
      <c r="U614" s="65" t="n"/>
      <c r="V614" s="65" t="n"/>
      <c r="W614" s="65" t="n"/>
    </row>
    <row r="615">
      <c r="A615" s="17" t="inlineStr">
        <is>
          <t>M</t>
        </is>
      </c>
      <c r="B615" s="18" t="inlineStr">
        <is>
          <t>50 Breast</t>
        </is>
      </c>
      <c r="C615" s="18" t="n">
        <v>22</v>
      </c>
      <c r="D615" s="18" t="n">
        <v>3</v>
      </c>
      <c r="E615" s="46" t="inlineStr">
        <is>
          <t>27.61</t>
        </is>
      </c>
      <c r="F615" s="21">
        <f>IFERROR(__xludf.DUMMYFUNCTION("IF(
  REGEXMATCH(E615, "":""),
  60*VALUE(INDEX(SPLIT(E615, "":""),1,1)) + VALUE(INDEX(SPLIT(E615, "":""),1,2)),
  VALUE(E615)
)"),27.61)</f>
        <v/>
      </c>
      <c r="G615" s="21">
        <f>average(F610-F613,F611-F614,F612-F615)</f>
        <v/>
      </c>
      <c r="H615" s="21" t="n">
        <v>0.2000000000000005</v>
      </c>
      <c r="I615" s="211">
        <f>C604</f>
        <v/>
      </c>
      <c r="J615" s="211">
        <f>C621</f>
        <v/>
      </c>
      <c r="K615" s="60">
        <f t="array" ref="K615">INDEX('Podium Target Times'!$C:$C, MATCH(A615&amp;B615, 'Podium Target Times'!$A:$A&amp;'Podium Target Times'!$B:$B, 0))
</f>
        <v/>
      </c>
      <c r="L615" s="24">
        <f>L616+G616</f>
        <v/>
      </c>
      <c r="M615" s="60">
        <f>IF(L615&lt;60, TEXT(L615,"0.00"), IF(L615&lt;600, TEXT(L615/86400,"m:ss.00"), TEXT(L615/86400,"mm:ss.00")))
</f>
        <v/>
      </c>
      <c r="N615" s="25">
        <f>IFERROR(__xludf.DUMMYFUNCTION("LET(
  gen,$A615, ev,$B615, t,$M615,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
      </c>
      <c r="O615" s="65" t="n"/>
      <c r="P615" s="69" t="n"/>
      <c r="Q615" s="65" t="n"/>
      <c r="R615" s="69" t="n"/>
      <c r="S615" s="58" t="n"/>
      <c r="T615" s="69" t="n"/>
      <c r="U615" s="65" t="n"/>
      <c r="V615" s="65" t="n"/>
      <c r="W615" s="65" t="n"/>
    </row>
    <row r="616">
      <c r="A616" s="8" t="inlineStr">
        <is>
          <t>M</t>
        </is>
      </c>
      <c r="B616" s="9" t="inlineStr">
        <is>
          <t>50 Breast</t>
        </is>
      </c>
      <c r="C616" s="9" t="n">
        <v>23</v>
      </c>
      <c r="D616" s="9" t="n">
        <v>2</v>
      </c>
      <c r="E616" s="41" t="inlineStr">
        <is>
          <t>27.41</t>
        </is>
      </c>
      <c r="F616" s="35">
        <f>IFERROR(__xludf.DUMMYFUNCTION("IF(
  REGEXMATCH(E616, "":""),
  60*VALUE(INDEX(SPLIT(E616, "":""),1,1)) + VALUE(INDEX(SPLIT(E616, "":""),1,2)),
  VALUE(E616)
)"),27.41)</f>
        <v/>
      </c>
      <c r="G616" s="35">
        <f>average(F614-F616,F615-F617)</f>
        <v/>
      </c>
      <c r="H616" s="35" t="n">
        <v>0.1400000000000006</v>
      </c>
      <c r="I616" s="215">
        <f>C604</f>
        <v/>
      </c>
      <c r="J616" s="215">
        <f>C621</f>
        <v/>
      </c>
      <c r="K616" s="43">
        <f t="array" ref="K616">INDEX('Podium Target Times'!$C:$C, MATCH(A616&amp;B616, 'Podium Target Times'!$A:$A&amp;'Podium Target Times'!$B:$B, 0))
</f>
        <v/>
      </c>
      <c r="L616" s="12">
        <f>L618+G618</f>
        <v/>
      </c>
      <c r="M616" s="43">
        <f>IF(L616&lt;60, TEXT(L616,"0.00"), IF(L616&lt;600, TEXT(L616/86400,"m:ss.00"), TEXT(L616/86400,"mm:ss.00")))
</f>
        <v/>
      </c>
      <c r="N616" s="14">
        <f>IFERROR(__xludf.DUMMYFUNCTION("LET(
  gen,$A616, ev,$B616, t,$M616,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
      </c>
      <c r="O616" s="65" t="n"/>
      <c r="P616" s="69" t="n"/>
      <c r="Q616" s="65" t="n"/>
      <c r="R616" s="69" t="n"/>
      <c r="S616" s="58" t="n"/>
      <c r="T616" s="69" t="n"/>
      <c r="U616" s="65" t="n"/>
      <c r="V616" s="65" t="n"/>
      <c r="W616" s="65" t="n"/>
    </row>
    <row r="617">
      <c r="A617" s="17" t="inlineStr">
        <is>
          <t>M</t>
        </is>
      </c>
      <c r="B617" s="18" t="inlineStr">
        <is>
          <t>50 Breast</t>
        </is>
      </c>
      <c r="C617" s="18" t="n">
        <v>23</v>
      </c>
      <c r="D617" s="18" t="n">
        <v>3</v>
      </c>
      <c r="E617" s="46" t="inlineStr">
        <is>
          <t>27.47</t>
        </is>
      </c>
      <c r="F617" s="21">
        <f>IFERROR(__xludf.DUMMYFUNCTION("IF(
  REGEXMATCH(E617, "":""),
  60*VALUE(INDEX(SPLIT(E617, "":""),1,1)) + VALUE(INDEX(SPLIT(E617, "":""),1,2)),
  VALUE(E617)
)"),27.47)</f>
        <v/>
      </c>
      <c r="G617" s="21">
        <f>average(F614-F616,F615-F617)</f>
        <v/>
      </c>
      <c r="H617" s="21" t="n">
        <v>0.1400000000000006</v>
      </c>
      <c r="I617" s="211">
        <f>C604</f>
        <v/>
      </c>
      <c r="J617" s="211">
        <f>C621</f>
        <v/>
      </c>
      <c r="K617" s="60">
        <f t="array" ref="K617">INDEX('Podium Target Times'!$C:$C, MATCH(A617&amp;B617, 'Podium Target Times'!$A:$A&amp;'Podium Target Times'!$B:$B, 0))
</f>
        <v/>
      </c>
      <c r="L617" s="24">
        <f>L618+G618</f>
        <v/>
      </c>
      <c r="M617" s="60">
        <f>IF(L617&lt;60, TEXT(L617,"0.00"), IF(L617&lt;600, TEXT(L617/86400,"m:ss.00"), TEXT(L617/86400,"mm:ss.00")))
</f>
        <v/>
      </c>
      <c r="N617" s="25">
        <f>IFERROR(__xludf.DUMMYFUNCTION("LET(
  gen,$A617, ev,$B617, t,$M617,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)"),784.0)</f>
        <v/>
      </c>
      <c r="O617" s="65" t="n"/>
      <c r="P617" s="69" t="n"/>
      <c r="Q617" s="65" t="n"/>
      <c r="R617" s="69" t="n"/>
      <c r="S617" s="58" t="n"/>
      <c r="T617" s="69" t="n"/>
      <c r="U617" s="65" t="n"/>
      <c r="V617" s="65" t="n"/>
      <c r="W617" s="65" t="n"/>
    </row>
    <row r="618">
      <c r="A618" s="8" t="inlineStr">
        <is>
          <t>M</t>
        </is>
      </c>
      <c r="B618" s="9" t="inlineStr">
        <is>
          <t>50 Breast</t>
        </is>
      </c>
      <c r="C618" s="9" t="n">
        <v>24</v>
      </c>
      <c r="D618" s="9" t="n">
        <v>2</v>
      </c>
      <c r="E618" s="41" t="inlineStr">
        <is>
          <t>27.33</t>
        </is>
      </c>
      <c r="F618" s="35">
        <f>IFERROR(__xludf.DUMMYFUNCTION("IF(
  REGEXMATCH(E618, "":""),
  60*VALUE(INDEX(SPLIT(E618, "":""),1,1)) + VALUE(INDEX(SPLIT(E618, "":""),1,2)),
  VALUE(E618)
)"),27.33)</f>
        <v/>
      </c>
      <c r="G618" s="35">
        <f>average(F616-F618,F617-F619)</f>
        <v/>
      </c>
      <c r="H618" s="35" t="n">
        <v>0.08500000000000085</v>
      </c>
      <c r="I618" s="215">
        <f>C604</f>
        <v/>
      </c>
      <c r="J618" s="215">
        <f>C621</f>
        <v/>
      </c>
      <c r="K618" s="43">
        <f t="array" ref="K618">INDEX('Podium Target Times'!$C:$C, MATCH(A618&amp;B618, 'Podium Target Times'!$A:$A&amp;'Podium Target Times'!$B:$B, 0))
</f>
        <v/>
      </c>
      <c r="L618" s="12">
        <f>L620+G620</f>
        <v/>
      </c>
      <c r="M618" s="43">
        <f>IF(L618&lt;60, TEXT(L618,"0.00"), IF(L618&lt;600, TEXT(L618/86400,"m:ss.00"), TEXT(L618/86400,"mm:ss.00")))
</f>
        <v/>
      </c>
      <c r="N618" s="14">
        <f>IFERROR(__xludf.DUMMYFUNCTION("LET(
  gen,$A618, ev,$B618, t,$M618,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)"),791.0)</f>
        <v/>
      </c>
      <c r="O618" s="65" t="n"/>
      <c r="P618" s="69" t="n"/>
      <c r="Q618" s="65" t="n"/>
      <c r="R618" s="69" t="n"/>
      <c r="S618" s="58" t="n"/>
      <c r="T618" s="69" t="n"/>
      <c r="U618" s="65" t="n"/>
      <c r="V618" s="65" t="n"/>
      <c r="W618" s="65" t="n"/>
    </row>
    <row r="619">
      <c r="A619" s="17" t="inlineStr">
        <is>
          <t>M</t>
        </is>
      </c>
      <c r="B619" s="18" t="inlineStr">
        <is>
          <t>50 Breast</t>
        </is>
      </c>
      <c r="C619" s="18" t="n">
        <v>24</v>
      </c>
      <c r="D619" s="18" t="n">
        <v>3</v>
      </c>
      <c r="E619" s="46" t="inlineStr">
        <is>
          <t>27.38</t>
        </is>
      </c>
      <c r="F619" s="21">
        <f>IFERROR(__xludf.DUMMYFUNCTION("IF(
  REGEXMATCH(E619, "":""),
  60*VALUE(INDEX(SPLIT(E619, "":""),1,1)) + VALUE(INDEX(SPLIT(E619, "":""),1,2)),
  VALUE(E619)
)"),27.38)</f>
        <v/>
      </c>
      <c r="G619" s="21">
        <f>average(F616-F618,F617-F619)</f>
        <v/>
      </c>
      <c r="H619" s="21" t="n">
        <v>0.08500000000000085</v>
      </c>
      <c r="I619" s="211">
        <f>C604</f>
        <v/>
      </c>
      <c r="J619" s="211">
        <f>C621</f>
        <v/>
      </c>
      <c r="K619" s="60">
        <f t="array" ref="K619">INDEX('Podium Target Times'!$C:$C, MATCH(A619&amp;B619, 'Podium Target Times'!$A:$A&amp;'Podium Target Times'!$B:$B, 0))
</f>
        <v/>
      </c>
      <c r="L619" s="24">
        <f>L620+G620</f>
        <v/>
      </c>
      <c r="M619" s="60">
        <f>IF(L619&lt;60, TEXT(L619,"0.00"), IF(L619&lt;600, TEXT(L619/86400,"m:ss.00"), TEXT(L619/86400,"mm:ss.00")))
</f>
        <v/>
      </c>
      <c r="N619" s="25">
        <f>IFERROR(__xludf.DUMMYFUNCTION("LET(
  gen,$A619, ev,$B619, t,$M619,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)"),791.0)</f>
        <v/>
      </c>
      <c r="O619" s="65" t="n"/>
      <c r="P619" s="69" t="n"/>
      <c r="Q619" s="65" t="n"/>
      <c r="R619" s="69" t="n"/>
      <c r="S619" s="58" t="n"/>
      <c r="T619" s="69" t="n"/>
      <c r="U619" s="65" t="n"/>
      <c r="V619" s="65" t="n"/>
      <c r="W619" s="65" t="n"/>
    </row>
    <row r="620">
      <c r="A620" s="8" t="inlineStr">
        <is>
          <t>M</t>
        </is>
      </c>
      <c r="B620" s="9" t="inlineStr">
        <is>
          <t>50 Breast</t>
        </is>
      </c>
      <c r="C620" s="9" t="n">
        <v>25</v>
      </c>
      <c r="D620" s="9" t="n">
        <v>3</v>
      </c>
      <c r="E620" s="483" t="inlineStr">
        <is>
          <t>27.34</t>
        </is>
      </c>
      <c r="F620" s="35">
        <f>IFERROR(__xludf.DUMMYFUNCTION("IF(
  REGEXMATCH(E620, "":""),
  60*VALUE(INDEX(SPLIT(E620, "":""),1,1)) + VALUE(INDEX(SPLIT(E620, "":""),1,2)),
  VALUE(E620)
)"),27.34)</f>
        <v/>
      </c>
      <c r="G620" s="35">
        <f>F619-F620</f>
        <v/>
      </c>
      <c r="H620" s="35" t="n">
        <v>0.03999999999999915</v>
      </c>
      <c r="I620" s="215">
        <f>C604</f>
        <v/>
      </c>
      <c r="J620" s="215">
        <f>C621</f>
        <v/>
      </c>
      <c r="K620" s="43">
        <f t="array" ref="K620">INDEX('Podium Target Times'!$C:$C, MATCH(A620&amp;B620, 'Podium Target Times'!$A:$A&amp;'Podium Target Times'!$B:$B, 0))
</f>
        <v/>
      </c>
      <c r="L620" s="43">
        <f>K620</f>
        <v/>
      </c>
      <c r="M620" s="43">
        <f>IF(L620&lt;60, TEXT(L620,"0.00"), IF(L620&lt;600, TEXT(L620/86400,"m:ss.00"), TEXT(L620/86400,"mm:ss.00")))
</f>
        <v/>
      </c>
      <c r="N620" s="14">
        <f>IFERROR(__xludf.DUMMYFUNCTION("LET(
  gen,$A620, ev,$B620, t,$M620,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O620" s="65" t="n"/>
      <c r="P620" s="69" t="n"/>
      <c r="Q620" s="65" t="n"/>
      <c r="R620" s="69" t="n"/>
      <c r="S620" s="58" t="n"/>
      <c r="T620" s="69" t="n"/>
      <c r="U620" s="65" t="n"/>
      <c r="V620" s="65" t="n"/>
      <c r="W620" s="65" t="n"/>
    </row>
    <row r="621">
      <c r="A621" s="17" t="inlineStr">
        <is>
          <t>M</t>
        </is>
      </c>
      <c r="B621" s="18" t="inlineStr">
        <is>
          <t>50 Breast</t>
        </is>
      </c>
      <c r="C621" s="18" t="n">
        <v>26</v>
      </c>
      <c r="D621" s="18" t="n">
        <v>3</v>
      </c>
      <c r="E621" s="491" t="inlineStr">
        <is>
          <t>27.33</t>
        </is>
      </c>
      <c r="F621" s="21">
        <f>IFERROR(__xludf.DUMMYFUNCTION("IF(
  REGEXMATCH(E621, "":""),
  60*VALUE(INDEX(SPLIT(E621, "":""),1,1)) + VALUE(INDEX(SPLIT(E621, "":""),1,2)),
  VALUE(E621)
)"),27.33)</f>
        <v/>
      </c>
      <c r="G621" s="21">
        <f>F620-F621</f>
        <v/>
      </c>
      <c r="H621" s="21" t="n">
        <v>0.01000000000000156</v>
      </c>
      <c r="I621" s="211">
        <f>C604</f>
        <v/>
      </c>
      <c r="J621" s="211">
        <f>C621</f>
        <v/>
      </c>
      <c r="K621" s="60">
        <f t="array" ref="K621">INDEX('Podium Target Times'!$C:$C, MATCH(A621&amp;B621, 'Podium Target Times'!$A:$A&amp;'Podium Target Times'!$B:$B, 0))
</f>
        <v/>
      </c>
      <c r="L621" s="211">
        <f>K621</f>
        <v/>
      </c>
      <c r="M621" s="60">
        <f>IF(L621&lt;60, TEXT(L621,"0.00"), IF(L621&lt;600, TEXT(L621/86400,"m:ss.00"), TEXT(L621/86400,"mm:ss.00")))
</f>
        <v/>
      </c>
      <c r="N621" s="25">
        <f>IFERROR(__xludf.DUMMYFUNCTION("LET(
  gen,$A621, ev,$B621, t,$M621,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O621" s="65" t="n"/>
      <c r="P621" s="69" t="n"/>
      <c r="Q621" s="65" t="n"/>
      <c r="R621" s="69" t="n"/>
      <c r="S621" s="58" t="n"/>
      <c r="T621" s="69" t="n"/>
      <c r="U621" s="65" t="n"/>
      <c r="V621" s="65" t="n"/>
      <c r="W621" s="65" t="n"/>
    </row>
    <row r="622">
      <c r="A622" s="8" t="inlineStr">
        <is>
          <t>M</t>
        </is>
      </c>
      <c r="B622" s="9" t="inlineStr">
        <is>
          <t>50 Fly</t>
        </is>
      </c>
      <c r="C622" s="9" t="n">
        <v>17</v>
      </c>
      <c r="D622" s="9" t="n">
        <v>1</v>
      </c>
      <c r="E622" s="41" t="inlineStr">
        <is>
          <t>24.61</t>
        </is>
      </c>
      <c r="F622" s="35">
        <f>IFERROR(__xludf.DUMMYFUNCTION("IF(
  REGEXMATCH(E622, "":""),
  60*VALUE(INDEX(SPLIT(E622, "":""),1,1)) + VALUE(INDEX(SPLIT(E622, "":""),1,2)),
  VALUE(E622)
)"),24.61)</f>
        <v/>
      </c>
      <c r="G622" s="12" t="n">
        <v>0</v>
      </c>
      <c r="H622" s="12" t="n">
        <v>0</v>
      </c>
      <c r="I622" s="43">
        <f>C622</f>
        <v/>
      </c>
      <c r="J622" s="43">
        <f>C639</f>
        <v/>
      </c>
      <c r="K622" s="43">
        <f t="array" ref="K622">INDEX('Podium Target Times'!$C:$C, MATCH(A622&amp;B622, 'Podium Target Times'!$A:$A&amp;'Podium Target Times'!$B:$B, 0))
</f>
        <v/>
      </c>
      <c r="L622" s="12">
        <f>L623+G623</f>
        <v/>
      </c>
      <c r="M622" s="43">
        <f>IF(L622&lt;60, TEXT(L622,"0.00"), IF(L622&lt;600, TEXT(L622/86400,"m:ss.00"), TEXT(L622/86400,"mm:ss.00")))
</f>
        <v/>
      </c>
      <c r="N622" s="14">
        <f>IFERROR(__xludf.DUMMYFUNCTION("LET(
  gen,$A622, ev,$B622, t,$M622,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O622" s="65" t="n"/>
      <c r="P622" s="69">
        <f>A622</f>
        <v/>
      </c>
      <c r="Q622" s="65">
        <f>B622</f>
        <v/>
      </c>
      <c r="R622" s="69">
        <f>C622</f>
        <v/>
      </c>
      <c r="S622" s="58">
        <f>M622</f>
        <v/>
      </c>
      <c r="T622" s="69">
        <f>N622</f>
        <v/>
      </c>
      <c r="U622" s="65" t="n">
        <v>672</v>
      </c>
      <c r="V622" s="65" t="n"/>
      <c r="W622" s="65" t="n"/>
    </row>
    <row r="623">
      <c r="A623" s="17" t="inlineStr">
        <is>
          <t>M</t>
        </is>
      </c>
      <c r="B623" s="18" t="inlineStr">
        <is>
          <t>50 Fly</t>
        </is>
      </c>
      <c r="C623" s="18" t="n">
        <v>18</v>
      </c>
      <c r="D623" s="18" t="n">
        <v>1</v>
      </c>
      <c r="E623" s="46" t="inlineStr">
        <is>
          <t>24.10</t>
        </is>
      </c>
      <c r="F623" s="21">
        <f>IFERROR(__xludf.DUMMYFUNCTION("IF(
  REGEXMATCH(E623, "":""),
  60*VALUE(INDEX(SPLIT(E623, "":""),1,1)) + VALUE(INDEX(SPLIT(E623, "":""),1,2)),
  VALUE(E623)
)"),24.1)</f>
        <v/>
      </c>
      <c r="G623" s="21">
        <f>F622-F623</f>
        <v/>
      </c>
      <c r="H623" s="21" t="n">
        <v>0.509999999999998</v>
      </c>
      <c r="I623" s="211">
        <f>C622</f>
        <v/>
      </c>
      <c r="J623" s="211">
        <f>C639</f>
        <v/>
      </c>
      <c r="K623" s="60">
        <f t="array" ref="K623">INDEX('Podium Target Times'!$C:$C, MATCH(A623&amp;B623, 'Podium Target Times'!$A:$A&amp;'Podium Target Times'!$B:$B, 0))
</f>
        <v/>
      </c>
      <c r="L623" s="24">
        <f>L625+G625</f>
        <v/>
      </c>
      <c r="M623" s="60">
        <f>IF(L623&lt;60, TEXT(L623,"0.00"), IF(L623&lt;600, TEXT(L623/86400,"m:ss.00"), TEXT(L623/86400,"mm:ss.00")))
</f>
        <v/>
      </c>
      <c r="N623" s="25">
        <f>IFERROR(__xludf.DUMMYFUNCTION("LET(
  gen,$A623, ev,$B623, t,$M623,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O623" s="65" t="n"/>
      <c r="P623" s="69">
        <f>A623</f>
        <v/>
      </c>
      <c r="Q623" s="65">
        <f>B623</f>
        <v/>
      </c>
      <c r="R623" s="69">
        <f>C623</f>
        <v/>
      </c>
      <c r="S623" s="58">
        <f>M623</f>
        <v/>
      </c>
      <c r="T623" s="69">
        <f>N623</f>
        <v/>
      </c>
      <c r="U623" s="65" t="n"/>
      <c r="V623" s="65" t="n"/>
      <c r="W623" s="65" t="n"/>
    </row>
    <row r="624">
      <c r="A624" s="8" t="inlineStr">
        <is>
          <t>M</t>
        </is>
      </c>
      <c r="B624" s="9" t="inlineStr">
        <is>
          <t>50 Fly</t>
        </is>
      </c>
      <c r="C624" s="9" t="n">
        <v>18</v>
      </c>
      <c r="D624" s="9" t="n">
        <v>2</v>
      </c>
      <c r="E624" s="41" t="inlineStr">
        <is>
          <t>24.31</t>
        </is>
      </c>
      <c r="F624" s="35">
        <f>IFERROR(__xludf.DUMMYFUNCTION("IF(
  REGEXMATCH(E624, "":""),
  60*VALUE(INDEX(SPLIT(E624, "":""),1,1)) + VALUE(INDEX(SPLIT(E624, "":""),1,2)),
  VALUE(E624)
)"),24.31)</f>
        <v/>
      </c>
      <c r="G624" s="35">
        <f>F622-F623</f>
        <v/>
      </c>
      <c r="H624" s="35" t="n">
        <v>0.509999999999998</v>
      </c>
      <c r="I624" s="215">
        <f>C622</f>
        <v/>
      </c>
      <c r="J624" s="215">
        <f>C639</f>
        <v/>
      </c>
      <c r="K624" s="43">
        <f t="array" ref="K624">INDEX('Podium Target Times'!$C:$C, MATCH(A624&amp;B624, 'Podium Target Times'!$A:$A&amp;'Podium Target Times'!$B:$B, 0))
</f>
        <v/>
      </c>
      <c r="L624" s="12">
        <f>L625+G625</f>
        <v/>
      </c>
      <c r="M624" s="43">
        <f>IF(L624&lt;60, TEXT(L624,"0.00"), IF(L624&lt;600, TEXT(L624/86400,"m:ss.00"), TEXT(L624/86400,"mm:ss.00")))
</f>
        <v/>
      </c>
      <c r="N624" s="14">
        <f>IFERROR(__xludf.DUMMYFUNCTION("LET(
  gen,$A624, ev,$B624, t,$M624,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O624" s="65" t="n"/>
      <c r="P624" s="69">
        <f>A625</f>
        <v/>
      </c>
      <c r="Q624" s="65">
        <f>B625</f>
        <v/>
      </c>
      <c r="R624" s="69">
        <f>C625</f>
        <v/>
      </c>
      <c r="S624" s="58">
        <f>M625</f>
        <v/>
      </c>
      <c r="T624" s="69">
        <f>N625</f>
        <v/>
      </c>
      <c r="U624" s="65" t="n"/>
      <c r="V624" s="65" t="n"/>
      <c r="W624" s="65" t="n"/>
    </row>
    <row r="625">
      <c r="A625" s="17" t="inlineStr">
        <is>
          <t>M</t>
        </is>
      </c>
      <c r="B625" s="18" t="inlineStr">
        <is>
          <t>50 Fly</t>
        </is>
      </c>
      <c r="C625" s="18" t="n">
        <v>19</v>
      </c>
      <c r="D625" s="18" t="n">
        <v>1</v>
      </c>
      <c r="E625" s="46" t="inlineStr">
        <is>
          <t>23.75</t>
        </is>
      </c>
      <c r="F625" s="21">
        <f>IFERROR(__xludf.DUMMYFUNCTION("IF(
  REGEXMATCH(E625, "":""),
  60*VALUE(INDEX(SPLIT(E625, "":""),1,1)) + VALUE(INDEX(SPLIT(E625, "":""),1,2)),
  VALUE(E625)
)"),23.75)</f>
        <v/>
      </c>
      <c r="G625" s="21">
        <f>average(F623-F625,F624-F626)</f>
        <v/>
      </c>
      <c r="H625" s="21" t="n">
        <v>0.3499999999999996</v>
      </c>
      <c r="I625" s="211">
        <f>C622</f>
        <v/>
      </c>
      <c r="J625" s="211">
        <f>C639</f>
        <v/>
      </c>
      <c r="K625" s="60">
        <f t="array" ref="K625">INDEX('Podium Target Times'!$C:$C, MATCH(A625&amp;B625, 'Podium Target Times'!$A:$A&amp;'Podium Target Times'!$B:$B, 0))
</f>
        <v/>
      </c>
      <c r="L625" s="24">
        <f>L628+G628</f>
        <v/>
      </c>
      <c r="M625" s="60">
        <f>IF(L625&lt;60, TEXT(L625,"0.00"), IF(L625&lt;600, TEXT(L625/86400,"m:ss.00"), TEXT(L625/86400,"mm:ss.00")))
</f>
        <v/>
      </c>
      <c r="N625" s="25">
        <f>IFERROR(__xludf.DUMMYFUNCTION("LET(
  gen,$A625, ev,$B625, t,$M625,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625" s="65" t="n"/>
      <c r="P625" s="69">
        <f>A628</f>
        <v/>
      </c>
      <c r="Q625" s="65">
        <f>B628</f>
        <v/>
      </c>
      <c r="R625" s="69">
        <f>C628</f>
        <v/>
      </c>
      <c r="S625" s="58">
        <f>M628</f>
        <v/>
      </c>
      <c r="T625" s="69">
        <f>N628</f>
        <v/>
      </c>
      <c r="U625" s="65" t="n"/>
      <c r="V625" s="65" t="n"/>
      <c r="W625" s="65" t="n"/>
    </row>
    <row r="626">
      <c r="A626" s="8" t="inlineStr">
        <is>
          <t>M</t>
        </is>
      </c>
      <c r="B626" s="9" t="inlineStr">
        <is>
          <t>50 Fly</t>
        </is>
      </c>
      <c r="C626" s="9" t="n">
        <v>19</v>
      </c>
      <c r="D626" s="9" t="n">
        <v>2</v>
      </c>
      <c r="E626" s="41" t="inlineStr">
        <is>
          <t>23.96</t>
        </is>
      </c>
      <c r="F626" s="35">
        <f>IFERROR(__xludf.DUMMYFUNCTION("IF(
  REGEXMATCH(E626, "":""),
  60*VALUE(INDEX(SPLIT(E626, "":""),1,1)) + VALUE(INDEX(SPLIT(E626, "":""),1,2)),
  VALUE(E626)
)"),23.96)</f>
        <v/>
      </c>
      <c r="G626" s="35">
        <f>average(F623-F625,F624-F626)</f>
        <v/>
      </c>
      <c r="H626" s="35" t="n">
        <v>0.3499999999999996</v>
      </c>
      <c r="I626" s="215">
        <f>C622</f>
        <v/>
      </c>
      <c r="J626" s="215">
        <f>C639</f>
        <v/>
      </c>
      <c r="K626" s="43">
        <f t="array" ref="K626">INDEX('Podium Target Times'!$C:$C, MATCH(A626&amp;B626, 'Podium Target Times'!$A:$A&amp;'Podium Target Times'!$B:$B, 0))
</f>
        <v/>
      </c>
      <c r="L626" s="12">
        <f>L628+G628</f>
        <v/>
      </c>
      <c r="M626" s="43">
        <f>IF(L626&lt;60, TEXT(L626,"0.00"), IF(L626&lt;600, TEXT(L626/86400,"m:ss.00"), TEXT(L626/86400,"mm:ss.00")))
</f>
        <v/>
      </c>
      <c r="N626" s="14">
        <f>IFERROR(__xludf.DUMMYFUNCTION("LET(
  gen,$A626, ev,$B626, t,$M626,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626" s="65" t="n"/>
      <c r="P626" s="69">
        <f>A631</f>
        <v/>
      </c>
      <c r="Q626" s="65">
        <f>B631</f>
        <v/>
      </c>
      <c r="R626" s="69">
        <f>C631</f>
        <v/>
      </c>
      <c r="S626" s="58">
        <f>M631</f>
        <v/>
      </c>
      <c r="T626" s="69">
        <f>N631</f>
        <v/>
      </c>
      <c r="U626" s="65" t="n"/>
      <c r="V626" s="65" t="n"/>
      <c r="W626" s="65" t="n"/>
    </row>
    <row r="627">
      <c r="A627" s="17" t="inlineStr">
        <is>
          <t>M</t>
        </is>
      </c>
      <c r="B627" s="18" t="inlineStr">
        <is>
          <t>50 Fly</t>
        </is>
      </c>
      <c r="C627" s="18" t="n">
        <v>19</v>
      </c>
      <c r="D627" s="18" t="n">
        <v>3</v>
      </c>
      <c r="E627" s="46" t="inlineStr">
        <is>
          <t>24.04</t>
        </is>
      </c>
      <c r="F627" s="21">
        <f>IFERROR(__xludf.DUMMYFUNCTION("IF(
  REGEXMATCH(E627, "":""),
  60*VALUE(INDEX(SPLIT(E627, "":""),1,1)) + VALUE(INDEX(SPLIT(E627, "":""),1,2)),
  VALUE(E627)
)"),24.04)</f>
        <v/>
      </c>
      <c r="G627" s="21">
        <f>average(F623-F625,F624-F626)</f>
        <v/>
      </c>
      <c r="H627" s="21" t="n">
        <v>0.3499999999999996</v>
      </c>
      <c r="I627" s="211">
        <f>C622</f>
        <v/>
      </c>
      <c r="J627" s="211">
        <f>C639</f>
        <v/>
      </c>
      <c r="K627" s="60">
        <f t="array" ref="K627">INDEX('Podium Target Times'!$C:$C, MATCH(A627&amp;B627, 'Podium Target Times'!$A:$A&amp;'Podium Target Times'!$B:$B, 0))
</f>
        <v/>
      </c>
      <c r="L627" s="24">
        <f>L628+G628</f>
        <v/>
      </c>
      <c r="M627" s="60">
        <f>IF(L627&lt;60, TEXT(L627,"0.00"), IF(L627&lt;600, TEXT(L627/86400,"m:ss.00"), TEXT(L627/86400,"mm:ss.00")))
</f>
        <v/>
      </c>
      <c r="N627" s="25">
        <f>IFERROR(__xludf.DUMMYFUNCTION("LET(
  gen,$A627, ev,$B627, t,$M627,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627" s="65" t="n"/>
      <c r="P627" s="69">
        <f>A634</f>
        <v/>
      </c>
      <c r="Q627" s="65">
        <f>B634</f>
        <v/>
      </c>
      <c r="R627" s="69">
        <f>C634</f>
        <v/>
      </c>
      <c r="S627" s="58">
        <f>M634</f>
        <v/>
      </c>
      <c r="T627" s="69">
        <f>N634</f>
        <v/>
      </c>
      <c r="U627" s="65" t="n"/>
      <c r="V627" s="65" t="n"/>
      <c r="W627" s="65" t="n"/>
    </row>
    <row r="628">
      <c r="A628" s="8" t="inlineStr">
        <is>
          <t>M</t>
        </is>
      </c>
      <c r="B628" s="9" t="inlineStr">
        <is>
          <t>50 Fly</t>
        </is>
      </c>
      <c r="C628" s="9" t="n">
        <v>20</v>
      </c>
      <c r="D628" s="9" t="n">
        <v>1</v>
      </c>
      <c r="E628" s="41" t="inlineStr">
        <is>
          <t>23.52</t>
        </is>
      </c>
      <c r="F628" s="35">
        <f>IFERROR(__xludf.DUMMYFUNCTION("IF(
  REGEXMATCH(E628, "":""),
  60*VALUE(INDEX(SPLIT(E628, "":""),1,1)) + VALUE(INDEX(SPLIT(E628, "":""),1,2)),
  VALUE(E628)
)"),23.52)</f>
        <v/>
      </c>
      <c r="G628" s="35">
        <f>average(F625-F628,F626-F629,F627-F630)</f>
        <v/>
      </c>
      <c r="H628" s="35" t="n">
        <v>0.2300000000000004</v>
      </c>
      <c r="I628" s="215">
        <f>C622</f>
        <v/>
      </c>
      <c r="J628" s="215">
        <f>C639</f>
        <v/>
      </c>
      <c r="K628" s="43">
        <f t="array" ref="K628">INDEX('Podium Target Times'!$C:$C, MATCH(A628&amp;B628, 'Podium Target Times'!$A:$A&amp;'Podium Target Times'!$B:$B, 0))
</f>
        <v/>
      </c>
      <c r="L628" s="12">
        <f>L631+G631</f>
        <v/>
      </c>
      <c r="M628" s="43">
        <f>IF(L628&lt;60, TEXT(L628,"0.00"), IF(L628&lt;600, TEXT(L628/86400,"m:ss.00"), TEXT(L628/86400,"mm:ss.00")))
</f>
        <v/>
      </c>
      <c r="N628" s="14">
        <f>IFERROR(__xludf.DUMMYFUNCTION("LET(
  gen,$A628, ev,$B628, t,$M628,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628" s="65" t="n"/>
      <c r="P628" s="69">
        <f>A636</f>
        <v/>
      </c>
      <c r="Q628" s="65">
        <f>B636</f>
        <v/>
      </c>
      <c r="R628" s="69">
        <f>C636</f>
        <v/>
      </c>
      <c r="S628" s="58">
        <f>M636</f>
        <v/>
      </c>
      <c r="T628" s="69">
        <f>N636</f>
        <v/>
      </c>
      <c r="U628" s="65" t="n"/>
      <c r="V628" s="65" t="n"/>
      <c r="W628" s="65" t="n"/>
    </row>
    <row r="629">
      <c r="A629" s="17" t="inlineStr">
        <is>
          <t>M</t>
        </is>
      </c>
      <c r="B629" s="18" t="inlineStr">
        <is>
          <t>50 Fly</t>
        </is>
      </c>
      <c r="C629" s="18" t="n">
        <v>20</v>
      </c>
      <c r="D629" s="18" t="n">
        <v>2</v>
      </c>
      <c r="E629" s="46" t="inlineStr">
        <is>
          <t>23.73</t>
        </is>
      </c>
      <c r="F629" s="21">
        <f>IFERROR(__xludf.DUMMYFUNCTION("IF(
  REGEXMATCH(E629, "":""),
  60*VALUE(INDEX(SPLIT(E629, "":""),1,1)) + VALUE(INDEX(SPLIT(E629, "":""),1,2)),
  VALUE(E629)
)"),23.73)</f>
        <v/>
      </c>
      <c r="G629" s="21">
        <f>average(F625-F628,F626-F629,F627-F630)</f>
        <v/>
      </c>
      <c r="H629" s="21" t="n">
        <v>0.2300000000000004</v>
      </c>
      <c r="I629" s="211">
        <f>C622</f>
        <v/>
      </c>
      <c r="J629" s="211">
        <f>C639</f>
        <v/>
      </c>
      <c r="K629" s="60">
        <f t="array" ref="K629">INDEX('Podium Target Times'!$C:$C, MATCH(A629&amp;B629, 'Podium Target Times'!$A:$A&amp;'Podium Target Times'!$B:$B, 0))
</f>
        <v/>
      </c>
      <c r="L629" s="24">
        <f>L631+G631</f>
        <v/>
      </c>
      <c r="M629" s="60">
        <f>IF(L629&lt;60, TEXT(L629,"0.00"), IF(L629&lt;600, TEXT(L629/86400,"m:ss.00"), TEXT(L629/86400,"mm:ss.00")))
</f>
        <v/>
      </c>
      <c r="N629" s="25">
        <f>IFERROR(__xludf.DUMMYFUNCTION("LET(
  gen,$A629, ev,$B629, t,$M629,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629" s="65" t="n"/>
      <c r="P629" s="69">
        <f>A638</f>
        <v/>
      </c>
      <c r="Q629" s="65">
        <f>B638</f>
        <v/>
      </c>
      <c r="R629" s="69">
        <f>C638</f>
        <v/>
      </c>
      <c r="S629" s="58">
        <f>M638</f>
        <v/>
      </c>
      <c r="T629" s="69">
        <f>N638</f>
        <v/>
      </c>
      <c r="U629" s="65" t="n"/>
      <c r="V629" s="65" t="n"/>
      <c r="W629" s="65" t="n"/>
    </row>
    <row r="630">
      <c r="A630" s="8" t="inlineStr">
        <is>
          <t>M</t>
        </is>
      </c>
      <c r="B630" s="9" t="inlineStr">
        <is>
          <t>50 Fly</t>
        </is>
      </c>
      <c r="C630" s="9" t="n">
        <v>20</v>
      </c>
      <c r="D630" s="9" t="n">
        <v>3</v>
      </c>
      <c r="E630" s="41" t="inlineStr">
        <is>
          <t>23.81</t>
        </is>
      </c>
      <c r="F630" s="35">
        <f>IFERROR(__xludf.DUMMYFUNCTION("IF(
  REGEXMATCH(E630, "":""),
  60*VALUE(INDEX(SPLIT(E630, "":""),1,1)) + VALUE(INDEX(SPLIT(E630, "":""),1,2)),
  VALUE(E630)
)"),23.81)</f>
        <v/>
      </c>
      <c r="G630" s="35">
        <f>average(F625-F628,F626-F629,F627-F630)</f>
        <v/>
      </c>
      <c r="H630" s="35" t="n">
        <v>0.2300000000000004</v>
      </c>
      <c r="I630" s="215">
        <f>C622</f>
        <v/>
      </c>
      <c r="J630" s="215">
        <f>C639</f>
        <v/>
      </c>
      <c r="K630" s="43">
        <f t="array" ref="K630">INDEX('Podium Target Times'!$C:$C, MATCH(A630&amp;B630, 'Podium Target Times'!$A:$A&amp;'Podium Target Times'!$B:$B, 0))
</f>
        <v/>
      </c>
      <c r="L630" s="12">
        <f>L631+G631</f>
        <v/>
      </c>
      <c r="M630" s="43">
        <f>IF(L630&lt;60, TEXT(L630,"0.00"), IF(L630&lt;600, TEXT(L630/86400,"m:ss.00"), TEXT(L630/86400,"mm:ss.00")))
</f>
        <v/>
      </c>
      <c r="N630" s="14">
        <f>IFERROR(__xludf.DUMMYFUNCTION("LET(
  gen,$A630, ev,$B630, t,$M630,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630" s="65" t="n"/>
      <c r="P630" s="69">
        <f>A639</f>
        <v/>
      </c>
      <c r="Q630" s="65">
        <f>B639</f>
        <v/>
      </c>
      <c r="R630" s="69">
        <f>C639</f>
        <v/>
      </c>
      <c r="S630" s="58">
        <f>M639</f>
        <v/>
      </c>
      <c r="T630" s="69">
        <f>N639</f>
        <v/>
      </c>
      <c r="U630" s="65" t="n">
        <v>810</v>
      </c>
      <c r="V630" s="65" t="n"/>
      <c r="W630" s="65" t="n"/>
    </row>
    <row r="631">
      <c r="A631" s="17" t="inlineStr">
        <is>
          <t>M</t>
        </is>
      </c>
      <c r="B631" s="18" t="inlineStr">
        <is>
          <t>50 Fly</t>
        </is>
      </c>
      <c r="C631" s="18" t="n">
        <v>21</v>
      </c>
      <c r="D631" s="18" t="n">
        <v>1</v>
      </c>
      <c r="E631" s="46" t="inlineStr">
        <is>
          <t>23.36</t>
        </is>
      </c>
      <c r="F631" s="21">
        <f>IFERROR(__xludf.DUMMYFUNCTION("IF(
  REGEXMATCH(E631, "":""),
  60*VALUE(INDEX(SPLIT(E631, "":""),1,1)) + VALUE(INDEX(SPLIT(E631, "":""),1,2)),
  VALUE(E631)
)"),23.36)</f>
        <v/>
      </c>
      <c r="G631" s="21">
        <f>average(F628-F631,F629-F632,F630-F633)</f>
        <v/>
      </c>
      <c r="H631" s="21" t="n">
        <v>0.1633333333333328</v>
      </c>
      <c r="I631" s="211">
        <f>C622</f>
        <v/>
      </c>
      <c r="J631" s="211">
        <f>C639</f>
        <v/>
      </c>
      <c r="K631" s="60">
        <f t="array" ref="K631">INDEX('Podium Target Times'!$C:$C, MATCH(A631&amp;B631, 'Podium Target Times'!$A:$A&amp;'Podium Target Times'!$B:$B, 0))
</f>
        <v/>
      </c>
      <c r="L631" s="24">
        <f>L634+G634</f>
        <v/>
      </c>
      <c r="M631" s="60">
        <f>IF(L631&lt;60, TEXT(L631,"0.00"), IF(L631&lt;600, TEXT(L631/86400,"m:ss.00"), TEXT(L631/86400,"mm:ss.00")))
</f>
        <v/>
      </c>
      <c r="N631" s="25">
        <f>IFERROR(__xludf.DUMMYFUNCTION("LET(
  gen,$A631, ev,$B631, t,$M631,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O631" s="65" t="n"/>
      <c r="P631" s="69" t="n"/>
      <c r="Q631" s="65" t="n"/>
      <c r="R631" s="69" t="n"/>
      <c r="S631" s="58" t="n"/>
      <c r="T631" s="69" t="n"/>
      <c r="U631" s="65" t="n"/>
      <c r="V631" s="65" t="n"/>
      <c r="W631" s="65" t="n"/>
    </row>
    <row r="632">
      <c r="A632" s="8" t="inlineStr">
        <is>
          <t>M</t>
        </is>
      </c>
      <c r="B632" s="9" t="inlineStr">
        <is>
          <t>50 Fly</t>
        </is>
      </c>
      <c r="C632" s="9" t="n">
        <v>21</v>
      </c>
      <c r="D632" s="9" t="n">
        <v>2</v>
      </c>
      <c r="E632" s="41" t="inlineStr">
        <is>
          <t>23.57</t>
        </is>
      </c>
      <c r="F632" s="35">
        <f>IFERROR(__xludf.DUMMYFUNCTION("IF(
  REGEXMATCH(E632, "":""),
  60*VALUE(INDEX(SPLIT(E632, "":""),1,1)) + VALUE(INDEX(SPLIT(E632, "":""),1,2)),
  VALUE(E632)
)"),23.57)</f>
        <v/>
      </c>
      <c r="G632" s="35">
        <f>average(F628-F631,F629-F632,F630-F633)</f>
        <v/>
      </c>
      <c r="H632" s="35" t="n">
        <v>0.1633333333333328</v>
      </c>
      <c r="I632" s="215">
        <f>C622</f>
        <v/>
      </c>
      <c r="J632" s="215">
        <f>C639</f>
        <v/>
      </c>
      <c r="K632" s="43">
        <f t="array" ref="K632">INDEX('Podium Target Times'!$C:$C, MATCH(A632&amp;B632, 'Podium Target Times'!$A:$A&amp;'Podium Target Times'!$B:$B, 0))
</f>
        <v/>
      </c>
      <c r="L632" s="12">
        <f>L634+G634</f>
        <v/>
      </c>
      <c r="M632" s="43">
        <f>IF(L632&lt;60, TEXT(L632,"0.00"), IF(L632&lt;600, TEXT(L632/86400,"m:ss.00"), TEXT(L632/86400,"mm:ss.00")))
</f>
        <v/>
      </c>
      <c r="N632" s="14">
        <f>IFERROR(__xludf.DUMMYFUNCTION("LET(
  gen,$A632, ev,$B632, t,$M632,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O632" s="65" t="n"/>
      <c r="P632" s="69" t="n"/>
      <c r="Q632" s="65" t="n"/>
      <c r="R632" s="69" t="n"/>
      <c r="S632" s="58" t="n"/>
      <c r="T632" s="69" t="n"/>
      <c r="U632" s="65" t="n"/>
      <c r="V632" s="65" t="n"/>
      <c r="W632" s="65" t="n"/>
    </row>
    <row r="633">
      <c r="A633" s="17" t="inlineStr">
        <is>
          <t>M</t>
        </is>
      </c>
      <c r="B633" s="18" t="inlineStr">
        <is>
          <t>50 Fly</t>
        </is>
      </c>
      <c r="C633" s="18" t="n">
        <v>21</v>
      </c>
      <c r="D633" s="18" t="n">
        <v>3</v>
      </c>
      <c r="E633" s="46" t="inlineStr">
        <is>
          <t>23.64</t>
        </is>
      </c>
      <c r="F633" s="21">
        <f>IFERROR(__xludf.DUMMYFUNCTION("IF(
  REGEXMATCH(E633, "":""),
  60*VALUE(INDEX(SPLIT(E633, "":""),1,1)) + VALUE(INDEX(SPLIT(E633, "":""),1,2)),
  VALUE(E633)
)"),23.64)</f>
        <v/>
      </c>
      <c r="G633" s="21">
        <f>average(F628-F631,F629-F632,F630-F633)</f>
        <v/>
      </c>
      <c r="H633" s="21" t="n">
        <v>0.1633333333333328</v>
      </c>
      <c r="I633" s="211">
        <f>C622</f>
        <v/>
      </c>
      <c r="J633" s="211">
        <f>C639</f>
        <v/>
      </c>
      <c r="K633" s="60">
        <f t="array" ref="K633">INDEX('Podium Target Times'!$C:$C, MATCH(A633&amp;B633, 'Podium Target Times'!$A:$A&amp;'Podium Target Times'!$B:$B, 0))
</f>
        <v/>
      </c>
      <c r="L633" s="24">
        <f>L634+G634</f>
        <v/>
      </c>
      <c r="M633" s="60">
        <f>IF(L633&lt;60, TEXT(L633,"0.00"), IF(L633&lt;600, TEXT(L633/86400,"m:ss.00"), TEXT(L633/86400,"mm:ss.00")))
</f>
        <v/>
      </c>
      <c r="N633" s="25">
        <f>IFERROR(__xludf.DUMMYFUNCTION("LET(
  gen,$A633, ev,$B633, t,$M633,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O633" s="65" t="n"/>
      <c r="P633" s="69" t="n"/>
      <c r="Q633" s="65" t="n"/>
      <c r="R633" s="69" t="n"/>
      <c r="S633" s="58" t="n"/>
      <c r="T633" s="69" t="n"/>
      <c r="U633" s="65" t="n"/>
      <c r="V633" s="65" t="n"/>
      <c r="W633" s="65" t="n"/>
    </row>
    <row r="634">
      <c r="A634" s="8" t="inlineStr">
        <is>
          <t>M</t>
        </is>
      </c>
      <c r="B634" s="9" t="inlineStr">
        <is>
          <t>50 Fly</t>
        </is>
      </c>
      <c r="C634" s="9" t="n">
        <v>22</v>
      </c>
      <c r="D634" s="9" t="n">
        <v>2</v>
      </c>
      <c r="E634" s="41" t="inlineStr">
        <is>
          <t>23.45</t>
        </is>
      </c>
      <c r="F634" s="35">
        <f>IFERROR(__xludf.DUMMYFUNCTION("IF(
  REGEXMATCH(E634, "":""),
  60*VALUE(INDEX(SPLIT(E634, "":""),1,1)) + VALUE(INDEX(SPLIT(E634, "":""),1,2)),
  VALUE(E634)
)"),23.45)</f>
        <v/>
      </c>
      <c r="G634" s="35">
        <f>average(F632-F634,F633-F635)</f>
        <v/>
      </c>
      <c r="H634" s="35" t="n">
        <v>0.120000000000001</v>
      </c>
      <c r="I634" s="215">
        <f>C622</f>
        <v/>
      </c>
      <c r="J634" s="215">
        <f>C639</f>
        <v/>
      </c>
      <c r="K634" s="43">
        <f t="array" ref="K634">INDEX('Podium Target Times'!$C:$C, MATCH(A634&amp;B634, 'Podium Target Times'!$A:$A&amp;'Podium Target Times'!$B:$B, 0))
</f>
        <v/>
      </c>
      <c r="L634" s="12">
        <f>L636+G636</f>
        <v/>
      </c>
      <c r="M634" s="43">
        <f>IF(L634&lt;60, TEXT(L634,"0.00"), IF(L634&lt;600, TEXT(L634/86400,"m:ss.00"), TEXT(L634/86400,"mm:ss.00")))
</f>
        <v/>
      </c>
      <c r="N634" s="14">
        <f>IFERROR(__xludf.DUMMYFUNCTION("LET(
  gen,$A634, ev,$B634, t,$M634,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O634" s="65" t="n"/>
      <c r="P634" s="69" t="n"/>
      <c r="Q634" s="65" t="n"/>
      <c r="R634" s="69" t="n"/>
      <c r="S634" s="58" t="n"/>
      <c r="T634" s="69" t="n"/>
      <c r="U634" s="65" t="n"/>
      <c r="V634" s="65" t="n"/>
      <c r="W634" s="65" t="n"/>
    </row>
    <row r="635">
      <c r="A635" s="17" t="inlineStr">
        <is>
          <t>M</t>
        </is>
      </c>
      <c r="B635" s="18" t="inlineStr">
        <is>
          <t>50 Fly</t>
        </is>
      </c>
      <c r="C635" s="18" t="n">
        <v>22</v>
      </c>
      <c r="D635" s="18" t="n">
        <v>3</v>
      </c>
      <c r="E635" s="46" t="inlineStr">
        <is>
          <t>23.52</t>
        </is>
      </c>
      <c r="F635" s="21">
        <f>IFERROR(__xludf.DUMMYFUNCTION("IF(
  REGEXMATCH(E635, "":""),
  60*VALUE(INDEX(SPLIT(E635, "":""),1,1)) + VALUE(INDEX(SPLIT(E635, "":""),1,2)),
  VALUE(E635)
)"),23.52)</f>
        <v/>
      </c>
      <c r="G635" s="21">
        <f>average(F632-F634,F633-F635)</f>
        <v/>
      </c>
      <c r="H635" s="21" t="n">
        <v>0.120000000000001</v>
      </c>
      <c r="I635" s="211">
        <f>C622</f>
        <v/>
      </c>
      <c r="J635" s="211">
        <f>C639</f>
        <v/>
      </c>
      <c r="K635" s="60">
        <f t="array" ref="K635">INDEX('Podium Target Times'!$C:$C, MATCH(A635&amp;B635, 'Podium Target Times'!$A:$A&amp;'Podium Target Times'!$B:$B, 0))
</f>
        <v/>
      </c>
      <c r="L635" s="24">
        <f>L636+G636</f>
        <v/>
      </c>
      <c r="M635" s="60">
        <f>IF(L635&lt;60, TEXT(L635,"0.00"), IF(L635&lt;600, TEXT(L635/86400,"m:ss.00"), TEXT(L635/86400,"mm:ss.00")))
</f>
        <v/>
      </c>
      <c r="N635" s="25">
        <f>IFERROR(__xludf.DUMMYFUNCTION("LET(
  gen,$A635, ev,$B635, t,$M635,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O635" s="65" t="n"/>
      <c r="P635" s="69" t="n"/>
      <c r="Q635" s="65" t="n"/>
      <c r="R635" s="69" t="n"/>
      <c r="S635" s="58" t="n"/>
      <c r="T635" s="69" t="n"/>
      <c r="U635" s="65" t="n"/>
      <c r="V635" s="65" t="n"/>
      <c r="W635" s="65" t="n"/>
    </row>
    <row r="636">
      <c r="A636" s="8" t="inlineStr">
        <is>
          <t>M</t>
        </is>
      </c>
      <c r="B636" s="9" t="inlineStr">
        <is>
          <t>50 Fly</t>
        </is>
      </c>
      <c r="C636" s="9" t="n">
        <v>23</v>
      </c>
      <c r="D636" s="9" t="n">
        <v>2</v>
      </c>
      <c r="E636" s="41" t="inlineStr">
        <is>
          <t>23.36</t>
        </is>
      </c>
      <c r="F636" s="35">
        <f>IFERROR(__xludf.DUMMYFUNCTION("IF(
  REGEXMATCH(E636, "":""),
  60*VALUE(INDEX(SPLIT(E636, "":""),1,1)) + VALUE(INDEX(SPLIT(E636, "":""),1,2)),
  VALUE(E636)
)"),23.36)</f>
        <v/>
      </c>
      <c r="G636" s="35">
        <f>average(F634-F636,F635-F637)</f>
        <v/>
      </c>
      <c r="H636" s="35" t="n">
        <v>0.08999999999999986</v>
      </c>
      <c r="I636" s="215">
        <f>C622</f>
        <v/>
      </c>
      <c r="J636" s="215">
        <f>C639</f>
        <v/>
      </c>
      <c r="K636" s="43">
        <f t="array" ref="K636">INDEX('Podium Target Times'!$C:$C, MATCH(A636&amp;B636, 'Podium Target Times'!$A:$A&amp;'Podium Target Times'!$B:$B, 0))
</f>
        <v/>
      </c>
      <c r="L636" s="12">
        <f>L638+G638</f>
        <v/>
      </c>
      <c r="M636" s="43">
        <f>IF(L636&lt;60, TEXT(L636,"0.00"), IF(L636&lt;600, TEXT(L636/86400,"m:ss.00"), TEXT(L636/86400,"mm:ss.00")))
</f>
        <v/>
      </c>
      <c r="N636" s="14">
        <f>IFERROR(__xludf.DUMMYFUNCTION("LET(
  gen,$A636, ev,$B636, t,$M636,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
      </c>
      <c r="O636" s="65" t="n"/>
      <c r="P636" s="69" t="n"/>
      <c r="Q636" s="65" t="n"/>
      <c r="R636" s="69" t="n"/>
      <c r="S636" s="58" t="n"/>
      <c r="T636" s="69" t="n"/>
      <c r="U636" s="65" t="n"/>
      <c r="V636" s="65" t="n"/>
      <c r="W636" s="65" t="n"/>
    </row>
    <row r="637">
      <c r="A637" s="17" t="inlineStr">
        <is>
          <t>M</t>
        </is>
      </c>
      <c r="B637" s="18" t="inlineStr">
        <is>
          <t>50 Fly</t>
        </is>
      </c>
      <c r="C637" s="18" t="n">
        <v>23</v>
      </c>
      <c r="D637" s="18" t="n">
        <v>3</v>
      </c>
      <c r="E637" s="46" t="inlineStr">
        <is>
          <t>23.43</t>
        </is>
      </c>
      <c r="F637" s="21">
        <f>IFERROR(__xludf.DUMMYFUNCTION("IF(
  REGEXMATCH(E637, "":""),
  60*VALUE(INDEX(SPLIT(E637, "":""),1,1)) + VALUE(INDEX(SPLIT(E637, "":""),1,2)),
  VALUE(E637)
)"),23.43)</f>
        <v/>
      </c>
      <c r="G637" s="21">
        <f>average(F634-F636,F635-F637)</f>
        <v/>
      </c>
      <c r="H637" s="21" t="n">
        <v>0.08999999999999986</v>
      </c>
      <c r="I637" s="211">
        <f>C622</f>
        <v/>
      </c>
      <c r="J637" s="211">
        <f>C639</f>
        <v/>
      </c>
      <c r="K637" s="60">
        <f t="array" ref="K637">INDEX('Podium Target Times'!$C:$C, MATCH(A637&amp;B637, 'Podium Target Times'!$A:$A&amp;'Podium Target Times'!$B:$B, 0))
</f>
        <v/>
      </c>
      <c r="L637" s="24">
        <f>L638+G638</f>
        <v/>
      </c>
      <c r="M637" s="60">
        <f>IF(L637&lt;60, TEXT(L637,"0.00"), IF(L637&lt;600, TEXT(L637/86400,"m:ss.00"), TEXT(L637/86400,"mm:ss.00")))
</f>
        <v/>
      </c>
      <c r="N637" s="25">
        <f>IFERROR(__xludf.DUMMYFUNCTION("LET(
  gen,$A637, ev,$B637, t,$M637,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)"),802.0)</f>
        <v/>
      </c>
      <c r="O637" s="65" t="n"/>
      <c r="P637" s="69" t="n"/>
      <c r="Q637" s="65" t="n"/>
      <c r="R637" s="69" t="n"/>
      <c r="S637" s="58" t="n"/>
      <c r="T637" s="69" t="n"/>
      <c r="U637" s="65" t="n"/>
      <c r="V637" s="65" t="n"/>
      <c r="W637" s="65" t="n"/>
    </row>
    <row r="638">
      <c r="A638" s="8" t="inlineStr">
        <is>
          <t>M</t>
        </is>
      </c>
      <c r="B638" s="9" t="inlineStr">
        <is>
          <t>50 Fly</t>
        </is>
      </c>
      <c r="C638" s="9" t="n">
        <v>24</v>
      </c>
      <c r="D638" s="9" t="n">
        <v>3</v>
      </c>
      <c r="E638" s="41" t="inlineStr">
        <is>
          <t>23.38</t>
        </is>
      </c>
      <c r="F638" s="35">
        <f>IFERROR(__xludf.DUMMYFUNCTION("IF(
  REGEXMATCH(E638, "":""),
  60*VALUE(INDEX(SPLIT(E638, "":""),1,1)) + VALUE(INDEX(SPLIT(E638, "":""),1,2)),
  VALUE(E638)
)"),23.38)</f>
        <v/>
      </c>
      <c r="G638" s="35">
        <f>F637-F638</f>
        <v/>
      </c>
      <c r="H638" s="35" t="n">
        <v>0.05000000000000071</v>
      </c>
      <c r="I638" s="215">
        <f>C622</f>
        <v/>
      </c>
      <c r="J638" s="215">
        <f>C639</f>
        <v/>
      </c>
      <c r="K638" s="43">
        <f t="array" ref="K638">INDEX('Podium Target Times'!$C:$C, MATCH(A638&amp;B638, 'Podium Target Times'!$A:$A&amp;'Podium Target Times'!$B:$B, 0))
</f>
        <v/>
      </c>
      <c r="L638" s="12">
        <f>L639+G639</f>
        <v/>
      </c>
      <c r="M638" s="43">
        <f>IF(L638&lt;60, TEXT(L638,"0.00"), IF(L638&lt;600, TEXT(L638/86400,"m:ss.00"), TEXT(L638/86400,"mm:ss.00")))
</f>
        <v/>
      </c>
      <c r="N638" s="14">
        <f>IFERROR(__xludf.DUMMYFUNCTION("LET(
  gen,$A638, ev,$B638, t,$M638,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)"),808.0)</f>
        <v/>
      </c>
      <c r="O638" s="65" t="n"/>
      <c r="P638" s="69" t="n"/>
      <c r="Q638" s="65" t="n"/>
      <c r="R638" s="69" t="n"/>
      <c r="S638" s="58" t="n"/>
      <c r="T638" s="69" t="n"/>
      <c r="U638" s="65" t="n"/>
      <c r="V638" s="65" t="n"/>
      <c r="W638" s="65" t="n"/>
    </row>
    <row r="639">
      <c r="A639" s="17" t="inlineStr">
        <is>
          <t>M</t>
        </is>
      </c>
      <c r="B639" s="18" t="inlineStr">
        <is>
          <t>50 Fly</t>
        </is>
      </c>
      <c r="C639" s="18" t="n">
        <v>25</v>
      </c>
      <c r="D639" s="18" t="n">
        <v>3</v>
      </c>
      <c r="E639" s="46" t="inlineStr">
        <is>
          <t>23.36</t>
        </is>
      </c>
      <c r="F639" s="21">
        <f>IFERROR(__xludf.DUMMYFUNCTION("IF(
  REGEXMATCH(E639, "":""),
  60*VALUE(INDEX(SPLIT(E639, "":""),1,1)) + VALUE(INDEX(SPLIT(E639, "":""),1,2)),
  VALUE(E639)
)"),23.36)</f>
        <v/>
      </c>
      <c r="G639" s="21">
        <f>F638-F639</f>
        <v/>
      </c>
      <c r="H639" s="21" t="n">
        <v>0.01999999999999957</v>
      </c>
      <c r="I639" s="211">
        <f>C622</f>
        <v/>
      </c>
      <c r="J639" s="211">
        <f>C639</f>
        <v/>
      </c>
      <c r="K639" s="60">
        <f t="array" ref="K639">INDEX('Podium Target Times'!$C:$C, MATCH(A639&amp;B639, 'Podium Target Times'!$A:$A&amp;'Podium Target Times'!$B:$B, 0))
</f>
        <v/>
      </c>
      <c r="L639" s="211">
        <f>K639</f>
        <v/>
      </c>
      <c r="M639" s="60">
        <f>IF(L639&lt;60, TEXT(L639,"0.00"), IF(L639&lt;600, TEXT(L639/86400,"m:ss.00"), TEXT(L639/86400,"mm:ss.00")))
</f>
        <v/>
      </c>
      <c r="N639" s="25">
        <f>IFERROR(__xludf.DUMMYFUNCTION("LET(
  gen,$A639, ev,$B639, t,$M639,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O639" s="65" t="n"/>
      <c r="P639" s="69" t="n"/>
      <c r="Q639" s="65" t="n"/>
      <c r="R639" s="69" t="n"/>
      <c r="S639" s="58" t="n"/>
      <c r="T639" s="69" t="n"/>
      <c r="U639" s="65" t="n"/>
      <c r="V639" s="65" t="n"/>
      <c r="W639" s="65" t="n"/>
    </row>
    <row r="640">
      <c r="A640" s="8" t="inlineStr">
        <is>
          <t>M</t>
        </is>
      </c>
      <c r="B640" s="9" t="inlineStr">
        <is>
          <t>50 Free</t>
        </is>
      </c>
      <c r="C640" s="9" t="n">
        <v>17</v>
      </c>
      <c r="D640" s="9" t="n">
        <v>1</v>
      </c>
      <c r="E640" s="41" t="inlineStr">
        <is>
          <t>23.44</t>
        </is>
      </c>
      <c r="F640" s="35">
        <f>IFERROR(__xludf.DUMMYFUNCTION("IF(
  REGEXMATCH(E640, "":""),
  60*VALUE(INDEX(SPLIT(E640, "":""),1,1)) + VALUE(INDEX(SPLIT(E640, "":""),1,2)),
  VALUE(E640)
)"),23.44)</f>
        <v/>
      </c>
      <c r="G640" s="12" t="n">
        <v>0</v>
      </c>
      <c r="H640" s="12" t="n">
        <v>0</v>
      </c>
      <c r="I640" s="43">
        <f>C640</f>
        <v/>
      </c>
      <c r="J640" s="43">
        <f>C657</f>
        <v/>
      </c>
      <c r="K640" s="43">
        <f t="array" ref="K640">INDEX('Podium Target Times'!$C:$C, MATCH(A640&amp;B640, 'Podium Target Times'!$A:$A&amp;'Podium Target Times'!$B:$B, 0))
</f>
        <v/>
      </c>
      <c r="L640" s="12">
        <f>L641+G641</f>
        <v/>
      </c>
      <c r="M640" s="43">
        <f>IF(L640&lt;60, TEXT(L640,"0.00"), IF(L640&lt;600, TEXT(L640/86400,"m:ss.00"), TEXT(L640/86400,"mm:ss.00")))
</f>
        <v/>
      </c>
      <c r="N640" s="14">
        <f>IFERROR(__xludf.DUMMYFUNCTION("LET(
  gen,$A640, ev,$B640, t,$M640,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)"),625.0)</f>
        <v/>
      </c>
      <c r="O640" s="65" t="n"/>
      <c r="P640" s="69">
        <f>A640</f>
        <v/>
      </c>
      <c r="Q640" s="65">
        <f>B640</f>
        <v/>
      </c>
      <c r="R640" s="69">
        <f>C640</f>
        <v/>
      </c>
      <c r="S640" s="58">
        <f>M640</f>
        <v/>
      </c>
      <c r="T640" s="69">
        <f>N640</f>
        <v/>
      </c>
      <c r="U640" s="65" t="n">
        <v>625</v>
      </c>
      <c r="V640" s="65" t="n"/>
      <c r="W640" s="65" t="n"/>
    </row>
    <row r="641">
      <c r="A641" s="17" t="inlineStr">
        <is>
          <t>M</t>
        </is>
      </c>
      <c r="B641" s="18" t="inlineStr">
        <is>
          <t>50 Free</t>
        </is>
      </c>
      <c r="C641" s="18" t="n">
        <v>18</v>
      </c>
      <c r="D641" s="18" t="n">
        <v>1</v>
      </c>
      <c r="E641" s="46" t="inlineStr">
        <is>
          <t>22.91</t>
        </is>
      </c>
      <c r="F641" s="21">
        <f>IFERROR(__xludf.DUMMYFUNCTION("IF(
  REGEXMATCH(E641, "":""),
  60*VALUE(INDEX(SPLIT(E641, "":""),1,1)) + VALUE(INDEX(SPLIT(E641, "":""),1,2)),
  VALUE(E641)
)"),22.91)</f>
        <v/>
      </c>
      <c r="G641" s="21">
        <f>F640-F641</f>
        <v/>
      </c>
      <c r="H641" s="21" t="n">
        <v>0.5300000000000011</v>
      </c>
      <c r="I641" s="211">
        <f>C640</f>
        <v/>
      </c>
      <c r="J641" s="211">
        <f>C657</f>
        <v/>
      </c>
      <c r="K641" s="60">
        <f t="array" ref="K641">INDEX('Podium Target Times'!$C:$C, MATCH(A641&amp;B641, 'Podium Target Times'!$A:$A&amp;'Podium Target Times'!$B:$B, 0))
</f>
        <v/>
      </c>
      <c r="L641" s="24">
        <f>L643+G643</f>
        <v/>
      </c>
      <c r="M641" s="60">
        <f>IF(L641&lt;60, TEXT(L641,"0.00"), IF(L641&lt;600, TEXT(L641/86400,"m:ss.00"), TEXT(L641/86400,"mm:ss.00")))
</f>
        <v/>
      </c>
      <c r="N641" s="25">
        <f>IFERROR(__xludf.DUMMYFUNCTION("LET(
  gen,$A641, ev,$B641, t,$M641,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641" s="65" t="n"/>
      <c r="P641" s="69">
        <f>A641</f>
        <v/>
      </c>
      <c r="Q641" s="65">
        <f>B641</f>
        <v/>
      </c>
      <c r="R641" s="69">
        <f>C641</f>
        <v/>
      </c>
      <c r="S641" s="58">
        <f>M641</f>
        <v/>
      </c>
      <c r="T641" s="69">
        <f>N641</f>
        <v/>
      </c>
      <c r="U641" s="65" t="n"/>
      <c r="V641" s="65" t="n"/>
      <c r="W641" s="65" t="n"/>
    </row>
    <row r="642">
      <c r="A642" s="8" t="inlineStr">
        <is>
          <t>M</t>
        </is>
      </c>
      <c r="B642" s="9" t="inlineStr">
        <is>
          <t>50 Free</t>
        </is>
      </c>
      <c r="C642" s="9" t="n">
        <v>18</v>
      </c>
      <c r="D642" s="9" t="n">
        <v>2</v>
      </c>
      <c r="E642" s="41" t="inlineStr">
        <is>
          <t>23.09</t>
        </is>
      </c>
      <c r="F642" s="35">
        <f>IFERROR(__xludf.DUMMYFUNCTION("IF(
  REGEXMATCH(E642, "":""),
  60*VALUE(INDEX(SPLIT(E642, "":""),1,1)) + VALUE(INDEX(SPLIT(E642, "":""),1,2)),
  VALUE(E642)
)"),23.09)</f>
        <v/>
      </c>
      <c r="G642" s="35">
        <f>F640-F641</f>
        <v/>
      </c>
      <c r="H642" s="35" t="n">
        <v>0.5300000000000011</v>
      </c>
      <c r="I642" s="215">
        <f>C640</f>
        <v/>
      </c>
      <c r="J642" s="215">
        <f>C657</f>
        <v/>
      </c>
      <c r="K642" s="43">
        <f t="array" ref="K642">INDEX('Podium Target Times'!$C:$C, MATCH(A642&amp;B642, 'Podium Target Times'!$A:$A&amp;'Podium Target Times'!$B:$B, 0))
</f>
        <v/>
      </c>
      <c r="L642" s="12">
        <f>L643+G643</f>
        <v/>
      </c>
      <c r="M642" s="43">
        <f>IF(L642&lt;60, TEXT(L642,"0.00"), IF(L642&lt;600, TEXT(L642/86400,"m:ss.00"), TEXT(L642/86400,"mm:ss.00")))
</f>
        <v/>
      </c>
      <c r="N642" s="14">
        <f>IFERROR(__xludf.DUMMYFUNCTION("LET(
  gen,$A642, ev,$B642, t,$M642,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)"),668.0)</f>
        <v/>
      </c>
      <c r="O642" s="65" t="n"/>
      <c r="P642" s="69">
        <f>A643</f>
        <v/>
      </c>
      <c r="Q642" s="65">
        <f>B643</f>
        <v/>
      </c>
      <c r="R642" s="69">
        <f>C643</f>
        <v/>
      </c>
      <c r="S642" s="58">
        <f>M643</f>
        <v/>
      </c>
      <c r="T642" s="69">
        <f>N643</f>
        <v/>
      </c>
      <c r="U642" s="65" t="n"/>
      <c r="V642" s="65" t="n"/>
      <c r="W642" s="65" t="n"/>
    </row>
    <row r="643">
      <c r="A643" s="17" t="inlineStr">
        <is>
          <t>M</t>
        </is>
      </c>
      <c r="B643" s="18" t="inlineStr">
        <is>
          <t>50 Free</t>
        </is>
      </c>
      <c r="C643" s="18" t="n">
        <v>19</v>
      </c>
      <c r="D643" s="18" t="n">
        <v>1</v>
      </c>
      <c r="E643" s="46" t="inlineStr">
        <is>
          <t>22.52</t>
        </is>
      </c>
      <c r="F643" s="21">
        <f>IFERROR(__xludf.DUMMYFUNCTION("IF(
  REGEXMATCH(E643, "":""),
  60*VALUE(INDEX(SPLIT(E643, "":""),1,1)) + VALUE(INDEX(SPLIT(E643, "":""),1,2)),
  VALUE(E643)
)"),22.52)</f>
        <v/>
      </c>
      <c r="G643" s="21">
        <f>average(F641-F643,F642-F644)</f>
        <v/>
      </c>
      <c r="H643" s="21" t="n">
        <v>0.3949999999999996</v>
      </c>
      <c r="I643" s="211">
        <f>C640</f>
        <v/>
      </c>
      <c r="J643" s="211">
        <f>C657</f>
        <v/>
      </c>
      <c r="K643" s="60">
        <f t="array" ref="K643">INDEX('Podium Target Times'!$C:$C, MATCH(A643&amp;B643, 'Podium Target Times'!$A:$A&amp;'Podium Target Times'!$B:$B, 0))
</f>
        <v/>
      </c>
      <c r="L643" s="24">
        <f>L646+G646</f>
        <v/>
      </c>
      <c r="M643" s="60">
        <f>IF(L643&lt;60, TEXT(L643,"0.00"), IF(L643&lt;600, TEXT(L643/86400,"m:ss.00"), TEXT(L643/86400,"mm:ss.00")))
</f>
        <v/>
      </c>
      <c r="N643" s="25">
        <f>IFERROR(__xludf.DUMMYFUNCTION("LET(
  gen,$A643, ev,$B643, t,$M643,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643" s="65" t="n"/>
      <c r="P643" s="69">
        <f>A646</f>
        <v/>
      </c>
      <c r="Q643" s="65">
        <f>B646</f>
        <v/>
      </c>
      <c r="R643" s="69">
        <f>C646</f>
        <v/>
      </c>
      <c r="S643" s="58">
        <f>M646</f>
        <v/>
      </c>
      <c r="T643" s="69">
        <f>N646</f>
        <v/>
      </c>
      <c r="U643" s="65" t="n"/>
      <c r="V643" s="65" t="n"/>
      <c r="W643" s="65" t="n"/>
    </row>
    <row r="644">
      <c r="A644" s="8" t="inlineStr">
        <is>
          <t>M</t>
        </is>
      </c>
      <c r="B644" s="9" t="inlineStr">
        <is>
          <t>50 Free</t>
        </is>
      </c>
      <c r="C644" s="9" t="n">
        <v>19</v>
      </c>
      <c r="D644" s="9" t="n">
        <v>2</v>
      </c>
      <c r="E644" s="41" t="inlineStr">
        <is>
          <t>22.69</t>
        </is>
      </c>
      <c r="F644" s="35">
        <f>IFERROR(__xludf.DUMMYFUNCTION("IF(
  REGEXMATCH(E644, "":""),
  60*VALUE(INDEX(SPLIT(E644, "":""),1,1)) + VALUE(INDEX(SPLIT(E644, "":""),1,2)),
  VALUE(E644)
)"),22.69)</f>
        <v/>
      </c>
      <c r="G644" s="35">
        <f>average(F641-F643,F642-F644)</f>
        <v/>
      </c>
      <c r="H644" s="35" t="n">
        <v>0.3949999999999996</v>
      </c>
      <c r="I644" s="215">
        <f>C640</f>
        <v/>
      </c>
      <c r="J644" s="215">
        <f>C657</f>
        <v/>
      </c>
      <c r="K644" s="43">
        <f t="array" ref="K644">INDEX('Podium Target Times'!$C:$C, MATCH(A644&amp;B644, 'Podium Target Times'!$A:$A&amp;'Podium Target Times'!$B:$B, 0))
</f>
        <v/>
      </c>
      <c r="L644" s="12">
        <f>L646+G646</f>
        <v/>
      </c>
      <c r="M644" s="43">
        <f>IF(L644&lt;60, TEXT(L644,"0.00"), IF(L644&lt;600, TEXT(L644/86400,"m:ss.00"), TEXT(L644/86400,"mm:ss.00")))
</f>
        <v/>
      </c>
      <c r="N644" s="14">
        <f>IFERROR(__xludf.DUMMYFUNCTION("LET(
  gen,$A644, ev,$B644, t,$M644,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644" s="65" t="n"/>
      <c r="P644" s="69">
        <f>A649</f>
        <v/>
      </c>
      <c r="Q644" s="65">
        <f>B649</f>
        <v/>
      </c>
      <c r="R644" s="69">
        <f>C649</f>
        <v/>
      </c>
      <c r="S644" s="58">
        <f>M649</f>
        <v/>
      </c>
      <c r="T644" s="69">
        <f>N649</f>
        <v/>
      </c>
      <c r="U644" s="65" t="n"/>
      <c r="V644" s="65" t="n"/>
      <c r="W644" s="65" t="n"/>
    </row>
    <row r="645">
      <c r="A645" s="17" t="inlineStr">
        <is>
          <t>M</t>
        </is>
      </c>
      <c r="B645" s="18" t="inlineStr">
        <is>
          <t>50 Free</t>
        </is>
      </c>
      <c r="C645" s="18" t="n">
        <v>19</v>
      </c>
      <c r="D645" s="18" t="n">
        <v>3</v>
      </c>
      <c r="E645" s="46" t="inlineStr">
        <is>
          <t>22.74</t>
        </is>
      </c>
      <c r="F645" s="21">
        <f>IFERROR(__xludf.DUMMYFUNCTION("IF(
  REGEXMATCH(E645, "":""),
  60*VALUE(INDEX(SPLIT(E645, "":""),1,1)) + VALUE(INDEX(SPLIT(E645, "":""),1,2)),
  VALUE(E645)
)"),22.74)</f>
        <v/>
      </c>
      <c r="G645" s="21">
        <f>average(F641-F643,F642-F644)</f>
        <v/>
      </c>
      <c r="H645" s="21" t="n">
        <v>0.3949999999999996</v>
      </c>
      <c r="I645" s="211">
        <f>C640</f>
        <v/>
      </c>
      <c r="J645" s="211">
        <f>C657</f>
        <v/>
      </c>
      <c r="K645" s="60">
        <f t="array" ref="K645">INDEX('Podium Target Times'!$C:$C, MATCH(A645&amp;B645, 'Podium Target Times'!$A:$A&amp;'Podium Target Times'!$B:$B, 0))
</f>
        <v/>
      </c>
      <c r="L645" s="24">
        <f>L646+G646</f>
        <v/>
      </c>
      <c r="M645" s="60">
        <f>IF(L645&lt;60, TEXT(L645,"0.00"), IF(L645&lt;600, TEXT(L645/86400,"m:ss.00"), TEXT(L645/86400,"mm:ss.00")))
</f>
        <v/>
      </c>
      <c r="N645" s="25">
        <f>IFERROR(__xludf.DUMMYFUNCTION("LET(
  gen,$A645, ev,$B645, t,$M645,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O645" s="65" t="n"/>
      <c r="P645" s="69">
        <f>A652</f>
        <v/>
      </c>
      <c r="Q645" s="65">
        <f>B652</f>
        <v/>
      </c>
      <c r="R645" s="69">
        <f>C652</f>
        <v/>
      </c>
      <c r="S645" s="58">
        <f>M652</f>
        <v/>
      </c>
      <c r="T645" s="69">
        <f>N652</f>
        <v/>
      </c>
      <c r="U645" s="65" t="n"/>
      <c r="V645" s="65" t="n"/>
      <c r="W645" s="65" t="n"/>
    </row>
    <row r="646">
      <c r="A646" s="8" t="inlineStr">
        <is>
          <t>M</t>
        </is>
      </c>
      <c r="B646" s="9" t="inlineStr">
        <is>
          <t>50 Free</t>
        </is>
      </c>
      <c r="C646" s="9" t="n">
        <v>20</v>
      </c>
      <c r="D646" s="9" t="n">
        <v>1</v>
      </c>
      <c r="E646" s="41" t="inlineStr">
        <is>
          <t>22.24</t>
        </is>
      </c>
      <c r="F646" s="35">
        <f>IFERROR(__xludf.DUMMYFUNCTION("IF(
  REGEXMATCH(E646, "":""),
  60*VALUE(INDEX(SPLIT(E646, "":""),1,1)) + VALUE(INDEX(SPLIT(E646, "":""),1,2)),
  VALUE(E646)
)"),22.24)</f>
        <v/>
      </c>
      <c r="G646" s="35">
        <f>average(F643-F646,F644-F647,F645-F648)</f>
        <v/>
      </c>
      <c r="H646" s="35" t="n">
        <v>0.28</v>
      </c>
      <c r="I646" s="215">
        <f>C640</f>
        <v/>
      </c>
      <c r="J646" s="215">
        <f>C657</f>
        <v/>
      </c>
      <c r="K646" s="43">
        <f t="array" ref="K646">INDEX('Podium Target Times'!$C:$C, MATCH(A646&amp;B646, 'Podium Target Times'!$A:$A&amp;'Podium Target Times'!$B:$B, 0))
</f>
        <v/>
      </c>
      <c r="L646" s="12">
        <f>L649+G649</f>
        <v/>
      </c>
      <c r="M646" s="43">
        <f>IF(L646&lt;60, TEXT(L646,"0.00"), IF(L646&lt;600, TEXT(L646/86400,"m:ss.00"), TEXT(L646/86400,"mm:ss.00")))
</f>
        <v/>
      </c>
      <c r="N646" s="14">
        <f>IFERROR(__xludf.DUMMYFUNCTION("LET(
  gen,$A646, ev,$B646, t,$M646,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646" s="65" t="n"/>
      <c r="P646" s="69">
        <f>A654</f>
        <v/>
      </c>
      <c r="Q646" s="65">
        <f>B654</f>
        <v/>
      </c>
      <c r="R646" s="69">
        <f>C654</f>
        <v/>
      </c>
      <c r="S646" s="58">
        <f>M654</f>
        <v/>
      </c>
      <c r="T646" s="69">
        <f>N654</f>
        <v/>
      </c>
      <c r="U646" s="65" t="n"/>
      <c r="V646" s="65" t="n"/>
      <c r="W646" s="65" t="n"/>
    </row>
    <row r="647">
      <c r="A647" s="17" t="inlineStr">
        <is>
          <t>M</t>
        </is>
      </c>
      <c r="B647" s="18" t="inlineStr">
        <is>
          <t>50 Free</t>
        </is>
      </c>
      <c r="C647" s="18" t="n">
        <v>20</v>
      </c>
      <c r="D647" s="18" t="n">
        <v>2</v>
      </c>
      <c r="E647" s="46" t="inlineStr">
        <is>
          <t>22.41</t>
        </is>
      </c>
      <c r="F647" s="21">
        <f>IFERROR(__xludf.DUMMYFUNCTION("IF(
  REGEXMATCH(E647, "":""),
  60*VALUE(INDEX(SPLIT(E647, "":""),1,1)) + VALUE(INDEX(SPLIT(E647, "":""),1,2)),
  VALUE(E647)
)"),22.41)</f>
        <v/>
      </c>
      <c r="G647" s="21">
        <f>average(F643-F646,F644-F647,F645-F648)</f>
        <v/>
      </c>
      <c r="H647" s="21" t="n">
        <v>0.28</v>
      </c>
      <c r="I647" s="211">
        <f>C640</f>
        <v/>
      </c>
      <c r="J647" s="211">
        <f>C657</f>
        <v/>
      </c>
      <c r="K647" s="60">
        <f t="array" ref="K647">INDEX('Podium Target Times'!$C:$C, MATCH(A647&amp;B647, 'Podium Target Times'!$A:$A&amp;'Podium Target Times'!$B:$B, 0))
</f>
        <v/>
      </c>
      <c r="L647" s="24">
        <f>L649+G649</f>
        <v/>
      </c>
      <c r="M647" s="60">
        <f>IF(L647&lt;60, TEXT(L647,"0.00"), IF(L647&lt;600, TEXT(L647/86400,"m:ss.00"), TEXT(L647/86400,"mm:ss.00")))
</f>
        <v/>
      </c>
      <c r="N647" s="25">
        <f>IFERROR(__xludf.DUMMYFUNCTION("LET(
  gen,$A647, ev,$B647, t,$M647,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647" s="65" t="n"/>
      <c r="P647" s="69">
        <f>A656</f>
        <v/>
      </c>
      <c r="Q647" s="65">
        <f>B656</f>
        <v/>
      </c>
      <c r="R647" s="69">
        <f>C656</f>
        <v/>
      </c>
      <c r="S647" s="58">
        <f>M656</f>
        <v/>
      </c>
      <c r="T647" s="69">
        <f>N656</f>
        <v/>
      </c>
      <c r="U647" s="65" t="n"/>
      <c r="V647" s="65" t="n"/>
      <c r="W647" s="65" t="n"/>
    </row>
    <row r="648">
      <c r="A648" s="8" t="inlineStr">
        <is>
          <t>M</t>
        </is>
      </c>
      <c r="B648" s="9" t="inlineStr">
        <is>
          <t>50 Free</t>
        </is>
      </c>
      <c r="C648" s="9" t="n">
        <v>20</v>
      </c>
      <c r="D648" s="9" t="n">
        <v>3</v>
      </c>
      <c r="E648" s="41" t="inlineStr">
        <is>
          <t>22.46</t>
        </is>
      </c>
      <c r="F648" s="35">
        <f>IFERROR(__xludf.DUMMYFUNCTION("IF(
  REGEXMATCH(E648, "":""),
  60*VALUE(INDEX(SPLIT(E648, "":""),1,1)) + VALUE(INDEX(SPLIT(E648, "":""),1,2)),
  VALUE(E648)
)"),22.46)</f>
        <v/>
      </c>
      <c r="G648" s="35">
        <f>average(F643-F646,F644-F647,F645-F648)</f>
        <v/>
      </c>
      <c r="H648" s="35" t="n">
        <v>0.28</v>
      </c>
      <c r="I648" s="215">
        <f>C640</f>
        <v/>
      </c>
      <c r="J648" s="215">
        <f>C657</f>
        <v/>
      </c>
      <c r="K648" s="43">
        <f t="array" ref="K648">INDEX('Podium Target Times'!$C:$C, MATCH(A648&amp;B648, 'Podium Target Times'!$A:$A&amp;'Podium Target Times'!$B:$B, 0))
</f>
        <v/>
      </c>
      <c r="L648" s="12">
        <f>L649+G649</f>
        <v/>
      </c>
      <c r="M648" s="43">
        <f>IF(L648&lt;60, TEXT(L648,"0.00"), IF(L648&lt;600, TEXT(L648/86400,"m:ss.00"), TEXT(L648/86400,"mm:ss.00")))
</f>
        <v/>
      </c>
      <c r="N648" s="14">
        <f>IFERROR(__xludf.DUMMYFUNCTION("LET(
  gen,$A648, ev,$B648, t,$M648,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)"),727.0)</f>
        <v/>
      </c>
      <c r="O648" s="65" t="n"/>
      <c r="P648" s="69">
        <f>A657</f>
        <v/>
      </c>
      <c r="Q648" s="65">
        <f>B657</f>
        <v/>
      </c>
      <c r="R648" s="69">
        <f>C657</f>
        <v/>
      </c>
      <c r="S648" s="58">
        <f>M657</f>
        <v/>
      </c>
      <c r="T648" s="69">
        <f>N657</f>
        <v/>
      </c>
      <c r="U648" s="65" t="n">
        <v>767</v>
      </c>
      <c r="V648" s="65" t="n"/>
      <c r="W648" s="65" t="n"/>
    </row>
    <row r="649">
      <c r="A649" s="17" t="inlineStr">
        <is>
          <t>M</t>
        </is>
      </c>
      <c r="B649" s="18" t="inlineStr">
        <is>
          <t>50 Free</t>
        </is>
      </c>
      <c r="C649" s="18" t="n">
        <v>21</v>
      </c>
      <c r="D649" s="18" t="n">
        <v>1</v>
      </c>
      <c r="E649" s="46" t="inlineStr">
        <is>
          <t>22.05</t>
        </is>
      </c>
      <c r="F649" s="21">
        <f>IFERROR(__xludf.DUMMYFUNCTION("IF(
  REGEXMATCH(E649, "":""),
  60*VALUE(INDEX(SPLIT(E649, "":""),1,1)) + VALUE(INDEX(SPLIT(E649, "":""),1,2)),
  VALUE(E649)
)"),22.05)</f>
        <v/>
      </c>
      <c r="G649" s="21">
        <f>average(F646-F649,F647-F650,F648-F651)</f>
        <v/>
      </c>
      <c r="H649" s="21" t="n">
        <v>0.1900000000000001</v>
      </c>
      <c r="I649" s="211">
        <f>C640</f>
        <v/>
      </c>
      <c r="J649" s="211">
        <f>C657</f>
        <v/>
      </c>
      <c r="K649" s="60">
        <f t="array" ref="K649">INDEX('Podium Target Times'!$C:$C, MATCH(A649&amp;B649, 'Podium Target Times'!$A:$A&amp;'Podium Target Times'!$B:$B, 0))
</f>
        <v/>
      </c>
      <c r="L649" s="24">
        <f>L652+G652</f>
        <v/>
      </c>
      <c r="M649" s="60">
        <f>IF(L649&lt;60, TEXT(L649,"0.00"), IF(L649&lt;600, TEXT(L649/86400,"m:ss.00"), TEXT(L649/86400,"mm:ss.00")))
</f>
        <v/>
      </c>
      <c r="N649" s="25">
        <f>IFERROR(__xludf.DUMMYFUNCTION("LET(
  gen,$A649, ev,$B649, t,$M649,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649" s="65" t="n"/>
      <c r="P649" s="69" t="n"/>
      <c r="Q649" s="65" t="n"/>
      <c r="R649" s="69" t="n"/>
      <c r="S649" s="58" t="n"/>
      <c r="T649" s="69" t="n"/>
      <c r="U649" s="65" t="n"/>
      <c r="V649" s="65" t="n"/>
      <c r="W649" s="65" t="n"/>
    </row>
    <row r="650">
      <c r="A650" s="8" t="inlineStr">
        <is>
          <t>M</t>
        </is>
      </c>
      <c r="B650" s="9" t="inlineStr">
        <is>
          <t>50 Free</t>
        </is>
      </c>
      <c r="C650" s="9" t="n">
        <v>21</v>
      </c>
      <c r="D650" s="9" t="n">
        <v>2</v>
      </c>
      <c r="E650" s="41" t="inlineStr">
        <is>
          <t>22.22</t>
        </is>
      </c>
      <c r="F650" s="35">
        <f>IFERROR(__xludf.DUMMYFUNCTION("IF(
  REGEXMATCH(E650, "":""),
  60*VALUE(INDEX(SPLIT(E650, "":""),1,1)) + VALUE(INDEX(SPLIT(E650, "":""),1,2)),
  VALUE(E650)
)"),22.22)</f>
        <v/>
      </c>
      <c r="G650" s="35">
        <f>average(F646-F649,F647-F650,F648-F651)</f>
        <v/>
      </c>
      <c r="H650" s="35" t="n">
        <v>0.1900000000000001</v>
      </c>
      <c r="I650" s="215">
        <f>C640</f>
        <v/>
      </c>
      <c r="J650" s="215">
        <f>C657</f>
        <v/>
      </c>
      <c r="K650" s="43">
        <f t="array" ref="K650">INDEX('Podium Target Times'!$C:$C, MATCH(A650&amp;B650, 'Podium Target Times'!$A:$A&amp;'Podium Target Times'!$B:$B, 0))
</f>
        <v/>
      </c>
      <c r="L650" s="12">
        <f>L652+G652</f>
        <v/>
      </c>
      <c r="M650" s="43">
        <f>IF(L650&lt;60, TEXT(L650,"0.00"), IF(L650&lt;600, TEXT(L650/86400,"m:ss.00"), TEXT(L650/86400,"mm:ss.00")))
</f>
        <v/>
      </c>
      <c r="N650" s="14">
        <f>IFERROR(__xludf.DUMMYFUNCTION("LET(
  gen,$A650, ev,$B650, t,$M650,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650" s="65" t="n"/>
      <c r="P650" s="69" t="n"/>
      <c r="Q650" s="65" t="n"/>
      <c r="R650" s="69" t="n"/>
      <c r="S650" s="58" t="n"/>
      <c r="T650" s="69" t="n"/>
      <c r="U650" s="65" t="n"/>
      <c r="V650" s="65" t="n"/>
      <c r="W650" s="65" t="n"/>
    </row>
    <row r="651">
      <c r="A651" s="17" t="inlineStr">
        <is>
          <t>M</t>
        </is>
      </c>
      <c r="B651" s="18" t="inlineStr">
        <is>
          <t>50 Free</t>
        </is>
      </c>
      <c r="C651" s="18" t="n">
        <v>21</v>
      </c>
      <c r="D651" s="18" t="n">
        <v>3</v>
      </c>
      <c r="E651" s="46" t="inlineStr">
        <is>
          <t>22.27</t>
        </is>
      </c>
      <c r="F651" s="21">
        <f>IFERROR(__xludf.DUMMYFUNCTION("IF(
  REGEXMATCH(E651, "":""),
  60*VALUE(INDEX(SPLIT(E651, "":""),1,1)) + VALUE(INDEX(SPLIT(E651, "":""),1,2)),
  VALUE(E651)
)"),22.27)</f>
        <v/>
      </c>
      <c r="G651" s="21">
        <f>average(F646-F649,F647-F650,F648-F651)</f>
        <v/>
      </c>
      <c r="H651" s="21" t="n">
        <v>0.1900000000000001</v>
      </c>
      <c r="I651" s="211">
        <f>C640</f>
        <v/>
      </c>
      <c r="J651" s="211">
        <f>C657</f>
        <v/>
      </c>
      <c r="K651" s="60">
        <f t="array" ref="K651">INDEX('Podium Target Times'!$C:$C, MATCH(A651&amp;B651, 'Podium Target Times'!$A:$A&amp;'Podium Target Times'!$B:$B, 0))
</f>
        <v/>
      </c>
      <c r="L651" s="24">
        <f>L652+G652</f>
        <v/>
      </c>
      <c r="M651" s="60">
        <f>IF(L651&lt;60, TEXT(L651,"0.00"), IF(L651&lt;600, TEXT(L651/86400,"m:ss.00"), TEXT(L651/86400,"mm:ss.00")))
</f>
        <v/>
      </c>
      <c r="N651" s="25">
        <f>IFERROR(__xludf.DUMMYFUNCTION("LET(
  gen,$A651, ev,$B651, t,$M651,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)"),745.0)</f>
        <v/>
      </c>
      <c r="O651" s="65" t="n"/>
      <c r="P651" s="69" t="n"/>
      <c r="Q651" s="65" t="n"/>
      <c r="R651" s="69" t="n"/>
      <c r="S651" s="58" t="n"/>
      <c r="T651" s="69" t="n"/>
      <c r="U651" s="65" t="n"/>
      <c r="V651" s="65" t="n"/>
      <c r="W651" s="65" t="n"/>
    </row>
    <row r="652">
      <c r="A652" s="8" t="inlineStr">
        <is>
          <t>M</t>
        </is>
      </c>
      <c r="B652" s="9" t="inlineStr">
        <is>
          <t>50 Free</t>
        </is>
      </c>
      <c r="C652" s="9" t="n">
        <v>22</v>
      </c>
      <c r="D652" s="9" t="n">
        <v>2</v>
      </c>
      <c r="E652" s="41" t="inlineStr">
        <is>
          <t>22.11</t>
        </is>
      </c>
      <c r="F652" s="35">
        <f>IFERROR(__xludf.DUMMYFUNCTION("IF(
  REGEXMATCH(E652, "":""),
  60*VALUE(INDEX(SPLIT(E652, "":""),1,1)) + VALUE(INDEX(SPLIT(E652, "":""),1,2)),
  VALUE(E652)
)"),22.11)</f>
        <v/>
      </c>
      <c r="G652" s="35">
        <f>average(F650-F652,F651-F653)</f>
        <v/>
      </c>
      <c r="H652" s="35" t="n">
        <v>0.1150000000000002</v>
      </c>
      <c r="I652" s="215">
        <f>C640</f>
        <v/>
      </c>
      <c r="J652" s="215">
        <f>C657</f>
        <v/>
      </c>
      <c r="K652" s="43">
        <f t="array" ref="K652">INDEX('Podium Target Times'!$C:$C, MATCH(A652&amp;B652, 'Podium Target Times'!$A:$A&amp;'Podium Target Times'!$B:$B, 0))
</f>
        <v/>
      </c>
      <c r="L652" s="12">
        <f>L654+G654</f>
        <v/>
      </c>
      <c r="M652" s="43">
        <f>IF(L652&lt;60, TEXT(L652,"0.00"), IF(L652&lt;600, TEXT(L652/86400,"m:ss.00"), TEXT(L652/86400,"mm:ss.00")))
</f>
        <v/>
      </c>
      <c r="N652" s="14">
        <f>IFERROR(__xludf.DUMMYFUNCTION("LET(
  gen,$A652, ev,$B652, t,$M652,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O652" s="65" t="n"/>
      <c r="P652" s="69" t="n"/>
      <c r="Q652" s="65" t="n"/>
      <c r="R652" s="69" t="n"/>
      <c r="S652" s="58" t="n"/>
      <c r="T652" s="69" t="n"/>
      <c r="U652" s="65" t="n"/>
      <c r="V652" s="65" t="n"/>
      <c r="W652" s="65" t="n"/>
    </row>
    <row r="653">
      <c r="A653" s="17" t="inlineStr">
        <is>
          <t>M</t>
        </is>
      </c>
      <c r="B653" s="18" t="inlineStr">
        <is>
          <t>50 Free</t>
        </is>
      </c>
      <c r="C653" s="18" t="n">
        <v>22</v>
      </c>
      <c r="D653" s="18" t="n">
        <v>3</v>
      </c>
      <c r="E653" s="46" t="inlineStr">
        <is>
          <t>22.15</t>
        </is>
      </c>
      <c r="F653" s="21">
        <f>IFERROR(__xludf.DUMMYFUNCTION("IF(
  REGEXMATCH(E653, "":""),
  60*VALUE(INDEX(SPLIT(E653, "":""),1,1)) + VALUE(INDEX(SPLIT(E653, "":""),1,2)),
  VALUE(E653)
)"),22.15)</f>
        <v/>
      </c>
      <c r="G653" s="21">
        <f>average(F650-F652,F651-F653)</f>
        <v/>
      </c>
      <c r="H653" s="21" t="n">
        <v>0.1150000000000002</v>
      </c>
      <c r="I653" s="211">
        <f>C640</f>
        <v/>
      </c>
      <c r="J653" s="211">
        <f>C657</f>
        <v/>
      </c>
      <c r="K653" s="60">
        <f t="array" ref="K653">INDEX('Podium Target Times'!$C:$C, MATCH(A653&amp;B653, 'Podium Target Times'!$A:$A&amp;'Podium Target Times'!$B:$B, 0))
</f>
        <v/>
      </c>
      <c r="L653" s="24">
        <f>L654+G654</f>
        <v/>
      </c>
      <c r="M653" s="60">
        <f>IF(L653&lt;60, TEXT(L653,"0.00"), IF(L653&lt;600, TEXT(L653/86400,"m:ss.00"), TEXT(L653/86400,"mm:ss.00")))
</f>
        <v/>
      </c>
      <c r="N653" s="25">
        <f>IFERROR(__xludf.DUMMYFUNCTION("LET(
  gen,$A653, ev,$B653, t,$M653,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O653" s="65" t="n"/>
      <c r="P653" s="69" t="n"/>
      <c r="Q653" s="65" t="n"/>
      <c r="R653" s="69" t="n"/>
      <c r="S653" s="58" t="n"/>
      <c r="T653" s="69" t="n"/>
      <c r="U653" s="65" t="n"/>
      <c r="V653" s="65" t="n"/>
      <c r="W653" s="65" t="n"/>
    </row>
    <row r="654">
      <c r="A654" s="8" t="inlineStr">
        <is>
          <t>M</t>
        </is>
      </c>
      <c r="B654" s="9" t="inlineStr">
        <is>
          <t>50 Free</t>
        </is>
      </c>
      <c r="C654" s="9" t="n">
        <v>23</v>
      </c>
      <c r="D654" s="9" t="n">
        <v>2</v>
      </c>
      <c r="E654" s="41" t="inlineStr">
        <is>
          <t>22.05</t>
        </is>
      </c>
      <c r="F654" s="35">
        <f>IFERROR(__xludf.DUMMYFUNCTION("IF(
  REGEXMATCH(E654, "":""),
  60*VALUE(INDEX(SPLIT(E654, "":""),1,1)) + VALUE(INDEX(SPLIT(E654, "":""),1,2)),
  VALUE(E654)
)"),22.05)</f>
        <v/>
      </c>
      <c r="G654" s="35">
        <f>average(F652-F654,F653-F655)</f>
        <v/>
      </c>
      <c r="H654" s="35" t="n">
        <v>0.05999999999999872</v>
      </c>
      <c r="I654" s="215">
        <f>C640</f>
        <v/>
      </c>
      <c r="J654" s="215">
        <f>C657</f>
        <v/>
      </c>
      <c r="K654" s="43">
        <f t="array" ref="K654">INDEX('Podium Target Times'!$C:$C, MATCH(A654&amp;B654, 'Podium Target Times'!$A:$A&amp;'Podium Target Times'!$B:$B, 0))
</f>
        <v/>
      </c>
      <c r="L654" s="12">
        <f>L656+G656</f>
        <v/>
      </c>
      <c r="M654" s="43">
        <f>IF(L654&lt;60, TEXT(L654,"0.00"), IF(L654&lt;600, TEXT(L654/86400,"m:ss.00"), TEXT(L654/86400,"mm:ss.00")))
</f>
        <v/>
      </c>
      <c r="N654" s="14">
        <f>IFERROR(__xludf.DUMMYFUNCTION("LET(
  gen,$A654, ev,$B654, t,$M654,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654" s="65" t="n"/>
      <c r="P654" s="69" t="n"/>
      <c r="Q654" s="65" t="n"/>
      <c r="R654" s="69" t="n"/>
      <c r="S654" s="58" t="n"/>
      <c r="T654" s="69" t="n"/>
      <c r="U654" s="65" t="n"/>
      <c r="V654" s="65" t="n"/>
      <c r="W654" s="65" t="n"/>
    </row>
    <row r="655">
      <c r="A655" s="17" t="inlineStr">
        <is>
          <t>M</t>
        </is>
      </c>
      <c r="B655" s="18" t="inlineStr">
        <is>
          <t>50 Free</t>
        </is>
      </c>
      <c r="C655" s="18" t="n">
        <v>23</v>
      </c>
      <c r="D655" s="18" t="n">
        <v>3</v>
      </c>
      <c r="E655" s="46" t="inlineStr">
        <is>
          <t>22.09</t>
        </is>
      </c>
      <c r="F655" s="21">
        <f>IFERROR(__xludf.DUMMYFUNCTION("IF(
  REGEXMATCH(E655, "":""),
  60*VALUE(INDEX(SPLIT(E655, "":""),1,1)) + VALUE(INDEX(SPLIT(E655, "":""),1,2)),
  VALUE(E655)
)"),22.09)</f>
        <v/>
      </c>
      <c r="G655" s="21">
        <f>average(F652-F654,F653-F655)</f>
        <v/>
      </c>
      <c r="H655" s="21" t="n">
        <v>0.05999999999999872</v>
      </c>
      <c r="I655" s="211">
        <f>C640</f>
        <v/>
      </c>
      <c r="J655" s="211">
        <f>C657</f>
        <v/>
      </c>
      <c r="K655" s="60">
        <f t="array" ref="K655">INDEX('Podium Target Times'!$C:$C, MATCH(A655&amp;B655, 'Podium Target Times'!$A:$A&amp;'Podium Target Times'!$B:$B, 0))
</f>
        <v/>
      </c>
      <c r="L655" s="24">
        <f>L656+G656</f>
        <v/>
      </c>
      <c r="M655" s="60">
        <f>IF(L655&lt;60, TEXT(L655,"0.00"), IF(L655&lt;600, TEXT(L655/86400,"m:ss.00"), TEXT(L655/86400,"mm:ss.00")))
</f>
        <v/>
      </c>
      <c r="N655" s="25">
        <f>IFERROR(__xludf.DUMMYFUNCTION("LET(
  gen,$A655, ev,$B655, t,$M655,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O655" s="65" t="n"/>
      <c r="P655" s="69" t="n"/>
      <c r="Q655" s="65" t="n"/>
      <c r="R655" s="69" t="n"/>
      <c r="S655" s="58" t="n"/>
      <c r="T655" s="69" t="n"/>
      <c r="U655" s="65" t="n"/>
      <c r="V655" s="65" t="n"/>
      <c r="W655" s="65" t="n"/>
    </row>
    <row r="656">
      <c r="A656" s="8" t="inlineStr">
        <is>
          <t>M</t>
        </is>
      </c>
      <c r="B656" s="9" t="inlineStr">
        <is>
          <t>50 Free</t>
        </is>
      </c>
      <c r="C656" s="9" t="n">
        <v>24</v>
      </c>
      <c r="D656" s="9" t="n">
        <v>3</v>
      </c>
      <c r="E656" s="41" t="inlineStr">
        <is>
          <t>22.06</t>
        </is>
      </c>
      <c r="F656" s="35">
        <f>IFERROR(__xludf.DUMMYFUNCTION("IF(
  REGEXMATCH(E656, "":""),
  60*VALUE(INDEX(SPLIT(E656, "":""),1,1)) + VALUE(INDEX(SPLIT(E656, "":""),1,2)),
  VALUE(E656)
)"),22.06)</f>
        <v/>
      </c>
      <c r="G656" s="35">
        <f>F655-F656</f>
        <v/>
      </c>
      <c r="H656" s="35" t="n">
        <v>0.03000000000000114</v>
      </c>
      <c r="I656" s="215">
        <f>C640</f>
        <v/>
      </c>
      <c r="J656" s="215">
        <f>C657</f>
        <v/>
      </c>
      <c r="K656" s="43">
        <f t="array" ref="K656">INDEX('Podium Target Times'!$C:$C, MATCH(A656&amp;B656, 'Podium Target Times'!$A:$A&amp;'Podium Target Times'!$B:$B, 0))
</f>
        <v/>
      </c>
      <c r="L656" s="12">
        <f>L657+G657</f>
        <v/>
      </c>
      <c r="M656" s="43">
        <f>IF(L656&lt;60, TEXT(L656,"0.00"), IF(L656&lt;600, TEXT(L656/86400,"m:ss.00"), TEXT(L656/86400,"mm:ss.00")))
</f>
        <v/>
      </c>
      <c r="N656" s="14">
        <f>IFERROR(__xludf.DUMMYFUNCTION("LET(
  gen,$A656, ev,$B656, t,$M656,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)"),766.0)</f>
        <v/>
      </c>
      <c r="O656" s="65" t="n"/>
      <c r="P656" s="69" t="n"/>
      <c r="Q656" s="65" t="n"/>
      <c r="R656" s="69" t="n"/>
      <c r="S656" s="58" t="n"/>
      <c r="T656" s="69" t="n"/>
      <c r="U656" s="65" t="n"/>
      <c r="V656" s="65" t="n"/>
      <c r="W656" s="65" t="n"/>
    </row>
    <row r="657">
      <c r="A657" s="17" t="inlineStr">
        <is>
          <t>M</t>
        </is>
      </c>
      <c r="B657" s="18" t="inlineStr">
        <is>
          <t>50 Free</t>
        </is>
      </c>
      <c r="C657" s="18" t="n">
        <v>25</v>
      </c>
      <c r="D657" s="18" t="n">
        <v>3</v>
      </c>
      <c r="E657" s="46" t="inlineStr">
        <is>
          <t>22.05</t>
        </is>
      </c>
      <c r="F657" s="21">
        <f>IFERROR(__xludf.DUMMYFUNCTION("IF(
  REGEXMATCH(E657, "":""),
  60*VALUE(INDEX(SPLIT(E657, "":""),1,1)) + VALUE(INDEX(SPLIT(E657, "":""),1,2)),
  VALUE(E657)
)"),22.05)</f>
        <v/>
      </c>
      <c r="G657" s="21">
        <f>F656-F657</f>
        <v/>
      </c>
      <c r="H657" s="21" t="n">
        <v>0.00999999999999801</v>
      </c>
      <c r="I657" s="211">
        <f>C640</f>
        <v/>
      </c>
      <c r="J657" s="211">
        <f>C657</f>
        <v/>
      </c>
      <c r="K657" s="60">
        <f t="array" ref="K657">INDEX('Podium Target Times'!$C:$C, MATCH(A657&amp;B657, 'Podium Target Times'!$A:$A&amp;'Podium Target Times'!$B:$B, 0))
</f>
        <v/>
      </c>
      <c r="L657" s="211">
        <f>K657</f>
        <v/>
      </c>
      <c r="M657" s="60">
        <f>IF(L657&lt;60, TEXT(L657,"0.00"), IF(L657&lt;600, TEXT(L657/86400,"m:ss.00"), TEXT(L657/86400,"mm:ss.00")))
</f>
        <v/>
      </c>
      <c r="N657" s="25">
        <f>IFERROR(__xludf.DUMMYFUNCTION("LET(
  gen,$A657, ev,$B657, t,$M657,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O657" s="65" t="n"/>
      <c r="P657" s="69" t="n"/>
      <c r="Q657" s="65" t="n"/>
      <c r="R657" s="69" t="n"/>
      <c r="S657" s="58" t="n"/>
      <c r="T657" s="69" t="n"/>
      <c r="U657" s="65" t="n"/>
      <c r="V657" s="65" t="n"/>
      <c r="W657" s="65" t="n"/>
    </row>
    <row r="658">
      <c r="A658" s="8" t="inlineStr">
        <is>
          <t>M</t>
        </is>
      </c>
      <c r="B658" s="9" t="inlineStr">
        <is>
          <t>800 Free</t>
        </is>
      </c>
      <c r="C658" s="9" t="n">
        <v>15</v>
      </c>
      <c r="D658" s="9" t="n">
        <v>1</v>
      </c>
      <c r="E658" s="41" t="inlineStr">
        <is>
          <t>8:31.10</t>
        </is>
      </c>
      <c r="F658" s="35">
        <f>IFERROR(__xludf.DUMMYFUNCTION("IF(
  REGEXMATCH(E658, "":""),
  60*VALUE(INDEX(SPLIT(E658, "":""),1,1)) + VALUE(INDEX(SPLIT(E658, "":""),1,2)),
  VALUE(E658)
)"),511.1)</f>
        <v/>
      </c>
      <c r="G658" s="12" t="n">
        <v>0</v>
      </c>
      <c r="H658" s="12" t="n">
        <v>0</v>
      </c>
      <c r="I658" s="43">
        <f>C658</f>
        <v/>
      </c>
      <c r="J658" s="43">
        <f>C675</f>
        <v/>
      </c>
      <c r="K658" s="43">
        <f t="array" ref="K658">INDEX('Podium Target Times'!$C:$C, MATCH(A658&amp;B658, 'Podium Target Times'!$A:$A&amp;'Podium Target Times'!$B:$B, 0))
</f>
        <v/>
      </c>
      <c r="L658" s="12">
        <f>L659+G659</f>
        <v/>
      </c>
      <c r="M658" s="43">
        <f>IF(L658&lt;60, TEXT(L658,"0.00"), IF(L658&lt;600, TEXT(L658/86400,"m:ss.00"), TEXT(L658/86400,"mm:ss.00")))
</f>
        <v/>
      </c>
      <c r="N658" s="14">
        <f>IFERROR(__xludf.DUMMYFUNCTION("LET(
  gen,$A658, ev,$B658, t,$M658,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)"),595.0)</f>
        <v/>
      </c>
      <c r="O658" s="65" t="n"/>
      <c r="P658" s="69">
        <f>A658</f>
        <v/>
      </c>
      <c r="Q658" s="65">
        <f>B658</f>
        <v/>
      </c>
      <c r="R658" s="69">
        <f>C658</f>
        <v/>
      </c>
      <c r="S658" s="58">
        <f>M658</f>
        <v/>
      </c>
      <c r="T658" s="69">
        <f>N658</f>
        <v/>
      </c>
      <c r="U658" s="65" t="n">
        <v>598</v>
      </c>
      <c r="V658" s="65" t="n"/>
      <c r="W658" s="65" t="n"/>
    </row>
    <row r="659">
      <c r="A659" s="17" t="inlineStr">
        <is>
          <t>M</t>
        </is>
      </c>
      <c r="B659" s="18" t="inlineStr">
        <is>
          <t>800 Free</t>
        </is>
      </c>
      <c r="C659" s="18" t="n">
        <v>16</v>
      </c>
      <c r="D659" s="18" t="n">
        <v>1</v>
      </c>
      <c r="E659" s="46" t="inlineStr">
        <is>
          <t>8:14.62</t>
        </is>
      </c>
      <c r="F659" s="21">
        <f>IFERROR(__xludf.DUMMYFUNCTION("IF(
  REGEXMATCH(E659, "":""),
  60*VALUE(INDEX(SPLIT(E659, "":""),1,1)) + VALUE(INDEX(SPLIT(E659, "":""),1,2)),
  VALUE(E659)
)"),494.62)</f>
        <v/>
      </c>
      <c r="G659" s="21">
        <f>F658-F659</f>
        <v/>
      </c>
      <c r="H659" s="21" t="n">
        <v>16.48000000000002</v>
      </c>
      <c r="I659" s="211">
        <f>C658</f>
        <v/>
      </c>
      <c r="J659" s="211">
        <f>C675</f>
        <v/>
      </c>
      <c r="K659" s="60">
        <f t="array" ref="K659">INDEX('Podium Target Times'!$C:$C, MATCH(A659&amp;B659, 'Podium Target Times'!$A:$A&amp;'Podium Target Times'!$B:$B, 0))
</f>
        <v/>
      </c>
      <c r="L659" s="24">
        <f>L661+G661</f>
        <v/>
      </c>
      <c r="M659" s="60">
        <f>IF(L659&lt;60, TEXT(L659,"0.00"), IF(L659&lt;600, TEXT(L659/86400,"m:ss.00"), TEXT(L659/86400,"mm:ss.00")))
</f>
        <v/>
      </c>
      <c r="N659" s="25">
        <f>IFERROR(__xludf.DUMMYFUNCTION("LET(
  gen,$A659, ev,$B659, t,$M659,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)"),653.0)</f>
        <v/>
      </c>
      <c r="O659" s="65" t="n"/>
      <c r="P659" s="69">
        <f>A659</f>
        <v/>
      </c>
      <c r="Q659" s="65">
        <f>B659</f>
        <v/>
      </c>
      <c r="R659" s="69">
        <f>C659</f>
        <v/>
      </c>
      <c r="S659" s="58">
        <f>M659</f>
        <v/>
      </c>
      <c r="T659" s="69">
        <f>N659</f>
        <v/>
      </c>
      <c r="U659" s="65" t="n"/>
      <c r="V659" s="65" t="n"/>
      <c r="W659" s="65" t="n"/>
    </row>
    <row r="660">
      <c r="A660" s="8" t="inlineStr">
        <is>
          <t>M</t>
        </is>
      </c>
      <c r="B660" s="9" t="inlineStr">
        <is>
          <t>800 Free</t>
        </is>
      </c>
      <c r="C660" s="9" t="n">
        <v>16</v>
      </c>
      <c r="D660" s="9" t="n">
        <v>2</v>
      </c>
      <c r="E660" s="41" t="inlineStr">
        <is>
          <t>8:20.18</t>
        </is>
      </c>
      <c r="F660" s="35">
        <f>IFERROR(__xludf.DUMMYFUNCTION("IF(
  REGEXMATCH(E660, "":""),
  60*VALUE(INDEX(SPLIT(E660, "":""),1,1)) + VALUE(INDEX(SPLIT(E660, "":""),1,2)),
  VALUE(E660)
)"),500.18)</f>
        <v/>
      </c>
      <c r="G660" s="35">
        <f>F658-F659</f>
        <v/>
      </c>
      <c r="H660" s="35" t="n">
        <v>16.48000000000002</v>
      </c>
      <c r="I660" s="215">
        <f>C658</f>
        <v/>
      </c>
      <c r="J660" s="215">
        <f>C675</f>
        <v/>
      </c>
      <c r="K660" s="43">
        <f t="array" ref="K660">INDEX('Podium Target Times'!$C:$C, MATCH(A660&amp;B660, 'Podium Target Times'!$A:$A&amp;'Podium Target Times'!$B:$B, 0))
</f>
        <v/>
      </c>
      <c r="L660" s="12">
        <f>L661+G661</f>
        <v/>
      </c>
      <c r="M660" s="43">
        <f>IF(L660&lt;60, TEXT(L660,"0.00"), IF(L660&lt;600, TEXT(L660/86400,"m:ss.00"), TEXT(L660/86400,"mm:ss.00")))
</f>
        <v/>
      </c>
      <c r="N660" s="14">
        <f>IFERROR(__xludf.DUMMYFUNCTION("LET(
  gen,$A660, ev,$B660, t,$M660,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)"),653.0)</f>
        <v/>
      </c>
      <c r="O660" s="65" t="n"/>
      <c r="P660" s="69">
        <f>A661</f>
        <v/>
      </c>
      <c r="Q660" s="65">
        <f>B661</f>
        <v/>
      </c>
      <c r="R660" s="69">
        <f>C661</f>
        <v/>
      </c>
      <c r="S660" s="58">
        <f>M661</f>
        <v/>
      </c>
      <c r="T660" s="69">
        <f>N661</f>
        <v/>
      </c>
      <c r="U660" s="65" t="n"/>
      <c r="V660" s="65" t="n"/>
      <c r="W660" s="65" t="n"/>
    </row>
    <row r="661">
      <c r="A661" s="17" t="inlineStr">
        <is>
          <t>M</t>
        </is>
      </c>
      <c r="B661" s="18" t="inlineStr">
        <is>
          <t>800 Free</t>
        </is>
      </c>
      <c r="C661" s="18" t="n">
        <v>17</v>
      </c>
      <c r="D661" s="18" t="n">
        <v>1</v>
      </c>
      <c r="E661" s="46" t="inlineStr">
        <is>
          <t>8:02.43</t>
        </is>
      </c>
      <c r="F661" s="21">
        <f>IFERROR(__xludf.DUMMYFUNCTION("IF(
  REGEXMATCH(E661, "":""),
  60*VALUE(INDEX(SPLIT(E661, "":""),1,1)) + VALUE(INDEX(SPLIT(E661, "":""),1,2)),
  VALUE(E661)
)"),482.43)</f>
        <v/>
      </c>
      <c r="G661" s="21">
        <f>average(F659-F661,F660-F662)</f>
        <v/>
      </c>
      <c r="H661" s="21" t="n">
        <v>12.25999999999999</v>
      </c>
      <c r="I661" s="211">
        <f>C658</f>
        <v/>
      </c>
      <c r="J661" s="211">
        <f>C675</f>
        <v/>
      </c>
      <c r="K661" s="60">
        <f t="array" ref="K661">INDEX('Podium Target Times'!$C:$C, MATCH(A661&amp;B661, 'Podium Target Times'!$A:$A&amp;'Podium Target Times'!$B:$B, 0))
</f>
        <v/>
      </c>
      <c r="L661" s="24">
        <f>L664+G664</f>
        <v/>
      </c>
      <c r="M661" s="60">
        <f>IF(L661&lt;60, TEXT(L661,"0.00"), IF(L661&lt;600, TEXT(L661/86400,"m:ss.00"), TEXT(L661/86400,"mm:ss.00")))
</f>
        <v/>
      </c>
      <c r="N661" s="25">
        <f>IFERROR(__xludf.DUMMYFUNCTION("LET(
  gen,$A661, ev,$B661, t,$M661,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
      </c>
      <c r="O661" s="65" t="n"/>
      <c r="P661" s="69">
        <f>A664</f>
        <v/>
      </c>
      <c r="Q661" s="65">
        <f>B664</f>
        <v/>
      </c>
      <c r="R661" s="69">
        <f>C664</f>
        <v/>
      </c>
      <c r="S661" s="58">
        <f>M664</f>
        <v/>
      </c>
      <c r="T661" s="69">
        <f>N664</f>
        <v/>
      </c>
      <c r="U661" s="65" t="n"/>
      <c r="V661" s="65" t="n"/>
      <c r="W661" s="65" t="n"/>
    </row>
    <row r="662">
      <c r="A662" s="8" t="inlineStr">
        <is>
          <t>M</t>
        </is>
      </c>
      <c r="B662" s="9" t="inlineStr">
        <is>
          <t>800 Free</t>
        </is>
      </c>
      <c r="C662" s="9" t="n">
        <v>17</v>
      </c>
      <c r="D662" s="9" t="n">
        <v>2</v>
      </c>
      <c r="E662" s="41" t="inlineStr">
        <is>
          <t>8:07.85</t>
        </is>
      </c>
      <c r="F662" s="35">
        <f>IFERROR(__xludf.DUMMYFUNCTION("IF(
  REGEXMATCH(E662, "":""),
  60*VALUE(INDEX(SPLIT(E662, "":""),1,1)) + VALUE(INDEX(SPLIT(E662, "":""),1,2)),
  VALUE(E662)
)"),487.85)</f>
        <v/>
      </c>
      <c r="G662" s="35">
        <f>average(F659-F661,F660-F662)</f>
        <v/>
      </c>
      <c r="H662" s="35" t="n">
        <v>12.25999999999999</v>
      </c>
      <c r="I662" s="215">
        <f>C658</f>
        <v/>
      </c>
      <c r="J662" s="215">
        <f>C675</f>
        <v/>
      </c>
      <c r="K662" s="43">
        <f t="array" ref="K662">INDEX('Podium Target Times'!$C:$C, MATCH(A662&amp;B662, 'Podium Target Times'!$A:$A&amp;'Podium Target Times'!$B:$B, 0))
</f>
        <v/>
      </c>
      <c r="L662" s="12">
        <f>L664+G664</f>
        <v/>
      </c>
      <c r="M662" s="43">
        <f>IF(L662&lt;60, TEXT(L662,"0.00"), IF(L662&lt;600, TEXT(L662/86400,"m:ss.00"), TEXT(L662/86400,"mm:ss.00")))
</f>
        <v/>
      </c>
      <c r="N662" s="14">
        <f>IFERROR(__xludf.DUMMYFUNCTION("LET(
  gen,$A662, ev,$B662, t,$M662,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
      </c>
      <c r="O662" s="65" t="n"/>
      <c r="P662" s="69">
        <f>A667</f>
        <v/>
      </c>
      <c r="Q662" s="65">
        <f>B667</f>
        <v/>
      </c>
      <c r="R662" s="69">
        <f>C667</f>
        <v/>
      </c>
      <c r="S662" s="58">
        <f>M667</f>
        <v/>
      </c>
      <c r="T662" s="69">
        <f>N667</f>
        <v/>
      </c>
      <c r="U662" s="65" t="n"/>
      <c r="V662" s="65" t="n"/>
      <c r="W662" s="65" t="n"/>
    </row>
    <row r="663">
      <c r="A663" s="17" t="inlineStr">
        <is>
          <t>M</t>
        </is>
      </c>
      <c r="B663" s="18" t="inlineStr">
        <is>
          <t>800 Free</t>
        </is>
      </c>
      <c r="C663" s="18" t="n">
        <v>17</v>
      </c>
      <c r="D663" s="18" t="n">
        <v>3</v>
      </c>
      <c r="E663" s="46" t="inlineStr">
        <is>
          <t>8:09.69</t>
        </is>
      </c>
      <c r="F663" s="21">
        <f>IFERROR(__xludf.DUMMYFUNCTION("IF(
  REGEXMATCH(E663, "":""),
  60*VALUE(INDEX(SPLIT(E663, "":""),1,1)) + VALUE(INDEX(SPLIT(E663, "":""),1,2)),
  VALUE(E663)
)"),489.69)</f>
        <v/>
      </c>
      <c r="G663" s="21">
        <f>average(F659-F661,F660-F662)</f>
        <v/>
      </c>
      <c r="H663" s="21" t="n">
        <v>12.25999999999999</v>
      </c>
      <c r="I663" s="211">
        <f>C658</f>
        <v/>
      </c>
      <c r="J663" s="211">
        <f>C675</f>
        <v/>
      </c>
      <c r="K663" s="60">
        <f t="array" ref="K663">INDEX('Podium Target Times'!$C:$C, MATCH(A663&amp;B663, 'Podium Target Times'!$A:$A&amp;'Podium Target Times'!$B:$B, 0))
</f>
        <v/>
      </c>
      <c r="L663" s="24">
        <f>L664+G664</f>
        <v/>
      </c>
      <c r="M663" s="60">
        <f>IF(L663&lt;60, TEXT(L663,"0.00"), IF(L663&lt;600, TEXT(L663/86400,"m:ss.00"), TEXT(L663/86400,"mm:ss.00")))
</f>
        <v/>
      </c>
      <c r="N663" s="25">
        <f>IFERROR(__xludf.DUMMYFUNCTION("LET(
  gen,$A663, ev,$B663, t,$M663,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)"),702.0)</f>
        <v/>
      </c>
      <c r="O663" s="65" t="n"/>
      <c r="P663" s="69">
        <f>A670</f>
        <v/>
      </c>
      <c r="Q663" s="65">
        <f>B670</f>
        <v/>
      </c>
      <c r="R663" s="69">
        <f>C670</f>
        <v/>
      </c>
      <c r="S663" s="58">
        <f>M670</f>
        <v/>
      </c>
      <c r="T663" s="69">
        <f>N670</f>
        <v/>
      </c>
      <c r="U663" s="65" t="n"/>
      <c r="V663" s="65" t="n"/>
      <c r="W663" s="65" t="n"/>
    </row>
    <row r="664">
      <c r="A664" s="8" t="inlineStr">
        <is>
          <t>M</t>
        </is>
      </c>
      <c r="B664" s="9" t="inlineStr">
        <is>
          <t>800 Free</t>
        </is>
      </c>
      <c r="C664" s="9" t="n">
        <v>18</v>
      </c>
      <c r="D664" s="9" t="n">
        <v>1</v>
      </c>
      <c r="E664" s="41" t="inlineStr">
        <is>
          <t>7:54.03</t>
        </is>
      </c>
      <c r="F664" s="35">
        <f>IFERROR(__xludf.DUMMYFUNCTION("IF(
  REGEXMATCH(E664, "":""),
  60*VALUE(INDEX(SPLIT(E664, "":""),1,1)) + VALUE(INDEX(SPLIT(E664, "":""),1,2)),
  VALUE(E664)
)"),474.03)</f>
        <v/>
      </c>
      <c r="G664" s="35">
        <f>average(F661-F664,F662-F665,F663-F666)</f>
        <v/>
      </c>
      <c r="H664" s="35" t="n">
        <v>8.473333333333338</v>
      </c>
      <c r="I664" s="215">
        <f>C658</f>
        <v/>
      </c>
      <c r="J664" s="215">
        <f>C675</f>
        <v/>
      </c>
      <c r="K664" s="43">
        <f t="array" ref="K664">INDEX('Podium Target Times'!$C:$C, MATCH(A664&amp;B664, 'Podium Target Times'!$A:$A&amp;'Podium Target Times'!$B:$B, 0))
</f>
        <v/>
      </c>
      <c r="L664" s="12">
        <f>L667+G667</f>
        <v/>
      </c>
      <c r="M664" s="43">
        <f>IF(L664&lt;60, TEXT(L664,"0.00"), IF(L664&lt;600, TEXT(L664/86400,"m:ss.00"), TEXT(L664/86400,"mm:ss.00")))
</f>
        <v/>
      </c>
      <c r="N664" s="14">
        <f>IFERROR(__xludf.DUMMYFUNCTION("LET(
  gen,$A664, ev,$B664, t,$M664,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O664" s="65" t="n"/>
      <c r="P664" s="69">
        <f>A672</f>
        <v/>
      </c>
      <c r="Q664" s="65">
        <f>B672</f>
        <v/>
      </c>
      <c r="R664" s="69">
        <f>C672</f>
        <v/>
      </c>
      <c r="S664" s="58">
        <f>M672</f>
        <v/>
      </c>
      <c r="T664" s="69">
        <f>N672</f>
        <v/>
      </c>
      <c r="U664" s="65" t="n"/>
      <c r="V664" s="65" t="n"/>
      <c r="W664" s="65" t="n"/>
    </row>
    <row r="665">
      <c r="A665" s="17" t="inlineStr">
        <is>
          <t>M</t>
        </is>
      </c>
      <c r="B665" s="18" t="inlineStr">
        <is>
          <t>800 Free</t>
        </is>
      </c>
      <c r="C665" s="18" t="n">
        <v>18</v>
      </c>
      <c r="D665" s="18" t="n">
        <v>2</v>
      </c>
      <c r="E665" s="46" t="inlineStr">
        <is>
          <t>7:59.36</t>
        </is>
      </c>
      <c r="F665" s="21">
        <f>IFERROR(__xludf.DUMMYFUNCTION("IF(
  REGEXMATCH(E665, "":""),
  60*VALUE(INDEX(SPLIT(E665, "":""),1,1)) + VALUE(INDEX(SPLIT(E665, "":""),1,2)),
  VALUE(E665)
)"),479.36)</f>
        <v/>
      </c>
      <c r="G665" s="21">
        <f>average(F661-F664,F662-F665,F663-F666)</f>
        <v/>
      </c>
      <c r="H665" s="21" t="n">
        <v>8.473333333333338</v>
      </c>
      <c r="I665" s="211">
        <f>C658</f>
        <v/>
      </c>
      <c r="J665" s="211">
        <f>C675</f>
        <v/>
      </c>
      <c r="K665" s="60">
        <f t="array" ref="K665">INDEX('Podium Target Times'!$C:$C, MATCH(A665&amp;B665, 'Podium Target Times'!$A:$A&amp;'Podium Target Times'!$B:$B, 0))
</f>
        <v/>
      </c>
      <c r="L665" s="24">
        <f>L667+G667</f>
        <v/>
      </c>
      <c r="M665" s="60">
        <f>IF(L665&lt;60, TEXT(L665,"0.00"), IF(L665&lt;600, TEXT(L665/86400,"m:ss.00"), TEXT(L665/86400,"mm:ss.00")))
</f>
        <v/>
      </c>
      <c r="N665" s="25">
        <f>IFERROR(__xludf.DUMMYFUNCTION("LET(
  gen,$A665, ev,$B665, t,$M665,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O665" s="65" t="n"/>
      <c r="P665" s="69">
        <f>A674</f>
        <v/>
      </c>
      <c r="Q665" s="65">
        <f>B674</f>
        <v/>
      </c>
      <c r="R665" s="69">
        <f>C674</f>
        <v/>
      </c>
      <c r="S665" s="58">
        <f>M674</f>
        <v/>
      </c>
      <c r="T665" s="69">
        <f>N674</f>
        <v/>
      </c>
      <c r="U665" s="65" t="n"/>
      <c r="V665" s="65" t="n"/>
      <c r="W665" s="65" t="n"/>
    </row>
    <row r="666">
      <c r="A666" s="8" t="inlineStr">
        <is>
          <t>M</t>
        </is>
      </c>
      <c r="B666" s="9" t="inlineStr">
        <is>
          <t>800 Free</t>
        </is>
      </c>
      <c r="C666" s="9" t="n">
        <v>18</v>
      </c>
      <c r="D666" s="9" t="n">
        <v>3</v>
      </c>
      <c r="E666" s="41" t="inlineStr">
        <is>
          <t>8:01.16</t>
        </is>
      </c>
      <c r="F666" s="35">
        <f>IFERROR(__xludf.DUMMYFUNCTION("IF(
  REGEXMATCH(E666, "":""),
  60*VALUE(INDEX(SPLIT(E666, "":""),1,1)) + VALUE(INDEX(SPLIT(E666, "":""),1,2)),
  VALUE(E666)
)"),481.16)</f>
        <v/>
      </c>
      <c r="G666" s="35">
        <f>average(F661-F664,F662-F665,F663-F666)</f>
        <v/>
      </c>
      <c r="H666" s="35" t="n">
        <v>8.473333333333338</v>
      </c>
      <c r="I666" s="215">
        <f>C658</f>
        <v/>
      </c>
      <c r="J666" s="215">
        <f>C675</f>
        <v/>
      </c>
      <c r="K666" s="43">
        <f t="array" ref="K666">INDEX('Podium Target Times'!$C:$C, MATCH(A666&amp;B666, 'Podium Target Times'!$A:$A&amp;'Podium Target Times'!$B:$B, 0))
</f>
        <v/>
      </c>
      <c r="L666" s="12">
        <f>L667+G667</f>
        <v/>
      </c>
      <c r="M666" s="43">
        <f>IF(L666&lt;60, TEXT(L666,"0.00"), IF(L666&lt;600, TEXT(L666/86400,"m:ss.00"), TEXT(L666/86400,"mm:ss.00")))
</f>
        <v/>
      </c>
      <c r="N666" s="14">
        <f>IFERROR(__xludf.DUMMYFUNCTION("LET(
  gen,$A666, ev,$B666, t,$M666,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O666" s="65" t="n"/>
      <c r="P666" s="69">
        <f>A675</f>
        <v/>
      </c>
      <c r="Q666" s="65">
        <f>B675</f>
        <v/>
      </c>
      <c r="R666" s="69">
        <f>C675</f>
        <v/>
      </c>
      <c r="S666" s="58">
        <f>M675</f>
        <v/>
      </c>
      <c r="T666" s="69">
        <f>N675</f>
        <v/>
      </c>
      <c r="U666" s="65" t="n">
        <v>801</v>
      </c>
      <c r="V666" s="65" t="n"/>
      <c r="W666" s="65" t="n"/>
    </row>
    <row r="667">
      <c r="A667" s="17" t="inlineStr">
        <is>
          <t>M</t>
        </is>
      </c>
      <c r="B667" s="18" t="inlineStr">
        <is>
          <t>800 Free</t>
        </is>
      </c>
      <c r="C667" s="18" t="n">
        <v>19</v>
      </c>
      <c r="D667" s="18" t="n">
        <v>1</v>
      </c>
      <c r="E667" s="46" t="inlineStr">
        <is>
          <t>7:48.66</t>
        </is>
      </c>
      <c r="F667" s="21">
        <f>IFERROR(__xludf.DUMMYFUNCTION("IF(
  REGEXMATCH(E667, "":""),
  60*VALUE(INDEX(SPLIT(E667, "":""),1,1)) + VALUE(INDEX(SPLIT(E667, "":""),1,2)),
  VALUE(E667)
)"),468.65999999999997)</f>
        <v/>
      </c>
      <c r="G667" s="21">
        <f>average(F664-F667,F665-F668,F666-F669)</f>
        <v/>
      </c>
      <c r="H667" s="21" t="n">
        <v>5.416666666666686</v>
      </c>
      <c r="I667" s="211">
        <f>C658</f>
        <v/>
      </c>
      <c r="J667" s="211">
        <f>C675</f>
        <v/>
      </c>
      <c r="K667" s="60">
        <f t="array" ref="K667">INDEX('Podium Target Times'!$C:$C, MATCH(A667&amp;B667, 'Podium Target Times'!$A:$A&amp;'Podium Target Times'!$B:$B, 0))
</f>
        <v/>
      </c>
      <c r="L667" s="24">
        <f>L670+G670</f>
        <v/>
      </c>
      <c r="M667" s="60">
        <f>IF(L667&lt;60, TEXT(L667,"0.00"), IF(L667&lt;600, TEXT(L667/86400,"m:ss.00"), TEXT(L667/86400,"mm:ss.00")))
</f>
        <v/>
      </c>
      <c r="N667" s="25">
        <f>IFERROR(__xludf.DUMMYFUNCTION("LET(
  gen,$A667, ev,$B667, t,$M667,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
      </c>
      <c r="O667" s="65" t="n"/>
      <c r="P667" s="69">
        <f>P666</f>
        <v/>
      </c>
      <c r="Q667" s="65">
        <f>Q666</f>
        <v/>
      </c>
      <c r="R667" s="69">
        <f>R666+1</f>
        <v/>
      </c>
      <c r="S667" s="58">
        <f>M676</f>
        <v/>
      </c>
      <c r="T667" s="69">
        <f>N676</f>
        <v/>
      </c>
      <c r="U667" s="65" t="n"/>
      <c r="V667" s="65" t="n"/>
      <c r="W667" s="65" t="n"/>
    </row>
    <row r="668">
      <c r="A668" s="8" t="inlineStr">
        <is>
          <t>M</t>
        </is>
      </c>
      <c r="B668" s="9" t="inlineStr">
        <is>
          <t>800 Free</t>
        </is>
      </c>
      <c r="C668" s="9" t="n">
        <v>19</v>
      </c>
      <c r="D668" s="9" t="n">
        <v>2</v>
      </c>
      <c r="E668" s="41" t="inlineStr">
        <is>
          <t>7:53.93</t>
        </is>
      </c>
      <c r="F668" s="35">
        <f>IFERROR(__xludf.DUMMYFUNCTION("IF(
  REGEXMATCH(E668, "":""),
  60*VALUE(INDEX(SPLIT(E668, "":""),1,1)) + VALUE(INDEX(SPLIT(E668, "":""),1,2)),
  VALUE(E668)
)"),473.93)</f>
        <v/>
      </c>
      <c r="G668" s="35">
        <f>average(F664-F667,F665-F668,F666-F669)</f>
        <v/>
      </c>
      <c r="H668" s="35" t="n">
        <v>5.416666666666686</v>
      </c>
      <c r="I668" s="215">
        <f>C658</f>
        <v/>
      </c>
      <c r="J668" s="215">
        <f>C675</f>
        <v/>
      </c>
      <c r="K668" s="43">
        <f t="array" ref="K668">INDEX('Podium Target Times'!$C:$C, MATCH(A668&amp;B668, 'Podium Target Times'!$A:$A&amp;'Podium Target Times'!$B:$B, 0))
</f>
        <v/>
      </c>
      <c r="L668" s="12">
        <f>L670+G670</f>
        <v/>
      </c>
      <c r="M668" s="43">
        <f>IF(L668&lt;60, TEXT(L668,"0.00"), IF(L668&lt;600, TEXT(L668/86400,"m:ss.00"), TEXT(L668/86400,"mm:ss.00")))
</f>
        <v/>
      </c>
      <c r="N668" s="14">
        <f>IFERROR(__xludf.DUMMYFUNCTION("LET(
  gen,$A668, ev,$B668, t,$M668,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
      </c>
      <c r="O668" s="65" t="n"/>
      <c r="P668" s="69">
        <f>P667</f>
        <v/>
      </c>
      <c r="Q668" s="65">
        <f>Q667</f>
        <v/>
      </c>
      <c r="R668" s="69">
        <f>R667+1</f>
        <v/>
      </c>
      <c r="S668" s="58">
        <f>M677</f>
        <v/>
      </c>
      <c r="T668" s="69">
        <f>N677</f>
        <v/>
      </c>
      <c r="U668" s="65" t="n"/>
      <c r="V668" s="65" t="n"/>
      <c r="W668" s="65" t="n"/>
    </row>
    <row r="669">
      <c r="A669" s="17" t="inlineStr">
        <is>
          <t>M</t>
        </is>
      </c>
      <c r="B669" s="18" t="inlineStr">
        <is>
          <t>800 Free</t>
        </is>
      </c>
      <c r="C669" s="18" t="n">
        <v>19</v>
      </c>
      <c r="D669" s="18" t="n">
        <v>3</v>
      </c>
      <c r="E669" s="46" t="inlineStr">
        <is>
          <t>7:55.71</t>
        </is>
      </c>
      <c r="F669" s="21">
        <f>IFERROR(__xludf.DUMMYFUNCTION("IF(
  REGEXMATCH(E669, "":""),
  60*VALUE(INDEX(SPLIT(E669, "":""),1,1)) + VALUE(INDEX(SPLIT(E669, "":""),1,2)),
  VALUE(E669)
)"),475.71)</f>
        <v/>
      </c>
      <c r="G669" s="21">
        <f>average(F664-F667,F665-F668,F666-F669)</f>
        <v/>
      </c>
      <c r="H669" s="21" t="n">
        <v>5.416666666666686</v>
      </c>
      <c r="I669" s="211">
        <f>C658</f>
        <v/>
      </c>
      <c r="J669" s="211">
        <f>C675</f>
        <v/>
      </c>
      <c r="K669" s="60">
        <f t="array" ref="K669">INDEX('Podium Target Times'!$C:$C, MATCH(A669&amp;B669, 'Podium Target Times'!$A:$A&amp;'Podium Target Times'!$B:$B, 0))
</f>
        <v/>
      </c>
      <c r="L669" s="24">
        <f>L670+G670</f>
        <v/>
      </c>
      <c r="M669" s="60">
        <f>IF(L669&lt;60, TEXT(L669,"0.00"), IF(L669&lt;600, TEXT(L669/86400,"m:ss.00"), TEXT(L669/86400,"mm:ss.00")))
</f>
        <v/>
      </c>
      <c r="N669" s="25">
        <f>IFERROR(__xludf.DUMMYFUNCTION("LET(
  gen,$A669, ev,$B669, t,$M669,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)"),762.0)</f>
        <v/>
      </c>
      <c r="O669" s="65" t="n"/>
      <c r="P669" s="69" t="n"/>
      <c r="Q669" s="65" t="n"/>
      <c r="R669" s="69" t="n"/>
      <c r="S669" s="58" t="n"/>
      <c r="T669" s="69" t="n"/>
      <c r="U669" s="65" t="n"/>
      <c r="V669" s="65" t="n"/>
      <c r="W669" s="65" t="n"/>
    </row>
    <row r="670">
      <c r="A670" s="8" t="inlineStr">
        <is>
          <t>M</t>
        </is>
      </c>
      <c r="B670" s="9" t="inlineStr">
        <is>
          <t>800 Free</t>
        </is>
      </c>
      <c r="C670" s="9" t="n">
        <v>20</v>
      </c>
      <c r="D670" s="9" t="n">
        <v>2</v>
      </c>
      <c r="E670" s="41" t="inlineStr">
        <is>
          <t>7:50.66</t>
        </is>
      </c>
      <c r="F670" s="35">
        <f>IFERROR(__xludf.DUMMYFUNCTION("IF(
  REGEXMATCH(E670, "":""),
  60*VALUE(INDEX(SPLIT(E670, "":""),1,1)) + VALUE(INDEX(SPLIT(E670, "":""),1,2)),
  VALUE(E670)
)"),470.65999999999997)</f>
        <v/>
      </c>
      <c r="G670" s="35">
        <f>average(F668-F670,F669-F671)</f>
        <v/>
      </c>
      <c r="H670" s="35" t="n">
        <v>3.275000000000006</v>
      </c>
      <c r="I670" s="215">
        <f>C658</f>
        <v/>
      </c>
      <c r="J670" s="215">
        <f>C675</f>
        <v/>
      </c>
      <c r="K670" s="43">
        <f t="array" ref="K670">INDEX('Podium Target Times'!$C:$C, MATCH(A670&amp;B670, 'Podium Target Times'!$A:$A&amp;'Podium Target Times'!$B:$B, 0))
</f>
        <v/>
      </c>
      <c r="L670" s="12">
        <f>L672+G672</f>
        <v/>
      </c>
      <c r="M670" s="43">
        <f>IF(L670&lt;60, TEXT(L670,"0.00"), IF(L670&lt;600, TEXT(L670/86400,"m:ss.00"), TEXT(L670/86400,"mm:ss.00")))
</f>
        <v/>
      </c>
      <c r="N670" s="14">
        <f>IFERROR(__xludf.DUMMYFUNCTION("LET(
  gen,$A670, ev,$B670, t,$M670,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
      </c>
      <c r="O670" s="65" t="n"/>
      <c r="P670" s="69" t="n"/>
      <c r="Q670" s="65" t="n"/>
      <c r="R670" s="69" t="n"/>
      <c r="S670" s="58" t="n"/>
      <c r="T670" s="69" t="n"/>
      <c r="U670" s="65" t="n"/>
      <c r="V670" s="65" t="n"/>
      <c r="W670" s="65" t="n"/>
    </row>
    <row r="671">
      <c r="A671" s="17" t="inlineStr">
        <is>
          <t>M</t>
        </is>
      </c>
      <c r="B671" s="18" t="inlineStr">
        <is>
          <t>800 Free</t>
        </is>
      </c>
      <c r="C671" s="18" t="n">
        <v>20</v>
      </c>
      <c r="D671" s="18" t="n">
        <v>3</v>
      </c>
      <c r="E671" s="46" t="inlineStr">
        <is>
          <t>7:52.43</t>
        </is>
      </c>
      <c r="F671" s="21">
        <f>IFERROR(__xludf.DUMMYFUNCTION("IF(
  REGEXMATCH(E671, "":""),
  60*VALUE(INDEX(SPLIT(E671, "":""),1,1)) + VALUE(INDEX(SPLIT(E671, "":""),1,2)),
  VALUE(E671)
)"),472.43)</f>
        <v/>
      </c>
      <c r="G671" s="21">
        <f>average(F668-F670,F669-F671)</f>
        <v/>
      </c>
      <c r="H671" s="21" t="n">
        <v>3.275000000000006</v>
      </c>
      <c r="I671" s="211">
        <f>C658</f>
        <v/>
      </c>
      <c r="J671" s="211">
        <f>C675</f>
        <v/>
      </c>
      <c r="K671" s="60">
        <f t="array" ref="K671">INDEX('Podium Target Times'!$C:$C, MATCH(A671&amp;B671, 'Podium Target Times'!$A:$A&amp;'Podium Target Times'!$B:$B, 0))
</f>
        <v/>
      </c>
      <c r="L671" s="24">
        <f>L672+G672</f>
        <v/>
      </c>
      <c r="M671" s="60">
        <f>IF(L671&lt;60, TEXT(L671,"0.00"), IF(L671&lt;600, TEXT(L671/86400,"m:ss.00"), TEXT(L671/86400,"mm:ss.00")))
</f>
        <v/>
      </c>
      <c r="N671" s="25">
        <f>IFERROR(__xludf.DUMMYFUNCTION("LET(
  gen,$A671, ev,$B671, t,$M671,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
      </c>
      <c r="O671" s="65" t="n"/>
      <c r="P671" s="69" t="n"/>
      <c r="Q671" s="65" t="n"/>
      <c r="R671" s="69" t="n"/>
      <c r="S671" s="58" t="n"/>
      <c r="T671" s="69" t="n"/>
      <c r="U671" s="65" t="n"/>
      <c r="V671" s="65" t="n"/>
      <c r="W671" s="65" t="n"/>
    </row>
    <row r="672">
      <c r="A672" s="8" t="inlineStr">
        <is>
          <t>M</t>
        </is>
      </c>
      <c r="B672" s="9" t="inlineStr">
        <is>
          <t>800 Free</t>
        </is>
      </c>
      <c r="C672" s="9" t="n">
        <v>21</v>
      </c>
      <c r="D672" s="9" t="n">
        <v>2</v>
      </c>
      <c r="E672" s="41" t="inlineStr">
        <is>
          <t>7:48.66</t>
        </is>
      </c>
      <c r="F672" s="35">
        <f>IFERROR(__xludf.DUMMYFUNCTION("IF(
  REGEXMATCH(E672, "":""),
  60*VALUE(INDEX(SPLIT(E672, "":""),1,1)) + VALUE(INDEX(SPLIT(E672, "":""),1,2)),
  VALUE(E672)
)"),468.65999999999997)</f>
        <v/>
      </c>
      <c r="G672" s="35">
        <f>average(F670-F672,F671-F673)</f>
        <v/>
      </c>
      <c r="H672" s="35" t="n">
        <v>2.004999999999995</v>
      </c>
      <c r="I672" s="215">
        <f>C658</f>
        <v/>
      </c>
      <c r="J672" s="215">
        <f>C675</f>
        <v/>
      </c>
      <c r="K672" s="43">
        <f t="array" ref="K672">INDEX('Podium Target Times'!$C:$C, MATCH(A672&amp;B672, 'Podium Target Times'!$A:$A&amp;'Podium Target Times'!$B:$B, 0))
</f>
        <v/>
      </c>
      <c r="L672" s="12">
        <f>L674+G674</f>
        <v/>
      </c>
      <c r="M672" s="43">
        <f>IF(L672&lt;60, TEXT(L672,"0.00"), IF(L672&lt;600, TEXT(L672/86400,"m:ss.00"), TEXT(L672/86400,"mm:ss.00")))
</f>
        <v/>
      </c>
      <c r="N672" s="14">
        <f>IFERROR(__xludf.DUMMYFUNCTION("LET(
  gen,$A672, ev,$B672, t,$M672,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
      </c>
      <c r="O672" s="65" t="n"/>
      <c r="P672" s="69" t="n"/>
      <c r="Q672" s="65" t="n"/>
      <c r="R672" s="69" t="n"/>
      <c r="S672" s="58" t="n"/>
      <c r="T672" s="69" t="n"/>
      <c r="U672" s="65" t="n"/>
      <c r="V672" s="65" t="n"/>
      <c r="W672" s="65" t="n"/>
    </row>
    <row r="673">
      <c r="A673" s="17" t="inlineStr">
        <is>
          <t>M</t>
        </is>
      </c>
      <c r="B673" s="18" t="inlineStr">
        <is>
          <t>800 Free</t>
        </is>
      </c>
      <c r="C673" s="18" t="n">
        <v>21</v>
      </c>
      <c r="D673" s="18" t="n">
        <v>3</v>
      </c>
      <c r="E673" s="46" t="inlineStr">
        <is>
          <t>7:50.42</t>
        </is>
      </c>
      <c r="F673" s="21">
        <f>IFERROR(__xludf.DUMMYFUNCTION("IF(
  REGEXMATCH(E673, "":""),
  60*VALUE(INDEX(SPLIT(E673, "":""),1,1)) + VALUE(INDEX(SPLIT(E673, "":""),1,2)),
  VALUE(E673)
)"),470.42)</f>
        <v/>
      </c>
      <c r="G673" s="21">
        <f>average(F670-F672,F671-F673)</f>
        <v/>
      </c>
      <c r="H673" s="21" t="n">
        <v>2.004999999999995</v>
      </c>
      <c r="I673" s="211">
        <f>C658</f>
        <v/>
      </c>
      <c r="J673" s="211">
        <f>C675</f>
        <v/>
      </c>
      <c r="K673" s="60">
        <f t="array" ref="K673">INDEX('Podium Target Times'!$C:$C, MATCH(A673&amp;B673, 'Podium Target Times'!$A:$A&amp;'Podium Target Times'!$B:$B, 0))
</f>
        <v/>
      </c>
      <c r="L673" s="24">
        <f>L674+G674</f>
        <v/>
      </c>
      <c r="M673" s="60">
        <f>IF(L673&lt;60, TEXT(L673,"0.00"), IF(L673&lt;600, TEXT(L673/86400,"m:ss.00"), TEXT(L673/86400,"mm:ss.00")))
</f>
        <v/>
      </c>
      <c r="N673" s="25">
        <f>IFERROR(__xludf.DUMMYFUNCTION("LET(
  gen,$A673, ev,$B673, t,$M673,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
      </c>
      <c r="O673" s="65" t="n"/>
      <c r="P673" s="69" t="n"/>
      <c r="Q673" s="65" t="n"/>
      <c r="R673" s="69" t="n"/>
      <c r="S673" s="58" t="n"/>
      <c r="T673" s="69" t="n"/>
      <c r="U673" s="65" t="n"/>
      <c r="V673" s="65" t="n"/>
      <c r="W673" s="65" t="n"/>
    </row>
    <row r="674">
      <c r="A674" s="8" t="inlineStr">
        <is>
          <t>M</t>
        </is>
      </c>
      <c r="B674" s="9" t="inlineStr">
        <is>
          <t>800 Free</t>
        </is>
      </c>
      <c r="C674" s="9" t="n">
        <v>22</v>
      </c>
      <c r="D674" s="9" t="n">
        <v>3</v>
      </c>
      <c r="E674" s="41" t="inlineStr">
        <is>
          <t>7:49.18</t>
        </is>
      </c>
      <c r="F674" s="35">
        <f>IFERROR(__xludf.DUMMYFUNCTION("IF(
  REGEXMATCH(E674, "":""),
  60*VALUE(INDEX(SPLIT(E674, "":""),1,1)) + VALUE(INDEX(SPLIT(E674, "":""),1,2)),
  VALUE(E674)
)"),469.18)</f>
        <v/>
      </c>
      <c r="G674" s="35">
        <f>F673-F674</f>
        <v/>
      </c>
      <c r="H674" s="35" t="n">
        <v>1.240000000000009</v>
      </c>
      <c r="I674" s="215">
        <f>C658</f>
        <v/>
      </c>
      <c r="J674" s="215">
        <f>C675</f>
        <v/>
      </c>
      <c r="K674" s="43">
        <f t="array" ref="K674">INDEX('Podium Target Times'!$C:$C, MATCH(A674&amp;B674, 'Podium Target Times'!$A:$A&amp;'Podium Target Times'!$B:$B, 0))
</f>
        <v/>
      </c>
      <c r="L674" s="12">
        <f>L675+G675</f>
        <v/>
      </c>
      <c r="M674" s="43">
        <f>IF(L674&lt;60, TEXT(L674,"0.00"), IF(L674&lt;600, TEXT(L674/86400,"m:ss.00"), TEXT(L674/86400,"mm:ss.00")))
</f>
        <v/>
      </c>
      <c r="N674" s="14">
        <f>IFERROR(__xludf.DUMMYFUNCTION("LET(
  gen,$A674, ev,$B674, t,$M674,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O674" s="65" t="n"/>
      <c r="P674" s="69" t="n"/>
      <c r="Q674" s="65" t="n"/>
      <c r="R674" s="69" t="n"/>
      <c r="S674" s="58" t="n"/>
      <c r="T674" s="69" t="n"/>
      <c r="U674" s="65" t="n"/>
      <c r="V674" s="65" t="n"/>
      <c r="W674" s="65" t="n"/>
    </row>
    <row r="675">
      <c r="A675" s="17" t="inlineStr">
        <is>
          <t>M</t>
        </is>
      </c>
      <c r="B675" s="18" t="inlineStr">
        <is>
          <t>800 Free</t>
        </is>
      </c>
      <c r="C675" s="18" t="n">
        <v>23</v>
      </c>
      <c r="D675" s="18" t="n">
        <v>3</v>
      </c>
      <c r="E675" s="46" t="inlineStr">
        <is>
          <t>7:48.66</t>
        </is>
      </c>
      <c r="F675" s="21">
        <f>IFERROR(__xludf.DUMMYFUNCTION("IF(
  REGEXMATCH(E675, "":""),
  60*VALUE(INDEX(SPLIT(E675, "":""),1,1)) + VALUE(INDEX(SPLIT(E675, "":""),1,2)),
  VALUE(E675)
)"),468.65999999999997)</f>
        <v/>
      </c>
      <c r="G675" s="21">
        <f>F674-F675</f>
        <v/>
      </c>
      <c r="H675" s="21" t="n">
        <v>0.5200000000000387</v>
      </c>
      <c r="I675" s="211">
        <f>C658</f>
        <v/>
      </c>
      <c r="J675" s="211">
        <f>C675</f>
        <v/>
      </c>
      <c r="K675" s="60">
        <f t="array" ref="K675">INDEX('Podium Target Times'!$C:$C, MATCH(A675&amp;B675, 'Podium Target Times'!$A:$A&amp;'Podium Target Times'!$B:$B, 0))
</f>
        <v/>
      </c>
      <c r="L675" s="21">
        <f>G675+L676</f>
        <v/>
      </c>
      <c r="M675" s="60">
        <f>IF(L675&lt;60, TEXT(L675,"0.00"), IF(L675&lt;600, TEXT(L675/86400,"m:ss.00"), TEXT(L675/86400,"mm:ss.00")))
</f>
        <v/>
      </c>
      <c r="N675" s="25">
        <f>IFERROR(__xludf.DUMMYFUNCTION("LET(
  gen,$A675, ev,$B675, t,$M675,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
      </c>
      <c r="O675" s="65" t="n"/>
      <c r="P675" s="69" t="n"/>
      <c r="Q675" s="65" t="n"/>
      <c r="R675" s="69" t="n"/>
      <c r="S675" s="58" t="n"/>
      <c r="T675" s="69" t="n"/>
      <c r="U675" s="65" t="n"/>
      <c r="V675" s="65" t="n"/>
      <c r="W675" s="65" t="n"/>
    </row>
    <row r="676">
      <c r="A676" s="8" t="inlineStr">
        <is>
          <t>M</t>
        </is>
      </c>
      <c r="B676" s="9" t="inlineStr">
        <is>
          <t>800 Free</t>
        </is>
      </c>
      <c r="C676" s="9" t="n">
        <v>24</v>
      </c>
      <c r="D676" s="9" t="n"/>
      <c r="E676" s="41" t="n"/>
      <c r="F676" s="35">
        <f>IFERROR(__xludf.DUMMYFUNCTION("IF(
  REGEXMATCH(E676, "":""),
  60*VALUE(INDEX(SPLIT(E676, "":""),1,1)) + VALUE(INDEX(SPLIT(E676, "":""),1,2)),
  VALUE(E676)
)"),0.0)</f>
        <v/>
      </c>
      <c r="G676" s="35">
        <f>F675-F676</f>
        <v/>
      </c>
      <c r="H676" s="35" t="n"/>
      <c r="I676" s="215">
        <f>C658</f>
        <v/>
      </c>
      <c r="J676" s="215">
        <f>C675</f>
        <v/>
      </c>
      <c r="K676" s="43">
        <f t="array" ref="K676">INDEX('Podium Target Times'!$C:$C, MATCH(A676&amp;B676, 'Podium Target Times'!$A:$A&amp;'Podium Target Times'!$B:$B, 0))
</f>
        <v/>
      </c>
      <c r="L676" s="35">
        <f>G675+L677</f>
        <v/>
      </c>
      <c r="M676" s="43">
        <f>IF(L676&lt;60, TEXT(L676,"0.00"), IF(L676&lt;600, TEXT(L676/86400,"m:ss.00"), TEXT(L676/86400,"mm:ss.00")))
</f>
        <v/>
      </c>
      <c r="N676" s="14">
        <f>IFERROR(__xludf.DUMMYFUNCTION("LET(
  gen,$A676, ev,$B676, t,$M676,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O676" s="65" t="n"/>
      <c r="P676" s="69" t="n"/>
      <c r="Q676" s="65" t="n"/>
      <c r="R676" s="69" t="n"/>
      <c r="S676" s="58" t="n"/>
      <c r="T676" s="69" t="n"/>
      <c r="U676" s="65" t="n"/>
      <c r="V676" s="65" t="n"/>
      <c r="W676" s="65" t="n"/>
    </row>
    <row r="677">
      <c r="A677" s="49" t="inlineStr">
        <is>
          <t>M</t>
        </is>
      </c>
      <c r="B677" s="50" t="inlineStr">
        <is>
          <t>800 Free</t>
        </is>
      </c>
      <c r="C677" s="50" t="n">
        <v>25</v>
      </c>
      <c r="D677" s="50" t="n"/>
      <c r="E677" s="51" t="n"/>
      <c r="F677" s="53">
        <f>IFERROR(__xludf.DUMMYFUNCTION("IF(
  REGEXMATCH(E677, "":""),
  60*VALUE(INDEX(SPLIT(E677, "":""),1,1)) + VALUE(INDEX(SPLIT(E677, "":""),1,2)),
  VALUE(E677)
)"),0.0)</f>
        <v/>
      </c>
      <c r="G677" s="53">
        <f>F676-F677</f>
        <v/>
      </c>
      <c r="H677" s="53" t="n"/>
      <c r="I677" s="755">
        <f>C658</f>
        <v/>
      </c>
      <c r="J677" s="755">
        <f>C675</f>
        <v/>
      </c>
      <c r="K677" s="55">
        <f t="array" ref="K677">INDEX('Podium Target Times'!$C:$C, MATCH(A677&amp;B677, 'Podium Target Times'!$A:$A&amp;'Podium Target Times'!$B:$B, 0))
</f>
        <v/>
      </c>
      <c r="L677" s="755">
        <f>K677</f>
        <v/>
      </c>
      <c r="M677" s="55">
        <f>IF(L677&lt;60, TEXT(L677,"0.00"), IF(L677&lt;600, TEXT(L677/86400,"m:ss.00"), TEXT(L677/86400,"mm:ss.00")))
</f>
        <v/>
      </c>
      <c r="N677" s="56">
        <f>IFERROR(__xludf.DUMMYFUNCTION("LET(
  gen,$A677, ev,$B677, t,$M677,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
      </c>
      <c r="O677" s="65" t="n"/>
      <c r="P677" s="69" t="n"/>
      <c r="Q677" s="65" t="n"/>
      <c r="R677" s="69" t="n"/>
      <c r="S677" s="58" t="n"/>
      <c r="T677" s="69" t="n"/>
      <c r="U677" s="65" t="n"/>
      <c r="V677" s="65" t="n"/>
      <c r="W677" s="65" t="n"/>
    </row>
  </sheetData>
  <mergeCells count="1">
    <mergeCell ref="P1:T1"/>
  </mergeCells>
  <dataValidations count="2">
    <dataValidation sqref="F2:G677" showDropDown="1" showInputMessage="0" showErrorMessage="0" allowBlank="1" type="custom">
      <formula1>AND(ISNUMBER(F2),(NOT(OR(NOT(ISERROR(DATEVALUE(F2))), AND(ISNUMBER(F2), LEFT(CELL("format", F2))="D")))))</formula1>
    </dataValidation>
    <dataValidation sqref="E2:E677" showDropDown="1" showInputMessage="0" showErrorMessage="0" allowBlank="1"/>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Z723"/>
  <sheetViews>
    <sheetView workbookViewId="0">
      <pane ySplit="1" topLeftCell="A2" activePane="bottomLeft" state="frozen"/>
      <selection pane="bottomLeft" activeCell="B3" sqref="B3"/>
    </sheetView>
  </sheetViews>
  <sheetFormatPr baseColWidth="8" defaultColWidth="12.63" defaultRowHeight="15.75" customHeight="1"/>
  <cols>
    <col width="10.88" customWidth="1" style="763" min="1" max="1"/>
    <col width="9.630000000000001" customWidth="1" style="763" min="2" max="2"/>
    <col width="8.380000000000001" customWidth="1" style="763" min="3" max="3"/>
    <col width="11.25" customWidth="1" style="763" min="4" max="4"/>
    <col width="11.38" customWidth="1" style="763" min="5" max="5"/>
    <col width="12" customWidth="1" style="763" min="6" max="6"/>
    <col width="11" customWidth="1" style="763" min="7" max="7"/>
    <col width="11.25" customWidth="1" style="763" min="8" max="10"/>
    <col width="13.5" customWidth="1" style="763" min="12" max="12"/>
    <col width="7.13" customWidth="1" style="763" min="18" max="18"/>
    <col width="11.63" customWidth="1" style="763" min="19" max="19"/>
    <col width="8.380000000000001" customWidth="1" style="763" min="20" max="20"/>
    <col width="8.880000000000001" customWidth="1" style="763" min="21" max="21"/>
    <col width="9.630000000000001" customWidth="1" style="763" min="22" max="22"/>
    <col width="6.63" customWidth="1" style="763" min="23" max="23"/>
  </cols>
  <sheetData>
    <row r="1">
      <c r="A1" s="1" t="inlineStr">
        <is>
          <t>Gender</t>
        </is>
      </c>
      <c r="B1" s="4" t="inlineStr">
        <is>
          <t>Event</t>
        </is>
      </c>
      <c r="C1" s="4" t="inlineStr">
        <is>
          <t>Age</t>
        </is>
      </c>
      <c r="D1" s="4" t="inlineStr">
        <is>
          <t>Canada Track</t>
        </is>
      </c>
      <c r="E1" s="4" t="inlineStr">
        <is>
          <t>Canada Track Time</t>
        </is>
      </c>
      <c r="F1" s="3" t="inlineStr">
        <is>
          <t>Canada Track Time in Seconds</t>
        </is>
      </c>
      <c r="G1" s="4" t="inlineStr">
        <is>
          <t>Canada T1 Entry Age</t>
        </is>
      </c>
      <c r="H1" s="4" t="inlineStr">
        <is>
          <t>Canada T1 Arrival Age</t>
        </is>
      </c>
      <c r="I1" s="4" t="inlineStr">
        <is>
          <t>Canada T2 Arrival Age</t>
        </is>
      </c>
      <c r="J1" s="4" t="inlineStr">
        <is>
          <t>Canada T3 Arrival Age</t>
        </is>
      </c>
      <c r="K1" s="4" t="inlineStr">
        <is>
          <t>Relevant Track</t>
        </is>
      </c>
      <c r="L1" s="4" t="inlineStr">
        <is>
          <t>Malaysia Arrival Time (SEA BRONZE)</t>
        </is>
      </c>
      <c r="M1" s="4" t="inlineStr">
        <is>
          <t>Malaysia Track Time in Seconds</t>
        </is>
      </c>
      <c r="N1" s="4" t="inlineStr">
        <is>
          <t>Malaysia Track Time</t>
        </is>
      </c>
      <c r="O1" s="5" t="inlineStr">
        <is>
          <t>Malaysia Track AQUA</t>
        </is>
      </c>
      <c r="P1" s="7" t="inlineStr">
        <is>
          <t>Column 16</t>
        </is>
      </c>
      <c r="Q1" s="7" t="inlineStr">
        <is>
          <t>Column 17</t>
        </is>
      </c>
      <c r="R1" s="7" t="inlineStr">
        <is>
          <t>Data must be sorted by Gender, Event, Age for the Average Progression Delta forumula to work, values copied in Average Progression Delta VALUE ONLY for refernce if it gets corrupted</t>
        </is>
      </c>
      <c r="W1" s="65" t="n"/>
      <c r="X1" s="65" t="n"/>
      <c r="Y1" s="65" t="n"/>
    </row>
    <row r="2">
      <c r="A2" s="8" t="inlineStr">
        <is>
          <t>F</t>
        </is>
      </c>
      <c r="B2" s="9" t="inlineStr">
        <is>
          <t>100 Back</t>
        </is>
      </c>
      <c r="C2" s="9" t="n">
        <v>13</v>
      </c>
      <c r="D2" s="9" t="n">
        <v>1</v>
      </c>
      <c r="E2" s="41" t="inlineStr">
        <is>
          <t>1:05.85</t>
        </is>
      </c>
      <c r="F2" s="35">
        <f>IFERROR(__xludf.DUMMYFUNCTION("IF(
  REGEXMATCH(E2, "":""),
  60*VALUE(INDEX(SPLIT(E2, "":""),1,1)) + VALUE(INDEX(SPLIT(E2, "":""),1,2)),
  VALUE(E2)
)"),65.85)</f>
        <v/>
      </c>
      <c r="G2" s="43">
        <f>C2</f>
        <v/>
      </c>
      <c r="H2" s="43">
        <f>C11</f>
        <v/>
      </c>
      <c r="I2" s="43">
        <f>C16</f>
        <v/>
      </c>
      <c r="J2" s="43">
        <f>C19</f>
        <v/>
      </c>
      <c r="K2" s="43">
        <f>IFS(H2=21,1,I2=21,2,J2=21,3,and(H2=20,I2=22),1.5, and(I2=20,J2=22),2.5,H2&gt;21,0.5)</f>
        <v/>
      </c>
      <c r="L2" s="43">
        <f t="array" ref="L2">INDEX('Podium Target Times'!$C:$C, MATCH(A2&amp;B2, 'Podium Target Times'!$A:$A&amp;'Podium Target Times'!$B:$B, 0))
</f>
        <v/>
      </c>
      <c r="M2" s="64">
        <f>IFS(K2=0.5,M3+(F2-F3),K2=1,M3+(F2-F3), K2=1.5, M3+(F2-F3), K2=2, M3+(F2-F3), K2=2.5, M3+(F2-F3), K2=3, M3+(F2-F3))</f>
        <v/>
      </c>
      <c r="N2" s="43">
        <f>IF(M2&lt;60, TEXT(M2, "0.00"), TEXT(M2/(24*60*60), "M:SS.00"))</f>
        <v/>
      </c>
      <c r="O2" s="14">
        <f>IFERROR(__xludf.DUMMYFUNCTION("LET(
  gen,$A2, ev,$B2, t,$N2,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)"),533.0)</f>
        <v/>
      </c>
      <c r="P2" s="65" t="n"/>
      <c r="Q2" s="65" t="n"/>
      <c r="R2" s="69">
        <f>A2</f>
        <v/>
      </c>
      <c r="S2" s="65">
        <f>B2</f>
        <v/>
      </c>
      <c r="T2" s="69">
        <f>C2</f>
        <v/>
      </c>
      <c r="U2" s="58">
        <f>N2</f>
        <v/>
      </c>
      <c r="V2" s="69">
        <f>O2</f>
        <v/>
      </c>
      <c r="W2" s="65" t="n"/>
      <c r="X2" s="65" t="n"/>
      <c r="Y2" s="65" t="n"/>
    </row>
    <row r="3">
      <c r="A3" s="17" t="inlineStr">
        <is>
          <t>F</t>
        </is>
      </c>
      <c r="B3" s="18" t="inlineStr">
        <is>
          <t>100 Back</t>
        </is>
      </c>
      <c r="C3" s="18" t="n">
        <v>14</v>
      </c>
      <c r="D3" s="18" t="n">
        <v>1</v>
      </c>
      <c r="E3" s="46" t="inlineStr">
        <is>
          <t>1:03.87</t>
        </is>
      </c>
      <c r="F3" s="21">
        <f>IFERROR(__xludf.DUMMYFUNCTION("IF(
  REGEXMATCH(E3, "":""),
  60*VALUE(INDEX(SPLIT(E3, "":""),1,1)) + VALUE(INDEX(SPLIT(E3, "":""),1,2)),
  VALUE(E3)
)"),63.87)</f>
        <v/>
      </c>
      <c r="G3" s="211">
        <f>C2</f>
        <v/>
      </c>
      <c r="H3" s="211">
        <f>C11</f>
        <v/>
      </c>
      <c r="I3" s="211">
        <f>C16</f>
        <v/>
      </c>
      <c r="J3" s="211">
        <f>C19</f>
        <v/>
      </c>
      <c r="K3" s="60">
        <f>IFS(H3=21,1,I3=21,2,J3=21,3,and(H3=20,I3=22),1.5, and(I3=20,J3=22),2.5,H3&gt;21,0.5)</f>
        <v/>
      </c>
      <c r="L3" s="60">
        <f t="array" ref="L3">INDEX('Podium Target Times'!$C:$C, MATCH(A3&amp;B3, 'Podium Target Times'!$A:$A&amp;'Podium Target Times'!$B:$B, 0))
</f>
        <v/>
      </c>
      <c r="M3" s="66">
        <f>IFS(K3=0.5,M4+(F3-F5),K3=1,M4+(F3-F5), K3=1.5, M5+(F4-F6), K3=2, M5+(F4-F6), K3=2.5, M5+(F4-F6), K3=3, M5+(F4-F6))</f>
        <v/>
      </c>
      <c r="N3" s="60">
        <f>IF(M3&lt;60, TEXT(M3, "0.00"), TEXT(M3/(24*60*60), "M:SS.00"))</f>
        <v/>
      </c>
      <c r="O3" s="25">
        <f>IFERROR(__xludf.DUMMYFUNCTION("LET(
  gen,$A3, ev,$B3, t,$N3,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)"),581.0)</f>
        <v/>
      </c>
      <c r="P3" s="65" t="n"/>
      <c r="Q3" s="65" t="n"/>
      <c r="R3" s="69">
        <f>A3</f>
        <v/>
      </c>
      <c r="S3" s="65">
        <f>B3</f>
        <v/>
      </c>
      <c r="T3" s="69">
        <f>C3</f>
        <v/>
      </c>
      <c r="U3" s="58">
        <f>N3</f>
        <v/>
      </c>
      <c r="V3" s="69">
        <f>O3</f>
        <v/>
      </c>
      <c r="W3" s="65" t="n"/>
      <c r="X3" s="65" t="n"/>
      <c r="Y3" s="65" t="n"/>
    </row>
    <row r="4">
      <c r="A4" s="8" t="inlineStr">
        <is>
          <t>F</t>
        </is>
      </c>
      <c r="B4" s="9" t="inlineStr">
        <is>
          <t>100 Back</t>
        </is>
      </c>
      <c r="C4" s="9" t="n">
        <v>14</v>
      </c>
      <c r="D4" s="219" t="n">
        <v>2</v>
      </c>
      <c r="E4" s="41" t="inlineStr">
        <is>
          <t>1:04.75</t>
        </is>
      </c>
      <c r="F4" s="35">
        <f>IFERROR(__xludf.DUMMYFUNCTION("IF(
  REGEXMATCH(E4, "":""),
  60*VALUE(INDEX(SPLIT(E4, "":""),1,1)) + VALUE(INDEX(SPLIT(E4, "":""),1,2)),
  VALUE(E4)
)"),64.75)</f>
        <v/>
      </c>
      <c r="G4" s="215">
        <f>C2</f>
        <v/>
      </c>
      <c r="H4" s="215">
        <f>C11</f>
        <v/>
      </c>
      <c r="I4" s="215">
        <f>C16</f>
        <v/>
      </c>
      <c r="J4" s="215">
        <f>C19</f>
        <v/>
      </c>
      <c r="K4" s="43">
        <f>IFS(H4=21,1,I4=21,2,J4=21,3,and(H4=20,I4=22),1.5, and(I4=20,J4=22),2.5,H4&gt;21,0.5)</f>
        <v/>
      </c>
      <c r="L4" s="43">
        <f t="array" ref="L4">INDEX('Podium Target Times'!$C:$C, MATCH(A4&amp;B4, 'Podium Target Times'!$A:$A&amp;'Podium Target Times'!$B:$B, 0))
</f>
        <v/>
      </c>
      <c r="M4" s="64">
        <f>IFS(K4=0.5,M5+(F4-F7),K4=1,M5+(F4-F7), K4=1.5, M5+(F4-F6), K4=2, M5+(F4-F6), K4=2.5, M5+(F4-F6), K4=3, M5+(F4-F6))</f>
        <v/>
      </c>
      <c r="N4" s="43">
        <f>IF(M4&lt;60, TEXT(M4, "0.00"), TEXT(M4/(24*60*60), "M:SS.00"))</f>
        <v/>
      </c>
      <c r="O4" s="14">
        <f>IFERROR(__xludf.DUMMYFUNCTION("LET(
  gen,$A4, ev,$B4, t,$N4,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)"),581.0)</f>
        <v/>
      </c>
      <c r="P4" s="65" t="n"/>
      <c r="Q4" s="65" t="n"/>
      <c r="R4" s="69">
        <f>A5</f>
        <v/>
      </c>
      <c r="S4" s="65">
        <f>B5</f>
        <v/>
      </c>
      <c r="T4" s="69">
        <f>C5</f>
        <v/>
      </c>
      <c r="U4" s="58">
        <f>N5</f>
        <v/>
      </c>
      <c r="V4" s="69">
        <f>O5</f>
        <v/>
      </c>
      <c r="W4" s="65" t="n"/>
      <c r="X4" s="65" t="n"/>
      <c r="Y4" s="65" t="n"/>
    </row>
    <row r="5">
      <c r="A5" s="17" t="inlineStr">
        <is>
          <t>F</t>
        </is>
      </c>
      <c r="B5" s="18" t="inlineStr">
        <is>
          <t>100 Back</t>
        </is>
      </c>
      <c r="C5" s="18" t="n">
        <v>15</v>
      </c>
      <c r="D5" s="18" t="n">
        <v>1</v>
      </c>
      <c r="E5" s="46" t="inlineStr">
        <is>
          <t>1:02.34</t>
        </is>
      </c>
      <c r="F5" s="21">
        <f>IFERROR(__xludf.DUMMYFUNCTION("IF(
  REGEXMATCH(E5, "":""),
  60*VALUE(INDEX(SPLIT(E5, "":""),1,1)) + VALUE(INDEX(SPLIT(E5, "":""),1,2)),
  VALUE(E5)
)"),62.34)</f>
        <v/>
      </c>
      <c r="G5" s="211">
        <f>C2</f>
        <v/>
      </c>
      <c r="H5" s="211">
        <f>C11</f>
        <v/>
      </c>
      <c r="I5" s="211">
        <f>C16</f>
        <v/>
      </c>
      <c r="J5" s="211">
        <f>C19</f>
        <v/>
      </c>
      <c r="K5" s="60">
        <f>IFS(H5=21,1,I5=21,2,J5=21,3,and(H5=20,I5=22),1.5, and(I5=20,J5=22),2.5,H5&gt;21,0.5)</f>
        <v/>
      </c>
      <c r="L5" s="60">
        <f t="array" ref="L5">INDEX('Podium Target Times'!$C:$C, MATCH(A5&amp;B5, 'Podium Target Times'!$A:$A&amp;'Podium Target Times'!$B:$B, 0))
</f>
        <v/>
      </c>
      <c r="M5" s="66">
        <f>IFS(K5=0.5,M6+(F5-F8),K5=1,M6+(F5-F8), K5=1.5, M8+(F6-F9), K5=2, M8+(F6-F9), K5=2.5, M8+(F7-F10), K5=3, M8+(F7-F10))</f>
        <v/>
      </c>
      <c r="N5" s="60">
        <f>IF(M5&lt;60, TEXT(M5, "0.00"), TEXT(M5/(24*60*60), "M:SS.00"))</f>
        <v/>
      </c>
      <c r="O5" s="25">
        <f>IFERROR(__xludf.DUMMYFUNCTION("LET(
  gen,$A5, ev,$B5, t,$N5,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)"),622.0)</f>
        <v/>
      </c>
      <c r="P5" s="65" t="n"/>
      <c r="Q5" s="65" t="n"/>
      <c r="R5" s="69">
        <f>A8</f>
        <v/>
      </c>
      <c r="S5" s="65">
        <f>B8</f>
        <v/>
      </c>
      <c r="T5" s="69">
        <f>C8</f>
        <v/>
      </c>
      <c r="U5" s="58">
        <f>N8</f>
        <v/>
      </c>
      <c r="V5" s="69">
        <f>O8</f>
        <v/>
      </c>
      <c r="W5" s="65" t="n"/>
      <c r="X5" s="65" t="n"/>
      <c r="Y5" s="65" t="n"/>
    </row>
    <row r="6">
      <c r="A6" s="8" t="inlineStr">
        <is>
          <t>F</t>
        </is>
      </c>
      <c r="B6" s="9" t="inlineStr">
        <is>
          <t>100 Back</t>
        </is>
      </c>
      <c r="C6" s="9" t="n">
        <v>15</v>
      </c>
      <c r="D6" s="9" t="n">
        <v>2</v>
      </c>
      <c r="E6" s="41" t="inlineStr">
        <is>
          <t>1:03.20</t>
        </is>
      </c>
      <c r="F6" s="35">
        <f>IFERROR(__xludf.DUMMYFUNCTION("IF(
  REGEXMATCH(E6, "":""),
  60*VALUE(INDEX(SPLIT(E6, "":""),1,1)) + VALUE(INDEX(SPLIT(E6, "":""),1,2)),
  VALUE(E6)
)"),63.2)</f>
        <v/>
      </c>
      <c r="G6" s="215">
        <f>C2</f>
        <v/>
      </c>
      <c r="H6" s="215">
        <f>C11</f>
        <v/>
      </c>
      <c r="I6" s="215">
        <f>C16</f>
        <v/>
      </c>
      <c r="J6" s="215">
        <f>C19</f>
        <v/>
      </c>
      <c r="K6" s="43">
        <f>IFS(H6=21,1,I6=21,2,J6=21,3,and(H6=20,I6=22),1.5, and(I6=20,J6=22),2.5,H6&gt;21,0.5)</f>
        <v/>
      </c>
      <c r="L6" s="43">
        <f t="array" ref="L6">INDEX('Podium Target Times'!$C:$C, MATCH(A6&amp;B6, 'Podium Target Times'!$A:$A&amp;'Podium Target Times'!$B:$B, 0))
</f>
        <v/>
      </c>
      <c r="M6" s="64">
        <f>IFS(K6=0.5,M7+(F5-F8),K6=1,M7+(F5-F8), K6=1.5, M8+(F6-F9), K6=2, M8+(F6-F9), K6=2.5, M8+(F7-F10), K6=3, M8+(F7-F10))</f>
        <v/>
      </c>
      <c r="N6" s="43">
        <f>IF(M6&lt;60, TEXT(M6, "0.00"), TEXT(M6/(24*60*60), "M:SS.00"))</f>
        <v/>
      </c>
      <c r="O6" s="14">
        <f>IFERROR(__xludf.DUMMYFUNCTION("LET(
  gen,$A6, ev,$B6, t,$N6,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)"),622.0)</f>
        <v/>
      </c>
      <c r="P6" s="65" t="n"/>
      <c r="Q6" s="65" t="n"/>
      <c r="R6" s="69">
        <f>A11</f>
        <v/>
      </c>
      <c r="S6" s="65">
        <f>B11</f>
        <v/>
      </c>
      <c r="T6" s="69">
        <f>C11</f>
        <v/>
      </c>
      <c r="U6" s="58">
        <f>N11</f>
        <v/>
      </c>
      <c r="V6" s="69">
        <f>O11</f>
        <v/>
      </c>
      <c r="W6" s="65" t="n"/>
      <c r="X6" s="65" t="n"/>
      <c r="Y6" s="65" t="n"/>
    </row>
    <row r="7">
      <c r="A7" s="17" t="inlineStr">
        <is>
          <t>F</t>
        </is>
      </c>
      <c r="B7" s="18" t="inlineStr">
        <is>
          <t>100 Back</t>
        </is>
      </c>
      <c r="C7" s="18" t="n">
        <v>15</v>
      </c>
      <c r="D7" s="18" t="n">
        <v>3</v>
      </c>
      <c r="E7" s="46" t="inlineStr">
        <is>
          <t>1:03.66</t>
        </is>
      </c>
      <c r="F7" s="21">
        <f>IFERROR(__xludf.DUMMYFUNCTION("IF(
  REGEXMATCH(E7, "":""),
  60*VALUE(INDEX(SPLIT(E7, "":""),1,1)) + VALUE(INDEX(SPLIT(E7, "":""),1,2)),
  VALUE(E7)
)"),63.66)</f>
        <v/>
      </c>
      <c r="G7" s="211">
        <f>C2</f>
        <v/>
      </c>
      <c r="H7" s="211">
        <f>C11</f>
        <v/>
      </c>
      <c r="I7" s="211">
        <f>C16</f>
        <v/>
      </c>
      <c r="J7" s="211">
        <f>C19</f>
        <v/>
      </c>
      <c r="K7" s="60">
        <f>IFS(H7=21,1,I7=21,2,J7=21,3,and(H7=20,I7=22),1.5, and(I7=20,J7=22),2.5,H7&gt;21,0.5)</f>
        <v/>
      </c>
      <c r="L7" s="60">
        <f t="array" ref="L7">INDEX('Podium Target Times'!$C:$C, MATCH(A7&amp;B7, 'Podium Target Times'!$A:$A&amp;'Podium Target Times'!$B:$B, 0))
</f>
        <v/>
      </c>
      <c r="M7" s="66">
        <f>IFS(K7=0.5,M8+(F5-F8),K7=1,M8+(F5-F8), K7=1.5, M8+(F6-F9), K7=2, M8+(F6-F9), K7=2.5, M8+(F7-F10), K7=3, M8+(F7-F10))</f>
        <v/>
      </c>
      <c r="N7" s="60">
        <f>IF(M7&lt;60, TEXT(M7, "0.00"), TEXT(M7/(24*60*60), "M:SS.00"))</f>
        <v/>
      </c>
      <c r="O7" s="25">
        <f>IFERROR(__xludf.DUMMYFUNCTION("LET(
  gen,$A7, ev,$B7, t,$N7,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)"),622.0)</f>
        <v/>
      </c>
      <c r="P7" s="65" t="n"/>
      <c r="Q7" s="65" t="n"/>
      <c r="R7" s="69">
        <f>A14</f>
        <v/>
      </c>
      <c r="S7" s="65">
        <f>B14</f>
        <v/>
      </c>
      <c r="T7" s="69">
        <f>C14</f>
        <v/>
      </c>
      <c r="U7" s="58">
        <f>N14</f>
        <v/>
      </c>
      <c r="V7" s="69">
        <f>O14</f>
        <v/>
      </c>
      <c r="W7" s="65" t="n"/>
      <c r="X7" s="65" t="n"/>
      <c r="Y7" s="65" t="n"/>
    </row>
    <row r="8">
      <c r="A8" s="8" t="inlineStr">
        <is>
          <t>F</t>
        </is>
      </c>
      <c r="B8" s="9" t="inlineStr">
        <is>
          <t>100 Back</t>
        </is>
      </c>
      <c r="C8" s="9" t="n">
        <v>16</v>
      </c>
      <c r="D8" s="9" t="n">
        <v>1</v>
      </c>
      <c r="E8" s="41" t="inlineStr">
        <is>
          <t>1:01.22</t>
        </is>
      </c>
      <c r="F8" s="35">
        <f>IFERROR(__xludf.DUMMYFUNCTION("IF(
  REGEXMATCH(E8, "":""),
  60*VALUE(INDEX(SPLIT(E8, "":""),1,1)) + VALUE(INDEX(SPLIT(E8, "":""),1,2)),
  VALUE(E8)
)"),61.22)</f>
        <v/>
      </c>
      <c r="G8" s="215">
        <f>C2</f>
        <v/>
      </c>
      <c r="H8" s="215">
        <f>C11</f>
        <v/>
      </c>
      <c r="I8" s="215">
        <f>C16</f>
        <v/>
      </c>
      <c r="J8" s="215">
        <f>C19</f>
        <v/>
      </c>
      <c r="K8" s="43">
        <f>IFS(H8=21,1,I8=21,2,J8=21,3,and(H8=20,I8=22),1.5, and(I8=20,J8=22),2.5,H8&gt;21,0.5)</f>
        <v/>
      </c>
      <c r="L8" s="43">
        <f t="array" ref="L8">INDEX('Podium Target Times'!$C:$C, MATCH(A8&amp;B8, 'Podium Target Times'!$A:$A&amp;'Podium Target Times'!$B:$B, 0))
</f>
        <v/>
      </c>
      <c r="M8" s="64">
        <f>IFS(K8=0.5,L8,K8=1,U6+(F8-F11), K8=1.5, M11+(F9-F12), K8=2, M11+(F9-F12), K8=2.5, M11+(F10-F13), K8=3, M11+(F10-F13))</f>
        <v/>
      </c>
      <c r="N8" s="43">
        <f>IF(M8&lt;60, TEXT(M8, "0.00"), TEXT(M8/(24*60*60), "M:SS.00"))</f>
        <v/>
      </c>
      <c r="O8" s="14">
        <f>IFERROR(__xludf.DUMMYFUNCTION("LET(
  gen,$A8, ev,$B8, t,$N8,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)"),655.0)</f>
        <v/>
      </c>
      <c r="P8" s="65" t="n"/>
      <c r="Q8" s="65" t="n"/>
      <c r="R8" s="69">
        <f>A16</f>
        <v/>
      </c>
      <c r="S8" s="65">
        <f>B16</f>
        <v/>
      </c>
      <c r="T8" s="69">
        <f>C16</f>
        <v/>
      </c>
      <c r="U8" s="58">
        <f>N16</f>
        <v/>
      </c>
      <c r="V8" s="69">
        <f>O16</f>
        <v/>
      </c>
      <c r="W8" s="65" t="n"/>
      <c r="X8" s="65" t="n"/>
      <c r="Y8" s="65" t="n"/>
    </row>
    <row r="9">
      <c r="A9" s="17" t="inlineStr">
        <is>
          <t>F</t>
        </is>
      </c>
      <c r="B9" s="18" t="inlineStr">
        <is>
          <t>100 Back</t>
        </is>
      </c>
      <c r="C9" s="18" t="n">
        <v>16</v>
      </c>
      <c r="D9" s="221" t="n">
        <v>2</v>
      </c>
      <c r="E9" s="46" t="inlineStr">
        <is>
          <t>1:02.06</t>
        </is>
      </c>
      <c r="F9" s="21">
        <f>IFERROR(__xludf.DUMMYFUNCTION("IF(
  REGEXMATCH(E9, "":""),
  60*VALUE(INDEX(SPLIT(E9, "":""),1,1)) + VALUE(INDEX(SPLIT(E9, "":""),1,2)),
  VALUE(E9)
)"),62.06)</f>
        <v/>
      </c>
      <c r="G9" s="211">
        <f>C2</f>
        <v/>
      </c>
      <c r="H9" s="211">
        <f>C11</f>
        <v/>
      </c>
      <c r="I9" s="211">
        <f>C16</f>
        <v/>
      </c>
      <c r="J9" s="211">
        <f>C19</f>
        <v/>
      </c>
      <c r="K9" s="60">
        <f>IFS(H9=21,1,I9=21,2,J9=21,3,and(H9=20,I9=22),1.5, and(I9=20,J9=22),2.5,H9&gt;21,0.5)</f>
        <v/>
      </c>
      <c r="L9" s="60">
        <f t="array" ref="L9">INDEX('Podium Target Times'!$C:$C, MATCH(A9&amp;B9, 'Podium Target Times'!$A:$A&amp;'Podium Target Times'!$B:$B, 0))
</f>
        <v/>
      </c>
      <c r="M9" s="66">
        <f>IFS(K9=0.5,L9,K9=1,U6+(F8-F11), K9=1.5, M11+(F9-F12), K9=2, M11+(F9-F12), K9=2.5, M11+(F10-F13), K9=3, M11+(F10-F13))</f>
        <v/>
      </c>
      <c r="N9" s="60">
        <f>IF(M9&lt;60, TEXT(M9, "0.00"), TEXT(M9/(24*60*60), "M:SS.00"))</f>
        <v/>
      </c>
      <c r="O9" s="25">
        <f>IFERROR(__xludf.DUMMYFUNCTION("LET(
  gen,$A9, ev,$B9, t,$N9,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)"),655.0)</f>
        <v/>
      </c>
      <c r="P9" s="65" t="n"/>
      <c r="Q9" s="65" t="n"/>
      <c r="R9" s="69">
        <f>A18</f>
        <v/>
      </c>
      <c r="S9" s="65">
        <f>B18</f>
        <v/>
      </c>
      <c r="T9" s="69">
        <f>C18</f>
        <v/>
      </c>
      <c r="U9" s="58">
        <f>N18</f>
        <v/>
      </c>
      <c r="V9" s="69">
        <f>O18</f>
        <v/>
      </c>
      <c r="W9" s="65" t="n"/>
      <c r="X9" s="65" t="n"/>
      <c r="Y9" s="65" t="n"/>
    </row>
    <row r="10">
      <c r="A10" s="8" t="inlineStr">
        <is>
          <t>F</t>
        </is>
      </c>
      <c r="B10" s="9" t="inlineStr">
        <is>
          <t>100 Back</t>
        </is>
      </c>
      <c r="C10" s="9" t="n">
        <v>16</v>
      </c>
      <c r="D10" s="9" t="n">
        <v>3</v>
      </c>
      <c r="E10" s="41" t="inlineStr">
        <is>
          <t>1:02.52</t>
        </is>
      </c>
      <c r="F10" s="35">
        <f>IFERROR(__xludf.DUMMYFUNCTION("IF(
  REGEXMATCH(E10, "":""),
  60*VALUE(INDEX(SPLIT(E10, "":""),1,1)) + VALUE(INDEX(SPLIT(E10, "":""),1,2)),
  VALUE(E10)
)"),62.52)</f>
        <v/>
      </c>
      <c r="G10" s="215">
        <f>C2</f>
        <v/>
      </c>
      <c r="H10" s="215">
        <f>C11</f>
        <v/>
      </c>
      <c r="I10" s="215">
        <f>C16</f>
        <v/>
      </c>
      <c r="J10" s="215">
        <f>C19</f>
        <v/>
      </c>
      <c r="K10" s="43">
        <f>IFS(H10=21,1,I10=21,2,J10=21,3,and(H10=20,I10=22),1.5, and(I10=20,J10=22),2.5,H10&gt;21,0.5)</f>
        <v/>
      </c>
      <c r="L10" s="43">
        <f t="array" ref="L10">INDEX('Podium Target Times'!$C:$C, MATCH(A10&amp;B10, 'Podium Target Times'!$A:$A&amp;'Podium Target Times'!$B:$B, 0))
</f>
        <v/>
      </c>
      <c r="M10" s="64">
        <f>IFS(K10=0.5,L10,K10=1,U6+(F8-F11), K10=1.5, M11+(F9-F12), K10=2, M11+(F9-F12), K10=2.5, M11+(F10-F13), K10=3, M11+(F10-F13))</f>
        <v/>
      </c>
      <c r="N10" s="43">
        <f>IF(M10&lt;60, TEXT(M10, "0.00"), TEXT(M10/(24*60*60), "M:SS.00"))</f>
        <v/>
      </c>
      <c r="O10" s="14">
        <f>IFERROR(__xludf.DUMMYFUNCTION("LET(
  gen,$A10, ev,$B10, t,$N10,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)"),655.0)</f>
        <v/>
      </c>
      <c r="P10" s="65" t="n"/>
      <c r="Q10" s="65" t="n"/>
      <c r="R10" s="69">
        <f>A19</f>
        <v/>
      </c>
      <c r="S10" s="65">
        <f>B19</f>
        <v/>
      </c>
      <c r="T10" s="69">
        <f>C19</f>
        <v/>
      </c>
      <c r="U10" s="58">
        <f>N19</f>
        <v/>
      </c>
      <c r="V10" s="69">
        <f>O19</f>
        <v/>
      </c>
      <c r="W10" s="65" t="n"/>
      <c r="X10" s="65" t="n"/>
      <c r="Y10" s="65" t="n"/>
    </row>
    <row r="11">
      <c r="A11" s="17" t="inlineStr">
        <is>
          <t>F</t>
        </is>
      </c>
      <c r="B11" s="18" t="inlineStr">
        <is>
          <t>100 Back</t>
        </is>
      </c>
      <c r="C11" s="18" t="n">
        <v>17</v>
      </c>
      <c r="D11" s="18" t="n">
        <v>1</v>
      </c>
      <c r="E11" s="46" t="inlineStr">
        <is>
          <t>1:00.46</t>
        </is>
      </c>
      <c r="F11" s="21">
        <f>IFERROR(__xludf.DUMMYFUNCTION("IF(
  REGEXMATCH(E11, "":""),
  60*VALUE(INDEX(SPLIT(E11, "":""),1,1)) + VALUE(INDEX(SPLIT(E11, "":""),1,2)),
  VALUE(E11)
)"),60.46)</f>
        <v/>
      </c>
      <c r="G11" s="211">
        <f>C2</f>
        <v/>
      </c>
      <c r="H11" s="211">
        <f>C11</f>
        <v/>
      </c>
      <c r="I11" s="211">
        <f>C16</f>
        <v/>
      </c>
      <c r="J11" s="211">
        <f>C19</f>
        <v/>
      </c>
      <c r="K11" s="60">
        <f>IFS(H11=21,1,I11=21,2,J11=21,3,and(H11=20,I11=22),1.5, and(I11=20,J11=22),2.5,H11&gt;21,0.5)</f>
        <v/>
      </c>
      <c r="L11" s="60">
        <f t="array" ref="L11">INDEX('Podium Target Times'!$C:$C, MATCH(A11&amp;B11, 'Podium Target Times'!$A:$A&amp;'Podium Target Times'!$B:$B, 0))
</f>
        <v/>
      </c>
      <c r="M11" s="66">
        <f>IFS(K11=0.5,L11,K11=1,L11, K11=1.5, M14+(F12-F14), K11=2, M14+(F12-F14), K11=2.5, M14+(F13-F15), K11=3, M14+(F13-F15))</f>
        <v/>
      </c>
      <c r="N11" s="60">
        <f>IF(M11&lt;60, TEXT(M11, "0.00"), TEXT(M11/(24*60*60), "M:SS.00"))</f>
        <v/>
      </c>
      <c r="O11" s="25">
        <f>IFERROR(__xludf.DUMMYFUNCTION("LET(
  gen,$A11, ev,$B11, t,$N11,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
      </c>
      <c r="P11" s="65" t="n"/>
      <c r="Q11" s="65" t="n"/>
      <c r="R11" s="69" t="n"/>
      <c r="S11" s="65" t="n"/>
      <c r="T11" s="69" t="n"/>
      <c r="U11" s="58" t="n"/>
      <c r="V11" s="69" t="n"/>
      <c r="W11" s="65" t="n"/>
      <c r="X11" s="65" t="n"/>
      <c r="Y11" s="65" t="n"/>
    </row>
    <row r="12">
      <c r="A12" s="8" t="inlineStr">
        <is>
          <t>F</t>
        </is>
      </c>
      <c r="B12" s="9" t="inlineStr">
        <is>
          <t>100 Back</t>
        </is>
      </c>
      <c r="C12" s="9" t="n">
        <v>17</v>
      </c>
      <c r="D12" s="9" t="n">
        <v>2</v>
      </c>
      <c r="E12" s="41" t="inlineStr">
        <is>
          <t>1:01.29</t>
        </is>
      </c>
      <c r="F12" s="35">
        <f>IFERROR(__xludf.DUMMYFUNCTION("IF(
  REGEXMATCH(E12, "":""),
  60*VALUE(INDEX(SPLIT(E12, "":""),1,1)) + VALUE(INDEX(SPLIT(E12, "":""),1,2)),
  VALUE(E12)
)"),61.29)</f>
        <v/>
      </c>
      <c r="G12" s="215">
        <f>C2</f>
        <v/>
      </c>
      <c r="H12" s="215">
        <f>C11</f>
        <v/>
      </c>
      <c r="I12" s="215">
        <f>C16</f>
        <v/>
      </c>
      <c r="J12" s="215">
        <f>C19</f>
        <v/>
      </c>
      <c r="K12" s="43">
        <f>IFS(H12=21,1,I12=21,2,J12=21,3,and(H12=20,I12=22),1.5, and(I12=20,J12=22),2.5,H12&gt;21,0.5)</f>
        <v/>
      </c>
      <c r="L12" s="43">
        <f t="array" ref="L12">INDEX('Podium Target Times'!$C:$C, MATCH(A12&amp;B12, 'Podium Target Times'!$A:$A&amp;'Podium Target Times'!$B:$B, 0))
</f>
        <v/>
      </c>
      <c r="M12" s="64">
        <f>IFS(K12=0.5,L12,K12=1,L12, K12=1.5, M14+(F12-F14), K12=2, M14+(F12-F14), K12=2.5, M14+(F13-F15), K12=3, M14+(F13-F15))</f>
        <v/>
      </c>
      <c r="N12" s="43">
        <f>IF(M12&lt;60, TEXT(M12, "0.00"), TEXT(M12/(24*60*60), "M:SS.00"))</f>
        <v/>
      </c>
      <c r="O12" s="14">
        <f>IFERROR(__xludf.DUMMYFUNCTION("LET(
  gen,$A12, ev,$B12, t,$N12,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
      </c>
      <c r="P12" s="65" t="n"/>
      <c r="Q12" s="65" t="n"/>
      <c r="R12" s="67" t="n"/>
      <c r="S12" s="65" t="n"/>
      <c r="T12" s="69" t="n"/>
      <c r="U12" s="58" t="n"/>
      <c r="V12" s="69" t="n"/>
      <c r="W12" s="65" t="n"/>
      <c r="X12" s="65" t="n"/>
      <c r="Y12" s="65" t="n"/>
    </row>
    <row r="13">
      <c r="A13" s="17" t="inlineStr">
        <is>
          <t>F</t>
        </is>
      </c>
      <c r="B13" s="18" t="inlineStr">
        <is>
          <t>100 Back</t>
        </is>
      </c>
      <c r="C13" s="18" t="n">
        <v>17</v>
      </c>
      <c r="D13" s="18" t="n">
        <v>3</v>
      </c>
      <c r="E13" s="46" t="inlineStr">
        <is>
          <t>1:01.74</t>
        </is>
      </c>
      <c r="F13" s="21">
        <f>IFERROR(__xludf.DUMMYFUNCTION("IF(
  REGEXMATCH(E13, "":""),
  60*VALUE(INDEX(SPLIT(E13, "":""),1,1)) + VALUE(INDEX(SPLIT(E13, "":""),1,2)),
  VALUE(E13)
)"),61.74)</f>
        <v/>
      </c>
      <c r="G13" s="211">
        <f>C2</f>
        <v/>
      </c>
      <c r="H13" s="211">
        <f>C11</f>
        <v/>
      </c>
      <c r="I13" s="211">
        <f>C16</f>
        <v/>
      </c>
      <c r="J13" s="211">
        <f>C19</f>
        <v/>
      </c>
      <c r="K13" s="60">
        <f>IFS(H13=21,1,I13=21,2,J13=21,3,and(H13=20,I13=22),1.5, and(I13=20,J13=22),2.5,H13&gt;21,0.5)</f>
        <v/>
      </c>
      <c r="L13" s="60">
        <f t="array" ref="L13">INDEX('Podium Target Times'!$C:$C, MATCH(A13&amp;B13, 'Podium Target Times'!$A:$A&amp;'Podium Target Times'!$B:$B, 0))
</f>
        <v/>
      </c>
      <c r="M13" s="66">
        <f>IFS(K13=0.5,L13,K13=1,L13, K13=1.5, M14+(F12-F14), K13=2, M14+(F12-F14), K13=2.5, M14+(F13-F15), K13=3, M14+(F13-F15))</f>
        <v/>
      </c>
      <c r="N13" s="60">
        <f>IF(M13&lt;60, TEXT(M13, "0.00"), TEXT(M13/(24*60*60), "M:SS.00"))</f>
        <v/>
      </c>
      <c r="O13" s="25">
        <f>IFERROR(__xludf.DUMMYFUNCTION("LET(
  gen,$A13, ev,$B13, t,$N13,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
      </c>
      <c r="P13" s="65" t="n"/>
      <c r="Q13" s="65" t="n"/>
      <c r="R13" s="69" t="n"/>
      <c r="S13" s="65" t="n"/>
      <c r="T13" s="69" t="n"/>
      <c r="U13" s="58" t="n"/>
      <c r="V13" s="69" t="n"/>
      <c r="W13" s="65" t="n"/>
      <c r="X13" s="65" t="n"/>
      <c r="Y13" s="65" t="n"/>
    </row>
    <row r="14">
      <c r="A14" s="8" t="inlineStr">
        <is>
          <t>F</t>
        </is>
      </c>
      <c r="B14" s="9" t="inlineStr">
        <is>
          <t>100 Back</t>
        </is>
      </c>
      <c r="C14" s="9" t="n">
        <v>18</v>
      </c>
      <c r="D14" s="219" t="n">
        <v>2</v>
      </c>
      <c r="E14" s="41" t="inlineStr">
        <is>
          <t>1:00.79</t>
        </is>
      </c>
      <c r="F14" s="35">
        <f>IFERROR(__xludf.DUMMYFUNCTION("IF(
  REGEXMATCH(E14, "":""),
  60*VALUE(INDEX(SPLIT(E14, "":""),1,1)) + VALUE(INDEX(SPLIT(E14, "":""),1,2)),
  VALUE(E14)
)"),60.79)</f>
        <v/>
      </c>
      <c r="G14" s="215">
        <f>C2</f>
        <v/>
      </c>
      <c r="H14" s="215">
        <f>C11</f>
        <v/>
      </c>
      <c r="I14" s="215">
        <f>C16</f>
        <v/>
      </c>
      <c r="J14" s="215">
        <f>C19</f>
        <v/>
      </c>
      <c r="K14" s="43">
        <f>IFS(H14=21,1,I14=21,2,J14=21,3,and(H14=20,I14=22),1.5, and(I14=20,J14=22),2.5,H14&gt;21,0.5)</f>
        <v/>
      </c>
      <c r="L14" s="43">
        <f t="array" ref="L14">INDEX('Podium Target Times'!$C:$C, MATCH(A14&amp;B14, 'Podium Target Times'!$A:$A&amp;'Podium Target Times'!$B:$B, 0))
</f>
        <v/>
      </c>
      <c r="M14" s="64">
        <f>IFS(K14=0.5,L14,K14=1,L14, K14=1.5, L14, K14=2, M16+(F14-F16), K14=2.5, M16+(F15-F17), K14=3, M16+(F15-F17))</f>
        <v/>
      </c>
      <c r="N14" s="43">
        <f>IF(M14&lt;60, TEXT(M14, "0.00"), TEXT(M14/(24*60*60), "M:SS.00"))</f>
        <v/>
      </c>
      <c r="O14" s="14">
        <f>IFERROR(__xludf.DUMMYFUNCTION("LET(
  gen,$A14, ev,$B14, t,$N14,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
      </c>
      <c r="P14" s="65" t="n"/>
      <c r="Q14" s="65" t="n"/>
      <c r="R14" s="69" t="n"/>
      <c r="S14" s="65" t="n"/>
      <c r="T14" s="69" t="n"/>
      <c r="U14" s="58" t="n"/>
      <c r="V14" s="69" t="n"/>
      <c r="W14" s="65" t="n"/>
      <c r="X14" s="65" t="n"/>
      <c r="Y14" s="65" t="n"/>
    </row>
    <row r="15">
      <c r="A15" s="17" t="inlineStr">
        <is>
          <t>F</t>
        </is>
      </c>
      <c r="B15" s="18" t="inlineStr">
        <is>
          <t>100 Back</t>
        </is>
      </c>
      <c r="C15" s="18" t="n">
        <v>18</v>
      </c>
      <c r="D15" s="18" t="n">
        <v>3</v>
      </c>
      <c r="E15" s="46" t="inlineStr">
        <is>
          <t>1:01.23</t>
        </is>
      </c>
      <c r="F15" s="21">
        <f>IFERROR(__xludf.DUMMYFUNCTION("IF(
  REGEXMATCH(E15, "":""),
  60*VALUE(INDEX(SPLIT(E15, "":""),1,1)) + VALUE(INDEX(SPLIT(E15, "":""),1,2)),
  VALUE(E15)
)"),61.23)</f>
        <v/>
      </c>
      <c r="G15" s="211">
        <f>C2</f>
        <v/>
      </c>
      <c r="H15" s="211">
        <f>C11</f>
        <v/>
      </c>
      <c r="I15" s="211">
        <f>C16</f>
        <v/>
      </c>
      <c r="J15" s="211">
        <f>C19</f>
        <v/>
      </c>
      <c r="K15" s="60">
        <f>IFS(H15=21,1,I15=21,2,J15=21,3,and(H15=20,I15=22),1.5, and(I15=20,J15=22),2.5,H15&gt;21,0.5)</f>
        <v/>
      </c>
      <c r="L15" s="60">
        <f t="array" ref="L15">INDEX('Podium Target Times'!$C:$C, MATCH(A15&amp;B15, 'Podium Target Times'!$A:$A&amp;'Podium Target Times'!$B:$B, 0))
</f>
        <v/>
      </c>
      <c r="M15" s="66">
        <f>IFS(K15=0.5,L15,K15=1,L15, K15=1.5, L15, K15=2, M16+(F14-F16), K15=2.5, M16+(F15-F17), K15=3, M16+(F15-F17))</f>
        <v/>
      </c>
      <c r="N15" s="60">
        <f>IF(M15&lt;60, TEXT(M15, "0.00"), TEXT(M15/(24*60*60), "M:SS.00"))</f>
        <v/>
      </c>
      <c r="O15" s="25">
        <f>IFERROR(__xludf.DUMMYFUNCTION("LET(
  gen,$A15, ev,$B15, t,$N15,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)"),695.0)</f>
        <v/>
      </c>
      <c r="P15" s="65" t="n"/>
      <c r="Q15" s="65" t="n"/>
      <c r="R15" s="69" t="n"/>
      <c r="S15" s="65" t="n"/>
      <c r="T15" s="69" t="n"/>
      <c r="U15" s="58" t="n"/>
      <c r="V15" s="69" t="n"/>
      <c r="W15" s="65" t="n"/>
      <c r="X15" s="65" t="n"/>
      <c r="Y15" s="65" t="n"/>
    </row>
    <row r="16">
      <c r="A16" s="8" t="inlineStr">
        <is>
          <t>F</t>
        </is>
      </c>
      <c r="B16" s="9" t="inlineStr">
        <is>
          <t>100 Back</t>
        </is>
      </c>
      <c r="C16" s="9" t="n">
        <v>19</v>
      </c>
      <c r="D16" s="9" t="n">
        <v>2</v>
      </c>
      <c r="E16" s="215" t="inlineStr">
        <is>
          <t>1:00.46</t>
        </is>
      </c>
      <c r="F16" s="35">
        <f>IFERROR(__xludf.DUMMYFUNCTION("IF(
  REGEXMATCH(E16, "":""),
  60*VALUE(INDEX(SPLIT(E16, "":""),1,1)) + VALUE(INDEX(SPLIT(E16, "":""),1,2)),
  VALUE(E16)
)"),60.46)</f>
        <v/>
      </c>
      <c r="G16" s="215">
        <f>C2</f>
        <v/>
      </c>
      <c r="H16" s="215">
        <f>C11</f>
        <v/>
      </c>
      <c r="I16" s="215">
        <f>C16</f>
        <v/>
      </c>
      <c r="J16" s="215">
        <f>C19</f>
        <v/>
      </c>
      <c r="K16" s="43">
        <f>IFS(H16=21,1,I16=21,2,J16=21,3,and(H16=20,I16=22),1.5, and(I16=20,J16=22),2.5,H16&gt;21,0.5)</f>
        <v/>
      </c>
      <c r="L16" s="43">
        <f t="array" ref="L16">INDEX('Podium Target Times'!$C:$C, MATCH(A16&amp;B16, 'Podium Target Times'!$A:$A&amp;'Podium Target Times'!$B:$B, 0))
</f>
        <v/>
      </c>
      <c r="M16" s="64">
        <f>IFS(K16=0.5,L16,K16=1,L16, K16=1.5, L16, K16=2,L19, K16=2.5, M18+(F17-F18), K16=3,  M18+(F17-F18))</f>
        <v/>
      </c>
      <c r="N16" s="43">
        <f>IF(M16&lt;60, TEXT(M16, "0.00"), TEXT(M16/(24*60*60), "M:SS.00"))</f>
        <v/>
      </c>
      <c r="O16" s="14">
        <f>IFERROR(__xludf.DUMMYFUNCTION("LET(
  gen,$A16, ev,$B16, t,$N16,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
      </c>
      <c r="P16" s="65" t="n"/>
      <c r="Q16" s="65" t="n"/>
      <c r="R16" s="69" t="n"/>
      <c r="S16" s="65" t="n"/>
      <c r="T16" s="69" t="n"/>
      <c r="U16" s="58" t="n"/>
      <c r="V16" s="69" t="n"/>
      <c r="W16" s="65" t="n"/>
      <c r="X16" s="65" t="n"/>
      <c r="Y16" s="65" t="n"/>
    </row>
    <row r="17">
      <c r="A17" s="17" t="inlineStr">
        <is>
          <t>F</t>
        </is>
      </c>
      <c r="B17" s="18" t="inlineStr">
        <is>
          <t>100 Back</t>
        </is>
      </c>
      <c r="C17" s="18" t="n">
        <v>19</v>
      </c>
      <c r="D17" s="18" t="n">
        <v>3</v>
      </c>
      <c r="E17" s="211" t="inlineStr">
        <is>
          <t>1:00.90</t>
        </is>
      </c>
      <c r="F17" s="21">
        <f>IFERROR(__xludf.DUMMYFUNCTION("IF(
  REGEXMATCH(E17, "":""),
  60*VALUE(INDEX(SPLIT(E17, "":""),1,1)) + VALUE(INDEX(SPLIT(E17, "":""),1,2)),
  VALUE(E17)
)"),60.9)</f>
        <v/>
      </c>
      <c r="G17" s="211">
        <f>C2</f>
        <v/>
      </c>
      <c r="H17" s="211">
        <f>C11</f>
        <v/>
      </c>
      <c r="I17" s="211">
        <f>C16</f>
        <v/>
      </c>
      <c r="J17" s="211">
        <f>C19</f>
        <v/>
      </c>
      <c r="K17" s="60">
        <f>IFS(H17=21,1,I17=21,2,J17=21,3,and(H17=20,I17=22),1.5, and(I17=20,J17=22),2.5,H17&gt;21,0.5)</f>
        <v/>
      </c>
      <c r="L17" s="60">
        <f t="array" ref="L17">INDEX('Podium Target Times'!$C:$C, MATCH(A17&amp;B17, 'Podium Target Times'!$A:$A&amp;'Podium Target Times'!$B:$B, 0))
</f>
        <v/>
      </c>
      <c r="M17" s="66">
        <f>IFS(K17=0.5,L17,K17=1,L17, K17=1.5, L17, K17=2, L19, K17=2.5, M18+(F17-F18), K17=3, M18+(F17-F18))</f>
        <v/>
      </c>
      <c r="N17" s="60">
        <f>IF(M17&lt;60, TEXT(M17, "0.00"), TEXT(M17/(24*60*60), "M:SS.00"))</f>
        <v/>
      </c>
      <c r="O17" s="25">
        <f>IFERROR(__xludf.DUMMYFUNCTION("LET(
  gen,$A17, ev,$B17, t,$N17,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
      </c>
      <c r="P17" s="65" t="n"/>
      <c r="Q17" s="65" t="n"/>
      <c r="R17" s="69" t="n"/>
      <c r="S17" s="65" t="n"/>
      <c r="T17" s="69" t="n"/>
      <c r="U17" s="58" t="n"/>
      <c r="V17" s="69" t="n"/>
      <c r="W17" s="65" t="n"/>
      <c r="X17" s="65" t="n"/>
      <c r="Y17" s="65" t="n"/>
    </row>
    <row r="18">
      <c r="A18" s="8" t="inlineStr">
        <is>
          <t>F</t>
        </is>
      </c>
      <c r="B18" s="9" t="inlineStr">
        <is>
          <t>100 Back</t>
        </is>
      </c>
      <c r="C18" s="9" t="n">
        <v>20</v>
      </c>
      <c r="D18" s="9" t="n">
        <v>3</v>
      </c>
      <c r="E18" s="41" t="inlineStr">
        <is>
          <t>1:00.66</t>
        </is>
      </c>
      <c r="F18" s="35">
        <f>IFERROR(__xludf.DUMMYFUNCTION("IF(
  REGEXMATCH(E18, "":""),
  60*VALUE(INDEX(SPLIT(E18, "":""),1,1)) + VALUE(INDEX(SPLIT(E18, "":""),1,2)),
  VALUE(E18)
)"),60.66)</f>
        <v/>
      </c>
      <c r="G18" s="215">
        <f>C2</f>
        <v/>
      </c>
      <c r="H18" s="215">
        <f>C11</f>
        <v/>
      </c>
      <c r="I18" s="215">
        <f>C16</f>
        <v/>
      </c>
      <c r="J18" s="215">
        <f>C19</f>
        <v/>
      </c>
      <c r="K18" s="43">
        <f>IFS(H18=21,1,I18=21,2,J18=21,3,and(H18=20,I18=22),1.5, and(I18=20,J18=22),2.5,H18&gt;21,0.5)</f>
        <v/>
      </c>
      <c r="L18" s="43">
        <f t="array" ref="L18">INDEX('Podium Target Times'!$C:$C, MATCH(A18&amp;B18, 'Podium Target Times'!$A:$A&amp;'Podium Target Times'!$B:$B, 0))
</f>
        <v/>
      </c>
      <c r="M18" s="64">
        <f>IFS(K18=0.5,L18,K18=1,L18, K18=1.5, L18, K18=2, L19, K18=2.5, L19, K18=3, M19+(F18-F19))</f>
        <v/>
      </c>
      <c r="N18" s="43">
        <f>IF(M18&lt;60, TEXT(M18, "0.00"), TEXT(M18/(24*60*60), "M:SS.00"))</f>
        <v/>
      </c>
      <c r="O18" s="14">
        <f>IFERROR(__xludf.DUMMYFUNCTION("LET(
  gen,$A18, ev,$B18, t,$N18,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
      </c>
      <c r="P18" s="65" t="n"/>
      <c r="Q18" s="65" t="n"/>
      <c r="R18" s="69" t="n"/>
      <c r="S18" s="65" t="n"/>
      <c r="T18" s="69" t="n"/>
      <c r="U18" s="58" t="n"/>
      <c r="V18" s="69" t="n"/>
      <c r="W18" s="65" t="n"/>
      <c r="X18" s="65" t="n"/>
      <c r="Y18" s="65" t="n"/>
    </row>
    <row r="19">
      <c r="A19" s="17" t="inlineStr">
        <is>
          <t>F</t>
        </is>
      </c>
      <c r="B19" s="18" t="inlineStr">
        <is>
          <t>100 Back</t>
        </is>
      </c>
      <c r="C19" s="18" t="n">
        <v>21</v>
      </c>
      <c r="D19" s="18" t="n">
        <v>3</v>
      </c>
      <c r="E19" s="46" t="inlineStr">
        <is>
          <t>1:00.46</t>
        </is>
      </c>
      <c r="F19" s="21">
        <f>IFERROR(__xludf.DUMMYFUNCTION("IF(
  REGEXMATCH(E19, "":""),
  60*VALUE(INDEX(SPLIT(E19, "":""),1,1)) + VALUE(INDEX(SPLIT(E19, "":""),1,2)),
  VALUE(E19)
)"),60.46)</f>
        <v/>
      </c>
      <c r="G19" s="211">
        <f>C2</f>
        <v/>
      </c>
      <c r="H19" s="211">
        <f>C11</f>
        <v/>
      </c>
      <c r="I19" s="211">
        <f>C16</f>
        <v/>
      </c>
      <c r="J19" s="211">
        <f>C19</f>
        <v/>
      </c>
      <c r="K19" s="60">
        <f>IFS(H19=21,1,I19=21,2,J19=21,3,and(H19=20,I19=22),1.5, and(I19=20,J19=22),2.5,H19&gt;21,0.5)</f>
        <v/>
      </c>
      <c r="L19" s="60">
        <f t="array" ref="L19">INDEX('Podium Target Times'!$C:$C, MATCH(A19&amp;B19, 'Podium Target Times'!$A:$A&amp;'Podium Target Times'!$B:$B, 0))
</f>
        <v/>
      </c>
      <c r="M19" s="66">
        <f>IFS(K19=0.5,L19,K19=1,L19, K19=1.5, L19, K19=2, L19, K19=2.5, L19, K19=3, L19)</f>
        <v/>
      </c>
      <c r="N19" s="60">
        <f>IF(M19&lt;60, TEXT(M19, "0.00"), TEXT(M19/(24*60*60), "M:SS.00"))</f>
        <v/>
      </c>
      <c r="O19" s="25">
        <f>IFERROR(__xludf.DUMMYFUNCTION("LET(
  gen,$A19, ev,$B19, t,$N19,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)"),721.0)</f>
        <v/>
      </c>
      <c r="P19" s="65" t="n"/>
      <c r="Q19" s="65" t="n"/>
      <c r="R19" s="69" t="n"/>
      <c r="S19" s="65" t="n"/>
      <c r="T19" s="69" t="n"/>
      <c r="U19" s="58" t="n"/>
      <c r="V19" s="69" t="n"/>
      <c r="W19" s="65" t="n"/>
      <c r="X19" s="65" t="n"/>
      <c r="Y19" s="65" t="n"/>
    </row>
    <row r="20">
      <c r="A20" s="8" t="inlineStr">
        <is>
          <t>F</t>
        </is>
      </c>
      <c r="B20" s="9" t="inlineStr">
        <is>
          <t>100 Breast</t>
        </is>
      </c>
      <c r="C20" s="9" t="n">
        <v>15</v>
      </c>
      <c r="D20" s="9" t="n">
        <v>1</v>
      </c>
      <c r="E20" s="41" t="inlineStr">
        <is>
          <t>1:09.68</t>
        </is>
      </c>
      <c r="F20" s="35">
        <f>IFERROR(__xludf.DUMMYFUNCTION("IF(
  REGEXMATCH(E20, "":""),
  60*VALUE(INDEX(SPLIT(E20, "":""),1,1)) + VALUE(INDEX(SPLIT(E20, "":""),1,2)),
  VALUE(E20)
)"),69.68)</f>
        <v/>
      </c>
      <c r="G20" s="43">
        <f>C20</f>
        <v/>
      </c>
      <c r="H20" s="43">
        <f>C29</f>
        <v/>
      </c>
      <c r="I20" s="43">
        <f>C34</f>
        <v/>
      </c>
      <c r="J20" s="43">
        <f>C37</f>
        <v/>
      </c>
      <c r="K20" s="43">
        <f>IFS(H20=21,1,I20=21,2,J20=21,3,and(H20=20,I20=22),1.5, and(I20=20,J20=22),2.5,H20&gt;21,0.5)</f>
        <v/>
      </c>
      <c r="L20" s="43">
        <f t="array" ref="L20">INDEX('Podium Target Times'!$C:$C, MATCH(A20&amp;B20, 'Podium Target Times'!$A:$A&amp;'Podium Target Times'!$B:$B, 0))
</f>
        <v/>
      </c>
      <c r="M20" s="64">
        <f>IFS(K20=0.5,M21+(F20-F21),K20=1,M21+(F20-F21), K20=1.5, M21+(F20-F21), K20=2, M21+(F20-F21), K20=2.5, M21+(F20-F21), K20=3, M21+(F20-F21))</f>
        <v/>
      </c>
      <c r="N20" s="43">
        <f>IF(M20&lt;60, TEXT(M20, "0.00"), TEXT(M20/(24*60*60), "M:SS.00"))</f>
        <v/>
      </c>
      <c r="O20" s="14">
        <f>IFERROR(__xludf.DUMMYFUNCTION("LET(
  gen,$A20, ev,$B20, t,$N20,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)"),639.0)</f>
        <v/>
      </c>
      <c r="P20" s="65" t="n"/>
      <c r="Q20" s="65" t="n"/>
      <c r="R20" s="69">
        <f>A20</f>
        <v/>
      </c>
      <c r="S20" s="65">
        <f>B20</f>
        <v/>
      </c>
      <c r="T20" s="69">
        <f>C20</f>
        <v/>
      </c>
      <c r="U20" s="58">
        <f>N20</f>
        <v/>
      </c>
      <c r="V20" s="69">
        <f>O20</f>
        <v/>
      </c>
      <c r="W20" s="65" t="n"/>
      <c r="X20" s="65" t="n"/>
      <c r="Y20" s="65" t="n"/>
    </row>
    <row r="21">
      <c r="A21" s="17" t="inlineStr">
        <is>
          <t>F</t>
        </is>
      </c>
      <c r="B21" s="18" t="inlineStr">
        <is>
          <t>100 Breast</t>
        </is>
      </c>
      <c r="C21" s="18" t="n">
        <v>16</v>
      </c>
      <c r="D21" s="18" t="n">
        <v>1</v>
      </c>
      <c r="E21" s="46" t="inlineStr">
        <is>
          <t>1:08.45</t>
        </is>
      </c>
      <c r="F21" s="21">
        <f>IFERROR(__xludf.DUMMYFUNCTION("IF(
  REGEXMATCH(E21, "":""),
  60*VALUE(INDEX(SPLIT(E21, "":""),1,1)) + VALUE(INDEX(SPLIT(E21, "":""),1,2)),
  VALUE(E21)
)"),68.45)</f>
        <v/>
      </c>
      <c r="G21" s="211">
        <f>C20</f>
        <v/>
      </c>
      <c r="H21" s="211">
        <f>C29</f>
        <v/>
      </c>
      <c r="I21" s="211">
        <f>C34</f>
        <v/>
      </c>
      <c r="J21" s="211">
        <f>C37</f>
        <v/>
      </c>
      <c r="K21" s="60">
        <f>IFS(H21=21,1,I21=21,2,J21=21,3,and(H21=20,I21=22),1.5, and(I21=20,J21=22),2.5,H21&gt;21,0.5)</f>
        <v/>
      </c>
      <c r="L21" s="60">
        <f t="array" ref="L21">INDEX('Podium Target Times'!$C:$C, MATCH(A21&amp;B21, 'Podium Target Times'!$A:$A&amp;'Podium Target Times'!$B:$B, 0))
</f>
        <v/>
      </c>
      <c r="M21" s="66">
        <f>IFS(K21=0.5,M22+(F21-F23),K21=1,M22+(F21-F23), K21=1.5, M23+(F22-F24), K21=2, M23+(F22-F24), K21=2.5, M23+(F22-F24), K21=3, M23+(F22-F24))</f>
        <v/>
      </c>
      <c r="N21" s="60">
        <f>IF(M21&lt;60, TEXT(M21, "0.00"), TEXT(M21/(24*60*60), "M:SS.00"))</f>
        <v/>
      </c>
      <c r="O21" s="25">
        <f>IFERROR(__xludf.DUMMYFUNCTION("LET(
  gen,$A21, ev,$B21, t,$N21,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)"),671.0)</f>
        <v/>
      </c>
      <c r="P21" s="65" t="n"/>
      <c r="Q21" s="65" t="n"/>
      <c r="R21" s="69">
        <f>A21</f>
        <v/>
      </c>
      <c r="S21" s="65">
        <f>B21</f>
        <v/>
      </c>
      <c r="T21" s="69">
        <f>C21</f>
        <v/>
      </c>
      <c r="U21" s="58">
        <f>N21</f>
        <v/>
      </c>
      <c r="V21" s="69">
        <f>O21</f>
        <v/>
      </c>
      <c r="W21" s="65" t="n"/>
      <c r="X21" s="65" t="n"/>
      <c r="Y21" s="65" t="n"/>
    </row>
    <row r="22">
      <c r="A22" s="8" t="inlineStr">
        <is>
          <t>F</t>
        </is>
      </c>
      <c r="B22" s="9" t="inlineStr">
        <is>
          <t>100 Breast</t>
        </is>
      </c>
      <c r="C22" s="9" t="n">
        <v>16</v>
      </c>
      <c r="D22" s="219" t="n">
        <v>2</v>
      </c>
      <c r="E22" s="41" t="inlineStr">
        <is>
          <t>1:09.15</t>
        </is>
      </c>
      <c r="F22" s="35">
        <f>IFERROR(__xludf.DUMMYFUNCTION("IF(
  REGEXMATCH(E22, "":""),
  60*VALUE(INDEX(SPLIT(E22, "":""),1,1)) + VALUE(INDEX(SPLIT(E22, "":""),1,2)),
  VALUE(E22)
)"),69.15)</f>
        <v/>
      </c>
      <c r="G22" s="215">
        <f>C20</f>
        <v/>
      </c>
      <c r="H22" s="215">
        <f>C29</f>
        <v/>
      </c>
      <c r="I22" s="215">
        <f>C34</f>
        <v/>
      </c>
      <c r="J22" s="215">
        <f>C37</f>
        <v/>
      </c>
      <c r="K22" s="43">
        <f>IFS(H22=21,1,I22=21,2,J22=21,3,and(H22=20,I22=22),1.5, and(I22=20,J22=22),2.5,H22&gt;21,0.5)</f>
        <v/>
      </c>
      <c r="L22" s="43">
        <f t="array" ref="L22">INDEX('Podium Target Times'!$C:$C, MATCH(A22&amp;B22, 'Podium Target Times'!$A:$A&amp;'Podium Target Times'!$B:$B, 0))
</f>
        <v/>
      </c>
      <c r="M22" s="64">
        <f>IFS(K22=0.5,M23+(F22-F25),K22=1,M23+(F22-F25), K22=1.5, M23+(F22-F24), K22=2, M23+(F22-F24), K22=2.5, M23+(F22-F24), K22=3, M23+(F22-F24))</f>
        <v/>
      </c>
      <c r="N22" s="43">
        <f>IF(M22&lt;60, TEXT(M22, "0.00"), TEXT(M22/(24*60*60), "M:SS.00"))</f>
        <v/>
      </c>
      <c r="O22" s="14">
        <f>IFERROR(__xludf.DUMMYFUNCTION("LET(
  gen,$A22, ev,$B22, t,$N22,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)"),671.0)</f>
        <v/>
      </c>
      <c r="P22" s="65" t="n"/>
      <c r="Q22" s="65" t="n"/>
      <c r="R22" s="69">
        <f>A23</f>
        <v/>
      </c>
      <c r="S22" s="65">
        <f>B23</f>
        <v/>
      </c>
      <c r="T22" s="69">
        <f>C23</f>
        <v/>
      </c>
      <c r="U22" s="58">
        <f>N23</f>
        <v/>
      </c>
      <c r="V22" s="69">
        <f>O23</f>
        <v/>
      </c>
      <c r="W22" s="65" t="n"/>
      <c r="X22" s="65" t="n"/>
      <c r="Y22" s="65" t="n"/>
    </row>
    <row r="23">
      <c r="A23" s="17" t="inlineStr">
        <is>
          <t>F</t>
        </is>
      </c>
      <c r="B23" s="18" t="inlineStr">
        <is>
          <t>100 Breast</t>
        </is>
      </c>
      <c r="C23" s="18" t="n">
        <v>17</v>
      </c>
      <c r="D23" s="18" t="n">
        <v>1</v>
      </c>
      <c r="E23" s="46" t="inlineStr">
        <is>
          <t>1:07.71</t>
        </is>
      </c>
      <c r="F23" s="21">
        <f>IFERROR(__xludf.DUMMYFUNCTION("IF(
  REGEXMATCH(E23, "":""),
  60*VALUE(INDEX(SPLIT(E23, "":""),1,1)) + VALUE(INDEX(SPLIT(E23, "":""),1,2)),
  VALUE(E23)
)"),67.71)</f>
        <v/>
      </c>
      <c r="G23" s="211">
        <f>C20</f>
        <v/>
      </c>
      <c r="H23" s="211">
        <f>C29</f>
        <v/>
      </c>
      <c r="I23" s="211">
        <f>C34</f>
        <v/>
      </c>
      <c r="J23" s="211">
        <f>C37</f>
        <v/>
      </c>
      <c r="K23" s="60">
        <f>IFS(H23=21,1,I23=21,2,J23=21,3,and(H23=20,I23=22),1.5, and(I23=20,J23=22),2.5,H23&gt;21,0.5)</f>
        <v/>
      </c>
      <c r="L23" s="60">
        <f t="array" ref="L23">INDEX('Podium Target Times'!$C:$C, MATCH(A23&amp;B23, 'Podium Target Times'!$A:$A&amp;'Podium Target Times'!$B:$B, 0))
</f>
        <v/>
      </c>
      <c r="M23" s="66">
        <f>IFS(K23=0.5,M24+(F23-F26),K23=1,M24+(F23-F26), K23=1.5, M26+(F24-F27), K23=2, M26+(F24-F27), K23=2.5, M26+(F25-F28), K23=3, M26+(F25-F28))</f>
        <v/>
      </c>
      <c r="N23" s="60">
        <f>IF(M23&lt;60, TEXT(M23, "0.00"), TEXT(M23/(24*60*60), "M:SS.00"))</f>
        <v/>
      </c>
      <c r="O23" s="25">
        <f>IFERROR(__xludf.DUMMYFUNCTION("LET(
  gen,$A23, ev,$B23, t,$N23,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)"),692.0)</f>
        <v/>
      </c>
      <c r="P23" s="65" t="n"/>
      <c r="Q23" s="65" t="n"/>
      <c r="R23" s="69">
        <f>A26</f>
        <v/>
      </c>
      <c r="S23" s="65">
        <f>B26</f>
        <v/>
      </c>
      <c r="T23" s="69">
        <f>C26</f>
        <v/>
      </c>
      <c r="U23" s="58">
        <f>N26</f>
        <v/>
      </c>
      <c r="V23" s="69">
        <f>O26</f>
        <v/>
      </c>
      <c r="W23" s="65" t="n"/>
      <c r="X23" s="65" t="n"/>
      <c r="Y23" s="65" t="n"/>
    </row>
    <row r="24">
      <c r="A24" s="8" t="inlineStr">
        <is>
          <t>F</t>
        </is>
      </c>
      <c r="B24" s="9" t="inlineStr">
        <is>
          <t>100 Breast</t>
        </is>
      </c>
      <c r="C24" s="9" t="n">
        <v>17</v>
      </c>
      <c r="D24" s="9" t="n">
        <v>2</v>
      </c>
      <c r="E24" s="41" t="inlineStr">
        <is>
          <t>1:08.40</t>
        </is>
      </c>
      <c r="F24" s="35">
        <f>IFERROR(__xludf.DUMMYFUNCTION("IF(
  REGEXMATCH(E24, "":""),
  60*VALUE(INDEX(SPLIT(E24, "":""),1,1)) + VALUE(INDEX(SPLIT(E24, "":""),1,2)),
  VALUE(E24)
)"),68.4)</f>
        <v/>
      </c>
      <c r="G24" s="215">
        <f>C20</f>
        <v/>
      </c>
      <c r="H24" s="215">
        <f>C29</f>
        <v/>
      </c>
      <c r="I24" s="215">
        <f>C34</f>
        <v/>
      </c>
      <c r="J24" s="215">
        <f>C37</f>
        <v/>
      </c>
      <c r="K24" s="43">
        <f>IFS(H24=21,1,I24=21,2,J24=21,3,and(H24=20,I24=22),1.5, and(I24=20,J24=22),2.5,H24&gt;21,0.5)</f>
        <v/>
      </c>
      <c r="L24" s="43">
        <f t="array" ref="L24">INDEX('Podium Target Times'!$C:$C, MATCH(A24&amp;B24, 'Podium Target Times'!$A:$A&amp;'Podium Target Times'!$B:$B, 0))
</f>
        <v/>
      </c>
      <c r="M24" s="64">
        <f>IFS(K24=0.5,M25+(F23-F26),K24=1,M25+(F23-F26), K24=1.5, M26+(F24-F27), K24=2, M26+(F24-F27), K24=2.5, M26+(F25-F28), K24=3, M26+(F25-F28))</f>
        <v/>
      </c>
      <c r="N24" s="43">
        <f>IF(M24&lt;60, TEXT(M24, "0.00"), TEXT(M24/(24*60*60), "M:SS.00"))</f>
        <v/>
      </c>
      <c r="O24" s="14">
        <f>IFERROR(__xludf.DUMMYFUNCTION("LET(
  gen,$A24, ev,$B24, t,$N24,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)"),692.0)</f>
        <v/>
      </c>
      <c r="P24" s="65" t="n"/>
      <c r="Q24" s="65" t="n"/>
      <c r="R24" s="69">
        <f>A29</f>
        <v/>
      </c>
      <c r="S24" s="65">
        <f>B29</f>
        <v/>
      </c>
      <c r="T24" s="69">
        <f>C29</f>
        <v/>
      </c>
      <c r="U24" s="58">
        <f>N29</f>
        <v/>
      </c>
      <c r="V24" s="69">
        <f>O29</f>
        <v/>
      </c>
      <c r="W24" s="65" t="n"/>
      <c r="X24" s="65" t="n"/>
      <c r="Y24" s="65" t="n"/>
    </row>
    <row r="25">
      <c r="A25" s="17" t="inlineStr">
        <is>
          <t>F</t>
        </is>
      </c>
      <c r="B25" s="18" t="inlineStr">
        <is>
          <t>100 Breast</t>
        </is>
      </c>
      <c r="C25" s="18" t="n">
        <v>17</v>
      </c>
      <c r="D25" s="18" t="n">
        <v>3</v>
      </c>
      <c r="E25" s="46" t="inlineStr">
        <is>
          <t>1:08.94</t>
        </is>
      </c>
      <c r="F25" s="21">
        <f>IFERROR(__xludf.DUMMYFUNCTION("IF(
  REGEXMATCH(E25, "":""),
  60*VALUE(INDEX(SPLIT(E25, "":""),1,1)) + VALUE(INDEX(SPLIT(E25, "":""),1,2)),
  VALUE(E25)
)"),68.94)</f>
        <v/>
      </c>
      <c r="G25" s="211">
        <f>C20</f>
        <v/>
      </c>
      <c r="H25" s="211">
        <f>C29</f>
        <v/>
      </c>
      <c r="I25" s="211">
        <f>C34</f>
        <v/>
      </c>
      <c r="J25" s="211">
        <f>C37</f>
        <v/>
      </c>
      <c r="K25" s="60">
        <f>IFS(H25=21,1,I25=21,2,J25=21,3,and(H25=20,I25=22),1.5, and(I25=20,J25=22),2.5,H25&gt;21,0.5)</f>
        <v/>
      </c>
      <c r="L25" s="60">
        <f t="array" ref="L25">INDEX('Podium Target Times'!$C:$C, MATCH(A25&amp;B25, 'Podium Target Times'!$A:$A&amp;'Podium Target Times'!$B:$B, 0))
</f>
        <v/>
      </c>
      <c r="M25" s="66">
        <f>IFS(K25=0.5,M26+(F23-F26),K25=1,M26+(F23-F26), K25=1.5, M26+(F24-F27), K25=2, M26+(F24-F27), K25=2.5, M26+(F25-F28), K25=3, M26+(F25-F28))</f>
        <v/>
      </c>
      <c r="N25" s="60">
        <f>IF(M25&lt;60, TEXT(M25, "0.00"), TEXT(M25/(24*60*60), "M:SS.00"))</f>
        <v/>
      </c>
      <c r="O25" s="25">
        <f>IFERROR(__xludf.DUMMYFUNCTION("LET(
  gen,$A25, ev,$B25, t,$N25,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)"),692.0)</f>
        <v/>
      </c>
      <c r="P25" s="65" t="n"/>
      <c r="Q25" s="65" t="n"/>
      <c r="R25" s="69">
        <f>A32</f>
        <v/>
      </c>
      <c r="S25" s="65">
        <f>B32</f>
        <v/>
      </c>
      <c r="T25" s="69">
        <f>C32</f>
        <v/>
      </c>
      <c r="U25" s="58">
        <f>N32</f>
        <v/>
      </c>
      <c r="V25" s="69">
        <f>O32</f>
        <v/>
      </c>
      <c r="W25" s="65" t="n"/>
      <c r="X25" s="65" t="n"/>
      <c r="Y25" s="65" t="n"/>
    </row>
    <row r="26">
      <c r="A26" s="8" t="inlineStr">
        <is>
          <t>F</t>
        </is>
      </c>
      <c r="B26" s="9" t="inlineStr">
        <is>
          <t>100 Breast</t>
        </is>
      </c>
      <c r="C26" s="9" t="n">
        <v>18</v>
      </c>
      <c r="D26" s="9" t="n">
        <v>1</v>
      </c>
      <c r="E26" s="41" t="inlineStr">
        <is>
          <t>1:07.24</t>
        </is>
      </c>
      <c r="F26" s="35">
        <f>IFERROR(__xludf.DUMMYFUNCTION("IF(
  REGEXMATCH(E26, "":""),
  60*VALUE(INDEX(SPLIT(E26, "":""),1,1)) + VALUE(INDEX(SPLIT(E26, "":""),1,2)),
  VALUE(E26)
)"),67.24)</f>
        <v/>
      </c>
      <c r="G26" s="215">
        <f>C20</f>
        <v/>
      </c>
      <c r="H26" s="215">
        <f>C29</f>
        <v/>
      </c>
      <c r="I26" s="215">
        <f>C34</f>
        <v/>
      </c>
      <c r="J26" s="215">
        <f>C37</f>
        <v/>
      </c>
      <c r="K26" s="43">
        <f>IFS(H26=21,1,I26=21,2,J26=21,3,and(H26=20,I26=22),1.5, and(I26=20,J26=22),2.5,H26&gt;21,0.5)</f>
        <v/>
      </c>
      <c r="L26" s="43">
        <f t="array" ref="L26">INDEX('Podium Target Times'!$C:$C, MATCH(A26&amp;B26, 'Podium Target Times'!$A:$A&amp;'Podium Target Times'!$B:$B, 0))
</f>
        <v/>
      </c>
      <c r="M26" s="64">
        <f>IFS(K26=0.5,L26,K26=1,U24+(F26-F29), K26=1.5, M29+(F27-F30), K26=2, M29+(F27-F30), K26=2.5, M29+(F28-F31), K26=3, M29+(F28-F31))</f>
        <v/>
      </c>
      <c r="N26" s="43">
        <f>IF(M26&lt;60, TEXT(M26, "0.00"), TEXT(M26/(24*60*60), "M:SS.00"))</f>
        <v/>
      </c>
      <c r="O26" s="14">
        <f>IFERROR(__xludf.DUMMYFUNCTION("LET(
  gen,$A26, ev,$B26, t,$N26,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
      </c>
      <c r="P26" s="65" t="n"/>
      <c r="Q26" s="65" t="n"/>
      <c r="R26" s="69">
        <f>A34</f>
        <v/>
      </c>
      <c r="S26" s="65">
        <f>B34</f>
        <v/>
      </c>
      <c r="T26" s="69">
        <f>C34</f>
        <v/>
      </c>
      <c r="U26" s="58">
        <f>N34</f>
        <v/>
      </c>
      <c r="V26" s="69">
        <f>O34</f>
        <v/>
      </c>
      <c r="W26" s="65" t="n"/>
      <c r="X26" s="65" t="n"/>
      <c r="Y26" s="65" t="n"/>
    </row>
    <row r="27">
      <c r="A27" s="17" t="inlineStr">
        <is>
          <t>F</t>
        </is>
      </c>
      <c r="B27" s="18" t="inlineStr">
        <is>
          <t>100 Breast</t>
        </is>
      </c>
      <c r="C27" s="18" t="n">
        <v>18</v>
      </c>
      <c r="D27" s="221" t="n">
        <v>2</v>
      </c>
      <c r="E27" s="46" t="inlineStr">
        <is>
          <t>1:07.92</t>
        </is>
      </c>
      <c r="F27" s="21">
        <f>IFERROR(__xludf.DUMMYFUNCTION("IF(
  REGEXMATCH(E27, "":""),
  60*VALUE(INDEX(SPLIT(E27, "":""),1,1)) + VALUE(INDEX(SPLIT(E27, "":""),1,2)),
  VALUE(E27)
)"),67.92)</f>
        <v/>
      </c>
      <c r="G27" s="211">
        <f>C20</f>
        <v/>
      </c>
      <c r="H27" s="211">
        <f>C29</f>
        <v/>
      </c>
      <c r="I27" s="211">
        <f>C34</f>
        <v/>
      </c>
      <c r="J27" s="211">
        <f>C37</f>
        <v/>
      </c>
      <c r="K27" s="60">
        <f>IFS(H27=21,1,I27=21,2,J27=21,3,and(H27=20,I27=22),1.5, and(I27=20,J27=22),2.5,H27&gt;21,0.5)</f>
        <v/>
      </c>
      <c r="L27" s="60">
        <f t="array" ref="L27">INDEX('Podium Target Times'!$C:$C, MATCH(A27&amp;B27, 'Podium Target Times'!$A:$A&amp;'Podium Target Times'!$B:$B, 0))
</f>
        <v/>
      </c>
      <c r="M27" s="66">
        <f>IFS(K27=0.5,L27,K27=1,U24+(F26-F29), K27=1.5, M29+(F27-F30), K27=2, M29+(F27-F30), K27=2.5, M29+(F28-F31), K27=3, M29+(F28-F31))</f>
        <v/>
      </c>
      <c r="N27" s="60">
        <f>IF(M27&lt;60, TEXT(M27, "0.00"), TEXT(M27/(24*60*60), "M:SS.00"))</f>
        <v/>
      </c>
      <c r="O27" s="25">
        <f>IFERROR(__xludf.DUMMYFUNCTION("LET(
  gen,$A27, ev,$B27, t,$N27,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
      </c>
      <c r="P27" s="65" t="n"/>
      <c r="Q27" s="65" t="n"/>
      <c r="R27" s="69" t="n"/>
      <c r="S27" s="65" t="n"/>
      <c r="T27" s="69" t="n"/>
      <c r="U27" s="58" t="n"/>
      <c r="V27" s="69" t="n"/>
      <c r="W27" s="65" t="n"/>
      <c r="X27" s="65" t="n"/>
      <c r="Y27" s="65" t="n"/>
    </row>
    <row r="28">
      <c r="A28" s="8" t="inlineStr">
        <is>
          <t>F</t>
        </is>
      </c>
      <c r="B28" s="9" t="inlineStr">
        <is>
          <t>100 Breast</t>
        </is>
      </c>
      <c r="C28" s="9" t="n">
        <v>18</v>
      </c>
      <c r="D28" s="219" t="n">
        <v>3</v>
      </c>
      <c r="E28" s="41" t="inlineStr">
        <is>
          <t>1:08.46</t>
        </is>
      </c>
      <c r="F28" s="35">
        <f>IFERROR(__xludf.DUMMYFUNCTION("IF(
  REGEXMATCH(E28, "":""),
  60*VALUE(INDEX(SPLIT(E28, "":""),1,1)) + VALUE(INDEX(SPLIT(E28, "":""),1,2)),
  VALUE(E28)
)"),68.46000000000001)</f>
        <v/>
      </c>
      <c r="G28" s="215">
        <f>C20</f>
        <v/>
      </c>
      <c r="H28" s="215">
        <f>C29</f>
        <v/>
      </c>
      <c r="I28" s="215">
        <f>C34</f>
        <v/>
      </c>
      <c r="J28" s="215">
        <f>C37</f>
        <v/>
      </c>
      <c r="K28" s="43">
        <f>IFS(H28=21,1,I28=21,2,J28=21,3,and(H28=20,I28=22),1.5, and(I28=20,J28=22),2.5,H28&gt;21,0.5)</f>
        <v/>
      </c>
      <c r="L28" s="43">
        <f t="array" ref="L28">INDEX('Podium Target Times'!$C:$C, MATCH(A28&amp;B28, 'Podium Target Times'!$A:$A&amp;'Podium Target Times'!$B:$B, 0))
</f>
        <v/>
      </c>
      <c r="M28" s="64">
        <f>IFS(K28=0.5,L28,K28=1,U24+(F26-F29), K28=1.5, M29+(F27-F30), K28=2, M29+(F27-F30), K28=2.5, M29+(F28-F31), K28=3, M29+(F28-F31))</f>
        <v/>
      </c>
      <c r="N28" s="43">
        <f>IF(M28&lt;60, TEXT(M28, "0.00"), TEXT(M28/(24*60*60), "M:SS.00"))</f>
        <v/>
      </c>
      <c r="O28" s="14">
        <f>IFERROR(__xludf.DUMMYFUNCTION("LET(
  gen,$A28, ev,$B28, t,$N28,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
      </c>
      <c r="P28" s="65" t="n"/>
      <c r="Q28" s="65" t="n"/>
      <c r="R28" s="69" t="n"/>
      <c r="S28" s="65" t="n"/>
      <c r="T28" s="69" t="n"/>
      <c r="U28" s="58" t="n"/>
      <c r="V28" s="69" t="n"/>
      <c r="W28" s="65" t="n"/>
      <c r="X28" s="65" t="n"/>
      <c r="Y28" s="65" t="n"/>
    </row>
    <row r="29">
      <c r="A29" s="17" t="inlineStr">
        <is>
          <t>F</t>
        </is>
      </c>
      <c r="B29" s="18" t="inlineStr">
        <is>
          <t>100 Breast</t>
        </is>
      </c>
      <c r="C29" s="18" t="n">
        <v>19</v>
      </c>
      <c r="D29" s="18" t="n">
        <v>1</v>
      </c>
      <c r="E29" s="211" t="inlineStr">
        <is>
          <t>1:06.87</t>
        </is>
      </c>
      <c r="F29" s="21">
        <f>IFERROR(__xludf.DUMMYFUNCTION("IF(
  REGEXMATCH(E29, "":""),
  60*VALUE(INDEX(SPLIT(E29, "":""),1,1)) + VALUE(INDEX(SPLIT(E29, "":""),1,2)),
  VALUE(E29)
)"),66.87)</f>
        <v/>
      </c>
      <c r="G29" s="211">
        <f>C20</f>
        <v/>
      </c>
      <c r="H29" s="211">
        <f>C29</f>
        <v/>
      </c>
      <c r="I29" s="211">
        <f>C34</f>
        <v/>
      </c>
      <c r="J29" s="211">
        <f>C37</f>
        <v/>
      </c>
      <c r="K29" s="60">
        <f>IFS(H29=21,1,I29=21,2,J29=21,3,and(H29=20,I29=22),1.5, and(I29=20,J29=22),2.5,H29&gt;21,0.5)</f>
        <v/>
      </c>
      <c r="L29" s="60">
        <f t="array" ref="L29">INDEX('Podium Target Times'!$C:$C, MATCH(A29&amp;B29, 'Podium Target Times'!$A:$A&amp;'Podium Target Times'!$B:$B, 0))
</f>
        <v/>
      </c>
      <c r="M29" s="66">
        <f>IFS(K29=0.5,L29,K29=1,L29, K29=1.5, M32+(F30-F32), K29=2, M32+(F30-F32), K29=2.5, M32+(F31-F33), K29=3, M32+(F31-F33))</f>
        <v/>
      </c>
      <c r="N29" s="60">
        <f>IF(M29&lt;60, TEXT(M29, "0.00"), TEXT(M29/(24*60*60), "M:SS.00"))</f>
        <v/>
      </c>
      <c r="O29" s="25">
        <f>IFERROR(__xludf.DUMMYFUNCTION("LET(
  gen,$A29, ev,$B29, t,$N29,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
      </c>
      <c r="P29" s="65" t="n"/>
      <c r="Q29" s="65" t="n"/>
      <c r="R29" s="69" t="n"/>
      <c r="S29" s="65" t="n"/>
      <c r="T29" s="69" t="n"/>
      <c r="U29" s="58" t="n"/>
      <c r="V29" s="69" t="n"/>
      <c r="W29" s="65" t="n"/>
      <c r="X29" s="65" t="n"/>
      <c r="Y29" s="65" t="n"/>
    </row>
    <row r="30">
      <c r="A30" s="8" t="inlineStr">
        <is>
          <t>F</t>
        </is>
      </c>
      <c r="B30" s="9" t="inlineStr">
        <is>
          <t>100 Breast</t>
        </is>
      </c>
      <c r="C30" s="9" t="n">
        <v>19</v>
      </c>
      <c r="D30" s="9" t="n">
        <v>2</v>
      </c>
      <c r="E30" s="215" t="inlineStr">
        <is>
          <t>1:07.55</t>
        </is>
      </c>
      <c r="F30" s="35">
        <f>IFERROR(__xludf.DUMMYFUNCTION("IF(
  REGEXMATCH(E30, "":""),
  60*VALUE(INDEX(SPLIT(E30, "":""),1,1)) + VALUE(INDEX(SPLIT(E30, "":""),1,2)),
  VALUE(E30)
)"),67.55)</f>
        <v/>
      </c>
      <c r="G30" s="215">
        <f>C20</f>
        <v/>
      </c>
      <c r="H30" s="215">
        <f>C29</f>
        <v/>
      </c>
      <c r="I30" s="215">
        <f>C34</f>
        <v/>
      </c>
      <c r="J30" s="215">
        <f>C37</f>
        <v/>
      </c>
      <c r="K30" s="43">
        <f>IFS(H30=21,1,I30=21,2,J30=21,3,and(H30=20,I30=22),1.5, and(I30=20,J30=22),2.5,H30&gt;21,0.5)</f>
        <v/>
      </c>
      <c r="L30" s="43">
        <f t="array" ref="L30">INDEX('Podium Target Times'!$C:$C, MATCH(A30&amp;B30, 'Podium Target Times'!$A:$A&amp;'Podium Target Times'!$B:$B, 0))
</f>
        <v/>
      </c>
      <c r="M30" s="64">
        <f>IFS(K30=0.5,L30,K30=1,L30, K30=1.5, M32+(F30-F32), K30=2, M32+(F30-F32), K30=2.5, M32+(F31-F33), K30=3, M32+(F31-F33))</f>
        <v/>
      </c>
      <c r="N30" s="43">
        <f>IF(M30&lt;60, TEXT(M30, "0.00"), TEXT(M30/(24*60*60), "M:SS.00"))</f>
        <v/>
      </c>
      <c r="O30" s="14">
        <f>IFERROR(__xludf.DUMMYFUNCTION("LET(
  gen,$A30, ev,$B30, t,$N30,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
      </c>
      <c r="P30" s="65" t="n"/>
      <c r="Q30" s="65" t="n"/>
      <c r="R30" s="69" t="n"/>
      <c r="S30" s="65" t="n"/>
      <c r="T30" s="69" t="n"/>
      <c r="U30" s="58" t="n"/>
      <c r="V30" s="69" t="n"/>
      <c r="W30" s="65" t="n"/>
      <c r="X30" s="65" t="n"/>
      <c r="Y30" s="65" t="n"/>
    </row>
    <row r="31">
      <c r="A31" s="17" t="inlineStr">
        <is>
          <t>F</t>
        </is>
      </c>
      <c r="B31" s="18" t="inlineStr">
        <is>
          <t>100 Breast</t>
        </is>
      </c>
      <c r="C31" s="18" t="n">
        <v>19</v>
      </c>
      <c r="D31" s="18" t="n">
        <v>3</v>
      </c>
      <c r="E31" s="211" t="inlineStr">
        <is>
          <t>1:08.08</t>
        </is>
      </c>
      <c r="F31" s="21">
        <f>IFERROR(__xludf.DUMMYFUNCTION("IF(
  REGEXMATCH(E31, "":""),
  60*VALUE(INDEX(SPLIT(E31, "":""),1,1)) + VALUE(INDEX(SPLIT(E31, "":""),1,2)),
  VALUE(E31)
)"),68.08)</f>
        <v/>
      </c>
      <c r="G31" s="211">
        <f>C20</f>
        <v/>
      </c>
      <c r="H31" s="211">
        <f>C29</f>
        <v/>
      </c>
      <c r="I31" s="211">
        <f>C34</f>
        <v/>
      </c>
      <c r="J31" s="211">
        <f>C37</f>
        <v/>
      </c>
      <c r="K31" s="60">
        <f>IFS(H31=21,1,I31=21,2,J31=21,3,and(H31=20,I31=22),1.5, and(I31=20,J31=22),2.5,H31&gt;21,0.5)</f>
        <v/>
      </c>
      <c r="L31" s="60">
        <f t="array" ref="L31">INDEX('Podium Target Times'!$C:$C, MATCH(A31&amp;B31, 'Podium Target Times'!$A:$A&amp;'Podium Target Times'!$B:$B, 0))
</f>
        <v/>
      </c>
      <c r="M31" s="66">
        <f>IFS(K31=0.5,L31,K31=1,L31, K31=1.5, M32+(F30-F32), K31=2, M32+(F30-F32), K31=2.5, M32+(F31-F33), K31=3, M32+(F31-F33))</f>
        <v/>
      </c>
      <c r="N31" s="60">
        <f>IF(M31&lt;60, TEXT(M31, "0.00"), TEXT(M31/(24*60*60), "M:SS.00"))</f>
        <v/>
      </c>
      <c r="O31" s="25">
        <f>IFERROR(__xludf.DUMMYFUNCTION("LET(
  gen,$A31, ev,$B31, t,$N31,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
      </c>
      <c r="P31" s="65" t="n"/>
      <c r="Q31" s="65" t="n"/>
      <c r="R31" s="69" t="n"/>
      <c r="S31" s="65" t="n"/>
      <c r="T31" s="69" t="n"/>
      <c r="U31" s="58" t="n"/>
      <c r="V31" s="69" t="n"/>
      <c r="W31" s="65" t="n"/>
      <c r="X31" s="65" t="n"/>
      <c r="Y31" s="65" t="n"/>
    </row>
    <row r="32">
      <c r="A32" s="8" t="inlineStr">
        <is>
          <t>F</t>
        </is>
      </c>
      <c r="B32" s="9" t="inlineStr">
        <is>
          <t>100 Breast</t>
        </is>
      </c>
      <c r="C32" s="9" t="n">
        <v>20</v>
      </c>
      <c r="D32" s="219" t="n">
        <v>2</v>
      </c>
      <c r="E32" s="41" t="inlineStr">
        <is>
          <t>1:07.20</t>
        </is>
      </c>
      <c r="F32" s="35">
        <f>IFERROR(__xludf.DUMMYFUNCTION("IF(
  REGEXMATCH(E32, "":""),
  60*VALUE(INDEX(SPLIT(E32, "":""),1,1)) + VALUE(INDEX(SPLIT(E32, "":""),1,2)),
  VALUE(E32)
)"),67.2)</f>
        <v/>
      </c>
      <c r="G32" s="215">
        <f>C20</f>
        <v/>
      </c>
      <c r="H32" s="215">
        <f>C29</f>
        <v/>
      </c>
      <c r="I32" s="215">
        <f>C34</f>
        <v/>
      </c>
      <c r="J32" s="215">
        <f>C37</f>
        <v/>
      </c>
      <c r="K32" s="43">
        <f>IFS(H32=21,1,I32=21,2,J32=21,3,and(H32=20,I32=22),1.5, and(I32=20,J32=22),2.5,H32&gt;21,0.5)</f>
        <v/>
      </c>
      <c r="L32" s="43">
        <f t="array" ref="L32">INDEX('Podium Target Times'!$C:$C, MATCH(A32&amp;B32, 'Podium Target Times'!$A:$A&amp;'Podium Target Times'!$B:$B, 0))
</f>
        <v/>
      </c>
      <c r="M32" s="64">
        <f>IFS(K32=0.5,L32,K32=1,L32, K32=1.5, L32, K32=2, M34+(F32-F34), K32=2.5, M34+(F33-F35), K32=3, M34+(F33-F35))</f>
        <v/>
      </c>
      <c r="N32" s="43">
        <f>IF(M32&lt;60, TEXT(M32, "0.00"), TEXT(M32/(24*60*60), "M:SS.00"))</f>
        <v/>
      </c>
      <c r="O32" s="14">
        <f>IFERROR(__xludf.DUMMYFUNCTION("LET(
  gen,$A32, ev,$B32, t,$N32,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)"),728.0)</f>
        <v/>
      </c>
      <c r="P32" s="65" t="n"/>
      <c r="Q32" s="65" t="n"/>
      <c r="R32" s="69" t="n"/>
      <c r="S32" s="65" t="n"/>
      <c r="T32" s="69" t="n"/>
      <c r="U32" s="58" t="n"/>
      <c r="V32" s="69" t="n"/>
      <c r="W32" s="65" t="n"/>
      <c r="X32" s="65" t="n"/>
      <c r="Y32" s="65" t="n"/>
    </row>
    <row r="33">
      <c r="A33" s="17" t="inlineStr">
        <is>
          <t>F</t>
        </is>
      </c>
      <c r="B33" s="18" t="inlineStr">
        <is>
          <t>100 Breast</t>
        </is>
      </c>
      <c r="C33" s="18" t="n">
        <v>20</v>
      </c>
      <c r="D33" s="18" t="n">
        <v>3</v>
      </c>
      <c r="E33" s="46" t="inlineStr">
        <is>
          <t>1:07.73</t>
        </is>
      </c>
      <c r="F33" s="21">
        <f>IFERROR(__xludf.DUMMYFUNCTION("IF(
  REGEXMATCH(E33, "":""),
  60*VALUE(INDEX(SPLIT(E33, "":""),1,1)) + VALUE(INDEX(SPLIT(E33, "":""),1,2)),
  VALUE(E33)
)"),67.73)</f>
        <v/>
      </c>
      <c r="G33" s="211">
        <f>C20</f>
        <v/>
      </c>
      <c r="H33" s="211">
        <f>C29</f>
        <v/>
      </c>
      <c r="I33" s="211">
        <f>C34</f>
        <v/>
      </c>
      <c r="J33" s="211">
        <f>C37</f>
        <v/>
      </c>
      <c r="K33" s="60">
        <f>IFS(H33=21,1,I33=21,2,J33=21,3,and(H33=20,I33=22),1.5, and(I33=20,J33=22),2.5,H33&gt;21,0.5)</f>
        <v/>
      </c>
      <c r="L33" s="60">
        <f t="array" ref="L33">INDEX('Podium Target Times'!$C:$C, MATCH(A33&amp;B33, 'Podium Target Times'!$A:$A&amp;'Podium Target Times'!$B:$B, 0))
</f>
        <v/>
      </c>
      <c r="M33" s="66">
        <f>IFS(K33=0.5,L33,K33=1,L33, K33=1.5, L33, K33=2, M34+(F32-F34), K33=2.5, M34+(F33-F35), K33=3, M34+(F33-F35))</f>
        <v/>
      </c>
      <c r="N33" s="60">
        <f>IF(M33&lt;60, TEXT(M33, "0.00"), TEXT(M33/(24*60*60), "M:SS.00"))</f>
        <v/>
      </c>
      <c r="O33" s="25">
        <f>IFERROR(__xludf.DUMMYFUNCTION("LET(
  gen,$A33, ev,$B33, t,$N33,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)"),728.0)</f>
        <v/>
      </c>
      <c r="P33" s="65" t="n"/>
      <c r="Q33" s="65" t="n"/>
      <c r="R33" s="69" t="n"/>
      <c r="S33" s="65" t="n"/>
      <c r="T33" s="69" t="n"/>
      <c r="U33" s="58" t="n"/>
      <c r="V33" s="69" t="n"/>
      <c r="W33" s="65" t="n"/>
      <c r="X33" s="65" t="n"/>
      <c r="Y33" s="65" t="n"/>
    </row>
    <row r="34">
      <c r="A34" s="8" t="inlineStr">
        <is>
          <t>F</t>
        </is>
      </c>
      <c r="B34" s="9" t="inlineStr">
        <is>
          <t>100 Breast</t>
        </is>
      </c>
      <c r="C34" s="9" t="n">
        <v>21</v>
      </c>
      <c r="D34" s="9" t="n">
        <v>2</v>
      </c>
      <c r="E34" s="41" t="inlineStr">
        <is>
          <t>1:06.87</t>
        </is>
      </c>
      <c r="F34" s="35">
        <f>IFERROR(__xludf.DUMMYFUNCTION("IF(
  REGEXMATCH(E34, "":""),
  60*VALUE(INDEX(SPLIT(E34, "":""),1,1)) + VALUE(INDEX(SPLIT(E34, "":""),1,2)),
  VALUE(E34)
)"),66.87)</f>
        <v/>
      </c>
      <c r="G34" s="215">
        <f>C20</f>
        <v/>
      </c>
      <c r="H34" s="215">
        <f>C29</f>
        <v/>
      </c>
      <c r="I34" s="215">
        <f>C34</f>
        <v/>
      </c>
      <c r="J34" s="215">
        <f>C37</f>
        <v/>
      </c>
      <c r="K34" s="43">
        <f>IFS(H34=21,1,I34=21,2,J34=21,3,and(H34=20,I34=22),1.5, and(I34=20,J34=22),2.5,H34&gt;21,0.5)</f>
        <v/>
      </c>
      <c r="L34" s="43">
        <f t="array" ref="L34">INDEX('Podium Target Times'!$C:$C, MATCH(A34&amp;B34, 'Podium Target Times'!$A:$A&amp;'Podium Target Times'!$B:$B, 0))
</f>
        <v/>
      </c>
      <c r="M34" s="64">
        <f>IFS(K34=0.5,L34,K34=1,L34, K34=1.5, L34, K34=2,L37, K34=2.5, M36+(F35-F36), K34=3,  M36+(F35-F36))</f>
        <v/>
      </c>
      <c r="N34" s="43">
        <f>IF(M34&lt;60, TEXT(M34, "0.00"), TEXT(M34/(24*60*60), "M:SS.00"))</f>
        <v/>
      </c>
      <c r="O34" s="14">
        <f>IFERROR(__xludf.DUMMYFUNCTION("LET(
  gen,$A34, ev,$B34, t,$N34,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
      </c>
      <c r="P34" s="65" t="n"/>
      <c r="Q34" s="65" t="n"/>
      <c r="R34" s="69" t="n"/>
      <c r="S34" s="65" t="n"/>
      <c r="T34" s="69" t="n"/>
      <c r="U34" s="58" t="n"/>
      <c r="V34" s="69" t="n"/>
      <c r="W34" s="65" t="n"/>
      <c r="X34" s="65" t="n"/>
      <c r="Y34" s="65" t="n"/>
    </row>
    <row r="35">
      <c r="A35" s="17" t="inlineStr">
        <is>
          <t>F</t>
        </is>
      </c>
      <c r="B35" s="18" t="inlineStr">
        <is>
          <t>100 Breast</t>
        </is>
      </c>
      <c r="C35" s="18" t="n">
        <v>21</v>
      </c>
      <c r="D35" s="18" t="n">
        <v>3</v>
      </c>
      <c r="E35" s="46" t="inlineStr">
        <is>
          <t>1:07.39</t>
        </is>
      </c>
      <c r="F35" s="21">
        <f>IFERROR(__xludf.DUMMYFUNCTION("IF(
  REGEXMATCH(E35, "":""),
  60*VALUE(INDEX(SPLIT(E35, "":""),1,1)) + VALUE(INDEX(SPLIT(E35, "":""),1,2)),
  VALUE(E35)
)"),67.39)</f>
        <v/>
      </c>
      <c r="G35" s="211">
        <f>C20</f>
        <v/>
      </c>
      <c r="H35" s="211">
        <f>C29</f>
        <v/>
      </c>
      <c r="I35" s="211">
        <f>C34</f>
        <v/>
      </c>
      <c r="J35" s="211">
        <f>C37</f>
        <v/>
      </c>
      <c r="K35" s="60">
        <f>IFS(H35=21,1,I35=21,2,J35=21,3,and(H35=20,I35=22),1.5, and(I35=20,J35=22),2.5,H35&gt;21,0.5)</f>
        <v/>
      </c>
      <c r="L35" s="60">
        <f t="array" ref="L35">INDEX('Podium Target Times'!$C:$C, MATCH(A35&amp;B35, 'Podium Target Times'!$A:$A&amp;'Podium Target Times'!$B:$B, 0))
</f>
        <v/>
      </c>
      <c r="M35" s="66">
        <f>IFS(K35=0.5,L35,K35=1,L35, K35=1.5, L35, K35=2, L37, K35=2.5, M36+(F35-F36), K35=3, M36+(F35-F36))</f>
        <v/>
      </c>
      <c r="N35" s="60">
        <f>IF(M35&lt;60, TEXT(M35, "0.00"), TEXT(M35/(24*60*60), "M:SS.00"))</f>
        <v/>
      </c>
      <c r="O35" s="25">
        <f>IFERROR(__xludf.DUMMYFUNCTION("LET(
  gen,$A35, ev,$B35, t,$N35,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
      </c>
      <c r="P35" s="65" t="n"/>
      <c r="Q35" s="65" t="n"/>
      <c r="R35" s="69" t="n"/>
      <c r="S35" s="65" t="n"/>
      <c r="T35" s="69" t="n"/>
      <c r="U35" s="58" t="n"/>
      <c r="V35" s="69" t="n"/>
      <c r="W35" s="65" t="n"/>
      <c r="X35" s="65" t="n"/>
      <c r="Y35" s="65" t="n"/>
    </row>
    <row r="36">
      <c r="A36" s="8" t="inlineStr">
        <is>
          <t>F</t>
        </is>
      </c>
      <c r="B36" s="9" t="inlineStr">
        <is>
          <t>100 Breast</t>
        </is>
      </c>
      <c r="C36" s="9" t="n">
        <v>22</v>
      </c>
      <c r="D36" s="9" t="n">
        <v>3</v>
      </c>
      <c r="E36" s="41" t="inlineStr">
        <is>
          <t>1:07.10</t>
        </is>
      </c>
      <c r="F36" s="35">
        <f>IFERROR(__xludf.DUMMYFUNCTION("IF(
  REGEXMATCH(E36, "":""),
  60*VALUE(INDEX(SPLIT(E36, "":""),1,1)) + VALUE(INDEX(SPLIT(E36, "":""),1,2)),
  VALUE(E36)
)"),67.1)</f>
        <v/>
      </c>
      <c r="G36" s="215">
        <f>C20</f>
        <v/>
      </c>
      <c r="H36" s="215">
        <f>C29</f>
        <v/>
      </c>
      <c r="I36" s="215">
        <f>C34</f>
        <v/>
      </c>
      <c r="J36" s="215">
        <f>C37</f>
        <v/>
      </c>
      <c r="K36" s="43">
        <f>IFS(H36=21,1,I36=21,2,J36=21,3,and(H36=20,I36=22),1.5, and(I36=20,J36=22),2.5,H36&gt;21,0.5)</f>
        <v/>
      </c>
      <c r="L36" s="43">
        <f t="array" ref="L36">INDEX('Podium Target Times'!$C:$C, MATCH(A36&amp;B36, 'Podium Target Times'!$A:$A&amp;'Podium Target Times'!$B:$B, 0))
</f>
        <v/>
      </c>
      <c r="M36" s="64">
        <f>IFS(K36=0.5,L36,K36=1,L36, K36=1.5, L36, K36=2, L37, K36=2.5, L37, K36=3, M37+(F36-F37))</f>
        <v/>
      </c>
      <c r="N36" s="43">
        <f>IF(M36&lt;60, TEXT(M36, "0.00"), TEXT(M36/(24*60*60), "M:SS.00"))</f>
        <v/>
      </c>
      <c r="O36" s="14">
        <f>IFERROR(__xludf.DUMMYFUNCTION("LET(
  gen,$A36, ev,$B36, t,$N36,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
      </c>
      <c r="P36" s="65" t="n"/>
      <c r="Q36" s="65" t="n"/>
      <c r="R36" s="69" t="n"/>
      <c r="S36" s="65" t="n"/>
      <c r="T36" s="69" t="n"/>
      <c r="U36" s="58" t="n"/>
      <c r="V36" s="69" t="n"/>
      <c r="W36" s="65" t="n"/>
      <c r="X36" s="65" t="n"/>
      <c r="Y36" s="65" t="n"/>
    </row>
    <row r="37">
      <c r="A37" s="17" t="inlineStr">
        <is>
          <t>F</t>
        </is>
      </c>
      <c r="B37" s="18" t="inlineStr">
        <is>
          <t>100 Breast</t>
        </is>
      </c>
      <c r="C37" s="18" t="n">
        <v>23</v>
      </c>
      <c r="D37" s="18" t="n">
        <v>3</v>
      </c>
      <c r="E37" s="46" t="inlineStr">
        <is>
          <t>1:06.87</t>
        </is>
      </c>
      <c r="F37" s="21">
        <f>IFERROR(__xludf.DUMMYFUNCTION("IF(
  REGEXMATCH(E37, "":""),
  60*VALUE(INDEX(SPLIT(E37, "":""),1,1)) + VALUE(INDEX(SPLIT(E37, "":""),1,2)),
  VALUE(E37)
)"),66.87)</f>
        <v/>
      </c>
      <c r="G37" s="211">
        <f>C20</f>
        <v/>
      </c>
      <c r="H37" s="211">
        <f>C29</f>
        <v/>
      </c>
      <c r="I37" s="211">
        <f>C34</f>
        <v/>
      </c>
      <c r="J37" s="211">
        <f>C37</f>
        <v/>
      </c>
      <c r="K37" s="60">
        <f>IFS(H37=21,1,I37=21,2,J37=21,3,and(H37=20,I37=22),1.5, and(I37=20,J37=22),2.5,H37&gt;21,0.5)</f>
        <v/>
      </c>
      <c r="L37" s="60">
        <f t="array" ref="L37">INDEX('Podium Target Times'!$C:$C, MATCH(A37&amp;B37, 'Podium Target Times'!$A:$A&amp;'Podium Target Times'!$B:$B, 0))
</f>
        <v/>
      </c>
      <c r="M37" s="66">
        <f>IFS(K37=0.5,L37,K37=1,L37, K37=1.5, L37, K37=2, L37, K37=2.5, L37, K37=3, L37)</f>
        <v/>
      </c>
      <c r="N37" s="60">
        <f>IF(M37&lt;60, TEXT(M37, "0.00"), TEXT(M37/(24*60*60), "M:SS.00"))</f>
        <v/>
      </c>
      <c r="O37" s="25">
        <f>IFERROR(__xludf.DUMMYFUNCTION("LET(
  gen,$A37, ev,$B37, t,$N37,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
      </c>
      <c r="P37" s="65" t="n"/>
      <c r="Q37" s="65" t="n"/>
      <c r="R37" s="69" t="n"/>
      <c r="S37" s="65" t="n"/>
      <c r="T37" s="69" t="n"/>
      <c r="U37" s="58" t="n"/>
      <c r="V37" s="69" t="n"/>
      <c r="W37" s="65" t="n"/>
      <c r="X37" s="65" t="n"/>
      <c r="Y37" s="65" t="n"/>
    </row>
    <row r="38">
      <c r="A38" s="8" t="inlineStr">
        <is>
          <t>F</t>
        </is>
      </c>
      <c r="B38" s="9" t="inlineStr">
        <is>
          <t>100 Fly</t>
        </is>
      </c>
      <c r="C38" s="9" t="n">
        <v>15</v>
      </c>
      <c r="D38" s="219" t="n">
        <v>1</v>
      </c>
      <c r="E38" s="41" t="inlineStr">
        <is>
          <t>1:01.67</t>
        </is>
      </c>
      <c r="F38" s="35">
        <f>IFERROR(__xludf.DUMMYFUNCTION("IF(
  REGEXMATCH(E38, "":""),
  60*VALUE(INDEX(SPLIT(E38, "":""),1,1)) + VALUE(INDEX(SPLIT(E38, "":""),1,2)),
  VALUE(E38)
)"),61.67)</f>
        <v/>
      </c>
      <c r="G38" s="43">
        <f>C38</f>
        <v/>
      </c>
      <c r="H38" s="43">
        <f>C47</f>
        <v/>
      </c>
      <c r="I38" s="43">
        <f>C52</f>
        <v/>
      </c>
      <c r="J38" s="43">
        <f>C55</f>
        <v/>
      </c>
      <c r="K38" s="43">
        <f>IFS(H38=21,1,I38=21,2,J38=21,3,and(H38=20,I38=22),1.5, and(I38=20,J38=22),2.5,H38&gt;21,0.5)</f>
        <v/>
      </c>
      <c r="L38" s="43">
        <f t="array" ref="L38">INDEX('Podium Target Times'!$C:$C, MATCH(A38&amp;B38, 'Podium Target Times'!$A:$A&amp;'Podium Target Times'!$B:$B, 0))
</f>
        <v/>
      </c>
      <c r="M38" s="64">
        <f>IFS(K38=0.5,M39+(F38-F39),K38=1,M39+(F38-F39), K38=1.5, M39+(F38-F39), K38=2, M39+(F38-F39), K38=2.5, M39+(F38-F39), K38=3, M39+(F38-F39))</f>
        <v/>
      </c>
      <c r="N38" s="43">
        <f>IF(M38&lt;60, TEXT(M38, "0.00"), TEXT(M38/(24*60*60), "M:SS.00"))</f>
        <v/>
      </c>
      <c r="O38" s="14">
        <f>IFERROR(__xludf.DUMMYFUNCTION("LET(
  gen,$A38, ev,$B38, t,$N38,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)"),625.0)</f>
        <v/>
      </c>
      <c r="P38" s="65" t="n"/>
      <c r="Q38" s="65" t="n"/>
      <c r="R38" s="69">
        <f>A38</f>
        <v/>
      </c>
      <c r="S38" s="65">
        <f>B38</f>
        <v/>
      </c>
      <c r="T38" s="69">
        <f>C38</f>
        <v/>
      </c>
      <c r="U38" s="58">
        <f>N38</f>
        <v/>
      </c>
      <c r="V38" s="69">
        <f>O38</f>
        <v/>
      </c>
      <c r="W38" s="65" t="n"/>
      <c r="X38" s="65" t="n"/>
      <c r="Y38" s="65" t="n"/>
    </row>
    <row r="39">
      <c r="A39" s="17" t="inlineStr">
        <is>
          <t>F</t>
        </is>
      </c>
      <c r="B39" s="18" t="inlineStr">
        <is>
          <t>100 Fly</t>
        </is>
      </c>
      <c r="C39" s="18" t="n">
        <v>16</v>
      </c>
      <c r="D39" s="221" t="n">
        <v>1</v>
      </c>
      <c r="E39" s="46" t="inlineStr">
        <is>
          <t>1:00.43</t>
        </is>
      </c>
      <c r="F39" s="21">
        <f>IFERROR(__xludf.DUMMYFUNCTION("IF(
  REGEXMATCH(E39, "":""),
  60*VALUE(INDEX(SPLIT(E39, "":""),1,1)) + VALUE(INDEX(SPLIT(E39, "":""),1,2)),
  VALUE(E39)
)"),60.43)</f>
        <v/>
      </c>
      <c r="G39" s="211">
        <f>C38</f>
        <v/>
      </c>
      <c r="H39" s="211">
        <f>C47</f>
        <v/>
      </c>
      <c r="I39" s="211">
        <f>C52</f>
        <v/>
      </c>
      <c r="J39" s="211">
        <f>C55</f>
        <v/>
      </c>
      <c r="K39" s="60">
        <f>IFS(H39=21,1,I39=21,2,J39=21,3,and(H39=20,I39=22),1.5, and(I39=20,J39=22),2.5,H39&gt;21,0.5)</f>
        <v/>
      </c>
      <c r="L39" s="60">
        <f t="array" ref="L39">INDEX('Podium Target Times'!$C:$C, MATCH(A39&amp;B39, 'Podium Target Times'!$A:$A&amp;'Podium Target Times'!$B:$B, 0))
</f>
        <v/>
      </c>
      <c r="M39" s="66">
        <f>IFS(K39=0.5,M40+(F39-F41),K39=1,M40+(F39-F41), K39=1.5, M41+(F40-F42), K39=2, M41+(F40-F42), K39=2.5, M41+(F40-F42), K39=3, M41+(F40-F42))</f>
        <v/>
      </c>
      <c r="N39" s="60">
        <f>IF(M39&lt;60, TEXT(M39, "0.00"), TEXT(M39/(24*60*60), "M:SS.00"))</f>
        <v/>
      </c>
      <c r="O39" s="25">
        <f>IFERROR(__xludf.DUMMYFUNCTION("LET(
  gen,$A39, ev,$B39, t,$N39,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)"),663.0)</f>
        <v/>
      </c>
      <c r="P39" s="65" t="n"/>
      <c r="Q39" s="65" t="n"/>
      <c r="R39" s="69">
        <f>A39</f>
        <v/>
      </c>
      <c r="S39" s="65">
        <f>B39</f>
        <v/>
      </c>
      <c r="T39" s="69">
        <f>C39</f>
        <v/>
      </c>
      <c r="U39" s="58">
        <f>N39</f>
        <v/>
      </c>
      <c r="V39" s="69">
        <f>O39</f>
        <v/>
      </c>
      <c r="W39" s="65" t="n"/>
      <c r="X39" s="65" t="n"/>
      <c r="Y39" s="65" t="n"/>
    </row>
    <row r="40">
      <c r="A40" s="8" t="inlineStr">
        <is>
          <t>F</t>
        </is>
      </c>
      <c r="B40" s="9" t="inlineStr">
        <is>
          <t>100 Fly</t>
        </is>
      </c>
      <c r="C40" s="9" t="n">
        <v>16</v>
      </c>
      <c r="D40" s="9" t="n">
        <v>2</v>
      </c>
      <c r="E40" s="41" t="inlineStr">
        <is>
          <t>1:01.15</t>
        </is>
      </c>
      <c r="F40" s="35">
        <f>IFERROR(__xludf.DUMMYFUNCTION("IF(
  REGEXMATCH(E40, "":""),
  60*VALUE(INDEX(SPLIT(E40, "":""),1,1)) + VALUE(INDEX(SPLIT(E40, "":""),1,2)),
  VALUE(E40)
)"),61.15)</f>
        <v/>
      </c>
      <c r="G40" s="215">
        <f>C38</f>
        <v/>
      </c>
      <c r="H40" s="215">
        <f>C47</f>
        <v/>
      </c>
      <c r="I40" s="215">
        <f>C52</f>
        <v/>
      </c>
      <c r="J40" s="215">
        <f>C55</f>
        <v/>
      </c>
      <c r="K40" s="43">
        <f>IFS(H40=21,1,I40=21,2,J40=21,3,and(H40=20,I40=22),1.5, and(I40=20,J40=22),2.5,H40&gt;21,0.5)</f>
        <v/>
      </c>
      <c r="L40" s="43">
        <f t="array" ref="L40">INDEX('Podium Target Times'!$C:$C, MATCH(A40&amp;B40, 'Podium Target Times'!$A:$A&amp;'Podium Target Times'!$B:$B, 0))
</f>
        <v/>
      </c>
      <c r="M40" s="64">
        <f>IFS(K40=0.5,M41+(F40-F43),K40=1,M41+(F40-F43), K40=1.5, M41+(F40-F42), K40=2, M41+(F40-F42), K40=2.5, M41+(F40-F42), K40=3, M41+(F40-F42))</f>
        <v/>
      </c>
      <c r="N40" s="43">
        <f>IF(M40&lt;60, TEXT(M40, "0.00"), TEXT(M40/(24*60*60), "M:SS.00"))</f>
        <v/>
      </c>
      <c r="O40" s="14">
        <f>IFERROR(__xludf.DUMMYFUNCTION("LET(
  gen,$A40, ev,$B40, t,$N40,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)"),663.0)</f>
        <v/>
      </c>
      <c r="P40" s="65" t="n"/>
      <c r="Q40" s="65" t="n"/>
      <c r="R40" s="69">
        <f>A41</f>
        <v/>
      </c>
      <c r="S40" s="65">
        <f>B41</f>
        <v/>
      </c>
      <c r="T40" s="69">
        <f>C41</f>
        <v/>
      </c>
      <c r="U40" s="58">
        <f>N41</f>
        <v/>
      </c>
      <c r="V40" s="69">
        <f>O41</f>
        <v/>
      </c>
      <c r="W40" s="65" t="n"/>
      <c r="X40" s="65" t="n"/>
      <c r="Y40" s="65" t="n"/>
    </row>
    <row r="41">
      <c r="A41" s="17" t="inlineStr">
        <is>
          <t>F</t>
        </is>
      </c>
      <c r="B41" s="18" t="inlineStr">
        <is>
          <t>100 Fly</t>
        </is>
      </c>
      <c r="C41" s="18" t="n">
        <v>17</v>
      </c>
      <c r="D41" s="221" t="n">
        <v>1</v>
      </c>
      <c r="E41" s="46" t="inlineStr">
        <is>
          <t>59.56</t>
        </is>
      </c>
      <c r="F41" s="21">
        <f>IFERROR(__xludf.DUMMYFUNCTION("IF(
  REGEXMATCH(E41, "":""),
  60*VALUE(INDEX(SPLIT(E41, "":""),1,1)) + VALUE(INDEX(SPLIT(E41, "":""),1,2)),
  VALUE(E41)
)"),59.56)</f>
        <v/>
      </c>
      <c r="G41" s="211">
        <f>C38</f>
        <v/>
      </c>
      <c r="H41" s="211">
        <f>C47</f>
        <v/>
      </c>
      <c r="I41" s="211">
        <f>C52</f>
        <v/>
      </c>
      <c r="J41" s="211">
        <f>C55</f>
        <v/>
      </c>
      <c r="K41" s="60">
        <f>IFS(H41=21,1,I41=21,2,J41=21,3,and(H41=20,I41=22),1.5, and(I41=20,J41=22),2.5,H41&gt;21,0.5)</f>
        <v/>
      </c>
      <c r="L41" s="60">
        <f t="array" ref="L41">INDEX('Podium Target Times'!$C:$C, MATCH(A41&amp;B41, 'Podium Target Times'!$A:$A&amp;'Podium Target Times'!$B:$B, 0))
</f>
        <v/>
      </c>
      <c r="M41" s="66">
        <f>IFS(K41=0.5,M42+(F41-F44),K41=1,M42+(F41-F44), K41=1.5, M44+(F42-F45), K41=2, M44+(F42-F45), K41=2.5, M44+(F43-F46), K41=3, M44+(F43-F46))</f>
        <v/>
      </c>
      <c r="N41" s="60">
        <f>IF(M41&lt;60, TEXT(M41, "0.00"), TEXT(M41/(24*60*60), "M:SS.00"))</f>
        <v/>
      </c>
      <c r="O41" s="25">
        <f>IFERROR(__xludf.DUMMYFUNCTION("LET(
  gen,$A41, ev,$B41, t,$N41,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
      </c>
      <c r="P41" s="65" t="n"/>
      <c r="Q41" s="65" t="n"/>
      <c r="R41" s="69">
        <f>A44</f>
        <v/>
      </c>
      <c r="S41" s="65">
        <f>B44</f>
        <v/>
      </c>
      <c r="T41" s="69">
        <f>C44</f>
        <v/>
      </c>
      <c r="U41" s="58">
        <f>N44</f>
        <v/>
      </c>
      <c r="V41" s="69">
        <f>O44</f>
        <v/>
      </c>
      <c r="W41" s="65" t="n"/>
      <c r="X41" s="65" t="n"/>
      <c r="Y41" s="65" t="n"/>
    </row>
    <row r="42">
      <c r="A42" s="8" t="inlineStr">
        <is>
          <t>F</t>
        </is>
      </c>
      <c r="B42" s="9" t="inlineStr">
        <is>
          <t>100 Fly</t>
        </is>
      </c>
      <c r="C42" s="9" t="n">
        <v>17</v>
      </c>
      <c r="D42" s="9" t="n">
        <v>2</v>
      </c>
      <c r="E42" s="41" t="inlineStr">
        <is>
          <t>1:00.27</t>
        </is>
      </c>
      <c r="F42" s="35">
        <f>IFERROR(__xludf.DUMMYFUNCTION("IF(
  REGEXMATCH(E42, "":""),
  60*VALUE(INDEX(SPLIT(E42, "":""),1,1)) + VALUE(INDEX(SPLIT(E42, "":""),1,2)),
  VALUE(E42)
)"),60.27)</f>
        <v/>
      </c>
      <c r="G42" s="215">
        <f>C38</f>
        <v/>
      </c>
      <c r="H42" s="215">
        <f>C47</f>
        <v/>
      </c>
      <c r="I42" s="215">
        <f>C52</f>
        <v/>
      </c>
      <c r="J42" s="215">
        <f>C55</f>
        <v/>
      </c>
      <c r="K42" s="43">
        <f>IFS(H42=21,1,I42=21,2,J42=21,3,and(H42=20,I42=22),1.5, and(I42=20,J42=22),2.5,H42&gt;21,0.5)</f>
        <v/>
      </c>
      <c r="L42" s="43">
        <f t="array" ref="L42">INDEX('Podium Target Times'!$C:$C, MATCH(A42&amp;B42, 'Podium Target Times'!$A:$A&amp;'Podium Target Times'!$B:$B, 0))
</f>
        <v/>
      </c>
      <c r="M42" s="64">
        <f>IFS(K42=0.5,M43+(F41-F44),K42=1,M43+(F41-F44), K42=1.5, M44+(F42-F45), K42=2, M44+(F42-F45), K42=2.5, M44+(F43-F46), K42=3, M44+(F43-F46))</f>
        <v/>
      </c>
      <c r="N42" s="43">
        <f>IF(M42&lt;60, TEXT(M42, "0.00"), TEXT(M42/(24*60*60), "M:SS.00"))</f>
        <v/>
      </c>
      <c r="O42" s="14">
        <f>IFERROR(__xludf.DUMMYFUNCTION("LET(
  gen,$A42, ev,$B42, t,$N42,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
      </c>
      <c r="P42" s="65" t="n"/>
      <c r="Q42" s="65" t="n"/>
      <c r="R42" s="69">
        <f>A47</f>
        <v/>
      </c>
      <c r="S42" s="65">
        <f>B47</f>
        <v/>
      </c>
      <c r="T42" s="69">
        <f>C47</f>
        <v/>
      </c>
      <c r="U42" s="58">
        <f>N47</f>
        <v/>
      </c>
      <c r="V42" s="69">
        <f>O47</f>
        <v/>
      </c>
      <c r="W42" s="65" t="n"/>
      <c r="X42" s="65" t="n"/>
      <c r="Y42" s="65" t="n"/>
    </row>
    <row r="43">
      <c r="A43" s="17" t="inlineStr">
        <is>
          <t>F</t>
        </is>
      </c>
      <c r="B43" s="18" t="inlineStr">
        <is>
          <t>100 Fly</t>
        </is>
      </c>
      <c r="C43" s="18" t="n">
        <v>17</v>
      </c>
      <c r="D43" s="221" t="n">
        <v>3</v>
      </c>
      <c r="E43" s="46" t="inlineStr">
        <is>
          <t>1:00.47</t>
        </is>
      </c>
      <c r="F43" s="21">
        <f>IFERROR(__xludf.DUMMYFUNCTION("IF(
  REGEXMATCH(E43, "":""),
  60*VALUE(INDEX(SPLIT(E43, "":""),1,1)) + VALUE(INDEX(SPLIT(E43, "":""),1,2)),
  VALUE(E43)
)"),60.47)</f>
        <v/>
      </c>
      <c r="G43" s="211">
        <f>C38</f>
        <v/>
      </c>
      <c r="H43" s="211">
        <f>C47</f>
        <v/>
      </c>
      <c r="I43" s="211">
        <f>C52</f>
        <v/>
      </c>
      <c r="J43" s="211">
        <f>C55</f>
        <v/>
      </c>
      <c r="K43" s="60">
        <f>IFS(H43=21,1,I43=21,2,J43=21,3,and(H43=20,I43=22),1.5, and(I43=20,J43=22),2.5,H43&gt;21,0.5)</f>
        <v/>
      </c>
      <c r="L43" s="60">
        <f t="array" ref="L43">INDEX('Podium Target Times'!$C:$C, MATCH(A43&amp;B43, 'Podium Target Times'!$A:$A&amp;'Podium Target Times'!$B:$B, 0))
</f>
        <v/>
      </c>
      <c r="M43" s="66">
        <f>IFS(K43=0.5,M44+(F41-F44),K43=1,M44+(F41-F44), K43=1.5, M44+(F42-F45), K43=2, M44+(F42-F45), K43=2.5, M44+(F43-F46), K43=3, M44+(F43-F46))</f>
        <v/>
      </c>
      <c r="N43" s="60">
        <f>IF(M43&lt;60, TEXT(M43, "0.00"), TEXT(M43/(24*60*60), "M:SS.00"))</f>
        <v/>
      </c>
      <c r="O43" s="25">
        <f>IFERROR(__xludf.DUMMYFUNCTION("LET(
  gen,$A43, ev,$B43, t,$N43,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)"),691.0)</f>
        <v/>
      </c>
      <c r="P43" s="65" t="n"/>
      <c r="Q43" s="65" t="n"/>
      <c r="R43" s="69">
        <f>A50</f>
        <v/>
      </c>
      <c r="S43" s="65">
        <f>B50</f>
        <v/>
      </c>
      <c r="T43" s="69">
        <f>C50</f>
        <v/>
      </c>
      <c r="U43" s="58">
        <f>N50</f>
        <v/>
      </c>
      <c r="V43" s="69">
        <f>O50</f>
        <v/>
      </c>
      <c r="W43" s="65" t="n"/>
      <c r="X43" s="65" t="n"/>
      <c r="Y43" s="65" t="n"/>
    </row>
    <row r="44">
      <c r="A44" s="8" t="inlineStr">
        <is>
          <t>F</t>
        </is>
      </c>
      <c r="B44" s="9" t="inlineStr">
        <is>
          <t>100 Fly</t>
        </is>
      </c>
      <c r="C44" s="9" t="n">
        <v>18</v>
      </c>
      <c r="D44" s="219" t="n">
        <v>1</v>
      </c>
      <c r="E44" s="41" t="inlineStr">
        <is>
          <t>59.57</t>
        </is>
      </c>
      <c r="F44" s="35">
        <f>IFERROR(__xludf.DUMMYFUNCTION("IF(
  REGEXMATCH(E44, "":""),
  60*VALUE(INDEX(SPLIT(E44, "":""),1,1)) + VALUE(INDEX(SPLIT(E44, "":""),1,2)),
  VALUE(E44)
)"),59.57)</f>
        <v/>
      </c>
      <c r="G44" s="215">
        <f>C38</f>
        <v/>
      </c>
      <c r="H44" s="215">
        <f>C47</f>
        <v/>
      </c>
      <c r="I44" s="215">
        <f>C52</f>
        <v/>
      </c>
      <c r="J44" s="215">
        <f>C55</f>
        <v/>
      </c>
      <c r="K44" s="43">
        <f>IFS(H44=21,1,I44=21,2,J44=21,3,and(H44=20,I44=22),1.5, and(I44=20,J44=22),2.5,H44&gt;21,0.5)</f>
        <v/>
      </c>
      <c r="L44" s="43">
        <f t="array" ref="L44">INDEX('Podium Target Times'!$C:$C, MATCH(A44&amp;B44, 'Podium Target Times'!$A:$A&amp;'Podium Target Times'!$B:$B, 0))
</f>
        <v/>
      </c>
      <c r="M44" s="64">
        <f>IFS(K44=0.5,L44,K44=1,U42+(F44-F47), K44=1.5, M47+(F45-F48), K44=2, M47+(F45-F48), K44=2.5, M47+(F46-F49), K44=3, M47+(F46-F49))</f>
        <v/>
      </c>
      <c r="N44" s="43">
        <f>IF(M44&lt;60, TEXT(M44, "0.00"), TEXT(M44/(24*60*60), "M:SS.00"))</f>
        <v/>
      </c>
      <c r="O44" s="14">
        <f>IFERROR(__xludf.DUMMYFUNCTION("LET(
  gen,$A44, ev,$B44, t,$N44,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
      </c>
      <c r="P44" s="65" t="n"/>
      <c r="Q44" s="65" t="n"/>
      <c r="R44" s="69">
        <f>A52</f>
        <v/>
      </c>
      <c r="S44" s="65">
        <f>B52</f>
        <v/>
      </c>
      <c r="T44" s="69">
        <f>C52</f>
        <v/>
      </c>
      <c r="U44" s="58">
        <f>N52</f>
        <v/>
      </c>
      <c r="V44" s="69">
        <f>O52</f>
        <v/>
      </c>
      <c r="W44" s="65" t="n"/>
      <c r="X44" s="65" t="n"/>
      <c r="Y44" s="65" t="n"/>
    </row>
    <row r="45">
      <c r="A45" s="17" t="inlineStr">
        <is>
          <t>F</t>
        </is>
      </c>
      <c r="B45" s="18" t="inlineStr">
        <is>
          <t>100 Fly</t>
        </is>
      </c>
      <c r="C45" s="18" t="n">
        <v>18</v>
      </c>
      <c r="D45" s="18" t="n">
        <v>2</v>
      </c>
      <c r="E45" s="46" t="inlineStr">
        <is>
          <t>59.77</t>
        </is>
      </c>
      <c r="F45" s="21">
        <f>IFERROR(__xludf.DUMMYFUNCTION("IF(
  REGEXMATCH(E45, "":""),
  60*VALUE(INDEX(SPLIT(E45, "":""),1,1)) + VALUE(INDEX(SPLIT(E45, "":""),1,2)),
  VALUE(E45)
)"),59.77)</f>
        <v/>
      </c>
      <c r="G45" s="211">
        <f>C38</f>
        <v/>
      </c>
      <c r="H45" s="211">
        <f>C47</f>
        <v/>
      </c>
      <c r="I45" s="211">
        <f>C52</f>
        <v/>
      </c>
      <c r="J45" s="211">
        <f>C55</f>
        <v/>
      </c>
      <c r="K45" s="60">
        <f>IFS(H45=21,1,I45=21,2,J45=21,3,and(H45=20,I45=22),1.5, and(I45=20,J45=22),2.5,H45&gt;21,0.5)</f>
        <v/>
      </c>
      <c r="L45" s="60">
        <f t="array" ref="L45">INDEX('Podium Target Times'!$C:$C, MATCH(A45&amp;B45, 'Podium Target Times'!$A:$A&amp;'Podium Target Times'!$B:$B, 0))
</f>
        <v/>
      </c>
      <c r="M45" s="66">
        <f>IFS(K45=0.5,L45,K45=1,U42+(F44-F47), K45=1.5, M47+(F45-F48), K45=2, M47+(F45-F48), K45=2.5, M47+(F46-F49), K45=3, M47+(F46-F49))</f>
        <v/>
      </c>
      <c r="N45" s="60">
        <f>IF(M45&lt;60, TEXT(M45, "0.00"), TEXT(M45/(24*60*60), "M:SS.00"))</f>
        <v/>
      </c>
      <c r="O45" s="25">
        <f>IFERROR(__xludf.DUMMYFUNCTION("LET(
  gen,$A45, ev,$B45, t,$N45,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
      </c>
      <c r="P45" s="65" t="n"/>
      <c r="Q45" s="65" t="n"/>
      <c r="R45" s="69" t="n"/>
      <c r="S45" s="65" t="n"/>
      <c r="T45" s="69" t="n"/>
      <c r="U45" s="58" t="n"/>
      <c r="V45" s="69" t="n"/>
      <c r="W45" s="65" t="n"/>
      <c r="X45" s="65" t="n"/>
      <c r="Y45" s="65" t="n"/>
    </row>
    <row r="46">
      <c r="A46" s="8" t="inlineStr">
        <is>
          <t>F</t>
        </is>
      </c>
      <c r="B46" s="9" t="inlineStr">
        <is>
          <t>100 Fly</t>
        </is>
      </c>
      <c r="C46" s="9" t="n">
        <v>18</v>
      </c>
      <c r="D46" s="219" t="n">
        <v>3</v>
      </c>
      <c r="E46" s="41" t="inlineStr">
        <is>
          <t>59.77</t>
        </is>
      </c>
      <c r="F46" s="35">
        <f>IFERROR(__xludf.DUMMYFUNCTION("IF(
  REGEXMATCH(E46, "":""),
  60*VALUE(INDEX(SPLIT(E46, "":""),1,1)) + VALUE(INDEX(SPLIT(E46, "":""),1,2)),
  VALUE(E46)
)"),59.77)</f>
        <v/>
      </c>
      <c r="G46" s="215">
        <f>C38</f>
        <v/>
      </c>
      <c r="H46" s="215">
        <f>C47</f>
        <v/>
      </c>
      <c r="I46" s="215">
        <f>C52</f>
        <v/>
      </c>
      <c r="J46" s="215">
        <f>C55</f>
        <v/>
      </c>
      <c r="K46" s="43">
        <f>IFS(H46=21,1,I46=21,2,J46=21,3,and(H46=20,I46=22),1.5, and(I46=20,J46=22),2.5,H46&gt;21,0.5)</f>
        <v/>
      </c>
      <c r="L46" s="43">
        <f t="array" ref="L46">INDEX('Podium Target Times'!$C:$C, MATCH(A46&amp;B46, 'Podium Target Times'!$A:$A&amp;'Podium Target Times'!$B:$B, 0))
</f>
        <v/>
      </c>
      <c r="M46" s="64">
        <f>IFS(K46=0.5,L46,K46=1,U42+(F44-F47), K46=1.5, M47+(F45-F48), K46=2, M47+(F45-F48), K46=2.5, M47+(F46-F49), K46=3, M47+(F46-F49))</f>
        <v/>
      </c>
      <c r="N46" s="43">
        <f>IF(M46&lt;60, TEXT(M46, "0.00"), TEXT(M46/(24*60*60), "M:SS.00"))</f>
        <v/>
      </c>
      <c r="O46" s="14">
        <f>IFERROR(__xludf.DUMMYFUNCTION("LET(
  gen,$A46, ev,$B46, t,$N46,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)"),708.0)</f>
        <v/>
      </c>
      <c r="P46" s="65" t="n"/>
      <c r="Q46" s="65" t="n"/>
      <c r="R46" s="69" t="n"/>
      <c r="S46" s="65" t="n"/>
      <c r="T46" s="69" t="n"/>
      <c r="U46" s="58" t="n"/>
      <c r="V46" s="69" t="n"/>
      <c r="W46" s="65" t="n"/>
      <c r="X46" s="65" t="n"/>
      <c r="Y46" s="65" t="n"/>
    </row>
    <row r="47">
      <c r="A47" s="17" t="inlineStr">
        <is>
          <t>F</t>
        </is>
      </c>
      <c r="B47" s="18" t="inlineStr">
        <is>
          <t>100 Fly</t>
        </is>
      </c>
      <c r="C47" s="18" t="n">
        <v>19</v>
      </c>
      <c r="D47" s="221" t="n">
        <v>1</v>
      </c>
      <c r="E47" s="46" t="inlineStr">
        <is>
          <t>58.33</t>
        </is>
      </c>
      <c r="F47" s="21">
        <f>IFERROR(__xludf.DUMMYFUNCTION("IF(
  REGEXMATCH(E47, "":""),
  60*VALUE(INDEX(SPLIT(E47, "":""),1,1)) + VALUE(INDEX(SPLIT(E47, "":""),1,2)),
  VALUE(E47)
)"),58.33)</f>
        <v/>
      </c>
      <c r="G47" s="211">
        <f>C38</f>
        <v/>
      </c>
      <c r="H47" s="211">
        <f>C47</f>
        <v/>
      </c>
      <c r="I47" s="211">
        <f>C52</f>
        <v/>
      </c>
      <c r="J47" s="211">
        <f>C55</f>
        <v/>
      </c>
      <c r="K47" s="60">
        <f>IFS(H47=21,1,I47=21,2,J47=21,3,and(H47=20,I47=22),1.5, and(I47=20,J47=22),2.5,H47&gt;21,0.5)</f>
        <v/>
      </c>
      <c r="L47" s="60">
        <f t="array" ref="L47">INDEX('Podium Target Times'!$C:$C, MATCH(A47&amp;B47, 'Podium Target Times'!$A:$A&amp;'Podium Target Times'!$B:$B, 0))
</f>
        <v/>
      </c>
      <c r="M47" s="66">
        <f>IFS(K47=0.5,L47,K47=1,L47, K47=1.5, M50+(F48-F50), K47=2, M50+(F48-F50), K47=2.5, M50+(F49-F51), K47=3, M50+(F49-F51))</f>
        <v/>
      </c>
      <c r="N47" s="60">
        <f>IF(M47&lt;60, TEXT(M47, "0.00"), TEXT(M47/(24*60*60), "M:SS.00"))</f>
        <v/>
      </c>
      <c r="O47" s="25">
        <f>IFERROR(__xludf.DUMMYFUNCTION("LET(
  gen,$A47, ev,$B47, t,$N47,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
      </c>
      <c r="P47" s="65" t="n"/>
      <c r="Q47" s="65" t="n"/>
      <c r="R47" s="69" t="n"/>
      <c r="S47" s="65" t="n"/>
      <c r="T47" s="69" t="n"/>
      <c r="U47" s="58" t="n"/>
      <c r="V47" s="69" t="n"/>
      <c r="W47" s="65" t="n"/>
      <c r="X47" s="65" t="n"/>
      <c r="Y47" s="65" t="n"/>
    </row>
    <row r="48">
      <c r="A48" s="8" t="inlineStr">
        <is>
          <t>F</t>
        </is>
      </c>
      <c r="B48" s="9" t="inlineStr">
        <is>
          <t>100 Fly</t>
        </is>
      </c>
      <c r="C48" s="9" t="n">
        <v>19</v>
      </c>
      <c r="D48" s="9" t="n">
        <v>2</v>
      </c>
      <c r="E48" s="41" t="inlineStr">
        <is>
          <t>59.03</t>
        </is>
      </c>
      <c r="F48" s="35">
        <f>IFERROR(__xludf.DUMMYFUNCTION("IF(
  REGEXMATCH(E48, "":""),
  60*VALUE(INDEX(SPLIT(E48, "":""),1,1)) + VALUE(INDEX(SPLIT(E48, "":""),1,2)),
  VALUE(E48)
)"),59.03)</f>
        <v/>
      </c>
      <c r="G48" s="215">
        <f>C38</f>
        <v/>
      </c>
      <c r="H48" s="215">
        <f>C47</f>
        <v/>
      </c>
      <c r="I48" s="215">
        <f>C52</f>
        <v/>
      </c>
      <c r="J48" s="215">
        <f>C55</f>
        <v/>
      </c>
      <c r="K48" s="43">
        <f>IFS(H48=21,1,I48=21,2,J48=21,3,and(H48=20,I48=22),1.5, and(I48=20,J48=22),2.5,H48&gt;21,0.5)</f>
        <v/>
      </c>
      <c r="L48" s="43">
        <f t="array" ref="L48">INDEX('Podium Target Times'!$C:$C, MATCH(A48&amp;B48, 'Podium Target Times'!$A:$A&amp;'Podium Target Times'!$B:$B, 0))
</f>
        <v/>
      </c>
      <c r="M48" s="64">
        <f>IFS(K48=0.5,L48,K48=1,L48, K48=1.5, M50+(F48-F50), K48=2, M50+(F48-F50), K48=2.5, M50+(F49-F51), K48=3, M50+(F49-F51))</f>
        <v/>
      </c>
      <c r="N48" s="43">
        <f>IF(M48&lt;60, TEXT(M48, "0.00"), TEXT(M48/(24*60*60), "M:SS.00"))</f>
        <v/>
      </c>
      <c r="O48" s="14">
        <f>IFERROR(__xludf.DUMMYFUNCTION("LET(
  gen,$A48, ev,$B48, t,$N48,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
      </c>
      <c r="P48" s="65" t="n"/>
      <c r="Q48" s="65" t="n"/>
      <c r="R48" s="69" t="n"/>
      <c r="S48" s="65" t="n"/>
      <c r="T48" s="69" t="n"/>
      <c r="U48" s="58" t="n"/>
      <c r="V48" s="69" t="n"/>
      <c r="W48" s="65" t="n"/>
      <c r="X48" s="65" t="n"/>
      <c r="Y48" s="65" t="n"/>
    </row>
    <row r="49">
      <c r="A49" s="17" t="inlineStr">
        <is>
          <t>F</t>
        </is>
      </c>
      <c r="B49" s="18" t="inlineStr">
        <is>
          <t>100 Fly</t>
        </is>
      </c>
      <c r="C49" s="18" t="n">
        <v>19</v>
      </c>
      <c r="D49" s="221" t="n">
        <v>3</v>
      </c>
      <c r="E49" s="46" t="inlineStr">
        <is>
          <t>59.22</t>
        </is>
      </c>
      <c r="F49" s="21">
        <f>IFERROR(__xludf.DUMMYFUNCTION("IF(
  REGEXMATCH(E49, "":""),
  60*VALUE(INDEX(SPLIT(E49, "":""),1,1)) + VALUE(INDEX(SPLIT(E49, "":""),1,2)),
  VALUE(E49)
)"),59.22)</f>
        <v/>
      </c>
      <c r="G49" s="211">
        <f>C38</f>
        <v/>
      </c>
      <c r="H49" s="211">
        <f>C47</f>
        <v/>
      </c>
      <c r="I49" s="211">
        <f>C52</f>
        <v/>
      </c>
      <c r="J49" s="211">
        <f>C55</f>
        <v/>
      </c>
      <c r="K49" s="60">
        <f>IFS(H49=21,1,I49=21,2,J49=21,3,and(H49=20,I49=22),1.5, and(I49=20,J49=22),2.5,H49&gt;21,0.5)</f>
        <v/>
      </c>
      <c r="L49" s="60">
        <f t="array" ref="L49">INDEX('Podium Target Times'!$C:$C, MATCH(A49&amp;B49, 'Podium Target Times'!$A:$A&amp;'Podium Target Times'!$B:$B, 0))
</f>
        <v/>
      </c>
      <c r="M49" s="66">
        <f>IFS(K49=0.5,L49,K49=1,L49, K49=1.5, M50+(F48-F50), K49=2, M50+(F48-F50), K49=2.5, M50+(F49-F51), K49=3, M50+(F49-F51))</f>
        <v/>
      </c>
      <c r="N49" s="60">
        <f>IF(M49&lt;60, TEXT(M49, "0.00"), TEXT(M49/(24*60*60), "M:SS.00"))</f>
        <v/>
      </c>
      <c r="O49" s="25">
        <f>IFERROR(__xludf.DUMMYFUNCTION("LET(
  gen,$A49, ev,$B49, t,$N49,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
      </c>
      <c r="P49" s="65" t="n"/>
      <c r="Q49" s="65" t="n"/>
      <c r="R49" s="69" t="n"/>
      <c r="S49" s="65" t="n"/>
      <c r="T49" s="69" t="n"/>
      <c r="U49" s="58" t="n"/>
      <c r="V49" s="69" t="n"/>
      <c r="W49" s="65" t="n"/>
      <c r="X49" s="65" t="n"/>
      <c r="Y49" s="65" t="n"/>
    </row>
    <row r="50">
      <c r="A50" s="8" t="inlineStr">
        <is>
          <t>F</t>
        </is>
      </c>
      <c r="B50" s="9" t="inlineStr">
        <is>
          <t>100 Fly</t>
        </is>
      </c>
      <c r="C50" s="9" t="n">
        <v>20</v>
      </c>
      <c r="D50" s="9" t="n">
        <v>2</v>
      </c>
      <c r="E50" s="41" t="inlineStr">
        <is>
          <t>58.60</t>
        </is>
      </c>
      <c r="F50" s="35">
        <f>IFERROR(__xludf.DUMMYFUNCTION("IF(
  REGEXMATCH(E50, "":""),
  60*VALUE(INDEX(SPLIT(E50, "":""),1,1)) + VALUE(INDEX(SPLIT(E50, "":""),1,2)),
  VALUE(E50)
)"),58.6)</f>
        <v/>
      </c>
      <c r="G50" s="215">
        <f>C38</f>
        <v/>
      </c>
      <c r="H50" s="215">
        <f>C47</f>
        <v/>
      </c>
      <c r="I50" s="215">
        <f>C52</f>
        <v/>
      </c>
      <c r="J50" s="215">
        <f>C55</f>
        <v/>
      </c>
      <c r="K50" s="43">
        <f>IFS(H50=21,1,I50=21,2,J50=21,3,and(H50=20,I50=22),1.5, and(I50=20,J50=22),2.5,H50&gt;21,0.5)</f>
        <v/>
      </c>
      <c r="L50" s="43">
        <f t="array" ref="L50">INDEX('Podium Target Times'!$C:$C, MATCH(A50&amp;B50, 'Podium Target Times'!$A:$A&amp;'Podium Target Times'!$B:$B, 0))
</f>
        <v/>
      </c>
      <c r="M50" s="64">
        <f>IFS(K50=0.5,L50,K50=1,L50, K50=1.5, L50, K50=2, M52+(F50-F52), K50=2.5, M52+(F51-F53), K50=3, M52+(F51-F53))</f>
        <v/>
      </c>
      <c r="N50" s="43">
        <f>IF(M50&lt;60, TEXT(M50, "0.00"), TEXT(M50/(24*60*60), "M:SS.00"))</f>
        <v/>
      </c>
      <c r="O50" s="14">
        <f>IFERROR(__xludf.DUMMYFUNCTION("LET(
  gen,$A50, ev,$B50, t,$N50,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)"),750.0)</f>
        <v/>
      </c>
      <c r="P50" s="65" t="n"/>
      <c r="Q50" s="65" t="n"/>
      <c r="R50" s="69" t="n"/>
      <c r="S50" s="65" t="n"/>
      <c r="T50" s="69" t="n"/>
      <c r="U50" s="58" t="n"/>
      <c r="V50" s="69" t="n"/>
      <c r="W50" s="65" t="n"/>
      <c r="X50" s="65" t="n"/>
      <c r="Y50" s="65" t="n"/>
    </row>
    <row r="51">
      <c r="A51" s="17" t="inlineStr">
        <is>
          <t>F</t>
        </is>
      </c>
      <c r="B51" s="18" t="inlineStr">
        <is>
          <t>100 Fly</t>
        </is>
      </c>
      <c r="C51" s="18" t="n">
        <v>20</v>
      </c>
      <c r="D51" s="221" t="n">
        <v>3</v>
      </c>
      <c r="E51" s="46" t="inlineStr">
        <is>
          <t>58.80</t>
        </is>
      </c>
      <c r="F51" s="21">
        <f>IFERROR(__xludf.DUMMYFUNCTION("IF(
  REGEXMATCH(E51, "":""),
  60*VALUE(INDEX(SPLIT(E51, "":""),1,1)) + VALUE(INDEX(SPLIT(E51, "":""),1,2)),
  VALUE(E51)
)"),58.8)</f>
        <v/>
      </c>
      <c r="G51" s="211">
        <f>C38</f>
        <v/>
      </c>
      <c r="H51" s="211">
        <f>C47</f>
        <v/>
      </c>
      <c r="I51" s="211">
        <f>C52</f>
        <v/>
      </c>
      <c r="J51" s="211">
        <f>C55</f>
        <v/>
      </c>
      <c r="K51" s="60">
        <f>IFS(H51=21,1,I51=21,2,J51=21,3,and(H51=20,I51=22),1.5, and(I51=20,J51=22),2.5,H51&gt;21,0.5)</f>
        <v/>
      </c>
      <c r="L51" s="60">
        <f t="array" ref="L51">INDEX('Podium Target Times'!$C:$C, MATCH(A51&amp;B51, 'Podium Target Times'!$A:$A&amp;'Podium Target Times'!$B:$B, 0))
</f>
        <v/>
      </c>
      <c r="M51" s="66">
        <f>IFS(K51=0.5,L51,K51=1,L51, K51=1.5, L51, K51=2, M52+(F50-F52), K51=2.5, M52+(F51-F53), K51=3, M52+(F51-F53))</f>
        <v/>
      </c>
      <c r="N51" s="60">
        <f>IF(M51&lt;60, TEXT(M51, "0.00"), TEXT(M51/(24*60*60), "M:SS.00"))</f>
        <v/>
      </c>
      <c r="O51" s="25">
        <f>IFERROR(__xludf.DUMMYFUNCTION("LET(
  gen,$A51, ev,$B51, t,$N51,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)"),750.0)</f>
        <v/>
      </c>
      <c r="P51" s="65" t="n"/>
      <c r="Q51" s="65" t="n"/>
      <c r="R51" s="69" t="n"/>
      <c r="S51" s="65" t="n"/>
      <c r="T51" s="69" t="n"/>
      <c r="U51" s="58" t="n"/>
      <c r="V51" s="69" t="n"/>
      <c r="W51" s="65" t="n"/>
      <c r="X51" s="65" t="n"/>
      <c r="Y51" s="65" t="n"/>
    </row>
    <row r="52">
      <c r="A52" s="8" t="inlineStr">
        <is>
          <t>F</t>
        </is>
      </c>
      <c r="B52" s="9" t="inlineStr">
        <is>
          <t>100 Fly</t>
        </is>
      </c>
      <c r="C52" s="9" t="n">
        <v>21</v>
      </c>
      <c r="D52" s="219" t="n">
        <v>2</v>
      </c>
      <c r="E52" s="41" t="inlineStr">
        <is>
          <t>58.33</t>
        </is>
      </c>
      <c r="F52" s="35">
        <f>IFERROR(__xludf.DUMMYFUNCTION("IF(
  REGEXMATCH(E52, "":""),
  60*VALUE(INDEX(SPLIT(E52, "":""),1,1)) + VALUE(INDEX(SPLIT(E52, "":""),1,2)),
  VALUE(E52)
)"),58.33)</f>
        <v/>
      </c>
      <c r="G52" s="215">
        <f>C38</f>
        <v/>
      </c>
      <c r="H52" s="215">
        <f>C47</f>
        <v/>
      </c>
      <c r="I52" s="215">
        <f>C52</f>
        <v/>
      </c>
      <c r="J52" s="215">
        <f>C55</f>
        <v/>
      </c>
      <c r="K52" s="43">
        <f>IFS(H52=21,1,I52=21,2,J52=21,3,and(H52=20,I52=22),1.5, and(I52=20,J52=22),2.5,H52&gt;21,0.5)</f>
        <v/>
      </c>
      <c r="L52" s="43">
        <f t="array" ref="L52">INDEX('Podium Target Times'!$C:$C, MATCH(A52&amp;B52, 'Podium Target Times'!$A:$A&amp;'Podium Target Times'!$B:$B, 0))
</f>
        <v/>
      </c>
      <c r="M52" s="64">
        <f>IFS(K52=0.5,L52,K52=1,L52, K52=1.5, L52, K52=2,L55, K52=2.5, M54+(F53-F54), K52=3,  M54+(F53-F54))</f>
        <v/>
      </c>
      <c r="N52" s="43">
        <f>IF(M52&lt;60, TEXT(M52, "0.00"), TEXT(M52/(24*60*60), "M:SS.00"))</f>
        <v/>
      </c>
      <c r="O52" s="14">
        <f>IFERROR(__xludf.DUMMYFUNCTION("LET(
  gen,$A52, ev,$B52, t,$N52,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P52" s="65" t="n"/>
      <c r="Q52" s="65" t="n"/>
      <c r="R52" s="69" t="n"/>
      <c r="S52" s="65" t="n"/>
      <c r="T52" s="69" t="n"/>
      <c r="U52" s="58" t="n"/>
      <c r="V52" s="69" t="n"/>
      <c r="W52" s="65" t="n"/>
      <c r="X52" s="65" t="n"/>
      <c r="Y52" s="65" t="n"/>
    </row>
    <row r="53">
      <c r="A53" s="17" t="inlineStr">
        <is>
          <t>F</t>
        </is>
      </c>
      <c r="B53" s="18" t="inlineStr">
        <is>
          <t>100 Fly</t>
        </is>
      </c>
      <c r="C53" s="18" t="n">
        <v>21</v>
      </c>
      <c r="D53" s="221" t="n">
        <v>3</v>
      </c>
      <c r="E53" s="46" t="inlineStr">
        <is>
          <t>58.52</t>
        </is>
      </c>
      <c r="F53" s="21">
        <f>IFERROR(__xludf.DUMMYFUNCTION("IF(
  REGEXMATCH(E53, "":""),
  60*VALUE(INDEX(SPLIT(E53, "":""),1,1)) + VALUE(INDEX(SPLIT(E53, "":""),1,2)),
  VALUE(E53)
)"),58.52)</f>
        <v/>
      </c>
      <c r="G53" s="211">
        <f>C38</f>
        <v/>
      </c>
      <c r="H53" s="211">
        <f>C47</f>
        <v/>
      </c>
      <c r="I53" s="211">
        <f>C52</f>
        <v/>
      </c>
      <c r="J53" s="211">
        <f>C55</f>
        <v/>
      </c>
      <c r="K53" s="60">
        <f>IFS(H53=21,1,I53=21,2,J53=21,3,and(H53=20,I53=22),1.5, and(I53=20,J53=22),2.5,H53&gt;21,0.5)</f>
        <v/>
      </c>
      <c r="L53" s="60">
        <f t="array" ref="L53">INDEX('Podium Target Times'!$C:$C, MATCH(A53&amp;B53, 'Podium Target Times'!$A:$A&amp;'Podium Target Times'!$B:$B, 0))
</f>
        <v/>
      </c>
      <c r="M53" s="66">
        <f>IFS(K53=0.5,L53,K53=1,L53, K53=1.5, L53, K53=2, L55, K53=2.5, M54+(F53-F54), K53=3, M54+(F53-F54))</f>
        <v/>
      </c>
      <c r="N53" s="60">
        <f>IF(M53&lt;60, TEXT(M53, "0.00"), TEXT(M53/(24*60*60), "M:SS.00"))</f>
        <v/>
      </c>
      <c r="O53" s="25">
        <f>IFERROR(__xludf.DUMMYFUNCTION("LET(
  gen,$A53, ev,$B53, t,$N53,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P53" s="65" t="n"/>
      <c r="Q53" s="65" t="n"/>
      <c r="R53" s="69" t="n"/>
      <c r="S53" s="65" t="n"/>
      <c r="T53" s="69" t="n"/>
      <c r="U53" s="58" t="n"/>
      <c r="V53" s="69" t="n"/>
      <c r="W53" s="65" t="n"/>
      <c r="X53" s="65" t="n"/>
      <c r="Y53" s="65" t="n"/>
    </row>
    <row r="54">
      <c r="A54" s="8" t="inlineStr">
        <is>
          <t>F</t>
        </is>
      </c>
      <c r="B54" s="9" t="inlineStr">
        <is>
          <t>100 Fly</t>
        </is>
      </c>
      <c r="C54" s="9" t="n">
        <v>22</v>
      </c>
      <c r="D54" s="219" t="n">
        <v>3</v>
      </c>
      <c r="E54" s="41" t="inlineStr">
        <is>
          <t>58.38</t>
        </is>
      </c>
      <c r="F54" s="35">
        <f>IFERROR(__xludf.DUMMYFUNCTION("IF(
  REGEXMATCH(E54, "":""),
  60*VALUE(INDEX(SPLIT(E54, "":""),1,1)) + VALUE(INDEX(SPLIT(E54, "":""),1,2)),
  VALUE(E54)
)"),58.38)</f>
        <v/>
      </c>
      <c r="G54" s="215">
        <f>C38</f>
        <v/>
      </c>
      <c r="H54" s="215">
        <f>C47</f>
        <v/>
      </c>
      <c r="I54" s="215">
        <f>C52</f>
        <v/>
      </c>
      <c r="J54" s="215">
        <f>C55</f>
        <v/>
      </c>
      <c r="K54" s="43">
        <f>IFS(H54=21,1,I54=21,2,J54=21,3,and(H54=20,I54=22),1.5, and(I54=20,J54=22),2.5,H54&gt;21,0.5)</f>
        <v/>
      </c>
      <c r="L54" s="43">
        <f t="array" ref="L54">INDEX('Podium Target Times'!$C:$C, MATCH(A54&amp;B54, 'Podium Target Times'!$A:$A&amp;'Podium Target Times'!$B:$B, 0))
</f>
        <v/>
      </c>
      <c r="M54" s="64">
        <f>IFS(K54=0.5,L54,K54=1,L54, K54=1.5, L54, K54=2, L55, K54=2.5, L55, K54=3, M55+(F54-F55))</f>
        <v/>
      </c>
      <c r="N54" s="43">
        <f>IF(M54&lt;60, TEXT(M54, "0.00"), TEXT(M54/(24*60*60), "M:SS.00"))</f>
        <v/>
      </c>
      <c r="O54" s="14">
        <f>IFERROR(__xludf.DUMMYFUNCTION("LET(
  gen,$A54, ev,$B54, t,$N54,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P54" s="65" t="n"/>
      <c r="Q54" s="65" t="n"/>
      <c r="R54" s="69" t="n"/>
      <c r="S54" s="65" t="n"/>
      <c r="T54" s="69" t="n"/>
      <c r="U54" s="58" t="n"/>
      <c r="V54" s="69" t="n"/>
      <c r="W54" s="65" t="n"/>
      <c r="X54" s="65" t="n"/>
      <c r="Y54" s="65" t="n"/>
    </row>
    <row r="55">
      <c r="A55" s="17" t="inlineStr">
        <is>
          <t>F</t>
        </is>
      </c>
      <c r="B55" s="18" t="inlineStr">
        <is>
          <t>100 Fly</t>
        </is>
      </c>
      <c r="C55" s="18" t="n">
        <v>23</v>
      </c>
      <c r="D55" s="221" t="n">
        <v>3</v>
      </c>
      <c r="E55" s="46" t="inlineStr">
        <is>
          <t>58.33</t>
        </is>
      </c>
      <c r="F55" s="21">
        <f>IFERROR(__xludf.DUMMYFUNCTION("IF(
  REGEXMATCH(E55, "":""),
  60*VALUE(INDEX(SPLIT(E55, "":""),1,1)) + VALUE(INDEX(SPLIT(E55, "":""),1,2)),
  VALUE(E55)
)"),58.33)</f>
        <v/>
      </c>
      <c r="G55" s="211">
        <f>C38</f>
        <v/>
      </c>
      <c r="H55" s="211">
        <f>C47</f>
        <v/>
      </c>
      <c r="I55" s="211">
        <f>C52</f>
        <v/>
      </c>
      <c r="J55" s="211">
        <f>C55</f>
        <v/>
      </c>
      <c r="K55" s="60">
        <f>IFS(H55=21,1,I55=21,2,J55=21,3,and(H55=20,I55=22),1.5, and(I55=20,J55=22),2.5,H55&gt;21,0.5)</f>
        <v/>
      </c>
      <c r="L55" s="60">
        <f t="array" ref="L55">INDEX('Podium Target Times'!$C:$C, MATCH(A55&amp;B55, 'Podium Target Times'!$A:$A&amp;'Podium Target Times'!$B:$B, 0))
</f>
        <v/>
      </c>
      <c r="M55" s="66">
        <f>IFS(K55=0.5,L55,K55=1,L55, K55=1.5, L55, K55=2, L55, K55=2.5, L55, K55=3, L55)</f>
        <v/>
      </c>
      <c r="N55" s="60">
        <f>IF(M55&lt;60, TEXT(M55, "0.00"), TEXT(M55/(24*60*60), "M:SS.00"))</f>
        <v/>
      </c>
      <c r="O55" s="25">
        <f>IFERROR(__xludf.DUMMYFUNCTION("LET(
  gen,$A55, ev,$B55, t,$N55,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P55" s="65" t="n"/>
      <c r="Q55" s="65" t="n"/>
      <c r="R55" s="69" t="n"/>
      <c r="S55" s="65" t="n"/>
      <c r="T55" s="69" t="n"/>
      <c r="U55" s="58" t="n"/>
      <c r="V55" s="69" t="n"/>
      <c r="W55" s="65" t="n"/>
      <c r="X55" s="65" t="n"/>
      <c r="Y55" s="65" t="n"/>
    </row>
    <row r="56">
      <c r="A56" s="8" t="inlineStr">
        <is>
          <t>F</t>
        </is>
      </c>
      <c r="B56" s="9" t="inlineStr">
        <is>
          <t>100 Free</t>
        </is>
      </c>
      <c r="C56" s="9" t="n">
        <v>15</v>
      </c>
      <c r="D56" s="9" t="n">
        <v>1</v>
      </c>
      <c r="E56" s="483" t="inlineStr">
        <is>
          <t>56.85</t>
        </is>
      </c>
      <c r="F56" s="35">
        <f>IFERROR(__xludf.DUMMYFUNCTION("IF(
  REGEXMATCH(E56, "":""),
  60*VALUE(INDEX(SPLIT(E56, "":""),1,1)) + VALUE(INDEX(SPLIT(E56, "":""),1,2)),
  VALUE(E56)
)"),56.85)</f>
        <v/>
      </c>
      <c r="G56" s="43">
        <f>C56</f>
        <v/>
      </c>
      <c r="H56" s="43">
        <f>C65</f>
        <v/>
      </c>
      <c r="I56" s="43">
        <f>C70</f>
        <v/>
      </c>
      <c r="J56" s="43">
        <f>C73</f>
        <v/>
      </c>
      <c r="K56" s="43">
        <f>IFS(H56=21,1,I56=21,2,J56=21,3,and(H56=20,I56=22),1.5, and(I56=20,J56=22),2.5,H56&gt;21,0.5)</f>
        <v/>
      </c>
      <c r="L56" s="43">
        <f t="array" ref="L56">INDEX('Podium Target Times'!$C:$C, MATCH(A56&amp;B56, 'Podium Target Times'!$A:$A&amp;'Podium Target Times'!$B:$B, 0))
</f>
        <v/>
      </c>
      <c r="M56" s="64">
        <f>IFS(K56=0.5,M57+(F56-F57),K56=1,M57+(F56-F57), K56=1.5, M57+(F56-F57), K56=2, M57+(F56-F57), K56=2.5, M57+(F56-F57), K56=3, M57+(F56-F57))</f>
        <v/>
      </c>
      <c r="N56" s="43">
        <f>IF(M56&lt;60, TEXT(M56, "0.00"), TEXT(M56/(24*60*60), "M:SS.00"))</f>
        <v/>
      </c>
      <c r="O56" s="14">
        <f>IFERROR(__xludf.DUMMYFUNCTION("LET(
  gen,$A56, ev,$B56, t,$N56,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)"),651.0)</f>
        <v/>
      </c>
      <c r="P56" s="65" t="n"/>
      <c r="Q56" s="65" t="n"/>
      <c r="R56" s="69">
        <f>A56</f>
        <v/>
      </c>
      <c r="S56" s="65">
        <f>B56</f>
        <v/>
      </c>
      <c r="T56" s="69">
        <f>C56</f>
        <v/>
      </c>
      <c r="U56" s="58">
        <f>N56</f>
        <v/>
      </c>
      <c r="V56" s="69">
        <f>O56</f>
        <v/>
      </c>
      <c r="W56" s="65" t="n"/>
      <c r="X56" s="65" t="n"/>
      <c r="Y56" s="65" t="n"/>
    </row>
    <row r="57">
      <c r="A57" s="17" t="inlineStr">
        <is>
          <t>F</t>
        </is>
      </c>
      <c r="B57" s="18" t="inlineStr">
        <is>
          <t>100 Free</t>
        </is>
      </c>
      <c r="C57" s="18" t="n">
        <v>16</v>
      </c>
      <c r="D57" s="18" t="n">
        <v>1</v>
      </c>
      <c r="E57" s="491" t="inlineStr">
        <is>
          <t>55.76</t>
        </is>
      </c>
      <c r="F57" s="21">
        <f>IFERROR(__xludf.DUMMYFUNCTION("IF(
  REGEXMATCH(E57, "":""),
  60*VALUE(INDEX(SPLIT(E57, "":""),1,1)) + VALUE(INDEX(SPLIT(E57, "":""),1,2)),
  VALUE(E57)
)"),55.76)</f>
        <v/>
      </c>
      <c r="G57" s="211">
        <f>C56</f>
        <v/>
      </c>
      <c r="H57" s="211">
        <f>C65</f>
        <v/>
      </c>
      <c r="I57" s="211">
        <f>C70</f>
        <v/>
      </c>
      <c r="J57" s="211">
        <f>C73</f>
        <v/>
      </c>
      <c r="K57" s="60">
        <f>IFS(H57=21,1,I57=21,2,J57=21,3,and(H57=20,I57=22),1.5, and(I57=20,J57=22),2.5,H57&gt;21,0.5)</f>
        <v/>
      </c>
      <c r="L57" s="60">
        <f t="array" ref="L57">INDEX('Podium Target Times'!$C:$C, MATCH(A57&amp;B57, 'Podium Target Times'!$A:$A&amp;'Podium Target Times'!$B:$B, 0))
</f>
        <v/>
      </c>
      <c r="M57" s="66">
        <f>IFS(K57=0.5,M58+(F57-F59),K57=1,M58+(F57-F59), K57=1.5, M59+(F58-F60), K57=2, M59+(F58-F60), K57=2.5, M59+(F58-F60), K57=3, M59+(F58-F60))</f>
        <v/>
      </c>
      <c r="N57" s="60">
        <f>IF(M57&lt;60, TEXT(M57, "0.00"), TEXT(M57/(24*60*60), "M:SS.00"))</f>
        <v/>
      </c>
      <c r="O57" s="25">
        <f>IFERROR(__xludf.DUMMYFUNCTION("LET(
  gen,$A57, ev,$B57, t,$N57,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
      </c>
      <c r="P57" s="65" t="n"/>
      <c r="Q57" s="65" t="n"/>
      <c r="R57" s="69">
        <f>A57</f>
        <v/>
      </c>
      <c r="S57" s="65">
        <f>B57</f>
        <v/>
      </c>
      <c r="T57" s="69">
        <f>C57</f>
        <v/>
      </c>
      <c r="U57" s="58">
        <f>N57</f>
        <v/>
      </c>
      <c r="V57" s="69">
        <f>O57</f>
        <v/>
      </c>
      <c r="W57" s="65" t="n"/>
      <c r="X57" s="65" t="n"/>
      <c r="Y57" s="65" t="n"/>
    </row>
    <row r="58">
      <c r="A58" s="8" t="inlineStr">
        <is>
          <t>F</t>
        </is>
      </c>
      <c r="B58" s="9" t="inlineStr">
        <is>
          <t>100 Free</t>
        </is>
      </c>
      <c r="C58" s="9" t="n">
        <v>16</v>
      </c>
      <c r="D58" s="9" t="n">
        <v>2</v>
      </c>
      <c r="E58" s="483" t="inlineStr">
        <is>
          <t>56.38</t>
        </is>
      </c>
      <c r="F58" s="35">
        <f>IFERROR(__xludf.DUMMYFUNCTION("IF(
  REGEXMATCH(E58, "":""),
  60*VALUE(INDEX(SPLIT(E58, "":""),1,1)) + VALUE(INDEX(SPLIT(E58, "":""),1,2)),
  VALUE(E58)
)"),56.38)</f>
        <v/>
      </c>
      <c r="G58" s="215">
        <f>C56</f>
        <v/>
      </c>
      <c r="H58" s="215">
        <f>C65</f>
        <v/>
      </c>
      <c r="I58" s="215">
        <f>C70</f>
        <v/>
      </c>
      <c r="J58" s="215">
        <f>C73</f>
        <v/>
      </c>
      <c r="K58" s="43">
        <f>IFS(H58=21,1,I58=21,2,J58=21,3,and(H58=20,I58=22),1.5, and(I58=20,J58=22),2.5,H58&gt;21,0.5)</f>
        <v/>
      </c>
      <c r="L58" s="43">
        <f t="array" ref="L58">INDEX('Podium Target Times'!$C:$C, MATCH(A58&amp;B58, 'Podium Target Times'!$A:$A&amp;'Podium Target Times'!$B:$B, 0))
</f>
        <v/>
      </c>
      <c r="M58" s="64">
        <f>IFS(K58=0.5,M59+(F58-F61),K58=1,M59+(F58-F61), K58=1.5, M59+(F58-F60), K58=2, M59+(F58-F60), K58=2.5, M59+(F58-F60), K58=3, M59+(F58-F60))</f>
        <v/>
      </c>
      <c r="N58" s="43">
        <f>IF(M58&lt;60, TEXT(M58, "0.00"), TEXT(M58/(24*60*60), "M:SS.00"))</f>
        <v/>
      </c>
      <c r="O58" s="14">
        <f>IFERROR(__xludf.DUMMYFUNCTION("LET(
  gen,$A58, ev,$B58, t,$N58,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)"),688.0)</f>
        <v/>
      </c>
      <c r="P58" s="65" t="n"/>
      <c r="Q58" s="65" t="n"/>
      <c r="R58" s="69">
        <f>A59</f>
        <v/>
      </c>
      <c r="S58" s="65">
        <f>B59</f>
        <v/>
      </c>
      <c r="T58" s="69">
        <f>C59</f>
        <v/>
      </c>
      <c r="U58" s="58">
        <f>N59</f>
        <v/>
      </c>
      <c r="V58" s="69">
        <f>O59</f>
        <v/>
      </c>
      <c r="W58" s="65" t="n"/>
      <c r="X58" s="65" t="n"/>
      <c r="Y58" s="65" t="n"/>
    </row>
    <row r="59">
      <c r="A59" s="17" t="inlineStr">
        <is>
          <t>F</t>
        </is>
      </c>
      <c r="B59" s="18" t="inlineStr">
        <is>
          <t>100 Free</t>
        </is>
      </c>
      <c r="C59" s="18" t="n">
        <v>17</v>
      </c>
      <c r="D59" s="18" t="n">
        <v>1</v>
      </c>
      <c r="E59" s="491" t="inlineStr">
        <is>
          <t>55.07</t>
        </is>
      </c>
      <c r="F59" s="21">
        <f>IFERROR(__xludf.DUMMYFUNCTION("IF(
  REGEXMATCH(E59, "":""),
  60*VALUE(INDEX(SPLIT(E59, "":""),1,1)) + VALUE(INDEX(SPLIT(E59, "":""),1,2)),
  VALUE(E59)
)"),55.07)</f>
        <v/>
      </c>
      <c r="G59" s="211">
        <f>C56</f>
        <v/>
      </c>
      <c r="H59" s="211">
        <f>C65</f>
        <v/>
      </c>
      <c r="I59" s="211">
        <f>C70</f>
        <v/>
      </c>
      <c r="J59" s="211">
        <f>C73</f>
        <v/>
      </c>
      <c r="K59" s="60">
        <f>IFS(H59=21,1,I59=21,2,J59=21,3,and(H59=20,I59=22),1.5, and(I59=20,J59=22),2.5,H59&gt;21,0.5)</f>
        <v/>
      </c>
      <c r="L59" s="60">
        <f t="array" ref="L59">INDEX('Podium Target Times'!$C:$C, MATCH(A59&amp;B59, 'Podium Target Times'!$A:$A&amp;'Podium Target Times'!$B:$B, 0))
</f>
        <v/>
      </c>
      <c r="M59" s="66">
        <f>IFS(K59=0.5,M60+(F59-F62),K59=1,M60+(F59-F62), K59=1.5, M62+(F60-F63), K59=2, M62+(F60-F63), K59=2.5, M62+(F61-F64), K59=3, M62+(F61-F64))</f>
        <v/>
      </c>
      <c r="N59" s="60">
        <f>IF(M59&lt;60, TEXT(M59, "0.00"), TEXT(M59/(24*60*60), "M:SS.00"))</f>
        <v/>
      </c>
      <c r="O59" s="25">
        <f>IFERROR(__xludf.DUMMYFUNCTION("LET(
  gen,$A59, ev,$B59, t,$N59,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
      </c>
      <c r="P59" s="65" t="n"/>
      <c r="Q59" s="65" t="n"/>
      <c r="R59" s="69">
        <f>A62</f>
        <v/>
      </c>
      <c r="S59" s="65">
        <f>B62</f>
        <v/>
      </c>
      <c r="T59" s="69">
        <f>C62</f>
        <v/>
      </c>
      <c r="U59" s="58">
        <f>N62</f>
        <v/>
      </c>
      <c r="V59" s="69">
        <f>O62</f>
        <v/>
      </c>
      <c r="W59" s="65" t="n"/>
      <c r="X59" s="65" t="n"/>
      <c r="Y59" s="65" t="n"/>
    </row>
    <row r="60">
      <c r="A60" s="8" t="inlineStr">
        <is>
          <t>F</t>
        </is>
      </c>
      <c r="B60" s="9" t="inlineStr">
        <is>
          <t>100 Free</t>
        </is>
      </c>
      <c r="C60" s="9" t="n">
        <v>17</v>
      </c>
      <c r="D60" s="9" t="n">
        <v>2</v>
      </c>
      <c r="E60" s="41" t="inlineStr">
        <is>
          <t>55.68</t>
        </is>
      </c>
      <c r="F60" s="35">
        <f>IFERROR(__xludf.DUMMYFUNCTION("IF(
  REGEXMATCH(E60, "":""),
  60*VALUE(INDEX(SPLIT(E60, "":""),1,1)) + VALUE(INDEX(SPLIT(E60, "":""),1,2)),
  VALUE(E60)
)"),55.68)</f>
        <v/>
      </c>
      <c r="G60" s="215">
        <f>C56</f>
        <v/>
      </c>
      <c r="H60" s="215">
        <f>C65</f>
        <v/>
      </c>
      <c r="I60" s="215">
        <f>C70</f>
        <v/>
      </c>
      <c r="J60" s="215">
        <f>C73</f>
        <v/>
      </c>
      <c r="K60" s="43">
        <f>IFS(H60=21,1,I60=21,2,J60=21,3,and(H60=20,I60=22),1.5, and(I60=20,J60=22),2.5,H60&gt;21,0.5)</f>
        <v/>
      </c>
      <c r="L60" s="43">
        <f t="array" ref="L60">INDEX('Podium Target Times'!$C:$C, MATCH(A60&amp;B60, 'Podium Target Times'!$A:$A&amp;'Podium Target Times'!$B:$B, 0))
</f>
        <v/>
      </c>
      <c r="M60" s="64">
        <f>IFS(K60=0.5,M61+(F59-F62),K60=1,M61+(F59-F62), K60=1.5, M62+(F60-F63), K60=2, M62+(F60-F63), K60=2.5, M62+(F61-F64), K60=3, M62+(F61-F64))</f>
        <v/>
      </c>
      <c r="N60" s="43">
        <f>IF(M60&lt;60, TEXT(M60, "0.00"), TEXT(M60/(24*60*60), "M:SS.00"))</f>
        <v/>
      </c>
      <c r="O60" s="14">
        <f>IFERROR(__xludf.DUMMYFUNCTION("LET(
  gen,$A60, ev,$B60, t,$N60,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
      </c>
      <c r="P60" s="65" t="n"/>
      <c r="Q60" s="65" t="n"/>
      <c r="R60" s="69">
        <f>A65</f>
        <v/>
      </c>
      <c r="S60" s="65">
        <f>B65</f>
        <v/>
      </c>
      <c r="T60" s="69">
        <f>C65</f>
        <v/>
      </c>
      <c r="U60" s="58">
        <f>N65</f>
        <v/>
      </c>
      <c r="V60" s="69">
        <f>O65</f>
        <v/>
      </c>
      <c r="W60" s="65" t="n"/>
      <c r="X60" s="65" t="n"/>
      <c r="Y60" s="65" t="n"/>
    </row>
    <row r="61">
      <c r="A61" s="17" t="inlineStr">
        <is>
          <t>F</t>
        </is>
      </c>
      <c r="B61" s="18" t="inlineStr">
        <is>
          <t>100 Free</t>
        </is>
      </c>
      <c r="C61" s="18" t="n">
        <v>17</v>
      </c>
      <c r="D61" s="18" t="n">
        <v>3</v>
      </c>
      <c r="E61" s="46" t="inlineStr">
        <is>
          <t>55.99</t>
        </is>
      </c>
      <c r="F61" s="21">
        <f>IFERROR(__xludf.DUMMYFUNCTION("IF(
  REGEXMATCH(E61, "":""),
  60*VALUE(INDEX(SPLIT(E61, "":""),1,1)) + VALUE(INDEX(SPLIT(E61, "":""),1,2)),
  VALUE(E61)
)"),55.99)</f>
        <v/>
      </c>
      <c r="G61" s="211">
        <f>C56</f>
        <v/>
      </c>
      <c r="H61" s="211">
        <f>C65</f>
        <v/>
      </c>
      <c r="I61" s="211">
        <f>C70</f>
        <v/>
      </c>
      <c r="J61" s="211">
        <f>C73</f>
        <v/>
      </c>
      <c r="K61" s="60">
        <f>IFS(H61=21,1,I61=21,2,J61=21,3,and(H61=20,I61=22),1.5, and(I61=20,J61=22),2.5,H61&gt;21,0.5)</f>
        <v/>
      </c>
      <c r="L61" s="60">
        <f t="array" ref="L61">INDEX('Podium Target Times'!$C:$C, MATCH(A61&amp;B61, 'Podium Target Times'!$A:$A&amp;'Podium Target Times'!$B:$B, 0))
</f>
        <v/>
      </c>
      <c r="M61" s="66">
        <f>IFS(K61=0.5,M62+(F59-F62),K61=1,M62+(F59-F62), K61=1.5, M62+(F60-F63), K61=2, M62+(F60-F63), K61=2.5, M62+(F61-F64), K61=3, M62+(F61-F64))</f>
        <v/>
      </c>
      <c r="N61" s="60">
        <f>IF(M61&lt;60, TEXT(M61, "0.00"), TEXT(M61/(24*60*60), "M:SS.00"))</f>
        <v/>
      </c>
      <c r="O61" s="25">
        <f>IFERROR(__xludf.DUMMYFUNCTION("LET(
  gen,$A61, ev,$B61, t,$N61,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
      </c>
      <c r="P61" s="65" t="n"/>
      <c r="Q61" s="65" t="n"/>
      <c r="R61" s="69">
        <f>A68</f>
        <v/>
      </c>
      <c r="S61" s="65">
        <f>B68</f>
        <v/>
      </c>
      <c r="T61" s="69">
        <f>C68</f>
        <v/>
      </c>
      <c r="U61" s="58">
        <f>N68</f>
        <v/>
      </c>
      <c r="V61" s="69">
        <f>O68</f>
        <v/>
      </c>
      <c r="W61" s="65" t="n"/>
      <c r="X61" s="65" t="n"/>
      <c r="Y61" s="65" t="n"/>
    </row>
    <row r="62">
      <c r="A62" s="8" t="inlineStr">
        <is>
          <t>F</t>
        </is>
      </c>
      <c r="B62" s="9" t="inlineStr">
        <is>
          <t>100 Free</t>
        </is>
      </c>
      <c r="C62" s="9" t="n">
        <v>18</v>
      </c>
      <c r="D62" s="9" t="n">
        <v>1</v>
      </c>
      <c r="E62" s="41" t="inlineStr">
        <is>
          <t>54.62</t>
        </is>
      </c>
      <c r="F62" s="35">
        <f>IFERROR(__xludf.DUMMYFUNCTION("IF(
  REGEXMATCH(E62, "":""),
  60*VALUE(INDEX(SPLIT(E62, "":""),1,1)) + VALUE(INDEX(SPLIT(E62, "":""),1,2)),
  VALUE(E62)
)"),54.62)</f>
        <v/>
      </c>
      <c r="G62" s="215">
        <f>C56</f>
        <v/>
      </c>
      <c r="H62" s="215">
        <f>C65</f>
        <v/>
      </c>
      <c r="I62" s="215">
        <f>C70</f>
        <v/>
      </c>
      <c r="J62" s="215">
        <f>C73</f>
        <v/>
      </c>
      <c r="K62" s="43">
        <f>IFS(H62=21,1,I62=21,2,J62=21,3,and(H62=20,I62=22),1.5, and(I62=20,J62=22),2.5,H62&gt;21,0.5)</f>
        <v/>
      </c>
      <c r="L62" s="43">
        <f t="array" ref="L62">INDEX('Podium Target Times'!$C:$C, MATCH(A62&amp;B62, 'Podium Target Times'!$A:$A&amp;'Podium Target Times'!$B:$B, 0))
</f>
        <v/>
      </c>
      <c r="M62" s="64">
        <f>IFS(K62=0.5,L62,K62=1,U60+(F62-F65), K62=1.5, M65+(F63-F66), K62=2, M65+(F63-F66), K62=2.5, M65+(F64-F67), K62=3, M65+(F64-F67))</f>
        <v/>
      </c>
      <c r="N62" s="43">
        <f>IF(M62&lt;60, TEXT(M62, "0.00"), TEXT(M62/(24*60*60), "M:SS.00"))</f>
        <v/>
      </c>
      <c r="O62" s="14">
        <f>IFERROR(__xludf.DUMMYFUNCTION("LET(
  gen,$A62, ev,$B62, t,$N62,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)"),731.0)</f>
        <v/>
      </c>
      <c r="P62" s="65" t="n"/>
      <c r="Q62" s="65" t="n"/>
      <c r="R62" s="69">
        <f>A70</f>
        <v/>
      </c>
      <c r="S62" s="65">
        <f>B70</f>
        <v/>
      </c>
      <c r="T62" s="69">
        <f>C70</f>
        <v/>
      </c>
      <c r="U62" s="58">
        <f>N70</f>
        <v/>
      </c>
      <c r="V62" s="69">
        <f>O70</f>
        <v/>
      </c>
      <c r="W62" s="65" t="n"/>
      <c r="X62" s="65" t="n"/>
      <c r="Y62" s="65" t="n"/>
    </row>
    <row r="63">
      <c r="A63" s="17" t="inlineStr">
        <is>
          <t>F</t>
        </is>
      </c>
      <c r="B63" s="18" t="inlineStr">
        <is>
          <t>100 Free</t>
        </is>
      </c>
      <c r="C63" s="18" t="n">
        <v>18</v>
      </c>
      <c r="D63" s="18" t="n">
        <v>2</v>
      </c>
      <c r="E63" s="46" t="inlineStr">
        <is>
          <t>55.22</t>
        </is>
      </c>
      <c r="F63" s="21">
        <f>IFERROR(__xludf.DUMMYFUNCTION("IF(
  REGEXMATCH(E63, "":""),
  60*VALUE(INDEX(SPLIT(E63, "":""),1,1)) + VALUE(INDEX(SPLIT(E63, "":""),1,2)),
  VALUE(E63)
)"),55.22)</f>
        <v/>
      </c>
      <c r="G63" s="211">
        <f>C56</f>
        <v/>
      </c>
      <c r="H63" s="211">
        <f>C65</f>
        <v/>
      </c>
      <c r="I63" s="211">
        <f>C70</f>
        <v/>
      </c>
      <c r="J63" s="211">
        <f>C73</f>
        <v/>
      </c>
      <c r="K63" s="60">
        <f>IFS(H63=21,1,I63=21,2,J63=21,3,and(H63=20,I63=22),1.5, and(I63=20,J63=22),2.5,H63&gt;21,0.5)</f>
        <v/>
      </c>
      <c r="L63" s="60">
        <f t="array" ref="L63">INDEX('Podium Target Times'!$C:$C, MATCH(A63&amp;B63, 'Podium Target Times'!$A:$A&amp;'Podium Target Times'!$B:$B, 0))
</f>
        <v/>
      </c>
      <c r="M63" s="66">
        <f>IFS(K63=0.5,L63,K63=1,U60+(F62-F65), K63=1.5, M65+(F63-F66), K63=2, M65+(F63-F66), K63=2.5, M65+(F64-F67), K63=3, M65+(F64-F67))</f>
        <v/>
      </c>
      <c r="N63" s="60">
        <f>IF(M63&lt;60, TEXT(M63, "0.00"), TEXT(M63/(24*60*60), "M:SS.00"))</f>
        <v/>
      </c>
      <c r="O63" s="25">
        <f>IFERROR(__xludf.DUMMYFUNCTION("LET(
  gen,$A63, ev,$B63, t,$N63,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)"),731.0)</f>
        <v/>
      </c>
      <c r="P63" s="65" t="n"/>
      <c r="Q63" s="65" t="n"/>
      <c r="R63" s="69" t="n"/>
      <c r="S63" s="65" t="n"/>
      <c r="T63" s="69" t="n"/>
      <c r="U63" s="58" t="n"/>
      <c r="V63" s="69" t="n"/>
      <c r="W63" s="65" t="n"/>
      <c r="X63" s="65" t="n"/>
      <c r="Y63" s="65" t="n"/>
    </row>
    <row r="64">
      <c r="A64" s="8" t="inlineStr">
        <is>
          <t>F</t>
        </is>
      </c>
      <c r="B64" s="9" t="inlineStr">
        <is>
          <t>100 Free</t>
        </is>
      </c>
      <c r="C64" s="9" t="n">
        <v>18</v>
      </c>
      <c r="D64" s="9" t="n">
        <v>3</v>
      </c>
      <c r="E64" s="41" t="inlineStr">
        <is>
          <t>55.53</t>
        </is>
      </c>
      <c r="F64" s="35">
        <f>IFERROR(__xludf.DUMMYFUNCTION("IF(
  REGEXMATCH(E64, "":""),
  60*VALUE(INDEX(SPLIT(E64, "":""),1,1)) + VALUE(INDEX(SPLIT(E64, "":""),1,2)),
  VALUE(E64)
)"),55.53)</f>
        <v/>
      </c>
      <c r="G64" s="215">
        <f>C56</f>
        <v/>
      </c>
      <c r="H64" s="215">
        <f>C65</f>
        <v/>
      </c>
      <c r="I64" s="215">
        <f>C70</f>
        <v/>
      </c>
      <c r="J64" s="215">
        <f>C73</f>
        <v/>
      </c>
      <c r="K64" s="43">
        <f>IFS(H64=21,1,I64=21,2,J64=21,3,and(H64=20,I64=22),1.5, and(I64=20,J64=22),2.5,H64&gt;21,0.5)</f>
        <v/>
      </c>
      <c r="L64" s="43">
        <f t="array" ref="L64">INDEX('Podium Target Times'!$C:$C, MATCH(A64&amp;B64, 'Podium Target Times'!$A:$A&amp;'Podium Target Times'!$B:$B, 0))
</f>
        <v/>
      </c>
      <c r="M64" s="64">
        <f>IFS(K64=0.5,L64,K64=1,U60+(F62-F65), K64=1.5, M65+(F63-F66), K64=2, M65+(F63-F66), K64=2.5, M65+(F64-F67), K64=3, M65+(F64-F67))</f>
        <v/>
      </c>
      <c r="N64" s="43">
        <f>IF(M64&lt;60, TEXT(M64, "0.00"), TEXT(M64/(24*60*60), "M:SS.00"))</f>
        <v/>
      </c>
      <c r="O64" s="14">
        <f>IFERROR(__xludf.DUMMYFUNCTION("LET(
  gen,$A64, ev,$B64, t,$N64,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)"),731.0)</f>
        <v/>
      </c>
      <c r="P64" s="65" t="n"/>
      <c r="Q64" s="65" t="n"/>
      <c r="R64" s="69" t="n"/>
      <c r="S64" s="65" t="n"/>
      <c r="T64" s="69" t="n"/>
      <c r="U64" s="58" t="n"/>
      <c r="V64" s="69" t="n"/>
      <c r="W64" s="65" t="n"/>
      <c r="X64" s="65" t="n"/>
      <c r="Y64" s="65" t="n"/>
    </row>
    <row r="65">
      <c r="A65" s="17" t="inlineStr">
        <is>
          <t>F</t>
        </is>
      </c>
      <c r="B65" s="18" t="inlineStr">
        <is>
          <t>100 Free</t>
        </is>
      </c>
      <c r="C65" s="18" t="n">
        <v>19</v>
      </c>
      <c r="D65" s="18" t="n">
        <v>1</v>
      </c>
      <c r="E65" s="46" t="inlineStr">
        <is>
          <t>54.25</t>
        </is>
      </c>
      <c r="F65" s="21">
        <f>IFERROR(__xludf.DUMMYFUNCTION("IF(
  REGEXMATCH(E65, "":""),
  60*VALUE(INDEX(SPLIT(E65, "":""),1,1)) + VALUE(INDEX(SPLIT(E65, "":""),1,2)),
  VALUE(E65)
)"),54.25)</f>
        <v/>
      </c>
      <c r="G65" s="211">
        <f>C56</f>
        <v/>
      </c>
      <c r="H65" s="211">
        <f>C65</f>
        <v/>
      </c>
      <c r="I65" s="211">
        <f>C70</f>
        <v/>
      </c>
      <c r="J65" s="211">
        <f>C73</f>
        <v/>
      </c>
      <c r="K65" s="60">
        <f>IFS(H65=21,1,I65=21,2,J65=21,3,and(H65=20,I65=22),1.5, and(I65=20,J65=22),2.5,H65&gt;21,0.5)</f>
        <v/>
      </c>
      <c r="L65" s="60">
        <f t="array" ref="L65">INDEX('Podium Target Times'!$C:$C, MATCH(A65&amp;B65, 'Podium Target Times'!$A:$A&amp;'Podium Target Times'!$B:$B, 0))
</f>
        <v/>
      </c>
      <c r="M65" s="66">
        <f>IFS(K65=0.5,L65,K65=1,L65, K65=1.5, M68+(F66-F68), K65=2, M68+(F66-F68), K65=2.5, M68+(F67-F69), K65=3, M68+(F67-F69))</f>
        <v/>
      </c>
      <c r="N65" s="60">
        <f>IF(M65&lt;60, TEXT(M65, "0.00"), TEXT(M65/(24*60*60), "M:SS.00"))</f>
        <v/>
      </c>
      <c r="O65" s="25">
        <f>IFERROR(__xludf.DUMMYFUNCTION("LET(
  gen,$A65, ev,$B65, t,$N65,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)"),745.0)</f>
        <v/>
      </c>
      <c r="P65" s="65" t="n"/>
      <c r="Q65" s="65" t="n"/>
      <c r="R65" s="69" t="n"/>
      <c r="S65" s="65" t="n"/>
      <c r="T65" s="69" t="n"/>
      <c r="U65" s="58" t="n"/>
      <c r="V65" s="69" t="n"/>
      <c r="W65" s="65" t="n"/>
      <c r="X65" s="65" t="n"/>
      <c r="Y65" s="65" t="n"/>
    </row>
    <row r="66">
      <c r="A66" s="8" t="inlineStr">
        <is>
          <t>F</t>
        </is>
      </c>
      <c r="B66" s="9" t="inlineStr">
        <is>
          <t>100 Free</t>
        </is>
      </c>
      <c r="C66" s="9" t="n">
        <v>19</v>
      </c>
      <c r="D66" s="9" t="n">
        <v>2</v>
      </c>
      <c r="E66" s="41" t="inlineStr">
        <is>
          <t>54.85</t>
        </is>
      </c>
      <c r="F66" s="35">
        <f>IFERROR(__xludf.DUMMYFUNCTION("IF(
  REGEXMATCH(E66, "":""),
  60*VALUE(INDEX(SPLIT(E66, "":""),1,1)) + VALUE(INDEX(SPLIT(E66, "":""),1,2)),
  VALUE(E66)
)"),54.85)</f>
        <v/>
      </c>
      <c r="G66" s="215">
        <f>C56</f>
        <v/>
      </c>
      <c r="H66" s="215">
        <f>C65</f>
        <v/>
      </c>
      <c r="I66" s="215">
        <f>C70</f>
        <v/>
      </c>
      <c r="J66" s="215">
        <f>C73</f>
        <v/>
      </c>
      <c r="K66" s="43">
        <f>IFS(H66=21,1,I66=21,2,J66=21,3,and(H66=20,I66=22),1.5, and(I66=20,J66=22),2.5,H66&gt;21,0.5)</f>
        <v/>
      </c>
      <c r="L66" s="43">
        <f t="array" ref="L66">INDEX('Podium Target Times'!$C:$C, MATCH(A66&amp;B66, 'Podium Target Times'!$A:$A&amp;'Podium Target Times'!$B:$B, 0))
</f>
        <v/>
      </c>
      <c r="M66" s="64">
        <f>IFS(K66=0.5,L66,K66=1,L66, K66=1.5, M68+(F66-F68), K66=2, M68+(F66-F68), K66=2.5, M68+(F67-F69), K66=3, M68+(F67-F69))</f>
        <v/>
      </c>
      <c r="N66" s="43">
        <f>IF(M66&lt;60, TEXT(M66, "0.00"), TEXT(M66/(24*60*60), "M:SS.00"))</f>
        <v/>
      </c>
      <c r="O66" s="14">
        <f>IFERROR(__xludf.DUMMYFUNCTION("LET(
  gen,$A66, ev,$B66, t,$N66,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)"),745.0)</f>
        <v/>
      </c>
      <c r="P66" s="65" t="n"/>
      <c r="Q66" s="65" t="n"/>
      <c r="R66" s="69" t="n"/>
      <c r="S66" s="65" t="n"/>
      <c r="T66" s="69" t="n"/>
      <c r="U66" s="58" t="n"/>
      <c r="V66" s="69" t="n"/>
      <c r="W66" s="65" t="n"/>
      <c r="X66" s="65" t="n"/>
      <c r="Y66" s="65" t="n"/>
    </row>
    <row r="67">
      <c r="A67" s="17" t="inlineStr">
        <is>
          <t>F</t>
        </is>
      </c>
      <c r="B67" s="18" t="inlineStr">
        <is>
          <t>100 Free</t>
        </is>
      </c>
      <c r="C67" s="18" t="n">
        <v>19</v>
      </c>
      <c r="D67" s="18" t="n">
        <v>3</v>
      </c>
      <c r="E67" s="46" t="inlineStr">
        <is>
          <t>55.16</t>
        </is>
      </c>
      <c r="F67" s="21">
        <f>IFERROR(__xludf.DUMMYFUNCTION("IF(
  REGEXMATCH(E67, "":""),
  60*VALUE(INDEX(SPLIT(E67, "":""),1,1)) + VALUE(INDEX(SPLIT(E67, "":""),1,2)),
  VALUE(E67)
)"),55.16)</f>
        <v/>
      </c>
      <c r="G67" s="211">
        <f>C56</f>
        <v/>
      </c>
      <c r="H67" s="211">
        <f>C65</f>
        <v/>
      </c>
      <c r="I67" s="211">
        <f>C70</f>
        <v/>
      </c>
      <c r="J67" s="211">
        <f>C73</f>
        <v/>
      </c>
      <c r="K67" s="60">
        <f>IFS(H67=21,1,I67=21,2,J67=21,3,and(H67=20,I67=22),1.5, and(I67=20,J67=22),2.5,H67&gt;21,0.5)</f>
        <v/>
      </c>
      <c r="L67" s="60">
        <f t="array" ref="L67">INDEX('Podium Target Times'!$C:$C, MATCH(A67&amp;B67, 'Podium Target Times'!$A:$A&amp;'Podium Target Times'!$B:$B, 0))
</f>
        <v/>
      </c>
      <c r="M67" s="66">
        <f>IFS(K67=0.5,L67,K67=1,L67, K67=1.5, M68+(F66-F68), K67=2, M68+(F66-F68), K67=2.5, M68+(F67-F69), K67=3, M68+(F67-F69))</f>
        <v/>
      </c>
      <c r="N67" s="60">
        <f>IF(M67&lt;60, TEXT(M67, "0.00"), TEXT(M67/(24*60*60), "M:SS.00"))</f>
        <v/>
      </c>
      <c r="O67" s="25">
        <f>IFERROR(__xludf.DUMMYFUNCTION("LET(
  gen,$A67, ev,$B67, t,$N67,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)"),745.0)</f>
        <v/>
      </c>
      <c r="P67" s="65" t="n"/>
      <c r="Q67" s="65" t="n"/>
      <c r="R67" s="69" t="n"/>
      <c r="S67" s="65" t="n"/>
      <c r="T67" s="69" t="n"/>
      <c r="U67" s="58" t="n"/>
      <c r="V67" s="69" t="n"/>
      <c r="W67" s="65" t="n"/>
      <c r="X67" s="65" t="n"/>
      <c r="Y67" s="65" t="n"/>
    </row>
    <row r="68">
      <c r="A68" s="8" t="inlineStr">
        <is>
          <t>F</t>
        </is>
      </c>
      <c r="B68" s="9" t="inlineStr">
        <is>
          <t>100 Free</t>
        </is>
      </c>
      <c r="C68" s="9" t="n">
        <v>20</v>
      </c>
      <c r="D68" s="219" t="n">
        <v>2</v>
      </c>
      <c r="E68" s="41" t="inlineStr">
        <is>
          <t>54.53</t>
        </is>
      </c>
      <c r="F68" s="35">
        <f>IFERROR(__xludf.DUMMYFUNCTION("IF(
  REGEXMATCH(E68, "":""),
  60*VALUE(INDEX(SPLIT(E68, "":""),1,1)) + VALUE(INDEX(SPLIT(E68, "":""),1,2)),
  VALUE(E68)
)"),54.53)</f>
        <v/>
      </c>
      <c r="G68" s="215">
        <f>C56</f>
        <v/>
      </c>
      <c r="H68" s="215">
        <f>C65</f>
        <v/>
      </c>
      <c r="I68" s="215">
        <f>C70</f>
        <v/>
      </c>
      <c r="J68" s="215">
        <f>C73</f>
        <v/>
      </c>
      <c r="K68" s="43">
        <f>IFS(H68=21,1,I68=21,2,J68=21,3,and(H68=20,I68=22),1.5, and(I68=20,J68=22),2.5,H68&gt;21,0.5)</f>
        <v/>
      </c>
      <c r="L68" s="43">
        <f t="array" ref="L68">INDEX('Podium Target Times'!$C:$C, MATCH(A68&amp;B68, 'Podium Target Times'!$A:$A&amp;'Podium Target Times'!$B:$B, 0))
</f>
        <v/>
      </c>
      <c r="M68" s="64">
        <f>IFS(K68=0.5,L68,K68=1,L68, K68=1.5, L68, K68=2, M70+(F68-F70), K68=2.5, M70+(F69-F71), K68=3, M70+(F69-F71))</f>
        <v/>
      </c>
      <c r="N68" s="43">
        <f>IF(M68&lt;60, TEXT(M68, "0.00"), TEXT(M68/(24*60*60), "M:SS.00"))</f>
        <v/>
      </c>
      <c r="O68" s="14">
        <f>IFERROR(__xludf.DUMMYFUNCTION("LET(
  gen,$A68, ev,$B68, t,$N68,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)"),758.0)</f>
        <v/>
      </c>
      <c r="P68" s="65" t="n"/>
      <c r="Q68" s="65" t="n"/>
      <c r="R68" s="69" t="n"/>
      <c r="S68" s="65" t="n"/>
      <c r="T68" s="69" t="n"/>
      <c r="U68" s="58" t="n"/>
      <c r="V68" s="69" t="n"/>
      <c r="W68" s="65" t="n"/>
      <c r="X68" s="65" t="n"/>
      <c r="Y68" s="65" t="n"/>
    </row>
    <row r="69">
      <c r="A69" s="17" t="inlineStr">
        <is>
          <t>F</t>
        </is>
      </c>
      <c r="B69" s="18" t="inlineStr">
        <is>
          <t>100 Free</t>
        </is>
      </c>
      <c r="C69" s="18" t="n">
        <v>20</v>
      </c>
      <c r="D69" s="18" t="n">
        <v>3</v>
      </c>
      <c r="E69" s="46" t="inlineStr">
        <is>
          <t>54.83</t>
        </is>
      </c>
      <c r="F69" s="21">
        <f>IFERROR(__xludf.DUMMYFUNCTION("IF(
  REGEXMATCH(E69, "":""),
  60*VALUE(INDEX(SPLIT(E69, "":""),1,1)) + VALUE(INDEX(SPLIT(E69, "":""),1,2)),
  VALUE(E69)
)"),54.83)</f>
        <v/>
      </c>
      <c r="G69" s="211">
        <f>C56</f>
        <v/>
      </c>
      <c r="H69" s="211">
        <f>C65</f>
        <v/>
      </c>
      <c r="I69" s="211">
        <f>C70</f>
        <v/>
      </c>
      <c r="J69" s="211">
        <f>C73</f>
        <v/>
      </c>
      <c r="K69" s="60">
        <f>IFS(H69=21,1,I69=21,2,J69=21,3,and(H69=20,I69=22),1.5, and(I69=20,J69=22),2.5,H69&gt;21,0.5)</f>
        <v/>
      </c>
      <c r="L69" s="60">
        <f t="array" ref="L69">INDEX('Podium Target Times'!$C:$C, MATCH(A69&amp;B69, 'Podium Target Times'!$A:$A&amp;'Podium Target Times'!$B:$B, 0))
</f>
        <v/>
      </c>
      <c r="M69" s="66">
        <f>IFS(K69=0.5,L69,K69=1,L69, K69=1.5, L69, K69=2, M70+(F68-F70), K69=2.5, M70+(F69-F71), K69=3, M70+(F69-F71))</f>
        <v/>
      </c>
      <c r="N69" s="60">
        <f>IF(M69&lt;60, TEXT(M69, "0.00"), TEXT(M69/(24*60*60), "M:SS.00"))</f>
        <v/>
      </c>
      <c r="O69" s="25">
        <f>IFERROR(__xludf.DUMMYFUNCTION("LET(
  gen,$A69, ev,$B69, t,$N69,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)"),758.0)</f>
        <v/>
      </c>
      <c r="P69" s="65" t="n"/>
      <c r="Q69" s="65" t="n"/>
      <c r="R69" s="69" t="n"/>
      <c r="S69" s="65" t="n"/>
      <c r="T69" s="69" t="n"/>
      <c r="U69" s="58" t="n"/>
      <c r="V69" s="69" t="n"/>
      <c r="W69" s="65" t="n"/>
      <c r="X69" s="65" t="n"/>
      <c r="Y69" s="65" t="n"/>
    </row>
    <row r="70">
      <c r="A70" s="8" t="inlineStr">
        <is>
          <t>F</t>
        </is>
      </c>
      <c r="B70" s="9" t="inlineStr">
        <is>
          <t>100 Free</t>
        </is>
      </c>
      <c r="C70" s="9" t="n">
        <v>21</v>
      </c>
      <c r="D70" s="219" t="n">
        <v>2</v>
      </c>
      <c r="E70" s="41" t="inlineStr">
        <is>
          <t>54.25</t>
        </is>
      </c>
      <c r="F70" s="35">
        <f>IFERROR(__xludf.DUMMYFUNCTION("IF(
  REGEXMATCH(E70, "":""),
  60*VALUE(INDEX(SPLIT(E70, "":""),1,1)) + VALUE(INDEX(SPLIT(E70, "":""),1,2)),
  VALUE(E70)
)"),54.25)</f>
        <v/>
      </c>
      <c r="G70" s="215">
        <f>C56</f>
        <v/>
      </c>
      <c r="H70" s="215">
        <f>C65</f>
        <v/>
      </c>
      <c r="I70" s="215">
        <f>C70</f>
        <v/>
      </c>
      <c r="J70" s="215">
        <f>C73</f>
        <v/>
      </c>
      <c r="K70" s="43">
        <f>IFS(H70=21,1,I70=21,2,J70=21,3,and(H70=20,I70=22),1.5, and(I70=20,J70=22),2.5,H70&gt;21,0.5)</f>
        <v/>
      </c>
      <c r="L70" s="43">
        <f t="array" ref="L70">INDEX('Podium Target Times'!$C:$C, MATCH(A70&amp;B70, 'Podium Target Times'!$A:$A&amp;'Podium Target Times'!$B:$B, 0))
</f>
        <v/>
      </c>
      <c r="M70" s="64">
        <f>IFS(K70=0.5,L70,K70=1,L70, K70=1.5, L70, K70=2,L73, K70=2.5, M72+(F71-F72), K70=3,  M72+(F71-F72))</f>
        <v/>
      </c>
      <c r="N70" s="43">
        <f>IF(M70&lt;60, TEXT(M70, "0.00"), TEXT(M70/(24*60*60), "M:SS.00"))</f>
        <v/>
      </c>
      <c r="O70" s="14">
        <f>IFERROR(__xludf.DUMMYFUNCTION("LET(
  gen,$A70, ev,$B70, t,$N70,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
      </c>
      <c r="P70" s="65" t="n"/>
      <c r="Q70" s="65" t="n"/>
      <c r="R70" s="69" t="n"/>
      <c r="S70" s="65" t="n"/>
      <c r="T70" s="69" t="n"/>
      <c r="U70" s="58" t="n"/>
      <c r="V70" s="69" t="n"/>
      <c r="W70" s="65" t="n"/>
      <c r="X70" s="65" t="n"/>
      <c r="Y70" s="65" t="n"/>
    </row>
    <row r="71">
      <c r="A71" s="17" t="inlineStr">
        <is>
          <t>F</t>
        </is>
      </c>
      <c r="B71" s="18" t="inlineStr">
        <is>
          <t>100 Free</t>
        </is>
      </c>
      <c r="C71" s="18" t="n">
        <v>21</v>
      </c>
      <c r="D71" s="18" t="n">
        <v>3</v>
      </c>
      <c r="E71" s="46" t="inlineStr">
        <is>
          <t>54.55</t>
        </is>
      </c>
      <c r="F71" s="21">
        <f>IFERROR(__xludf.DUMMYFUNCTION("IF(
  REGEXMATCH(E71, "":""),
  60*VALUE(INDEX(SPLIT(E71, "":""),1,1)) + VALUE(INDEX(SPLIT(E71, "":""),1,2)),
  VALUE(E71)
)"),54.55)</f>
        <v/>
      </c>
      <c r="G71" s="211">
        <f>C56</f>
        <v/>
      </c>
      <c r="H71" s="211">
        <f>C65</f>
        <v/>
      </c>
      <c r="I71" s="211">
        <f>C70</f>
        <v/>
      </c>
      <c r="J71" s="211">
        <f>C73</f>
        <v/>
      </c>
      <c r="K71" s="60">
        <f>IFS(H71=21,1,I71=21,2,J71=21,3,and(H71=20,I71=22),1.5, and(I71=20,J71=22),2.5,H71&gt;21,0.5)</f>
        <v/>
      </c>
      <c r="L71" s="60">
        <f t="array" ref="L71">INDEX('Podium Target Times'!$C:$C, MATCH(A71&amp;B71, 'Podium Target Times'!$A:$A&amp;'Podium Target Times'!$B:$B, 0))
</f>
        <v/>
      </c>
      <c r="M71" s="66">
        <f>IFS(K71=0.5,L71,K71=1,L71, K71=1.5, L71, K71=2, L73, K71=2.5, M72+(F71-F72), K71=3, M72+(F71-F72))</f>
        <v/>
      </c>
      <c r="N71" s="60">
        <f>IF(M71&lt;60, TEXT(M71, "0.00"), TEXT(M71/(24*60*60), "M:SS.00"))</f>
        <v/>
      </c>
      <c r="O71" s="25">
        <f>IFERROR(__xludf.DUMMYFUNCTION("LET(
  gen,$A71, ev,$B71, t,$N71,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
      </c>
      <c r="P71" s="65" t="n"/>
      <c r="Q71" s="65" t="n"/>
      <c r="R71" s="69" t="n"/>
      <c r="S71" s="65" t="n"/>
      <c r="T71" s="69" t="n"/>
      <c r="U71" s="58" t="n"/>
      <c r="V71" s="69" t="n"/>
      <c r="W71" s="65" t="n"/>
      <c r="X71" s="65" t="n"/>
      <c r="Y71" s="65" t="n"/>
    </row>
    <row r="72">
      <c r="A72" s="8" t="inlineStr">
        <is>
          <t>F</t>
        </is>
      </c>
      <c r="B72" s="9" t="inlineStr">
        <is>
          <t>100 Free</t>
        </is>
      </c>
      <c r="C72" s="9" t="n">
        <v>22</v>
      </c>
      <c r="D72" s="9" t="n">
        <v>3</v>
      </c>
      <c r="E72" s="41" t="inlineStr">
        <is>
          <t>54.36</t>
        </is>
      </c>
      <c r="F72" s="35">
        <f>IFERROR(__xludf.DUMMYFUNCTION("IF(
  REGEXMATCH(E72, "":""),
  60*VALUE(INDEX(SPLIT(E72, "":""),1,1)) + VALUE(INDEX(SPLIT(E72, "":""),1,2)),
  VALUE(E72)
)"),54.36)</f>
        <v/>
      </c>
      <c r="G72" s="215">
        <f>C56</f>
        <v/>
      </c>
      <c r="H72" s="215">
        <f>C65</f>
        <v/>
      </c>
      <c r="I72" s="215">
        <f>C70</f>
        <v/>
      </c>
      <c r="J72" s="215">
        <f>C73</f>
        <v/>
      </c>
      <c r="K72" s="43">
        <f>IFS(H72=21,1,I72=21,2,J72=21,3,and(H72=20,I72=22),1.5, and(I72=20,J72=22),2.5,H72&gt;21,0.5)</f>
        <v/>
      </c>
      <c r="L72" s="43">
        <f t="array" ref="L72">INDEX('Podium Target Times'!$C:$C, MATCH(A72&amp;B72, 'Podium Target Times'!$A:$A&amp;'Podium Target Times'!$B:$B, 0))
</f>
        <v/>
      </c>
      <c r="M72" s="64">
        <f>IFS(K72=0.5,L72,K72=1,L72, K72=1.5, L72, K72=2, L73, K72=2.5, L73, K72=3, M73+(F72-F73))</f>
        <v/>
      </c>
      <c r="N72" s="43">
        <f>IF(M72&lt;60, TEXT(M72, "0.00"), TEXT(M72/(24*60*60), "M:SS.00"))</f>
        <v/>
      </c>
      <c r="O72" s="14">
        <f>IFERROR(__xludf.DUMMYFUNCTION("LET(
  gen,$A72, ev,$B72, t,$N72,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
      </c>
      <c r="P72" s="65" t="n"/>
      <c r="Q72" s="65" t="n"/>
      <c r="R72" s="69" t="n"/>
      <c r="S72" s="65" t="n"/>
      <c r="T72" s="69" t="n"/>
      <c r="U72" s="58" t="n"/>
      <c r="V72" s="69" t="n"/>
      <c r="W72" s="65" t="n"/>
      <c r="X72" s="65" t="n"/>
      <c r="Y72" s="65" t="n"/>
    </row>
    <row r="73">
      <c r="A73" s="17" t="inlineStr">
        <is>
          <t>F</t>
        </is>
      </c>
      <c r="B73" s="18" t="inlineStr">
        <is>
          <t>100 Free</t>
        </is>
      </c>
      <c r="C73" s="18" t="n">
        <v>23</v>
      </c>
      <c r="D73" s="18" t="n">
        <v>3</v>
      </c>
      <c r="E73" s="46" t="inlineStr">
        <is>
          <t>54.25</t>
        </is>
      </c>
      <c r="F73" s="21">
        <f>IFERROR(__xludf.DUMMYFUNCTION("IF(
  REGEXMATCH(E73, "":""),
  60*VALUE(INDEX(SPLIT(E73, "":""),1,1)) + VALUE(INDEX(SPLIT(E73, "":""),1,2)),
  VALUE(E73)
)"),54.25)</f>
        <v/>
      </c>
      <c r="G73" s="211">
        <f>C56</f>
        <v/>
      </c>
      <c r="H73" s="211">
        <f>C65</f>
        <v/>
      </c>
      <c r="I73" s="211">
        <f>C70</f>
        <v/>
      </c>
      <c r="J73" s="211">
        <f>C73</f>
        <v/>
      </c>
      <c r="K73" s="60">
        <f>IFS(H73=21,1,I73=21,2,J73=21,3,and(H73=20,I73=22),1.5, and(I73=20,J73=22),2.5,H73&gt;21,0.5)</f>
        <v/>
      </c>
      <c r="L73" s="60">
        <f t="array" ref="L73">INDEX('Podium Target Times'!$C:$C, MATCH(A73&amp;B73, 'Podium Target Times'!$A:$A&amp;'Podium Target Times'!$B:$B, 0))
</f>
        <v/>
      </c>
      <c r="M73" s="66">
        <f>IFS(K73=0.5,L73,K73=1,L73, K73=1.5, L73, K73=2, L73, K73=2.5, L73, K73=3, L73)</f>
        <v/>
      </c>
      <c r="N73" s="60">
        <f>IF(M73&lt;60, TEXT(M73, "0.00"), TEXT(M73/(24*60*60), "M:SS.00"))</f>
        <v/>
      </c>
      <c r="O73" s="25">
        <f>IFERROR(__xludf.DUMMYFUNCTION("LET(
  gen,$A73, ev,$B73, t,$N73,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
      </c>
      <c r="P73" s="65" t="n"/>
      <c r="Q73" s="65" t="n"/>
      <c r="R73" s="69" t="n"/>
      <c r="S73" s="65" t="n"/>
      <c r="T73" s="69" t="n"/>
      <c r="U73" s="58" t="n"/>
      <c r="V73" s="69" t="n"/>
      <c r="W73" s="65" t="n"/>
      <c r="X73" s="65" t="n"/>
      <c r="Y73" s="65" t="n"/>
    </row>
    <row r="74">
      <c r="A74" s="8" t="inlineStr">
        <is>
          <t>F</t>
        </is>
      </c>
      <c r="B74" s="9" t="inlineStr">
        <is>
          <t>1500 Free</t>
        </is>
      </c>
      <c r="C74" s="9" t="n">
        <v>14</v>
      </c>
      <c r="D74" s="9" t="n">
        <v>1</v>
      </c>
      <c r="E74" s="43" t="inlineStr">
        <is>
          <t>17:12.17</t>
        </is>
      </c>
      <c r="F74" s="35">
        <f>IFERROR(__xludf.DUMMYFUNCTION("IF(
  REGEXMATCH(E74, "":""),
  60*VALUE(INDEX(SPLIT(E74, "":""),1,1)) + VALUE(INDEX(SPLIT(E74, "":""),1,2)),
  VALUE(E74)
)"),1032.17)</f>
        <v/>
      </c>
      <c r="G74" s="43">
        <f>C74</f>
        <v/>
      </c>
      <c r="H74" s="43">
        <f>C83</f>
        <v/>
      </c>
      <c r="I74" s="43">
        <f>C88</f>
        <v/>
      </c>
      <c r="J74" s="43">
        <f>C91</f>
        <v/>
      </c>
      <c r="K74" s="43">
        <f>IFS(H74=21,1,I74=21,2,J74=21,3,and(H74=20,I74=22),1.5, and(I74=20,J74=22),2.5,H74&gt;21,0.5)</f>
        <v/>
      </c>
      <c r="L74" s="43">
        <f t="array" ref="L74">INDEX('Podium Target Times'!$C:$C, MATCH(A74&amp;B74, 'Podium Target Times'!$A:$A&amp;'Podium Target Times'!$B:$B, 0))
</f>
        <v/>
      </c>
      <c r="M74" s="64">
        <f>IFS(K74=0.5,M75+(F74-F75),K74=1,M75+(F74-F75), K74=1.5, M75+(F74-F75), K74=2, M75+(F74-F75), K74=2.5, M75+(F74-F75), K74=3, M75+(F74-F75))</f>
        <v/>
      </c>
      <c r="N74" s="43">
        <f>IF(M74&lt;60, TEXT(M74, "0.00"), TEXT(M74/(24*60*60), "M:SS.00"))</f>
        <v/>
      </c>
      <c r="O74" s="14">
        <f>IFERROR(__xludf.DUMMYFUNCTION("LET(
  gen,$A74, ev,$B74, t,$N74,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)"),617.0)</f>
        <v/>
      </c>
      <c r="P74" s="65" t="n"/>
      <c r="Q74" s="65" t="n"/>
      <c r="R74" s="69" t="n"/>
      <c r="S74" s="65" t="n"/>
      <c r="T74" s="69" t="n"/>
      <c r="U74" s="58" t="n"/>
      <c r="V74" s="69" t="n"/>
      <c r="W74" s="65" t="n"/>
      <c r="X74" s="65" t="n"/>
      <c r="Y74" s="65" t="n"/>
    </row>
    <row r="75">
      <c r="A75" s="17" t="inlineStr">
        <is>
          <t>F</t>
        </is>
      </c>
      <c r="B75" s="18" t="inlineStr">
        <is>
          <t>1500 Free</t>
        </is>
      </c>
      <c r="C75" s="18" t="n">
        <v>15</v>
      </c>
      <c r="D75" s="18" t="n">
        <v>1</v>
      </c>
      <c r="E75" s="60" t="inlineStr">
        <is>
          <t>16:52.17</t>
        </is>
      </c>
      <c r="F75" s="21">
        <f>IFERROR(__xludf.DUMMYFUNCTION("IF(
  REGEXMATCH(E75, "":""),
  60*VALUE(INDEX(SPLIT(E75, "":""),1,1)) + VALUE(INDEX(SPLIT(E75, "":""),1,2)),
  VALUE(E75)
)"),1012.17)</f>
        <v/>
      </c>
      <c r="G75" s="211">
        <f>C74</f>
        <v/>
      </c>
      <c r="H75" s="211">
        <f>C83</f>
        <v/>
      </c>
      <c r="I75" s="211">
        <f>C88</f>
        <v/>
      </c>
      <c r="J75" s="211">
        <f>C91</f>
        <v/>
      </c>
      <c r="K75" s="60">
        <f>IFS(H75=21,1,I75=21,2,J75=21,3,and(H75=20,I75=22),1.5, and(I75=20,J75=22),2.5,H75&gt;21,0.5)</f>
        <v/>
      </c>
      <c r="L75" s="60">
        <f t="array" ref="L75">INDEX('Podium Target Times'!$C:$C, MATCH(A75&amp;B75, 'Podium Target Times'!$A:$A&amp;'Podium Target Times'!$B:$B, 0))
</f>
        <v/>
      </c>
      <c r="M75" s="66">
        <f>IFS(K75=0.5,M76+(F75-F77),K75=1,M76+(F75-F77), K75=1.5, M77+(F76-F78), K75=2, M77+(F76-F78), K75=2.5, M77+(F76-F78), K75=3, M77+(F76-F78))</f>
        <v/>
      </c>
      <c r="N75" s="60">
        <f>IF(M75&lt;60, TEXT(M75, "0.00"), TEXT(M75/(24*60*60), "M:SS.00"))</f>
        <v/>
      </c>
      <c r="O75" s="25">
        <f>IFERROR(__xludf.DUMMYFUNCTION("LET(
  gen,$A75, ev,$B75, t,$N75,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)"),652.0)</f>
        <v/>
      </c>
      <c r="P75" s="65" t="n"/>
      <c r="Q75" s="65" t="n"/>
      <c r="R75" s="69" t="n"/>
      <c r="S75" s="65" t="n"/>
      <c r="T75" s="69" t="n"/>
      <c r="U75" s="58" t="n"/>
      <c r="V75" s="69" t="n"/>
      <c r="W75" s="65" t="n"/>
      <c r="X75" s="65" t="n"/>
      <c r="Y75" s="65" t="n"/>
    </row>
    <row r="76">
      <c r="A76" s="8" t="inlineStr">
        <is>
          <t>F</t>
        </is>
      </c>
      <c r="B76" s="9" t="inlineStr">
        <is>
          <t>1500 Free</t>
        </is>
      </c>
      <c r="C76" s="9" t="n">
        <v>15</v>
      </c>
      <c r="D76" s="9" t="n">
        <v>2</v>
      </c>
      <c r="E76" s="43" t="inlineStr">
        <is>
          <t>16:56.98</t>
        </is>
      </c>
      <c r="F76" s="35">
        <f>IFERROR(__xludf.DUMMYFUNCTION("IF(
  REGEXMATCH(E76, "":""),
  60*VALUE(INDEX(SPLIT(E76, "":""),1,1)) + VALUE(INDEX(SPLIT(E76, "":""),1,2)),
  VALUE(E76)
)"),1016.98)</f>
        <v/>
      </c>
      <c r="G76" s="215">
        <f>C74</f>
        <v/>
      </c>
      <c r="H76" s="215">
        <f>C83</f>
        <v/>
      </c>
      <c r="I76" s="215">
        <f>C88</f>
        <v/>
      </c>
      <c r="J76" s="215">
        <f>C91</f>
        <v/>
      </c>
      <c r="K76" s="43">
        <f>IFS(H76=21,1,I76=21,2,J76=21,3,and(H76=20,I76=22),1.5, and(I76=20,J76=22),2.5,H76&gt;21,0.5)</f>
        <v/>
      </c>
      <c r="L76" s="43">
        <f t="array" ref="L76">INDEX('Podium Target Times'!$C:$C, MATCH(A76&amp;B76, 'Podium Target Times'!$A:$A&amp;'Podium Target Times'!$B:$B, 0))
</f>
        <v/>
      </c>
      <c r="M76" s="64">
        <f>IFS(K76=0.5,M77+(F76-F79),K76=1,M77+(F76-F79), K76=1.5, M77+(F76-F78), K76=2, M77+(F76-F78), K76=2.5, M77+(F76-F78), K76=3, M77+(F76-F78))</f>
        <v/>
      </c>
      <c r="N76" s="43">
        <f>IF(M76&lt;60, TEXT(M76, "0.00"), TEXT(M76/(24*60*60), "M:SS.00"))</f>
        <v/>
      </c>
      <c r="O76" s="14">
        <f>IFERROR(__xludf.DUMMYFUNCTION("LET(
  gen,$A76, ev,$B76, t,$N76,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)"),652.0)</f>
        <v/>
      </c>
      <c r="P76" s="65" t="n"/>
      <c r="Q76" s="65" t="n"/>
      <c r="R76" s="69" t="n"/>
      <c r="S76" s="65" t="n"/>
      <c r="T76" s="69" t="n"/>
      <c r="U76" s="58" t="n"/>
      <c r="V76" s="69" t="n"/>
      <c r="W76" s="65" t="n"/>
      <c r="X76" s="65" t="n"/>
      <c r="Y76" s="65" t="n"/>
    </row>
    <row r="77">
      <c r="A77" s="17" t="inlineStr">
        <is>
          <t>F</t>
        </is>
      </c>
      <c r="B77" s="18" t="inlineStr">
        <is>
          <t>1500 Free</t>
        </is>
      </c>
      <c r="C77" s="18" t="n">
        <v>16</v>
      </c>
      <c r="D77" s="18" t="n">
        <v>1</v>
      </c>
      <c r="E77" s="46" t="inlineStr">
        <is>
          <t>16:38.19</t>
        </is>
      </c>
      <c r="F77" s="21">
        <f>IFERROR(__xludf.DUMMYFUNCTION("IF(
  REGEXMATCH(E77, "":""),
  60*VALUE(INDEX(SPLIT(E77, "":""),1,1)) + VALUE(INDEX(SPLIT(E77, "":""),1,2)),
  VALUE(E77)
)"),998.19)</f>
        <v/>
      </c>
      <c r="G77" s="211">
        <f>C74</f>
        <v/>
      </c>
      <c r="H77" s="211">
        <f>C83</f>
        <v/>
      </c>
      <c r="I77" s="211">
        <f>C88</f>
        <v/>
      </c>
      <c r="J77" s="211">
        <f>C91</f>
        <v/>
      </c>
      <c r="K77" s="60">
        <f>IFS(H77=21,1,I77=21,2,J77=21,3,and(H77=20,I77=22),1.5, and(I77=20,J77=22),2.5,H77&gt;21,0.5)</f>
        <v/>
      </c>
      <c r="L77" s="60">
        <f t="array" ref="L77">INDEX('Podium Target Times'!$C:$C, MATCH(A77&amp;B77, 'Podium Target Times'!$A:$A&amp;'Podium Target Times'!$B:$B, 0))
</f>
        <v/>
      </c>
      <c r="M77" s="66">
        <f>IFS(K77=0.5,M78+(F77-F80),K77=1,M78+(F77-F80), K77=1.5, M80+(F78-F81), K77=2, M80+(F78-F81), K77=2.5, M80+(F79-F82), K77=3, M80+(F79-F82))</f>
        <v/>
      </c>
      <c r="N77" s="60">
        <f>IF(M77&lt;60, TEXT(M77, "0.00"), TEXT(M77/(24*60*60), "M:SS.00"))</f>
        <v/>
      </c>
      <c r="O77" s="25">
        <f>IFERROR(__xludf.DUMMYFUNCTION("LET(
  gen,$A77, ev,$B77, t,$N77,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
      </c>
      <c r="P77" s="65" t="n"/>
      <c r="Q77" s="65" t="n"/>
      <c r="R77" s="69" t="n"/>
      <c r="S77" s="65" t="n"/>
      <c r="T77" s="69" t="n"/>
      <c r="U77" s="58" t="n"/>
      <c r="V77" s="69" t="n"/>
      <c r="W77" s="65" t="n"/>
      <c r="X77" s="65" t="n"/>
      <c r="Y77" s="65" t="n"/>
    </row>
    <row r="78">
      <c r="A78" s="8" t="inlineStr">
        <is>
          <t>F</t>
        </is>
      </c>
      <c r="B78" s="9" t="inlineStr">
        <is>
          <t>1500 Free</t>
        </is>
      </c>
      <c r="C78" s="9" t="n">
        <v>16</v>
      </c>
      <c r="D78" s="219" t="n">
        <v>2</v>
      </c>
      <c r="E78" s="41" t="inlineStr">
        <is>
          <t>16:42.94</t>
        </is>
      </c>
      <c r="F78" s="35">
        <f>IFERROR(__xludf.DUMMYFUNCTION("IF(
  REGEXMATCH(E78, "":""),
  60*VALUE(INDEX(SPLIT(E78, "":""),1,1)) + VALUE(INDEX(SPLIT(E78, "":""),1,2)),
  VALUE(E78)
)"),1002.94)</f>
        <v/>
      </c>
      <c r="G78" s="215">
        <f>C74</f>
        <v/>
      </c>
      <c r="H78" s="215">
        <f>C83</f>
        <v/>
      </c>
      <c r="I78" s="215">
        <f>C88</f>
        <v/>
      </c>
      <c r="J78" s="215">
        <f>C91</f>
        <v/>
      </c>
      <c r="K78" s="43">
        <f>IFS(H78=21,1,I78=21,2,J78=21,3,and(H78=20,I78=22),1.5, and(I78=20,J78=22),2.5,H78&gt;21,0.5)</f>
        <v/>
      </c>
      <c r="L78" s="43">
        <f t="array" ref="L78">INDEX('Podium Target Times'!$C:$C, MATCH(A78&amp;B78, 'Podium Target Times'!$A:$A&amp;'Podium Target Times'!$B:$B, 0))
</f>
        <v/>
      </c>
      <c r="M78" s="64">
        <f>IFS(K78=0.5,M79+(F77-F80),K78=1,M79+(F77-F80), K78=1.5, M80+(F78-F81), K78=2, M80+(F78-F81), K78=2.5, M80+(F79-F82), K78=3, M80+(F79-F82))</f>
        <v/>
      </c>
      <c r="N78" s="43">
        <f>IF(M78&lt;60, TEXT(M78, "0.00"), TEXT(M78/(24*60*60), "M:SS.00"))</f>
        <v/>
      </c>
      <c r="O78" s="14">
        <f>IFERROR(__xludf.DUMMYFUNCTION("LET(
  gen,$A78, ev,$B78, t,$N78,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
      </c>
      <c r="P78" s="65" t="n"/>
      <c r="Q78" s="65" t="n"/>
      <c r="R78" s="69" t="n"/>
      <c r="S78" s="65" t="n"/>
      <c r="T78" s="69" t="n"/>
      <c r="U78" s="58" t="n"/>
      <c r="V78" s="69" t="n"/>
      <c r="W78" s="65" t="n"/>
      <c r="X78" s="65" t="n"/>
      <c r="Y78" s="65" t="n"/>
    </row>
    <row r="79">
      <c r="A79" s="17" t="inlineStr">
        <is>
          <t>F</t>
        </is>
      </c>
      <c r="B79" s="18" t="inlineStr">
        <is>
          <t>1500 Free</t>
        </is>
      </c>
      <c r="C79" s="18" t="n">
        <v>16</v>
      </c>
      <c r="D79" s="18" t="n">
        <v>3</v>
      </c>
      <c r="E79" s="46" t="inlineStr">
        <is>
          <t>16:45.20</t>
        </is>
      </c>
      <c r="F79" s="21">
        <f>IFERROR(__xludf.DUMMYFUNCTION("IF(
  REGEXMATCH(E79, "":""),
  60*VALUE(INDEX(SPLIT(E79, "":""),1,1)) + VALUE(INDEX(SPLIT(E79, "":""),1,2)),
  VALUE(E79)
)"),1005.2)</f>
        <v/>
      </c>
      <c r="G79" s="211">
        <f>C74</f>
        <v/>
      </c>
      <c r="H79" s="211">
        <f>C83</f>
        <v/>
      </c>
      <c r="I79" s="211">
        <f>C88</f>
        <v/>
      </c>
      <c r="J79" s="211">
        <f>C91</f>
        <v/>
      </c>
      <c r="K79" s="60">
        <f>IFS(H79=21,1,I79=21,2,J79=21,3,and(H79=20,I79=22),1.5, and(I79=20,J79=22),2.5,H79&gt;21,0.5)</f>
        <v/>
      </c>
      <c r="L79" s="60">
        <f t="array" ref="L79">INDEX('Podium Target Times'!$C:$C, MATCH(A79&amp;B79, 'Podium Target Times'!$A:$A&amp;'Podium Target Times'!$B:$B, 0))
</f>
        <v/>
      </c>
      <c r="M79" s="66">
        <f>IFS(K79=0.5,M80+(F77-F80),K79=1,M80+(F77-F80), K79=1.5, M80+(F78-F81), K79=2, M80+(F78-F81), K79=2.5, M80+(F79-F82), K79=3, M80+(F79-F82))</f>
        <v/>
      </c>
      <c r="N79" s="60">
        <f>IF(M79&lt;60, TEXT(M79, "0.00"), TEXT(M79/(24*60*60), "M:SS.00"))</f>
        <v/>
      </c>
      <c r="O79" s="25">
        <f>IFERROR(__xludf.DUMMYFUNCTION("LET(
  gen,$A79, ev,$B79, t,$N79,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)"),679.0)</f>
        <v/>
      </c>
      <c r="P79" s="65" t="n"/>
      <c r="Q79" s="65" t="n"/>
      <c r="R79" s="69" t="n"/>
      <c r="S79" s="65" t="n"/>
      <c r="T79" s="69" t="n"/>
      <c r="U79" s="58" t="n"/>
      <c r="V79" s="69" t="n"/>
      <c r="W79" s="65" t="n"/>
      <c r="X79" s="65" t="n"/>
      <c r="Y79" s="65" t="n"/>
    </row>
    <row r="80">
      <c r="A80" s="8" t="inlineStr">
        <is>
          <t>F</t>
        </is>
      </c>
      <c r="B80" s="9" t="inlineStr">
        <is>
          <t>1500 Free</t>
        </is>
      </c>
      <c r="C80" s="9" t="n">
        <v>17</v>
      </c>
      <c r="D80" s="9" t="n">
        <v>1</v>
      </c>
      <c r="E80" s="483" t="inlineStr">
        <is>
          <t>16:29.65</t>
        </is>
      </c>
      <c r="F80" s="35">
        <f>IFERROR(__xludf.DUMMYFUNCTION("IF(
  REGEXMATCH(E80, "":""),
  60*VALUE(INDEX(SPLIT(E80, "":""),1,1)) + VALUE(INDEX(SPLIT(E80, "":""),1,2)),
  VALUE(E80)
)"),989.65)</f>
        <v/>
      </c>
      <c r="G80" s="215">
        <f>C74</f>
        <v/>
      </c>
      <c r="H80" s="215">
        <f>C83</f>
        <v/>
      </c>
      <c r="I80" s="215">
        <f>C88</f>
        <v/>
      </c>
      <c r="J80" s="215">
        <f>C91</f>
        <v/>
      </c>
      <c r="K80" s="43">
        <f>IFS(H80=21,1,I80=21,2,J80=21,3,and(H80=20,I80=22),1.5, and(I80=20,J80=22),2.5,H80&gt;21,0.5)</f>
        <v/>
      </c>
      <c r="L80" s="43">
        <f t="array" ref="L80">INDEX('Podium Target Times'!$C:$C, MATCH(A80&amp;B80, 'Podium Target Times'!$A:$A&amp;'Podium Target Times'!$B:$B, 0))
</f>
        <v/>
      </c>
      <c r="M80" s="64">
        <f>IFS(K80=0.5,L80,K80=1,U78+(F80-F83), K80=1.5, M83+(F81-F84), K80=2, M83+(F81-F84), K80=2.5, M83+(F82-F85), K80=3, M83+(F82-F85))</f>
        <v/>
      </c>
      <c r="N80" s="43">
        <f>IF(M80&lt;60, TEXT(M80, "0.00"), TEXT(M80/(24*60*60), "M:SS.00"))</f>
        <v/>
      </c>
      <c r="O80" s="14">
        <f>IFERROR(__xludf.DUMMYFUNCTION("LET(
  gen,$A80, ev,$B80, t,$N80,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)"),696.0)</f>
        <v/>
      </c>
      <c r="P80" s="65" t="n"/>
      <c r="Q80" s="65" t="n"/>
      <c r="R80" s="69" t="n"/>
      <c r="S80" s="65" t="n"/>
      <c r="T80" s="69" t="n"/>
      <c r="U80" s="58" t="n"/>
      <c r="V80" s="69" t="n"/>
      <c r="W80" s="65" t="n"/>
      <c r="X80" s="65" t="n"/>
      <c r="Y80" s="65" t="n"/>
    </row>
    <row r="81">
      <c r="A81" s="17" t="inlineStr">
        <is>
          <t>F</t>
        </is>
      </c>
      <c r="B81" s="18" t="inlineStr">
        <is>
          <t>1500 Free</t>
        </is>
      </c>
      <c r="C81" s="18" t="n">
        <v>17</v>
      </c>
      <c r="D81" s="18" t="n">
        <v>2</v>
      </c>
      <c r="E81" s="46" t="inlineStr">
        <is>
          <t>16:34.36</t>
        </is>
      </c>
      <c r="F81" s="21">
        <f>IFERROR(__xludf.DUMMYFUNCTION("IF(
  REGEXMATCH(E81, "":""),
  60*VALUE(INDEX(SPLIT(E81, "":""),1,1)) + VALUE(INDEX(SPLIT(E81, "":""),1,2)),
  VALUE(E81)
)"),994.36)</f>
        <v/>
      </c>
      <c r="G81" s="211">
        <f>C74</f>
        <v/>
      </c>
      <c r="H81" s="211">
        <f>C83</f>
        <v/>
      </c>
      <c r="I81" s="211">
        <f>C88</f>
        <v/>
      </c>
      <c r="J81" s="211">
        <f>C91</f>
        <v/>
      </c>
      <c r="K81" s="60">
        <f>IFS(H81=21,1,I81=21,2,J81=21,3,and(H81=20,I81=22),1.5, and(I81=20,J81=22),2.5,H81&gt;21,0.5)</f>
        <v/>
      </c>
      <c r="L81" s="60">
        <f t="array" ref="L81">INDEX('Podium Target Times'!$C:$C, MATCH(A81&amp;B81, 'Podium Target Times'!$A:$A&amp;'Podium Target Times'!$B:$B, 0))
</f>
        <v/>
      </c>
      <c r="M81" s="66">
        <f>IFS(K81=0.5,L81,K81=1,U78+(F80-F83), K81=1.5, M83+(F81-F84), K81=2, M83+(F81-F84), K81=2.5, M83+(F82-F85), K81=3, M83+(F82-F85))</f>
        <v/>
      </c>
      <c r="N81" s="60">
        <f>IF(M81&lt;60, TEXT(M81, "0.00"), TEXT(M81/(24*60*60), "M:SS.00"))</f>
        <v/>
      </c>
      <c r="O81" s="25">
        <f>IFERROR(__xludf.DUMMYFUNCTION("LET(
  gen,$A81, ev,$B81, t,$N81,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)"),696.0)</f>
        <v/>
      </c>
      <c r="P81" s="65" t="n"/>
      <c r="Q81" s="65" t="n"/>
      <c r="R81" s="69" t="n"/>
      <c r="S81" s="65" t="n"/>
      <c r="T81" s="69" t="n"/>
      <c r="U81" s="58" t="n"/>
      <c r="V81" s="69" t="n"/>
      <c r="W81" s="65" t="n"/>
      <c r="X81" s="65" t="n"/>
      <c r="Y81" s="65" t="n"/>
    </row>
    <row r="82">
      <c r="A82" s="8" t="inlineStr">
        <is>
          <t>F</t>
        </is>
      </c>
      <c r="B82" s="9" t="inlineStr">
        <is>
          <t>1500 Free</t>
        </is>
      </c>
      <c r="C82" s="9" t="n">
        <v>17</v>
      </c>
      <c r="D82" s="9" t="n">
        <v>3</v>
      </c>
      <c r="E82" s="41" t="inlineStr">
        <is>
          <t>16:36.60</t>
        </is>
      </c>
      <c r="F82" s="35">
        <f>IFERROR(__xludf.DUMMYFUNCTION("IF(
  REGEXMATCH(E82, "":""),
  60*VALUE(INDEX(SPLIT(E82, "":""),1,1)) + VALUE(INDEX(SPLIT(E82, "":""),1,2)),
  VALUE(E82)
)"),996.6)</f>
        <v/>
      </c>
      <c r="G82" s="215">
        <f>C74</f>
        <v/>
      </c>
      <c r="H82" s="215">
        <f>C83</f>
        <v/>
      </c>
      <c r="I82" s="215">
        <f>C88</f>
        <v/>
      </c>
      <c r="J82" s="215">
        <f>C91</f>
        <v/>
      </c>
      <c r="K82" s="43">
        <f>IFS(H82=21,1,I82=21,2,J82=21,3,and(H82=20,I82=22),1.5, and(I82=20,J82=22),2.5,H82&gt;21,0.5)</f>
        <v/>
      </c>
      <c r="L82" s="43">
        <f t="array" ref="L82">INDEX('Podium Target Times'!$C:$C, MATCH(A82&amp;B82, 'Podium Target Times'!$A:$A&amp;'Podium Target Times'!$B:$B, 0))
</f>
        <v/>
      </c>
      <c r="M82" s="64">
        <f>IFS(K82=0.5,L82,K82=1,U78+(F80-F83), K82=1.5, M83+(F81-F84), K82=2, M83+(F81-F84), K82=2.5, M83+(F82-F85), K82=3, M83+(F82-F85))</f>
        <v/>
      </c>
      <c r="N82" s="43">
        <f>IF(M82&lt;60, TEXT(M82, "0.00"), TEXT(M82/(24*60*60), "M:SS.00"))</f>
        <v/>
      </c>
      <c r="O82" s="14">
        <f>IFERROR(__xludf.DUMMYFUNCTION("LET(
  gen,$A82, ev,$B82, t,$N82,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)"),696.0)</f>
        <v/>
      </c>
      <c r="P82" s="65" t="n"/>
      <c r="Q82" s="65" t="n"/>
      <c r="R82" s="69" t="n"/>
      <c r="S82" s="65" t="n"/>
      <c r="T82" s="69" t="n"/>
      <c r="U82" s="58" t="n"/>
      <c r="V82" s="69" t="n"/>
      <c r="W82" s="65" t="n"/>
      <c r="X82" s="65" t="n"/>
      <c r="Y82" s="65" t="n"/>
    </row>
    <row r="83">
      <c r="A83" s="17" t="inlineStr">
        <is>
          <t>F</t>
        </is>
      </c>
      <c r="B83" s="18" t="inlineStr">
        <is>
          <t>1500 Free</t>
        </is>
      </c>
      <c r="C83" s="18" t="n">
        <v>18</v>
      </c>
      <c r="D83" s="18" t="n">
        <v>1</v>
      </c>
      <c r="E83" s="46" t="inlineStr">
        <is>
          <t>16:24.56</t>
        </is>
      </c>
      <c r="F83" s="21">
        <f>IFERROR(__xludf.DUMMYFUNCTION("IF(
  REGEXMATCH(E83, "":""),
  60*VALUE(INDEX(SPLIT(E83, "":""),1,1)) + VALUE(INDEX(SPLIT(E83, "":""),1,2)),
  VALUE(E83)
)"),984.56)</f>
        <v/>
      </c>
      <c r="G83" s="211">
        <f>C74</f>
        <v/>
      </c>
      <c r="H83" s="211">
        <f>C83</f>
        <v/>
      </c>
      <c r="I83" s="211">
        <f>C88</f>
        <v/>
      </c>
      <c r="J83" s="211">
        <f>C91</f>
        <v/>
      </c>
      <c r="K83" s="60">
        <f>IFS(H83=21,1,I83=21,2,J83=21,3,and(H83=20,I83=22),1.5, and(I83=20,J83=22),2.5,H83&gt;21,0.5)</f>
        <v/>
      </c>
      <c r="L83" s="60">
        <f t="array" ref="L83">INDEX('Podium Target Times'!$C:$C, MATCH(A83&amp;B83, 'Podium Target Times'!$A:$A&amp;'Podium Target Times'!$B:$B, 0))
</f>
        <v/>
      </c>
      <c r="M83" s="66">
        <f>IFS(K83=0.5,L83,K83=1,L83, K83=1.5, M86+(F84-F86), K83=2, M86+(F84-F86), K83=2.5, M86+(F85-F87), K83=3, M86+(F85-F87))</f>
        <v/>
      </c>
      <c r="N83" s="60">
        <f>IF(M83&lt;60, TEXT(M83, "0.00"), TEXT(M83/(24*60*60), "M:SS.00"))</f>
        <v/>
      </c>
      <c r="O83" s="25">
        <f>IFERROR(__xludf.DUMMYFUNCTION("LET(
  gen,$A83, ev,$B83, t,$N83,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
      </c>
      <c r="P83" s="65" t="n"/>
      <c r="Q83" s="65" t="n"/>
      <c r="R83" s="69" t="n"/>
      <c r="S83" s="65" t="n"/>
      <c r="T83" s="69" t="n"/>
      <c r="U83" s="58" t="n"/>
      <c r="V83" s="69" t="n"/>
      <c r="W83" s="65" t="n"/>
      <c r="X83" s="65" t="n"/>
      <c r="Y83" s="65" t="n"/>
    </row>
    <row r="84">
      <c r="A84" s="8" t="inlineStr">
        <is>
          <t>F</t>
        </is>
      </c>
      <c r="B84" s="9" t="inlineStr">
        <is>
          <t>1500 Free</t>
        </is>
      </c>
      <c r="C84" s="9" t="n">
        <v>18</v>
      </c>
      <c r="D84" s="9" t="n">
        <v>2</v>
      </c>
      <c r="E84" s="41" t="inlineStr">
        <is>
          <t>16:29.24</t>
        </is>
      </c>
      <c r="F84" s="35">
        <f>IFERROR(__xludf.DUMMYFUNCTION("IF(
  REGEXMATCH(E84, "":""),
  60*VALUE(INDEX(SPLIT(E84, "":""),1,1)) + VALUE(INDEX(SPLIT(E84, "":""),1,2)),
  VALUE(E84)
)"),989.24)</f>
        <v/>
      </c>
      <c r="G84" s="215">
        <f>C74</f>
        <v/>
      </c>
      <c r="H84" s="215">
        <f>C83</f>
        <v/>
      </c>
      <c r="I84" s="215">
        <f>C88</f>
        <v/>
      </c>
      <c r="J84" s="215">
        <f>C91</f>
        <v/>
      </c>
      <c r="K84" s="43">
        <f>IFS(H84=21,1,I84=21,2,J84=21,3,and(H84=20,I84=22),1.5, and(I84=20,J84=22),2.5,H84&gt;21,0.5)</f>
        <v/>
      </c>
      <c r="L84" s="43">
        <f t="array" ref="L84">INDEX('Podium Target Times'!$C:$C, MATCH(A84&amp;B84, 'Podium Target Times'!$A:$A&amp;'Podium Target Times'!$B:$B, 0))
</f>
        <v/>
      </c>
      <c r="M84" s="64">
        <f>IFS(K84=0.5,L84,K84=1,L84, K84=1.5, M86+(F84-F86), K84=2, M86+(F84-F86), K84=2.5, M86+(F85-F87), K84=3, M86+(F85-F87))</f>
        <v/>
      </c>
      <c r="N84" s="43">
        <f>IF(M84&lt;60, TEXT(M84, "0.00"), TEXT(M84/(24*60*60), "M:SS.00"))</f>
        <v/>
      </c>
      <c r="O84" s="14">
        <f>IFERROR(__xludf.DUMMYFUNCTION("LET(
  gen,$A84, ev,$B84, t,$N84,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
      </c>
      <c r="P84" s="65" t="n"/>
      <c r="Q84" s="65" t="n"/>
      <c r="R84" s="69" t="n"/>
      <c r="S84" s="65" t="n"/>
      <c r="T84" s="69" t="n"/>
      <c r="U84" s="58" t="n"/>
      <c r="V84" s="69" t="n"/>
      <c r="W84" s="65" t="n"/>
      <c r="X84" s="65" t="n"/>
      <c r="Y84" s="65" t="n"/>
    </row>
    <row r="85">
      <c r="A85" s="17" t="inlineStr">
        <is>
          <t>F</t>
        </is>
      </c>
      <c r="B85" s="18" t="inlineStr">
        <is>
          <t>1500 Free</t>
        </is>
      </c>
      <c r="C85" s="18" t="n">
        <v>18</v>
      </c>
      <c r="D85" s="18" t="n">
        <v>3</v>
      </c>
      <c r="E85" s="46" t="inlineStr">
        <is>
          <t>16:31.47</t>
        </is>
      </c>
      <c r="F85" s="21">
        <f>IFERROR(__xludf.DUMMYFUNCTION("IF(
  REGEXMATCH(E85, "":""),
  60*VALUE(INDEX(SPLIT(E85, "":""),1,1)) + VALUE(INDEX(SPLIT(E85, "":""),1,2)),
  VALUE(E85)
)"),991.47)</f>
        <v/>
      </c>
      <c r="G85" s="211">
        <f>C74</f>
        <v/>
      </c>
      <c r="H85" s="211">
        <f>C83</f>
        <v/>
      </c>
      <c r="I85" s="211">
        <f>C88</f>
        <v/>
      </c>
      <c r="J85" s="211">
        <f>C91</f>
        <v/>
      </c>
      <c r="K85" s="60">
        <f>IFS(H85=21,1,I85=21,2,J85=21,3,and(H85=20,I85=22),1.5, and(I85=20,J85=22),2.5,H85&gt;21,0.5)</f>
        <v/>
      </c>
      <c r="L85" s="60">
        <f t="array" ref="L85">INDEX('Podium Target Times'!$C:$C, MATCH(A85&amp;B85, 'Podium Target Times'!$A:$A&amp;'Podium Target Times'!$B:$B, 0))
</f>
        <v/>
      </c>
      <c r="M85" s="66">
        <f>IFS(K85=0.5,L85,K85=1,L85, K85=1.5, M86+(F84-F86), K85=2, M86+(F84-F86), K85=2.5, M86+(F85-F87), K85=3, M86+(F85-F87))</f>
        <v/>
      </c>
      <c r="N85" s="60">
        <f>IF(M85&lt;60, TEXT(M85, "0.00"), TEXT(M85/(24*60*60), "M:SS.00"))</f>
        <v/>
      </c>
      <c r="O85" s="25">
        <f>IFERROR(__xludf.DUMMYFUNCTION("LET(
  gen,$A85, ev,$B85, t,$N85,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)"),706.0)</f>
        <v/>
      </c>
      <c r="P85" s="65" t="n"/>
      <c r="Q85" s="65" t="n"/>
      <c r="R85" s="69" t="n"/>
      <c r="S85" s="65" t="n"/>
      <c r="T85" s="69" t="n"/>
      <c r="U85" s="58" t="n"/>
      <c r="V85" s="69" t="n"/>
      <c r="W85" s="65" t="n"/>
      <c r="X85" s="65" t="n"/>
      <c r="Y85" s="65" t="n"/>
    </row>
    <row r="86">
      <c r="A86" s="8" t="inlineStr">
        <is>
          <t>F</t>
        </is>
      </c>
      <c r="B86" s="9" t="inlineStr">
        <is>
          <t>1500 Free</t>
        </is>
      </c>
      <c r="C86" s="9" t="n">
        <v>19</v>
      </c>
      <c r="D86" s="219" t="n">
        <v>2</v>
      </c>
      <c r="E86" s="41" t="inlineStr">
        <is>
          <t>16:26.24</t>
        </is>
      </c>
      <c r="F86" s="35">
        <f>IFERROR(__xludf.DUMMYFUNCTION("IF(
  REGEXMATCH(E86, "":""),
  60*VALUE(INDEX(SPLIT(E86, "":""),1,1)) + VALUE(INDEX(SPLIT(E86, "":""),1,2)),
  VALUE(E86)
)"),986.24)</f>
        <v/>
      </c>
      <c r="G86" s="215">
        <f>C74</f>
        <v/>
      </c>
      <c r="H86" s="215">
        <f>C83</f>
        <v/>
      </c>
      <c r="I86" s="215">
        <f>C88</f>
        <v/>
      </c>
      <c r="J86" s="215">
        <f>C91</f>
        <v/>
      </c>
      <c r="K86" s="43">
        <f>IFS(H86=21,1,I86=21,2,J86=21,3,and(H86=20,I86=22),1.5, and(I86=20,J86=22),2.5,H86&gt;21,0.5)</f>
        <v/>
      </c>
      <c r="L86" s="43">
        <f t="array" ref="L86">INDEX('Podium Target Times'!$C:$C, MATCH(A86&amp;B86, 'Podium Target Times'!$A:$A&amp;'Podium Target Times'!$B:$B, 0))
</f>
        <v/>
      </c>
      <c r="M86" s="64">
        <f>IFS(K86=0.5,L86,K86=1,L86, K86=1.5, L86, K86=2, M88+(F86-F88), K86=2.5, M88+(F87-F89), K86=3, M88+(F87-F89))</f>
        <v/>
      </c>
      <c r="N86" s="43">
        <f>IF(M86&lt;60, TEXT(M86, "0.00"), TEXT(M86/(24*60*60), "M:SS.00"))</f>
        <v/>
      </c>
      <c r="O86" s="14">
        <f>IFERROR(__xludf.DUMMYFUNCTION("LET(
  gen,$A86, ev,$B86, t,$N86,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)"),712.0)</f>
        <v/>
      </c>
      <c r="P86" s="65" t="n"/>
      <c r="Q86" s="65" t="n"/>
      <c r="R86" s="69" t="n"/>
      <c r="S86" s="65" t="n"/>
      <c r="T86" s="69" t="n"/>
      <c r="U86" s="58" t="n"/>
      <c r="V86" s="69" t="n"/>
      <c r="W86" s="65" t="n"/>
      <c r="X86" s="65" t="n"/>
      <c r="Y86" s="65" t="n"/>
    </row>
    <row r="87">
      <c r="A87" s="17" t="inlineStr">
        <is>
          <t>F</t>
        </is>
      </c>
      <c r="B87" s="18" t="inlineStr">
        <is>
          <t>1500 Free</t>
        </is>
      </c>
      <c r="C87" s="18" t="n">
        <v>19</v>
      </c>
      <c r="D87" s="18" t="n">
        <v>3</v>
      </c>
      <c r="E87" s="46" t="inlineStr">
        <is>
          <t>16:28.46</t>
        </is>
      </c>
      <c r="F87" s="21">
        <f>IFERROR(__xludf.DUMMYFUNCTION("IF(
  REGEXMATCH(E87, "":""),
  60*VALUE(INDEX(SPLIT(E87, "":""),1,1)) + VALUE(INDEX(SPLIT(E87, "":""),1,2)),
  VALUE(E87)
)"),988.46)</f>
        <v/>
      </c>
      <c r="G87" s="211">
        <f>C74</f>
        <v/>
      </c>
      <c r="H87" s="211">
        <f>C83</f>
        <v/>
      </c>
      <c r="I87" s="211">
        <f>C88</f>
        <v/>
      </c>
      <c r="J87" s="211">
        <f>C91</f>
        <v/>
      </c>
      <c r="K87" s="60">
        <f>IFS(H87=21,1,I87=21,2,J87=21,3,and(H87=20,I87=22),1.5, and(I87=20,J87=22),2.5,H87&gt;21,0.5)</f>
        <v/>
      </c>
      <c r="L87" s="60">
        <f t="array" ref="L87">INDEX('Podium Target Times'!$C:$C, MATCH(A87&amp;B87, 'Podium Target Times'!$A:$A&amp;'Podium Target Times'!$B:$B, 0))
</f>
        <v/>
      </c>
      <c r="M87" s="66">
        <f>IFS(K87=0.5,L87,K87=1,L87, K87=1.5, L87, K87=2, M88+(F86-F88), K87=2.5, M88+(F87-F89), K87=3, M88+(F87-F89))</f>
        <v/>
      </c>
      <c r="N87" s="60">
        <f>IF(M87&lt;60, TEXT(M87, "0.00"), TEXT(M87/(24*60*60), "M:SS.00"))</f>
        <v/>
      </c>
      <c r="O87" s="25">
        <f>IFERROR(__xludf.DUMMYFUNCTION("LET(
  gen,$A87, ev,$B87, t,$N87,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)"),712.0)</f>
        <v/>
      </c>
      <c r="P87" s="65" t="n"/>
      <c r="Q87" s="65" t="n"/>
      <c r="R87" s="69" t="n"/>
      <c r="S87" s="65" t="n"/>
      <c r="T87" s="69" t="n"/>
      <c r="U87" s="58" t="n"/>
      <c r="V87" s="69" t="n"/>
      <c r="W87" s="65" t="n"/>
      <c r="X87" s="65" t="n"/>
      <c r="Y87" s="65" t="n"/>
    </row>
    <row r="88">
      <c r="A88" s="8" t="inlineStr">
        <is>
          <t>F</t>
        </is>
      </c>
      <c r="B88" s="9" t="inlineStr">
        <is>
          <t>1500 Free</t>
        </is>
      </c>
      <c r="C88" s="9" t="n">
        <v>20</v>
      </c>
      <c r="D88" s="9" t="n">
        <v>2</v>
      </c>
      <c r="E88" s="483" t="inlineStr">
        <is>
          <t>16:24.56</t>
        </is>
      </c>
      <c r="F88" s="35">
        <f>IFERROR(__xludf.DUMMYFUNCTION("IF(
  REGEXMATCH(E88, "":""),
  60*VALUE(INDEX(SPLIT(E88, "":""),1,1)) + VALUE(INDEX(SPLIT(E88, "":""),1,2)),
  VALUE(E88)
)"),984.56)</f>
        <v/>
      </c>
      <c r="G88" s="215">
        <f>C74</f>
        <v/>
      </c>
      <c r="H88" s="215">
        <f>C83</f>
        <v/>
      </c>
      <c r="I88" s="215">
        <f>C88</f>
        <v/>
      </c>
      <c r="J88" s="215">
        <f>C91</f>
        <v/>
      </c>
      <c r="K88" s="43">
        <f>IFS(H88=21,1,I88=21,2,J88=21,3,and(H88=20,I88=22),1.5, and(I88=20,J88=22),2.5,H88&gt;21,0.5)</f>
        <v/>
      </c>
      <c r="L88" s="43">
        <f t="array" ref="L88">INDEX('Podium Target Times'!$C:$C, MATCH(A88&amp;B88, 'Podium Target Times'!$A:$A&amp;'Podium Target Times'!$B:$B, 0))
</f>
        <v/>
      </c>
      <c r="M88" s="64">
        <f>IFS(K88=0.5,L88,K88=1,L88, K88=1.5, L88, K88=2,L91, K88=2.5, M90+(F89-F90), K88=3,  M90+(F89-F90))</f>
        <v/>
      </c>
      <c r="N88" s="43">
        <f>IF(M88&lt;60, TEXT(M88, "0.00"), TEXT(M88/(24*60*60), "M:SS.00"))</f>
        <v/>
      </c>
      <c r="O88" s="14">
        <f>IFERROR(__xludf.DUMMYFUNCTION("LET(
  gen,$A88, ev,$B88, t,$N88,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
      </c>
      <c r="P88" s="65" t="n"/>
      <c r="Q88" s="65" t="n"/>
      <c r="R88" s="69" t="n"/>
      <c r="S88" s="65" t="n"/>
      <c r="T88" s="69" t="n"/>
      <c r="U88" s="58" t="n"/>
      <c r="V88" s="69" t="n"/>
      <c r="W88" s="65" t="n"/>
      <c r="X88" s="65" t="n"/>
      <c r="Y88" s="65" t="n"/>
    </row>
    <row r="89">
      <c r="A89" s="17" t="inlineStr">
        <is>
          <t>F</t>
        </is>
      </c>
      <c r="B89" s="18" t="inlineStr">
        <is>
          <t>1500 Free</t>
        </is>
      </c>
      <c r="C89" s="18" t="n">
        <v>20</v>
      </c>
      <c r="D89" s="18" t="n">
        <v>3</v>
      </c>
      <c r="E89" s="491" t="inlineStr">
        <is>
          <t>16:26.78</t>
        </is>
      </c>
      <c r="F89" s="21">
        <f>IFERROR(__xludf.DUMMYFUNCTION("IF(
  REGEXMATCH(E89, "":""),
  60*VALUE(INDEX(SPLIT(E89, "":""),1,1)) + VALUE(INDEX(SPLIT(E89, "":""),1,2)),
  VALUE(E89)
)"),986.78)</f>
        <v/>
      </c>
      <c r="G89" s="211">
        <f>C74</f>
        <v/>
      </c>
      <c r="H89" s="211">
        <f>C83</f>
        <v/>
      </c>
      <c r="I89" s="211">
        <f>C88</f>
        <v/>
      </c>
      <c r="J89" s="211">
        <f>C91</f>
        <v/>
      </c>
      <c r="K89" s="60">
        <f>IFS(H89=21,1,I89=21,2,J89=21,3,and(H89=20,I89=22),1.5, and(I89=20,J89=22),2.5,H89&gt;21,0.5)</f>
        <v/>
      </c>
      <c r="L89" s="60">
        <f t="array" ref="L89">INDEX('Podium Target Times'!$C:$C, MATCH(A89&amp;B89, 'Podium Target Times'!$A:$A&amp;'Podium Target Times'!$B:$B, 0))
</f>
        <v/>
      </c>
      <c r="M89" s="66">
        <f>IFS(K89=0.5,L89,K89=1,L89, K89=1.5, L89, K89=2, L91, K89=2.5, M90+(F89-F90), K89=3, M90+(F89-F90))</f>
        <v/>
      </c>
      <c r="N89" s="60">
        <f>IF(M89&lt;60, TEXT(M89, "0.00"), TEXT(M89/(24*60*60), "M:SS.00"))</f>
        <v/>
      </c>
      <c r="O89" s="25">
        <f>IFERROR(__xludf.DUMMYFUNCTION("LET(
  gen,$A89, ev,$B89, t,$N89,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
      </c>
      <c r="P89" s="65" t="n"/>
      <c r="Q89" s="65" t="n"/>
      <c r="R89" s="69" t="n"/>
      <c r="S89" s="65" t="n"/>
      <c r="T89" s="69" t="n"/>
      <c r="U89" s="58" t="n"/>
      <c r="V89" s="69" t="n"/>
      <c r="W89" s="65" t="n"/>
      <c r="X89" s="65" t="n"/>
      <c r="Y89" s="65" t="n"/>
    </row>
    <row r="90">
      <c r="A90" s="8" t="inlineStr">
        <is>
          <t>F</t>
        </is>
      </c>
      <c r="B90" s="9" t="inlineStr">
        <is>
          <t>1500 Free</t>
        </is>
      </c>
      <c r="C90" s="9" t="n">
        <v>21</v>
      </c>
      <c r="D90" s="9" t="n">
        <v>3</v>
      </c>
      <c r="E90" s="41" t="inlineStr">
        <is>
          <t>16:25.53</t>
        </is>
      </c>
      <c r="F90" s="35">
        <f>IFERROR(__xludf.DUMMYFUNCTION("IF(
  REGEXMATCH(E90, "":""),
  60*VALUE(INDEX(SPLIT(E90, "":""),1,1)) + VALUE(INDEX(SPLIT(E90, "":""),1,2)),
  VALUE(E90)
)"),985.53)</f>
        <v/>
      </c>
      <c r="G90" s="215">
        <f>C74</f>
        <v/>
      </c>
      <c r="H90" s="215">
        <f>C83</f>
        <v/>
      </c>
      <c r="I90" s="215">
        <f>C88</f>
        <v/>
      </c>
      <c r="J90" s="215">
        <f>C91</f>
        <v/>
      </c>
      <c r="K90" s="43">
        <f>IFS(H90=21,1,I90=21,2,J90=21,3,and(H90=20,I90=22),1.5, and(I90=20,J90=22),2.5,H90&gt;21,0.5)</f>
        <v/>
      </c>
      <c r="L90" s="43">
        <f t="array" ref="L90">INDEX('Podium Target Times'!$C:$C, MATCH(A90&amp;B90, 'Podium Target Times'!$A:$A&amp;'Podium Target Times'!$B:$B, 0))
</f>
        <v/>
      </c>
      <c r="M90" s="64">
        <f>IFS(K90=0.5,L90,K90=1,L90, K90=1.5, L90, K90=2, L91, K90=2.5, L91, K90=3, M91+(F90-F91))</f>
        <v/>
      </c>
      <c r="N90" s="43">
        <f>IF(M90&lt;60, TEXT(M90, "0.00"), TEXT(M90/(24*60*60), "M:SS.00"))</f>
        <v/>
      </c>
      <c r="O90" s="14">
        <f>IFERROR(__xludf.DUMMYFUNCTION("LET(
  gen,$A90, ev,$B90, t,$N90,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
      </c>
      <c r="P90" s="65" t="n"/>
      <c r="Q90" s="65" t="n"/>
      <c r="R90" s="69" t="n"/>
      <c r="S90" s="65" t="n"/>
      <c r="T90" s="69" t="n"/>
      <c r="U90" s="58" t="n"/>
      <c r="V90" s="69" t="n"/>
      <c r="W90" s="65" t="n"/>
      <c r="X90" s="65" t="n"/>
      <c r="Y90" s="65" t="n"/>
    </row>
    <row r="91">
      <c r="A91" s="17" t="inlineStr">
        <is>
          <t>F</t>
        </is>
      </c>
      <c r="B91" s="18" t="inlineStr">
        <is>
          <t>1500 Free</t>
        </is>
      </c>
      <c r="C91" s="18" t="n">
        <v>22</v>
      </c>
      <c r="D91" s="18" t="n">
        <v>3</v>
      </c>
      <c r="E91" s="491" t="inlineStr">
        <is>
          <t>16:24.56</t>
        </is>
      </c>
      <c r="F91" s="21">
        <f>IFERROR(__xludf.DUMMYFUNCTION("IF(
  REGEXMATCH(E91, "":""),
  60*VALUE(INDEX(SPLIT(E91, "":""),1,1)) + VALUE(INDEX(SPLIT(E91, "":""),1,2)),
  VALUE(E91)
)"),984.56)</f>
        <v/>
      </c>
      <c r="G91" s="211">
        <f>C74</f>
        <v/>
      </c>
      <c r="H91" s="211">
        <f>C83</f>
        <v/>
      </c>
      <c r="I91" s="211">
        <f>C88</f>
        <v/>
      </c>
      <c r="J91" s="211">
        <f>C91</f>
        <v/>
      </c>
      <c r="K91" s="60">
        <f>IFS(H91=21,1,I91=21,2,J91=21,3,and(H91=20,I91=22),1.5, and(I91=20,J91=22),2.5,H91&gt;21,0.5)</f>
        <v/>
      </c>
      <c r="L91" s="60">
        <f t="array" ref="L91">INDEX('Podium Target Times'!$C:$C, MATCH(A91&amp;B91, 'Podium Target Times'!$A:$A&amp;'Podium Target Times'!$B:$B, 0))
</f>
        <v/>
      </c>
      <c r="M91" s="66">
        <f>IFS(K91=0.5,L91,K91=1,L91, K91=1.5, L91, K91=2, L91, K91=2.5, L91, K91=3, L91)</f>
        <v/>
      </c>
      <c r="N91" s="60">
        <f>IF(M91&lt;60, TEXT(M91, "0.00"), TEXT(M91/(24*60*60), "M:SS.00"))</f>
        <v/>
      </c>
      <c r="O91" s="25">
        <f>IFERROR(__xludf.DUMMYFUNCTION("LET(
  gen,$A91, ev,$B91, t,$N91,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
      </c>
      <c r="P91" s="65" t="n"/>
      <c r="Q91" s="65" t="n"/>
      <c r="R91" s="69" t="n"/>
      <c r="S91" s="65" t="n"/>
      <c r="T91" s="69" t="n"/>
      <c r="U91" s="58" t="n"/>
      <c r="V91" s="69" t="n"/>
      <c r="W91" s="65" t="n"/>
      <c r="X91" s="65" t="n"/>
      <c r="Y91" s="65" t="n"/>
    </row>
    <row r="92">
      <c r="A92" s="8" t="inlineStr">
        <is>
          <t>F</t>
        </is>
      </c>
      <c r="B92" s="9" t="inlineStr">
        <is>
          <t>200 Back</t>
        </is>
      </c>
      <c r="C92" s="9" t="n">
        <v>13</v>
      </c>
      <c r="D92" s="9" t="n">
        <v>1</v>
      </c>
      <c r="E92" s="41" t="inlineStr">
        <is>
          <t>2:23.84</t>
        </is>
      </c>
      <c r="F92" s="35">
        <f>IFERROR(__xludf.DUMMYFUNCTION("IF(
  REGEXMATCH(E92, "":""),
  60*VALUE(INDEX(SPLIT(E92, "":""),1,1)) + VALUE(INDEX(SPLIT(E92, "":""),1,2)),
  VALUE(E92)
)"),143.84)</f>
        <v/>
      </c>
      <c r="G92" s="43">
        <f>C92</f>
        <v/>
      </c>
      <c r="H92" s="43">
        <f>C101</f>
        <v/>
      </c>
      <c r="I92" s="43">
        <f>C106</f>
        <v/>
      </c>
      <c r="J92" s="43">
        <f>C109</f>
        <v/>
      </c>
      <c r="K92" s="43">
        <f>IFS(H92=21,1,I92=21,2,J92=21,3,and(H92=20,I92=22),1.5, and(I92=20,J92=22),2.5,H92&gt;21,0.5)</f>
        <v/>
      </c>
      <c r="L92" s="43">
        <f t="array" ref="L92">INDEX('Podium Target Times'!$C:$C, MATCH(A92&amp;B92, 'Podium Target Times'!$A:$A&amp;'Podium Target Times'!$B:$B, 0))
</f>
        <v/>
      </c>
      <c r="M92" s="64">
        <f>IFS(K92=0.5,M93+(F92-F93),K92=1,M93+(F92-F93), K92=1.5, M93+(F92-F93), K92=2, M93+(F92-F93), K92=2.5, M93+(F92-F93), K92=3, M93+(F92-F93))</f>
        <v/>
      </c>
      <c r="N92" s="43">
        <f>IF(M92&lt;60, TEXT(M92, "0.00"), TEXT(M92/(24*60*60), "M:SS.00"))</f>
        <v/>
      </c>
      <c r="O92" s="14">
        <f>IFERROR(__xludf.DUMMYFUNCTION("LET(
  gen,$A92, ev,$B92, t,$N92,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)"),516.0)</f>
        <v/>
      </c>
      <c r="P92" s="65" t="n"/>
      <c r="Q92" s="65" t="n"/>
      <c r="R92" s="69">
        <f>A92</f>
        <v/>
      </c>
      <c r="S92" s="65">
        <f>B92</f>
        <v/>
      </c>
      <c r="T92" s="69">
        <f>C92</f>
        <v/>
      </c>
      <c r="U92" s="58">
        <f>N92</f>
        <v/>
      </c>
      <c r="V92" s="69">
        <f>O92</f>
        <v/>
      </c>
      <c r="W92" s="65" t="n"/>
      <c r="X92" s="65" t="n"/>
      <c r="Y92" s="65" t="n"/>
    </row>
    <row r="93">
      <c r="A93" s="17" t="inlineStr">
        <is>
          <t>F</t>
        </is>
      </c>
      <c r="B93" s="18" t="inlineStr">
        <is>
          <t>200 Back</t>
        </is>
      </c>
      <c r="C93" s="18" t="n">
        <v>14</v>
      </c>
      <c r="D93" s="18" t="n">
        <v>1</v>
      </c>
      <c r="E93" s="46" t="inlineStr">
        <is>
          <t>2:18.64</t>
        </is>
      </c>
      <c r="F93" s="21">
        <f>IFERROR(__xludf.DUMMYFUNCTION("IF(
  REGEXMATCH(E93, "":""),
  60*VALUE(INDEX(SPLIT(E93, "":""),1,1)) + VALUE(INDEX(SPLIT(E93, "":""),1,2)),
  VALUE(E93)
)"),138.64)</f>
        <v/>
      </c>
      <c r="G93" s="211">
        <f>C92</f>
        <v/>
      </c>
      <c r="H93" s="211">
        <f>C101</f>
        <v/>
      </c>
      <c r="I93" s="211">
        <f>C106</f>
        <v/>
      </c>
      <c r="J93" s="211">
        <f>C109</f>
        <v/>
      </c>
      <c r="K93" s="60">
        <f>IFS(H93=21,1,I93=21,2,J93=21,3,and(H93=20,I93=22),1.5, and(I93=20,J93=22),2.5,H93&gt;21,0.5)</f>
        <v/>
      </c>
      <c r="L93" s="60">
        <f t="array" ref="L93">INDEX('Podium Target Times'!$C:$C, MATCH(A93&amp;B93, 'Podium Target Times'!$A:$A&amp;'Podium Target Times'!$B:$B, 0))
</f>
        <v/>
      </c>
      <c r="M93" s="66">
        <f>IFS(K93=0.5,M94+(F93-F95),K93=1,M94+(F93-F95), K93=1.5, M95+(F94-F96), K93=2, M95+(F94-F96), K93=2.5, M95+(F94-F96), K93=3, M95+(F94-F96))</f>
        <v/>
      </c>
      <c r="N93" s="60">
        <f>IF(M93&lt;60, TEXT(M93, "0.00"), TEXT(M93/(24*60*60), "M:SS.00"))</f>
        <v/>
      </c>
      <c r="O93" s="25">
        <f>IFERROR(__xludf.DUMMYFUNCTION("LET(
  gen,$A93, ev,$B93, t,$N93,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)"),572.0)</f>
        <v/>
      </c>
      <c r="P93" s="65" t="n"/>
      <c r="Q93" s="65" t="n"/>
      <c r="R93" s="69">
        <f>A93</f>
        <v/>
      </c>
      <c r="S93" s="65">
        <f>B93</f>
        <v/>
      </c>
      <c r="T93" s="69">
        <f>C93</f>
        <v/>
      </c>
      <c r="U93" s="58">
        <f>N93</f>
        <v/>
      </c>
      <c r="V93" s="69">
        <f>O93</f>
        <v/>
      </c>
      <c r="W93" s="65" t="n"/>
      <c r="X93" s="65" t="n"/>
      <c r="Y93" s="65" t="n"/>
    </row>
    <row r="94">
      <c r="A94" s="8" t="inlineStr">
        <is>
          <t>F</t>
        </is>
      </c>
      <c r="B94" s="9" t="inlineStr">
        <is>
          <t>200 Back</t>
        </is>
      </c>
      <c r="C94" s="9" t="n">
        <v>14</v>
      </c>
      <c r="D94" s="219" t="n">
        <v>2</v>
      </c>
      <c r="E94" s="41" t="inlineStr">
        <is>
          <t>2:20.52</t>
        </is>
      </c>
      <c r="F94" s="35">
        <f>IFERROR(__xludf.DUMMYFUNCTION("IF(
  REGEXMATCH(E94, "":""),
  60*VALUE(INDEX(SPLIT(E94, "":""),1,1)) + VALUE(INDEX(SPLIT(E94, "":""),1,2)),
  VALUE(E94)
)"),140.52)</f>
        <v/>
      </c>
      <c r="G94" s="215">
        <f>C92</f>
        <v/>
      </c>
      <c r="H94" s="215">
        <f>C101</f>
        <v/>
      </c>
      <c r="I94" s="215">
        <f>C106</f>
        <v/>
      </c>
      <c r="J94" s="215">
        <f>C109</f>
        <v/>
      </c>
      <c r="K94" s="43">
        <f>IFS(H94=21,1,I94=21,2,J94=21,3,and(H94=20,I94=22),1.5, and(I94=20,J94=22),2.5,H94&gt;21,0.5)</f>
        <v/>
      </c>
      <c r="L94" s="43">
        <f t="array" ref="L94">INDEX('Podium Target Times'!$C:$C, MATCH(A94&amp;B94, 'Podium Target Times'!$A:$A&amp;'Podium Target Times'!$B:$B, 0))
</f>
        <v/>
      </c>
      <c r="M94" s="64">
        <f>IFS(K94=0.5,M95+(F94-F97),K94=1,M95+(F94-F97), K94=1.5, M95+(F94-F96), K94=2, M95+(F94-F96), K94=2.5, M95+(F94-F96), K94=3, M95+(F94-F96))</f>
        <v/>
      </c>
      <c r="N94" s="43">
        <f>IF(M94&lt;60, TEXT(M94, "0.00"), TEXT(M94/(24*60*60), "M:SS.00"))</f>
        <v/>
      </c>
      <c r="O94" s="14">
        <f>IFERROR(__xludf.DUMMYFUNCTION("LET(
  gen,$A94, ev,$B94, t,$N94,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)"),572.0)</f>
        <v/>
      </c>
      <c r="P94" s="65" t="n"/>
      <c r="Q94" s="65" t="n"/>
      <c r="R94" s="69">
        <f>A95</f>
        <v/>
      </c>
      <c r="S94" s="65">
        <f>B95</f>
        <v/>
      </c>
      <c r="T94" s="69">
        <f>C95</f>
        <v/>
      </c>
      <c r="U94" s="58">
        <f>N95</f>
        <v/>
      </c>
      <c r="V94" s="69">
        <f>O95</f>
        <v/>
      </c>
      <c r="W94" s="65" t="n"/>
      <c r="X94" s="65" t="n"/>
      <c r="Y94" s="65" t="n"/>
    </row>
    <row r="95">
      <c r="A95" s="17" t="inlineStr">
        <is>
          <t>F</t>
        </is>
      </c>
      <c r="B95" s="18" t="inlineStr">
        <is>
          <t>200 Back</t>
        </is>
      </c>
      <c r="C95" s="18" t="n">
        <v>15</v>
      </c>
      <c r="D95" s="18" t="n">
        <v>1</v>
      </c>
      <c r="E95" s="46" t="inlineStr">
        <is>
          <t>2:14.97</t>
        </is>
      </c>
      <c r="F95" s="21">
        <f>IFERROR(__xludf.DUMMYFUNCTION("IF(
  REGEXMATCH(E95, "":""),
  60*VALUE(INDEX(SPLIT(E95, "":""),1,1)) + VALUE(INDEX(SPLIT(E95, "":""),1,2)),
  VALUE(E95)
)"),134.97)</f>
        <v/>
      </c>
      <c r="G95" s="211">
        <f>C92</f>
        <v/>
      </c>
      <c r="H95" s="211">
        <f>C101</f>
        <v/>
      </c>
      <c r="I95" s="211">
        <f>C106</f>
        <v/>
      </c>
      <c r="J95" s="211">
        <f>C109</f>
        <v/>
      </c>
      <c r="K95" s="60">
        <f>IFS(H95=21,1,I95=21,2,J95=21,3,and(H95=20,I95=22),1.5, and(I95=20,J95=22),2.5,H95&gt;21,0.5)</f>
        <v/>
      </c>
      <c r="L95" s="60">
        <f t="array" ref="L95">INDEX('Podium Target Times'!$C:$C, MATCH(A95&amp;B95, 'Podium Target Times'!$A:$A&amp;'Podium Target Times'!$B:$B, 0))
</f>
        <v/>
      </c>
      <c r="M95" s="66">
        <f>IFS(K95=0.5,M96+(F95-F98),K95=1,M96+(F95-F98), K95=1.5, M98+(F96-F99), K95=2, M98+(F96-F99), K95=2.5, M98+(F97-F100), K95=3, M98+(F97-F100))</f>
        <v/>
      </c>
      <c r="N95" s="60">
        <f>IF(M95&lt;60, TEXT(M95, "0.00"), TEXT(M95/(24*60*60), "M:SS.00"))</f>
        <v/>
      </c>
      <c r="O95" s="25">
        <f>IFERROR(__xludf.DUMMYFUNCTION("LET(
  gen,$A95, ev,$B95, t,$N95,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
      </c>
      <c r="P95" s="65" t="n"/>
      <c r="Q95" s="65" t="n"/>
      <c r="R95" s="69">
        <f>A98</f>
        <v/>
      </c>
      <c r="S95" s="65">
        <f>B98</f>
        <v/>
      </c>
      <c r="T95" s="69">
        <f>C98</f>
        <v/>
      </c>
      <c r="U95" s="58">
        <f>N98</f>
        <v/>
      </c>
      <c r="V95" s="69">
        <f>O98</f>
        <v/>
      </c>
      <c r="W95" s="65" t="n"/>
      <c r="X95" s="65" t="n"/>
      <c r="Y95" s="65" t="n"/>
    </row>
    <row r="96">
      <c r="A96" s="8" t="inlineStr">
        <is>
          <t>F</t>
        </is>
      </c>
      <c r="B96" s="9" t="inlineStr">
        <is>
          <t>200 Back</t>
        </is>
      </c>
      <c r="C96" s="9" t="n">
        <v>15</v>
      </c>
      <c r="D96" s="9" t="n">
        <v>2</v>
      </c>
      <c r="E96" s="41" t="inlineStr">
        <is>
          <t>2:16.80</t>
        </is>
      </c>
      <c r="F96" s="35">
        <f>IFERROR(__xludf.DUMMYFUNCTION("IF(
  REGEXMATCH(E96, "":""),
  60*VALUE(INDEX(SPLIT(E96, "":""),1,1)) + VALUE(INDEX(SPLIT(E96, "":""),1,2)),
  VALUE(E96)
)"),136.8)</f>
        <v/>
      </c>
      <c r="G96" s="215">
        <f>C92</f>
        <v/>
      </c>
      <c r="H96" s="215">
        <f>C101</f>
        <v/>
      </c>
      <c r="I96" s="215">
        <f>C106</f>
        <v/>
      </c>
      <c r="J96" s="215">
        <f>C109</f>
        <v/>
      </c>
      <c r="K96" s="43">
        <f>IFS(H96=21,1,I96=21,2,J96=21,3,and(H96=20,I96=22),1.5, and(I96=20,J96=22),2.5,H96&gt;21,0.5)</f>
        <v/>
      </c>
      <c r="L96" s="43">
        <f t="array" ref="L96">INDEX('Podium Target Times'!$C:$C, MATCH(A96&amp;B96, 'Podium Target Times'!$A:$A&amp;'Podium Target Times'!$B:$B, 0))
</f>
        <v/>
      </c>
      <c r="M96" s="64">
        <f>IFS(K96=0.5,M97+(F95-F98),K96=1,M97+(F95-F98), K96=1.5, M98+(F96-F99), K96=2, M98+(F96-F99), K96=2.5, M98+(F97-F100), K96=3, M98+(F97-F100))</f>
        <v/>
      </c>
      <c r="N96" s="43">
        <f>IF(M96&lt;60, TEXT(M96, "0.00"), TEXT(M96/(24*60*60), "M:SS.00"))</f>
        <v/>
      </c>
      <c r="O96" s="14">
        <f>IFERROR(__xludf.DUMMYFUNCTION("LET(
  gen,$A96, ev,$B96, t,$N96,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
      </c>
      <c r="P96" s="65" t="n"/>
      <c r="Q96" s="65" t="n"/>
      <c r="R96" s="69">
        <f>A101</f>
        <v/>
      </c>
      <c r="S96" s="65">
        <f>B101</f>
        <v/>
      </c>
      <c r="T96" s="69">
        <f>C101</f>
        <v/>
      </c>
      <c r="U96" s="58">
        <f>N101</f>
        <v/>
      </c>
      <c r="V96" s="69">
        <f>O101</f>
        <v/>
      </c>
      <c r="W96" s="65" t="n"/>
      <c r="X96" s="65" t="n"/>
      <c r="Y96" s="65" t="n"/>
    </row>
    <row r="97">
      <c r="A97" s="17" t="inlineStr">
        <is>
          <t>F</t>
        </is>
      </c>
      <c r="B97" s="18" t="inlineStr">
        <is>
          <t>200 Back</t>
        </is>
      </c>
      <c r="C97" s="18" t="n">
        <v>15</v>
      </c>
      <c r="D97" s="18" t="n">
        <v>3</v>
      </c>
      <c r="E97" s="46" t="inlineStr">
        <is>
          <t>2:17.67</t>
        </is>
      </c>
      <c r="F97" s="21">
        <f>IFERROR(__xludf.DUMMYFUNCTION("IF(
  REGEXMATCH(E97, "":""),
  60*VALUE(INDEX(SPLIT(E97, "":""),1,1)) + VALUE(INDEX(SPLIT(E97, "":""),1,2)),
  VALUE(E97)
)"),137.67000000000002)</f>
        <v/>
      </c>
      <c r="G97" s="211">
        <f>C92</f>
        <v/>
      </c>
      <c r="H97" s="211">
        <f>C101</f>
        <v/>
      </c>
      <c r="I97" s="211">
        <f>C106</f>
        <v/>
      </c>
      <c r="J97" s="211">
        <f>C109</f>
        <v/>
      </c>
      <c r="K97" s="60">
        <f>IFS(H97=21,1,I97=21,2,J97=21,3,and(H97=20,I97=22),1.5, and(I97=20,J97=22),2.5,H97&gt;21,0.5)</f>
        <v/>
      </c>
      <c r="L97" s="60">
        <f t="array" ref="L97">INDEX('Podium Target Times'!$C:$C, MATCH(A97&amp;B97, 'Podium Target Times'!$A:$A&amp;'Podium Target Times'!$B:$B, 0))
</f>
        <v/>
      </c>
      <c r="M97" s="66">
        <f>IFS(K97=0.5,M98+(F95-F98),K97=1,M98+(F95-F98), K97=1.5, M98+(F96-F99), K97=2, M98+(F96-F99), K97=2.5, M98+(F97-F100), K97=3, M98+(F97-F100))</f>
        <v/>
      </c>
      <c r="N97" s="60">
        <f>IF(M97&lt;60, TEXT(M97, "0.00"), TEXT(M97/(24*60*60), "M:SS.00"))</f>
        <v/>
      </c>
      <c r="O97" s="25">
        <f>IFERROR(__xludf.DUMMYFUNCTION("LET(
  gen,$A97, ev,$B97, t,$N97,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)"),618.0)</f>
        <v/>
      </c>
      <c r="P97" s="65" t="n"/>
      <c r="Q97" s="65" t="n"/>
      <c r="R97" s="69">
        <f>A104</f>
        <v/>
      </c>
      <c r="S97" s="65">
        <f>B104</f>
        <v/>
      </c>
      <c r="T97" s="69">
        <f>C104</f>
        <v/>
      </c>
      <c r="U97" s="58">
        <f>N104</f>
        <v/>
      </c>
      <c r="V97" s="69">
        <f>O104</f>
        <v/>
      </c>
      <c r="W97" s="65" t="n"/>
      <c r="X97" s="65" t="n"/>
      <c r="Y97" s="65" t="n"/>
    </row>
    <row r="98">
      <c r="A98" s="8" t="inlineStr">
        <is>
          <t>F</t>
        </is>
      </c>
      <c r="B98" s="9" t="inlineStr">
        <is>
          <t>200 Back</t>
        </is>
      </c>
      <c r="C98" s="9" t="n">
        <v>16</v>
      </c>
      <c r="D98" s="9" t="n">
        <v>1</v>
      </c>
      <c r="E98" s="41" t="inlineStr">
        <is>
          <t>2:12.63</t>
        </is>
      </c>
      <c r="F98" s="35">
        <f>IFERROR(__xludf.DUMMYFUNCTION("IF(
  REGEXMATCH(E98, "":""),
  60*VALUE(INDEX(SPLIT(E98, "":""),1,1)) + VALUE(INDEX(SPLIT(E98, "":""),1,2)),
  VALUE(E98)
)"),132.63)</f>
        <v/>
      </c>
      <c r="G98" s="215">
        <f>C92</f>
        <v/>
      </c>
      <c r="H98" s="215">
        <f>C101</f>
        <v/>
      </c>
      <c r="I98" s="215">
        <f>C106</f>
        <v/>
      </c>
      <c r="J98" s="215">
        <f>C109</f>
        <v/>
      </c>
      <c r="K98" s="43">
        <f>IFS(H98=21,1,I98=21,2,J98=21,3,and(H98=20,I98=22),1.5, and(I98=20,J98=22),2.5,H98&gt;21,0.5)</f>
        <v/>
      </c>
      <c r="L98" s="43">
        <f t="array" ref="L98">INDEX('Podium Target Times'!$C:$C, MATCH(A98&amp;B98, 'Podium Target Times'!$A:$A&amp;'Podium Target Times'!$B:$B, 0))
</f>
        <v/>
      </c>
      <c r="M98" s="64">
        <f>IFS(K98=0.5,L98,K98=1,U96+(F98-F101), K98=1.5, M101+(F99-F102), K98=2, M101+(F99-F102), K98=2.5, M101+(F100-F103), K98=3, M101+(F100-F103))</f>
        <v/>
      </c>
      <c r="N98" s="43">
        <f>IF(M98&lt;60, TEXT(M98, "0.00"), TEXT(M98/(24*60*60), "M:SS.00"))</f>
        <v/>
      </c>
      <c r="O98" s="14">
        <f>IFERROR(__xludf.DUMMYFUNCTION("LET(
  gen,$A98, ev,$B98, t,$N98,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)"),650.0)</f>
        <v/>
      </c>
      <c r="P98" s="65" t="n"/>
      <c r="Q98" s="65" t="n"/>
      <c r="R98" s="69">
        <f>A106</f>
        <v/>
      </c>
      <c r="S98" s="65">
        <f>B106</f>
        <v/>
      </c>
      <c r="T98" s="69">
        <f>C106</f>
        <v/>
      </c>
      <c r="U98" s="58">
        <f>N106</f>
        <v/>
      </c>
      <c r="V98" s="69">
        <f>O106</f>
        <v/>
      </c>
      <c r="W98" s="65" t="n"/>
      <c r="X98" s="65" t="n"/>
      <c r="Y98" s="65" t="n"/>
    </row>
    <row r="99">
      <c r="A99" s="17" t="inlineStr">
        <is>
          <t>F</t>
        </is>
      </c>
      <c r="B99" s="18" t="inlineStr">
        <is>
          <t>200 Back</t>
        </is>
      </c>
      <c r="C99" s="18" t="n">
        <v>16</v>
      </c>
      <c r="D99" s="221" t="n">
        <v>2</v>
      </c>
      <c r="E99" s="46" t="inlineStr">
        <is>
          <t>2:14.43</t>
        </is>
      </c>
      <c r="F99" s="21">
        <f>IFERROR(__xludf.DUMMYFUNCTION("IF(
  REGEXMATCH(E99, "":""),
  60*VALUE(INDEX(SPLIT(E99, "":""),1,1)) + VALUE(INDEX(SPLIT(E99, "":""),1,2)),
  VALUE(E99)
)"),134.43)</f>
        <v/>
      </c>
      <c r="G99" s="211">
        <f>C92</f>
        <v/>
      </c>
      <c r="H99" s="211">
        <f>C101</f>
        <v/>
      </c>
      <c r="I99" s="211">
        <f>C106</f>
        <v/>
      </c>
      <c r="J99" s="211">
        <f>C109</f>
        <v/>
      </c>
      <c r="K99" s="60">
        <f>IFS(H99=21,1,I99=21,2,J99=21,3,and(H99=20,I99=22),1.5, and(I99=20,J99=22),2.5,H99&gt;21,0.5)</f>
        <v/>
      </c>
      <c r="L99" s="60">
        <f t="array" ref="L99">INDEX('Podium Target Times'!$C:$C, MATCH(A99&amp;B99, 'Podium Target Times'!$A:$A&amp;'Podium Target Times'!$B:$B, 0))
</f>
        <v/>
      </c>
      <c r="M99" s="66">
        <f>IFS(K99=0.5,L99,K99=1,U96+(F98-F101), K99=1.5, M101+(F99-F102), K99=2, M101+(F99-F102), K99=2.5, M101+(F100-F103), K99=3, M101+(F100-F103))</f>
        <v/>
      </c>
      <c r="N99" s="60">
        <f>IF(M99&lt;60, TEXT(M99, "0.00"), TEXT(M99/(24*60*60), "M:SS.00"))</f>
        <v/>
      </c>
      <c r="O99" s="25">
        <f>IFERROR(__xludf.DUMMYFUNCTION("LET(
  gen,$A99, ev,$B99, t,$N99,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)"),650.0)</f>
        <v/>
      </c>
      <c r="P99" s="65" t="n"/>
      <c r="Q99" s="65" t="n"/>
      <c r="R99" s="69">
        <f>A108</f>
        <v/>
      </c>
      <c r="S99" s="65">
        <f>B108</f>
        <v/>
      </c>
      <c r="T99" s="69">
        <f>C108</f>
        <v/>
      </c>
      <c r="U99" s="58">
        <f>N108</f>
        <v/>
      </c>
      <c r="V99" s="69">
        <f>O108</f>
        <v/>
      </c>
      <c r="W99" s="65" t="n"/>
      <c r="X99" s="65" t="n"/>
      <c r="Y99" s="65" t="n"/>
    </row>
    <row r="100">
      <c r="A100" s="8" t="inlineStr">
        <is>
          <t>F</t>
        </is>
      </c>
      <c r="B100" s="9" t="inlineStr">
        <is>
          <t>200 Back</t>
        </is>
      </c>
      <c r="C100" s="9" t="n">
        <v>16</v>
      </c>
      <c r="D100" s="9" t="n">
        <v>3</v>
      </c>
      <c r="E100" s="41" t="inlineStr">
        <is>
          <t>2:15.28</t>
        </is>
      </c>
      <c r="F100" s="35">
        <f>IFERROR(__xludf.DUMMYFUNCTION("IF(
  REGEXMATCH(E100, "":""),
  60*VALUE(INDEX(SPLIT(E100, "":""),1,1)) + VALUE(INDEX(SPLIT(E100, "":""),1,2)),
  VALUE(E100)
)"),135.28)</f>
        <v/>
      </c>
      <c r="G100" s="215">
        <f>C92</f>
        <v/>
      </c>
      <c r="H100" s="215">
        <f>C101</f>
        <v/>
      </c>
      <c r="I100" s="215">
        <f>C106</f>
        <v/>
      </c>
      <c r="J100" s="215">
        <f>C109</f>
        <v/>
      </c>
      <c r="K100" s="43">
        <f>IFS(H100=21,1,I100=21,2,J100=21,3,and(H100=20,I100=22),1.5, and(I100=20,J100=22),2.5,H100&gt;21,0.5)</f>
        <v/>
      </c>
      <c r="L100" s="43">
        <f t="array" ref="L100">INDEX('Podium Target Times'!$C:$C, MATCH(A100&amp;B100, 'Podium Target Times'!$A:$A&amp;'Podium Target Times'!$B:$B, 0))
</f>
        <v/>
      </c>
      <c r="M100" s="64">
        <f>IFS(K100=0.5,L100,K100=1,U96+(F98-F101), K100=1.5, M101+(F99-F102), K100=2, M101+(F99-F102), K100=2.5, M101+(F100-F103), K100=3, M101+(F100-F103))</f>
        <v/>
      </c>
      <c r="N100" s="43">
        <f>IF(M100&lt;60, TEXT(M100, "0.00"), TEXT(M100/(24*60*60), "M:SS.00"))</f>
        <v/>
      </c>
      <c r="O100" s="14">
        <f>IFERROR(__xludf.DUMMYFUNCTION("LET(
  gen,$A100, ev,$B100, t,$N100,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)"),650.0)</f>
        <v/>
      </c>
      <c r="P100" s="65" t="n"/>
      <c r="Q100" s="65" t="n"/>
      <c r="R100" s="69">
        <f>A109</f>
        <v/>
      </c>
      <c r="S100" s="65">
        <f>B109</f>
        <v/>
      </c>
      <c r="T100" s="69">
        <f>C109</f>
        <v/>
      </c>
      <c r="U100" s="58">
        <f>N109</f>
        <v/>
      </c>
      <c r="V100" s="69">
        <f>O109</f>
        <v/>
      </c>
      <c r="W100" s="65" t="n"/>
      <c r="X100" s="65" t="n"/>
      <c r="Y100" s="65" t="n"/>
    </row>
    <row r="101">
      <c r="A101" s="17" t="inlineStr">
        <is>
          <t>F</t>
        </is>
      </c>
      <c r="B101" s="18" t="inlineStr">
        <is>
          <t>200 Back</t>
        </is>
      </c>
      <c r="C101" s="18" t="n">
        <v>17</v>
      </c>
      <c r="D101" s="18" t="n">
        <v>1</v>
      </c>
      <c r="E101" s="46" t="inlineStr">
        <is>
          <t>2:11.08</t>
        </is>
      </c>
      <c r="F101" s="21">
        <f>IFERROR(__xludf.DUMMYFUNCTION("IF(
  REGEXMATCH(E101, "":""),
  60*VALUE(INDEX(SPLIT(E101, "":""),1,1)) + VALUE(INDEX(SPLIT(E101, "":""),1,2)),
  VALUE(E101)
)"),131.08)</f>
        <v/>
      </c>
      <c r="G101" s="211">
        <f>C92</f>
        <v/>
      </c>
      <c r="H101" s="211">
        <f>C101</f>
        <v/>
      </c>
      <c r="I101" s="211">
        <f>C106</f>
        <v/>
      </c>
      <c r="J101" s="211">
        <f>C109</f>
        <v/>
      </c>
      <c r="K101" s="60">
        <f>IFS(H101=21,1,I101=21,2,J101=21,3,and(H101=20,I101=22),1.5, and(I101=20,J101=22),2.5,H101&gt;21,0.5)</f>
        <v/>
      </c>
      <c r="L101" s="60">
        <f t="array" ref="L101">INDEX('Podium Target Times'!$C:$C, MATCH(A101&amp;B101, 'Podium Target Times'!$A:$A&amp;'Podium Target Times'!$B:$B, 0))
</f>
        <v/>
      </c>
      <c r="M101" s="66">
        <f>IFS(K101=0.5,L101,K101=1,L101, K101=1.5, M104+(F102-F104), K101=2, M104+(F102-F104), K101=2.5, M104+(F103-F105), K101=3, M104+(F103-F105))</f>
        <v/>
      </c>
      <c r="N101" s="60">
        <f>IF(M101&lt;60, TEXT(M101, "0.00"), TEXT(M101/(24*60*60), "M:SS.00"))</f>
        <v/>
      </c>
      <c r="O101" s="25">
        <f>IFERROR(__xludf.DUMMYFUNCTION("LET(
  gen,$A101, ev,$B101, t,$N101,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P101" s="65" t="n"/>
      <c r="Q101" s="65" t="n"/>
      <c r="R101" s="69" t="n"/>
      <c r="S101" s="65" t="n"/>
      <c r="T101" s="69" t="n"/>
      <c r="U101" s="58" t="n"/>
      <c r="V101" s="69" t="n"/>
      <c r="W101" s="65" t="n"/>
      <c r="X101" s="65" t="n"/>
      <c r="Y101" s="65" t="n"/>
    </row>
    <row r="102">
      <c r="A102" s="8" t="inlineStr">
        <is>
          <t>F</t>
        </is>
      </c>
      <c r="B102" s="9" t="inlineStr">
        <is>
          <t>200 Back</t>
        </is>
      </c>
      <c r="C102" s="9" t="n">
        <v>17</v>
      </c>
      <c r="D102" s="9" t="n">
        <v>2</v>
      </c>
      <c r="E102" s="41" t="inlineStr">
        <is>
          <t>2:12.86</t>
        </is>
      </c>
      <c r="F102" s="35">
        <f>IFERROR(__xludf.DUMMYFUNCTION("IF(
  REGEXMATCH(E102, "":""),
  60*VALUE(INDEX(SPLIT(E102, "":""),1,1)) + VALUE(INDEX(SPLIT(E102, "":""),1,2)),
  VALUE(E102)
)"),132.86)</f>
        <v/>
      </c>
      <c r="G102" s="215">
        <f>C92</f>
        <v/>
      </c>
      <c r="H102" s="215">
        <f>C101</f>
        <v/>
      </c>
      <c r="I102" s="215">
        <f>C106</f>
        <v/>
      </c>
      <c r="J102" s="215">
        <f>C109</f>
        <v/>
      </c>
      <c r="K102" s="43">
        <f>IFS(H102=21,1,I102=21,2,J102=21,3,and(H102=20,I102=22),1.5, and(I102=20,J102=22),2.5,H102&gt;21,0.5)</f>
        <v/>
      </c>
      <c r="L102" s="43">
        <f t="array" ref="L102">INDEX('Podium Target Times'!$C:$C, MATCH(A102&amp;B102, 'Podium Target Times'!$A:$A&amp;'Podium Target Times'!$B:$B, 0))
</f>
        <v/>
      </c>
      <c r="M102" s="64">
        <f>IFS(K102=0.5,L102,K102=1,L102, K102=1.5, M104+(F102-F104), K102=2, M104+(F102-F104), K102=2.5, M104+(F103-F105), K102=3, M104+(F103-F105))</f>
        <v/>
      </c>
      <c r="N102" s="43">
        <f>IF(M102&lt;60, TEXT(M102, "0.00"), TEXT(M102/(24*60*60), "M:SS.00"))</f>
        <v/>
      </c>
      <c r="O102" s="14">
        <f>IFERROR(__xludf.DUMMYFUNCTION("LET(
  gen,$A102, ev,$B102, t,$N102,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P102" s="65" t="n"/>
      <c r="Q102" s="65" t="n"/>
      <c r="R102" s="69" t="n"/>
      <c r="S102" s="65" t="n"/>
      <c r="T102" s="69" t="n"/>
      <c r="U102" s="58" t="n"/>
      <c r="V102" s="69" t="n"/>
      <c r="W102" s="65" t="n"/>
      <c r="X102" s="65" t="n"/>
      <c r="Y102" s="65" t="n"/>
    </row>
    <row r="103">
      <c r="A103" s="17" t="inlineStr">
        <is>
          <t>F</t>
        </is>
      </c>
      <c r="B103" s="18" t="inlineStr">
        <is>
          <t>200 Back</t>
        </is>
      </c>
      <c r="C103" s="18" t="n">
        <v>17</v>
      </c>
      <c r="D103" s="18" t="n">
        <v>3</v>
      </c>
      <c r="E103" s="46" t="inlineStr">
        <is>
          <t>2:13.70</t>
        </is>
      </c>
      <c r="F103" s="21">
        <f>IFERROR(__xludf.DUMMYFUNCTION("IF(
  REGEXMATCH(E103, "":""),
  60*VALUE(INDEX(SPLIT(E103, "":""),1,1)) + VALUE(INDEX(SPLIT(E103, "":""),1,2)),
  VALUE(E103)
)"),133.7)</f>
        <v/>
      </c>
      <c r="G103" s="211">
        <f>C92</f>
        <v/>
      </c>
      <c r="H103" s="211">
        <f>C101</f>
        <v/>
      </c>
      <c r="I103" s="211">
        <f>C106</f>
        <v/>
      </c>
      <c r="J103" s="211">
        <f>C109</f>
        <v/>
      </c>
      <c r="K103" s="60">
        <f>IFS(H103=21,1,I103=21,2,J103=21,3,and(H103=20,I103=22),1.5, and(I103=20,J103=22),2.5,H103&gt;21,0.5)</f>
        <v/>
      </c>
      <c r="L103" s="60">
        <f t="array" ref="L103">INDEX('Podium Target Times'!$C:$C, MATCH(A103&amp;B103, 'Podium Target Times'!$A:$A&amp;'Podium Target Times'!$B:$B, 0))
</f>
        <v/>
      </c>
      <c r="M103" s="66">
        <f>IFS(K103=0.5,L103,K103=1,L103, K103=1.5, M104+(F102-F104), K103=2, M104+(F102-F104), K103=2.5, M104+(F103-F105), K103=3, M104+(F103-F105))</f>
        <v/>
      </c>
      <c r="N103" s="60">
        <f>IF(M103&lt;60, TEXT(M103, "0.00"), TEXT(M103/(24*60*60), "M:SS.00"))</f>
        <v/>
      </c>
      <c r="O103" s="25">
        <f>IFERROR(__xludf.DUMMYFUNCTION("LET(
  gen,$A103, ev,$B103, t,$N103,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P103" s="65" t="n"/>
      <c r="Q103" s="65" t="n"/>
      <c r="R103" s="69" t="n"/>
      <c r="S103" s="65" t="n"/>
      <c r="T103" s="69" t="n"/>
      <c r="U103" s="58" t="n"/>
      <c r="V103" s="69" t="n"/>
      <c r="W103" s="65" t="n"/>
      <c r="X103" s="65" t="n"/>
      <c r="Y103" s="65" t="n"/>
    </row>
    <row r="104">
      <c r="A104" s="8" t="inlineStr">
        <is>
          <t>F</t>
        </is>
      </c>
      <c r="B104" s="9" t="inlineStr">
        <is>
          <t>200 Back</t>
        </is>
      </c>
      <c r="C104" s="9" t="n">
        <v>18</v>
      </c>
      <c r="D104" s="219" t="n">
        <v>2</v>
      </c>
      <c r="E104" s="41" t="inlineStr">
        <is>
          <t>2:11.79</t>
        </is>
      </c>
      <c r="F104" s="35">
        <f>IFERROR(__xludf.DUMMYFUNCTION("IF(
  REGEXMATCH(E104, "":""),
  60*VALUE(INDEX(SPLIT(E104, "":""),1,1)) + VALUE(INDEX(SPLIT(E104, "":""),1,2)),
  VALUE(E104)
)"),131.79)</f>
        <v/>
      </c>
      <c r="G104" s="215">
        <f>C92</f>
        <v/>
      </c>
      <c r="H104" s="215">
        <f>C101</f>
        <v/>
      </c>
      <c r="I104" s="215">
        <f>C106</f>
        <v/>
      </c>
      <c r="J104" s="215">
        <f>C109</f>
        <v/>
      </c>
      <c r="K104" s="43">
        <f>IFS(H104=21,1,I104=21,2,J104=21,3,and(H104=20,I104=22),1.5, and(I104=20,J104=22),2.5,H104&gt;21,0.5)</f>
        <v/>
      </c>
      <c r="L104" s="43">
        <f t="array" ref="L104">INDEX('Podium Target Times'!$C:$C, MATCH(A104&amp;B104, 'Podium Target Times'!$A:$A&amp;'Podium Target Times'!$B:$B, 0))
</f>
        <v/>
      </c>
      <c r="M104" s="64">
        <f>IFS(K104=0.5,L104,K104=1,L104, K104=1.5, L104, K104=2, M106+(F104-F106), K104=2.5, M106+(F105-F107), K104=3, M106+(F105-F107))</f>
        <v/>
      </c>
      <c r="N104" s="43">
        <f>IF(M104&lt;60, TEXT(M104, "0.00"), TEXT(M104/(24*60*60), "M:SS.00"))</f>
        <v/>
      </c>
      <c r="O104" s="14">
        <f>IFERROR(__xludf.DUMMYFUNCTION("LET(
  gen,$A104, ev,$B104, t,$N104,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P104" s="65" t="n"/>
      <c r="Q104" s="65" t="n"/>
      <c r="R104" s="69" t="n"/>
      <c r="S104" s="65" t="n"/>
      <c r="T104" s="69" t="n"/>
      <c r="U104" s="58" t="n"/>
      <c r="V104" s="69" t="n"/>
      <c r="W104" s="65" t="n"/>
      <c r="X104" s="65" t="n"/>
      <c r="Y104" s="65" t="n"/>
    </row>
    <row r="105">
      <c r="A105" s="17" t="inlineStr">
        <is>
          <t>F</t>
        </is>
      </c>
      <c r="B105" s="18" t="inlineStr">
        <is>
          <t>200 Back</t>
        </is>
      </c>
      <c r="C105" s="18" t="n">
        <v>18</v>
      </c>
      <c r="D105" s="18" t="n">
        <v>3</v>
      </c>
      <c r="E105" s="46" t="inlineStr">
        <is>
          <t>2:12.63</t>
        </is>
      </c>
      <c r="F105" s="21">
        <f>IFERROR(__xludf.DUMMYFUNCTION("IF(
  REGEXMATCH(E105, "":""),
  60*VALUE(INDEX(SPLIT(E105, "":""),1,1)) + VALUE(INDEX(SPLIT(E105, "":""),1,2)),
  VALUE(E105)
)"),132.63)</f>
        <v/>
      </c>
      <c r="G105" s="211">
        <f>C92</f>
        <v/>
      </c>
      <c r="H105" s="211">
        <f>C101</f>
        <v/>
      </c>
      <c r="I105" s="211">
        <f>C106</f>
        <v/>
      </c>
      <c r="J105" s="211">
        <f>C109</f>
        <v/>
      </c>
      <c r="K105" s="60">
        <f>IFS(H105=21,1,I105=21,2,J105=21,3,and(H105=20,I105=22),1.5, and(I105=20,J105=22),2.5,H105&gt;21,0.5)</f>
        <v/>
      </c>
      <c r="L105" s="60">
        <f t="array" ref="L105">INDEX('Podium Target Times'!$C:$C, MATCH(A105&amp;B105, 'Podium Target Times'!$A:$A&amp;'Podium Target Times'!$B:$B, 0))
</f>
        <v/>
      </c>
      <c r="M105" s="66">
        <f>IFS(K105=0.5,L105,K105=1,L105, K105=1.5, L105, K105=2, M106+(F104-F106), K105=2.5, M106+(F105-F107), K105=3, M106+(F105-F107))</f>
        <v/>
      </c>
      <c r="N105" s="60">
        <f>IF(M105&lt;60, TEXT(M105, "0.00"), TEXT(M105/(24*60*60), "M:SS.00"))</f>
        <v/>
      </c>
      <c r="O105" s="25">
        <f>IFERROR(__xludf.DUMMYFUNCTION("LET(
  gen,$A105, ev,$B105, t,$N105,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)"),687.0)</f>
        <v/>
      </c>
      <c r="P105" s="65" t="n"/>
      <c r="Q105" s="65" t="n"/>
      <c r="R105" s="69" t="n"/>
      <c r="S105" s="65" t="n"/>
      <c r="T105" s="69" t="n"/>
      <c r="U105" s="58" t="n"/>
      <c r="V105" s="69" t="n"/>
      <c r="W105" s="65" t="n"/>
      <c r="X105" s="65" t="n"/>
      <c r="Y105" s="65" t="n"/>
    </row>
    <row r="106">
      <c r="A106" s="8" t="inlineStr">
        <is>
          <t>F</t>
        </is>
      </c>
      <c r="B106" s="9" t="inlineStr">
        <is>
          <t>200 Back</t>
        </is>
      </c>
      <c r="C106" s="9" t="n">
        <v>19</v>
      </c>
      <c r="D106" s="9" t="n">
        <v>2</v>
      </c>
      <c r="E106" s="215" t="inlineStr">
        <is>
          <t>2:11.08</t>
        </is>
      </c>
      <c r="F106" s="35">
        <f>IFERROR(__xludf.DUMMYFUNCTION("IF(
  REGEXMATCH(E106, "":""),
  60*VALUE(INDEX(SPLIT(E106, "":""),1,1)) + VALUE(INDEX(SPLIT(E106, "":""),1,2)),
  VALUE(E106)
)"),131.08)</f>
        <v/>
      </c>
      <c r="G106" s="215">
        <f>C92</f>
        <v/>
      </c>
      <c r="H106" s="215">
        <f>C101</f>
        <v/>
      </c>
      <c r="I106" s="215">
        <f>C106</f>
        <v/>
      </c>
      <c r="J106" s="215">
        <f>C109</f>
        <v/>
      </c>
      <c r="K106" s="43">
        <f>IFS(H106=21,1,I106=21,2,J106=21,3,and(H106=20,I106=22),1.5, and(I106=20,J106=22),2.5,H106&gt;21,0.5)</f>
        <v/>
      </c>
      <c r="L106" s="43">
        <f t="array" ref="L106">INDEX('Podium Target Times'!$C:$C, MATCH(A106&amp;B106, 'Podium Target Times'!$A:$A&amp;'Podium Target Times'!$B:$B, 0))
</f>
        <v/>
      </c>
      <c r="M106" s="64">
        <f>IFS(K106=0.5,L106,K106=1,L106, K106=1.5, L106, K106=2,L109, K106=2.5, M108+(F107-F108), K106=3,  M108+(F107-F108))</f>
        <v/>
      </c>
      <c r="N106" s="43">
        <f>IF(M106&lt;60, TEXT(M106, "0.00"), TEXT(M106/(24*60*60), "M:SS.00"))</f>
        <v/>
      </c>
      <c r="O106" s="14">
        <f>IFERROR(__xludf.DUMMYFUNCTION("LET(
  gen,$A106, ev,$B106, t,$N106,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
      </c>
      <c r="P106" s="65" t="n"/>
      <c r="Q106" s="65" t="n"/>
      <c r="R106" s="69" t="n"/>
      <c r="S106" s="65" t="n"/>
      <c r="T106" s="69" t="n"/>
      <c r="U106" s="58" t="n"/>
      <c r="V106" s="69" t="n"/>
      <c r="W106" s="65" t="n"/>
      <c r="X106" s="65" t="n"/>
      <c r="Y106" s="65" t="n"/>
    </row>
    <row r="107">
      <c r="A107" s="17" t="inlineStr">
        <is>
          <t>F</t>
        </is>
      </c>
      <c r="B107" s="18" t="inlineStr">
        <is>
          <t>200 Back</t>
        </is>
      </c>
      <c r="C107" s="18" t="n">
        <v>19</v>
      </c>
      <c r="D107" s="18" t="n">
        <v>3</v>
      </c>
      <c r="E107" s="211" t="inlineStr">
        <is>
          <t>2:11.91</t>
        </is>
      </c>
      <c r="F107" s="21">
        <f>IFERROR(__xludf.DUMMYFUNCTION("IF(
  REGEXMATCH(E107, "":""),
  60*VALUE(INDEX(SPLIT(E107, "":""),1,1)) + VALUE(INDEX(SPLIT(E107, "":""),1,2)),
  VALUE(E107)
)"),131.91)</f>
        <v/>
      </c>
      <c r="G107" s="211">
        <f>C92</f>
        <v/>
      </c>
      <c r="H107" s="211">
        <f>C101</f>
        <v/>
      </c>
      <c r="I107" s="211">
        <f>C106</f>
        <v/>
      </c>
      <c r="J107" s="211">
        <f>C109</f>
        <v/>
      </c>
      <c r="K107" s="60">
        <f>IFS(H107=21,1,I107=21,2,J107=21,3,and(H107=20,I107=22),1.5, and(I107=20,J107=22),2.5,H107&gt;21,0.5)</f>
        <v/>
      </c>
      <c r="L107" s="60">
        <f t="array" ref="L107">INDEX('Podium Target Times'!$C:$C, MATCH(A107&amp;B107, 'Podium Target Times'!$A:$A&amp;'Podium Target Times'!$B:$B, 0))
</f>
        <v/>
      </c>
      <c r="M107" s="66">
        <f>IFS(K107=0.5,L107,K107=1,L107, K107=1.5, L107, K107=2, L109, K107=2.5, M108+(F107-F108), K107=3, M108+(F107-F108))</f>
        <v/>
      </c>
      <c r="N107" s="60">
        <f>IF(M107&lt;60, TEXT(M107, "0.00"), TEXT(M107/(24*60*60), "M:SS.00"))</f>
        <v/>
      </c>
      <c r="O107" s="25">
        <f>IFERROR(__xludf.DUMMYFUNCTION("LET(
  gen,$A107, ev,$B107, t,$N107,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)"),698.0)</f>
        <v/>
      </c>
      <c r="P107" s="65" t="n"/>
      <c r="Q107" s="65" t="n"/>
      <c r="R107" s="69" t="n"/>
      <c r="S107" s="65" t="n"/>
      <c r="T107" s="69" t="n"/>
      <c r="U107" s="58" t="n"/>
      <c r="V107" s="69" t="n"/>
      <c r="W107" s="65" t="n"/>
      <c r="X107" s="65" t="n"/>
      <c r="Y107" s="65" t="n"/>
    </row>
    <row r="108">
      <c r="A108" s="8" t="inlineStr">
        <is>
          <t>F</t>
        </is>
      </c>
      <c r="B108" s="9" t="inlineStr">
        <is>
          <t>200 Back</t>
        </is>
      </c>
      <c r="C108" s="9" t="n">
        <v>20</v>
      </c>
      <c r="D108" s="9" t="n">
        <v>3</v>
      </c>
      <c r="E108" s="41" t="inlineStr">
        <is>
          <t>2:11.40</t>
        </is>
      </c>
      <c r="F108" s="35">
        <f>IFERROR(__xludf.DUMMYFUNCTION("IF(
  REGEXMATCH(E108, "":""),
  60*VALUE(INDEX(SPLIT(E108, "":""),1,1)) + VALUE(INDEX(SPLIT(E108, "":""),1,2)),
  VALUE(E108)
)"),131.4)</f>
        <v/>
      </c>
      <c r="G108" s="215">
        <f>C92</f>
        <v/>
      </c>
      <c r="H108" s="215">
        <f>C101</f>
        <v/>
      </c>
      <c r="I108" s="215">
        <f>C106</f>
        <v/>
      </c>
      <c r="J108" s="215">
        <f>C109</f>
        <v/>
      </c>
      <c r="K108" s="43">
        <f>IFS(H108=21,1,I108=21,2,J108=21,3,and(H108=20,I108=22),1.5, and(I108=20,J108=22),2.5,H108&gt;21,0.5)</f>
        <v/>
      </c>
      <c r="L108" s="43">
        <f t="array" ref="L108">INDEX('Podium Target Times'!$C:$C, MATCH(A108&amp;B108, 'Podium Target Times'!$A:$A&amp;'Podium Target Times'!$B:$B, 0))
</f>
        <v/>
      </c>
      <c r="M108" s="64">
        <f>IFS(K108=0.5,L108,K108=1,L108, K108=1.5, L108, K108=2, L109, K108=2.5, L109, K108=3, M109+(F108-F109))</f>
        <v/>
      </c>
      <c r="N108" s="43">
        <f>IF(M108&lt;60, TEXT(M108, "0.00"), TEXT(M108/(24*60*60), "M:SS.00"))</f>
        <v/>
      </c>
      <c r="O108" s="14">
        <f>IFERROR(__xludf.DUMMYFUNCTION("LET(
  gen,$A108, ev,$B108, t,$N108,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P108" s="65" t="n"/>
      <c r="Q108" s="65" t="n"/>
      <c r="R108" s="69" t="n"/>
      <c r="S108" s="65" t="n"/>
      <c r="T108" s="69" t="n"/>
      <c r="U108" s="58" t="n"/>
      <c r="V108" s="69" t="n"/>
      <c r="W108" s="65" t="n"/>
      <c r="X108" s="65" t="n"/>
      <c r="Y108" s="65" t="n"/>
    </row>
    <row r="109">
      <c r="A109" s="17" t="inlineStr">
        <is>
          <t>F</t>
        </is>
      </c>
      <c r="B109" s="18" t="inlineStr">
        <is>
          <t>200 Back</t>
        </is>
      </c>
      <c r="C109" s="18" t="n">
        <v>21</v>
      </c>
      <c r="D109" s="18" t="n">
        <v>3</v>
      </c>
      <c r="E109" s="46" t="inlineStr">
        <is>
          <t>2:11.08</t>
        </is>
      </c>
      <c r="F109" s="21">
        <f>IFERROR(__xludf.DUMMYFUNCTION("IF(
  REGEXMATCH(E109, "":""),
  60*VALUE(INDEX(SPLIT(E109, "":""),1,1)) + VALUE(INDEX(SPLIT(E109, "":""),1,2)),
  VALUE(E109)
)"),131.08)</f>
        <v/>
      </c>
      <c r="G109" s="211">
        <f>C92</f>
        <v/>
      </c>
      <c r="H109" s="211">
        <f>C101</f>
        <v/>
      </c>
      <c r="I109" s="211">
        <f>C106</f>
        <v/>
      </c>
      <c r="J109" s="211">
        <f>C109</f>
        <v/>
      </c>
      <c r="K109" s="60">
        <f>IFS(H109=21,1,I109=21,2,J109=21,3,and(H109=20,I109=22),1.5, and(I109=20,J109=22),2.5,H109&gt;21,0.5)</f>
        <v/>
      </c>
      <c r="L109" s="60">
        <f t="array" ref="L109">INDEX('Podium Target Times'!$C:$C, MATCH(A109&amp;B109, 'Podium Target Times'!$A:$A&amp;'Podium Target Times'!$B:$B, 0))
</f>
        <v/>
      </c>
      <c r="M109" s="66">
        <f>IFS(K109=0.5,L109,K109=1,L109, K109=1.5, L109, K109=2, L109, K109=2.5, L109, K109=3, L109)</f>
        <v/>
      </c>
      <c r="N109" s="60">
        <f>IF(M109&lt;60, TEXT(M109, "0.00"), TEXT(M109/(24*60*60), "M:SS.00"))</f>
        <v/>
      </c>
      <c r="O109" s="25">
        <f>IFERROR(__xludf.DUMMYFUNCTION("LET(
  gen,$A109, ev,$B109, t,$N109,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)"),711.0)</f>
        <v/>
      </c>
      <c r="P109" s="65" t="n"/>
      <c r="Q109" s="65" t="n"/>
      <c r="R109" s="69" t="n"/>
      <c r="S109" s="65" t="n"/>
      <c r="T109" s="69" t="n"/>
      <c r="U109" s="58" t="n"/>
      <c r="V109" s="69" t="n"/>
      <c r="W109" s="65" t="n"/>
      <c r="X109" s="65" t="n"/>
      <c r="Y109" s="65" t="n"/>
    </row>
    <row r="110">
      <c r="A110" s="8" t="inlineStr">
        <is>
          <t>F</t>
        </is>
      </c>
      <c r="B110" s="9" t="inlineStr">
        <is>
          <t>200 Breast</t>
        </is>
      </c>
      <c r="C110" s="9" t="n">
        <v>15</v>
      </c>
      <c r="D110" s="9" t="n">
        <v>1</v>
      </c>
      <c r="E110" s="41" t="inlineStr">
        <is>
          <t>2:31.21</t>
        </is>
      </c>
      <c r="F110" s="35">
        <f>IFERROR(__xludf.DUMMYFUNCTION("IF(
  REGEXMATCH(E110, "":""),
  60*VALUE(INDEX(SPLIT(E110, "":""),1,1)) + VALUE(INDEX(SPLIT(E110, "":""),1,2)),
  VALUE(E110)
)"),151.21)</f>
        <v/>
      </c>
      <c r="G110" s="43">
        <f>C110</f>
        <v/>
      </c>
      <c r="H110" s="43">
        <f>C119</f>
        <v/>
      </c>
      <c r="I110" s="43">
        <f>C124</f>
        <v/>
      </c>
      <c r="J110" s="43">
        <f>C127</f>
        <v/>
      </c>
      <c r="K110" s="43">
        <f>IFS(H110=21,1,I110=21,2,J110=21,3,and(H110=20,I110=22),1.5, and(I110=20,J110=22),2.5,H110&gt;21,0.5)</f>
        <v/>
      </c>
      <c r="L110" s="43">
        <f t="array" ref="L110">INDEX('Podium Target Times'!$C:$C, MATCH(A110&amp;B110, 'Podium Target Times'!$A:$A&amp;'Podium Target Times'!$B:$B, 0))
</f>
        <v/>
      </c>
      <c r="M110" s="64">
        <f>IFS(K110=0.5,M111+(F110-F111),K110=1,M111+(F110-F111), K110=1.5, M111+(F110-F111), K110=2, M111+(F110-F111), K110=2.5, M111+(F110-F111), K110=3, M111+(F110-F111))</f>
        <v/>
      </c>
      <c r="N110" s="43">
        <f>IF(M110&lt;60, TEXT(M110, "0.00"), TEXT(M110/(24*60*60), "M:SS.00"))</f>
        <v/>
      </c>
      <c r="O110" s="14">
        <f>IFERROR(__xludf.DUMMYFUNCTION("LET(
  gen,$A110, ev,$B110, t,$N110,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
      </c>
      <c r="P110" s="65" t="n"/>
      <c r="Q110" s="65" t="n"/>
      <c r="R110" s="69">
        <f>A110</f>
        <v/>
      </c>
      <c r="S110" s="65">
        <f>B110</f>
        <v/>
      </c>
      <c r="T110" s="69">
        <f>C110</f>
        <v/>
      </c>
      <c r="U110" s="58">
        <f>N110</f>
        <v/>
      </c>
      <c r="V110" s="69">
        <f>O110</f>
        <v/>
      </c>
      <c r="W110" s="65" t="n"/>
      <c r="X110" s="65" t="n"/>
      <c r="Y110" s="65" t="n"/>
    </row>
    <row r="111">
      <c r="A111" s="17" t="inlineStr">
        <is>
          <t>F</t>
        </is>
      </c>
      <c r="B111" s="18" t="inlineStr">
        <is>
          <t>200 Breast</t>
        </is>
      </c>
      <c r="C111" s="18" t="n">
        <v>16</v>
      </c>
      <c r="D111" s="18" t="n">
        <v>1</v>
      </c>
      <c r="E111" s="46" t="inlineStr">
        <is>
          <t>2:28.85</t>
        </is>
      </c>
      <c r="F111" s="21">
        <f>IFERROR(__xludf.DUMMYFUNCTION("IF(
  REGEXMATCH(E111, "":""),
  60*VALUE(INDEX(SPLIT(E111, "":""),1,1)) + VALUE(INDEX(SPLIT(E111, "":""),1,2)),
  VALUE(E111)
)"),148.85)</f>
        <v/>
      </c>
      <c r="G111" s="211">
        <f>C110</f>
        <v/>
      </c>
      <c r="H111" s="211">
        <f>C119</f>
        <v/>
      </c>
      <c r="I111" s="211">
        <f>C124</f>
        <v/>
      </c>
      <c r="J111" s="211">
        <f>C127</f>
        <v/>
      </c>
      <c r="K111" s="60">
        <f>IFS(H111=21,1,I111=21,2,J111=21,3,and(H111=20,I111=22),1.5, and(I111=20,J111=22),2.5,H111&gt;21,0.5)</f>
        <v/>
      </c>
      <c r="L111" s="60">
        <f t="array" ref="L111">INDEX('Podium Target Times'!$C:$C, MATCH(A111&amp;B111, 'Podium Target Times'!$A:$A&amp;'Podium Target Times'!$B:$B, 0))
</f>
        <v/>
      </c>
      <c r="M111" s="66">
        <f>IFS(K111=0.5,M112+(F111-F113),K111=1,M112+(F111-F113), K111=1.5, M113+(F112-F114), K111=2, M113+(F112-F114), K111=2.5, M113+(F112-F114), K111=3, M113+(F112-F114))</f>
        <v/>
      </c>
      <c r="N111" s="60">
        <f>IF(M111&lt;60, TEXT(M111, "0.00"), TEXT(M111/(24*60*60), "M:SS.00"))</f>
        <v/>
      </c>
      <c r="O111" s="25">
        <f>IFERROR(__xludf.DUMMYFUNCTION("LET(
  gen,$A111, ev,$B111, t,$N111,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)"),676.0)</f>
        <v/>
      </c>
      <c r="P111" s="65" t="n"/>
      <c r="Q111" s="65" t="n"/>
      <c r="R111" s="69">
        <f>A111</f>
        <v/>
      </c>
      <c r="S111" s="65">
        <f>B111</f>
        <v/>
      </c>
      <c r="T111" s="69">
        <f>C111</f>
        <v/>
      </c>
      <c r="U111" s="58">
        <f>N111</f>
        <v/>
      </c>
      <c r="V111" s="69">
        <f>O111</f>
        <v/>
      </c>
      <c r="W111" s="65" t="n"/>
      <c r="X111" s="65" t="n"/>
      <c r="Y111" s="65" t="n"/>
    </row>
    <row r="112">
      <c r="A112" s="8" t="inlineStr">
        <is>
          <t>F</t>
        </is>
      </c>
      <c r="B112" s="9" t="inlineStr">
        <is>
          <t>200 Breast</t>
        </is>
      </c>
      <c r="C112" s="9" t="n">
        <v>16</v>
      </c>
      <c r="D112" s="219" t="n">
        <v>2</v>
      </c>
      <c r="E112" s="41" t="inlineStr">
        <is>
          <t>2:30.01</t>
        </is>
      </c>
      <c r="F112" s="35">
        <f>IFERROR(__xludf.DUMMYFUNCTION("IF(
  REGEXMATCH(E112, "":""),
  60*VALUE(INDEX(SPLIT(E112, "":""),1,1)) + VALUE(INDEX(SPLIT(E112, "":""),1,2)),
  VALUE(E112)
)"),150.01)</f>
        <v/>
      </c>
      <c r="G112" s="215">
        <f>C110</f>
        <v/>
      </c>
      <c r="H112" s="215">
        <f>C119</f>
        <v/>
      </c>
      <c r="I112" s="215">
        <f>C124</f>
        <v/>
      </c>
      <c r="J112" s="215">
        <f>C127</f>
        <v/>
      </c>
      <c r="K112" s="43">
        <f>IFS(H112=21,1,I112=21,2,J112=21,3,and(H112=20,I112=22),1.5, and(I112=20,J112=22),2.5,H112&gt;21,0.5)</f>
        <v/>
      </c>
      <c r="L112" s="43">
        <f t="array" ref="L112">INDEX('Podium Target Times'!$C:$C, MATCH(A112&amp;B112, 'Podium Target Times'!$A:$A&amp;'Podium Target Times'!$B:$B, 0))
</f>
        <v/>
      </c>
      <c r="M112" s="64">
        <f>IFS(K112=0.5,M113+(F112-F115),K112=1,M113+(F112-F115), K112=1.5, M113+(F112-F114), K112=2, M113+(F112-F114), K112=2.5, M113+(F112-F114), K112=3, M113+(F112-F114))</f>
        <v/>
      </c>
      <c r="N112" s="43">
        <f>IF(M112&lt;60, TEXT(M112, "0.00"), TEXT(M112/(24*60*60), "M:SS.00"))</f>
        <v/>
      </c>
      <c r="O112" s="14">
        <f>IFERROR(__xludf.DUMMYFUNCTION("LET(
  gen,$A112, ev,$B112, t,$N112,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)"),676.0)</f>
        <v/>
      </c>
      <c r="P112" s="65" t="n"/>
      <c r="Q112" s="65" t="n"/>
      <c r="R112" s="69">
        <f>A113</f>
        <v/>
      </c>
      <c r="S112" s="65">
        <f>B113</f>
        <v/>
      </c>
      <c r="T112" s="69">
        <f>C113</f>
        <v/>
      </c>
      <c r="U112" s="58">
        <f>N113</f>
        <v/>
      </c>
      <c r="V112" s="69">
        <f>O113</f>
        <v/>
      </c>
      <c r="W112" s="65" t="n"/>
      <c r="X112" s="65" t="n"/>
      <c r="Y112" s="65" t="n"/>
    </row>
    <row r="113">
      <c r="A113" s="17" t="inlineStr">
        <is>
          <t>F</t>
        </is>
      </c>
      <c r="B113" s="18" t="inlineStr">
        <is>
          <t>200 Breast</t>
        </is>
      </c>
      <c r="C113" s="18" t="n">
        <v>17</v>
      </c>
      <c r="D113" s="18" t="n">
        <v>1</v>
      </c>
      <c r="E113" s="46" t="inlineStr">
        <is>
          <t>2:27.43</t>
        </is>
      </c>
      <c r="F113" s="21">
        <f>IFERROR(__xludf.DUMMYFUNCTION("IF(
  REGEXMATCH(E113, "":""),
  60*VALUE(INDEX(SPLIT(E113, "":""),1,1)) + VALUE(INDEX(SPLIT(E113, "":""),1,2)),
  VALUE(E113)
)"),147.43)</f>
        <v/>
      </c>
      <c r="G113" s="211">
        <f>C110</f>
        <v/>
      </c>
      <c r="H113" s="211">
        <f>C119</f>
        <v/>
      </c>
      <c r="I113" s="211">
        <f>C124</f>
        <v/>
      </c>
      <c r="J113" s="211">
        <f>C127</f>
        <v/>
      </c>
      <c r="K113" s="60">
        <f>IFS(H113=21,1,I113=21,2,J113=21,3,and(H113=20,I113=22),1.5, and(I113=20,J113=22),2.5,H113&gt;21,0.5)</f>
        <v/>
      </c>
      <c r="L113" s="60">
        <f t="array" ref="L113">INDEX('Podium Target Times'!$C:$C, MATCH(A113&amp;B113, 'Podium Target Times'!$A:$A&amp;'Podium Target Times'!$B:$B, 0))
</f>
        <v/>
      </c>
      <c r="M113" s="66">
        <f>IFS(K113=0.5,M114+(F113-F116),K113=1,M114+(F113-F116), K113=1.5, M116+(F114-F117), K113=2, M116+(F114-F117), K113=2.5, M116+(F115-F118), K113=3, M116+(F115-F118))</f>
        <v/>
      </c>
      <c r="N113" s="60">
        <f>IF(M113&lt;60, TEXT(M113, "0.00"), TEXT(M113/(24*60*60), "M:SS.00"))</f>
        <v/>
      </c>
      <c r="O113" s="25">
        <f>IFERROR(__xludf.DUMMYFUNCTION("LET(
  gen,$A113, ev,$B113, t,$N113,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P113" s="65" t="n"/>
      <c r="Q113" s="65" t="n"/>
      <c r="R113" s="69">
        <f>A116</f>
        <v/>
      </c>
      <c r="S113" s="65">
        <f>B116</f>
        <v/>
      </c>
      <c r="T113" s="69">
        <f>C116</f>
        <v/>
      </c>
      <c r="U113" s="58">
        <f>N116</f>
        <v/>
      </c>
      <c r="V113" s="69">
        <f>O116</f>
        <v/>
      </c>
      <c r="W113" s="65" t="n"/>
      <c r="X113" s="65" t="n"/>
      <c r="Y113" s="65" t="n"/>
    </row>
    <row r="114">
      <c r="A114" s="8" t="inlineStr">
        <is>
          <t>F</t>
        </is>
      </c>
      <c r="B114" s="9" t="inlineStr">
        <is>
          <t>200 Breast</t>
        </is>
      </c>
      <c r="C114" s="9" t="n">
        <v>17</v>
      </c>
      <c r="D114" s="219" t="n">
        <v>2</v>
      </c>
      <c r="E114" s="41" t="inlineStr">
        <is>
          <t>2:28.58</t>
        </is>
      </c>
      <c r="F114" s="35">
        <f>IFERROR(__xludf.DUMMYFUNCTION("IF(
  REGEXMATCH(E114, "":""),
  60*VALUE(INDEX(SPLIT(E114, "":""),1,1)) + VALUE(INDEX(SPLIT(E114, "":""),1,2)),
  VALUE(E114)
)"),148.57999999999998)</f>
        <v/>
      </c>
      <c r="G114" s="215">
        <f>C110</f>
        <v/>
      </c>
      <c r="H114" s="215">
        <f>C119</f>
        <v/>
      </c>
      <c r="I114" s="215">
        <f>C124</f>
        <v/>
      </c>
      <c r="J114" s="215">
        <f>C127</f>
        <v/>
      </c>
      <c r="K114" s="43">
        <f>IFS(H114=21,1,I114=21,2,J114=21,3,and(H114=20,I114=22),1.5, and(I114=20,J114=22),2.5,H114&gt;21,0.5)</f>
        <v/>
      </c>
      <c r="L114" s="43">
        <f t="array" ref="L114">INDEX('Podium Target Times'!$C:$C, MATCH(A114&amp;B114, 'Podium Target Times'!$A:$A&amp;'Podium Target Times'!$B:$B, 0))
</f>
        <v/>
      </c>
      <c r="M114" s="64">
        <f>IFS(K114=0.5,M115+(F113-F116),K114=1,M115+(F113-F116), K114=1.5, M116+(F114-F117), K114=2, M116+(F114-F117), K114=2.5, M116+(F115-F118), K114=3, M116+(F115-F118))</f>
        <v/>
      </c>
      <c r="N114" s="43">
        <f>IF(M114&lt;60, TEXT(M114, "0.00"), TEXT(M114/(24*60*60), "M:SS.00"))</f>
        <v/>
      </c>
      <c r="O114" s="14">
        <f>IFERROR(__xludf.DUMMYFUNCTION("LET(
  gen,$A114, ev,$B114, t,$N114,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P114" s="65" t="n"/>
      <c r="Q114" s="65" t="n"/>
      <c r="R114" s="69">
        <f>A119</f>
        <v/>
      </c>
      <c r="S114" s="65">
        <f>B119</f>
        <v/>
      </c>
      <c r="T114" s="69">
        <f>C119</f>
        <v/>
      </c>
      <c r="U114" s="58">
        <f>N119</f>
        <v/>
      </c>
      <c r="V114" s="69">
        <f>O119</f>
        <v/>
      </c>
      <c r="W114" s="65" t="n"/>
      <c r="X114" s="65" t="n"/>
      <c r="Y114" s="65" t="n"/>
    </row>
    <row r="115">
      <c r="A115" s="17" t="inlineStr">
        <is>
          <t>F</t>
        </is>
      </c>
      <c r="B115" s="18" t="inlineStr">
        <is>
          <t>200 Breast</t>
        </is>
      </c>
      <c r="C115" s="18" t="n">
        <v>17</v>
      </c>
      <c r="D115" s="18" t="n">
        <v>3</v>
      </c>
      <c r="E115" s="46" t="inlineStr">
        <is>
          <t>2:29.19</t>
        </is>
      </c>
      <c r="F115" s="21">
        <f>IFERROR(__xludf.DUMMYFUNCTION("IF(
  REGEXMATCH(E115, "":""),
  60*VALUE(INDEX(SPLIT(E115, "":""),1,1)) + VALUE(INDEX(SPLIT(E115, "":""),1,2)),
  VALUE(E115)
)"),149.19)</f>
        <v/>
      </c>
      <c r="G115" s="211">
        <f>C110</f>
        <v/>
      </c>
      <c r="H115" s="211">
        <f>C119</f>
        <v/>
      </c>
      <c r="I115" s="211">
        <f>C124</f>
        <v/>
      </c>
      <c r="J115" s="211">
        <f>C127</f>
        <v/>
      </c>
      <c r="K115" s="60">
        <f>IFS(H115=21,1,I115=21,2,J115=21,3,and(H115=20,I115=22),1.5, and(I115=20,J115=22),2.5,H115&gt;21,0.5)</f>
        <v/>
      </c>
      <c r="L115" s="60">
        <f t="array" ref="L115">INDEX('Podium Target Times'!$C:$C, MATCH(A115&amp;B115, 'Podium Target Times'!$A:$A&amp;'Podium Target Times'!$B:$B, 0))
</f>
        <v/>
      </c>
      <c r="M115" s="66">
        <f>IFS(K115=0.5,M116+(F113-F116),K115=1,M116+(F113-F116), K115=1.5, M116+(F114-F117), K115=2, M116+(F114-F117), K115=2.5, M116+(F115-F118), K115=3, M116+(F115-F118))</f>
        <v/>
      </c>
      <c r="N115" s="60">
        <f>IF(M115&lt;60, TEXT(M115, "0.00"), TEXT(M115/(24*60*60), "M:SS.00"))</f>
        <v/>
      </c>
      <c r="O115" s="25">
        <f>IFERROR(__xludf.DUMMYFUNCTION("LET(
  gen,$A115, ev,$B115, t,$N115,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P115" s="65" t="n"/>
      <c r="Q115" s="65" t="n"/>
      <c r="R115" s="69">
        <f>A122</f>
        <v/>
      </c>
      <c r="S115" s="65">
        <f>B122</f>
        <v/>
      </c>
      <c r="T115" s="69">
        <f>C122</f>
        <v/>
      </c>
      <c r="U115" s="58">
        <f>N122</f>
        <v/>
      </c>
      <c r="V115" s="69">
        <f>O122</f>
        <v/>
      </c>
      <c r="W115" s="65" t="n"/>
      <c r="X115" s="65" t="n"/>
      <c r="Y115" s="65" t="n"/>
    </row>
    <row r="116">
      <c r="A116" s="8" t="inlineStr">
        <is>
          <t>F</t>
        </is>
      </c>
      <c r="B116" s="9" t="inlineStr">
        <is>
          <t>200 Breast</t>
        </is>
      </c>
      <c r="C116" s="9" t="n">
        <v>18</v>
      </c>
      <c r="D116" s="9" t="n">
        <v>1</v>
      </c>
      <c r="E116" s="41" t="inlineStr">
        <is>
          <t>2:26.60</t>
        </is>
      </c>
      <c r="F116" s="35">
        <f>IFERROR(__xludf.DUMMYFUNCTION("IF(
  REGEXMATCH(E116, "":""),
  60*VALUE(INDEX(SPLIT(E116, "":""),1,1)) + VALUE(INDEX(SPLIT(E116, "":""),1,2)),
  VALUE(E116)
)"),146.6)</f>
        <v/>
      </c>
      <c r="G116" s="215">
        <f>C110</f>
        <v/>
      </c>
      <c r="H116" s="215">
        <f>C119</f>
        <v/>
      </c>
      <c r="I116" s="215">
        <f>C124</f>
        <v/>
      </c>
      <c r="J116" s="215">
        <f>C127</f>
        <v/>
      </c>
      <c r="K116" s="43">
        <f>IFS(H116=21,1,I116=21,2,J116=21,3,and(H116=20,I116=22),1.5, and(I116=20,J116=22),2.5,H116&gt;21,0.5)</f>
        <v/>
      </c>
      <c r="L116" s="43">
        <f t="array" ref="L116">INDEX('Podium Target Times'!$C:$C, MATCH(A116&amp;B116, 'Podium Target Times'!$A:$A&amp;'Podium Target Times'!$B:$B, 0))
</f>
        <v/>
      </c>
      <c r="M116" s="64">
        <f>IFS(K116=0.5,L116,K116=1,U114+(F116-F119), K116=1.5, M119+(F117-F120), K116=2, M119+(F117-F120), K116=2.5, M119+(F118-F121), K116=3, M119+(F118-F121))</f>
        <v/>
      </c>
      <c r="N116" s="43">
        <f>IF(M116&lt;60, TEXT(M116, "0.00"), TEXT(M116/(24*60*60), "M:SS.00"))</f>
        <v/>
      </c>
      <c r="O116" s="14">
        <f>IFERROR(__xludf.DUMMYFUNCTION("LET(
  gen,$A116, ev,$B116, t,$N116,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P116" s="65" t="n"/>
      <c r="Q116" s="65" t="n"/>
      <c r="R116" s="69">
        <f>A124</f>
        <v/>
      </c>
      <c r="S116" s="65">
        <f>B124</f>
        <v/>
      </c>
      <c r="T116" s="69">
        <f>C124</f>
        <v/>
      </c>
      <c r="U116" s="58">
        <f>N124</f>
        <v/>
      </c>
      <c r="V116" s="69">
        <f>O124</f>
        <v/>
      </c>
      <c r="W116" s="65" t="n"/>
      <c r="X116" s="65" t="n"/>
      <c r="Y116" s="65" t="n"/>
    </row>
    <row r="117">
      <c r="A117" s="17" t="inlineStr">
        <is>
          <t>F</t>
        </is>
      </c>
      <c r="B117" s="18" t="inlineStr">
        <is>
          <t>200 Breast</t>
        </is>
      </c>
      <c r="C117" s="18" t="n">
        <v>18</v>
      </c>
      <c r="D117" s="221" t="n">
        <v>2</v>
      </c>
      <c r="E117" s="46" t="inlineStr">
        <is>
          <t>2:27.74</t>
        </is>
      </c>
      <c r="F117" s="21">
        <f>IFERROR(__xludf.DUMMYFUNCTION("IF(
  REGEXMATCH(E117, "":""),
  60*VALUE(INDEX(SPLIT(E117, "":""),1,1)) + VALUE(INDEX(SPLIT(E117, "":""),1,2)),
  VALUE(E117)
)"),147.74)</f>
        <v/>
      </c>
      <c r="G117" s="211">
        <f>C110</f>
        <v/>
      </c>
      <c r="H117" s="211">
        <f>C119</f>
        <v/>
      </c>
      <c r="I117" s="211">
        <f>C124</f>
        <v/>
      </c>
      <c r="J117" s="211">
        <f>C127</f>
        <v/>
      </c>
      <c r="K117" s="60">
        <f>IFS(H117=21,1,I117=21,2,J117=21,3,and(H117=20,I117=22),1.5, and(I117=20,J117=22),2.5,H117&gt;21,0.5)</f>
        <v/>
      </c>
      <c r="L117" s="60">
        <f t="array" ref="L117">INDEX('Podium Target Times'!$C:$C, MATCH(A117&amp;B117, 'Podium Target Times'!$A:$A&amp;'Podium Target Times'!$B:$B, 0))
</f>
        <v/>
      </c>
      <c r="M117" s="66">
        <f>IFS(K117=0.5,L117,K117=1,U114+(F116-F119), K117=1.5, M119+(F117-F120), K117=2, M119+(F117-F120), K117=2.5, M119+(F118-F121), K117=3, M119+(F118-F121))</f>
        <v/>
      </c>
      <c r="N117" s="60">
        <f>IF(M117&lt;60, TEXT(M117, "0.00"), TEXT(M117/(24*60*60), "M:SS.00"))</f>
        <v/>
      </c>
      <c r="O117" s="25">
        <f>IFERROR(__xludf.DUMMYFUNCTION("LET(
  gen,$A117, ev,$B117, t,$N117,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P117" s="65" t="n"/>
      <c r="Q117" s="65" t="n"/>
      <c r="R117" s="69" t="n"/>
      <c r="S117" s="65" t="n"/>
      <c r="T117" s="69" t="n"/>
      <c r="U117" s="58" t="n"/>
      <c r="V117" s="69" t="n"/>
      <c r="W117" s="65" t="n"/>
      <c r="X117" s="65" t="n"/>
      <c r="Y117" s="65" t="n"/>
    </row>
    <row r="118">
      <c r="A118" s="8" t="inlineStr">
        <is>
          <t>F</t>
        </is>
      </c>
      <c r="B118" s="9" t="inlineStr">
        <is>
          <t>200 Breast</t>
        </is>
      </c>
      <c r="C118" s="9" t="n">
        <v>18</v>
      </c>
      <c r="D118" s="9" t="n">
        <v>3</v>
      </c>
      <c r="E118" s="41" t="inlineStr">
        <is>
          <t>2:28.35</t>
        </is>
      </c>
      <c r="F118" s="35">
        <f>IFERROR(__xludf.DUMMYFUNCTION("IF(
  REGEXMATCH(E118, "":""),
  60*VALUE(INDEX(SPLIT(E118, "":""),1,1)) + VALUE(INDEX(SPLIT(E118, "":""),1,2)),
  VALUE(E118)
)"),148.35)</f>
        <v/>
      </c>
      <c r="G118" s="215">
        <f>C110</f>
        <v/>
      </c>
      <c r="H118" s="215">
        <f>C119</f>
        <v/>
      </c>
      <c r="I118" s="215">
        <f>C124</f>
        <v/>
      </c>
      <c r="J118" s="215">
        <f>C127</f>
        <v/>
      </c>
      <c r="K118" s="43">
        <f>IFS(H118=21,1,I118=21,2,J118=21,3,and(H118=20,I118=22),1.5, and(I118=20,J118=22),2.5,H118&gt;21,0.5)</f>
        <v/>
      </c>
      <c r="L118" s="43">
        <f t="array" ref="L118">INDEX('Podium Target Times'!$C:$C, MATCH(A118&amp;B118, 'Podium Target Times'!$A:$A&amp;'Podium Target Times'!$B:$B, 0))
</f>
        <v/>
      </c>
      <c r="M118" s="64">
        <f>IFS(K118=0.5,L118,K118=1,U114+(F116-F119), K118=1.5, M119+(F117-F120), K118=2, M119+(F117-F120), K118=2.5, M119+(F118-F121), K118=3, M119+(F118-F121))</f>
        <v/>
      </c>
      <c r="N118" s="43">
        <f>IF(M118&lt;60, TEXT(M118, "0.00"), TEXT(M118/(24*60*60), "M:SS.00"))</f>
        <v/>
      </c>
      <c r="O118" s="14">
        <f>IFERROR(__xludf.DUMMYFUNCTION("LET(
  gen,$A118, ev,$B118, t,$N118,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P118" s="65" t="n"/>
      <c r="Q118" s="65" t="n"/>
      <c r="R118" s="69" t="n"/>
      <c r="S118" s="65" t="n"/>
      <c r="T118" s="69" t="n"/>
      <c r="U118" s="58" t="n"/>
      <c r="V118" s="69" t="n"/>
      <c r="W118" s="65" t="n"/>
      <c r="X118" s="65" t="n"/>
      <c r="Y118" s="65" t="n"/>
    </row>
    <row r="119">
      <c r="A119" s="17" t="inlineStr">
        <is>
          <t>F</t>
        </is>
      </c>
      <c r="B119" s="18" t="inlineStr">
        <is>
          <t>200 Breast</t>
        </is>
      </c>
      <c r="C119" s="18" t="n">
        <v>19</v>
      </c>
      <c r="D119" s="18" t="n">
        <v>1</v>
      </c>
      <c r="E119" s="211" t="inlineStr">
        <is>
          <t>2:25.91</t>
        </is>
      </c>
      <c r="F119" s="21">
        <f>IFERROR(__xludf.DUMMYFUNCTION("IF(
  REGEXMATCH(E119, "":""),
  60*VALUE(INDEX(SPLIT(E119, "":""),1,1)) + VALUE(INDEX(SPLIT(E119, "":""),1,2)),
  VALUE(E119)
)"),145.91)</f>
        <v/>
      </c>
      <c r="G119" s="211">
        <f>C110</f>
        <v/>
      </c>
      <c r="H119" s="211">
        <f>C119</f>
        <v/>
      </c>
      <c r="I119" s="211">
        <f>C124</f>
        <v/>
      </c>
      <c r="J119" s="211">
        <f>C127</f>
        <v/>
      </c>
      <c r="K119" s="60">
        <f>IFS(H119=21,1,I119=21,2,J119=21,3,and(H119=20,I119=22),1.5, and(I119=20,J119=22),2.5,H119&gt;21,0.5)</f>
        <v/>
      </c>
      <c r="L119" s="60">
        <f t="array" ref="L119">INDEX('Podium Target Times'!$C:$C, MATCH(A119&amp;B119, 'Podium Target Times'!$A:$A&amp;'Podium Target Times'!$B:$B, 0))
</f>
        <v/>
      </c>
      <c r="M119" s="66">
        <f>IFS(K119=0.5,L119,K119=1,L119, K119=1.5, M122+(F120-F122), K119=2, M122+(F120-F122), K119=2.5, M122+(F121-F123), K119=3, M122+(F121-F123))</f>
        <v/>
      </c>
      <c r="N119" s="60">
        <f>IF(M119&lt;60, TEXT(M119, "0.00"), TEXT(M119/(24*60*60), "M:SS.00"))</f>
        <v/>
      </c>
      <c r="O119" s="25">
        <f>IFERROR(__xludf.DUMMYFUNCTION("LET(
  gen,$A119, ev,$B119, t,$N119,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P119" s="65" t="n"/>
      <c r="Q119" s="65" t="n"/>
      <c r="R119" s="69" t="n"/>
      <c r="S119" s="65" t="n"/>
      <c r="T119" s="69" t="n"/>
      <c r="U119" s="58" t="n"/>
      <c r="V119" s="69" t="n"/>
      <c r="W119" s="65" t="n"/>
      <c r="X119" s="65" t="n"/>
      <c r="Y119" s="65" t="n"/>
    </row>
    <row r="120">
      <c r="A120" s="8" t="inlineStr">
        <is>
          <t>F</t>
        </is>
      </c>
      <c r="B120" s="9" t="inlineStr">
        <is>
          <t>200 Breast</t>
        </is>
      </c>
      <c r="C120" s="9" t="n">
        <v>19</v>
      </c>
      <c r="D120" s="219" t="n">
        <v>2</v>
      </c>
      <c r="E120" s="215" t="inlineStr">
        <is>
          <t>2:27.05</t>
        </is>
      </c>
      <c r="F120" s="35">
        <f>IFERROR(__xludf.DUMMYFUNCTION("IF(
  REGEXMATCH(E120, "":""),
  60*VALUE(INDEX(SPLIT(E120, "":""),1,1)) + VALUE(INDEX(SPLIT(E120, "":""),1,2)),
  VALUE(E120)
)"),147.05)</f>
        <v/>
      </c>
      <c r="G120" s="215">
        <f>C110</f>
        <v/>
      </c>
      <c r="H120" s="215">
        <f>C119</f>
        <v/>
      </c>
      <c r="I120" s="215">
        <f>C124</f>
        <v/>
      </c>
      <c r="J120" s="215">
        <f>C127</f>
        <v/>
      </c>
      <c r="K120" s="43">
        <f>IFS(H120=21,1,I120=21,2,J120=21,3,and(H120=20,I120=22),1.5, and(I120=20,J120=22),2.5,H120&gt;21,0.5)</f>
        <v/>
      </c>
      <c r="L120" s="43">
        <f t="array" ref="L120">INDEX('Podium Target Times'!$C:$C, MATCH(A120&amp;B120, 'Podium Target Times'!$A:$A&amp;'Podium Target Times'!$B:$B, 0))
</f>
        <v/>
      </c>
      <c r="M120" s="64">
        <f>IFS(K120=0.5,L120,K120=1,L120, K120=1.5, M122+(F120-F122), K120=2, M122+(F120-F122), K120=2.5, M122+(F121-F123), K120=3, M122+(F121-F123))</f>
        <v/>
      </c>
      <c r="N120" s="43">
        <f>IF(M120&lt;60, TEXT(M120, "0.00"), TEXT(M120/(24*60*60), "M:SS.00"))</f>
        <v/>
      </c>
      <c r="O120" s="14">
        <f>IFERROR(__xludf.DUMMYFUNCTION("LET(
  gen,$A120, ev,$B120, t,$N120,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P120" s="65" t="n"/>
      <c r="Q120" s="65" t="n"/>
      <c r="R120" s="69" t="n"/>
      <c r="S120" s="65" t="n"/>
      <c r="T120" s="69" t="n"/>
      <c r="U120" s="58" t="n"/>
      <c r="V120" s="69" t="n"/>
      <c r="W120" s="65" t="n"/>
      <c r="X120" s="65" t="n"/>
      <c r="Y120" s="65" t="n"/>
    </row>
    <row r="121">
      <c r="A121" s="17" t="inlineStr">
        <is>
          <t>F</t>
        </is>
      </c>
      <c r="B121" s="18" t="inlineStr">
        <is>
          <t>200 Breast</t>
        </is>
      </c>
      <c r="C121" s="18" t="n">
        <v>19</v>
      </c>
      <c r="D121" s="18" t="n">
        <v>3</v>
      </c>
      <c r="E121" s="60" t="inlineStr">
        <is>
          <t>2:27.66</t>
        </is>
      </c>
      <c r="F121" s="21">
        <f>IFERROR(__xludf.DUMMYFUNCTION("IF(
  REGEXMATCH(E121, "":""),
  60*VALUE(INDEX(SPLIT(E121, "":""),1,1)) + VALUE(INDEX(SPLIT(E121, "":""),1,2)),
  VALUE(E121)
)"),147.66)</f>
        <v/>
      </c>
      <c r="G121" s="211">
        <f>C110</f>
        <v/>
      </c>
      <c r="H121" s="211">
        <f>C119</f>
        <v/>
      </c>
      <c r="I121" s="211">
        <f>C124</f>
        <v/>
      </c>
      <c r="J121" s="211">
        <f>C127</f>
        <v/>
      </c>
      <c r="K121" s="60">
        <f>IFS(H121=21,1,I121=21,2,J121=21,3,and(H121=20,I121=22),1.5, and(I121=20,J121=22),2.5,H121&gt;21,0.5)</f>
        <v/>
      </c>
      <c r="L121" s="60">
        <f t="array" ref="L121">INDEX('Podium Target Times'!$C:$C, MATCH(A121&amp;B121, 'Podium Target Times'!$A:$A&amp;'Podium Target Times'!$B:$B, 0))
</f>
        <v/>
      </c>
      <c r="M121" s="66">
        <f>IFS(K121=0.5,L121,K121=1,L121, K121=1.5, M122+(F120-F122), K121=2, M122+(F120-F122), K121=2.5, M122+(F121-F123), K121=3, M122+(F121-F123))</f>
        <v/>
      </c>
      <c r="N121" s="60">
        <f>IF(M121&lt;60, TEXT(M121, "0.00"), TEXT(M121/(24*60*60), "M:SS.00"))</f>
        <v/>
      </c>
      <c r="O121" s="25">
        <f>IFERROR(__xludf.DUMMYFUNCTION("LET(
  gen,$A121, ev,$B121, t,$N121,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)"),716.0)</f>
        <v/>
      </c>
      <c r="P121" s="65" t="n"/>
      <c r="Q121" s="65" t="n"/>
      <c r="R121" s="69" t="n"/>
      <c r="S121" s="65" t="n"/>
      <c r="T121" s="69" t="n"/>
      <c r="U121" s="58" t="n"/>
      <c r="V121" s="69" t="n"/>
      <c r="W121" s="65" t="n"/>
      <c r="X121" s="65" t="n"/>
      <c r="Y121" s="65" t="n"/>
    </row>
    <row r="122">
      <c r="A122" s="8" t="inlineStr">
        <is>
          <t>F</t>
        </is>
      </c>
      <c r="B122" s="9" t="inlineStr">
        <is>
          <t>200 Breast</t>
        </is>
      </c>
      <c r="C122" s="9" t="n">
        <v>20</v>
      </c>
      <c r="D122" s="219" t="n">
        <v>2</v>
      </c>
      <c r="E122" s="41" t="inlineStr">
        <is>
          <t>2:26.41</t>
        </is>
      </c>
      <c r="F122" s="35">
        <f>IFERROR(__xludf.DUMMYFUNCTION("IF(
  REGEXMATCH(E122, "":""),
  60*VALUE(INDEX(SPLIT(E122, "":""),1,1)) + VALUE(INDEX(SPLIT(E122, "":""),1,2)),
  VALUE(E122)
)"),146.41)</f>
        <v/>
      </c>
      <c r="G122" s="215">
        <f>C110</f>
        <v/>
      </c>
      <c r="H122" s="215">
        <f>C119</f>
        <v/>
      </c>
      <c r="I122" s="215">
        <f>C124</f>
        <v/>
      </c>
      <c r="J122" s="215">
        <f>C127</f>
        <v/>
      </c>
      <c r="K122" s="43">
        <f>IFS(H122=21,1,I122=21,2,J122=21,3,and(H122=20,I122=22),1.5, and(I122=20,J122=22),2.5,H122&gt;21,0.5)</f>
        <v/>
      </c>
      <c r="L122" s="43">
        <f t="array" ref="L122">INDEX('Podium Target Times'!$C:$C, MATCH(A122&amp;B122, 'Podium Target Times'!$A:$A&amp;'Podium Target Times'!$B:$B, 0))
</f>
        <v/>
      </c>
      <c r="M122" s="64">
        <f>IFS(K122=0.5,L122,K122=1,L122, K122=1.5, L122, K122=2, M124+(F122-F124), K122=2.5, M124+(F123-F125), K122=3, M124+(F123-F125))</f>
        <v/>
      </c>
      <c r="N122" s="43">
        <f>IF(M122&lt;60, TEXT(M122, "0.00"), TEXT(M122/(24*60*60), "M:SS.00"))</f>
        <v/>
      </c>
      <c r="O122" s="14">
        <f>IFERROR(__xludf.DUMMYFUNCTION("LET(
  gen,$A122, ev,$B122, t,$N122,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
      </c>
      <c r="P122" s="65" t="n"/>
      <c r="Q122" s="65" t="n"/>
      <c r="R122" s="69" t="n"/>
      <c r="S122" s="65" t="n"/>
      <c r="T122" s="69" t="n"/>
      <c r="U122" s="58" t="n"/>
      <c r="V122" s="69" t="n"/>
      <c r="W122" s="65" t="n"/>
      <c r="X122" s="65" t="n"/>
      <c r="Y122" s="65" t="n"/>
    </row>
    <row r="123">
      <c r="A123" s="17" t="inlineStr">
        <is>
          <t>F</t>
        </is>
      </c>
      <c r="B123" s="18" t="inlineStr">
        <is>
          <t>200 Breast</t>
        </is>
      </c>
      <c r="C123" s="18" t="n">
        <v>20</v>
      </c>
      <c r="D123" s="18" t="n">
        <v>3</v>
      </c>
      <c r="E123" s="46" t="inlineStr">
        <is>
          <t>2:27.01</t>
        </is>
      </c>
      <c r="F123" s="21">
        <f>IFERROR(__xludf.DUMMYFUNCTION("IF(
  REGEXMATCH(E123, "":""),
  60*VALUE(INDEX(SPLIT(E123, "":""),1,1)) + VALUE(INDEX(SPLIT(E123, "":""),1,2)),
  VALUE(E123)
)"),147.01)</f>
        <v/>
      </c>
      <c r="G123" s="211">
        <f>C110</f>
        <v/>
      </c>
      <c r="H123" s="211">
        <f>C119</f>
        <v/>
      </c>
      <c r="I123" s="211">
        <f>C124</f>
        <v/>
      </c>
      <c r="J123" s="211">
        <f>C127</f>
        <v/>
      </c>
      <c r="K123" s="60">
        <f>IFS(H123=21,1,I123=21,2,J123=21,3,and(H123=20,I123=22),1.5, and(I123=20,J123=22),2.5,H123&gt;21,0.5)</f>
        <v/>
      </c>
      <c r="L123" s="60">
        <f t="array" ref="L123">INDEX('Podium Target Times'!$C:$C, MATCH(A123&amp;B123, 'Podium Target Times'!$A:$A&amp;'Podium Target Times'!$B:$B, 0))
</f>
        <v/>
      </c>
      <c r="M123" s="66">
        <f>IFS(K123=0.5,L123,K123=1,L123, K123=1.5, L123, K123=2, M124+(F122-F124), K123=2.5, M124+(F123-F125), K123=3, M124+(F123-F125))</f>
        <v/>
      </c>
      <c r="N123" s="60">
        <f>IF(M123&lt;60, TEXT(M123, "0.00"), TEXT(M123/(24*60*60), "M:SS.00"))</f>
        <v/>
      </c>
      <c r="O123" s="25">
        <f>IFERROR(__xludf.DUMMYFUNCTION("LET(
  gen,$A123, ev,$B123, t,$N123,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
      </c>
      <c r="P123" s="65" t="n"/>
      <c r="Q123" s="65" t="n"/>
      <c r="R123" s="69" t="n"/>
      <c r="S123" s="65" t="n"/>
      <c r="T123" s="69" t="n"/>
      <c r="U123" s="58" t="n"/>
      <c r="V123" s="69" t="n"/>
      <c r="W123" s="65" t="n"/>
      <c r="X123" s="65" t="n"/>
      <c r="Y123" s="65" t="n"/>
    </row>
    <row r="124">
      <c r="A124" s="8" t="inlineStr">
        <is>
          <t>F</t>
        </is>
      </c>
      <c r="B124" s="9" t="inlineStr">
        <is>
          <t>200 Breast</t>
        </is>
      </c>
      <c r="C124" s="9" t="n">
        <v>21</v>
      </c>
      <c r="D124" s="219" t="n">
        <v>2</v>
      </c>
      <c r="E124" s="215" t="inlineStr">
        <is>
          <t>2:25.91</t>
        </is>
      </c>
      <c r="F124" s="35">
        <f>IFERROR(__xludf.DUMMYFUNCTION("IF(
  REGEXMATCH(E124, "":""),
  60*VALUE(INDEX(SPLIT(E124, "":""),1,1)) + VALUE(INDEX(SPLIT(E124, "":""),1,2)),
  VALUE(E124)
)"),145.91)</f>
        <v/>
      </c>
      <c r="G124" s="215">
        <f>C110</f>
        <v/>
      </c>
      <c r="H124" s="215">
        <f>C119</f>
        <v/>
      </c>
      <c r="I124" s="215">
        <f>C124</f>
        <v/>
      </c>
      <c r="J124" s="215">
        <f>C127</f>
        <v/>
      </c>
      <c r="K124" s="43">
        <f>IFS(H124=21,1,I124=21,2,J124=21,3,and(H124=20,I124=22),1.5, and(I124=20,J124=22),2.5,H124&gt;21,0.5)</f>
        <v/>
      </c>
      <c r="L124" s="43">
        <f t="array" ref="L124">INDEX('Podium Target Times'!$C:$C, MATCH(A124&amp;B124, 'Podium Target Times'!$A:$A&amp;'Podium Target Times'!$B:$B, 0))
</f>
        <v/>
      </c>
      <c r="M124" s="64">
        <f>IFS(K124=0.5,L124,K124=1,L124, K124=1.5, L124, K124=2,L127, K124=2.5, M126+(F125-F126), K124=3,  M126+(F125-F126))</f>
        <v/>
      </c>
      <c r="N124" s="43">
        <f>IF(M124&lt;60, TEXT(M124, "0.00"), TEXT(M124/(24*60*60), "M:SS.00"))</f>
        <v/>
      </c>
      <c r="O124" s="14">
        <f>IFERROR(__xludf.DUMMYFUNCTION("LET(
  gen,$A124, ev,$B124, t,$N124,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P124" s="65" t="n"/>
      <c r="Q124" s="65" t="n"/>
      <c r="R124" s="69" t="n"/>
      <c r="S124" s="65" t="n"/>
      <c r="T124" s="69" t="n"/>
      <c r="U124" s="58" t="n"/>
      <c r="V124" s="69" t="n"/>
      <c r="W124" s="65" t="n"/>
      <c r="X124" s="65" t="n"/>
      <c r="Y124" s="65" t="n"/>
    </row>
    <row r="125">
      <c r="A125" s="17" t="inlineStr">
        <is>
          <t>F</t>
        </is>
      </c>
      <c r="B125" s="18" t="inlineStr">
        <is>
          <t>200 Breast</t>
        </is>
      </c>
      <c r="C125" s="18" t="n">
        <v>21</v>
      </c>
      <c r="D125" s="18" t="n">
        <v>3</v>
      </c>
      <c r="E125" s="211" t="inlineStr">
        <is>
          <t>2:26.51</t>
        </is>
      </c>
      <c r="F125" s="21">
        <f>IFERROR(__xludf.DUMMYFUNCTION("IF(
  REGEXMATCH(E125, "":""),
  60*VALUE(INDEX(SPLIT(E125, "":""),1,1)) + VALUE(INDEX(SPLIT(E125, "":""),1,2)),
  VALUE(E125)
)"),146.51)</f>
        <v/>
      </c>
      <c r="G125" s="211">
        <f>C110</f>
        <v/>
      </c>
      <c r="H125" s="211">
        <f>C119</f>
        <v/>
      </c>
      <c r="I125" s="211">
        <f>C124</f>
        <v/>
      </c>
      <c r="J125" s="211">
        <f>C127</f>
        <v/>
      </c>
      <c r="K125" s="60">
        <f>IFS(H125=21,1,I125=21,2,J125=21,3,and(H125=20,I125=22),1.5, and(I125=20,J125=22),2.5,H125&gt;21,0.5)</f>
        <v/>
      </c>
      <c r="L125" s="60">
        <f t="array" ref="L125">INDEX('Podium Target Times'!$C:$C, MATCH(A125&amp;B125, 'Podium Target Times'!$A:$A&amp;'Podium Target Times'!$B:$B, 0))
</f>
        <v/>
      </c>
      <c r="M125" s="66">
        <f>IFS(K125=0.5,L125,K125=1,L125, K125=1.5, L125, K125=2, L127, K125=2.5, M126+(F125-F126), K125=3, M126+(F125-F126))</f>
        <v/>
      </c>
      <c r="N125" s="60">
        <f>IF(M125&lt;60, TEXT(M125, "0.00"), TEXT(M125/(24*60*60), "M:SS.00"))</f>
        <v/>
      </c>
      <c r="O125" s="25">
        <f>IFERROR(__xludf.DUMMYFUNCTION("LET(
  gen,$A125, ev,$B125, t,$N125,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P125" s="65" t="n"/>
      <c r="Q125" s="65" t="n"/>
      <c r="R125" s="69" t="n"/>
      <c r="S125" s="65" t="n"/>
      <c r="T125" s="69" t="n"/>
      <c r="U125" s="58" t="n"/>
      <c r="V125" s="69" t="n"/>
      <c r="W125" s="65" t="n"/>
      <c r="X125" s="65" t="n"/>
      <c r="Y125" s="65" t="n"/>
    </row>
    <row r="126">
      <c r="A126" s="8" t="inlineStr">
        <is>
          <t>F</t>
        </is>
      </c>
      <c r="B126" s="9" t="inlineStr">
        <is>
          <t>200 Breast</t>
        </is>
      </c>
      <c r="C126" s="9" t="n">
        <v>22</v>
      </c>
      <c r="D126" s="9" t="n">
        <v>3</v>
      </c>
      <c r="E126" s="41" t="inlineStr">
        <is>
          <t>2:26.14</t>
        </is>
      </c>
      <c r="F126" s="35">
        <f>IFERROR(__xludf.DUMMYFUNCTION("IF(
  REGEXMATCH(E126, "":""),
  60*VALUE(INDEX(SPLIT(E126, "":""),1,1)) + VALUE(INDEX(SPLIT(E126, "":""),1,2)),
  VALUE(E126)
)"),146.14)</f>
        <v/>
      </c>
      <c r="G126" s="215">
        <f>C110</f>
        <v/>
      </c>
      <c r="H126" s="215">
        <f>C119</f>
        <v/>
      </c>
      <c r="I126" s="215">
        <f>C124</f>
        <v/>
      </c>
      <c r="J126" s="215">
        <f>C127</f>
        <v/>
      </c>
      <c r="K126" s="43">
        <f>IFS(H126=21,1,I126=21,2,J126=21,3,and(H126=20,I126=22),1.5, and(I126=20,J126=22),2.5,H126&gt;21,0.5)</f>
        <v/>
      </c>
      <c r="L126" s="43">
        <f t="array" ref="L126">INDEX('Podium Target Times'!$C:$C, MATCH(A126&amp;B126, 'Podium Target Times'!$A:$A&amp;'Podium Target Times'!$B:$B, 0))
</f>
        <v/>
      </c>
      <c r="M126" s="64">
        <f>IFS(K126=0.5,L126,K126=1,L126, K126=1.5, L126, K126=2, L127, K126=2.5, L127, K126=3, M127+(F126-F127))</f>
        <v/>
      </c>
      <c r="N126" s="43">
        <f>IF(M126&lt;60, TEXT(M126, "0.00"), TEXT(M126/(24*60*60), "M:SS.00"))</f>
        <v/>
      </c>
      <c r="O126" s="14">
        <f>IFERROR(__xludf.DUMMYFUNCTION("LET(
  gen,$A126, ev,$B126, t,$N126,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P126" s="65" t="n"/>
      <c r="Q126" s="65" t="n"/>
      <c r="R126" s="69" t="n"/>
      <c r="S126" s="65" t="n"/>
      <c r="T126" s="69" t="n"/>
      <c r="U126" s="58" t="n"/>
      <c r="V126" s="69" t="n"/>
      <c r="W126" s="65" t="n"/>
      <c r="X126" s="65" t="n"/>
      <c r="Y126" s="65" t="n"/>
    </row>
    <row r="127">
      <c r="A127" s="17" t="inlineStr">
        <is>
          <t>F</t>
        </is>
      </c>
      <c r="B127" s="18" t="inlineStr">
        <is>
          <t>200 Breast</t>
        </is>
      </c>
      <c r="C127" s="18" t="n">
        <v>23</v>
      </c>
      <c r="D127" s="18" t="n">
        <v>3</v>
      </c>
      <c r="E127" s="46" t="inlineStr">
        <is>
          <t>2:25.91</t>
        </is>
      </c>
      <c r="F127" s="21">
        <f>IFERROR(__xludf.DUMMYFUNCTION("IF(
  REGEXMATCH(E127, "":""),
  60*VALUE(INDEX(SPLIT(E127, "":""),1,1)) + VALUE(INDEX(SPLIT(E127, "":""),1,2)),
  VALUE(E127)
)"),145.91)</f>
        <v/>
      </c>
      <c r="G127" s="211">
        <f>C110</f>
        <v/>
      </c>
      <c r="H127" s="211">
        <f>C119</f>
        <v/>
      </c>
      <c r="I127" s="211">
        <f>C124</f>
        <v/>
      </c>
      <c r="J127" s="211">
        <f>C127</f>
        <v/>
      </c>
      <c r="K127" s="60">
        <f>IFS(H127=21,1,I127=21,2,J127=21,3,and(H127=20,I127=22),1.5, and(I127=20,J127=22),2.5,H127&gt;21,0.5)</f>
        <v/>
      </c>
      <c r="L127" s="60">
        <f t="array" ref="L127">INDEX('Podium Target Times'!$C:$C, MATCH(A127&amp;B127, 'Podium Target Times'!$A:$A&amp;'Podium Target Times'!$B:$B, 0))
</f>
        <v/>
      </c>
      <c r="M127" s="66">
        <f>IFS(K127=0.5,L127,K127=1,L127, K127=1.5, L127, K127=2, L127, K127=2.5, L127, K127=3, L127)</f>
        <v/>
      </c>
      <c r="N127" s="60">
        <f>IF(M127&lt;60, TEXT(M127, "0.00"), TEXT(M127/(24*60*60), "M:SS.00"))</f>
        <v/>
      </c>
      <c r="O127" s="25">
        <f>IFERROR(__xludf.DUMMYFUNCTION("LET(
  gen,$A127, ev,$B127, t,$N127,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P127" s="65" t="n"/>
      <c r="Q127" s="65" t="n"/>
      <c r="R127" s="69" t="n"/>
      <c r="S127" s="65" t="n"/>
      <c r="T127" s="69" t="n"/>
      <c r="U127" s="58" t="n"/>
      <c r="V127" s="69" t="n"/>
      <c r="W127" s="65" t="n"/>
      <c r="X127" s="65" t="n"/>
      <c r="Y127" s="65" t="n"/>
    </row>
    <row r="128">
      <c r="A128" s="8" t="inlineStr">
        <is>
          <t>F</t>
        </is>
      </c>
      <c r="B128" s="9" t="inlineStr">
        <is>
          <t>200 Fly</t>
        </is>
      </c>
      <c r="C128" s="9" t="n">
        <v>14</v>
      </c>
      <c r="D128" s="219" t="n">
        <v>1</v>
      </c>
      <c r="E128" s="215" t="inlineStr">
        <is>
          <t>2:18.48</t>
        </is>
      </c>
      <c r="F128" s="35">
        <f>IFERROR(__xludf.DUMMYFUNCTION("IF(
  REGEXMATCH(E128, "":""),
  60*VALUE(INDEX(SPLIT(E128, "":""),1,1)) + VALUE(INDEX(SPLIT(E128, "":""),1,2)),
  VALUE(E128)
)"),138.48)</f>
        <v/>
      </c>
      <c r="G128" s="43">
        <f>C128</f>
        <v/>
      </c>
      <c r="H128" s="43">
        <f>C137</f>
        <v/>
      </c>
      <c r="I128" s="43">
        <f>C142</f>
        <v/>
      </c>
      <c r="J128" s="43">
        <f>C145</f>
        <v/>
      </c>
      <c r="K128" s="43">
        <f>IFS(H128=21,1,I128=21,2,J128=21,3,and(H128=20,I128=22),1.5, and(I128=20,J128=22),2.5,H128&gt;21,0.5)</f>
        <v/>
      </c>
      <c r="L128" s="43">
        <f t="array" ref="L128">INDEX('Podium Target Times'!$C:$C, MATCH(A128&amp;B128, 'Podium Target Times'!$A:$A&amp;'Podium Target Times'!$B:$B, 0))
</f>
        <v/>
      </c>
      <c r="M128" s="64">
        <f>IFS(K128=0.5,M129+(F128-F129),K128=1,M129+(F128-F129), K128=1.5, M129+(F128-F129), K128=2, M129+(F128-F129), K128=2.5, M129+(F128-F129), K128=3, M129+(F128-F129))</f>
        <v/>
      </c>
      <c r="N128" s="43">
        <f>IF(M128&lt;60, TEXT(M128, "0.00"), TEXT(M128/(24*60*60), "M:SS.00"))</f>
        <v/>
      </c>
      <c r="O128" s="14">
        <f>IFERROR(__xludf.DUMMYFUNCTION("LET(
  gen,$A128, ev,$B128, t,$N128,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)"),587.0)</f>
        <v/>
      </c>
      <c r="P128" s="65" t="n"/>
      <c r="Q128" s="65" t="n"/>
      <c r="R128" s="69">
        <f>A128</f>
        <v/>
      </c>
      <c r="S128" s="65">
        <f>B128</f>
        <v/>
      </c>
      <c r="T128" s="69">
        <f>C128</f>
        <v/>
      </c>
      <c r="U128" s="58">
        <f>N128</f>
        <v/>
      </c>
      <c r="V128" s="69">
        <f>O128</f>
        <v/>
      </c>
      <c r="W128" s="65" t="n"/>
      <c r="X128" s="65" t="n"/>
      <c r="Y128" s="65" t="n"/>
    </row>
    <row r="129">
      <c r="A129" s="17" t="inlineStr">
        <is>
          <t>F</t>
        </is>
      </c>
      <c r="B129" s="18" t="inlineStr">
        <is>
          <t>200 Fly</t>
        </is>
      </c>
      <c r="C129" s="18" t="n">
        <v>15</v>
      </c>
      <c r="D129" s="221" t="n">
        <v>1</v>
      </c>
      <c r="E129" s="46" t="inlineStr">
        <is>
          <t>2:14.47</t>
        </is>
      </c>
      <c r="F129" s="21">
        <f>IFERROR(__xludf.DUMMYFUNCTION("IF(
  REGEXMATCH(E129, "":""),
  60*VALUE(INDEX(SPLIT(E129, "":""),1,1)) + VALUE(INDEX(SPLIT(E129, "":""),1,2)),
  VALUE(E129)
)"),134.47)</f>
        <v/>
      </c>
      <c r="G129" s="211">
        <f>C128</f>
        <v/>
      </c>
      <c r="H129" s="211">
        <f>C137</f>
        <v/>
      </c>
      <c r="I129" s="211">
        <f>C142</f>
        <v/>
      </c>
      <c r="J129" s="211">
        <f>C145</f>
        <v/>
      </c>
      <c r="K129" s="60">
        <f>IFS(H129=21,1,I129=21,2,J129=21,3,and(H129=20,I129=22),1.5, and(I129=20,J129=22),2.5,H129&gt;21,0.5)</f>
        <v/>
      </c>
      <c r="L129" s="60">
        <f t="array" ref="L129">INDEX('Podium Target Times'!$C:$C, MATCH(A129&amp;B129, 'Podium Target Times'!$A:$A&amp;'Podium Target Times'!$B:$B, 0))
</f>
        <v/>
      </c>
      <c r="M129" s="66">
        <f>IFS(K129=0.5,M130+(F129-F131),K129=1,M130+(F129-F131), K129=1.5, M131+(F130-F132), K129=2, M131+(F130-F132), K129=2.5, M131+(F130-F132), K129=3, M131+(F130-F132))</f>
        <v/>
      </c>
      <c r="N129" s="60">
        <f>IF(M129&lt;60, TEXT(M129, "0.00"), TEXT(M129/(24*60*60), "M:SS.00"))</f>
        <v/>
      </c>
      <c r="O129" s="25">
        <f>IFERROR(__xludf.DUMMYFUNCTION("LET(
  gen,$A129, ev,$B129, t,$N129,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)"),639.0)</f>
        <v/>
      </c>
      <c r="P129" s="65" t="n"/>
      <c r="Q129" s="65" t="n"/>
      <c r="R129" s="69">
        <f>A129</f>
        <v/>
      </c>
      <c r="S129" s="65">
        <f>B129</f>
        <v/>
      </c>
      <c r="T129" s="69">
        <f>C129</f>
        <v/>
      </c>
      <c r="U129" s="58">
        <f>N129</f>
        <v/>
      </c>
      <c r="V129" s="69">
        <f>O129</f>
        <v/>
      </c>
      <c r="W129" s="65" t="n"/>
      <c r="X129" s="65" t="n"/>
      <c r="Y129" s="65" t="n"/>
    </row>
    <row r="130">
      <c r="A130" s="8" t="inlineStr">
        <is>
          <t>F</t>
        </is>
      </c>
      <c r="B130" s="9" t="inlineStr">
        <is>
          <t>200 Fly</t>
        </is>
      </c>
      <c r="C130" s="9" t="n">
        <v>15</v>
      </c>
      <c r="D130" s="9" t="n">
        <v>2</v>
      </c>
      <c r="E130" s="41" t="inlineStr">
        <is>
          <t>2:15.86</t>
        </is>
      </c>
      <c r="F130" s="35">
        <f>IFERROR(__xludf.DUMMYFUNCTION("IF(
  REGEXMATCH(E130, "":""),
  60*VALUE(INDEX(SPLIT(E130, "":""),1,1)) + VALUE(INDEX(SPLIT(E130, "":""),1,2)),
  VALUE(E130)
)"),135.86)</f>
        <v/>
      </c>
      <c r="G130" s="215">
        <f>C128</f>
        <v/>
      </c>
      <c r="H130" s="215">
        <f>C137</f>
        <v/>
      </c>
      <c r="I130" s="215">
        <f>C142</f>
        <v/>
      </c>
      <c r="J130" s="215">
        <f>C145</f>
        <v/>
      </c>
      <c r="K130" s="43">
        <f>IFS(H130=21,1,I130=21,2,J130=21,3,and(H130=20,I130=22),1.5, and(I130=20,J130=22),2.5,H130&gt;21,0.5)</f>
        <v/>
      </c>
      <c r="L130" s="43">
        <f t="array" ref="L130">INDEX('Podium Target Times'!$C:$C, MATCH(A130&amp;B130, 'Podium Target Times'!$A:$A&amp;'Podium Target Times'!$B:$B, 0))
</f>
        <v/>
      </c>
      <c r="M130" s="64">
        <f>IFS(K130=0.5,M131+(F130-F133),K130=1,M131+(F130-F133), K130=1.5, M131+(F130-F132), K130=2, M131+(F130-F132), K130=2.5, M131+(F130-F132), K130=3, M131+(F130-F132))</f>
        <v/>
      </c>
      <c r="N130" s="43">
        <f>IF(M130&lt;60, TEXT(M130, "0.00"), TEXT(M130/(24*60*60), "M:SS.00"))</f>
        <v/>
      </c>
      <c r="O130" s="14">
        <f>IFERROR(__xludf.DUMMYFUNCTION("LET(
  gen,$A130, ev,$B130, t,$N130,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)"),639.0)</f>
        <v/>
      </c>
      <c r="P130" s="65" t="n"/>
      <c r="Q130" s="65" t="n"/>
      <c r="R130" s="69">
        <f>A131</f>
        <v/>
      </c>
      <c r="S130" s="65">
        <f>B131</f>
        <v/>
      </c>
      <c r="T130" s="69">
        <f>C131</f>
        <v/>
      </c>
      <c r="U130" s="58">
        <f>N131</f>
        <v/>
      </c>
      <c r="V130" s="69">
        <f>O131</f>
        <v/>
      </c>
      <c r="W130" s="65" t="n"/>
      <c r="X130" s="65" t="n"/>
      <c r="Y130" s="65" t="n"/>
    </row>
    <row r="131">
      <c r="A131" s="17" t="inlineStr">
        <is>
          <t>F</t>
        </is>
      </c>
      <c r="B131" s="18" t="inlineStr">
        <is>
          <t>200 Fly</t>
        </is>
      </c>
      <c r="C131" s="18" t="n">
        <v>16</v>
      </c>
      <c r="D131" s="221" t="n">
        <v>1</v>
      </c>
      <c r="E131" s="46" t="inlineStr">
        <is>
          <t>2:11.84</t>
        </is>
      </c>
      <c r="F131" s="21">
        <f>IFERROR(__xludf.DUMMYFUNCTION("IF(
  REGEXMATCH(E131, "":""),
  60*VALUE(INDEX(SPLIT(E131, "":""),1,1)) + VALUE(INDEX(SPLIT(E131, "":""),1,2)),
  VALUE(E131)
)"),131.84)</f>
        <v/>
      </c>
      <c r="G131" s="211">
        <f>C128</f>
        <v/>
      </c>
      <c r="H131" s="211">
        <f>C137</f>
        <v/>
      </c>
      <c r="I131" s="211">
        <f>C142</f>
        <v/>
      </c>
      <c r="J131" s="211">
        <f>C145</f>
        <v/>
      </c>
      <c r="K131" s="60">
        <f>IFS(H131=21,1,I131=21,2,J131=21,3,and(H131=20,I131=22),1.5, and(I131=20,J131=22),2.5,H131&gt;21,0.5)</f>
        <v/>
      </c>
      <c r="L131" s="60">
        <f t="array" ref="L131">INDEX('Podium Target Times'!$C:$C, MATCH(A131&amp;B131, 'Podium Target Times'!$A:$A&amp;'Podium Target Times'!$B:$B, 0))
</f>
        <v/>
      </c>
      <c r="M131" s="66">
        <f>IFS(K131=0.5,M132+(F131-F134),K131=1,M132+(F131-F134), K131=1.5, M134+(F132-F135), K131=2, M134+(F132-F135), K131=2.5, M134+(F133-F136), K131=3, M134+(F133-F136))</f>
        <v/>
      </c>
      <c r="N131" s="60">
        <f>IF(M131&lt;60, TEXT(M131, "0.00"), TEXT(M131/(24*60*60), "M:SS.00"))</f>
        <v/>
      </c>
      <c r="O131" s="25">
        <f>IFERROR(__xludf.DUMMYFUNCTION("LET(
  gen,$A131, ev,$B131, t,$N131,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)"),676.0)</f>
        <v/>
      </c>
      <c r="P131" s="65" t="n"/>
      <c r="Q131" s="65" t="n"/>
      <c r="R131" s="69">
        <f>A134</f>
        <v/>
      </c>
      <c r="S131" s="65">
        <f>B134</f>
        <v/>
      </c>
      <c r="T131" s="69">
        <f>C134</f>
        <v/>
      </c>
      <c r="U131" s="58">
        <f>N134</f>
        <v/>
      </c>
      <c r="V131" s="69">
        <f>O134</f>
        <v/>
      </c>
      <c r="W131" s="65" t="n"/>
      <c r="X131" s="65" t="n"/>
      <c r="Y131" s="65" t="n"/>
    </row>
    <row r="132">
      <c r="A132" s="8" t="inlineStr">
        <is>
          <t>F</t>
        </is>
      </c>
      <c r="B132" s="9" t="inlineStr">
        <is>
          <t>200 Fly</t>
        </is>
      </c>
      <c r="C132" s="9" t="n">
        <v>16</v>
      </c>
      <c r="D132" s="9" t="n">
        <v>2</v>
      </c>
      <c r="E132" s="41" t="inlineStr">
        <is>
          <t>2:13.20</t>
        </is>
      </c>
      <c r="F132" s="35">
        <f>IFERROR(__xludf.DUMMYFUNCTION("IF(
  REGEXMATCH(E132, "":""),
  60*VALUE(INDEX(SPLIT(E132, "":""),1,1)) + VALUE(INDEX(SPLIT(E132, "":""),1,2)),
  VALUE(E132)
)"),133.2)</f>
        <v/>
      </c>
      <c r="G132" s="215">
        <f>C128</f>
        <v/>
      </c>
      <c r="H132" s="215">
        <f>C137</f>
        <v/>
      </c>
      <c r="I132" s="215">
        <f>C142</f>
        <v/>
      </c>
      <c r="J132" s="215">
        <f>C145</f>
        <v/>
      </c>
      <c r="K132" s="43">
        <f>IFS(H132=21,1,I132=21,2,J132=21,3,and(H132=20,I132=22),1.5, and(I132=20,J132=22),2.5,H132&gt;21,0.5)</f>
        <v/>
      </c>
      <c r="L132" s="43">
        <f t="array" ref="L132">INDEX('Podium Target Times'!$C:$C, MATCH(A132&amp;B132, 'Podium Target Times'!$A:$A&amp;'Podium Target Times'!$B:$B, 0))
</f>
        <v/>
      </c>
      <c r="M132" s="64">
        <f>IFS(K132=0.5,M133+(F131-F134),K132=1,M133+(F131-F134), K132=1.5, M134+(F132-F135), K132=2, M134+(F132-F135), K132=2.5, M134+(F133-F136), K132=3, M134+(F133-F136))</f>
        <v/>
      </c>
      <c r="N132" s="43">
        <f>IF(M132&lt;60, TEXT(M132, "0.00"), TEXT(M132/(24*60*60), "M:SS.00"))</f>
        <v/>
      </c>
      <c r="O132" s="14">
        <f>IFERROR(__xludf.DUMMYFUNCTION("LET(
  gen,$A132, ev,$B132, t,$N132,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)"),676.0)</f>
        <v/>
      </c>
      <c r="P132" s="65" t="n"/>
      <c r="Q132" s="65" t="n"/>
      <c r="R132" s="69">
        <f>A137</f>
        <v/>
      </c>
      <c r="S132" s="65">
        <f>B137</f>
        <v/>
      </c>
      <c r="T132" s="69">
        <f>C137</f>
        <v/>
      </c>
      <c r="U132" s="58">
        <f>N137</f>
        <v/>
      </c>
      <c r="V132" s="69">
        <f>O137</f>
        <v/>
      </c>
      <c r="W132" s="65" t="n"/>
      <c r="X132" s="65" t="n"/>
      <c r="Y132" s="65" t="n"/>
    </row>
    <row r="133">
      <c r="A133" s="17" t="inlineStr">
        <is>
          <t>F</t>
        </is>
      </c>
      <c r="B133" s="18" t="inlineStr">
        <is>
          <t>200 Fly</t>
        </is>
      </c>
      <c r="C133" s="18" t="n">
        <v>16</v>
      </c>
      <c r="D133" s="18" t="n">
        <v>3</v>
      </c>
      <c r="E133" s="46" t="inlineStr">
        <is>
          <t>2:13.77</t>
        </is>
      </c>
      <c r="F133" s="21">
        <f>IFERROR(__xludf.DUMMYFUNCTION("IF(
  REGEXMATCH(E133, "":""),
  60*VALUE(INDEX(SPLIT(E133, "":""),1,1)) + VALUE(INDEX(SPLIT(E133, "":""),1,2)),
  VALUE(E133)
)"),133.77)</f>
        <v/>
      </c>
      <c r="G133" s="211">
        <f>C128</f>
        <v/>
      </c>
      <c r="H133" s="211">
        <f>C137</f>
        <v/>
      </c>
      <c r="I133" s="211">
        <f>C142</f>
        <v/>
      </c>
      <c r="J133" s="211">
        <f>C145</f>
        <v/>
      </c>
      <c r="K133" s="60">
        <f>IFS(H133=21,1,I133=21,2,J133=21,3,and(H133=20,I133=22),1.5, and(I133=20,J133=22),2.5,H133&gt;21,0.5)</f>
        <v/>
      </c>
      <c r="L133" s="60">
        <f t="array" ref="L133">INDEX('Podium Target Times'!$C:$C, MATCH(A133&amp;B133, 'Podium Target Times'!$A:$A&amp;'Podium Target Times'!$B:$B, 0))
</f>
        <v/>
      </c>
      <c r="M133" s="66">
        <f>IFS(K133=0.5,M134+(F131-F134),K133=1,M134+(F131-F134), K133=1.5, M134+(F132-F135), K133=2, M134+(F132-F135), K133=2.5, M134+(F133-F136), K133=3, M134+(F133-F136))</f>
        <v/>
      </c>
      <c r="N133" s="60">
        <f>IF(M133&lt;60, TEXT(M133, "0.00"), TEXT(M133/(24*60*60), "M:SS.00"))</f>
        <v/>
      </c>
      <c r="O133" s="25">
        <f>IFERROR(__xludf.DUMMYFUNCTION("LET(
  gen,$A133, ev,$B133, t,$N133,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)"),676.0)</f>
        <v/>
      </c>
      <c r="P133" s="65" t="n"/>
      <c r="Q133" s="65" t="n"/>
      <c r="R133" s="69">
        <f>A140</f>
        <v/>
      </c>
      <c r="S133" s="65">
        <f>B140</f>
        <v/>
      </c>
      <c r="T133" s="69">
        <f>C140</f>
        <v/>
      </c>
      <c r="U133" s="58">
        <f>N140</f>
        <v/>
      </c>
      <c r="V133" s="69">
        <f>O140</f>
        <v/>
      </c>
      <c r="W133" s="65" t="n"/>
      <c r="X133" s="65" t="n"/>
      <c r="Y133" s="65" t="n"/>
    </row>
    <row r="134">
      <c r="A134" s="8" t="inlineStr">
        <is>
          <t>F</t>
        </is>
      </c>
      <c r="B134" s="9" t="inlineStr">
        <is>
          <t>200 Fly</t>
        </is>
      </c>
      <c r="C134" s="9" t="n">
        <v>17</v>
      </c>
      <c r="D134" s="9" t="n">
        <v>1</v>
      </c>
      <c r="E134" s="41" t="inlineStr">
        <is>
          <t>2:10.18</t>
        </is>
      </c>
      <c r="F134" s="35">
        <f>IFERROR(__xludf.DUMMYFUNCTION("IF(
  REGEXMATCH(E134, "":""),
  60*VALUE(INDEX(SPLIT(E134, "":""),1,1)) + VALUE(INDEX(SPLIT(E134, "":""),1,2)),
  VALUE(E134)
)"),130.18)</f>
        <v/>
      </c>
      <c r="G134" s="215">
        <f>C128</f>
        <v/>
      </c>
      <c r="H134" s="215">
        <f>C137</f>
        <v/>
      </c>
      <c r="I134" s="215">
        <f>C142</f>
        <v/>
      </c>
      <c r="J134" s="215">
        <f>C145</f>
        <v/>
      </c>
      <c r="K134" s="43">
        <f>IFS(H134=21,1,I134=21,2,J134=21,3,and(H134=20,I134=22),1.5, and(I134=20,J134=22),2.5,H134&gt;21,0.5)</f>
        <v/>
      </c>
      <c r="L134" s="43">
        <f t="array" ref="L134">INDEX('Podium Target Times'!$C:$C, MATCH(A134&amp;B134, 'Podium Target Times'!$A:$A&amp;'Podium Target Times'!$B:$B, 0))
</f>
        <v/>
      </c>
      <c r="M134" s="64">
        <f>IFS(K134=0.5,L134,K134=1,U132+(F134-F137), K134=1.5, M137+(F135-F138), K134=2, M137+(F135-F138), K134=2.5, M137+(F136-F139), K134=3, M137+(F136-F139))</f>
        <v/>
      </c>
      <c r="N134" s="43">
        <f>IF(M134&lt;60, TEXT(M134, "0.00"), TEXT(M134/(24*60*60), "M:SS.00"))</f>
        <v/>
      </c>
      <c r="O134" s="14">
        <f>IFERROR(__xludf.DUMMYFUNCTION("LET(
  gen,$A134, ev,$B134, t,$N134,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P134" s="65" t="n"/>
      <c r="Q134" s="65" t="n"/>
      <c r="R134" s="69">
        <f>A142</f>
        <v/>
      </c>
      <c r="S134" s="65">
        <f>B142</f>
        <v/>
      </c>
      <c r="T134" s="69">
        <f>C142</f>
        <v/>
      </c>
      <c r="U134" s="58">
        <f>N142</f>
        <v/>
      </c>
      <c r="V134" s="69">
        <f>O142</f>
        <v/>
      </c>
      <c r="W134" s="65" t="n"/>
      <c r="X134" s="65" t="n"/>
      <c r="Y134" s="65" t="n"/>
    </row>
    <row r="135">
      <c r="A135" s="17" t="inlineStr">
        <is>
          <t>F</t>
        </is>
      </c>
      <c r="B135" s="18" t="inlineStr">
        <is>
          <t>200 Fly</t>
        </is>
      </c>
      <c r="C135" s="18" t="n">
        <v>17</v>
      </c>
      <c r="D135" s="18" t="n">
        <v>2</v>
      </c>
      <c r="E135" s="46" t="inlineStr">
        <is>
          <t>2:11.53</t>
        </is>
      </c>
      <c r="F135" s="21">
        <f>IFERROR(__xludf.DUMMYFUNCTION("IF(
  REGEXMATCH(E135, "":""),
  60*VALUE(INDEX(SPLIT(E135, "":""),1,1)) + VALUE(INDEX(SPLIT(E135, "":""),1,2)),
  VALUE(E135)
)"),131.53)</f>
        <v/>
      </c>
      <c r="G135" s="211">
        <f>C128</f>
        <v/>
      </c>
      <c r="H135" s="211">
        <f>C137</f>
        <v/>
      </c>
      <c r="I135" s="211">
        <f>C142</f>
        <v/>
      </c>
      <c r="J135" s="211">
        <f>C145</f>
        <v/>
      </c>
      <c r="K135" s="60">
        <f>IFS(H135=21,1,I135=21,2,J135=21,3,and(H135=20,I135=22),1.5, and(I135=20,J135=22),2.5,H135&gt;21,0.5)</f>
        <v/>
      </c>
      <c r="L135" s="60">
        <f t="array" ref="L135">INDEX('Podium Target Times'!$C:$C, MATCH(A135&amp;B135, 'Podium Target Times'!$A:$A&amp;'Podium Target Times'!$B:$B, 0))
</f>
        <v/>
      </c>
      <c r="M135" s="66">
        <f>IFS(K135=0.5,L135,K135=1,U132+(F134-F137), K135=1.5, M137+(F135-F138), K135=2, M137+(F135-F138), K135=2.5, M137+(F136-F139), K135=3, M137+(F136-F139))</f>
        <v/>
      </c>
      <c r="N135" s="60">
        <f>IF(M135&lt;60, TEXT(M135, "0.00"), TEXT(M135/(24*60*60), "M:SS.00"))</f>
        <v/>
      </c>
      <c r="O135" s="25">
        <f>IFERROR(__xludf.DUMMYFUNCTION("LET(
  gen,$A135, ev,$B135, t,$N135,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P135" s="65" t="n"/>
      <c r="Q135" s="65" t="n"/>
      <c r="R135" s="69">
        <f>A144</f>
        <v/>
      </c>
      <c r="S135" s="65">
        <f>B144</f>
        <v/>
      </c>
      <c r="T135" s="69">
        <f>C144</f>
        <v/>
      </c>
      <c r="U135" s="58">
        <f>N144</f>
        <v/>
      </c>
      <c r="V135" s="69">
        <f>O144</f>
        <v/>
      </c>
      <c r="W135" s="65" t="n"/>
      <c r="X135" s="65" t="n"/>
      <c r="Y135" s="65" t="n"/>
    </row>
    <row r="136">
      <c r="A136" s="8" t="inlineStr">
        <is>
          <t>F</t>
        </is>
      </c>
      <c r="B136" s="9" t="inlineStr">
        <is>
          <t>200 Fly</t>
        </is>
      </c>
      <c r="C136" s="9" t="n">
        <v>17</v>
      </c>
      <c r="D136" s="9" t="n">
        <v>3</v>
      </c>
      <c r="E136" s="41" t="inlineStr">
        <is>
          <t>2:12.08</t>
        </is>
      </c>
      <c r="F136" s="35">
        <f>IFERROR(__xludf.DUMMYFUNCTION("IF(
  REGEXMATCH(E136, "":""),
  60*VALUE(INDEX(SPLIT(E136, "":""),1,1)) + VALUE(INDEX(SPLIT(E136, "":""),1,2)),
  VALUE(E136)
)"),132.08)</f>
        <v/>
      </c>
      <c r="G136" s="215">
        <f>C128</f>
        <v/>
      </c>
      <c r="H136" s="215">
        <f>C137</f>
        <v/>
      </c>
      <c r="I136" s="215">
        <f>C142</f>
        <v/>
      </c>
      <c r="J136" s="215">
        <f>C145</f>
        <v/>
      </c>
      <c r="K136" s="43">
        <f>IFS(H136=21,1,I136=21,2,J136=21,3,and(H136=20,I136=22),1.5, and(I136=20,J136=22),2.5,H136&gt;21,0.5)</f>
        <v/>
      </c>
      <c r="L136" s="43">
        <f t="array" ref="L136">INDEX('Podium Target Times'!$C:$C, MATCH(A136&amp;B136, 'Podium Target Times'!$A:$A&amp;'Podium Target Times'!$B:$B, 0))
</f>
        <v/>
      </c>
      <c r="M136" s="64">
        <f>IFS(K136=0.5,L136,K136=1,U132+(F134-F137), K136=1.5, M137+(F135-F138), K136=2, M137+(F135-F138), K136=2.5, M137+(F136-F139), K136=3, M137+(F136-F139))</f>
        <v/>
      </c>
      <c r="N136" s="43">
        <f>IF(M136&lt;60, TEXT(M136, "0.00"), TEXT(M136/(24*60*60), "M:SS.00"))</f>
        <v/>
      </c>
      <c r="O136" s="14">
        <f>IFERROR(__xludf.DUMMYFUNCTION("LET(
  gen,$A136, ev,$B136, t,$N136,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P136" s="65" t="n"/>
      <c r="Q136" s="65" t="n"/>
      <c r="R136" s="69" t="n"/>
      <c r="S136" s="65" t="n"/>
      <c r="T136" s="69" t="n"/>
      <c r="U136" s="58" t="n"/>
      <c r="V136" s="69" t="n"/>
      <c r="W136" s="65" t="n"/>
      <c r="X136" s="65" t="n"/>
      <c r="Y136" s="65" t="n"/>
    </row>
    <row r="137">
      <c r="A137" s="17" t="inlineStr">
        <is>
          <t>F</t>
        </is>
      </c>
      <c r="B137" s="18" t="inlineStr">
        <is>
          <t>200 Fly</t>
        </is>
      </c>
      <c r="C137" s="18" t="n">
        <v>18</v>
      </c>
      <c r="D137" s="18" t="n">
        <v>1</v>
      </c>
      <c r="E137" s="46" t="inlineStr">
        <is>
          <t>2:09.21</t>
        </is>
      </c>
      <c r="F137" s="21">
        <f>IFERROR(__xludf.DUMMYFUNCTION("IF(
  REGEXMATCH(E137, "":""),
  60*VALUE(INDEX(SPLIT(E137, "":""),1,1)) + VALUE(INDEX(SPLIT(E137, "":""),1,2)),
  VALUE(E137)
)"),129.21)</f>
        <v/>
      </c>
      <c r="G137" s="211">
        <f>C128</f>
        <v/>
      </c>
      <c r="H137" s="211">
        <f>C137</f>
        <v/>
      </c>
      <c r="I137" s="211">
        <f>C142</f>
        <v/>
      </c>
      <c r="J137" s="211">
        <f>C145</f>
        <v/>
      </c>
      <c r="K137" s="60">
        <f>IFS(H137=21,1,I137=21,2,J137=21,3,and(H137=20,I137=22),1.5, and(I137=20,J137=22),2.5,H137&gt;21,0.5)</f>
        <v/>
      </c>
      <c r="L137" s="60">
        <f t="array" ref="L137">INDEX('Podium Target Times'!$C:$C, MATCH(A137&amp;B137, 'Podium Target Times'!$A:$A&amp;'Podium Target Times'!$B:$B, 0))
</f>
        <v/>
      </c>
      <c r="M137" s="66">
        <f>IFS(K137=0.5,L137,K137=1,L137, K137=1.5, M140+(F138-F140), K137=2, M140+(F138-F140), K137=2.5, M140+(F139-F141), K137=3, M140+(F139-F141))</f>
        <v/>
      </c>
      <c r="N137" s="60">
        <f>IF(M137&lt;60, TEXT(M137, "0.00"), TEXT(M137/(24*60*60), "M:SS.00"))</f>
        <v/>
      </c>
      <c r="O137" s="25">
        <f>IFERROR(__xludf.DUMMYFUNCTION("LET(
  gen,$A137, ev,$B137, t,$N137,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P137" s="65" t="n"/>
      <c r="Q137" s="65" t="n"/>
      <c r="R137" s="69" t="n"/>
      <c r="S137" s="65" t="n"/>
      <c r="T137" s="69" t="n"/>
      <c r="U137" s="58" t="n"/>
      <c r="V137" s="69" t="n"/>
      <c r="W137" s="65" t="n"/>
      <c r="X137" s="65" t="n"/>
      <c r="Y137" s="65" t="n"/>
    </row>
    <row r="138">
      <c r="A138" s="8" t="inlineStr">
        <is>
          <t>F</t>
        </is>
      </c>
      <c r="B138" s="9" t="inlineStr">
        <is>
          <t>200 Fly</t>
        </is>
      </c>
      <c r="C138" s="9" t="n">
        <v>18</v>
      </c>
      <c r="D138" s="9" t="n">
        <v>2</v>
      </c>
      <c r="E138" s="41" t="inlineStr">
        <is>
          <t>2:10.55</t>
        </is>
      </c>
      <c r="F138" s="35">
        <f>IFERROR(__xludf.DUMMYFUNCTION("IF(
  REGEXMATCH(E138, "":""),
  60*VALUE(INDEX(SPLIT(E138, "":""),1,1)) + VALUE(INDEX(SPLIT(E138, "":""),1,2)),
  VALUE(E138)
)"),130.55)</f>
        <v/>
      </c>
      <c r="G138" s="215">
        <f>C128</f>
        <v/>
      </c>
      <c r="H138" s="215">
        <f>C137</f>
        <v/>
      </c>
      <c r="I138" s="215">
        <f>C142</f>
        <v/>
      </c>
      <c r="J138" s="215">
        <f>C145</f>
        <v/>
      </c>
      <c r="K138" s="43">
        <f>IFS(H138=21,1,I138=21,2,J138=21,3,and(H138=20,I138=22),1.5, and(I138=20,J138=22),2.5,H138&gt;21,0.5)</f>
        <v/>
      </c>
      <c r="L138" s="43">
        <f t="array" ref="L138">INDEX('Podium Target Times'!$C:$C, MATCH(A138&amp;B138, 'Podium Target Times'!$A:$A&amp;'Podium Target Times'!$B:$B, 0))
</f>
        <v/>
      </c>
      <c r="M138" s="64">
        <f>IFS(K138=0.5,L138,K138=1,L138, K138=1.5, M140+(F138-F140), K138=2, M140+(F138-F140), K138=2.5, M140+(F139-F141), K138=3, M140+(F139-F141))</f>
        <v/>
      </c>
      <c r="N138" s="43">
        <f>IF(M138&lt;60, TEXT(M138, "0.00"), TEXT(M138/(24*60*60), "M:SS.00"))</f>
        <v/>
      </c>
      <c r="O138" s="14">
        <f>IFERROR(__xludf.DUMMYFUNCTION("LET(
  gen,$A138, ev,$B138, t,$N138,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P138" s="65" t="n"/>
      <c r="Q138" s="65" t="n"/>
      <c r="R138" s="69" t="n"/>
      <c r="S138" s="65" t="n"/>
      <c r="T138" s="69" t="n"/>
      <c r="U138" s="58" t="n"/>
      <c r="V138" s="69" t="n"/>
      <c r="W138" s="65" t="n"/>
      <c r="X138" s="65" t="n"/>
      <c r="Y138" s="65" t="n"/>
    </row>
    <row r="139">
      <c r="A139" s="17" t="inlineStr">
        <is>
          <t>F</t>
        </is>
      </c>
      <c r="B139" s="18" t="inlineStr">
        <is>
          <t>200 Fly</t>
        </is>
      </c>
      <c r="C139" s="18" t="n">
        <v>18</v>
      </c>
      <c r="D139" s="18" t="n">
        <v>3</v>
      </c>
      <c r="E139" s="46" t="inlineStr">
        <is>
          <t>2:11.10</t>
        </is>
      </c>
      <c r="F139" s="21">
        <f>IFERROR(__xludf.DUMMYFUNCTION("IF(
  REGEXMATCH(E139, "":""),
  60*VALUE(INDEX(SPLIT(E139, "":""),1,1)) + VALUE(INDEX(SPLIT(E139, "":""),1,2)),
  VALUE(E139)
)"),131.1)</f>
        <v/>
      </c>
      <c r="G139" s="211">
        <f>C128</f>
        <v/>
      </c>
      <c r="H139" s="211">
        <f>C137</f>
        <v/>
      </c>
      <c r="I139" s="211">
        <f>C142</f>
        <v/>
      </c>
      <c r="J139" s="211">
        <f>C145</f>
        <v/>
      </c>
      <c r="K139" s="60">
        <f>IFS(H139=21,1,I139=21,2,J139=21,3,and(H139=20,I139=22),1.5, and(I139=20,J139=22),2.5,H139&gt;21,0.5)</f>
        <v/>
      </c>
      <c r="L139" s="60">
        <f t="array" ref="L139">INDEX('Podium Target Times'!$C:$C, MATCH(A139&amp;B139, 'Podium Target Times'!$A:$A&amp;'Podium Target Times'!$B:$B, 0))
</f>
        <v/>
      </c>
      <c r="M139" s="66">
        <f>IFS(K139=0.5,L139,K139=1,L139, K139=1.5, M140+(F138-F140), K139=2, M140+(F138-F140), K139=2.5, M140+(F139-F141), K139=3, M140+(F139-F141))</f>
        <v/>
      </c>
      <c r="N139" s="60">
        <f>IF(M139&lt;60, TEXT(M139, "0.00"), TEXT(M139/(24*60*60), "M:SS.00"))</f>
        <v/>
      </c>
      <c r="O139" s="25">
        <f>IFERROR(__xludf.DUMMYFUNCTION("LET(
  gen,$A139, ev,$B139, t,$N139,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P139" s="65" t="n"/>
      <c r="Q139" s="65" t="n"/>
      <c r="R139" s="69" t="n"/>
      <c r="S139" s="65" t="n"/>
      <c r="T139" s="69" t="n"/>
      <c r="U139" s="58" t="n"/>
      <c r="V139" s="69" t="n"/>
      <c r="W139" s="65" t="n"/>
      <c r="X139" s="65" t="n"/>
      <c r="Y139" s="65" t="n"/>
    </row>
    <row r="140">
      <c r="A140" s="8" t="inlineStr">
        <is>
          <t>F</t>
        </is>
      </c>
      <c r="B140" s="9" t="inlineStr">
        <is>
          <t>200 Fly</t>
        </is>
      </c>
      <c r="C140" s="9" t="n">
        <v>19</v>
      </c>
      <c r="D140" s="9" t="n">
        <v>2</v>
      </c>
      <c r="E140" s="215" t="inlineStr">
        <is>
          <t>2:09.78</t>
        </is>
      </c>
      <c r="F140" s="35">
        <f>IFERROR(__xludf.DUMMYFUNCTION("IF(
  REGEXMATCH(E140, "":""),
  60*VALUE(INDEX(SPLIT(E140, "":""),1,1)) + VALUE(INDEX(SPLIT(E140, "":""),1,2)),
  VALUE(E140)
)"),129.78)</f>
        <v/>
      </c>
      <c r="G140" s="215">
        <f>C128</f>
        <v/>
      </c>
      <c r="H140" s="215">
        <f>C137</f>
        <v/>
      </c>
      <c r="I140" s="215">
        <f>C142</f>
        <v/>
      </c>
      <c r="J140" s="215">
        <f>C145</f>
        <v/>
      </c>
      <c r="K140" s="43">
        <f>IFS(H140=21,1,I140=21,2,J140=21,3,and(H140=20,I140=22),1.5, and(I140=20,J140=22),2.5,H140&gt;21,0.5)</f>
        <v/>
      </c>
      <c r="L140" s="43">
        <f t="array" ref="L140">INDEX('Podium Target Times'!$C:$C, MATCH(A140&amp;B140, 'Podium Target Times'!$A:$A&amp;'Podium Target Times'!$B:$B, 0))
</f>
        <v/>
      </c>
      <c r="M140" s="64">
        <f>IFS(K140=0.5,L140,K140=1,L140, K140=1.5, L140, K140=2, M142+(F140-F142), K140=2.5, M142+(F141-F143), K140=3, M142+(F141-F143))</f>
        <v/>
      </c>
      <c r="N140" s="43">
        <f>IF(M140&lt;60, TEXT(M140, "0.00"), TEXT(M140/(24*60*60), "M:SS.00"))</f>
        <v/>
      </c>
      <c r="O140" s="14">
        <f>IFERROR(__xludf.DUMMYFUNCTION("LET(
  gen,$A140, ev,$B140, t,$N140,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
      </c>
      <c r="P140" s="65" t="n"/>
      <c r="Q140" s="65" t="n"/>
      <c r="R140" s="69" t="n"/>
      <c r="S140" s="65" t="n"/>
      <c r="T140" s="69" t="n"/>
      <c r="U140" s="58" t="n"/>
      <c r="V140" s="69" t="n"/>
      <c r="W140" s="65" t="n"/>
      <c r="X140" s="65" t="n"/>
      <c r="Y140" s="65" t="n"/>
    </row>
    <row r="141">
      <c r="A141" s="17" t="inlineStr">
        <is>
          <t>F</t>
        </is>
      </c>
      <c r="B141" s="18" t="inlineStr">
        <is>
          <t>200 Fly</t>
        </is>
      </c>
      <c r="C141" s="18" t="n">
        <v>19</v>
      </c>
      <c r="D141" s="18" t="n">
        <v>3</v>
      </c>
      <c r="E141" s="211" t="inlineStr">
        <is>
          <t>2:10.33</t>
        </is>
      </c>
      <c r="F141" s="21">
        <f>IFERROR(__xludf.DUMMYFUNCTION("IF(
  REGEXMATCH(E141, "":""),
  60*VALUE(INDEX(SPLIT(E141, "":""),1,1)) + VALUE(INDEX(SPLIT(E141, "":""),1,2)),
  VALUE(E141)
)"),130.33)</f>
        <v/>
      </c>
      <c r="G141" s="211">
        <f>C128</f>
        <v/>
      </c>
      <c r="H141" s="211">
        <f>C137</f>
        <v/>
      </c>
      <c r="I141" s="211">
        <f>C142</f>
        <v/>
      </c>
      <c r="J141" s="211">
        <f>C145</f>
        <v/>
      </c>
      <c r="K141" s="60">
        <f>IFS(H141=21,1,I141=21,2,J141=21,3,and(H141=20,I141=22),1.5, and(I141=20,J141=22),2.5,H141&gt;21,0.5)</f>
        <v/>
      </c>
      <c r="L141" s="60">
        <f t="array" ref="L141">INDEX('Podium Target Times'!$C:$C, MATCH(A141&amp;B141, 'Podium Target Times'!$A:$A&amp;'Podium Target Times'!$B:$B, 0))
</f>
        <v/>
      </c>
      <c r="M141" s="66">
        <f>IFS(K141=0.5,L141,K141=1,L141, K141=1.5, L141, K141=2, M142+(F140-F142), K141=2.5, M142+(F141-F143), K141=3, M142+(F141-F143))</f>
        <v/>
      </c>
      <c r="N141" s="60">
        <f>IF(M141&lt;60, TEXT(M141, "0.00"), TEXT(M141/(24*60*60), "M:SS.00"))</f>
        <v/>
      </c>
      <c r="O141" s="25">
        <f>IFERROR(__xludf.DUMMYFUNCTION("LET(
  gen,$A141, ev,$B141, t,$N141,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
      </c>
      <c r="P141" s="65" t="n"/>
      <c r="Q141" s="65" t="n"/>
      <c r="R141" s="69" t="n"/>
      <c r="S141" s="65" t="n"/>
      <c r="T141" s="69" t="n"/>
      <c r="U141" s="58" t="n"/>
      <c r="V141" s="69" t="n"/>
      <c r="W141" s="65" t="n"/>
      <c r="X141" s="65" t="n"/>
      <c r="Y141" s="65" t="n"/>
    </row>
    <row r="142">
      <c r="A142" s="8" t="inlineStr">
        <is>
          <t>F</t>
        </is>
      </c>
      <c r="B142" s="9" t="inlineStr">
        <is>
          <t>200 Fly</t>
        </is>
      </c>
      <c r="C142" s="9" t="n">
        <v>20</v>
      </c>
      <c r="D142" s="9" t="n">
        <v>2</v>
      </c>
      <c r="E142" s="41" t="inlineStr">
        <is>
          <t>2:09.21</t>
        </is>
      </c>
      <c r="F142" s="35">
        <f>IFERROR(__xludf.DUMMYFUNCTION("IF(
  REGEXMATCH(E142, "":""),
  60*VALUE(INDEX(SPLIT(E142, "":""),1,1)) + VALUE(INDEX(SPLIT(E142, "":""),1,2)),
  VALUE(E142)
)"),129.21)</f>
        <v/>
      </c>
      <c r="G142" s="215">
        <f>C128</f>
        <v/>
      </c>
      <c r="H142" s="215">
        <f>C137</f>
        <v/>
      </c>
      <c r="I142" s="215">
        <f>C142</f>
        <v/>
      </c>
      <c r="J142" s="215">
        <f>C145</f>
        <v/>
      </c>
      <c r="K142" s="43">
        <f>IFS(H142=21,1,I142=21,2,J142=21,3,and(H142=20,I142=22),1.5, and(I142=20,J142=22),2.5,H142&gt;21,0.5)</f>
        <v/>
      </c>
      <c r="L142" s="43">
        <f t="array" ref="L142">INDEX('Podium Target Times'!$C:$C, MATCH(A142&amp;B142, 'Podium Target Times'!$A:$A&amp;'Podium Target Times'!$B:$B, 0))
</f>
        <v/>
      </c>
      <c r="M142" s="64">
        <f>IFS(K142=0.5,L142,K142=1,L142, K142=1.5, L142, K142=2,L145, K142=2.5, M144+(F143-F144), K142=3,  M144+(F143-F144))</f>
        <v/>
      </c>
      <c r="N142" s="43">
        <f>IF(M142&lt;60, TEXT(M142, "0.00"), TEXT(M142/(24*60*60), "M:SS.00"))</f>
        <v/>
      </c>
      <c r="O142" s="14">
        <f>IFERROR(__xludf.DUMMYFUNCTION("LET(
  gen,$A142, ev,$B142, t,$N142,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P142" s="65" t="n"/>
      <c r="Q142" s="65" t="n"/>
      <c r="R142" s="69" t="n"/>
      <c r="S142" s="65" t="n"/>
      <c r="T142" s="69" t="n"/>
      <c r="U142" s="58" t="n"/>
      <c r="V142" s="69" t="n"/>
      <c r="W142" s="65" t="n"/>
      <c r="X142" s="65" t="n"/>
      <c r="Y142" s="65" t="n"/>
    </row>
    <row r="143">
      <c r="A143" s="17" t="inlineStr">
        <is>
          <t>F</t>
        </is>
      </c>
      <c r="B143" s="18" t="inlineStr">
        <is>
          <t>200 Fly</t>
        </is>
      </c>
      <c r="C143" s="18" t="n">
        <v>20</v>
      </c>
      <c r="D143" s="18" t="n">
        <v>3</v>
      </c>
      <c r="E143" s="46" t="inlineStr">
        <is>
          <t>2:09.76</t>
        </is>
      </c>
      <c r="F143" s="21">
        <f>IFERROR(__xludf.DUMMYFUNCTION("IF(
  REGEXMATCH(E143, "":""),
  60*VALUE(INDEX(SPLIT(E143, "":""),1,1)) + VALUE(INDEX(SPLIT(E143, "":""),1,2)),
  VALUE(E143)
)"),129.76)</f>
        <v/>
      </c>
      <c r="G143" s="211">
        <f>C128</f>
        <v/>
      </c>
      <c r="H143" s="211">
        <f>C137</f>
        <v/>
      </c>
      <c r="I143" s="211">
        <f>C142</f>
        <v/>
      </c>
      <c r="J143" s="211">
        <f>C145</f>
        <v/>
      </c>
      <c r="K143" s="60">
        <f>IFS(H143=21,1,I143=21,2,J143=21,3,and(H143=20,I143=22),1.5, and(I143=20,J143=22),2.5,H143&gt;21,0.5)</f>
        <v/>
      </c>
      <c r="L143" s="60">
        <f t="array" ref="L143">INDEX('Podium Target Times'!$C:$C, MATCH(A143&amp;B143, 'Podium Target Times'!$A:$A&amp;'Podium Target Times'!$B:$B, 0))
</f>
        <v/>
      </c>
      <c r="M143" s="66">
        <f>IFS(K143=0.5,L143,K143=1,L143, K143=1.5, L143, K143=2, L145, K143=2.5, M144+(F143-F144), K143=3, M144+(F143-F144))</f>
        <v/>
      </c>
      <c r="N143" s="60">
        <f>IF(M143&lt;60, TEXT(M143, "0.00"), TEXT(M143/(24*60*60), "M:SS.00"))</f>
        <v/>
      </c>
      <c r="O143" s="25">
        <f>IFERROR(__xludf.DUMMYFUNCTION("LET(
  gen,$A143, ev,$B143, t,$N143,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P143" s="65" t="n"/>
      <c r="Q143" s="65" t="n"/>
      <c r="R143" s="69" t="n"/>
      <c r="S143" s="65" t="n"/>
      <c r="T143" s="69" t="n"/>
      <c r="U143" s="58" t="n"/>
      <c r="V143" s="69" t="n"/>
      <c r="W143" s="65" t="n"/>
      <c r="X143" s="65" t="n"/>
      <c r="Y143" s="65" t="n"/>
    </row>
    <row r="144">
      <c r="A144" s="8" t="inlineStr">
        <is>
          <t>F</t>
        </is>
      </c>
      <c r="B144" s="9" t="inlineStr">
        <is>
          <t>200 Fly</t>
        </is>
      </c>
      <c r="C144" s="9" t="n">
        <v>21</v>
      </c>
      <c r="D144" s="9" t="n">
        <v>3</v>
      </c>
      <c r="E144" s="41" t="inlineStr">
        <is>
          <t>2:09.39</t>
        </is>
      </c>
      <c r="F144" s="35">
        <f>IFERROR(__xludf.DUMMYFUNCTION("IF(
  REGEXMATCH(E144, "":""),
  60*VALUE(INDEX(SPLIT(E144, "":""),1,1)) + VALUE(INDEX(SPLIT(E144, "":""),1,2)),
  VALUE(E144)
)"),129.39)</f>
        <v/>
      </c>
      <c r="G144" s="215">
        <f>C128</f>
        <v/>
      </c>
      <c r="H144" s="215">
        <f>C137</f>
        <v/>
      </c>
      <c r="I144" s="215">
        <f>C142</f>
        <v/>
      </c>
      <c r="J144" s="215">
        <f>C145</f>
        <v/>
      </c>
      <c r="K144" s="43">
        <f>IFS(H144=21,1,I144=21,2,J144=21,3,and(H144=20,I144=22),1.5, and(I144=20,J144=22),2.5,H144&gt;21,0.5)</f>
        <v/>
      </c>
      <c r="L144" s="43">
        <f t="array" ref="L144">INDEX('Podium Target Times'!$C:$C, MATCH(A144&amp;B144, 'Podium Target Times'!$A:$A&amp;'Podium Target Times'!$B:$B, 0))
</f>
        <v/>
      </c>
      <c r="M144" s="64">
        <f>IFS(K144=0.5,L144,K144=1,L144, K144=1.5, L144, K144=2, L145, K144=2.5, L145, K144=3, M145+(F144-F145))</f>
        <v/>
      </c>
      <c r="N144" s="43">
        <f>IF(M144&lt;60, TEXT(M144, "0.00"), TEXT(M144/(24*60*60), "M:SS.00"))</f>
        <v/>
      </c>
      <c r="O144" s="14">
        <f>IFERROR(__xludf.DUMMYFUNCTION("LET(
  gen,$A144, ev,$B144, t,$N144,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P144" s="65" t="n"/>
      <c r="Q144" s="65" t="n"/>
      <c r="R144" s="69" t="n"/>
      <c r="S144" s="65" t="n"/>
      <c r="T144" s="69" t="n"/>
      <c r="U144" s="58" t="n"/>
      <c r="V144" s="69" t="n"/>
      <c r="W144" s="65" t="n"/>
      <c r="X144" s="65" t="n"/>
      <c r="Y144" s="65" t="n"/>
    </row>
    <row r="145">
      <c r="A145" s="17" t="inlineStr">
        <is>
          <t>F</t>
        </is>
      </c>
      <c r="B145" s="18" t="inlineStr">
        <is>
          <t>200 Fly</t>
        </is>
      </c>
      <c r="C145" s="18" t="n">
        <v>22</v>
      </c>
      <c r="D145" s="221" t="n">
        <v>3</v>
      </c>
      <c r="E145" s="46" t="inlineStr">
        <is>
          <t>2:09.21</t>
        </is>
      </c>
      <c r="F145" s="21">
        <f>IFERROR(__xludf.DUMMYFUNCTION("IF(
  REGEXMATCH(E145, "":""),
  60*VALUE(INDEX(SPLIT(E145, "":""),1,1)) + VALUE(INDEX(SPLIT(E145, "":""),1,2)),
  VALUE(E145)
)"),129.21)</f>
        <v/>
      </c>
      <c r="G145" s="211">
        <f>C128</f>
        <v/>
      </c>
      <c r="H145" s="211">
        <f>C137</f>
        <v/>
      </c>
      <c r="I145" s="211">
        <f>C142</f>
        <v/>
      </c>
      <c r="J145" s="211">
        <f>C145</f>
        <v/>
      </c>
      <c r="K145" s="60">
        <f>IFS(H145=21,1,I145=21,2,J145=21,3,and(H145=20,I145=22),1.5, and(I145=20,J145=22),2.5,H145&gt;21,0.5)</f>
        <v/>
      </c>
      <c r="L145" s="60">
        <f t="array" ref="L145">INDEX('Podium Target Times'!$C:$C, MATCH(A145&amp;B145, 'Podium Target Times'!$A:$A&amp;'Podium Target Times'!$B:$B, 0))
</f>
        <v/>
      </c>
      <c r="M145" s="66">
        <f>IFS(K145=0.5,L145,K145=1,L145, K145=1.5, L145, K145=2, L145, K145=2.5, L145, K145=3, L145)</f>
        <v/>
      </c>
      <c r="N145" s="60">
        <f>IF(M145&lt;60, TEXT(M145, "0.00"), TEXT(M145/(24*60*60), "M:SS.00"))</f>
        <v/>
      </c>
      <c r="O145" s="25">
        <f>IFERROR(__xludf.DUMMYFUNCTION("LET(
  gen,$A145, ev,$B145, t,$N145,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)"),744.0)</f>
        <v/>
      </c>
      <c r="P145" s="65" t="n"/>
      <c r="Q145" s="65" t="n"/>
      <c r="R145" s="69" t="n"/>
      <c r="S145" s="65" t="n"/>
      <c r="T145" s="69" t="n"/>
      <c r="U145" s="58" t="n"/>
      <c r="V145" s="69" t="n"/>
      <c r="W145" s="65" t="n"/>
      <c r="X145" s="65" t="n"/>
      <c r="Y145" s="65" t="n"/>
    </row>
    <row r="146">
      <c r="A146" s="8" t="inlineStr">
        <is>
          <t>F</t>
        </is>
      </c>
      <c r="B146" s="9" t="inlineStr">
        <is>
          <t>200 Free</t>
        </is>
      </c>
      <c r="C146" s="9" t="n">
        <v>14</v>
      </c>
      <c r="D146" s="9" t="n">
        <v>1</v>
      </c>
      <c r="E146" s="43" t="inlineStr">
        <is>
          <t>2:06.51</t>
        </is>
      </c>
      <c r="F146" s="35">
        <f>IFERROR(__xludf.DUMMYFUNCTION("IF(
  REGEXMATCH(E146, "":""),
  60*VALUE(INDEX(SPLIT(E146, "":""),1,1)) + VALUE(INDEX(SPLIT(E146, "":""),1,2)),
  VALUE(E146)
)"),126.51)</f>
        <v/>
      </c>
      <c r="G146" s="43">
        <f>C146</f>
        <v/>
      </c>
      <c r="H146" s="43">
        <f>C155</f>
        <v/>
      </c>
      <c r="I146" s="43">
        <f>C160</f>
        <v/>
      </c>
      <c r="J146" s="43">
        <f>C163</f>
        <v/>
      </c>
      <c r="K146" s="43">
        <f>IFS(H146=21,1,I146=21,2,J146=21,3,and(H146=20,I146=22),1.5, and(I146=20,J146=22),2.5,H146&gt;21,0.5)</f>
        <v/>
      </c>
      <c r="L146" s="43">
        <f t="array" ref="L146">INDEX('Podium Target Times'!$C:$C, MATCH(A146&amp;B146, 'Podium Target Times'!$A:$A&amp;'Podium Target Times'!$B:$B, 0))
</f>
        <v/>
      </c>
      <c r="M146" s="64">
        <f>IFS(K146=0.5,M147+(F146-F147),K146=1,M147+(F146-F147), K146=1.5, M147+(F146-F147), K146=2, M147+(F146-F147), K146=2.5, M147+(F146-F147), K146=3, M147+(F146-F147))</f>
        <v/>
      </c>
      <c r="N146" s="43">
        <f>IF(M146&lt;60, TEXT(M146, "0.00"), TEXT(M146/(24*60*60), "M:SS.00"))</f>
        <v/>
      </c>
      <c r="O146" s="14">
        <f>IFERROR(__xludf.DUMMYFUNCTION("LET(
  gen,$A146, ev,$B146, t,$N146,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)"),605.0)</f>
        <v/>
      </c>
      <c r="P146" s="65" t="n"/>
      <c r="Q146" s="65" t="n"/>
      <c r="R146" s="69">
        <f>A146</f>
        <v/>
      </c>
      <c r="S146" s="65">
        <f>B146</f>
        <v/>
      </c>
      <c r="T146" s="69">
        <f>C146</f>
        <v/>
      </c>
      <c r="U146" s="58">
        <f>N146</f>
        <v/>
      </c>
      <c r="V146" s="69">
        <f>O146</f>
        <v/>
      </c>
      <c r="W146" s="65" t="n"/>
      <c r="X146" s="65" t="n"/>
      <c r="Y146" s="65" t="n"/>
    </row>
    <row r="147">
      <c r="A147" s="17" t="inlineStr">
        <is>
          <t>F</t>
        </is>
      </c>
      <c r="B147" s="18" t="inlineStr">
        <is>
          <t>200 Free</t>
        </is>
      </c>
      <c r="C147" s="18" t="n">
        <v>15</v>
      </c>
      <c r="D147" s="18" t="n">
        <v>1</v>
      </c>
      <c r="E147" s="60" t="inlineStr">
        <is>
          <t>2:02.98</t>
        </is>
      </c>
      <c r="F147" s="21">
        <f>IFERROR(__xludf.DUMMYFUNCTION("IF(
  REGEXMATCH(E147, "":""),
  60*VALUE(INDEX(SPLIT(E147, "":""),1,1)) + VALUE(INDEX(SPLIT(E147, "":""),1,2)),
  VALUE(E147)
)"),122.98)</f>
        <v/>
      </c>
      <c r="G147" s="211">
        <f>C146</f>
        <v/>
      </c>
      <c r="H147" s="211">
        <f>C155</f>
        <v/>
      </c>
      <c r="I147" s="211">
        <f>C160</f>
        <v/>
      </c>
      <c r="J147" s="211">
        <f>C163</f>
        <v/>
      </c>
      <c r="K147" s="60">
        <f>IFS(H147=21,1,I147=21,2,J147=21,3,and(H147=20,I147=22),1.5, and(I147=20,J147=22),2.5,H147&gt;21,0.5)</f>
        <v/>
      </c>
      <c r="L147" s="60">
        <f t="array" ref="L147">INDEX('Podium Target Times'!$C:$C, MATCH(A147&amp;B147, 'Podium Target Times'!$A:$A&amp;'Podium Target Times'!$B:$B, 0))
</f>
        <v/>
      </c>
      <c r="M147" s="66">
        <f>IFS(K147=0.5,M148+(F147-F149),K147=1,M148+(F147-F149), K147=1.5, M149+(F148-F150), K147=2, M149+(F148-F150), K147=2.5, M149+(F148-F150), K147=3, M149+(F148-F150))</f>
        <v/>
      </c>
      <c r="N147" s="60">
        <f>IF(M147&lt;60, TEXT(M147, "0.00"), TEXT(M147/(24*60*60), "M:SS.00"))</f>
        <v/>
      </c>
      <c r="O147" s="25">
        <f>IFERROR(__xludf.DUMMYFUNCTION("LET(
  gen,$A147, ev,$B147, t,$N147,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)"),656.0)</f>
        <v/>
      </c>
      <c r="P147" s="65" t="n"/>
      <c r="Q147" s="65" t="n"/>
      <c r="R147" s="69">
        <f>A147</f>
        <v/>
      </c>
      <c r="S147" s="65">
        <f>B147</f>
        <v/>
      </c>
      <c r="T147" s="69">
        <f>C147</f>
        <v/>
      </c>
      <c r="U147" s="58">
        <f>N147</f>
        <v/>
      </c>
      <c r="V147" s="69">
        <f>O147</f>
        <v/>
      </c>
      <c r="W147" s="65" t="n"/>
      <c r="X147" s="65" t="n"/>
      <c r="Y147" s="65" t="n"/>
    </row>
    <row r="148">
      <c r="A148" s="8" t="inlineStr">
        <is>
          <t>F</t>
        </is>
      </c>
      <c r="B148" s="9" t="inlineStr">
        <is>
          <t>200 Free</t>
        </is>
      </c>
      <c r="C148" s="9" t="n">
        <v>15</v>
      </c>
      <c r="D148" s="9" t="n">
        <v>2</v>
      </c>
      <c r="E148" s="43" t="inlineStr">
        <is>
          <t>2:04.11</t>
        </is>
      </c>
      <c r="F148" s="35">
        <f>IFERROR(__xludf.DUMMYFUNCTION("IF(
  REGEXMATCH(E148, "":""),
  60*VALUE(INDEX(SPLIT(E148, "":""),1,1)) + VALUE(INDEX(SPLIT(E148, "":""),1,2)),
  VALUE(E148)
)"),124.11)</f>
        <v/>
      </c>
      <c r="G148" s="215">
        <f>C146</f>
        <v/>
      </c>
      <c r="H148" s="215">
        <f>C155</f>
        <v/>
      </c>
      <c r="I148" s="215">
        <f>C160</f>
        <v/>
      </c>
      <c r="J148" s="215">
        <f>C163</f>
        <v/>
      </c>
      <c r="K148" s="43">
        <f>IFS(H148=21,1,I148=21,2,J148=21,3,and(H148=20,I148=22),1.5, and(I148=20,J148=22),2.5,H148&gt;21,0.5)</f>
        <v/>
      </c>
      <c r="L148" s="43">
        <f t="array" ref="L148">INDEX('Podium Target Times'!$C:$C, MATCH(A148&amp;B148, 'Podium Target Times'!$A:$A&amp;'Podium Target Times'!$B:$B, 0))
</f>
        <v/>
      </c>
      <c r="M148" s="64">
        <f>IFS(K148=0.5,M149+(F148-F151),K148=1,M149+(F148-F151), K148=1.5, M149+(F148-F150), K148=2, M149+(F148-F150), K148=2.5, M149+(F148-F150), K148=3, M149+(F148-F150))</f>
        <v/>
      </c>
      <c r="N148" s="43">
        <f>IF(M148&lt;60, TEXT(M148, "0.00"), TEXT(M148/(24*60*60), "M:SS.00"))</f>
        <v/>
      </c>
      <c r="O148" s="14">
        <f>IFERROR(__xludf.DUMMYFUNCTION("LET(
  gen,$A148, ev,$B148, t,$N148,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)"),656.0)</f>
        <v/>
      </c>
      <c r="P148" s="65" t="n"/>
      <c r="Q148" s="65" t="n"/>
      <c r="R148" s="69">
        <f>A149</f>
        <v/>
      </c>
      <c r="S148" s="65">
        <f>B149</f>
        <v/>
      </c>
      <c r="T148" s="69">
        <f>C149</f>
        <v/>
      </c>
      <c r="U148" s="58">
        <f>N149</f>
        <v/>
      </c>
      <c r="V148" s="69">
        <f>O149</f>
        <v/>
      </c>
      <c r="W148" s="65" t="n"/>
      <c r="X148" s="65" t="n"/>
      <c r="Y148" s="65" t="n"/>
    </row>
    <row r="149">
      <c r="A149" s="17" t="inlineStr">
        <is>
          <t>F</t>
        </is>
      </c>
      <c r="B149" s="18" t="inlineStr">
        <is>
          <t>200 Free</t>
        </is>
      </c>
      <c r="C149" s="18" t="n">
        <v>16</v>
      </c>
      <c r="D149" s="18" t="n">
        <v>1</v>
      </c>
      <c r="E149" s="46" t="inlineStr">
        <is>
          <t>2:00.67</t>
        </is>
      </c>
      <c r="F149" s="21">
        <f>IFERROR(__xludf.DUMMYFUNCTION("IF(
  REGEXMATCH(E149, "":""),
  60*VALUE(INDEX(SPLIT(E149, "":""),1,1)) + VALUE(INDEX(SPLIT(E149, "":""),1,2)),
  VALUE(E149)
)"),120.67)</f>
        <v/>
      </c>
      <c r="G149" s="211">
        <f>C146</f>
        <v/>
      </c>
      <c r="H149" s="211">
        <f>C155</f>
        <v/>
      </c>
      <c r="I149" s="211">
        <f>C160</f>
        <v/>
      </c>
      <c r="J149" s="211">
        <f>C163</f>
        <v/>
      </c>
      <c r="K149" s="60">
        <f>IFS(H149=21,1,I149=21,2,J149=21,3,and(H149=20,I149=22),1.5, and(I149=20,J149=22),2.5,H149&gt;21,0.5)</f>
        <v/>
      </c>
      <c r="L149" s="60">
        <f t="array" ref="L149">INDEX('Podium Target Times'!$C:$C, MATCH(A149&amp;B149, 'Podium Target Times'!$A:$A&amp;'Podium Target Times'!$B:$B, 0))
</f>
        <v/>
      </c>
      <c r="M149" s="66">
        <f>IFS(K149=0.5,M150+(F149-F152),K149=1,M150+(F149-F152), K149=1.5, M152+(F150-F153), K149=2, M152+(F150-F153), K149=2.5, M152+(F151-F154), K149=3, M152+(F151-F154))</f>
        <v/>
      </c>
      <c r="N149" s="60">
        <f>IF(M149&lt;60, TEXT(M149, "0.00"), TEXT(M149/(24*60*60), "M:SS.00"))</f>
        <v/>
      </c>
      <c r="O149" s="25">
        <f>IFERROR(__xludf.DUMMYFUNCTION("LET(
  gen,$A149, ev,$B149, t,$N149,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
      </c>
      <c r="P149" s="65" t="n"/>
      <c r="Q149" s="65" t="n"/>
      <c r="R149" s="69">
        <f>A152</f>
        <v/>
      </c>
      <c r="S149" s="65">
        <f>B152</f>
        <v/>
      </c>
      <c r="T149" s="69">
        <f>C152</f>
        <v/>
      </c>
      <c r="U149" s="58">
        <f>N152</f>
        <v/>
      </c>
      <c r="V149" s="69">
        <f>O152</f>
        <v/>
      </c>
      <c r="W149" s="65" t="n"/>
      <c r="X149" s="65" t="n"/>
      <c r="Y149" s="65" t="n"/>
    </row>
    <row r="150">
      <c r="A150" s="8" t="inlineStr">
        <is>
          <t>F</t>
        </is>
      </c>
      <c r="B150" s="9" t="inlineStr">
        <is>
          <t>200 Free</t>
        </is>
      </c>
      <c r="C150" s="9" t="n">
        <v>16</v>
      </c>
      <c r="D150" s="9" t="n">
        <v>2</v>
      </c>
      <c r="E150" s="41" t="inlineStr">
        <is>
          <t>2:01.78</t>
        </is>
      </c>
      <c r="F150" s="35">
        <f>IFERROR(__xludf.DUMMYFUNCTION("IF(
  REGEXMATCH(E150, "":""),
  60*VALUE(INDEX(SPLIT(E150, "":""),1,1)) + VALUE(INDEX(SPLIT(E150, "":""),1,2)),
  VALUE(E150)
)"),121.78)</f>
        <v/>
      </c>
      <c r="G150" s="215">
        <f>C146</f>
        <v/>
      </c>
      <c r="H150" s="215">
        <f>C155</f>
        <v/>
      </c>
      <c r="I150" s="215">
        <f>C160</f>
        <v/>
      </c>
      <c r="J150" s="215">
        <f>C163</f>
        <v/>
      </c>
      <c r="K150" s="43">
        <f>IFS(H150=21,1,I150=21,2,J150=21,3,and(H150=20,I150=22),1.5, and(I150=20,J150=22),2.5,H150&gt;21,0.5)</f>
        <v/>
      </c>
      <c r="L150" s="43">
        <f t="array" ref="L150">INDEX('Podium Target Times'!$C:$C, MATCH(A150&amp;B150, 'Podium Target Times'!$A:$A&amp;'Podium Target Times'!$B:$B, 0))
</f>
        <v/>
      </c>
      <c r="M150" s="64">
        <f>IFS(K150=0.5,M151+(F149-F152),K150=1,M151+(F149-F152), K150=1.5, M152+(F150-F153), K150=2, M152+(F150-F153), K150=2.5, M152+(F151-F154), K150=3, M152+(F151-F154))</f>
        <v/>
      </c>
      <c r="N150" s="43">
        <f>IF(M150&lt;60, TEXT(M150, "0.00"), TEXT(M150/(24*60*60), "M:SS.00"))</f>
        <v/>
      </c>
      <c r="O150" s="14">
        <f>IFERROR(__xludf.DUMMYFUNCTION("LET(
  gen,$A150, ev,$B150, t,$N150,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
      </c>
      <c r="P150" s="65" t="n"/>
      <c r="Q150" s="65" t="n"/>
      <c r="R150" s="69">
        <f>A155</f>
        <v/>
      </c>
      <c r="S150" s="65">
        <f>B155</f>
        <v/>
      </c>
      <c r="T150" s="69">
        <f>C155</f>
        <v/>
      </c>
      <c r="U150" s="58">
        <f>N155</f>
        <v/>
      </c>
      <c r="V150" s="69">
        <f>O155</f>
        <v/>
      </c>
      <c r="W150" s="65" t="n"/>
      <c r="X150" s="65" t="n"/>
      <c r="Y150" s="65" t="n"/>
    </row>
    <row r="151">
      <c r="A151" s="17" t="inlineStr">
        <is>
          <t>F</t>
        </is>
      </c>
      <c r="B151" s="18" t="inlineStr">
        <is>
          <t>200 Free</t>
        </is>
      </c>
      <c r="C151" s="18" t="n">
        <v>16</v>
      </c>
      <c r="D151" s="18" t="n">
        <v>3</v>
      </c>
      <c r="E151" s="46" t="inlineStr">
        <is>
          <t>2:02.25</t>
        </is>
      </c>
      <c r="F151" s="21">
        <f>IFERROR(__xludf.DUMMYFUNCTION("IF(
  REGEXMATCH(E151, "":""),
  60*VALUE(INDEX(SPLIT(E151, "":""),1,1)) + VALUE(INDEX(SPLIT(E151, "":""),1,2)),
  VALUE(E151)
)"),122.25)</f>
        <v/>
      </c>
      <c r="G151" s="211">
        <f>C146</f>
        <v/>
      </c>
      <c r="H151" s="211">
        <f>C155</f>
        <v/>
      </c>
      <c r="I151" s="211">
        <f>C160</f>
        <v/>
      </c>
      <c r="J151" s="211">
        <f>C163</f>
        <v/>
      </c>
      <c r="K151" s="60">
        <f>IFS(H151=21,1,I151=21,2,J151=21,3,and(H151=20,I151=22),1.5, and(I151=20,J151=22),2.5,H151&gt;21,0.5)</f>
        <v/>
      </c>
      <c r="L151" s="60">
        <f t="array" ref="L151">INDEX('Podium Target Times'!$C:$C, MATCH(A151&amp;B151, 'Podium Target Times'!$A:$A&amp;'Podium Target Times'!$B:$B, 0))
</f>
        <v/>
      </c>
      <c r="M151" s="66">
        <f>IFS(K151=0.5,M152+(F149-F152),K151=1,M152+(F149-F152), K151=1.5, M152+(F150-F153), K151=2, M152+(F150-F153), K151=2.5, M152+(F151-F154), K151=3, M152+(F151-F154))</f>
        <v/>
      </c>
      <c r="N151" s="60">
        <f>IF(M151&lt;60, TEXT(M151, "0.00"), TEXT(M151/(24*60*60), "M:SS.00"))</f>
        <v/>
      </c>
      <c r="O151" s="25">
        <f>IFERROR(__xludf.DUMMYFUNCTION("LET(
  gen,$A151, ev,$B151, t,$N151,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
      </c>
      <c r="P151" s="65" t="n"/>
      <c r="Q151" s="65" t="n"/>
      <c r="R151" s="69">
        <f>A158</f>
        <v/>
      </c>
      <c r="S151" s="65">
        <f>B158</f>
        <v/>
      </c>
      <c r="T151" s="69">
        <f>C158</f>
        <v/>
      </c>
      <c r="U151" s="58">
        <f>N158</f>
        <v/>
      </c>
      <c r="V151" s="69">
        <f>O158</f>
        <v/>
      </c>
      <c r="W151" s="65" t="n"/>
      <c r="X151" s="65" t="n"/>
      <c r="Y151" s="65" t="n"/>
    </row>
    <row r="152">
      <c r="A152" s="8" t="inlineStr">
        <is>
          <t>F</t>
        </is>
      </c>
      <c r="B152" s="9" t="inlineStr">
        <is>
          <t>200 Free</t>
        </is>
      </c>
      <c r="C152" s="9" t="n">
        <v>17</v>
      </c>
      <c r="D152" s="9" t="n">
        <v>1</v>
      </c>
      <c r="E152" s="483" t="inlineStr">
        <is>
          <t>1:59.20</t>
        </is>
      </c>
      <c r="F152" s="35">
        <f>IFERROR(__xludf.DUMMYFUNCTION("IF(
  REGEXMATCH(E152, "":""),
  60*VALUE(INDEX(SPLIT(E152, "":""),1,1)) + VALUE(INDEX(SPLIT(E152, "":""),1,2)),
  VALUE(E152)
)"),119.2)</f>
        <v/>
      </c>
      <c r="G152" s="215">
        <f>C146</f>
        <v/>
      </c>
      <c r="H152" s="215">
        <f>C155</f>
        <v/>
      </c>
      <c r="I152" s="215">
        <f>C160</f>
        <v/>
      </c>
      <c r="J152" s="215">
        <f>C163</f>
        <v/>
      </c>
      <c r="K152" s="43">
        <f>IFS(H152=21,1,I152=21,2,J152=21,3,and(H152=20,I152=22),1.5, and(I152=20,J152=22),2.5,H152&gt;21,0.5)</f>
        <v/>
      </c>
      <c r="L152" s="43">
        <f t="array" ref="L152">INDEX('Podium Target Times'!$C:$C, MATCH(A152&amp;B152, 'Podium Target Times'!$A:$A&amp;'Podium Target Times'!$B:$B, 0))
</f>
        <v/>
      </c>
      <c r="M152" s="64">
        <f>IFS(K152=0.5,L152,K152=1,U150+(F152-F155), K152=1.5, M155+(F153-F156), K152=2, M155+(F153-F156), K152=2.5, M155+(F154-F157), K152=3, M155+(F154-F157))</f>
        <v/>
      </c>
      <c r="N152" s="43">
        <f>IF(M152&lt;60, TEXT(M152, "0.00"), TEXT(M152/(24*60*60), "M:SS.00"))</f>
        <v/>
      </c>
      <c r="O152" s="14">
        <f>IFERROR(__xludf.DUMMYFUNCTION("LET(
  gen,$A152, ev,$B152, t,$N152,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
      </c>
      <c r="P152" s="65" t="n"/>
      <c r="Q152" s="65" t="n"/>
      <c r="R152" s="69">
        <f>A160</f>
        <v/>
      </c>
      <c r="S152" s="65">
        <f>B160</f>
        <v/>
      </c>
      <c r="T152" s="69">
        <f>C160</f>
        <v/>
      </c>
      <c r="U152" s="58">
        <f>N160</f>
        <v/>
      </c>
      <c r="V152" s="69">
        <f>O160</f>
        <v/>
      </c>
      <c r="W152" s="65" t="n"/>
      <c r="X152" s="65" t="n"/>
      <c r="Y152" s="65" t="n"/>
    </row>
    <row r="153">
      <c r="A153" s="17" t="inlineStr">
        <is>
          <t>F</t>
        </is>
      </c>
      <c r="B153" s="18" t="inlineStr">
        <is>
          <t>200 Free</t>
        </is>
      </c>
      <c r="C153" s="18" t="n">
        <v>17</v>
      </c>
      <c r="D153" s="18" t="n">
        <v>2</v>
      </c>
      <c r="E153" s="46" t="inlineStr">
        <is>
          <t>2:00.30</t>
        </is>
      </c>
      <c r="F153" s="21">
        <f>IFERROR(__xludf.DUMMYFUNCTION("IF(
  REGEXMATCH(E153, "":""),
  60*VALUE(INDEX(SPLIT(E153, "":""),1,1)) + VALUE(INDEX(SPLIT(E153, "":""),1,2)),
  VALUE(E153)
)"),120.3)</f>
        <v/>
      </c>
      <c r="G153" s="211">
        <f>C146</f>
        <v/>
      </c>
      <c r="H153" s="211">
        <f>C155</f>
        <v/>
      </c>
      <c r="I153" s="211">
        <f>C160</f>
        <v/>
      </c>
      <c r="J153" s="211">
        <f>C163</f>
        <v/>
      </c>
      <c r="K153" s="60">
        <f>IFS(H153=21,1,I153=21,2,J153=21,3,and(H153=20,I153=22),1.5, and(I153=20,J153=22),2.5,H153&gt;21,0.5)</f>
        <v/>
      </c>
      <c r="L153" s="60">
        <f t="array" ref="L153">INDEX('Podium Target Times'!$C:$C, MATCH(A153&amp;B153, 'Podium Target Times'!$A:$A&amp;'Podium Target Times'!$B:$B, 0))
</f>
        <v/>
      </c>
      <c r="M153" s="66">
        <f>IFS(K153=0.5,L153,K153=1,U150+(F152-F155), K153=1.5, M155+(F153-F156), K153=2, M155+(F153-F156), K153=2.5, M155+(F154-F157), K153=3, M155+(F154-F157))</f>
        <v/>
      </c>
      <c r="N153" s="60">
        <f>IF(M153&lt;60, TEXT(M153, "0.00"), TEXT(M153/(24*60*60), "M:SS.00"))</f>
        <v/>
      </c>
      <c r="O153" s="25">
        <f>IFERROR(__xludf.DUMMYFUNCTION("LET(
  gen,$A153, ev,$B153, t,$N153,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
      </c>
      <c r="P153" s="65" t="n"/>
      <c r="Q153" s="65" t="n"/>
      <c r="R153" s="69">
        <f>A162</f>
        <v/>
      </c>
      <c r="S153" s="65">
        <f>B162</f>
        <v/>
      </c>
      <c r="T153" s="69">
        <f>C162</f>
        <v/>
      </c>
      <c r="U153" s="58">
        <f>N162</f>
        <v/>
      </c>
      <c r="V153" s="69">
        <f>O162</f>
        <v/>
      </c>
      <c r="W153" s="65" t="n"/>
      <c r="X153" s="65" t="n"/>
      <c r="Y153" s="65" t="n"/>
    </row>
    <row r="154">
      <c r="A154" s="8" t="inlineStr">
        <is>
          <t>F</t>
        </is>
      </c>
      <c r="B154" s="9" t="inlineStr">
        <is>
          <t>200 Free</t>
        </is>
      </c>
      <c r="C154" s="9" t="n">
        <v>17</v>
      </c>
      <c r="D154" s="9" t="n">
        <v>3</v>
      </c>
      <c r="E154" s="41" t="inlineStr">
        <is>
          <t>2:00.76</t>
        </is>
      </c>
      <c r="F154" s="35">
        <f>IFERROR(__xludf.DUMMYFUNCTION("IF(
  REGEXMATCH(E154, "":""),
  60*VALUE(INDEX(SPLIT(E154, "":""),1,1)) + VALUE(INDEX(SPLIT(E154, "":""),1,2)),
  VALUE(E154)
)"),120.76)</f>
        <v/>
      </c>
      <c r="G154" s="215">
        <f>C146</f>
        <v/>
      </c>
      <c r="H154" s="215">
        <f>C155</f>
        <v/>
      </c>
      <c r="I154" s="215">
        <f>C160</f>
        <v/>
      </c>
      <c r="J154" s="215">
        <f>C163</f>
        <v/>
      </c>
      <c r="K154" s="43">
        <f>IFS(H154=21,1,I154=21,2,J154=21,3,and(H154=20,I154=22),1.5, and(I154=20,J154=22),2.5,H154&gt;21,0.5)</f>
        <v/>
      </c>
      <c r="L154" s="43">
        <f t="array" ref="L154">INDEX('Podium Target Times'!$C:$C, MATCH(A154&amp;B154, 'Podium Target Times'!$A:$A&amp;'Podium Target Times'!$B:$B, 0))
</f>
        <v/>
      </c>
      <c r="M154" s="64">
        <f>IFS(K154=0.5,L154,K154=1,U150+(F152-F155), K154=1.5, M155+(F153-F156), K154=2, M155+(F153-F156), K154=2.5, M155+(F154-F157), K154=3, M155+(F154-F157))</f>
        <v/>
      </c>
      <c r="N154" s="43">
        <f>IF(M154&lt;60, TEXT(M154, "0.00"), TEXT(M154/(24*60*60), "M:SS.00"))</f>
        <v/>
      </c>
      <c r="O154" s="14">
        <f>IFERROR(__xludf.DUMMYFUNCTION("LET(
  gen,$A154, ev,$B154, t,$N154,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)"),718.0)</f>
        <v/>
      </c>
      <c r="P154" s="65" t="n"/>
      <c r="Q154" s="65" t="n"/>
      <c r="R154" s="69" t="n"/>
      <c r="S154" s="65" t="n"/>
      <c r="T154" s="69" t="n"/>
      <c r="U154" s="58" t="n"/>
      <c r="V154" s="69" t="n"/>
      <c r="W154" s="65" t="n"/>
      <c r="X154" s="65" t="n"/>
      <c r="Y154" s="65" t="n"/>
    </row>
    <row r="155">
      <c r="A155" s="17" t="inlineStr">
        <is>
          <t>F</t>
        </is>
      </c>
      <c r="B155" s="18" t="inlineStr">
        <is>
          <t>200 Free</t>
        </is>
      </c>
      <c r="C155" s="18" t="n">
        <v>18</v>
      </c>
      <c r="D155" s="18" t="n">
        <v>1</v>
      </c>
      <c r="E155" s="46" t="inlineStr">
        <is>
          <t>1:58.23</t>
        </is>
      </c>
      <c r="F155" s="21">
        <f>IFERROR(__xludf.DUMMYFUNCTION("IF(
  REGEXMATCH(E155, "":""),
  60*VALUE(INDEX(SPLIT(E155, "":""),1,1)) + VALUE(INDEX(SPLIT(E155, "":""),1,2)),
  VALUE(E155)
)"),118.22999999999999)</f>
        <v/>
      </c>
      <c r="G155" s="211">
        <f>C146</f>
        <v/>
      </c>
      <c r="H155" s="211">
        <f>C155</f>
        <v/>
      </c>
      <c r="I155" s="211">
        <f>C160</f>
        <v/>
      </c>
      <c r="J155" s="211">
        <f>C163</f>
        <v/>
      </c>
      <c r="K155" s="60">
        <f>IFS(H155=21,1,I155=21,2,J155=21,3,and(H155=20,I155=22),1.5, and(I155=20,J155=22),2.5,H155&gt;21,0.5)</f>
        <v/>
      </c>
      <c r="L155" s="60">
        <f t="array" ref="L155">INDEX('Podium Target Times'!$C:$C, MATCH(A155&amp;B155, 'Podium Target Times'!$A:$A&amp;'Podium Target Times'!$B:$B, 0))
</f>
        <v/>
      </c>
      <c r="M155" s="66">
        <f>IFS(K155=0.5,L155,K155=1,L155, K155=1.5, M158+(F156-F158), K155=2, M158+(F156-F158), K155=2.5, M158+(F157-F159), K155=3, M158+(F157-F159))</f>
        <v/>
      </c>
      <c r="N155" s="60">
        <f>IF(M155&lt;60, TEXT(M155, "0.00"), TEXT(M155/(24*60*60), "M:SS.00"))</f>
        <v/>
      </c>
      <c r="O155" s="25">
        <f>IFERROR(__xludf.DUMMYFUNCTION("LET(
  gen,$A155, ev,$B155, t,$N155,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P155" s="65" t="n"/>
      <c r="Q155" s="65" t="n"/>
      <c r="R155" s="69" t="n"/>
      <c r="S155" s="65" t="n"/>
      <c r="T155" s="69" t="n"/>
      <c r="U155" s="58" t="n"/>
      <c r="V155" s="69" t="n"/>
      <c r="W155" s="65" t="n"/>
      <c r="X155" s="65" t="n"/>
      <c r="Y155" s="65" t="n"/>
    </row>
    <row r="156">
      <c r="A156" s="8" t="inlineStr">
        <is>
          <t>F</t>
        </is>
      </c>
      <c r="B156" s="9" t="inlineStr">
        <is>
          <t>200 Free</t>
        </is>
      </c>
      <c r="C156" s="9" t="n">
        <v>18</v>
      </c>
      <c r="D156" s="9" t="n">
        <v>2</v>
      </c>
      <c r="E156" s="41" t="inlineStr">
        <is>
          <t>1:59.32</t>
        </is>
      </c>
      <c r="F156" s="35">
        <f>IFERROR(__xludf.DUMMYFUNCTION("IF(
  REGEXMATCH(E156, "":""),
  60*VALUE(INDEX(SPLIT(E156, "":""),1,1)) + VALUE(INDEX(SPLIT(E156, "":""),1,2)),
  VALUE(E156)
)"),119.32)</f>
        <v/>
      </c>
      <c r="G156" s="215">
        <f>C146</f>
        <v/>
      </c>
      <c r="H156" s="215">
        <f>C155</f>
        <v/>
      </c>
      <c r="I156" s="215">
        <f>C160</f>
        <v/>
      </c>
      <c r="J156" s="215">
        <f>C163</f>
        <v/>
      </c>
      <c r="K156" s="43">
        <f>IFS(H156=21,1,I156=21,2,J156=21,3,and(H156=20,I156=22),1.5, and(I156=20,J156=22),2.5,H156&gt;21,0.5)</f>
        <v/>
      </c>
      <c r="L156" s="43">
        <f t="array" ref="L156">INDEX('Podium Target Times'!$C:$C, MATCH(A156&amp;B156, 'Podium Target Times'!$A:$A&amp;'Podium Target Times'!$B:$B, 0))
</f>
        <v/>
      </c>
      <c r="M156" s="64">
        <f>IFS(K156=0.5,L156,K156=1,L156, K156=1.5, M158+(F156-F158), K156=2, M158+(F156-F158), K156=2.5, M158+(F157-F159), K156=3, M158+(F157-F159))</f>
        <v/>
      </c>
      <c r="N156" s="43">
        <f>IF(M156&lt;60, TEXT(M156, "0.00"), TEXT(M156/(24*60*60), "M:SS.00"))</f>
        <v/>
      </c>
      <c r="O156" s="14">
        <f>IFERROR(__xludf.DUMMYFUNCTION("LET(
  gen,$A156, ev,$B156, t,$N156,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P156" s="65" t="n"/>
      <c r="Q156" s="65" t="n"/>
      <c r="R156" s="69" t="n"/>
      <c r="S156" s="65" t="n"/>
      <c r="T156" s="69" t="n"/>
      <c r="U156" s="58" t="n"/>
      <c r="V156" s="69" t="n"/>
      <c r="W156" s="65" t="n"/>
      <c r="X156" s="65" t="n"/>
      <c r="Y156" s="65" t="n"/>
    </row>
    <row r="157">
      <c r="A157" s="17" t="inlineStr">
        <is>
          <t>F</t>
        </is>
      </c>
      <c r="B157" s="18" t="inlineStr">
        <is>
          <t>200 Free</t>
        </is>
      </c>
      <c r="C157" s="18" t="n">
        <v>18</v>
      </c>
      <c r="D157" s="18" t="n">
        <v>3</v>
      </c>
      <c r="E157" s="46" t="inlineStr">
        <is>
          <t>1:59.77</t>
        </is>
      </c>
      <c r="F157" s="21">
        <f>IFERROR(__xludf.DUMMYFUNCTION("IF(
  REGEXMATCH(E157, "":""),
  60*VALUE(INDEX(SPLIT(E157, "":""),1,1)) + VALUE(INDEX(SPLIT(E157, "":""),1,2)),
  VALUE(E157)
)"),119.77000000000001)</f>
        <v/>
      </c>
      <c r="G157" s="211">
        <f>C146</f>
        <v/>
      </c>
      <c r="H157" s="211">
        <f>C155</f>
        <v/>
      </c>
      <c r="I157" s="211">
        <f>C160</f>
        <v/>
      </c>
      <c r="J157" s="211">
        <f>C163</f>
        <v/>
      </c>
      <c r="K157" s="60">
        <f>IFS(H157=21,1,I157=21,2,J157=21,3,and(H157=20,I157=22),1.5, and(I157=20,J157=22),2.5,H157&gt;21,0.5)</f>
        <v/>
      </c>
      <c r="L157" s="60">
        <f t="array" ref="L157">INDEX('Podium Target Times'!$C:$C, MATCH(A157&amp;B157, 'Podium Target Times'!$A:$A&amp;'Podium Target Times'!$B:$B, 0))
</f>
        <v/>
      </c>
      <c r="M157" s="66">
        <f>IFS(K157=0.5,L157,K157=1,L157, K157=1.5, M158+(F156-F158), K157=2, M158+(F156-F158), K157=2.5, M158+(F157-F159), K157=3, M158+(F157-F159))</f>
        <v/>
      </c>
      <c r="N157" s="60">
        <f>IF(M157&lt;60, TEXT(M157, "0.00"), TEXT(M157/(24*60*60), "M:SS.00"))</f>
        <v/>
      </c>
      <c r="O157" s="25">
        <f>IFERROR(__xludf.DUMMYFUNCTION("LET(
  gen,$A157, ev,$B157, t,$N157,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)"),735.0)</f>
        <v/>
      </c>
      <c r="P157" s="65" t="n"/>
      <c r="Q157" s="65" t="n"/>
      <c r="R157" s="69" t="n"/>
      <c r="S157" s="65" t="n"/>
      <c r="T157" s="69" t="n"/>
      <c r="U157" s="58" t="n"/>
      <c r="V157" s="69" t="n"/>
      <c r="W157" s="65" t="n"/>
      <c r="X157" s="65" t="n"/>
      <c r="Y157" s="65" t="n"/>
    </row>
    <row r="158">
      <c r="A158" s="8" t="inlineStr">
        <is>
          <t>F</t>
        </is>
      </c>
      <c r="B158" s="9" t="inlineStr">
        <is>
          <t>200 Free</t>
        </is>
      </c>
      <c r="C158" s="9" t="n">
        <v>19</v>
      </c>
      <c r="D158" s="219" t="n">
        <v>2</v>
      </c>
      <c r="E158" s="41" t="inlineStr">
        <is>
          <t>1:58.69</t>
        </is>
      </c>
      <c r="F158" s="35">
        <f>IFERROR(__xludf.DUMMYFUNCTION("IF(
  REGEXMATCH(E158, "":""),
  60*VALUE(INDEX(SPLIT(E158, "":""),1,1)) + VALUE(INDEX(SPLIT(E158, "":""),1,2)),
  VALUE(E158)
)"),118.69)</f>
        <v/>
      </c>
      <c r="G158" s="215">
        <f>C146</f>
        <v/>
      </c>
      <c r="H158" s="215">
        <f>C155</f>
        <v/>
      </c>
      <c r="I158" s="215">
        <f>C160</f>
        <v/>
      </c>
      <c r="J158" s="215">
        <f>C163</f>
        <v/>
      </c>
      <c r="K158" s="43">
        <f>IFS(H158=21,1,I158=21,2,J158=21,3,and(H158=20,I158=22),1.5, and(I158=20,J158=22),2.5,H158&gt;21,0.5)</f>
        <v/>
      </c>
      <c r="L158" s="43">
        <f t="array" ref="L158">INDEX('Podium Target Times'!$C:$C, MATCH(A158&amp;B158, 'Podium Target Times'!$A:$A&amp;'Podium Target Times'!$B:$B, 0))
</f>
        <v/>
      </c>
      <c r="M158" s="64">
        <f>IFS(K158=0.5,L158,K158=1,L158, K158=1.5, L158, K158=2, M160+(F158-F160), K158=2.5, M160+(F159-F161), K158=3, M160+(F159-F161))</f>
        <v/>
      </c>
      <c r="N158" s="43">
        <f>IF(M158&lt;60, TEXT(M158, "0.00"), TEXT(M158/(24*60*60), "M:SS.00"))</f>
        <v/>
      </c>
      <c r="O158" s="14">
        <f>IFERROR(__xludf.DUMMYFUNCTION("LET(
  gen,$A158, ev,$B158, t,$N158,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)"),746.0)</f>
        <v/>
      </c>
      <c r="P158" s="65" t="n"/>
      <c r="Q158" s="65" t="n"/>
      <c r="R158" s="69" t="n"/>
      <c r="S158" s="65" t="n"/>
      <c r="T158" s="69" t="n"/>
      <c r="U158" s="58" t="n"/>
      <c r="V158" s="69" t="n"/>
      <c r="W158" s="65" t="n"/>
      <c r="X158" s="65" t="n"/>
      <c r="Y158" s="65" t="n"/>
    </row>
    <row r="159">
      <c r="A159" s="17" t="inlineStr">
        <is>
          <t>F</t>
        </is>
      </c>
      <c r="B159" s="18" t="inlineStr">
        <is>
          <t>200 Free</t>
        </is>
      </c>
      <c r="C159" s="18" t="n">
        <v>19</v>
      </c>
      <c r="D159" s="18" t="n">
        <v>3</v>
      </c>
      <c r="E159" s="46" t="inlineStr">
        <is>
          <t>1:59.15</t>
        </is>
      </c>
      <c r="F159" s="21">
        <f>IFERROR(__xludf.DUMMYFUNCTION("IF(
  REGEXMATCH(E159, "":""),
  60*VALUE(INDEX(SPLIT(E159, "":""),1,1)) + VALUE(INDEX(SPLIT(E159, "":""),1,2)),
  VALUE(E159)
)"),119.15)</f>
        <v/>
      </c>
      <c r="G159" s="211">
        <f>C146</f>
        <v/>
      </c>
      <c r="H159" s="211">
        <f>C155</f>
        <v/>
      </c>
      <c r="I159" s="211">
        <f>C160</f>
        <v/>
      </c>
      <c r="J159" s="211">
        <f>C163</f>
        <v/>
      </c>
      <c r="K159" s="60">
        <f>IFS(H159=21,1,I159=21,2,J159=21,3,and(H159=20,I159=22),1.5, and(I159=20,J159=22),2.5,H159&gt;21,0.5)</f>
        <v/>
      </c>
      <c r="L159" s="60">
        <f t="array" ref="L159">INDEX('Podium Target Times'!$C:$C, MATCH(A159&amp;B159, 'Podium Target Times'!$A:$A&amp;'Podium Target Times'!$B:$B, 0))
</f>
        <v/>
      </c>
      <c r="M159" s="66">
        <f>IFS(K159=0.5,L159,K159=1,L159, K159=1.5, L159, K159=2, M160+(F158-F160), K159=2.5, M160+(F159-F161), K159=3, M160+(F159-F161))</f>
        <v/>
      </c>
      <c r="N159" s="60">
        <f>IF(M159&lt;60, TEXT(M159, "0.00"), TEXT(M159/(24*60*60), "M:SS.00"))</f>
        <v/>
      </c>
      <c r="O159" s="25">
        <f>IFERROR(__xludf.DUMMYFUNCTION("LET(
  gen,$A159, ev,$B159, t,$N159,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)"),746.0)</f>
        <v/>
      </c>
      <c r="P159" s="65" t="n"/>
      <c r="Q159" s="65" t="n"/>
      <c r="R159" s="69" t="n"/>
      <c r="S159" s="65" t="n"/>
      <c r="T159" s="69" t="n"/>
      <c r="U159" s="58" t="n"/>
      <c r="V159" s="69" t="n"/>
      <c r="W159" s="65" t="n"/>
      <c r="X159" s="65" t="n"/>
      <c r="Y159" s="65" t="n"/>
    </row>
    <row r="160">
      <c r="A160" s="8" t="inlineStr">
        <is>
          <t>F</t>
        </is>
      </c>
      <c r="B160" s="9" t="inlineStr">
        <is>
          <t>200 Free</t>
        </is>
      </c>
      <c r="C160" s="9" t="n">
        <v>20</v>
      </c>
      <c r="D160" s="9" t="n">
        <v>2</v>
      </c>
      <c r="E160" s="41" t="inlineStr">
        <is>
          <t>1:58.23</t>
        </is>
      </c>
      <c r="F160" s="35">
        <f>IFERROR(__xludf.DUMMYFUNCTION("IF(
  REGEXMATCH(E160, "":""),
  60*VALUE(INDEX(SPLIT(E160, "":""),1,1)) + VALUE(INDEX(SPLIT(E160, "":""),1,2)),
  VALUE(E160)
)"),118.22999999999999)</f>
        <v/>
      </c>
      <c r="G160" s="215">
        <f>C146</f>
        <v/>
      </c>
      <c r="H160" s="215">
        <f>C155</f>
        <v/>
      </c>
      <c r="I160" s="215">
        <f>C160</f>
        <v/>
      </c>
      <c r="J160" s="215">
        <f>C163</f>
        <v/>
      </c>
      <c r="K160" s="43">
        <f>IFS(H160=21,1,I160=21,2,J160=21,3,and(H160=20,I160=22),1.5, and(I160=20,J160=22),2.5,H160&gt;21,0.5)</f>
        <v/>
      </c>
      <c r="L160" s="43">
        <f t="array" ref="L160">INDEX('Podium Target Times'!$C:$C, MATCH(A160&amp;B160, 'Podium Target Times'!$A:$A&amp;'Podium Target Times'!$B:$B, 0))
</f>
        <v/>
      </c>
      <c r="M160" s="64">
        <f>IFS(K160=0.5,L160,K160=1,L160, K160=1.5, L160, K160=2,L163, K160=2.5, M162+(F161-F162), K160=3,  M162+(F161-F162))</f>
        <v/>
      </c>
      <c r="N160" s="43">
        <f>IF(M160&lt;60, TEXT(M160, "0.00"), TEXT(M160/(24*60*60), "M:SS.00"))</f>
        <v/>
      </c>
      <c r="O160" s="14">
        <f>IFERROR(__xludf.DUMMYFUNCTION("LET(
  gen,$A160, ev,$B160, t,$N160,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160" s="65" t="n"/>
      <c r="Q160" s="65" t="n"/>
      <c r="R160" s="69" t="n"/>
      <c r="S160" s="65" t="n"/>
      <c r="T160" s="69" t="n"/>
      <c r="U160" s="58" t="n"/>
      <c r="V160" s="69" t="n"/>
      <c r="W160" s="65" t="n"/>
      <c r="X160" s="65" t="n"/>
      <c r="Y160" s="65" t="n"/>
    </row>
    <row r="161">
      <c r="A161" s="17" t="inlineStr">
        <is>
          <t>F</t>
        </is>
      </c>
      <c r="B161" s="18" t="inlineStr">
        <is>
          <t>200 Free</t>
        </is>
      </c>
      <c r="C161" s="18" t="n">
        <v>20</v>
      </c>
      <c r="D161" s="18" t="n">
        <v>3</v>
      </c>
      <c r="E161" s="46" t="inlineStr">
        <is>
          <t>1:58.68</t>
        </is>
      </c>
      <c r="F161" s="21">
        <f>IFERROR(__xludf.DUMMYFUNCTION("IF(
  REGEXMATCH(E161, "":""),
  60*VALUE(INDEX(SPLIT(E161, "":""),1,1)) + VALUE(INDEX(SPLIT(E161, "":""),1,2)),
  VALUE(E161)
)"),118.68)</f>
        <v/>
      </c>
      <c r="G161" s="211">
        <f>C146</f>
        <v/>
      </c>
      <c r="H161" s="211">
        <f>C155</f>
        <v/>
      </c>
      <c r="I161" s="211">
        <f>C160</f>
        <v/>
      </c>
      <c r="J161" s="211">
        <f>C163</f>
        <v/>
      </c>
      <c r="K161" s="60">
        <f>IFS(H161=21,1,I161=21,2,J161=21,3,and(H161=20,I161=22),1.5, and(I161=20,J161=22),2.5,H161&gt;21,0.5)</f>
        <v/>
      </c>
      <c r="L161" s="60">
        <f t="array" ref="L161">INDEX('Podium Target Times'!$C:$C, MATCH(A161&amp;B161, 'Podium Target Times'!$A:$A&amp;'Podium Target Times'!$B:$B, 0))
</f>
        <v/>
      </c>
      <c r="M161" s="66">
        <f>IFS(K161=0.5,L161,K161=1,L161, K161=1.5, L161, K161=2, L163, K161=2.5, M162+(F161-F162), K161=3, M162+(F161-F162))</f>
        <v/>
      </c>
      <c r="N161" s="60">
        <f>IF(M161&lt;60, TEXT(M161, "0.00"), TEXT(M161/(24*60*60), "M:SS.00"))</f>
        <v/>
      </c>
      <c r="O161" s="25">
        <f>IFERROR(__xludf.DUMMYFUNCTION("LET(
  gen,$A161, ev,$B161, t,$N161,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161" s="65" t="n"/>
      <c r="Q161" s="65" t="n"/>
      <c r="R161" s="69" t="n"/>
      <c r="S161" s="65" t="n"/>
      <c r="T161" s="69" t="n"/>
      <c r="U161" s="58" t="n"/>
      <c r="V161" s="69" t="n"/>
      <c r="W161" s="65" t="n"/>
      <c r="X161" s="65" t="n"/>
      <c r="Y161" s="65" t="n"/>
    </row>
    <row r="162">
      <c r="A162" s="8" t="inlineStr">
        <is>
          <t>F</t>
        </is>
      </c>
      <c r="B162" s="9" t="inlineStr">
        <is>
          <t>200 Free</t>
        </is>
      </c>
      <c r="C162" s="9" t="n">
        <v>21</v>
      </c>
      <c r="D162" s="9" t="n">
        <v>3</v>
      </c>
      <c r="E162" s="41" t="inlineStr">
        <is>
          <t>1:58.39</t>
        </is>
      </c>
      <c r="F162" s="35">
        <f>IFERROR(__xludf.DUMMYFUNCTION("IF(
  REGEXMATCH(E162, "":""),
  60*VALUE(INDEX(SPLIT(E162, "":""),1,1)) + VALUE(INDEX(SPLIT(E162, "":""),1,2)),
  VALUE(E162)
)"),118.39)</f>
        <v/>
      </c>
      <c r="G162" s="215">
        <f>C146</f>
        <v/>
      </c>
      <c r="H162" s="215">
        <f>C155</f>
        <v/>
      </c>
      <c r="I162" s="215">
        <f>C160</f>
        <v/>
      </c>
      <c r="J162" s="215">
        <f>C163</f>
        <v/>
      </c>
      <c r="K162" s="43">
        <f>IFS(H162=21,1,I162=21,2,J162=21,3,and(H162=20,I162=22),1.5, and(I162=20,J162=22),2.5,H162&gt;21,0.5)</f>
        <v/>
      </c>
      <c r="L162" s="43">
        <f t="array" ref="L162">INDEX('Podium Target Times'!$C:$C, MATCH(A162&amp;B162, 'Podium Target Times'!$A:$A&amp;'Podium Target Times'!$B:$B, 0))
</f>
        <v/>
      </c>
      <c r="M162" s="64">
        <f>IFS(K162=0.5,L162,K162=1,L162, K162=1.5, L162, K162=2, L163, K162=2.5, L163, K162=3, M163+(F162-F163))</f>
        <v/>
      </c>
      <c r="N162" s="43">
        <f>IF(M162&lt;60, TEXT(M162, "0.00"), TEXT(M162/(24*60*60), "M:SS.00"))</f>
        <v/>
      </c>
      <c r="O162" s="14">
        <f>IFERROR(__xludf.DUMMYFUNCTION("LET(
  gen,$A162, ev,$B162, t,$N162,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P162" s="65" t="n"/>
      <c r="Q162" s="65" t="n"/>
      <c r="R162" s="69" t="n"/>
      <c r="S162" s="65" t="n"/>
      <c r="T162" s="69" t="n"/>
      <c r="U162" s="58" t="n"/>
      <c r="V162" s="69" t="n"/>
      <c r="W162" s="65" t="n"/>
      <c r="X162" s="65" t="n"/>
      <c r="Y162" s="65" t="n"/>
    </row>
    <row r="163">
      <c r="A163" s="17" t="inlineStr">
        <is>
          <t>F</t>
        </is>
      </c>
      <c r="B163" s="18" t="inlineStr">
        <is>
          <t>200 Free</t>
        </is>
      </c>
      <c r="C163" s="18" t="n">
        <v>22</v>
      </c>
      <c r="D163" s="18" t="n">
        <v>3</v>
      </c>
      <c r="E163" s="46" t="inlineStr">
        <is>
          <t>1:58.23</t>
        </is>
      </c>
      <c r="F163" s="21">
        <f>IFERROR(__xludf.DUMMYFUNCTION("IF(
  REGEXMATCH(E163, "":""),
  60*VALUE(INDEX(SPLIT(E163, "":""),1,1)) + VALUE(INDEX(SPLIT(E163, "":""),1,2)),
  VALUE(E163)
)"),118.22999999999999)</f>
        <v/>
      </c>
      <c r="G163" s="211">
        <f>C146</f>
        <v/>
      </c>
      <c r="H163" s="211">
        <f>C155</f>
        <v/>
      </c>
      <c r="I163" s="211">
        <f>C160</f>
        <v/>
      </c>
      <c r="J163" s="211">
        <f>C163</f>
        <v/>
      </c>
      <c r="K163" s="60">
        <f>IFS(H163=21,1,I163=21,2,J163=21,3,and(H163=20,I163=22),1.5, and(I163=20,J163=22),2.5,H163&gt;21,0.5)</f>
        <v/>
      </c>
      <c r="L163" s="60">
        <f t="array" ref="L163">INDEX('Podium Target Times'!$C:$C, MATCH(A163&amp;B163, 'Podium Target Times'!$A:$A&amp;'Podium Target Times'!$B:$B, 0))
</f>
        <v/>
      </c>
      <c r="M163" s="66">
        <f>IFS(K163=0.5,L163,K163=1,L163, K163=1.5, L163, K163=2, L163, K163=2.5, L163, K163=3, L163)</f>
        <v/>
      </c>
      <c r="N163" s="60">
        <f>IF(M163&lt;60, TEXT(M163, "0.00"), TEXT(M163/(24*60*60), "M:SS.00"))</f>
        <v/>
      </c>
      <c r="O163" s="25">
        <f>IFERROR(__xludf.DUMMYFUNCTION("LET(
  gen,$A163, ev,$B163, t,$N163,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P163" s="65" t="n"/>
      <c r="Q163" s="65" t="n"/>
      <c r="R163" s="69" t="n"/>
      <c r="S163" s="65" t="n"/>
      <c r="T163" s="69" t="n"/>
      <c r="U163" s="58" t="n"/>
      <c r="V163" s="69" t="n"/>
      <c r="W163" s="65" t="n"/>
      <c r="X163" s="65" t="n"/>
      <c r="Y163" s="65" t="n"/>
    </row>
    <row r="164">
      <c r="A164" s="8" t="inlineStr">
        <is>
          <t>F</t>
        </is>
      </c>
      <c r="B164" s="9" t="inlineStr">
        <is>
          <t>200 IM</t>
        </is>
      </c>
      <c r="C164" s="9" t="n">
        <v>15</v>
      </c>
      <c r="D164" s="9" t="n">
        <v>1</v>
      </c>
      <c r="E164" s="41" t="inlineStr">
        <is>
          <t>2:18.51</t>
        </is>
      </c>
      <c r="F164" s="35">
        <f>IFERROR(__xludf.DUMMYFUNCTION("IF(
  REGEXMATCH(E164, "":""),
  60*VALUE(INDEX(SPLIT(E164, "":""),1,1)) + VALUE(INDEX(SPLIT(E164, "":""),1,2)),
  VALUE(E164)
)"),138.51)</f>
        <v/>
      </c>
      <c r="G164" s="43">
        <f>C164</f>
        <v/>
      </c>
      <c r="H164" s="43">
        <f>C173</f>
        <v/>
      </c>
      <c r="I164" s="43">
        <f>C178</f>
        <v/>
      </c>
      <c r="J164" s="43">
        <f>C181</f>
        <v/>
      </c>
      <c r="K164" s="43">
        <f>IFS(H164=21,1,I164=21,2,J164=21,3,and(H164=20,I164=22),1.5, and(I164=20,J164=22),2.5,H164&gt;21,0.5)</f>
        <v/>
      </c>
      <c r="L164" s="43">
        <f t="array" ref="L164">INDEX('Podium Target Times'!$C:$C, MATCH(A164&amp;B164, 'Podium Target Times'!$A:$A&amp;'Podium Target Times'!$B:$B, 0))
</f>
        <v/>
      </c>
      <c r="M164" s="64">
        <f>IFS(K164=0.5,M165+(F164-F165),K164=1,M165+(F164-F165), K164=1.5, M165+(F164-F165), K164=2, M165+(F164-F165), K164=2.5, M165+(F164-F165), K164=3, M165+(F164-F165))</f>
        <v/>
      </c>
      <c r="N164" s="43">
        <f>IF(M164&lt;60, TEXT(M164, "0.00"), TEXT(M164/(24*60*60), "M:SS.00"))</f>
        <v/>
      </c>
      <c r="O164" s="14">
        <f>IFERROR(__xludf.DUMMYFUNCTION("LET(
  gen,$A164, ev,$B164, t,$N164,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)"),685.0)</f>
        <v/>
      </c>
      <c r="P164" s="65" t="n"/>
      <c r="Q164" s="65" t="n"/>
      <c r="R164" s="69">
        <f>A164</f>
        <v/>
      </c>
      <c r="S164" s="65">
        <f>B164</f>
        <v/>
      </c>
      <c r="T164" s="69">
        <f>C164</f>
        <v/>
      </c>
      <c r="U164" s="58">
        <f>N164</f>
        <v/>
      </c>
      <c r="V164" s="69">
        <f>O164</f>
        <v/>
      </c>
      <c r="W164" s="65" t="n"/>
      <c r="X164" s="65" t="n"/>
      <c r="Y164" s="65" t="n"/>
    </row>
    <row r="165">
      <c r="A165" s="17" t="inlineStr">
        <is>
          <t>F</t>
        </is>
      </c>
      <c r="B165" s="18" t="inlineStr">
        <is>
          <t>200 IM</t>
        </is>
      </c>
      <c r="C165" s="18" t="n">
        <v>16</v>
      </c>
      <c r="D165" s="18" t="n">
        <v>1</v>
      </c>
      <c r="E165" s="46" t="inlineStr">
        <is>
          <t>2:15.93</t>
        </is>
      </c>
      <c r="F165" s="21">
        <f>IFERROR(__xludf.DUMMYFUNCTION("IF(
  REGEXMATCH(E165, "":""),
  60*VALUE(INDEX(SPLIT(E165, "":""),1,1)) + VALUE(INDEX(SPLIT(E165, "":""),1,2)),
  VALUE(E165)
)"),135.93)</f>
        <v/>
      </c>
      <c r="G165" s="211">
        <f>C164</f>
        <v/>
      </c>
      <c r="H165" s="211">
        <f>C173</f>
        <v/>
      </c>
      <c r="I165" s="211">
        <f>C178</f>
        <v/>
      </c>
      <c r="J165" s="211">
        <f>C181</f>
        <v/>
      </c>
      <c r="K165" s="60">
        <f>IFS(H165=21,1,I165=21,2,J165=21,3,and(H165=20,I165=22),1.5, and(I165=20,J165=22),2.5,H165&gt;21,0.5)</f>
        <v/>
      </c>
      <c r="L165" s="60">
        <f t="array" ref="L165">INDEX('Podium Target Times'!$C:$C, MATCH(A165&amp;B165, 'Podium Target Times'!$A:$A&amp;'Podium Target Times'!$B:$B, 0))
</f>
        <v/>
      </c>
      <c r="M165" s="66">
        <f>IFS(K165=0.5,M166+(F165-F167),K165=1,M166+(F165-F167), K165=1.5, M167+(F166-F168), K165=2, M167+(F166-F168), K165=2.5, M167+(F166-F168), K165=3, M167+(F166-F168))</f>
        <v/>
      </c>
      <c r="N165" s="60">
        <f>IF(M165&lt;60, TEXT(M165, "0.00"), TEXT(M165/(24*60*60), "M:SS.00"))</f>
        <v/>
      </c>
      <c r="O165" s="25">
        <f>IFERROR(__xludf.DUMMYFUNCTION("LET(
  gen,$A165, ev,$B165, t,$N165,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
      </c>
      <c r="P165" s="65" t="n"/>
      <c r="Q165" s="65" t="n"/>
      <c r="R165" s="69">
        <f>A165</f>
        <v/>
      </c>
      <c r="S165" s="65">
        <f>B165</f>
        <v/>
      </c>
      <c r="T165" s="69">
        <f>C165</f>
        <v/>
      </c>
      <c r="U165" s="58">
        <f>N165</f>
        <v/>
      </c>
      <c r="V165" s="69">
        <f>O165</f>
        <v/>
      </c>
      <c r="W165" s="65" t="n"/>
      <c r="X165" s="65" t="n"/>
      <c r="Y165" s="65" t="n"/>
    </row>
    <row r="166">
      <c r="A166" s="8" t="inlineStr">
        <is>
          <t>F</t>
        </is>
      </c>
      <c r="B166" s="9" t="inlineStr">
        <is>
          <t>200 IM</t>
        </is>
      </c>
      <c r="C166" s="9" t="n">
        <v>16</v>
      </c>
      <c r="D166" s="9" t="n">
        <v>2</v>
      </c>
      <c r="E166" s="41" t="inlineStr">
        <is>
          <t>2:16.89</t>
        </is>
      </c>
      <c r="F166" s="35">
        <f>IFERROR(__xludf.DUMMYFUNCTION("IF(
  REGEXMATCH(E166, "":""),
  60*VALUE(INDEX(SPLIT(E166, "":""),1,1)) + VALUE(INDEX(SPLIT(E166, "":""),1,2)),
  VALUE(E166)
)"),136.89)</f>
        <v/>
      </c>
      <c r="G166" s="215">
        <f>C164</f>
        <v/>
      </c>
      <c r="H166" s="215">
        <f>C173</f>
        <v/>
      </c>
      <c r="I166" s="215">
        <f>C178</f>
        <v/>
      </c>
      <c r="J166" s="215">
        <f>C181</f>
        <v/>
      </c>
      <c r="K166" s="43">
        <f>IFS(H166=21,1,I166=21,2,J166=21,3,and(H166=20,I166=22),1.5, and(I166=20,J166=22),2.5,H166&gt;21,0.5)</f>
        <v/>
      </c>
      <c r="L166" s="43">
        <f t="array" ref="L166">INDEX('Podium Target Times'!$C:$C, MATCH(A166&amp;B166, 'Podium Target Times'!$A:$A&amp;'Podium Target Times'!$B:$B, 0))
</f>
        <v/>
      </c>
      <c r="M166" s="64">
        <f>IFS(K166=0.5,M167+(F166-F169),K166=1,M167+(F166-F169), K166=1.5, M167+(F166-F168), K166=2, M167+(F166-F168), K166=2.5, M167+(F166-F168), K166=3, M167+(F166-F168))</f>
        <v/>
      </c>
      <c r="N166" s="43">
        <f>IF(M166&lt;60, TEXT(M166, "0.00"), TEXT(M166/(24*60*60), "M:SS.00"))</f>
        <v/>
      </c>
      <c r="O166" s="14">
        <f>IFERROR(__xludf.DUMMYFUNCTION("LET(
  gen,$A166, ev,$B166, t,$N166,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)"),724.0)</f>
        <v/>
      </c>
      <c r="P166" s="65" t="n"/>
      <c r="Q166" s="65" t="n"/>
      <c r="R166" s="69">
        <f>A167</f>
        <v/>
      </c>
      <c r="S166" s="65">
        <f>B167</f>
        <v/>
      </c>
      <c r="T166" s="69">
        <f>C167</f>
        <v/>
      </c>
      <c r="U166" s="58">
        <f>N167</f>
        <v/>
      </c>
      <c r="V166" s="69">
        <f>O167</f>
        <v/>
      </c>
      <c r="W166" s="65" t="n"/>
      <c r="X166" s="65" t="n"/>
      <c r="Y166" s="65" t="n"/>
    </row>
    <row r="167">
      <c r="A167" s="17" t="inlineStr">
        <is>
          <t>F</t>
        </is>
      </c>
      <c r="B167" s="18" t="inlineStr">
        <is>
          <t>200 IM</t>
        </is>
      </c>
      <c r="C167" s="18" t="n">
        <v>17</v>
      </c>
      <c r="D167" s="18" t="n">
        <v>1</v>
      </c>
      <c r="E167" s="46" t="inlineStr">
        <is>
          <t>2:14.41</t>
        </is>
      </c>
      <c r="F167" s="21">
        <f>IFERROR(__xludf.DUMMYFUNCTION("IF(
  REGEXMATCH(E167, "":""),
  60*VALUE(INDEX(SPLIT(E167, "":""),1,1)) + VALUE(INDEX(SPLIT(E167, "":""),1,2)),
  VALUE(E167)
)"),134.41)</f>
        <v/>
      </c>
      <c r="G167" s="211">
        <f>C164</f>
        <v/>
      </c>
      <c r="H167" s="211">
        <f>C173</f>
        <v/>
      </c>
      <c r="I167" s="211">
        <f>C178</f>
        <v/>
      </c>
      <c r="J167" s="211">
        <f>C181</f>
        <v/>
      </c>
      <c r="K167" s="60">
        <f>IFS(H167=21,1,I167=21,2,J167=21,3,and(H167=20,I167=22),1.5, and(I167=20,J167=22),2.5,H167&gt;21,0.5)</f>
        <v/>
      </c>
      <c r="L167" s="60">
        <f t="array" ref="L167">INDEX('Podium Target Times'!$C:$C, MATCH(A167&amp;B167, 'Podium Target Times'!$A:$A&amp;'Podium Target Times'!$B:$B, 0))
</f>
        <v/>
      </c>
      <c r="M167" s="66">
        <f>IFS(K167=0.5,M168+(F167-F170),K167=1,M168+(F167-F170), K167=1.5, M170+(F168-F171), K167=2, M170+(F168-F171), K167=2.5, M170+(F169-F172), K167=3, M170+(F169-F172))</f>
        <v/>
      </c>
      <c r="N167" s="60">
        <f>IF(M167&lt;60, TEXT(M167, "0.00"), TEXT(M167/(24*60*60), "M:SS.00"))</f>
        <v/>
      </c>
      <c r="O167" s="25">
        <f>IFERROR(__xludf.DUMMYFUNCTION("LET(
  gen,$A167, ev,$B167, t,$N167,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167" s="65" t="n"/>
      <c r="Q167" s="65" t="n"/>
      <c r="R167" s="69">
        <f>A170</f>
        <v/>
      </c>
      <c r="S167" s="65">
        <f>B170</f>
        <v/>
      </c>
      <c r="T167" s="69">
        <f>C170</f>
        <v/>
      </c>
      <c r="U167" s="58">
        <f>N170</f>
        <v/>
      </c>
      <c r="V167" s="69">
        <f>O170</f>
        <v/>
      </c>
      <c r="W167" s="65" t="n"/>
      <c r="X167" s="65" t="n"/>
      <c r="Y167" s="65" t="n"/>
    </row>
    <row r="168">
      <c r="A168" s="8" t="inlineStr">
        <is>
          <t>F</t>
        </is>
      </c>
      <c r="B168" s="9" t="inlineStr">
        <is>
          <t>200 IM</t>
        </is>
      </c>
      <c r="C168" s="9" t="n">
        <v>17</v>
      </c>
      <c r="D168" s="9" t="n">
        <v>2</v>
      </c>
      <c r="E168" s="41" t="inlineStr">
        <is>
          <t>2:15.36</t>
        </is>
      </c>
      <c r="F168" s="35">
        <f>IFERROR(__xludf.DUMMYFUNCTION("IF(
  REGEXMATCH(E168, "":""),
  60*VALUE(INDEX(SPLIT(E168, "":""),1,1)) + VALUE(INDEX(SPLIT(E168, "":""),1,2)),
  VALUE(E168)
)"),135.36)</f>
        <v/>
      </c>
      <c r="G168" s="215">
        <f>C164</f>
        <v/>
      </c>
      <c r="H168" s="215">
        <f>C173</f>
        <v/>
      </c>
      <c r="I168" s="215">
        <f>C178</f>
        <v/>
      </c>
      <c r="J168" s="215">
        <f>C181</f>
        <v/>
      </c>
      <c r="K168" s="43">
        <f>IFS(H168=21,1,I168=21,2,J168=21,3,and(H168=20,I168=22),1.5, and(I168=20,J168=22),2.5,H168&gt;21,0.5)</f>
        <v/>
      </c>
      <c r="L168" s="43">
        <f t="array" ref="L168">INDEX('Podium Target Times'!$C:$C, MATCH(A168&amp;B168, 'Podium Target Times'!$A:$A&amp;'Podium Target Times'!$B:$B, 0))
</f>
        <v/>
      </c>
      <c r="M168" s="64">
        <f>IFS(K168=0.5,M169+(F167-F170),K168=1,M169+(F167-F170), K168=1.5, M170+(F168-F171), K168=2, M170+(F168-F171), K168=2.5, M170+(F169-F172), K168=3, M170+(F169-F172))</f>
        <v/>
      </c>
      <c r="N168" s="43">
        <f>IF(M168&lt;60, TEXT(M168, "0.00"), TEXT(M168/(24*60*60), "M:SS.00"))</f>
        <v/>
      </c>
      <c r="O168" s="14">
        <f>IFERROR(__xludf.DUMMYFUNCTION("LET(
  gen,$A168, ev,$B168, t,$N168,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168" s="65" t="n"/>
      <c r="Q168" s="65" t="n"/>
      <c r="R168" s="69">
        <f>A173</f>
        <v/>
      </c>
      <c r="S168" s="65">
        <f>B173</f>
        <v/>
      </c>
      <c r="T168" s="69">
        <f>C173</f>
        <v/>
      </c>
      <c r="U168" s="58">
        <f>N173</f>
        <v/>
      </c>
      <c r="V168" s="69">
        <f>O173</f>
        <v/>
      </c>
      <c r="W168" s="65" t="n"/>
      <c r="X168" s="65" t="n"/>
      <c r="Y168" s="65" t="n"/>
    </row>
    <row r="169">
      <c r="A169" s="17" t="inlineStr">
        <is>
          <t>F</t>
        </is>
      </c>
      <c r="B169" s="18" t="inlineStr">
        <is>
          <t>200 IM</t>
        </is>
      </c>
      <c r="C169" s="18" t="n">
        <v>17</v>
      </c>
      <c r="D169" s="221" t="n">
        <v>3</v>
      </c>
      <c r="E169" s="46" t="inlineStr">
        <is>
          <t>2:15.76</t>
        </is>
      </c>
      <c r="F169" s="21">
        <f>IFERROR(__xludf.DUMMYFUNCTION("IF(
  REGEXMATCH(E169, "":""),
  60*VALUE(INDEX(SPLIT(E169, "":""),1,1)) + VALUE(INDEX(SPLIT(E169, "":""),1,2)),
  VALUE(E169)
)"),135.76)</f>
        <v/>
      </c>
      <c r="G169" s="211">
        <f>C164</f>
        <v/>
      </c>
      <c r="H169" s="211">
        <f>C173</f>
        <v/>
      </c>
      <c r="I169" s="211">
        <f>C178</f>
        <v/>
      </c>
      <c r="J169" s="211">
        <f>C181</f>
        <v/>
      </c>
      <c r="K169" s="60">
        <f>IFS(H169=21,1,I169=21,2,J169=21,3,and(H169=20,I169=22),1.5, and(I169=20,J169=22),2.5,H169&gt;21,0.5)</f>
        <v/>
      </c>
      <c r="L169" s="60">
        <f t="array" ref="L169">INDEX('Podium Target Times'!$C:$C, MATCH(A169&amp;B169, 'Podium Target Times'!$A:$A&amp;'Podium Target Times'!$B:$B, 0))
</f>
        <v/>
      </c>
      <c r="M169" s="66">
        <f>IFS(K169=0.5,M170+(F167-F170),K169=1,M170+(F167-F170), K169=1.5, M170+(F168-F171), K169=2, M170+(F168-F171), K169=2.5, M170+(F169-F172), K169=3, M170+(F169-F172))</f>
        <v/>
      </c>
      <c r="N169" s="60">
        <f>IF(M169&lt;60, TEXT(M169, "0.00"), TEXT(M169/(24*60*60), "M:SS.00"))</f>
        <v/>
      </c>
      <c r="O169" s="25">
        <f>IFERROR(__xludf.DUMMYFUNCTION("LET(
  gen,$A169, ev,$B169, t,$N169,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169" s="65" t="n"/>
      <c r="Q169" s="65" t="n"/>
      <c r="R169" s="69">
        <f>A176</f>
        <v/>
      </c>
      <c r="S169" s="65">
        <f>B176</f>
        <v/>
      </c>
      <c r="T169" s="69">
        <f>C176</f>
        <v/>
      </c>
      <c r="U169" s="58">
        <f>N176</f>
        <v/>
      </c>
      <c r="V169" s="69">
        <f>O176</f>
        <v/>
      </c>
      <c r="W169" s="65" t="n"/>
      <c r="X169" s="65" t="n"/>
      <c r="Y169" s="65" t="n"/>
    </row>
    <row r="170">
      <c r="A170" s="8" t="inlineStr">
        <is>
          <t>F</t>
        </is>
      </c>
      <c r="B170" s="9" t="inlineStr">
        <is>
          <t>200 IM</t>
        </is>
      </c>
      <c r="C170" s="9" t="n">
        <v>18</v>
      </c>
      <c r="D170" s="9" t="n">
        <v>1</v>
      </c>
      <c r="E170" s="41" t="inlineStr">
        <is>
          <t>2:13.47</t>
        </is>
      </c>
      <c r="F170" s="35">
        <f>IFERROR(__xludf.DUMMYFUNCTION("IF(
  REGEXMATCH(E170, "":""),
  60*VALUE(INDEX(SPLIT(E170, "":""),1,1)) + VALUE(INDEX(SPLIT(E170, "":""),1,2)),
  VALUE(E170)
)"),133.47)</f>
        <v/>
      </c>
      <c r="G170" s="215">
        <f>C164</f>
        <v/>
      </c>
      <c r="H170" s="215">
        <f>C173</f>
        <v/>
      </c>
      <c r="I170" s="215">
        <f>C178</f>
        <v/>
      </c>
      <c r="J170" s="215">
        <f>C181</f>
        <v/>
      </c>
      <c r="K170" s="43">
        <f>IFS(H170=21,1,I170=21,2,J170=21,3,and(H170=20,I170=22),1.5, and(I170=20,J170=22),2.5,H170&gt;21,0.5)</f>
        <v/>
      </c>
      <c r="L170" s="43">
        <f t="array" ref="L170">INDEX('Podium Target Times'!$C:$C, MATCH(A170&amp;B170, 'Podium Target Times'!$A:$A&amp;'Podium Target Times'!$B:$B, 0))
</f>
        <v/>
      </c>
      <c r="M170" s="64">
        <f>IFS(K170=0.5,L170,K170=1,U168+(F170-F173), K170=1.5, M173+(F171-F174), K170=2, M173+(F171-F174), K170=2.5, M173+(F172-F175), K170=3, M173+(F172-F175))</f>
        <v/>
      </c>
      <c r="N170" s="43">
        <f>IF(M170&lt;60, TEXT(M170, "0.00"), TEXT(M170/(24*60*60), "M:SS.00"))</f>
        <v/>
      </c>
      <c r="O170" s="14">
        <f>IFERROR(__xludf.DUMMYFUNCTION("LET(
  gen,$A170, ev,$B170, t,$N170,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170" s="65" t="n"/>
      <c r="Q170" s="65" t="n"/>
      <c r="R170" s="69">
        <f>A178</f>
        <v/>
      </c>
      <c r="S170" s="65">
        <f>B178</f>
        <v/>
      </c>
      <c r="T170" s="69">
        <f>C178</f>
        <v/>
      </c>
      <c r="U170" s="58">
        <f>N178</f>
        <v/>
      </c>
      <c r="V170" s="69">
        <f>O178</f>
        <v/>
      </c>
      <c r="W170" s="65" t="n"/>
      <c r="X170" s="65" t="n"/>
      <c r="Y170" s="65" t="n"/>
    </row>
    <row r="171">
      <c r="A171" s="17" t="inlineStr">
        <is>
          <t>F</t>
        </is>
      </c>
      <c r="B171" s="18" t="inlineStr">
        <is>
          <t>200 IM</t>
        </is>
      </c>
      <c r="C171" s="18" t="n">
        <v>18</v>
      </c>
      <c r="D171" s="18" t="n">
        <v>2</v>
      </c>
      <c r="E171" s="46" t="inlineStr">
        <is>
          <t>2:14.42</t>
        </is>
      </c>
      <c r="F171" s="21">
        <f>IFERROR(__xludf.DUMMYFUNCTION("IF(
  REGEXMATCH(E171, "":""),
  60*VALUE(INDEX(SPLIT(E171, "":""),1,1)) + VALUE(INDEX(SPLIT(E171, "":""),1,2)),
  VALUE(E171)
)"),134.42)</f>
        <v/>
      </c>
      <c r="G171" s="211">
        <f>C164</f>
        <v/>
      </c>
      <c r="H171" s="211">
        <f>C173</f>
        <v/>
      </c>
      <c r="I171" s="211">
        <f>C178</f>
        <v/>
      </c>
      <c r="J171" s="211">
        <f>C181</f>
        <v/>
      </c>
      <c r="K171" s="60">
        <f>IFS(H171=21,1,I171=21,2,J171=21,3,and(H171=20,I171=22),1.5, and(I171=20,J171=22),2.5,H171&gt;21,0.5)</f>
        <v/>
      </c>
      <c r="L171" s="60">
        <f t="array" ref="L171">INDEX('Podium Target Times'!$C:$C, MATCH(A171&amp;B171, 'Podium Target Times'!$A:$A&amp;'Podium Target Times'!$B:$B, 0))
</f>
        <v/>
      </c>
      <c r="M171" s="66">
        <f>IFS(K171=0.5,L171,K171=1,U168+(F170-F173), K171=1.5, M173+(F171-F174), K171=2, M173+(F171-F174), K171=2.5, M173+(F172-F175), K171=3, M173+(F172-F175))</f>
        <v/>
      </c>
      <c r="N171" s="60">
        <f>IF(M171&lt;60, TEXT(M171, "0.00"), TEXT(M171/(24*60*60), "M:SS.00"))</f>
        <v/>
      </c>
      <c r="O171" s="25">
        <f>IFERROR(__xludf.DUMMYFUNCTION("LET(
  gen,$A171, ev,$B171, t,$N171,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171" s="65" t="n"/>
      <c r="Q171" s="65" t="n"/>
      <c r="R171" s="69" t="n"/>
      <c r="S171" s="65" t="n"/>
      <c r="T171" s="69" t="n"/>
      <c r="U171" s="58" t="n"/>
      <c r="V171" s="69" t="n"/>
      <c r="W171" s="65" t="n"/>
      <c r="X171" s="65" t="n"/>
      <c r="Y171" s="65" t="n"/>
    </row>
    <row r="172">
      <c r="A172" s="8" t="inlineStr">
        <is>
          <t>F</t>
        </is>
      </c>
      <c r="B172" s="9" t="inlineStr">
        <is>
          <t>200 IM</t>
        </is>
      </c>
      <c r="C172" s="9" t="n">
        <v>18</v>
      </c>
      <c r="D172" s="219" t="n">
        <v>3</v>
      </c>
      <c r="E172" s="41" t="inlineStr">
        <is>
          <t>2:14.82</t>
        </is>
      </c>
      <c r="F172" s="35">
        <f>IFERROR(__xludf.DUMMYFUNCTION("IF(
  REGEXMATCH(E172, "":""),
  60*VALUE(INDEX(SPLIT(E172, "":""),1,1)) + VALUE(INDEX(SPLIT(E172, "":""),1,2)),
  VALUE(E172)
)"),134.82)</f>
        <v/>
      </c>
      <c r="G172" s="215">
        <f>C164</f>
        <v/>
      </c>
      <c r="H172" s="215">
        <f>C173</f>
        <v/>
      </c>
      <c r="I172" s="215">
        <f>C178</f>
        <v/>
      </c>
      <c r="J172" s="215">
        <f>C181</f>
        <v/>
      </c>
      <c r="K172" s="43">
        <f>IFS(H172=21,1,I172=21,2,J172=21,3,and(H172=20,I172=22),1.5, and(I172=20,J172=22),2.5,H172&gt;21,0.5)</f>
        <v/>
      </c>
      <c r="L172" s="43">
        <f t="array" ref="L172">INDEX('Podium Target Times'!$C:$C, MATCH(A172&amp;B172, 'Podium Target Times'!$A:$A&amp;'Podium Target Times'!$B:$B, 0))
</f>
        <v/>
      </c>
      <c r="M172" s="64">
        <f>IFS(K172=0.5,L172,K172=1,U168+(F170-F173), K172=1.5, M173+(F171-F174), K172=2, M173+(F171-F174), K172=2.5, M173+(F172-F175), K172=3, M173+(F172-F175))</f>
        <v/>
      </c>
      <c r="N172" s="43">
        <f>IF(M172&lt;60, TEXT(M172, "0.00"), TEXT(M172/(24*60*60), "M:SS.00"))</f>
        <v/>
      </c>
      <c r="O172" s="14">
        <f>IFERROR(__xludf.DUMMYFUNCTION("LET(
  gen,$A172, ev,$B172, t,$N172,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172" s="65" t="n"/>
      <c r="Q172" s="65" t="n"/>
      <c r="R172" s="69" t="n"/>
      <c r="S172" s="65" t="n"/>
      <c r="T172" s="69" t="n"/>
      <c r="U172" s="58" t="n"/>
      <c r="V172" s="69" t="n"/>
      <c r="W172" s="65" t="n"/>
      <c r="X172" s="65" t="n"/>
      <c r="Y172" s="65" t="n"/>
    </row>
    <row r="173">
      <c r="A173" s="17" t="inlineStr">
        <is>
          <t>F</t>
        </is>
      </c>
      <c r="B173" s="18" t="inlineStr">
        <is>
          <t>200 IM</t>
        </is>
      </c>
      <c r="C173" s="18" t="n">
        <v>19</v>
      </c>
      <c r="D173" s="18" t="n">
        <v>1</v>
      </c>
      <c r="E173" s="46" t="inlineStr">
        <is>
          <t>2:13.77</t>
        </is>
      </c>
      <c r="F173" s="21">
        <f>IFERROR(__xludf.DUMMYFUNCTION("IF(
  REGEXMATCH(E173, "":""),
  60*VALUE(INDEX(SPLIT(E173, "":""),1,1)) + VALUE(INDEX(SPLIT(E173, "":""),1,2)),
  VALUE(E173)
)"),133.77)</f>
        <v/>
      </c>
      <c r="G173" s="211">
        <f>C164</f>
        <v/>
      </c>
      <c r="H173" s="211">
        <f>C173</f>
        <v/>
      </c>
      <c r="I173" s="211">
        <f>C178</f>
        <v/>
      </c>
      <c r="J173" s="211">
        <f>C181</f>
        <v/>
      </c>
      <c r="K173" s="60">
        <f>IFS(H173=21,1,I173=21,2,J173=21,3,and(H173=20,I173=22),1.5, and(I173=20,J173=22),2.5,H173&gt;21,0.5)</f>
        <v/>
      </c>
      <c r="L173" s="60">
        <f t="array" ref="L173">INDEX('Podium Target Times'!$C:$C, MATCH(A173&amp;B173, 'Podium Target Times'!$A:$A&amp;'Podium Target Times'!$B:$B, 0))
</f>
        <v/>
      </c>
      <c r="M173" s="66">
        <f>IFS(K173=0.5,L173,K173=1,L173, K173=1.5, M176+(F174-F176), K173=2, M176+(F174-F176), K173=2.5, M176+(F175-F177), K173=3, M176+(F175-F177))</f>
        <v/>
      </c>
      <c r="N173" s="60">
        <f>IF(M173&lt;60, TEXT(M173, "0.00"), TEXT(M173/(24*60*60), "M:SS.00"))</f>
        <v/>
      </c>
      <c r="O173" s="25">
        <f>IFERROR(__xludf.DUMMYFUNCTION("LET(
  gen,$A173, ev,$B173, t,$N173,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173" s="65" t="n"/>
      <c r="Q173" s="65" t="n"/>
      <c r="R173" s="69" t="n"/>
      <c r="S173" s="65" t="n"/>
      <c r="T173" s="69" t="n"/>
      <c r="U173" s="58" t="n"/>
      <c r="V173" s="69" t="n"/>
      <c r="W173" s="65" t="n"/>
      <c r="X173" s="65" t="n"/>
      <c r="Y173" s="65" t="n"/>
    </row>
    <row r="174">
      <c r="A174" s="8" t="inlineStr">
        <is>
          <t>F</t>
        </is>
      </c>
      <c r="B174" s="9" t="inlineStr">
        <is>
          <t>200 IM</t>
        </is>
      </c>
      <c r="C174" s="9" t="n">
        <v>19</v>
      </c>
      <c r="D174" s="9" t="n">
        <v>2</v>
      </c>
      <c r="E174" s="41" t="inlineStr">
        <is>
          <t>2:14.17</t>
        </is>
      </c>
      <c r="F174" s="35">
        <f>IFERROR(__xludf.DUMMYFUNCTION("IF(
  REGEXMATCH(E174, "":""),
  60*VALUE(INDEX(SPLIT(E174, "":""),1,1)) + VALUE(INDEX(SPLIT(E174, "":""),1,2)),
  VALUE(E174)
)"),134.17)</f>
        <v/>
      </c>
      <c r="G174" s="215">
        <f>C164</f>
        <v/>
      </c>
      <c r="H174" s="215">
        <f>C173</f>
        <v/>
      </c>
      <c r="I174" s="215">
        <f>C178</f>
        <v/>
      </c>
      <c r="J174" s="215">
        <f>C181</f>
        <v/>
      </c>
      <c r="K174" s="43">
        <f>IFS(H174=21,1,I174=21,2,J174=21,3,and(H174=20,I174=22),1.5, and(I174=20,J174=22),2.5,H174&gt;21,0.5)</f>
        <v/>
      </c>
      <c r="L174" s="43">
        <f t="array" ref="L174">INDEX('Podium Target Times'!$C:$C, MATCH(A174&amp;B174, 'Podium Target Times'!$A:$A&amp;'Podium Target Times'!$B:$B, 0))
</f>
        <v/>
      </c>
      <c r="M174" s="64">
        <f>IFS(K174=0.5,L174,K174=1,L174, K174=1.5, M176+(F174-F176), K174=2, M176+(F174-F176), K174=2.5, M176+(F175-F177), K174=3, M176+(F175-F177))</f>
        <v/>
      </c>
      <c r="N174" s="43">
        <f>IF(M174&lt;60, TEXT(M174, "0.00"), TEXT(M174/(24*60*60), "M:SS.00"))</f>
        <v/>
      </c>
      <c r="O174" s="14">
        <f>IFERROR(__xludf.DUMMYFUNCTION("LET(
  gen,$A174, ev,$B174, t,$N174,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174" s="65" t="n"/>
      <c r="Q174" s="65" t="n"/>
      <c r="R174" s="69" t="n"/>
      <c r="S174" s="65" t="n"/>
      <c r="T174" s="69" t="n"/>
      <c r="U174" s="58" t="n"/>
      <c r="V174" s="69" t="n"/>
      <c r="W174" s="65" t="n"/>
      <c r="X174" s="65" t="n"/>
      <c r="Y174" s="65" t="n"/>
    </row>
    <row r="175">
      <c r="A175" s="17" t="inlineStr">
        <is>
          <t>F</t>
        </is>
      </c>
      <c r="B175" s="18" t="inlineStr">
        <is>
          <t>200 IM</t>
        </is>
      </c>
      <c r="C175" s="18" t="n">
        <v>19</v>
      </c>
      <c r="D175" s="221" t="n">
        <v>3</v>
      </c>
      <c r="E175" s="211" t="inlineStr">
        <is>
          <t>2:14.17</t>
        </is>
      </c>
      <c r="F175" s="21">
        <f>IFERROR(__xludf.DUMMYFUNCTION("IF(
  REGEXMATCH(E175, "":""),
  60*VALUE(INDEX(SPLIT(E175, "":""),1,1)) + VALUE(INDEX(SPLIT(E175, "":""),1,2)),
  VALUE(E175)
)"),134.17)</f>
        <v/>
      </c>
      <c r="G175" s="211">
        <f>C164</f>
        <v/>
      </c>
      <c r="H175" s="211">
        <f>C173</f>
        <v/>
      </c>
      <c r="I175" s="211">
        <f>C178</f>
        <v/>
      </c>
      <c r="J175" s="211">
        <f>C181</f>
        <v/>
      </c>
      <c r="K175" s="60">
        <f>IFS(H175=21,1,I175=21,2,J175=21,3,and(H175=20,I175=22),1.5, and(I175=20,J175=22),2.5,H175&gt;21,0.5)</f>
        <v/>
      </c>
      <c r="L175" s="60">
        <f t="array" ref="L175">INDEX('Podium Target Times'!$C:$C, MATCH(A175&amp;B175, 'Podium Target Times'!$A:$A&amp;'Podium Target Times'!$B:$B, 0))
</f>
        <v/>
      </c>
      <c r="M175" s="66">
        <f>IFS(K175=0.5,L175,K175=1,L175, K175=1.5, M176+(F174-F176), K175=2, M176+(F174-F176), K175=2.5, M176+(F175-F177), K175=3, M176+(F175-F177))</f>
        <v/>
      </c>
      <c r="N175" s="60">
        <f>IF(M175&lt;60, TEXT(M175, "0.00"), TEXT(M175/(24*60*60), "M:SS.00"))</f>
        <v/>
      </c>
      <c r="O175" s="25">
        <f>IFERROR(__xludf.DUMMYFUNCTION("LET(
  gen,$A175, ev,$B175, t,$N175,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175" s="65" t="n"/>
      <c r="Q175" s="65" t="n"/>
      <c r="R175" s="69" t="n"/>
      <c r="S175" s="65" t="n"/>
      <c r="T175" s="69" t="n"/>
      <c r="U175" s="58" t="n"/>
      <c r="V175" s="69" t="n"/>
      <c r="W175" s="65" t="n"/>
      <c r="X175" s="65" t="n"/>
      <c r="Y175" s="65" t="n"/>
    </row>
    <row r="176">
      <c r="A176" s="8" t="inlineStr">
        <is>
          <t>F</t>
        </is>
      </c>
      <c r="B176" s="9" t="inlineStr">
        <is>
          <t>200 IM</t>
        </is>
      </c>
      <c r="C176" s="9" t="n">
        <v>20</v>
      </c>
      <c r="D176" s="9" t="n">
        <v>2</v>
      </c>
      <c r="E176" s="41" t="inlineStr">
        <is>
          <t>2:13.25</t>
        </is>
      </c>
      <c r="F176" s="35">
        <f>IFERROR(__xludf.DUMMYFUNCTION("IF(
  REGEXMATCH(E176, "":""),
  60*VALUE(INDEX(SPLIT(E176, "":""),1,1)) + VALUE(INDEX(SPLIT(E176, "":""),1,2)),
  VALUE(E176)
)"),133.25)</f>
        <v/>
      </c>
      <c r="G176" s="215">
        <f>C164</f>
        <v/>
      </c>
      <c r="H176" s="215">
        <f>C173</f>
        <v/>
      </c>
      <c r="I176" s="215">
        <f>C178</f>
        <v/>
      </c>
      <c r="J176" s="215">
        <f>C181</f>
        <v/>
      </c>
      <c r="K176" s="43">
        <f>IFS(H176=21,1,I176=21,2,J176=21,3,and(H176=20,I176=22),1.5, and(I176=20,J176=22),2.5,H176&gt;21,0.5)</f>
        <v/>
      </c>
      <c r="L176" s="43">
        <f t="array" ref="L176">INDEX('Podium Target Times'!$C:$C, MATCH(A176&amp;B176, 'Podium Target Times'!$A:$A&amp;'Podium Target Times'!$B:$B, 0))
</f>
        <v/>
      </c>
      <c r="M176" s="64">
        <f>IFS(K176=0.5,L176,K176=1,L176, K176=1.5, L176, K176=2, M178+(F176-F178), K176=2.5, M178+(F177-F179), K176=3, M178+(F177-F179))</f>
        <v/>
      </c>
      <c r="N176" s="43">
        <f>IF(M176&lt;60, TEXT(M176, "0.00"), TEXT(M176/(24*60*60), "M:SS.00"))</f>
        <v/>
      </c>
      <c r="O176" s="14">
        <f>IFERROR(__xludf.DUMMYFUNCTION("LET(
  gen,$A176, ev,$B176, t,$N176,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P176" s="65" t="n"/>
      <c r="Q176" s="65" t="n"/>
      <c r="R176" s="69" t="n"/>
      <c r="S176" s="65" t="n"/>
      <c r="T176" s="69" t="n"/>
      <c r="U176" s="58" t="n"/>
      <c r="V176" s="69" t="n"/>
      <c r="W176" s="65" t="n"/>
      <c r="X176" s="65" t="n"/>
      <c r="Y176" s="65" t="n"/>
    </row>
    <row r="177">
      <c r="A177" s="17" t="inlineStr">
        <is>
          <t>F</t>
        </is>
      </c>
      <c r="B177" s="18" t="inlineStr">
        <is>
          <t>200 IM</t>
        </is>
      </c>
      <c r="C177" s="18" t="n">
        <v>20</v>
      </c>
      <c r="D177" s="221" t="n">
        <v>3</v>
      </c>
      <c r="E177" s="46" t="inlineStr">
        <is>
          <t>2:13.65</t>
        </is>
      </c>
      <c r="F177" s="21">
        <f>IFERROR(__xludf.DUMMYFUNCTION("IF(
  REGEXMATCH(E177, "":""),
  60*VALUE(INDEX(SPLIT(E177, "":""),1,1)) + VALUE(INDEX(SPLIT(E177, "":""),1,2)),
  VALUE(E177)
)"),133.65)</f>
        <v/>
      </c>
      <c r="G177" s="211">
        <f>C164</f>
        <v/>
      </c>
      <c r="H177" s="211">
        <f>C173</f>
        <v/>
      </c>
      <c r="I177" s="211">
        <f>C178</f>
        <v/>
      </c>
      <c r="J177" s="211">
        <f>C181</f>
        <v/>
      </c>
      <c r="K177" s="60">
        <f>IFS(H177=21,1,I177=21,2,J177=21,3,and(H177=20,I177=22),1.5, and(I177=20,J177=22),2.5,H177&gt;21,0.5)</f>
        <v/>
      </c>
      <c r="L177" s="60">
        <f t="array" ref="L177">INDEX('Podium Target Times'!$C:$C, MATCH(A177&amp;B177, 'Podium Target Times'!$A:$A&amp;'Podium Target Times'!$B:$B, 0))
</f>
        <v/>
      </c>
      <c r="M177" s="66">
        <f>IFS(K177=0.5,L177,K177=1,L177, K177=1.5, L177, K177=2, M178+(F176-F178), K177=2.5, M178+(F177-F179), K177=3, M178+(F177-F179))</f>
        <v/>
      </c>
      <c r="N177" s="60">
        <f>IF(M177&lt;60, TEXT(M177, "0.00"), TEXT(M177/(24*60*60), "M:SS.00"))</f>
        <v/>
      </c>
      <c r="O177" s="25">
        <f>IFERROR(__xludf.DUMMYFUNCTION("LET(
  gen,$A177, ev,$B177, t,$N177,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)"),783.0)</f>
        <v/>
      </c>
      <c r="P177" s="65" t="n"/>
      <c r="Q177" s="65" t="n"/>
      <c r="R177" s="69" t="n"/>
      <c r="S177" s="65" t="n"/>
      <c r="T177" s="69" t="n"/>
      <c r="U177" s="58" t="n"/>
      <c r="V177" s="69" t="n"/>
      <c r="W177" s="65" t="n"/>
      <c r="X177" s="65" t="n"/>
      <c r="Y177" s="65" t="n"/>
    </row>
    <row r="178">
      <c r="A178" s="8" t="inlineStr">
        <is>
          <t>F</t>
        </is>
      </c>
      <c r="B178" s="9" t="inlineStr">
        <is>
          <t>200 IM</t>
        </is>
      </c>
      <c r="C178" s="9" t="n">
        <v>21</v>
      </c>
      <c r="D178" s="9" t="n">
        <v>2</v>
      </c>
      <c r="E178" s="41" t="inlineStr">
        <is>
          <t>2:12.83</t>
        </is>
      </c>
      <c r="F178" s="35">
        <f>IFERROR(__xludf.DUMMYFUNCTION("IF(
  REGEXMATCH(E178, "":""),
  60*VALUE(INDEX(SPLIT(E178, "":""),1,1)) + VALUE(INDEX(SPLIT(E178, "":""),1,2)),
  VALUE(E178)
)"),132.83)</f>
        <v/>
      </c>
      <c r="G178" s="215">
        <f>C164</f>
        <v/>
      </c>
      <c r="H178" s="215">
        <f>C173</f>
        <v/>
      </c>
      <c r="I178" s="215">
        <f>C178</f>
        <v/>
      </c>
      <c r="J178" s="215">
        <f>C181</f>
        <v/>
      </c>
      <c r="K178" s="43">
        <f>IFS(H178=21,1,I178=21,2,J178=21,3,and(H178=20,I178=22),1.5, and(I178=20,J178=22),2.5,H178&gt;21,0.5)</f>
        <v/>
      </c>
      <c r="L178" s="43">
        <f t="array" ref="L178">INDEX('Podium Target Times'!$C:$C, MATCH(A178&amp;B178, 'Podium Target Times'!$A:$A&amp;'Podium Target Times'!$B:$B, 0))
</f>
        <v/>
      </c>
      <c r="M178" s="64">
        <f>IFS(K178=0.5,L178,K178=1,L178, K178=1.5, L178, K178=2,L181, K178=2.5, M180+(F179-F180), K178=3,  M180+(F179-F180))</f>
        <v/>
      </c>
      <c r="N178" s="43">
        <f>IF(M178&lt;60, TEXT(M178, "0.00"), TEXT(M178/(24*60*60), "M:SS.00"))</f>
        <v/>
      </c>
      <c r="O178" s="14">
        <f>IFERROR(__xludf.DUMMYFUNCTION("LET(
  gen,$A178, ev,$B178, t,$N178,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P178" s="65" t="n"/>
      <c r="Q178" s="65" t="n"/>
      <c r="R178" s="69" t="n"/>
      <c r="S178" s="65" t="n"/>
      <c r="T178" s="69" t="n"/>
      <c r="U178" s="58" t="n"/>
      <c r="V178" s="69" t="n"/>
      <c r="W178" s="65" t="n"/>
      <c r="X178" s="65" t="n"/>
      <c r="Y178" s="65" t="n"/>
    </row>
    <row r="179">
      <c r="A179" s="17" t="inlineStr">
        <is>
          <t>F</t>
        </is>
      </c>
      <c r="B179" s="18" t="inlineStr">
        <is>
          <t>200 IM</t>
        </is>
      </c>
      <c r="C179" s="18" t="n">
        <v>21</v>
      </c>
      <c r="D179" s="221" t="n">
        <v>3</v>
      </c>
      <c r="E179" s="46" t="inlineStr">
        <is>
          <t>2:13.22</t>
        </is>
      </c>
      <c r="F179" s="21">
        <f>IFERROR(__xludf.DUMMYFUNCTION("IF(
  REGEXMATCH(E179, "":""),
  60*VALUE(INDEX(SPLIT(E179, "":""),1,1)) + VALUE(INDEX(SPLIT(E179, "":""),1,2)),
  VALUE(E179)
)"),133.22)</f>
        <v/>
      </c>
      <c r="G179" s="211">
        <f>C164</f>
        <v/>
      </c>
      <c r="H179" s="211">
        <f>C173</f>
        <v/>
      </c>
      <c r="I179" s="211">
        <f>C178</f>
        <v/>
      </c>
      <c r="J179" s="211">
        <f>C181</f>
        <v/>
      </c>
      <c r="K179" s="60">
        <f>IFS(H179=21,1,I179=21,2,J179=21,3,and(H179=20,I179=22),1.5, and(I179=20,J179=22),2.5,H179&gt;21,0.5)</f>
        <v/>
      </c>
      <c r="L179" s="60">
        <f t="array" ref="L179">INDEX('Podium Target Times'!$C:$C, MATCH(A179&amp;B179, 'Podium Target Times'!$A:$A&amp;'Podium Target Times'!$B:$B, 0))
</f>
        <v/>
      </c>
      <c r="M179" s="66">
        <f>IFS(K179=0.5,L179,K179=1,L179, K179=1.5, L179, K179=2, L181, K179=2.5, M180+(F179-F180), K179=3, M180+(F179-F180))</f>
        <v/>
      </c>
      <c r="N179" s="60">
        <f>IF(M179&lt;60, TEXT(M179, "0.00"), TEXT(M179/(24*60*60), "M:SS.00"))</f>
        <v/>
      </c>
      <c r="O179" s="25">
        <f>IFERROR(__xludf.DUMMYFUNCTION("LET(
  gen,$A179, ev,$B179, t,$N179,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P179" s="65" t="n"/>
      <c r="Q179" s="65" t="n"/>
      <c r="R179" s="69" t="n"/>
      <c r="S179" s="65" t="n"/>
      <c r="T179" s="69" t="n"/>
      <c r="U179" s="58" t="n"/>
      <c r="V179" s="69" t="n"/>
      <c r="W179" s="65" t="n"/>
      <c r="X179" s="65" t="n"/>
      <c r="Y179" s="65" t="n"/>
    </row>
    <row r="180">
      <c r="A180" s="8" t="inlineStr">
        <is>
          <t>F</t>
        </is>
      </c>
      <c r="B180" s="9" t="inlineStr">
        <is>
          <t>200 IM</t>
        </is>
      </c>
      <c r="C180" s="9" t="n">
        <v>22</v>
      </c>
      <c r="D180" s="219" t="n">
        <v>3</v>
      </c>
      <c r="E180" s="41" t="inlineStr">
        <is>
          <t>2:12.95</t>
        </is>
      </c>
      <c r="F180" s="35">
        <f>IFERROR(__xludf.DUMMYFUNCTION("IF(
  REGEXMATCH(E180, "":""),
  60*VALUE(INDEX(SPLIT(E180, "":""),1,1)) + VALUE(INDEX(SPLIT(E180, "":""),1,2)),
  VALUE(E180)
)"),132.95)</f>
        <v/>
      </c>
      <c r="G180" s="215">
        <f>C164</f>
        <v/>
      </c>
      <c r="H180" s="215">
        <f>C173</f>
        <v/>
      </c>
      <c r="I180" s="215">
        <f>C178</f>
        <v/>
      </c>
      <c r="J180" s="215">
        <f>C181</f>
        <v/>
      </c>
      <c r="K180" s="43">
        <f>IFS(H180=21,1,I180=21,2,J180=21,3,and(H180=20,I180=22),1.5, and(I180=20,J180=22),2.5,H180&gt;21,0.5)</f>
        <v/>
      </c>
      <c r="L180" s="43">
        <f t="array" ref="L180">INDEX('Podium Target Times'!$C:$C, MATCH(A180&amp;B180, 'Podium Target Times'!$A:$A&amp;'Podium Target Times'!$B:$B, 0))
</f>
        <v/>
      </c>
      <c r="M180" s="64">
        <f>IFS(K180=0.5,L180,K180=1,L180, K180=1.5, L180, K180=2, L181, K180=2.5, L181, K180=3, M181+(F180-F181))</f>
        <v/>
      </c>
      <c r="N180" s="43">
        <f>IF(M180&lt;60, TEXT(M180, "0.00"), TEXT(M180/(24*60*60), "M:SS.00"))</f>
        <v/>
      </c>
      <c r="O180" s="14">
        <f>IFERROR(__xludf.DUMMYFUNCTION("LET(
  gen,$A180, ev,$B180, t,$N180,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P180" s="65" t="n"/>
      <c r="Q180" s="65" t="n"/>
      <c r="R180" s="69" t="n"/>
      <c r="S180" s="65" t="n"/>
      <c r="T180" s="69" t="n"/>
      <c r="U180" s="58" t="n"/>
      <c r="V180" s="69" t="n"/>
      <c r="W180" s="65" t="n"/>
      <c r="X180" s="65" t="n"/>
      <c r="Y180" s="65" t="n"/>
    </row>
    <row r="181">
      <c r="A181" s="17" t="inlineStr">
        <is>
          <t>F</t>
        </is>
      </c>
      <c r="B181" s="18" t="inlineStr">
        <is>
          <t>200 IM</t>
        </is>
      </c>
      <c r="C181" s="18" t="n">
        <v>23</v>
      </c>
      <c r="D181" s="221" t="n">
        <v>3</v>
      </c>
      <c r="E181" s="46" t="inlineStr">
        <is>
          <t>2:12.83</t>
        </is>
      </c>
      <c r="F181" s="21">
        <f>IFERROR(__xludf.DUMMYFUNCTION("IF(
  REGEXMATCH(E181, "":""),
  60*VALUE(INDEX(SPLIT(E181, "":""),1,1)) + VALUE(INDEX(SPLIT(E181, "":""),1,2)),
  VALUE(E181)
)"),132.83)</f>
        <v/>
      </c>
      <c r="G181" s="211">
        <f>C164</f>
        <v/>
      </c>
      <c r="H181" s="211">
        <f>C173</f>
        <v/>
      </c>
      <c r="I181" s="211">
        <f>C178</f>
        <v/>
      </c>
      <c r="J181" s="211">
        <f>C181</f>
        <v/>
      </c>
      <c r="K181" s="60">
        <f>IFS(H181=21,1,I181=21,2,J181=21,3,and(H181=20,I181=22),1.5, and(I181=20,J181=22),2.5,H181&gt;21,0.5)</f>
        <v/>
      </c>
      <c r="L181" s="60">
        <f t="array" ref="L181">INDEX('Podium Target Times'!$C:$C, MATCH(A181&amp;B181, 'Podium Target Times'!$A:$A&amp;'Podium Target Times'!$B:$B, 0))
</f>
        <v/>
      </c>
      <c r="M181" s="66">
        <f>IFS(K181=0.5,L181,K181=1,L181, K181=1.5, L181, K181=2, L181, K181=2.5, L181, K181=3, L181)</f>
        <v/>
      </c>
      <c r="N181" s="60">
        <f>IF(M181&lt;60, TEXT(M181, "0.00"), TEXT(M181/(24*60*60), "M:SS.00"))</f>
        <v/>
      </c>
      <c r="O181" s="25">
        <f>IFERROR(__xludf.DUMMYFUNCTION("LET(
  gen,$A181, ev,$B181, t,$N181,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)"),790.0)</f>
        <v/>
      </c>
      <c r="P181" s="65" t="n"/>
      <c r="Q181" s="65" t="n"/>
      <c r="R181" s="69" t="n"/>
      <c r="S181" s="65" t="n"/>
      <c r="T181" s="69" t="n"/>
      <c r="U181" s="58" t="n"/>
      <c r="V181" s="69" t="n"/>
      <c r="W181" s="65" t="n"/>
      <c r="X181" s="65" t="n"/>
      <c r="Y181" s="65" t="n"/>
    </row>
    <row r="182">
      <c r="A182" s="8" t="inlineStr">
        <is>
          <t>F</t>
        </is>
      </c>
      <c r="B182" s="9" t="inlineStr">
        <is>
          <t>400 Free</t>
        </is>
      </c>
      <c r="C182" s="9" t="n">
        <v>14</v>
      </c>
      <c r="D182" s="9" t="n">
        <v>1</v>
      </c>
      <c r="E182" s="43" t="inlineStr">
        <is>
          <t>4:25.42</t>
        </is>
      </c>
      <c r="F182" s="35">
        <f>IFERROR(__xludf.DUMMYFUNCTION("IF(
  REGEXMATCH(E182, "":""),
  60*VALUE(INDEX(SPLIT(E182, "":""),1,1)) + VALUE(INDEX(SPLIT(E182, "":""),1,2)),
  VALUE(E182)
)"),265.42)</f>
        <v/>
      </c>
      <c r="G182" s="43">
        <f>C182</f>
        <v/>
      </c>
      <c r="H182" s="43">
        <f>C191</f>
        <v/>
      </c>
      <c r="I182" s="43">
        <f>C196</f>
        <v/>
      </c>
      <c r="J182" s="43">
        <f>C199</f>
        <v/>
      </c>
      <c r="K182" s="43">
        <f>IFS(H182=21,1,I182=21,2,J182=21,3,and(H182=20,I182=22),1.5, and(I182=20,J182=22),2.5,H182&gt;21,0.5)</f>
        <v/>
      </c>
      <c r="L182" s="43">
        <f t="array" ref="L182">INDEX('Podium Target Times'!$C:$C, MATCH(A182&amp;B182, 'Podium Target Times'!$A:$A&amp;'Podium Target Times'!$B:$B, 0))
</f>
        <v/>
      </c>
      <c r="M182" s="64">
        <f>IFS(K182=0.5,M183+(F182-F183),K182=1,M183+(F182-F183), K182=1.5, M183+(F182-F183), K182=2, M183+(F182-F183), K182=2.5, M183+(F182-F183), K182=3, M183+(F182-F183))</f>
        <v/>
      </c>
      <c r="N182" s="43">
        <f>IF(M182&lt;60, TEXT(M182, "0.00"), TEXT(M182/(24*60*60), "M:SS.00"))</f>
        <v/>
      </c>
      <c r="O182" s="14">
        <f>IFERROR(__xludf.DUMMYFUNCTION("LET(
  gen,$A182, ev,$B182, t,$N182,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)"),630.0)</f>
        <v/>
      </c>
      <c r="P182" s="65" t="n"/>
      <c r="Q182" s="65" t="n"/>
      <c r="R182" s="69">
        <f>A182</f>
        <v/>
      </c>
      <c r="S182" s="65">
        <f>B182</f>
        <v/>
      </c>
      <c r="T182" s="69">
        <f>C182</f>
        <v/>
      </c>
      <c r="U182" s="58">
        <f>N182</f>
        <v/>
      </c>
      <c r="V182" s="69">
        <f>O182</f>
        <v/>
      </c>
      <c r="W182" s="65" t="n"/>
      <c r="X182" s="65" t="n"/>
      <c r="Y182" s="65" t="n"/>
    </row>
    <row r="183">
      <c r="A183" s="17" t="inlineStr">
        <is>
          <t>F</t>
        </is>
      </c>
      <c r="B183" s="18" t="inlineStr">
        <is>
          <t>400 Free</t>
        </is>
      </c>
      <c r="C183" s="18" t="n">
        <v>15</v>
      </c>
      <c r="D183" s="18" t="n">
        <v>1</v>
      </c>
      <c r="E183" s="60" t="inlineStr">
        <is>
          <t>4:18.86</t>
        </is>
      </c>
      <c r="F183" s="21">
        <f>IFERROR(__xludf.DUMMYFUNCTION("IF(
  REGEXMATCH(E183, "":""),
  60*VALUE(INDEX(SPLIT(E183, "":""),1,1)) + VALUE(INDEX(SPLIT(E183, "":""),1,2)),
  VALUE(E183)
)"),258.86)</f>
        <v/>
      </c>
      <c r="G183" s="211">
        <f>C182</f>
        <v/>
      </c>
      <c r="H183" s="211">
        <f>C191</f>
        <v/>
      </c>
      <c r="I183" s="211">
        <f>C196</f>
        <v/>
      </c>
      <c r="J183" s="211">
        <f>C199</f>
        <v/>
      </c>
      <c r="K183" s="60">
        <f>IFS(H183=21,1,I183=21,2,J183=21,3,and(H183=20,I183=22),1.5, and(I183=20,J183=22),2.5,H183&gt;21,0.5)</f>
        <v/>
      </c>
      <c r="L183" s="60">
        <f t="array" ref="L183">INDEX('Podium Target Times'!$C:$C, MATCH(A183&amp;B183, 'Podium Target Times'!$A:$A&amp;'Podium Target Times'!$B:$B, 0))
</f>
        <v/>
      </c>
      <c r="M183" s="66">
        <f>IFS(K183=0.5,M184+(F183-F185),K183=1,M184+(F183-F185), K183=1.5, M185+(F184-F186), K183=2, M185+(F184-F186), K183=2.5, M185+(F184-F186), K183=3, M185+(F184-F186))</f>
        <v/>
      </c>
      <c r="N183" s="60">
        <f>IF(M183&lt;60, TEXT(M183, "0.00"), TEXT(M183/(24*60*60), "M:SS.00"))</f>
        <v/>
      </c>
      <c r="O183" s="25">
        <f>IFERROR(__xludf.DUMMYFUNCTION("LET(
  gen,$A183, ev,$B183, t,$N183,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
      </c>
      <c r="P183" s="65" t="n"/>
      <c r="Q183" s="65" t="n"/>
      <c r="R183" s="69">
        <f>A183</f>
        <v/>
      </c>
      <c r="S183" s="65">
        <f>B183</f>
        <v/>
      </c>
      <c r="T183" s="69">
        <f>C183</f>
        <v/>
      </c>
      <c r="U183" s="58">
        <f>N183</f>
        <v/>
      </c>
      <c r="V183" s="69">
        <f>O183</f>
        <v/>
      </c>
      <c r="W183" s="65" t="n"/>
      <c r="X183" s="65" t="n"/>
      <c r="Y183" s="65" t="n"/>
    </row>
    <row r="184">
      <c r="A184" s="8" t="inlineStr">
        <is>
          <t>F</t>
        </is>
      </c>
      <c r="B184" s="9" t="inlineStr">
        <is>
          <t>400 Free</t>
        </is>
      </c>
      <c r="C184" s="9" t="n">
        <v>15</v>
      </c>
      <c r="D184" s="9" t="n">
        <v>2</v>
      </c>
      <c r="E184" s="43" t="inlineStr">
        <is>
          <t>4:20.27</t>
        </is>
      </c>
      <c r="F184" s="35">
        <f>IFERROR(__xludf.DUMMYFUNCTION("IF(
  REGEXMATCH(E184, "":""),
  60*VALUE(INDEX(SPLIT(E184, "":""),1,1)) + VALUE(INDEX(SPLIT(E184, "":""),1,2)),
  VALUE(E184)
)"),260.27)</f>
        <v/>
      </c>
      <c r="G184" s="215">
        <f>C182</f>
        <v/>
      </c>
      <c r="H184" s="215">
        <f>C191</f>
        <v/>
      </c>
      <c r="I184" s="215">
        <f>C196</f>
        <v/>
      </c>
      <c r="J184" s="215">
        <f>C199</f>
        <v/>
      </c>
      <c r="K184" s="43">
        <f>IFS(H184=21,1,I184=21,2,J184=21,3,and(H184=20,I184=22),1.5, and(I184=20,J184=22),2.5,H184&gt;21,0.5)</f>
        <v/>
      </c>
      <c r="L184" s="43">
        <f t="array" ref="L184">INDEX('Podium Target Times'!$C:$C, MATCH(A184&amp;B184, 'Podium Target Times'!$A:$A&amp;'Podium Target Times'!$B:$B, 0))
</f>
        <v/>
      </c>
      <c r="M184" s="64">
        <f>IFS(K184=0.5,M185+(F184-F187),K184=1,M185+(F184-F187), K184=1.5, M185+(F184-F186), K184=2, M185+(F184-F186), K184=2.5, M185+(F184-F186), K184=3, M185+(F184-F186))</f>
        <v/>
      </c>
      <c r="N184" s="43">
        <f>IF(M184&lt;60, TEXT(M184, "0.00"), TEXT(M184/(24*60*60), "M:SS.00"))</f>
        <v/>
      </c>
      <c r="O184" s="14">
        <f>IFERROR(__xludf.DUMMYFUNCTION("LET(
  gen,$A184, ev,$B184, t,$N184,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
      </c>
      <c r="P184" s="65" t="n"/>
      <c r="Q184" s="65" t="n"/>
      <c r="R184" s="69">
        <f>A185</f>
        <v/>
      </c>
      <c r="S184" s="65">
        <f>B185</f>
        <v/>
      </c>
      <c r="T184" s="69">
        <f>C185</f>
        <v/>
      </c>
      <c r="U184" s="58">
        <f>N185</f>
        <v/>
      </c>
      <c r="V184" s="69">
        <f>O185</f>
        <v/>
      </c>
      <c r="W184" s="65" t="n"/>
      <c r="X184" s="65" t="n"/>
      <c r="Y184" s="65" t="n"/>
    </row>
    <row r="185">
      <c r="A185" s="17" t="inlineStr">
        <is>
          <t>F</t>
        </is>
      </c>
      <c r="B185" s="18" t="inlineStr">
        <is>
          <t>400 Free</t>
        </is>
      </c>
      <c r="C185" s="18" t="n">
        <v>16</v>
      </c>
      <c r="D185" s="18" t="n">
        <v>1</v>
      </c>
      <c r="E185" s="46" t="inlineStr">
        <is>
          <t>4:14.48</t>
        </is>
      </c>
      <c r="F185" s="21">
        <f>IFERROR(__xludf.DUMMYFUNCTION("IF(
  REGEXMATCH(E185, "":""),
  60*VALUE(INDEX(SPLIT(E185, "":""),1,1)) + VALUE(INDEX(SPLIT(E185, "":""),1,2)),
  VALUE(E185)
)"),254.48)</f>
        <v/>
      </c>
      <c r="G185" s="211">
        <f>C182</f>
        <v/>
      </c>
      <c r="H185" s="211">
        <f>C191</f>
        <v/>
      </c>
      <c r="I185" s="211">
        <f>C196</f>
        <v/>
      </c>
      <c r="J185" s="211">
        <f>C199</f>
        <v/>
      </c>
      <c r="K185" s="60">
        <f>IFS(H185=21,1,I185=21,2,J185=21,3,and(H185=20,I185=22),1.5, and(I185=20,J185=22),2.5,H185&gt;21,0.5)</f>
        <v/>
      </c>
      <c r="L185" s="60">
        <f t="array" ref="L185">INDEX('Podium Target Times'!$C:$C, MATCH(A185&amp;B185, 'Podium Target Times'!$A:$A&amp;'Podium Target Times'!$B:$B, 0))
</f>
        <v/>
      </c>
      <c r="M185" s="66">
        <f>IFS(K185=0.5,M186+(F185-F188),K185=1,M186+(F185-F188), K185=1.5, M188+(F186-F189), K185=2, M188+(F186-F189), K185=2.5, M188+(F187-F190), K185=3, M188+(F187-F190))</f>
        <v/>
      </c>
      <c r="N185" s="60">
        <f>IF(M185&lt;60, TEXT(M185, "0.00"), TEXT(M185/(24*60*60), "M:SS.00"))</f>
        <v/>
      </c>
      <c r="O185" s="25">
        <f>IFERROR(__xludf.DUMMYFUNCTION("LET(
  gen,$A185, ev,$B185, t,$N185,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
      </c>
      <c r="P185" s="65" t="n"/>
      <c r="Q185" s="65" t="n"/>
      <c r="R185" s="69">
        <f>A188</f>
        <v/>
      </c>
      <c r="S185" s="65">
        <f>B188</f>
        <v/>
      </c>
      <c r="T185" s="69">
        <f>C188</f>
        <v/>
      </c>
      <c r="U185" s="58">
        <f>N188</f>
        <v/>
      </c>
      <c r="V185" s="69">
        <f>O188</f>
        <v/>
      </c>
      <c r="W185" s="65" t="n"/>
      <c r="X185" s="65" t="n"/>
      <c r="Y185" s="65" t="n"/>
    </row>
    <row r="186">
      <c r="A186" s="8" t="inlineStr">
        <is>
          <t>F</t>
        </is>
      </c>
      <c r="B186" s="9" t="inlineStr">
        <is>
          <t>400 Free</t>
        </is>
      </c>
      <c r="C186" s="9" t="n">
        <v>16</v>
      </c>
      <c r="D186" s="9" t="n">
        <v>2</v>
      </c>
      <c r="E186" s="41" t="inlineStr">
        <is>
          <t>4:15.87</t>
        </is>
      </c>
      <c r="F186" s="35">
        <f>IFERROR(__xludf.DUMMYFUNCTION("IF(
  REGEXMATCH(E186, "":""),
  60*VALUE(INDEX(SPLIT(E186, "":""),1,1)) + VALUE(INDEX(SPLIT(E186, "":""),1,2)),
  VALUE(E186)
)"),255.87)</f>
        <v/>
      </c>
      <c r="G186" s="215">
        <f>C182</f>
        <v/>
      </c>
      <c r="H186" s="215">
        <f>C191</f>
        <v/>
      </c>
      <c r="I186" s="215">
        <f>C196</f>
        <v/>
      </c>
      <c r="J186" s="215">
        <f>C199</f>
        <v/>
      </c>
      <c r="K186" s="43">
        <f>IFS(H186=21,1,I186=21,2,J186=21,3,and(H186=20,I186=22),1.5, and(I186=20,J186=22),2.5,H186&gt;21,0.5)</f>
        <v/>
      </c>
      <c r="L186" s="43">
        <f t="array" ref="L186">INDEX('Podium Target Times'!$C:$C, MATCH(A186&amp;B186, 'Podium Target Times'!$A:$A&amp;'Podium Target Times'!$B:$B, 0))
</f>
        <v/>
      </c>
      <c r="M186" s="64">
        <f>IFS(K186=0.5,M187+(F185-F188),K186=1,M187+(F185-F188), K186=1.5, M188+(F186-F189), K186=2, M188+(F186-F189), K186=2.5, M188+(F187-F190), K186=3, M188+(F187-F190))</f>
        <v/>
      </c>
      <c r="N186" s="43">
        <f>IF(M186&lt;60, TEXT(M186, "0.00"), TEXT(M186/(24*60*60), "M:SS.00"))</f>
        <v/>
      </c>
      <c r="O186" s="14">
        <f>IFERROR(__xludf.DUMMYFUNCTION("LET(
  gen,$A186, ev,$B186, t,$N186,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
      </c>
      <c r="P186" s="65" t="n"/>
      <c r="Q186" s="65" t="n"/>
      <c r="R186" s="69">
        <f>A191</f>
        <v/>
      </c>
      <c r="S186" s="65">
        <f>B191</f>
        <v/>
      </c>
      <c r="T186" s="69">
        <f>C191</f>
        <v/>
      </c>
      <c r="U186" s="58">
        <f>N191</f>
        <v/>
      </c>
      <c r="V186" s="69">
        <f>O191</f>
        <v/>
      </c>
      <c r="W186" s="65" t="n"/>
      <c r="X186" s="65" t="n"/>
      <c r="Y186" s="65" t="n"/>
    </row>
    <row r="187">
      <c r="A187" s="17" t="inlineStr">
        <is>
          <t>F</t>
        </is>
      </c>
      <c r="B187" s="18" t="inlineStr">
        <is>
          <t>400 Free</t>
        </is>
      </c>
      <c r="C187" s="18" t="n">
        <v>16</v>
      </c>
      <c r="D187" s="18" t="n">
        <v>3</v>
      </c>
      <c r="E187" s="46" t="inlineStr">
        <is>
          <t>4:16.35</t>
        </is>
      </c>
      <c r="F187" s="21">
        <f>IFERROR(__xludf.DUMMYFUNCTION("IF(
  REGEXMATCH(E187, "":""),
  60*VALUE(INDEX(SPLIT(E187, "":""),1,1)) + VALUE(INDEX(SPLIT(E187, "":""),1,2)),
  VALUE(E187)
)"),256.35)</f>
        <v/>
      </c>
      <c r="G187" s="211">
        <f>C182</f>
        <v/>
      </c>
      <c r="H187" s="211">
        <f>C191</f>
        <v/>
      </c>
      <c r="I187" s="211">
        <f>C196</f>
        <v/>
      </c>
      <c r="J187" s="211">
        <f>C199</f>
        <v/>
      </c>
      <c r="K187" s="60">
        <f>IFS(H187=21,1,I187=21,2,J187=21,3,and(H187=20,I187=22),1.5, and(I187=20,J187=22),2.5,H187&gt;21,0.5)</f>
        <v/>
      </c>
      <c r="L187" s="60">
        <f t="array" ref="L187">INDEX('Podium Target Times'!$C:$C, MATCH(A187&amp;B187, 'Podium Target Times'!$A:$A&amp;'Podium Target Times'!$B:$B, 0))
</f>
        <v/>
      </c>
      <c r="M187" s="66">
        <f>IFS(K187=0.5,M188+(F185-F188),K187=1,M188+(F185-F188), K187=1.5, M188+(F186-F189), K187=2, M188+(F186-F189), K187=2.5, M188+(F187-F190), K187=3, M188+(F187-F190))</f>
        <v/>
      </c>
      <c r="N187" s="60">
        <f>IF(M187&lt;60, TEXT(M187, "0.00"), TEXT(M187/(24*60*60), "M:SS.00"))</f>
        <v/>
      </c>
      <c r="O187" s="25">
        <f>IFERROR(__xludf.DUMMYFUNCTION("LET(
  gen,$A187, ev,$B187, t,$N187,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)"),712.0)</f>
        <v/>
      </c>
      <c r="P187" s="65" t="n"/>
      <c r="Q187" s="65" t="n"/>
      <c r="R187" s="69">
        <f>A194</f>
        <v/>
      </c>
      <c r="S187" s="65">
        <f>B194</f>
        <v/>
      </c>
      <c r="T187" s="69">
        <f>C194</f>
        <v/>
      </c>
      <c r="U187" s="58">
        <f>N194</f>
        <v/>
      </c>
      <c r="V187" s="69">
        <f>O194</f>
        <v/>
      </c>
      <c r="W187" s="65" t="n"/>
      <c r="X187" s="65" t="n"/>
      <c r="Y187" s="65" t="n"/>
    </row>
    <row r="188">
      <c r="A188" s="8" t="inlineStr">
        <is>
          <t>F</t>
        </is>
      </c>
      <c r="B188" s="9" t="inlineStr">
        <is>
          <t>400 Free</t>
        </is>
      </c>
      <c r="C188" s="9" t="n">
        <v>17</v>
      </c>
      <c r="D188" s="9" t="n">
        <v>1</v>
      </c>
      <c r="E188" s="41" t="inlineStr">
        <is>
          <t>4:11.78</t>
        </is>
      </c>
      <c r="F188" s="35">
        <f>IFERROR(__xludf.DUMMYFUNCTION("IF(
  REGEXMATCH(E188, "":""),
  60*VALUE(INDEX(SPLIT(E188, "":""),1,1)) + VALUE(INDEX(SPLIT(E188, "":""),1,2)),
  VALUE(E188)
)"),251.78)</f>
        <v/>
      </c>
      <c r="G188" s="215">
        <f>C182</f>
        <v/>
      </c>
      <c r="H188" s="215">
        <f>C191</f>
        <v/>
      </c>
      <c r="I188" s="215">
        <f>C196</f>
        <v/>
      </c>
      <c r="J188" s="215">
        <f>C199</f>
        <v/>
      </c>
      <c r="K188" s="43">
        <f>IFS(H188=21,1,I188=21,2,J188=21,3,and(H188=20,I188=22),1.5, and(I188=20,J188=22),2.5,H188&gt;21,0.5)</f>
        <v/>
      </c>
      <c r="L188" s="43">
        <f t="array" ref="L188">INDEX('Podium Target Times'!$C:$C, MATCH(A188&amp;B188, 'Podium Target Times'!$A:$A&amp;'Podium Target Times'!$B:$B, 0))
</f>
        <v/>
      </c>
      <c r="M188" s="64">
        <f>IFS(K188=0.5,L188,K188=1,U186+(F188-F191), K188=1.5, M191+(F189-F192), K188=2, M191+(F189-F192), K188=2.5, M191+(F190-F193), K188=3, M191+(F190-F193))</f>
        <v/>
      </c>
      <c r="N188" s="43">
        <f>IF(M188&lt;60, TEXT(M188, "0.00"), TEXT(M188/(24*60*60), "M:SS.00"))</f>
        <v/>
      </c>
      <c r="O188" s="14">
        <f>IFERROR(__xludf.DUMMYFUNCTION("LET(
  gen,$A188, ev,$B188, t,$N188,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P188" s="65" t="n"/>
      <c r="Q188" s="65" t="n"/>
      <c r="R188" s="69">
        <f>A196</f>
        <v/>
      </c>
      <c r="S188" s="65">
        <f>B196</f>
        <v/>
      </c>
      <c r="T188" s="69">
        <f>C196</f>
        <v/>
      </c>
      <c r="U188" s="58">
        <f>N196</f>
        <v/>
      </c>
      <c r="V188" s="69">
        <f>O196</f>
        <v/>
      </c>
      <c r="W188" s="65" t="n"/>
      <c r="X188" s="65" t="n"/>
      <c r="Y188" s="65" t="n"/>
    </row>
    <row r="189">
      <c r="A189" s="17" t="inlineStr">
        <is>
          <t>F</t>
        </is>
      </c>
      <c r="B189" s="18" t="inlineStr">
        <is>
          <t>400 Free</t>
        </is>
      </c>
      <c r="C189" s="18" t="n">
        <v>17</v>
      </c>
      <c r="D189" s="18" t="n">
        <v>2</v>
      </c>
      <c r="E189" s="46" t="inlineStr">
        <is>
          <t>4:13.16</t>
        </is>
      </c>
      <c r="F189" s="21">
        <f>IFERROR(__xludf.DUMMYFUNCTION("IF(
  REGEXMATCH(E189, "":""),
  60*VALUE(INDEX(SPLIT(E189, "":""),1,1)) + VALUE(INDEX(SPLIT(E189, "":""),1,2)),
  VALUE(E189)
)"),253.16)</f>
        <v/>
      </c>
      <c r="G189" s="211">
        <f>C182</f>
        <v/>
      </c>
      <c r="H189" s="211">
        <f>C191</f>
        <v/>
      </c>
      <c r="I189" s="211">
        <f>C196</f>
        <v/>
      </c>
      <c r="J189" s="211">
        <f>C199</f>
        <v/>
      </c>
      <c r="K189" s="60">
        <f>IFS(H189=21,1,I189=21,2,J189=21,3,and(H189=20,I189=22),1.5, and(I189=20,J189=22),2.5,H189&gt;21,0.5)</f>
        <v/>
      </c>
      <c r="L189" s="60">
        <f t="array" ref="L189">INDEX('Podium Target Times'!$C:$C, MATCH(A189&amp;B189, 'Podium Target Times'!$A:$A&amp;'Podium Target Times'!$B:$B, 0))
</f>
        <v/>
      </c>
      <c r="M189" s="66">
        <f>IFS(K189=0.5,L189,K189=1,U186+(F188-F191), K189=1.5, M191+(F189-F192), K189=2, M191+(F189-F192), K189=2.5, M191+(F190-F193), K189=3, M191+(F190-F193))</f>
        <v/>
      </c>
      <c r="N189" s="60">
        <f>IF(M189&lt;60, TEXT(M189, "0.00"), TEXT(M189/(24*60*60), "M:SS.00"))</f>
        <v/>
      </c>
      <c r="O189" s="25">
        <f>IFERROR(__xludf.DUMMYFUNCTION("LET(
  gen,$A189, ev,$B189, t,$N189,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P189" s="65" t="n"/>
      <c r="Q189" s="65" t="n"/>
      <c r="R189" s="69">
        <f>A198</f>
        <v/>
      </c>
      <c r="S189" s="65">
        <f>B198</f>
        <v/>
      </c>
      <c r="T189" s="69">
        <f>C198</f>
        <v/>
      </c>
      <c r="U189" s="58">
        <f>N198</f>
        <v/>
      </c>
      <c r="V189" s="69">
        <f>O198</f>
        <v/>
      </c>
      <c r="W189" s="65" t="n"/>
      <c r="X189" s="65" t="n"/>
      <c r="Y189" s="65" t="n"/>
    </row>
    <row r="190">
      <c r="A190" s="8" t="inlineStr">
        <is>
          <t>F</t>
        </is>
      </c>
      <c r="B190" s="9" t="inlineStr">
        <is>
          <t>400 Free</t>
        </is>
      </c>
      <c r="C190" s="9" t="n">
        <v>17</v>
      </c>
      <c r="D190" s="9" t="n">
        <v>3</v>
      </c>
      <c r="E190" s="41" t="inlineStr">
        <is>
          <t>4:13.63</t>
        </is>
      </c>
      <c r="F190" s="35">
        <f>IFERROR(__xludf.DUMMYFUNCTION("IF(
  REGEXMATCH(E190, "":""),
  60*VALUE(INDEX(SPLIT(E190, "":""),1,1)) + VALUE(INDEX(SPLIT(E190, "":""),1,2)),
  VALUE(E190)
)"),253.63)</f>
        <v/>
      </c>
      <c r="G190" s="215">
        <f>C182</f>
        <v/>
      </c>
      <c r="H190" s="215">
        <f>C191</f>
        <v/>
      </c>
      <c r="I190" s="215">
        <f>C196</f>
        <v/>
      </c>
      <c r="J190" s="215">
        <f>C199</f>
        <v/>
      </c>
      <c r="K190" s="43">
        <f>IFS(H190=21,1,I190=21,2,J190=21,3,and(H190=20,I190=22),1.5, and(I190=20,J190=22),2.5,H190&gt;21,0.5)</f>
        <v/>
      </c>
      <c r="L190" s="43">
        <f t="array" ref="L190">INDEX('Podium Target Times'!$C:$C, MATCH(A190&amp;B190, 'Podium Target Times'!$A:$A&amp;'Podium Target Times'!$B:$B, 0))
</f>
        <v/>
      </c>
      <c r="M190" s="64">
        <f>IFS(K190=0.5,L190,K190=1,U186+(F188-F191), K190=1.5, M191+(F189-F192), K190=2, M191+(F189-F192), K190=2.5, M191+(F190-F193), K190=3, M191+(F190-F193))</f>
        <v/>
      </c>
      <c r="N190" s="43">
        <f>IF(M190&lt;60, TEXT(M190, "0.00"), TEXT(M190/(24*60*60), "M:SS.00"))</f>
        <v/>
      </c>
      <c r="O190" s="14">
        <f>IFERROR(__xludf.DUMMYFUNCTION("LET(
  gen,$A190, ev,$B190, t,$N190,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)"),734.0)</f>
        <v/>
      </c>
      <c r="P190" s="65" t="n"/>
      <c r="Q190" s="65" t="n"/>
      <c r="R190" s="69" t="n"/>
      <c r="S190" s="65" t="n"/>
      <c r="T190" s="69" t="n"/>
      <c r="U190" s="58" t="n"/>
      <c r="V190" s="69" t="n"/>
      <c r="W190" s="65" t="n"/>
      <c r="X190" s="65" t="n"/>
      <c r="Y190" s="65" t="n"/>
    </row>
    <row r="191">
      <c r="A191" s="17" t="inlineStr">
        <is>
          <t>F</t>
        </is>
      </c>
      <c r="B191" s="18" t="inlineStr">
        <is>
          <t>400 Free</t>
        </is>
      </c>
      <c r="C191" s="18" t="n">
        <v>18</v>
      </c>
      <c r="D191" s="18" t="n">
        <v>1</v>
      </c>
      <c r="E191" s="46" t="inlineStr">
        <is>
          <t>4:10.23</t>
        </is>
      </c>
      <c r="F191" s="21">
        <f>IFERROR(__xludf.DUMMYFUNCTION("IF(
  REGEXMATCH(E191, "":""),
  60*VALUE(INDEX(SPLIT(E191, "":""),1,1)) + VALUE(INDEX(SPLIT(E191, "":""),1,2)),
  VALUE(E191)
)"),250.23)</f>
        <v/>
      </c>
      <c r="G191" s="211">
        <f>C182</f>
        <v/>
      </c>
      <c r="H191" s="211">
        <f>C191</f>
        <v/>
      </c>
      <c r="I191" s="211">
        <f>C196</f>
        <v/>
      </c>
      <c r="J191" s="211">
        <f>C199</f>
        <v/>
      </c>
      <c r="K191" s="60">
        <f>IFS(H191=21,1,I191=21,2,J191=21,3,and(H191=20,I191=22),1.5, and(I191=20,J191=22),2.5,H191&gt;21,0.5)</f>
        <v/>
      </c>
      <c r="L191" s="60">
        <f t="array" ref="L191">INDEX('Podium Target Times'!$C:$C, MATCH(A191&amp;B191, 'Podium Target Times'!$A:$A&amp;'Podium Target Times'!$B:$B, 0))
</f>
        <v/>
      </c>
      <c r="M191" s="66">
        <f>IFS(K191=0.5,L191,K191=1,L191, K191=1.5, M194+(F192-F194), K191=2, M194+(F192-F194), K191=2.5, M194+(F193-F195), K191=3, M194+(F193-F195))</f>
        <v/>
      </c>
      <c r="N191" s="60">
        <f>IF(M191&lt;60, TEXT(M191, "0.00"), TEXT(M191/(24*60*60), "M:SS.00"))</f>
        <v/>
      </c>
      <c r="O191" s="25">
        <f>IFERROR(__xludf.DUMMYFUNCTION("LET(
  gen,$A191, ev,$B191, t,$N191,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191" s="65" t="n"/>
      <c r="Q191" s="65" t="n"/>
      <c r="R191" s="69" t="n"/>
      <c r="S191" s="65" t="n"/>
      <c r="T191" s="69" t="n"/>
      <c r="U191" s="58" t="n"/>
      <c r="V191" s="69" t="n"/>
      <c r="W191" s="65" t="n"/>
      <c r="X191" s="65" t="n"/>
      <c r="Y191" s="65" t="n"/>
    </row>
    <row r="192">
      <c r="A192" s="8" t="inlineStr">
        <is>
          <t>F</t>
        </is>
      </c>
      <c r="B192" s="9" t="inlineStr">
        <is>
          <t>400 Free</t>
        </is>
      </c>
      <c r="C192" s="9" t="n">
        <v>18</v>
      </c>
      <c r="D192" s="9" t="n">
        <v>2</v>
      </c>
      <c r="E192" s="41" t="inlineStr">
        <is>
          <t>4:11.60</t>
        </is>
      </c>
      <c r="F192" s="35">
        <f>IFERROR(__xludf.DUMMYFUNCTION("IF(
  REGEXMATCH(E192, "":""),
  60*VALUE(INDEX(SPLIT(E192, "":""),1,1)) + VALUE(INDEX(SPLIT(E192, "":""),1,2)),
  VALUE(E192)
)"),251.6)</f>
        <v/>
      </c>
      <c r="G192" s="215">
        <f>C182</f>
        <v/>
      </c>
      <c r="H192" s="215">
        <f>C191</f>
        <v/>
      </c>
      <c r="I192" s="215">
        <f>C196</f>
        <v/>
      </c>
      <c r="J192" s="215">
        <f>C199</f>
        <v/>
      </c>
      <c r="K192" s="43">
        <f>IFS(H192=21,1,I192=21,2,J192=21,3,and(H192=20,I192=22),1.5, and(I192=20,J192=22),2.5,H192&gt;21,0.5)</f>
        <v/>
      </c>
      <c r="L192" s="43">
        <f t="array" ref="L192">INDEX('Podium Target Times'!$C:$C, MATCH(A192&amp;B192, 'Podium Target Times'!$A:$A&amp;'Podium Target Times'!$B:$B, 0))
</f>
        <v/>
      </c>
      <c r="M192" s="64">
        <f>IFS(K192=0.5,L192,K192=1,L192, K192=1.5, M194+(F192-F194), K192=2, M194+(F192-F194), K192=2.5, M194+(F193-F195), K192=3, M194+(F193-F195))</f>
        <v/>
      </c>
      <c r="N192" s="43">
        <f>IF(M192&lt;60, TEXT(M192, "0.00"), TEXT(M192/(24*60*60), "M:SS.00"))</f>
        <v/>
      </c>
      <c r="O192" s="14">
        <f>IFERROR(__xludf.DUMMYFUNCTION("LET(
  gen,$A192, ev,$B192, t,$N192,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192" s="65" t="n"/>
      <c r="Q192" s="65" t="n"/>
      <c r="R192" s="69" t="n"/>
      <c r="S192" s="65" t="n"/>
      <c r="T192" s="69" t="n"/>
      <c r="U192" s="58" t="n"/>
      <c r="V192" s="69" t="n"/>
      <c r="W192" s="65" t="n"/>
      <c r="X192" s="65" t="n"/>
      <c r="Y192" s="65" t="n"/>
    </row>
    <row r="193">
      <c r="A193" s="17" t="inlineStr">
        <is>
          <t>F</t>
        </is>
      </c>
      <c r="B193" s="18" t="inlineStr">
        <is>
          <t>400 Free</t>
        </is>
      </c>
      <c r="C193" s="18" t="n">
        <v>18</v>
      </c>
      <c r="D193" s="18" t="n">
        <v>3</v>
      </c>
      <c r="E193" s="46" t="inlineStr">
        <is>
          <t>4:12.07</t>
        </is>
      </c>
      <c r="F193" s="21">
        <f>IFERROR(__xludf.DUMMYFUNCTION("IF(
  REGEXMATCH(E193, "":""),
  60*VALUE(INDEX(SPLIT(E193, "":""),1,1)) + VALUE(INDEX(SPLIT(E193, "":""),1,2)),
  VALUE(E193)
)"),252.07)</f>
        <v/>
      </c>
      <c r="G193" s="211">
        <f>C182</f>
        <v/>
      </c>
      <c r="H193" s="211">
        <f>C191</f>
        <v/>
      </c>
      <c r="I193" s="211">
        <f>C196</f>
        <v/>
      </c>
      <c r="J193" s="211">
        <f>C199</f>
        <v/>
      </c>
      <c r="K193" s="60">
        <f>IFS(H193=21,1,I193=21,2,J193=21,3,and(H193=20,I193=22),1.5, and(I193=20,J193=22),2.5,H193&gt;21,0.5)</f>
        <v/>
      </c>
      <c r="L193" s="60">
        <f t="array" ref="L193">INDEX('Podium Target Times'!$C:$C, MATCH(A193&amp;B193, 'Podium Target Times'!$A:$A&amp;'Podium Target Times'!$B:$B, 0))
</f>
        <v/>
      </c>
      <c r="M193" s="66">
        <f>IFS(K193=0.5,L193,K193=1,L193, K193=1.5, M194+(F192-F194), K193=2, M194+(F192-F194), K193=2.5, M194+(F193-F195), K193=3, M194+(F193-F195))</f>
        <v/>
      </c>
      <c r="N193" s="60">
        <f>IF(M193&lt;60, TEXT(M193, "0.00"), TEXT(M193/(24*60*60), "M:SS.00"))</f>
        <v/>
      </c>
      <c r="O193" s="25">
        <f>IFERROR(__xludf.DUMMYFUNCTION("LET(
  gen,$A193, ev,$B193, t,$N193,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193" s="65" t="n"/>
      <c r="Q193" s="65" t="n"/>
      <c r="R193" s="69" t="n"/>
      <c r="S193" s="65" t="n"/>
      <c r="T193" s="69" t="n"/>
      <c r="U193" s="58" t="n"/>
      <c r="V193" s="69" t="n"/>
      <c r="W193" s="65" t="n"/>
      <c r="X193" s="65" t="n"/>
      <c r="Y193" s="65" t="n"/>
    </row>
    <row r="194">
      <c r="A194" s="8" t="inlineStr">
        <is>
          <t>F</t>
        </is>
      </c>
      <c r="B194" s="9" t="inlineStr">
        <is>
          <t>400 Free</t>
        </is>
      </c>
      <c r="C194" s="9" t="n">
        <v>19</v>
      </c>
      <c r="D194" s="219" t="n">
        <v>2</v>
      </c>
      <c r="E194" s="41" t="inlineStr">
        <is>
          <t>4:10.74</t>
        </is>
      </c>
      <c r="F194" s="35">
        <f>IFERROR(__xludf.DUMMYFUNCTION("IF(
  REGEXMATCH(E194, "":""),
  60*VALUE(INDEX(SPLIT(E194, "":""),1,1)) + VALUE(INDEX(SPLIT(E194, "":""),1,2)),
  VALUE(E194)
)"),250.74)</f>
        <v/>
      </c>
      <c r="G194" s="215">
        <f>C182</f>
        <v/>
      </c>
      <c r="H194" s="215">
        <f>C191</f>
        <v/>
      </c>
      <c r="I194" s="215">
        <f>C196</f>
        <v/>
      </c>
      <c r="J194" s="215">
        <f>C199</f>
        <v/>
      </c>
      <c r="K194" s="43">
        <f>IFS(H194=21,1,I194=21,2,J194=21,3,and(H194=20,I194=22),1.5, and(I194=20,J194=22),2.5,H194&gt;21,0.5)</f>
        <v/>
      </c>
      <c r="L194" s="43">
        <f t="array" ref="L194">INDEX('Podium Target Times'!$C:$C, MATCH(A194&amp;B194, 'Podium Target Times'!$A:$A&amp;'Podium Target Times'!$B:$B, 0))
</f>
        <v/>
      </c>
      <c r="M194" s="64">
        <f>IFS(K194=0.5,L194,K194=1,L194, K194=1.5, L194, K194=2, M196+(F194-F196), K194=2.5, M196+(F195-F197), K194=3, M196+(F195-F197))</f>
        <v/>
      </c>
      <c r="N194" s="43">
        <f>IF(M194&lt;60, TEXT(M194, "0.00"), TEXT(M194/(24*60*60), "M:SS.00"))</f>
        <v/>
      </c>
      <c r="O194" s="14">
        <f>IFERROR(__xludf.DUMMYFUNCTION("LET(
  gen,$A194, ev,$B194, t,$N194,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194" s="65" t="n"/>
      <c r="Q194" s="65" t="n"/>
      <c r="R194" s="69" t="n"/>
      <c r="S194" s="65" t="n"/>
      <c r="T194" s="69" t="n"/>
      <c r="U194" s="58" t="n"/>
      <c r="V194" s="69" t="n"/>
      <c r="W194" s="65" t="n"/>
      <c r="X194" s="65" t="n"/>
      <c r="Y194" s="65" t="n"/>
    </row>
    <row r="195">
      <c r="A195" s="17" t="inlineStr">
        <is>
          <t>F</t>
        </is>
      </c>
      <c r="B195" s="18" t="inlineStr">
        <is>
          <t>400 Free</t>
        </is>
      </c>
      <c r="C195" s="18" t="n">
        <v>19</v>
      </c>
      <c r="D195" s="18" t="n">
        <v>3</v>
      </c>
      <c r="E195" s="491" t="inlineStr">
        <is>
          <t>4:11.21</t>
        </is>
      </c>
      <c r="F195" s="21">
        <f>IFERROR(__xludf.DUMMYFUNCTION("IF(
  REGEXMATCH(E195, "":""),
  60*VALUE(INDEX(SPLIT(E195, "":""),1,1)) + VALUE(INDEX(SPLIT(E195, "":""),1,2)),
  VALUE(E195)
)"),251.21)</f>
        <v/>
      </c>
      <c r="G195" s="211">
        <f>C182</f>
        <v/>
      </c>
      <c r="H195" s="211">
        <f>C191</f>
        <v/>
      </c>
      <c r="I195" s="211">
        <f>C196</f>
        <v/>
      </c>
      <c r="J195" s="211">
        <f>C199</f>
        <v/>
      </c>
      <c r="K195" s="60">
        <f>IFS(H195=21,1,I195=21,2,J195=21,3,and(H195=20,I195=22),1.5, and(I195=20,J195=22),2.5,H195&gt;21,0.5)</f>
        <v/>
      </c>
      <c r="L195" s="60">
        <f t="array" ref="L195">INDEX('Podium Target Times'!$C:$C, MATCH(A195&amp;B195, 'Podium Target Times'!$A:$A&amp;'Podium Target Times'!$B:$B, 0))
</f>
        <v/>
      </c>
      <c r="M195" s="66">
        <f>IFS(K195=0.5,L195,K195=1,L195, K195=1.5, L195, K195=2, M196+(F194-F196), K195=2.5, M196+(F195-F197), K195=3, M196+(F195-F197))</f>
        <v/>
      </c>
      <c r="N195" s="60">
        <f>IF(M195&lt;60, TEXT(M195, "0.00"), TEXT(M195/(24*60*60), "M:SS.00"))</f>
        <v/>
      </c>
      <c r="O195" s="25">
        <f>IFERROR(__xludf.DUMMYFUNCTION("LET(
  gen,$A195, ev,$B195, t,$N195,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195" s="65" t="n"/>
      <c r="Q195" s="65" t="n"/>
      <c r="R195" s="69" t="n"/>
      <c r="S195" s="65" t="n"/>
      <c r="T195" s="69" t="n"/>
      <c r="U195" s="58" t="n"/>
      <c r="V195" s="69" t="n"/>
      <c r="W195" s="65" t="n"/>
      <c r="X195" s="65" t="n"/>
      <c r="Y195" s="65" t="n"/>
    </row>
    <row r="196">
      <c r="A196" s="8" t="inlineStr">
        <is>
          <t>F</t>
        </is>
      </c>
      <c r="B196" s="9" t="inlineStr">
        <is>
          <t>400 Free</t>
        </is>
      </c>
      <c r="C196" s="9" t="n">
        <v>20</v>
      </c>
      <c r="D196" s="9" t="n">
        <v>2</v>
      </c>
      <c r="E196" s="41" t="inlineStr">
        <is>
          <t>4:10.23</t>
        </is>
      </c>
      <c r="F196" s="35">
        <f>IFERROR(__xludf.DUMMYFUNCTION("IF(
  REGEXMATCH(E196, "":""),
  60*VALUE(INDEX(SPLIT(E196, "":""),1,1)) + VALUE(INDEX(SPLIT(E196, "":""),1,2)),
  VALUE(E196)
)"),250.23)</f>
        <v/>
      </c>
      <c r="G196" s="215">
        <f>C182</f>
        <v/>
      </c>
      <c r="H196" s="215">
        <f>C191</f>
        <v/>
      </c>
      <c r="I196" s="215">
        <f>C196</f>
        <v/>
      </c>
      <c r="J196" s="215">
        <f>C199</f>
        <v/>
      </c>
      <c r="K196" s="43">
        <f>IFS(H196=21,1,I196=21,2,J196=21,3,and(H196=20,I196=22),1.5, and(I196=20,J196=22),2.5,H196&gt;21,0.5)</f>
        <v/>
      </c>
      <c r="L196" s="43">
        <f t="array" ref="L196">INDEX('Podium Target Times'!$C:$C, MATCH(A196&amp;B196, 'Podium Target Times'!$A:$A&amp;'Podium Target Times'!$B:$B, 0))
</f>
        <v/>
      </c>
      <c r="M196" s="64">
        <f>IFS(K196=0.5,L196,K196=1,L196, K196=1.5, L196, K196=2,L199, K196=2.5, M198+(F197-F198), K196=3,  M198+(F197-F198))</f>
        <v/>
      </c>
      <c r="N196" s="43">
        <f>IF(M196&lt;60, TEXT(M196, "0.00"), TEXT(M196/(24*60*60), "M:SS.00"))</f>
        <v/>
      </c>
      <c r="O196" s="14">
        <f>IFERROR(__xludf.DUMMYFUNCTION("LET(
  gen,$A196, ev,$B196, t,$N196,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P196" s="65" t="n"/>
      <c r="Q196" s="65" t="n"/>
      <c r="R196" s="69" t="n"/>
      <c r="S196" s="65" t="n"/>
      <c r="T196" s="69" t="n"/>
      <c r="U196" s="58" t="n"/>
      <c r="V196" s="69" t="n"/>
      <c r="W196" s="65" t="n"/>
      <c r="X196" s="65" t="n"/>
      <c r="Y196" s="65" t="n"/>
    </row>
    <row r="197">
      <c r="A197" s="17" t="inlineStr">
        <is>
          <t>F</t>
        </is>
      </c>
      <c r="B197" s="18" t="inlineStr">
        <is>
          <t>400 Free</t>
        </is>
      </c>
      <c r="C197" s="18" t="n">
        <v>20</v>
      </c>
      <c r="D197" s="18" t="n">
        <v>3</v>
      </c>
      <c r="E197" s="46" t="inlineStr">
        <is>
          <t>4:10.70</t>
        </is>
      </c>
      <c r="F197" s="21">
        <f>IFERROR(__xludf.DUMMYFUNCTION("IF(
  REGEXMATCH(E197, "":""),
  60*VALUE(INDEX(SPLIT(E197, "":""),1,1)) + VALUE(INDEX(SPLIT(E197, "":""),1,2)),
  VALUE(E197)
)"),250.7)</f>
        <v/>
      </c>
      <c r="G197" s="211">
        <f>C182</f>
        <v/>
      </c>
      <c r="H197" s="211">
        <f>C191</f>
        <v/>
      </c>
      <c r="I197" s="211">
        <f>C196</f>
        <v/>
      </c>
      <c r="J197" s="211">
        <f>C199</f>
        <v/>
      </c>
      <c r="K197" s="60">
        <f>IFS(H197=21,1,I197=21,2,J197=21,3,and(H197=20,I197=22),1.5, and(I197=20,J197=22),2.5,H197&gt;21,0.5)</f>
        <v/>
      </c>
      <c r="L197" s="60">
        <f t="array" ref="L197">INDEX('Podium Target Times'!$C:$C, MATCH(A197&amp;B197, 'Podium Target Times'!$A:$A&amp;'Podium Target Times'!$B:$B, 0))
</f>
        <v/>
      </c>
      <c r="M197" s="66">
        <f>IFS(K197=0.5,L197,K197=1,L197, K197=1.5, L197, K197=2, L199, K197=2.5, M198+(F197-F198), K197=3, M198+(F197-F198))</f>
        <v/>
      </c>
      <c r="N197" s="60">
        <f>IF(M197&lt;60, TEXT(M197, "0.00"), TEXT(M197/(24*60*60), "M:SS.00"))</f>
        <v/>
      </c>
      <c r="O197" s="25">
        <f>IFERROR(__xludf.DUMMYFUNCTION("LET(
  gen,$A197, ev,$B197, t,$N197,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P197" s="65" t="n"/>
      <c r="Q197" s="65" t="n"/>
      <c r="R197" s="69" t="n"/>
      <c r="S197" s="65" t="n"/>
      <c r="T197" s="69" t="n"/>
      <c r="U197" s="58" t="n"/>
      <c r="V197" s="69" t="n"/>
      <c r="W197" s="65" t="n"/>
      <c r="X197" s="65" t="n"/>
      <c r="Y197" s="65" t="n"/>
    </row>
    <row r="198">
      <c r="A198" s="8" t="inlineStr">
        <is>
          <t>F</t>
        </is>
      </c>
      <c r="B198" s="9" t="inlineStr">
        <is>
          <t>400 Free</t>
        </is>
      </c>
      <c r="C198" s="9" t="n">
        <v>21</v>
      </c>
      <c r="D198" s="9" t="n">
        <v>3</v>
      </c>
      <c r="E198" s="41" t="inlineStr">
        <is>
          <t>4:10.35</t>
        </is>
      </c>
      <c r="F198" s="35">
        <f>IFERROR(__xludf.DUMMYFUNCTION("IF(
  REGEXMATCH(E198, "":""),
  60*VALUE(INDEX(SPLIT(E198, "":""),1,1)) + VALUE(INDEX(SPLIT(E198, "":""),1,2)),
  VALUE(E198)
)"),250.35)</f>
        <v/>
      </c>
      <c r="G198" s="215">
        <f>C182</f>
        <v/>
      </c>
      <c r="H198" s="215">
        <f>C191</f>
        <v/>
      </c>
      <c r="I198" s="215">
        <f>C196</f>
        <v/>
      </c>
      <c r="J198" s="215">
        <f>C199</f>
        <v/>
      </c>
      <c r="K198" s="43">
        <f>IFS(H198=21,1,I198=21,2,J198=21,3,and(H198=20,I198=22),1.5, and(I198=20,J198=22),2.5,H198&gt;21,0.5)</f>
        <v/>
      </c>
      <c r="L198" s="43">
        <f t="array" ref="L198">INDEX('Podium Target Times'!$C:$C, MATCH(A198&amp;B198, 'Podium Target Times'!$A:$A&amp;'Podium Target Times'!$B:$B, 0))
</f>
        <v/>
      </c>
      <c r="M198" s="64">
        <f>IFS(K198=0.5,L198,K198=1,L198, K198=1.5, L198, K198=2, L199, K198=2.5, L199, K198=3, M199+(F198-F199))</f>
        <v/>
      </c>
      <c r="N198" s="43">
        <f>IF(M198&lt;60, TEXT(M198, "0.00"), TEXT(M198/(24*60*60), "M:SS.00"))</f>
        <v/>
      </c>
      <c r="O198" s="14">
        <f>IFERROR(__xludf.DUMMYFUNCTION("LET(
  gen,$A198, ev,$B198, t,$N198,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198" s="65" t="n"/>
      <c r="Q198" s="65" t="n"/>
      <c r="R198" s="69" t="n"/>
      <c r="S198" s="65" t="n"/>
      <c r="T198" s="69" t="n"/>
      <c r="U198" s="58" t="n"/>
      <c r="V198" s="69" t="n"/>
      <c r="W198" s="65" t="n"/>
      <c r="X198" s="65" t="n"/>
      <c r="Y198" s="65" t="n"/>
    </row>
    <row r="199">
      <c r="A199" s="17" t="inlineStr">
        <is>
          <t>F</t>
        </is>
      </c>
      <c r="B199" s="18" t="inlineStr">
        <is>
          <t>400 Free</t>
        </is>
      </c>
      <c r="C199" s="18" t="n">
        <v>22</v>
      </c>
      <c r="D199" s="18" t="n">
        <v>3</v>
      </c>
      <c r="E199" s="46" t="inlineStr">
        <is>
          <t>4:10.23</t>
        </is>
      </c>
      <c r="F199" s="21">
        <f>IFERROR(__xludf.DUMMYFUNCTION("IF(
  REGEXMATCH(E199, "":""),
  60*VALUE(INDEX(SPLIT(E199, "":""),1,1)) + VALUE(INDEX(SPLIT(E199, "":""),1,2)),
  VALUE(E199)
)"),250.23)</f>
        <v/>
      </c>
      <c r="G199" s="211">
        <f>C182</f>
        <v/>
      </c>
      <c r="H199" s="211">
        <f>C191</f>
        <v/>
      </c>
      <c r="I199" s="211">
        <f>C196</f>
        <v/>
      </c>
      <c r="J199" s="211">
        <f>C199</f>
        <v/>
      </c>
      <c r="K199" s="60">
        <f>IFS(H199=21,1,I199=21,2,J199=21,3,and(H199=20,I199=22),1.5, and(I199=20,J199=22),2.5,H199&gt;21,0.5)</f>
        <v/>
      </c>
      <c r="L199" s="60">
        <f t="array" ref="L199">INDEX('Podium Target Times'!$C:$C, MATCH(A199&amp;B199, 'Podium Target Times'!$A:$A&amp;'Podium Target Times'!$B:$B, 0))
</f>
        <v/>
      </c>
      <c r="M199" s="66">
        <f>IFS(K199=0.5,L199,K199=1,L199, K199=1.5, L199, K199=2, L199, K199=2.5, L199, K199=3, L199)</f>
        <v/>
      </c>
      <c r="N199" s="60">
        <f>IF(M199&lt;60, TEXT(M199, "0.00"), TEXT(M199/(24*60*60), "M:SS.00"))</f>
        <v/>
      </c>
      <c r="O199" s="25">
        <f>IFERROR(__xludf.DUMMYFUNCTION("LET(
  gen,$A199, ev,$B199, t,$N199,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199" s="65" t="n"/>
      <c r="Q199" s="65" t="n"/>
      <c r="R199" s="69" t="n"/>
      <c r="S199" s="65" t="n"/>
      <c r="T199" s="69" t="n"/>
      <c r="U199" s="58" t="n"/>
      <c r="V199" s="69" t="n"/>
      <c r="W199" s="65" t="n"/>
      <c r="X199" s="65" t="n"/>
      <c r="Y199" s="65" t="n"/>
    </row>
    <row r="200">
      <c r="A200" s="8" t="inlineStr">
        <is>
          <t>F</t>
        </is>
      </c>
      <c r="B200" s="9" t="inlineStr">
        <is>
          <t>400 IM</t>
        </is>
      </c>
      <c r="C200" s="9" t="n">
        <v>13</v>
      </c>
      <c r="D200" s="9" t="n">
        <v>1</v>
      </c>
      <c r="E200" s="43" t="inlineStr">
        <is>
          <t>5:09.36</t>
        </is>
      </c>
      <c r="F200" s="35">
        <f>IFERROR(__xludf.DUMMYFUNCTION("IF(
  REGEXMATCH(E200, "":""),
  60*VALUE(INDEX(SPLIT(E200, "":""),1,1)) + VALUE(INDEX(SPLIT(E200, "":""),1,2)),
  VALUE(E200)
)"),309.36)</f>
        <v/>
      </c>
      <c r="G200" s="43">
        <f>C200</f>
        <v/>
      </c>
      <c r="H200" s="43">
        <f>C209</f>
        <v/>
      </c>
      <c r="I200" s="43">
        <f>C214</f>
        <v/>
      </c>
      <c r="J200" s="43">
        <f>C217</f>
        <v/>
      </c>
      <c r="K200" s="43">
        <f>IFS(H200=21,1,I200=21,2,J200=21,3,and(H200=20,I200=22),1.5, and(I200=20,J200=22),2.5,H200&gt;21,0.5)</f>
        <v/>
      </c>
      <c r="L200" s="43">
        <f t="array" ref="L200">INDEX('Podium Target Times'!$C:$C, MATCH(A200&amp;B200, 'Podium Target Times'!$A:$A&amp;'Podium Target Times'!$B:$B, 0))
</f>
        <v/>
      </c>
      <c r="M200" s="64">
        <f>IFS(K200=0.5,M201+(F200-F201),K200=1,M201+(F200-F201), K200=1.5, M201+(F200-F201), K200=2, M201+(F200-F201), K200=2.5, M201+(F200-F201), K200=3, M201+(F200-F201))</f>
        <v/>
      </c>
      <c r="N200" s="43">
        <f>IF(M200&lt;60, TEXT(M200, "0.00"), TEXT(M200/(24*60*60), "M:SS.00"))</f>
        <v/>
      </c>
      <c r="O200" s="14">
        <f>IFERROR(__xludf.DUMMYFUNCTION("LET(
  gen,$A200, ev,$B200, t,$N200,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)"),552.0)</f>
        <v/>
      </c>
      <c r="P200" s="65" t="n"/>
      <c r="Q200" s="65" t="n"/>
      <c r="R200" s="69">
        <f>A200</f>
        <v/>
      </c>
      <c r="S200" s="65">
        <f>B200</f>
        <v/>
      </c>
      <c r="T200" s="69">
        <f>C200</f>
        <v/>
      </c>
      <c r="U200" s="58">
        <f>N200</f>
        <v/>
      </c>
      <c r="V200" s="69">
        <f>O200</f>
        <v/>
      </c>
      <c r="W200" s="65" t="n"/>
      <c r="X200" s="65" t="n"/>
      <c r="Y200" s="65" t="n"/>
    </row>
    <row r="201">
      <c r="A201" s="17" t="inlineStr">
        <is>
          <t>F</t>
        </is>
      </c>
      <c r="B201" s="18" t="inlineStr">
        <is>
          <t>400 IM</t>
        </is>
      </c>
      <c r="C201" s="18" t="n">
        <v>14</v>
      </c>
      <c r="D201" s="18" t="n">
        <v>1</v>
      </c>
      <c r="E201" s="60" t="inlineStr">
        <is>
          <t>4:58.88</t>
        </is>
      </c>
      <c r="F201" s="21">
        <f>IFERROR(__xludf.DUMMYFUNCTION("IF(
  REGEXMATCH(E201, "":""),
  60*VALUE(INDEX(SPLIT(E201, "":""),1,1)) + VALUE(INDEX(SPLIT(E201, "":""),1,2)),
  VALUE(E201)
)"),298.88)</f>
        <v/>
      </c>
      <c r="G201" s="211">
        <f>C200</f>
        <v/>
      </c>
      <c r="H201" s="211">
        <f>C209</f>
        <v/>
      </c>
      <c r="I201" s="211">
        <f>C214</f>
        <v/>
      </c>
      <c r="J201" s="211">
        <f>C217</f>
        <v/>
      </c>
      <c r="K201" s="60">
        <f>IFS(H201=21,1,I201=21,2,J201=21,3,and(H201=20,I201=22),1.5, and(I201=20,J201=22),2.5,H201&gt;21,0.5)</f>
        <v/>
      </c>
      <c r="L201" s="60">
        <f t="array" ref="L201">INDEX('Podium Target Times'!$C:$C, MATCH(A201&amp;B201, 'Podium Target Times'!$A:$A&amp;'Podium Target Times'!$B:$B, 0))
</f>
        <v/>
      </c>
      <c r="M201" s="66">
        <f>IFS(K201=0.5,M202+(F201-F203),K201=1,M202+(F201-F203), K201=1.5, M203+(F202-F204), K201=2, M203+(F202-F204), K201=2.5, M203+(F202-F204), K201=3, M203+(F202-F204))</f>
        <v/>
      </c>
      <c r="N201" s="60">
        <f>IF(M201&lt;60, TEXT(M201, "0.00"), TEXT(M201/(24*60*60), "M:SS.00"))</f>
        <v/>
      </c>
      <c r="O201" s="25">
        <f>IFERROR(__xludf.DUMMYFUNCTION("LET(
  gen,$A201, ev,$B201, t,$N201,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)"),610.0)</f>
        <v/>
      </c>
      <c r="P201" s="65" t="n"/>
      <c r="Q201" s="65" t="n"/>
      <c r="R201" s="69">
        <f>A201</f>
        <v/>
      </c>
      <c r="S201" s="65">
        <f>B201</f>
        <v/>
      </c>
      <c r="T201" s="69">
        <f>C201</f>
        <v/>
      </c>
      <c r="U201" s="58">
        <f>N201</f>
        <v/>
      </c>
      <c r="V201" s="69">
        <f>O201</f>
        <v/>
      </c>
      <c r="W201" s="65" t="n"/>
      <c r="X201" s="65" t="n"/>
      <c r="Y201" s="65" t="n"/>
    </row>
    <row r="202">
      <c r="A202" s="8" t="inlineStr">
        <is>
          <t>F</t>
        </is>
      </c>
      <c r="B202" s="9" t="inlineStr">
        <is>
          <t>400 IM</t>
        </is>
      </c>
      <c r="C202" s="9" t="n">
        <v>14</v>
      </c>
      <c r="D202" s="219" t="n">
        <v>2</v>
      </c>
      <c r="E202" s="43" t="inlineStr">
        <is>
          <t>5:01.95</t>
        </is>
      </c>
      <c r="F202" s="35">
        <f>IFERROR(__xludf.DUMMYFUNCTION("IF(
  REGEXMATCH(E202, "":""),
  60*VALUE(INDEX(SPLIT(E202, "":""),1,1)) + VALUE(INDEX(SPLIT(E202, "":""),1,2)),
  VALUE(E202)
)"),301.95)</f>
        <v/>
      </c>
      <c r="G202" s="215">
        <f>C200</f>
        <v/>
      </c>
      <c r="H202" s="215">
        <f>C209</f>
        <v/>
      </c>
      <c r="I202" s="215">
        <f>C214</f>
        <v/>
      </c>
      <c r="J202" s="215">
        <f>C217</f>
        <v/>
      </c>
      <c r="K202" s="43">
        <f>IFS(H202=21,1,I202=21,2,J202=21,3,and(H202=20,I202=22),1.5, and(I202=20,J202=22),2.5,H202&gt;21,0.5)</f>
        <v/>
      </c>
      <c r="L202" s="43">
        <f t="array" ref="L202">INDEX('Podium Target Times'!$C:$C, MATCH(A202&amp;B202, 'Podium Target Times'!$A:$A&amp;'Podium Target Times'!$B:$B, 0))
</f>
        <v/>
      </c>
      <c r="M202" s="64">
        <f>IFS(K202=0.5,M203+(F202-F205),K202=1,M203+(F202-F205), K202=1.5, M203+(F202-F204), K202=2, M203+(F202-F204), K202=2.5, M203+(F202-F204), K202=3, M203+(F202-F204))</f>
        <v/>
      </c>
      <c r="N202" s="43">
        <f>IF(M202&lt;60, TEXT(M202, "0.00"), TEXT(M202/(24*60*60), "M:SS.00"))</f>
        <v/>
      </c>
      <c r="O202" s="14">
        <f>IFERROR(__xludf.DUMMYFUNCTION("LET(
  gen,$A202, ev,$B202, t,$N202,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)"),610.0)</f>
        <v/>
      </c>
      <c r="P202" s="65" t="n"/>
      <c r="Q202" s="65" t="n"/>
      <c r="R202" s="69">
        <f>A203</f>
        <v/>
      </c>
      <c r="S202" s="65">
        <f>B203</f>
        <v/>
      </c>
      <c r="T202" s="69">
        <f>C203</f>
        <v/>
      </c>
      <c r="U202" s="58">
        <f>N203</f>
        <v/>
      </c>
      <c r="V202" s="69">
        <f>O203</f>
        <v/>
      </c>
      <c r="W202" s="65" t="n"/>
      <c r="X202" s="65" t="n"/>
      <c r="Y202" s="65" t="n"/>
    </row>
    <row r="203">
      <c r="A203" s="17" t="inlineStr">
        <is>
          <t>F</t>
        </is>
      </c>
      <c r="B203" s="18" t="inlineStr">
        <is>
          <t>400 IM</t>
        </is>
      </c>
      <c r="C203" s="18" t="n">
        <v>15</v>
      </c>
      <c r="D203" s="18" t="n">
        <v>1</v>
      </c>
      <c r="E203" s="46" t="inlineStr">
        <is>
          <t>4:51.23</t>
        </is>
      </c>
      <c r="F203" s="21">
        <f>IFERROR(__xludf.DUMMYFUNCTION("IF(
  REGEXMATCH(E203, "":""),
  60*VALUE(INDEX(SPLIT(E203, "":""),1,1)) + VALUE(INDEX(SPLIT(E203, "":""),1,2)),
  VALUE(E203)
)"),291.23)</f>
        <v/>
      </c>
      <c r="G203" s="211">
        <f>C200</f>
        <v/>
      </c>
      <c r="H203" s="211">
        <f>C209</f>
        <v/>
      </c>
      <c r="I203" s="211">
        <f>C214</f>
        <v/>
      </c>
      <c r="J203" s="211">
        <f>C217</f>
        <v/>
      </c>
      <c r="K203" s="60">
        <f>IFS(H203=21,1,I203=21,2,J203=21,3,and(H203=20,I203=22),1.5, and(I203=20,J203=22),2.5,H203&gt;21,0.5)</f>
        <v/>
      </c>
      <c r="L203" s="60">
        <f t="array" ref="L203">INDEX('Podium Target Times'!$C:$C, MATCH(A203&amp;B203, 'Podium Target Times'!$A:$A&amp;'Podium Target Times'!$B:$B, 0))
</f>
        <v/>
      </c>
      <c r="M203" s="66">
        <f>IFS(K203=0.5,M204+(F203-F206),K203=1,M204+(F203-F206), K203=1.5, M206+(F204-F207), K203=2, M206+(F204-F207), K203=2.5, M206+(F205-F208), K203=3, M206+(F205-F208))</f>
        <v/>
      </c>
      <c r="N203" s="60">
        <f>IF(M203&lt;60, TEXT(M203, "0.00"), TEXT(M203/(24*60*60), "M:SS.00"))</f>
        <v/>
      </c>
      <c r="O203" s="25">
        <f>IFERROR(__xludf.DUMMYFUNCTION("LET(
  gen,$A203, ev,$B203, t,$N203,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
      </c>
      <c r="P203" s="65" t="n"/>
      <c r="Q203" s="65" t="n"/>
      <c r="R203" s="69">
        <f>A206</f>
        <v/>
      </c>
      <c r="S203" s="65">
        <f>B206</f>
        <v/>
      </c>
      <c r="T203" s="69">
        <f>C206</f>
        <v/>
      </c>
      <c r="U203" s="58">
        <f>N206</f>
        <v/>
      </c>
      <c r="V203" s="69">
        <f>O206</f>
        <v/>
      </c>
      <c r="W203" s="65" t="n"/>
      <c r="X203" s="65" t="n"/>
      <c r="Y203" s="65" t="n"/>
    </row>
    <row r="204">
      <c r="A204" s="8" t="inlineStr">
        <is>
          <t>F</t>
        </is>
      </c>
      <c r="B204" s="9" t="inlineStr">
        <is>
          <t>400 IM</t>
        </is>
      </c>
      <c r="C204" s="9" t="n">
        <v>15</v>
      </c>
      <c r="D204" s="219" t="n">
        <v>2</v>
      </c>
      <c r="E204" s="41" t="inlineStr">
        <is>
          <t>4:54.23</t>
        </is>
      </c>
      <c r="F204" s="35">
        <f>IFERROR(__xludf.DUMMYFUNCTION("IF(
  REGEXMATCH(E204, "":""),
  60*VALUE(INDEX(SPLIT(E204, "":""),1,1)) + VALUE(INDEX(SPLIT(E204, "":""),1,2)),
  VALUE(E204)
)"),294.23)</f>
        <v/>
      </c>
      <c r="G204" s="215">
        <f>C200</f>
        <v/>
      </c>
      <c r="H204" s="215">
        <f>C209</f>
        <v/>
      </c>
      <c r="I204" s="215">
        <f>C214</f>
        <v/>
      </c>
      <c r="J204" s="215">
        <f>C217</f>
        <v/>
      </c>
      <c r="K204" s="43">
        <f>IFS(H204=21,1,I204=21,2,J204=21,3,and(H204=20,I204=22),1.5, and(I204=20,J204=22),2.5,H204&gt;21,0.5)</f>
        <v/>
      </c>
      <c r="L204" s="43">
        <f t="array" ref="L204">INDEX('Podium Target Times'!$C:$C, MATCH(A204&amp;B204, 'Podium Target Times'!$A:$A&amp;'Podium Target Times'!$B:$B, 0))
</f>
        <v/>
      </c>
      <c r="M204" s="64">
        <f>IFS(K204=0.5,M205+(F203-F206),K204=1,M205+(F203-F206), K204=1.5, M206+(F204-F207), K204=2, M206+(F204-F207), K204=2.5, M206+(F205-F208), K204=3, M206+(F205-F208))</f>
        <v/>
      </c>
      <c r="N204" s="43">
        <f>IF(M204&lt;60, TEXT(M204, "0.00"), TEXT(M204/(24*60*60), "M:SS.00"))</f>
        <v/>
      </c>
      <c r="O204" s="14">
        <f>IFERROR(__xludf.DUMMYFUNCTION("LET(
  gen,$A204, ev,$B204, t,$N204,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
      </c>
      <c r="P204" s="65" t="n"/>
      <c r="Q204" s="65" t="n"/>
      <c r="R204" s="69">
        <f>A209</f>
        <v/>
      </c>
      <c r="S204" s="65">
        <f>B209</f>
        <v/>
      </c>
      <c r="T204" s="69">
        <f>C209</f>
        <v/>
      </c>
      <c r="U204" s="58">
        <f>N209</f>
        <v/>
      </c>
      <c r="V204" s="69">
        <f>O209</f>
        <v/>
      </c>
      <c r="W204" s="65" t="n"/>
      <c r="X204" s="65" t="n"/>
      <c r="Y204" s="65" t="n"/>
    </row>
    <row r="205">
      <c r="A205" s="17" t="inlineStr">
        <is>
          <t>F</t>
        </is>
      </c>
      <c r="B205" s="18" t="inlineStr">
        <is>
          <t>400 IM</t>
        </is>
      </c>
      <c r="C205" s="18" t="n">
        <v>15</v>
      </c>
      <c r="D205" s="18" t="n">
        <v>3</v>
      </c>
      <c r="E205" s="46" t="inlineStr">
        <is>
          <t>4:54.88</t>
        </is>
      </c>
      <c r="F205" s="21">
        <f>IFERROR(__xludf.DUMMYFUNCTION("IF(
  REGEXMATCH(E205, "":""),
  60*VALUE(INDEX(SPLIT(E205, "":""),1,1)) + VALUE(INDEX(SPLIT(E205, "":""),1,2)),
  VALUE(E205)
)"),294.88)</f>
        <v/>
      </c>
      <c r="G205" s="211">
        <f>C200</f>
        <v/>
      </c>
      <c r="H205" s="211">
        <f>C209</f>
        <v/>
      </c>
      <c r="I205" s="211">
        <f>C214</f>
        <v/>
      </c>
      <c r="J205" s="211">
        <f>C217</f>
        <v/>
      </c>
      <c r="K205" s="60">
        <f>IFS(H205=21,1,I205=21,2,J205=21,3,and(H205=20,I205=22),1.5, and(I205=20,J205=22),2.5,H205&gt;21,0.5)</f>
        <v/>
      </c>
      <c r="L205" s="60">
        <f t="array" ref="L205">INDEX('Podium Target Times'!$C:$C, MATCH(A205&amp;B205, 'Podium Target Times'!$A:$A&amp;'Podium Target Times'!$B:$B, 0))
</f>
        <v/>
      </c>
      <c r="M205" s="66">
        <f>IFS(K205=0.5,M206+(F203-F206),K205=1,M206+(F203-F206), K205=1.5, M206+(F204-F207), K205=2, M206+(F204-F207), K205=2.5, M206+(F205-F208), K205=3, M206+(F205-F208))</f>
        <v/>
      </c>
      <c r="N205" s="60">
        <f>IF(M205&lt;60, TEXT(M205, "0.00"), TEXT(M205/(24*60*60), "M:SS.00"))</f>
        <v/>
      </c>
      <c r="O205" s="25">
        <f>IFERROR(__xludf.DUMMYFUNCTION("LET(
  gen,$A205, ev,$B205, t,$N205,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
      </c>
      <c r="P205" s="65" t="n"/>
      <c r="Q205" s="65" t="n"/>
      <c r="R205" s="69">
        <f>A212</f>
        <v/>
      </c>
      <c r="S205" s="65">
        <f>B212</f>
        <v/>
      </c>
      <c r="T205" s="69">
        <f>C212</f>
        <v/>
      </c>
      <c r="U205" s="58">
        <f>N212</f>
        <v/>
      </c>
      <c r="V205" s="69">
        <f>O212</f>
        <v/>
      </c>
      <c r="W205" s="65" t="n"/>
      <c r="X205" s="65" t="n"/>
      <c r="Y205" s="65" t="n"/>
    </row>
    <row r="206">
      <c r="A206" s="8" t="inlineStr">
        <is>
          <t>F</t>
        </is>
      </c>
      <c r="B206" s="9" t="inlineStr">
        <is>
          <t>400 IM</t>
        </is>
      </c>
      <c r="C206" s="9" t="n">
        <v>16</v>
      </c>
      <c r="D206" s="9" t="n">
        <v>1</v>
      </c>
      <c r="E206" s="41" t="inlineStr">
        <is>
          <t>4:46.20</t>
        </is>
      </c>
      <c r="F206" s="35">
        <f>IFERROR(__xludf.DUMMYFUNCTION("IF(
  REGEXMATCH(E206, "":""),
  60*VALUE(INDEX(SPLIT(E206, "":""),1,1)) + VALUE(INDEX(SPLIT(E206, "":""),1,2)),
  VALUE(E206)
)"),286.2)</f>
        <v/>
      </c>
      <c r="G206" s="215">
        <f>C200</f>
        <v/>
      </c>
      <c r="H206" s="215">
        <f>C209</f>
        <v/>
      </c>
      <c r="I206" s="215">
        <f>C214</f>
        <v/>
      </c>
      <c r="J206" s="215">
        <f>C217</f>
        <v/>
      </c>
      <c r="K206" s="43">
        <f>IFS(H206=21,1,I206=21,2,J206=21,3,and(H206=20,I206=22),1.5, and(I206=20,J206=22),2.5,H206&gt;21,0.5)</f>
        <v/>
      </c>
      <c r="L206" s="43">
        <f t="array" ref="L206">INDEX('Podium Target Times'!$C:$C, MATCH(A206&amp;B206, 'Podium Target Times'!$A:$A&amp;'Podium Target Times'!$B:$B, 0))
</f>
        <v/>
      </c>
      <c r="M206" s="64">
        <f>IFS(K206=0.5,L206,K206=1,U204+(F206-F209), K206=1.5, M209+(F207-F210), K206=2, M209+(F207-F210), K206=2.5, M209+(F208-F211), K206=3, M209+(F208-F211))</f>
        <v/>
      </c>
      <c r="N206" s="43">
        <f>IF(M206&lt;60, TEXT(M206, "0.00"), TEXT(M206/(24*60*60), "M:SS.00"))</f>
        <v/>
      </c>
      <c r="O206" s="14">
        <f>IFERROR(__xludf.DUMMYFUNCTION("LET(
  gen,$A206, ev,$B206, t,$N206,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P206" s="65" t="n"/>
      <c r="Q206" s="65" t="n"/>
      <c r="R206" s="69">
        <f>A214</f>
        <v/>
      </c>
      <c r="S206" s="65">
        <f>B214</f>
        <v/>
      </c>
      <c r="T206" s="69">
        <f>C214</f>
        <v/>
      </c>
      <c r="U206" s="58">
        <f>N214</f>
        <v/>
      </c>
      <c r="V206" s="69">
        <f>O214</f>
        <v/>
      </c>
      <c r="W206" s="65" t="n"/>
      <c r="X206" s="65" t="n"/>
      <c r="Y206" s="65" t="n"/>
    </row>
    <row r="207">
      <c r="A207" s="17" t="inlineStr">
        <is>
          <t>F</t>
        </is>
      </c>
      <c r="B207" s="18" t="inlineStr">
        <is>
          <t>400 IM</t>
        </is>
      </c>
      <c r="C207" s="18" t="n">
        <v>16</v>
      </c>
      <c r="D207" s="221" t="n">
        <v>2</v>
      </c>
      <c r="E207" s="46" t="inlineStr">
        <is>
          <t>4:49.15</t>
        </is>
      </c>
      <c r="F207" s="21">
        <f>IFERROR(__xludf.DUMMYFUNCTION("IF(
  REGEXMATCH(E207, "":""),
  60*VALUE(INDEX(SPLIT(E207, "":""),1,1)) + VALUE(INDEX(SPLIT(E207, "":""),1,2)),
  VALUE(E207)
)"),289.15)</f>
        <v/>
      </c>
      <c r="G207" s="211">
        <f>C200</f>
        <v/>
      </c>
      <c r="H207" s="211">
        <f>C209</f>
        <v/>
      </c>
      <c r="I207" s="211">
        <f>C214</f>
        <v/>
      </c>
      <c r="J207" s="211">
        <f>C217</f>
        <v/>
      </c>
      <c r="K207" s="60">
        <f>IFS(H207=21,1,I207=21,2,J207=21,3,and(H207=20,I207=22),1.5, and(I207=20,J207=22),2.5,H207&gt;21,0.5)</f>
        <v/>
      </c>
      <c r="L207" s="60">
        <f t="array" ref="L207">INDEX('Podium Target Times'!$C:$C, MATCH(A207&amp;B207, 'Podium Target Times'!$A:$A&amp;'Podium Target Times'!$B:$B, 0))
</f>
        <v/>
      </c>
      <c r="M207" s="66">
        <f>IFS(K207=0.5,L207,K207=1,U204+(F206-F209), K207=1.5, M209+(F207-F210), K207=2, M209+(F207-F210), K207=2.5, M209+(F208-F211), K207=3, M209+(F208-F211))</f>
        <v/>
      </c>
      <c r="N207" s="60">
        <f>IF(M207&lt;60, TEXT(M207, "0.00"), TEXT(M207/(24*60*60), "M:SS.00"))</f>
        <v/>
      </c>
      <c r="O207" s="25">
        <f>IFERROR(__xludf.DUMMYFUNCTION("LET(
  gen,$A207, ev,$B207, t,$N207,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P207" s="65" t="n"/>
      <c r="Q207" s="65" t="n"/>
      <c r="R207" s="69">
        <f>A216</f>
        <v/>
      </c>
      <c r="S207" s="65">
        <f>B216</f>
        <v/>
      </c>
      <c r="T207" s="69">
        <f>C216</f>
        <v/>
      </c>
      <c r="U207" s="58">
        <f>N216</f>
        <v/>
      </c>
      <c r="V207" s="69">
        <f>O216</f>
        <v/>
      </c>
      <c r="W207" s="65" t="n"/>
      <c r="X207" s="65" t="n"/>
      <c r="Y207" s="65" t="n"/>
    </row>
    <row r="208">
      <c r="A208" s="8" t="inlineStr">
        <is>
          <t>F</t>
        </is>
      </c>
      <c r="B208" s="9" t="inlineStr">
        <is>
          <t>400 IM</t>
        </is>
      </c>
      <c r="C208" s="9" t="n">
        <v>16</v>
      </c>
      <c r="D208" s="9" t="n">
        <v>3</v>
      </c>
      <c r="E208" s="41" t="inlineStr">
        <is>
          <t>4:49.79</t>
        </is>
      </c>
      <c r="F208" s="35">
        <f>IFERROR(__xludf.DUMMYFUNCTION("IF(
  REGEXMATCH(E208, "":""),
  60*VALUE(INDEX(SPLIT(E208, "":""),1,1)) + VALUE(INDEX(SPLIT(E208, "":""),1,2)),
  VALUE(E208)
)"),289.79)</f>
        <v/>
      </c>
      <c r="G208" s="215">
        <f>C200</f>
        <v/>
      </c>
      <c r="H208" s="215">
        <f>C209</f>
        <v/>
      </c>
      <c r="I208" s="215">
        <f>C214</f>
        <v/>
      </c>
      <c r="J208" s="215">
        <f>C217</f>
        <v/>
      </c>
      <c r="K208" s="43">
        <f>IFS(H208=21,1,I208=21,2,J208=21,3,and(H208=20,I208=22),1.5, and(I208=20,J208=22),2.5,H208&gt;21,0.5)</f>
        <v/>
      </c>
      <c r="L208" s="43">
        <f t="array" ref="L208">INDEX('Podium Target Times'!$C:$C, MATCH(A208&amp;B208, 'Podium Target Times'!$A:$A&amp;'Podium Target Times'!$B:$B, 0))
</f>
        <v/>
      </c>
      <c r="M208" s="64">
        <f>IFS(K208=0.5,L208,K208=1,U204+(F206-F209), K208=1.5, M209+(F207-F210), K208=2, M209+(F207-F210), K208=2.5, M209+(F208-F211), K208=3, M209+(F208-F211))</f>
        <v/>
      </c>
      <c r="N208" s="43">
        <f>IF(M208&lt;60, TEXT(M208, "0.00"), TEXT(M208/(24*60*60), "M:SS.00"))</f>
        <v/>
      </c>
      <c r="O208" s="14">
        <f>IFERROR(__xludf.DUMMYFUNCTION("LET(
  gen,$A208, ev,$B208, t,$N208,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P208" s="65" t="n"/>
      <c r="Q208" s="65" t="n"/>
      <c r="R208" s="69">
        <f>A217</f>
        <v/>
      </c>
      <c r="S208" s="65">
        <f>B217</f>
        <v/>
      </c>
      <c r="T208" s="69">
        <f>C217</f>
        <v/>
      </c>
      <c r="U208" s="58">
        <f>N217</f>
        <v/>
      </c>
      <c r="V208" s="69">
        <f>O217</f>
        <v/>
      </c>
      <c r="W208" s="65" t="n"/>
      <c r="X208" s="65" t="n"/>
      <c r="Y208" s="65" t="n"/>
    </row>
    <row r="209">
      <c r="A209" s="17" t="inlineStr">
        <is>
          <t>F</t>
        </is>
      </c>
      <c r="B209" s="18" t="inlineStr">
        <is>
          <t>400 IM</t>
        </is>
      </c>
      <c r="C209" s="18" t="n">
        <v>17</v>
      </c>
      <c r="D209" s="221" t="n">
        <v>1</v>
      </c>
      <c r="E209" s="46" t="inlineStr">
        <is>
          <t>4:43.06</t>
        </is>
      </c>
      <c r="F209" s="21">
        <f>IFERROR(__xludf.DUMMYFUNCTION("IF(
  REGEXMATCH(E209, "":""),
  60*VALUE(INDEX(SPLIT(E209, "":""),1,1)) + VALUE(INDEX(SPLIT(E209, "":""),1,2)),
  VALUE(E209)
)"),283.06)</f>
        <v/>
      </c>
      <c r="G209" s="211">
        <f>C200</f>
        <v/>
      </c>
      <c r="H209" s="211">
        <f>C209</f>
        <v/>
      </c>
      <c r="I209" s="211">
        <f>C214</f>
        <v/>
      </c>
      <c r="J209" s="211">
        <f>C217</f>
        <v/>
      </c>
      <c r="K209" s="60">
        <f>IFS(H209=21,1,I209=21,2,J209=21,3,and(H209=20,I209=22),1.5, and(I209=20,J209=22),2.5,H209&gt;21,0.5)</f>
        <v/>
      </c>
      <c r="L209" s="60">
        <f t="array" ref="L209">INDEX('Podium Target Times'!$C:$C, MATCH(A209&amp;B209, 'Podium Target Times'!$A:$A&amp;'Podium Target Times'!$B:$B, 0))
</f>
        <v/>
      </c>
      <c r="M209" s="66">
        <f>IFS(K209=0.5,L209,K209=1,L209, K209=1.5, M212+(F210-F212), K209=2, M212+(F210-F212), K209=2.5, M212+(F211-F213), K209=3, M212+(F211-F213))</f>
        <v/>
      </c>
      <c r="N209" s="60">
        <f>IF(M209&lt;60, TEXT(M209, "0.00"), TEXT(M209/(24*60*60), "M:SS.00"))</f>
        <v/>
      </c>
      <c r="O209" s="25">
        <f>IFERROR(__xludf.DUMMYFUNCTION("LET(
  gen,$A209, ev,$B209, t,$N209,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P209" s="65" t="n"/>
      <c r="Q209" s="65" t="n"/>
      <c r="R209" s="69" t="n"/>
      <c r="S209" s="65" t="n"/>
      <c r="T209" s="69" t="n"/>
      <c r="U209" s="58" t="n"/>
      <c r="V209" s="69" t="n"/>
      <c r="W209" s="65" t="n"/>
      <c r="X209" s="65" t="n"/>
      <c r="Y209" s="65" t="n"/>
    </row>
    <row r="210">
      <c r="A210" s="8" t="inlineStr">
        <is>
          <t>F</t>
        </is>
      </c>
      <c r="B210" s="9" t="inlineStr">
        <is>
          <t>400 IM</t>
        </is>
      </c>
      <c r="C210" s="9" t="n">
        <v>17</v>
      </c>
      <c r="D210" s="219" t="n">
        <v>2</v>
      </c>
      <c r="E210" s="41" t="inlineStr">
        <is>
          <t>4:45.98</t>
        </is>
      </c>
      <c r="F210" s="35">
        <f>IFERROR(__xludf.DUMMYFUNCTION("IF(
  REGEXMATCH(E210, "":""),
  60*VALUE(INDEX(SPLIT(E210, "":""),1,1)) + VALUE(INDEX(SPLIT(E210, "":""),1,2)),
  VALUE(E210)
)"),285.98)</f>
        <v/>
      </c>
      <c r="G210" s="215">
        <f>C200</f>
        <v/>
      </c>
      <c r="H210" s="215">
        <f>C209</f>
        <v/>
      </c>
      <c r="I210" s="215">
        <f>C214</f>
        <v/>
      </c>
      <c r="J210" s="215">
        <f>C217</f>
        <v/>
      </c>
      <c r="K210" s="43">
        <f>IFS(H210=21,1,I210=21,2,J210=21,3,and(H210=20,I210=22),1.5, and(I210=20,J210=22),2.5,H210&gt;21,0.5)</f>
        <v/>
      </c>
      <c r="L210" s="43">
        <f t="array" ref="L210">INDEX('Podium Target Times'!$C:$C, MATCH(A210&amp;B210, 'Podium Target Times'!$A:$A&amp;'Podium Target Times'!$B:$B, 0))
</f>
        <v/>
      </c>
      <c r="M210" s="64">
        <f>IFS(K210=0.5,L210,K210=1,L210, K210=1.5, M212+(F210-F212), K210=2, M212+(F210-F212), K210=2.5, M212+(F211-F213), K210=3, M212+(F211-F213))</f>
        <v/>
      </c>
      <c r="N210" s="43">
        <f>IF(M210&lt;60, TEXT(M210, "0.00"), TEXT(M210/(24*60*60), "M:SS.00"))</f>
        <v/>
      </c>
      <c r="O210" s="14">
        <f>IFERROR(__xludf.DUMMYFUNCTION("LET(
  gen,$A210, ev,$B210, t,$N210,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P210" s="65" t="n"/>
      <c r="Q210" s="65" t="n"/>
      <c r="R210" s="69" t="n"/>
      <c r="S210" s="65" t="n"/>
      <c r="T210" s="69" t="n"/>
      <c r="U210" s="58" t="n"/>
      <c r="V210" s="69" t="n"/>
      <c r="W210" s="65" t="n"/>
      <c r="X210" s="65" t="n"/>
      <c r="Y210" s="65" t="n"/>
    </row>
    <row r="211">
      <c r="A211" s="17" t="inlineStr">
        <is>
          <t>F</t>
        </is>
      </c>
      <c r="B211" s="18" t="inlineStr">
        <is>
          <t>400 IM</t>
        </is>
      </c>
      <c r="C211" s="18" t="n">
        <v>17</v>
      </c>
      <c r="D211" s="18" t="n">
        <v>3</v>
      </c>
      <c r="E211" s="46" t="inlineStr">
        <is>
          <t>4:46.61</t>
        </is>
      </c>
      <c r="F211" s="21">
        <f>IFERROR(__xludf.DUMMYFUNCTION("IF(
  REGEXMATCH(E211, "":""),
  60*VALUE(INDEX(SPLIT(E211, "":""),1,1)) + VALUE(INDEX(SPLIT(E211, "":""),1,2)),
  VALUE(E211)
)"),286.61)</f>
        <v/>
      </c>
      <c r="G211" s="211">
        <f>C200</f>
        <v/>
      </c>
      <c r="H211" s="211">
        <f>C209</f>
        <v/>
      </c>
      <c r="I211" s="211">
        <f>C214</f>
        <v/>
      </c>
      <c r="J211" s="211">
        <f>C217</f>
        <v/>
      </c>
      <c r="K211" s="60">
        <f>IFS(H211=21,1,I211=21,2,J211=21,3,and(H211=20,I211=22),1.5, and(I211=20,J211=22),2.5,H211&gt;21,0.5)</f>
        <v/>
      </c>
      <c r="L211" s="60">
        <f t="array" ref="L211">INDEX('Podium Target Times'!$C:$C, MATCH(A211&amp;B211, 'Podium Target Times'!$A:$A&amp;'Podium Target Times'!$B:$B, 0))
</f>
        <v/>
      </c>
      <c r="M211" s="66">
        <f>IFS(K211=0.5,L211,K211=1,L211, K211=1.5, M212+(F210-F212), K211=2, M212+(F210-F212), K211=2.5, M212+(F211-F213), K211=3, M212+(F211-F213))</f>
        <v/>
      </c>
      <c r="N211" s="60">
        <f>IF(M211&lt;60, TEXT(M211, "0.00"), TEXT(M211/(24*60*60), "M:SS.00"))</f>
        <v/>
      </c>
      <c r="O211" s="25">
        <f>IFERROR(__xludf.DUMMYFUNCTION("LET(
  gen,$A211, ev,$B211, t,$N211,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P211" s="65" t="n"/>
      <c r="Q211" s="65" t="n"/>
      <c r="R211" s="69" t="n"/>
      <c r="S211" s="65" t="n"/>
      <c r="T211" s="69" t="n"/>
      <c r="U211" s="58" t="n"/>
      <c r="V211" s="69" t="n"/>
      <c r="W211" s="65" t="n"/>
      <c r="X211" s="65" t="n"/>
      <c r="Y211" s="65" t="n"/>
    </row>
    <row r="212">
      <c r="A212" s="8" t="inlineStr">
        <is>
          <t>F</t>
        </is>
      </c>
      <c r="B212" s="9" t="inlineStr">
        <is>
          <t>400 IM</t>
        </is>
      </c>
      <c r="C212" s="9" t="n">
        <v>18</v>
      </c>
      <c r="D212" s="219" t="n">
        <v>2</v>
      </c>
      <c r="E212" s="41" t="inlineStr">
        <is>
          <t>4:44.11</t>
        </is>
      </c>
      <c r="F212" s="35">
        <f>IFERROR(__xludf.DUMMYFUNCTION("IF(
  REGEXMATCH(E212, "":""),
  60*VALUE(INDEX(SPLIT(E212, "":""),1,1)) + VALUE(INDEX(SPLIT(E212, "":""),1,2)),
  VALUE(E212)
)"),284.11)</f>
        <v/>
      </c>
      <c r="G212" s="215">
        <f>C200</f>
        <v/>
      </c>
      <c r="H212" s="215">
        <f>C209</f>
        <v/>
      </c>
      <c r="I212" s="215">
        <f>C214</f>
        <v/>
      </c>
      <c r="J212" s="215">
        <f>C217</f>
        <v/>
      </c>
      <c r="K212" s="43">
        <f>IFS(H212=21,1,I212=21,2,J212=21,3,and(H212=20,I212=22),1.5, and(I212=20,J212=22),2.5,H212&gt;21,0.5)</f>
        <v/>
      </c>
      <c r="L212" s="43">
        <f t="array" ref="L212">INDEX('Podium Target Times'!$C:$C, MATCH(A212&amp;B212, 'Podium Target Times'!$A:$A&amp;'Podium Target Times'!$B:$B, 0))
</f>
        <v/>
      </c>
      <c r="M212" s="64">
        <f>IFS(K212=0.5,L212,K212=1,L212, K212=1.5, L212, K212=2, M214+(F212-F214), K212=2.5, M214+(F213-F215), K212=3, M214+(F213-F215))</f>
        <v/>
      </c>
      <c r="N212" s="43">
        <f>IF(M212&lt;60, TEXT(M212, "0.00"), TEXT(M212/(24*60*60), "M:SS.00"))</f>
        <v/>
      </c>
      <c r="O212" s="14">
        <f>IFERROR(__xludf.DUMMYFUNCTION("LET(
  gen,$A212, ev,$B212, t,$N212,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P212" s="65" t="n"/>
      <c r="Q212" s="65" t="n"/>
      <c r="R212" s="69" t="n"/>
      <c r="S212" s="65" t="n"/>
      <c r="T212" s="69" t="n"/>
      <c r="U212" s="58" t="n"/>
      <c r="V212" s="69" t="n"/>
      <c r="W212" s="65" t="n"/>
      <c r="X212" s="65" t="n"/>
      <c r="Y212" s="65" t="n"/>
    </row>
    <row r="213">
      <c r="A213" s="17" t="inlineStr">
        <is>
          <t>F</t>
        </is>
      </c>
      <c r="B213" s="18" t="inlineStr">
        <is>
          <t>400 IM</t>
        </is>
      </c>
      <c r="C213" s="18" t="n">
        <v>18</v>
      </c>
      <c r="D213" s="18" t="n">
        <v>3</v>
      </c>
      <c r="E213" s="46" t="inlineStr">
        <is>
          <t>4:44.74</t>
        </is>
      </c>
      <c r="F213" s="21">
        <f>IFERROR(__xludf.DUMMYFUNCTION("IF(
  REGEXMATCH(E213, "":""),
  60*VALUE(INDEX(SPLIT(E213, "":""),1,1)) + VALUE(INDEX(SPLIT(E213, "":""),1,2)),
  VALUE(E213)
)"),284.74)</f>
        <v/>
      </c>
      <c r="G213" s="211">
        <f>C200</f>
        <v/>
      </c>
      <c r="H213" s="211">
        <f>C209</f>
        <v/>
      </c>
      <c r="I213" s="211">
        <f>C214</f>
        <v/>
      </c>
      <c r="J213" s="211">
        <f>C217</f>
        <v/>
      </c>
      <c r="K213" s="60">
        <f>IFS(H213=21,1,I213=21,2,J213=21,3,and(H213=20,I213=22),1.5, and(I213=20,J213=22),2.5,H213&gt;21,0.5)</f>
        <v/>
      </c>
      <c r="L213" s="60">
        <f t="array" ref="L213">INDEX('Podium Target Times'!$C:$C, MATCH(A213&amp;B213, 'Podium Target Times'!$A:$A&amp;'Podium Target Times'!$B:$B, 0))
</f>
        <v/>
      </c>
      <c r="M213" s="66">
        <f>IFS(K213=0.5,L213,K213=1,L213, K213=1.5, L213, K213=2, M214+(F212-F214), K213=2.5, M214+(F213-F215), K213=3, M214+(F213-F215))</f>
        <v/>
      </c>
      <c r="N213" s="60">
        <f>IF(M213&lt;60, TEXT(M213, "0.00"), TEXT(M213/(24*60*60), "M:SS.00"))</f>
        <v/>
      </c>
      <c r="O213" s="25">
        <f>IFERROR(__xludf.DUMMYFUNCTION("LET(
  gen,$A213, ev,$B213, t,$N213,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)"),728.0)</f>
        <v/>
      </c>
      <c r="P213" s="65" t="n"/>
      <c r="Q213" s="65" t="n"/>
      <c r="R213" s="69" t="n"/>
      <c r="S213" s="65" t="n"/>
      <c r="T213" s="69" t="n"/>
      <c r="U213" s="58" t="n"/>
      <c r="V213" s="69" t="n"/>
      <c r="W213" s="65" t="n"/>
      <c r="X213" s="65" t="n"/>
      <c r="Y213" s="65" t="n"/>
    </row>
    <row r="214">
      <c r="A214" s="8" t="inlineStr">
        <is>
          <t>F</t>
        </is>
      </c>
      <c r="B214" s="9" t="inlineStr">
        <is>
          <t>400 IM</t>
        </is>
      </c>
      <c r="C214" s="9" t="n">
        <v>19</v>
      </c>
      <c r="D214" s="219" t="n">
        <v>2</v>
      </c>
      <c r="E214" s="41" t="inlineStr">
        <is>
          <t>4:43.06</t>
        </is>
      </c>
      <c r="F214" s="35">
        <f>IFERROR(__xludf.DUMMYFUNCTION("IF(
  REGEXMATCH(E214, "":""),
  60*VALUE(INDEX(SPLIT(E214, "":""),1,1)) + VALUE(INDEX(SPLIT(E214, "":""),1,2)),
  VALUE(E214)
)"),283.06)</f>
        <v/>
      </c>
      <c r="G214" s="215">
        <f>C200</f>
        <v/>
      </c>
      <c r="H214" s="215">
        <f>C209</f>
        <v/>
      </c>
      <c r="I214" s="215">
        <f>C214</f>
        <v/>
      </c>
      <c r="J214" s="215">
        <f>C217</f>
        <v/>
      </c>
      <c r="K214" s="43">
        <f>IFS(H214=21,1,I214=21,2,J214=21,3,and(H214=20,I214=22),1.5, and(I214=20,J214=22),2.5,H214&gt;21,0.5)</f>
        <v/>
      </c>
      <c r="L214" s="43">
        <f t="array" ref="L214">INDEX('Podium Target Times'!$C:$C, MATCH(A214&amp;B214, 'Podium Target Times'!$A:$A&amp;'Podium Target Times'!$B:$B, 0))
</f>
        <v/>
      </c>
      <c r="M214" s="64">
        <f>IFS(K214=0.5,L214,K214=1,L214, K214=1.5, L214, K214=2,L217, K214=2.5, M216+(F215-F216), K214=3,  M216+(F215-F216))</f>
        <v/>
      </c>
      <c r="N214" s="43">
        <f>IF(M214&lt;60, TEXT(M214, "0.00"), TEXT(M214/(24*60*60), "M:SS.00"))</f>
        <v/>
      </c>
      <c r="O214" s="14">
        <f>IFERROR(__xludf.DUMMYFUNCTION("LET(
  gen,$A214, ev,$B214, t,$N214,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P214" s="65" t="n"/>
      <c r="Q214" s="65" t="n"/>
      <c r="R214" s="69" t="n"/>
      <c r="S214" s="65" t="n"/>
      <c r="T214" s="69" t="n"/>
      <c r="U214" s="58" t="n"/>
      <c r="V214" s="69" t="n"/>
      <c r="W214" s="65" t="n"/>
      <c r="X214" s="65" t="n"/>
      <c r="Y214" s="65" t="n"/>
    </row>
    <row r="215">
      <c r="A215" s="17" t="inlineStr">
        <is>
          <t>F</t>
        </is>
      </c>
      <c r="B215" s="18" t="inlineStr">
        <is>
          <t>400 IM</t>
        </is>
      </c>
      <c r="C215" s="18" t="n">
        <v>19</v>
      </c>
      <c r="D215" s="18" t="n">
        <v>3</v>
      </c>
      <c r="E215" s="46" t="inlineStr">
        <is>
          <t>4:43.69</t>
        </is>
      </c>
      <c r="F215" s="21">
        <f>IFERROR(__xludf.DUMMYFUNCTION("IF(
  REGEXMATCH(E215, "":""),
  60*VALUE(INDEX(SPLIT(E215, "":""),1,1)) + VALUE(INDEX(SPLIT(E215, "":""),1,2)),
  VALUE(E215)
)"),283.69)</f>
        <v/>
      </c>
      <c r="G215" s="211">
        <f>C200</f>
        <v/>
      </c>
      <c r="H215" s="211">
        <f>C209</f>
        <v/>
      </c>
      <c r="I215" s="211">
        <f>C214</f>
        <v/>
      </c>
      <c r="J215" s="211">
        <f>C217</f>
        <v/>
      </c>
      <c r="K215" s="60">
        <f>IFS(H215=21,1,I215=21,2,J215=21,3,and(H215=20,I215=22),1.5, and(I215=20,J215=22),2.5,H215&gt;21,0.5)</f>
        <v/>
      </c>
      <c r="L215" s="60">
        <f t="array" ref="L215">INDEX('Podium Target Times'!$C:$C, MATCH(A215&amp;B215, 'Podium Target Times'!$A:$A&amp;'Podium Target Times'!$B:$B, 0))
</f>
        <v/>
      </c>
      <c r="M215" s="66">
        <f>IFS(K215=0.5,L215,K215=1,L215, K215=1.5, L215, K215=2, L217, K215=2.5, M216+(F215-F216), K215=3, M216+(F215-F216))</f>
        <v/>
      </c>
      <c r="N215" s="60">
        <f>IF(M215&lt;60, TEXT(M215, "0.00"), TEXT(M215/(24*60*60), "M:SS.00"))</f>
        <v/>
      </c>
      <c r="O215" s="25">
        <f>IFERROR(__xludf.DUMMYFUNCTION("LET(
  gen,$A215, ev,$B215, t,$N215,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)"),736.0)</f>
        <v/>
      </c>
      <c r="P215" s="65" t="n"/>
      <c r="Q215" s="65" t="n"/>
      <c r="R215" s="69" t="n"/>
      <c r="S215" s="65" t="n"/>
      <c r="T215" s="69" t="n"/>
      <c r="U215" s="58" t="n"/>
      <c r="V215" s="69" t="n"/>
      <c r="W215" s="65" t="n"/>
      <c r="X215" s="65" t="n"/>
      <c r="Y215" s="65" t="n"/>
    </row>
    <row r="216">
      <c r="A216" s="8" t="inlineStr">
        <is>
          <t>F</t>
        </is>
      </c>
      <c r="B216" s="9" t="inlineStr">
        <is>
          <t>400 IM</t>
        </is>
      </c>
      <c r="C216" s="9" t="n">
        <v>20</v>
      </c>
      <c r="D216" s="9" t="n">
        <v>3</v>
      </c>
      <c r="E216" s="41" t="inlineStr">
        <is>
          <t>4:43.24</t>
        </is>
      </c>
      <c r="F216" s="35">
        <f>IFERROR(__xludf.DUMMYFUNCTION("IF(
  REGEXMATCH(E216, "":""),
  60*VALUE(INDEX(SPLIT(E216, "":""),1,1)) + VALUE(INDEX(SPLIT(E216, "":""),1,2)),
  VALUE(E216)
)"),283.24)</f>
        <v/>
      </c>
      <c r="G216" s="215">
        <f>C200</f>
        <v/>
      </c>
      <c r="H216" s="215">
        <f>C209</f>
        <v/>
      </c>
      <c r="I216" s="215">
        <f>C214</f>
        <v/>
      </c>
      <c r="J216" s="215">
        <f>C217</f>
        <v/>
      </c>
      <c r="K216" s="43">
        <f>IFS(H216=21,1,I216=21,2,J216=21,3,and(H216=20,I216=22),1.5, and(I216=20,J216=22),2.5,H216&gt;21,0.5)</f>
        <v/>
      </c>
      <c r="L216" s="43">
        <f t="array" ref="L216">INDEX('Podium Target Times'!$C:$C, MATCH(A216&amp;B216, 'Podium Target Times'!$A:$A&amp;'Podium Target Times'!$B:$B, 0))
</f>
        <v/>
      </c>
      <c r="M216" s="64">
        <f>IFS(K216=0.5,L216,K216=1,L216, K216=1.5, L216, K216=2, L217, K216=2.5, L217, K216=3, M217+(F216-F217))</f>
        <v/>
      </c>
      <c r="N216" s="43">
        <f>IF(M216&lt;60, TEXT(M216, "0.00"), TEXT(M216/(24*60*60), "M:SS.00"))</f>
        <v/>
      </c>
      <c r="O216" s="14">
        <f>IFERROR(__xludf.DUMMYFUNCTION("LET(
  gen,$A216, ev,$B216, t,$N216,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P216" s="65" t="n"/>
      <c r="Q216" s="65" t="n"/>
      <c r="R216" s="69" t="n"/>
      <c r="S216" s="65" t="n"/>
      <c r="T216" s="69" t="n"/>
      <c r="U216" s="58" t="n"/>
      <c r="V216" s="69" t="n"/>
      <c r="W216" s="65" t="n"/>
      <c r="X216" s="65" t="n"/>
      <c r="Y216" s="65" t="n"/>
    </row>
    <row r="217">
      <c r="A217" s="17" t="inlineStr">
        <is>
          <t>F</t>
        </is>
      </c>
      <c r="B217" s="18" t="inlineStr">
        <is>
          <t>400 IM</t>
        </is>
      </c>
      <c r="C217" s="18" t="n">
        <v>21</v>
      </c>
      <c r="D217" s="221" t="n">
        <v>3</v>
      </c>
      <c r="E217" s="46" t="inlineStr">
        <is>
          <t>4:43.06</t>
        </is>
      </c>
      <c r="F217" s="21">
        <f>IFERROR(__xludf.DUMMYFUNCTION("IF(
  REGEXMATCH(E217, "":""),
  60*VALUE(INDEX(SPLIT(E217, "":""),1,1)) + VALUE(INDEX(SPLIT(E217, "":""),1,2)),
  VALUE(E217)
)"),283.06)</f>
        <v/>
      </c>
      <c r="G217" s="211">
        <f>C200</f>
        <v/>
      </c>
      <c r="H217" s="211">
        <f>C209</f>
        <v/>
      </c>
      <c r="I217" s="211">
        <f>C214</f>
        <v/>
      </c>
      <c r="J217" s="211">
        <f>C217</f>
        <v/>
      </c>
      <c r="K217" s="60">
        <f>IFS(H217=21,1,I217=21,2,J217=21,3,and(H217=20,I217=22),1.5, and(I217=20,J217=22),2.5,H217&gt;21,0.5)</f>
        <v/>
      </c>
      <c r="L217" s="60">
        <f t="array" ref="L217">INDEX('Podium Target Times'!$C:$C, MATCH(A217&amp;B217, 'Podium Target Times'!$A:$A&amp;'Podium Target Times'!$B:$B, 0))
</f>
        <v/>
      </c>
      <c r="M217" s="66">
        <f>IFS(K217=0.5,L217,K217=1,L217, K217=1.5, L217, K217=2, L217, K217=2.5, L217, K217=3, L217)</f>
        <v/>
      </c>
      <c r="N217" s="60">
        <f>IF(M217&lt;60, TEXT(M217, "0.00"), TEXT(M217/(24*60*60), "M:SS.00"))</f>
        <v/>
      </c>
      <c r="O217" s="25">
        <f>IFERROR(__xludf.DUMMYFUNCTION("LET(
  gen,$A217, ev,$B217, t,$N217,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)"),741.0)</f>
        <v/>
      </c>
      <c r="P217" s="65" t="n"/>
      <c r="Q217" s="65" t="n"/>
      <c r="R217" s="69" t="n"/>
      <c r="S217" s="65" t="n"/>
      <c r="T217" s="69" t="n"/>
      <c r="U217" s="58" t="n"/>
      <c r="V217" s="69" t="n"/>
      <c r="W217" s="65" t="n"/>
      <c r="X217" s="65" t="n"/>
      <c r="Y217" s="65" t="n"/>
    </row>
    <row r="218">
      <c r="A218" s="8" t="inlineStr">
        <is>
          <t>F</t>
        </is>
      </c>
      <c r="B218" s="9" t="inlineStr">
        <is>
          <t>50 Back</t>
        </is>
      </c>
      <c r="C218" s="9" t="n">
        <v>15</v>
      </c>
      <c r="D218" s="9" t="n">
        <v>1</v>
      </c>
      <c r="E218" s="41" t="inlineStr">
        <is>
          <t>29.29</t>
        </is>
      </c>
      <c r="F218" s="35">
        <f>IFERROR(__xludf.DUMMYFUNCTION("IF(
  REGEXMATCH(E218, "":""),
  60*VALUE(INDEX(SPLIT(E218, "":""),1,1)) + VALUE(INDEX(SPLIT(E218, "":""),1,2)),
  VALUE(E218)
)"),29.29)</f>
        <v/>
      </c>
      <c r="G218" s="43">
        <f>C218</f>
        <v/>
      </c>
      <c r="H218" s="43">
        <f>C227</f>
        <v/>
      </c>
      <c r="I218" s="43">
        <f>C232</f>
        <v/>
      </c>
      <c r="J218" s="43">
        <f>C235</f>
        <v/>
      </c>
      <c r="K218" s="43">
        <f>IFS(H218=21,1,I218=21,2,J218=21,3,and(H218=20,I218=22),1.5, and(I218=20,J218=22),2.5,H218&gt;21,0.5)</f>
        <v/>
      </c>
      <c r="L218" s="43">
        <f t="array" ref="L218">INDEX('Podium Target Times'!$C:$C, MATCH(A218&amp;B218, 'Podium Target Times'!$A:$A&amp;'Podium Target Times'!$B:$B, 0))
</f>
        <v/>
      </c>
      <c r="M218" s="64">
        <f>IFS(K218=0.5,M219+(F218-F219),K218=1,M219+(F218-F219), K218=1.5, M219+(F218-F219), K218=2, M219+(F218-F219), K218=2.5, M219+(F218-F219), K218=3, M219+(F218-F219))</f>
        <v/>
      </c>
      <c r="N218" s="43">
        <f>IF(M218&lt;60, TEXT(M218, "0.00"), TEXT(M218/(24*60*60), "M:SS.00"))</f>
        <v/>
      </c>
      <c r="O218" s="14">
        <f>IFERROR(__xludf.DUMMYFUNCTION("LET(
  gen,$A218, ev,$B218, t,$N218,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
      </c>
      <c r="P218" s="65" t="n"/>
      <c r="Q218" s="65" t="n"/>
      <c r="R218" s="69">
        <f>A218</f>
        <v/>
      </c>
      <c r="S218" s="65">
        <f>B218</f>
        <v/>
      </c>
      <c r="T218" s="69">
        <f>C218</f>
        <v/>
      </c>
      <c r="U218" s="58">
        <f>N218</f>
        <v/>
      </c>
      <c r="V218" s="69">
        <f>O218</f>
        <v/>
      </c>
      <c r="W218" s="65" t="n"/>
      <c r="X218" s="65" t="n"/>
      <c r="Y218" s="65" t="n"/>
    </row>
    <row r="219">
      <c r="A219" s="17" t="inlineStr">
        <is>
          <t>F</t>
        </is>
      </c>
      <c r="B219" s="18" t="inlineStr">
        <is>
          <t>50 Back</t>
        </is>
      </c>
      <c r="C219" s="18" t="n">
        <v>16</v>
      </c>
      <c r="D219" s="18" t="n">
        <v>1</v>
      </c>
      <c r="E219" s="46" t="inlineStr">
        <is>
          <t>28.78</t>
        </is>
      </c>
      <c r="F219" s="21">
        <f>IFERROR(__xludf.DUMMYFUNCTION("IF(
  REGEXMATCH(E219, "":""),
  60*VALUE(INDEX(SPLIT(E219, "":""),1,1)) + VALUE(INDEX(SPLIT(E219, "":""),1,2)),
  VALUE(E219)
)"),28.78)</f>
        <v/>
      </c>
      <c r="G219" s="211">
        <f>C218</f>
        <v/>
      </c>
      <c r="H219" s="211">
        <f>C227</f>
        <v/>
      </c>
      <c r="I219" s="211">
        <f>C232</f>
        <v/>
      </c>
      <c r="J219" s="211">
        <f>C235</f>
        <v/>
      </c>
      <c r="K219" s="60">
        <f>IFS(H219=21,1,I219=21,2,J219=21,3,and(H219=20,I219=22),1.5, and(I219=20,J219=22),2.5,H219&gt;21,0.5)</f>
        <v/>
      </c>
      <c r="L219" s="60">
        <f t="array" ref="L219">INDEX('Podium Target Times'!$C:$C, MATCH(A219&amp;B219, 'Podium Target Times'!$A:$A&amp;'Podium Target Times'!$B:$B, 0))
</f>
        <v/>
      </c>
      <c r="M219" s="66">
        <f>IFS(K219=0.5,M220+(F219-F221),K219=1,M220+(F219-F221), K219=1.5, M221+(F220-F222), K219=2, M221+(F220-F222), K219=2.5, M221+(F220-F222), K219=3, M221+(F220-F222))</f>
        <v/>
      </c>
      <c r="N219" s="60">
        <f>IF(M219&lt;60, TEXT(M219, "0.00"), TEXT(M219/(24*60*60), "M:SS.00"))</f>
        <v/>
      </c>
      <c r="O219" s="25">
        <f>IFERROR(__xludf.DUMMYFUNCTION("LET(
  gen,$A219, ev,$B219, t,$N219,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P219" s="65" t="n"/>
      <c r="Q219" s="65" t="n"/>
      <c r="R219" s="69">
        <f>A219</f>
        <v/>
      </c>
      <c r="S219" s="65">
        <f>B219</f>
        <v/>
      </c>
      <c r="T219" s="69">
        <f>C219</f>
        <v/>
      </c>
      <c r="U219" s="58">
        <f>N219</f>
        <v/>
      </c>
      <c r="V219" s="69">
        <f>O219</f>
        <v/>
      </c>
      <c r="W219" s="65" t="n"/>
      <c r="X219" s="65" t="n"/>
      <c r="Y219" s="65" t="n"/>
    </row>
    <row r="220">
      <c r="A220" s="8" t="inlineStr">
        <is>
          <t>F</t>
        </is>
      </c>
      <c r="B220" s="9" t="inlineStr">
        <is>
          <t>50 Back</t>
        </is>
      </c>
      <c r="C220" s="9" t="n">
        <v>16</v>
      </c>
      <c r="D220" s="219" t="n">
        <v>2</v>
      </c>
      <c r="E220" s="41" t="inlineStr">
        <is>
          <t>29.02</t>
        </is>
      </c>
      <c r="F220" s="35">
        <f>IFERROR(__xludf.DUMMYFUNCTION("IF(
  REGEXMATCH(E220, "":""),
  60*VALUE(INDEX(SPLIT(E220, "":""),1,1)) + VALUE(INDEX(SPLIT(E220, "":""),1,2)),
  VALUE(E220)
)"),29.02)</f>
        <v/>
      </c>
      <c r="G220" s="215">
        <f>C218</f>
        <v/>
      </c>
      <c r="H220" s="215">
        <f>C227</f>
        <v/>
      </c>
      <c r="I220" s="215">
        <f>C232</f>
        <v/>
      </c>
      <c r="J220" s="215">
        <f>C235</f>
        <v/>
      </c>
      <c r="K220" s="43">
        <f>IFS(H220=21,1,I220=21,2,J220=21,3,and(H220=20,I220=22),1.5, and(I220=20,J220=22),2.5,H220&gt;21,0.5)</f>
        <v/>
      </c>
      <c r="L220" s="43">
        <f t="array" ref="L220">INDEX('Podium Target Times'!$C:$C, MATCH(A220&amp;B220, 'Podium Target Times'!$A:$A&amp;'Podium Target Times'!$B:$B, 0))
</f>
        <v/>
      </c>
      <c r="M220" s="64">
        <f>IFS(K220=0.5,M221+(F220-F223),K220=1,M221+(F220-F223), K220=1.5, M221+(F220-F222), K220=2, M221+(F220-F222), K220=2.5, M221+(F220-F222), K220=3, M221+(F220-F222))</f>
        <v/>
      </c>
      <c r="N220" s="43">
        <f>IF(M220&lt;60, TEXT(M220, "0.00"), TEXT(M220/(24*60*60), "M:SS.00"))</f>
        <v/>
      </c>
      <c r="O220" s="14">
        <f>IFERROR(__xludf.DUMMYFUNCTION("LET(
  gen,$A220, ev,$B220, t,$N220,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P220" s="65" t="n"/>
      <c r="Q220" s="65" t="n"/>
      <c r="R220" s="69">
        <f>A221</f>
        <v/>
      </c>
      <c r="S220" s="65">
        <f>B221</f>
        <v/>
      </c>
      <c r="T220" s="69">
        <f>C221</f>
        <v/>
      </c>
      <c r="U220" s="58">
        <f>N221</f>
        <v/>
      </c>
      <c r="V220" s="69">
        <f>O221</f>
        <v/>
      </c>
      <c r="W220" s="65" t="n"/>
      <c r="X220" s="65" t="n"/>
      <c r="Y220" s="65" t="n"/>
    </row>
    <row r="221">
      <c r="A221" s="17" t="inlineStr">
        <is>
          <t>F</t>
        </is>
      </c>
      <c r="B221" s="18" t="inlineStr">
        <is>
          <t>50 Back</t>
        </is>
      </c>
      <c r="C221" s="18" t="n">
        <v>17</v>
      </c>
      <c r="D221" s="18" t="n">
        <v>1</v>
      </c>
      <c r="E221" s="46" t="inlineStr">
        <is>
          <t>28.52</t>
        </is>
      </c>
      <c r="F221" s="21">
        <f>IFERROR(__xludf.DUMMYFUNCTION("IF(
  REGEXMATCH(E221, "":""),
  60*VALUE(INDEX(SPLIT(E221, "":""),1,1)) + VALUE(INDEX(SPLIT(E221, "":""),1,2)),
  VALUE(E221)
)"),28.52)</f>
        <v/>
      </c>
      <c r="G221" s="211">
        <f>C218</f>
        <v/>
      </c>
      <c r="H221" s="211">
        <f>C227</f>
        <v/>
      </c>
      <c r="I221" s="211">
        <f>C232</f>
        <v/>
      </c>
      <c r="J221" s="211">
        <f>C235</f>
        <v/>
      </c>
      <c r="K221" s="60">
        <f>IFS(H221=21,1,I221=21,2,J221=21,3,and(H221=20,I221=22),1.5, and(I221=20,J221=22),2.5,H221&gt;21,0.5)</f>
        <v/>
      </c>
      <c r="L221" s="60">
        <f t="array" ref="L221">INDEX('Podium Target Times'!$C:$C, MATCH(A221&amp;B221, 'Podium Target Times'!$A:$A&amp;'Podium Target Times'!$B:$B, 0))
</f>
        <v/>
      </c>
      <c r="M221" s="66">
        <f>IFS(K221=0.5,M222+(F221-F224),K221=1,M222+(F221-F224), K221=1.5, M224+(F222-F225), K221=2, M224+(F222-F225), K221=2.5, M224+(F223-F226), K221=3, M224+(F223-F226))</f>
        <v/>
      </c>
      <c r="N221" s="60">
        <f>IF(M221&lt;60, TEXT(M221, "0.00"), TEXT(M221/(24*60*60), "M:SS.00"))</f>
        <v/>
      </c>
      <c r="O221" s="25">
        <f>IFERROR(__xludf.DUMMYFUNCTION("LET(
  gen,$A221, ev,$B221, t,$N221,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P221" s="65" t="n"/>
      <c r="Q221" s="65" t="n"/>
      <c r="R221" s="69">
        <f>A224</f>
        <v/>
      </c>
      <c r="S221" s="65">
        <f>B224</f>
        <v/>
      </c>
      <c r="T221" s="69">
        <f>C224</f>
        <v/>
      </c>
      <c r="U221" s="58">
        <f>N224</f>
        <v/>
      </c>
      <c r="V221" s="69">
        <f>O224</f>
        <v/>
      </c>
      <c r="W221" s="65" t="n"/>
      <c r="X221" s="65" t="n"/>
      <c r="Y221" s="65" t="n"/>
    </row>
    <row r="222">
      <c r="A222" s="8" t="inlineStr">
        <is>
          <t>F</t>
        </is>
      </c>
      <c r="B222" s="9" t="inlineStr">
        <is>
          <t>50 Back</t>
        </is>
      </c>
      <c r="C222" s="9" t="n">
        <v>17</v>
      </c>
      <c r="D222" s="9" t="n">
        <v>2</v>
      </c>
      <c r="E222" s="41" t="inlineStr">
        <is>
          <t>28.76</t>
        </is>
      </c>
      <c r="F222" s="35">
        <f>IFERROR(__xludf.DUMMYFUNCTION("IF(
  REGEXMATCH(E222, "":""),
  60*VALUE(INDEX(SPLIT(E222, "":""),1,1)) + VALUE(INDEX(SPLIT(E222, "":""),1,2)),
  VALUE(E222)
)"),28.76)</f>
        <v/>
      </c>
      <c r="G222" s="215">
        <f>C218</f>
        <v/>
      </c>
      <c r="H222" s="215">
        <f>C227</f>
        <v/>
      </c>
      <c r="I222" s="215">
        <f>C232</f>
        <v/>
      </c>
      <c r="J222" s="215">
        <f>C235</f>
        <v/>
      </c>
      <c r="K222" s="43">
        <f>IFS(H222=21,1,I222=21,2,J222=21,3,and(H222=20,I222=22),1.5, and(I222=20,J222=22),2.5,H222&gt;21,0.5)</f>
        <v/>
      </c>
      <c r="L222" s="43">
        <f t="array" ref="L222">INDEX('Podium Target Times'!$C:$C, MATCH(A222&amp;B222, 'Podium Target Times'!$A:$A&amp;'Podium Target Times'!$B:$B, 0))
</f>
        <v/>
      </c>
      <c r="M222" s="64">
        <f>IFS(K222=0.5,M223+(F221-F224),K222=1,M223+(F221-F224), K222=1.5, M224+(F222-F225), K222=2, M224+(F222-F225), K222=2.5, M224+(F223-F226), K222=3, M224+(F223-F226))</f>
        <v/>
      </c>
      <c r="N222" s="43">
        <f>IF(M222&lt;60, TEXT(M222, "0.00"), TEXT(M222/(24*60*60), "M:SS.00"))</f>
        <v/>
      </c>
      <c r="O222" s="14">
        <f>IFERROR(__xludf.DUMMYFUNCTION("LET(
  gen,$A222, ev,$B222, t,$N222,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P222" s="65" t="n"/>
      <c r="Q222" s="65" t="n"/>
      <c r="R222" s="69">
        <f>A227</f>
        <v/>
      </c>
      <c r="S222" s="65">
        <f>B227</f>
        <v/>
      </c>
      <c r="T222" s="69">
        <f>C227</f>
        <v/>
      </c>
      <c r="U222" s="58">
        <f>N227</f>
        <v/>
      </c>
      <c r="V222" s="69">
        <f>O227</f>
        <v/>
      </c>
      <c r="W222" s="65" t="n"/>
      <c r="X222" s="65" t="n"/>
      <c r="Y222" s="65" t="n"/>
    </row>
    <row r="223">
      <c r="A223" s="17" t="inlineStr">
        <is>
          <t>F</t>
        </is>
      </c>
      <c r="B223" s="18" t="inlineStr">
        <is>
          <t>50 Back</t>
        </is>
      </c>
      <c r="C223" s="18" t="n">
        <v>17</v>
      </c>
      <c r="D223" s="18" t="n">
        <v>3</v>
      </c>
      <c r="E223" s="46" t="inlineStr">
        <is>
          <t>28.90</t>
        </is>
      </c>
      <c r="F223" s="21">
        <f>IFERROR(__xludf.DUMMYFUNCTION("IF(
  REGEXMATCH(E223, "":""),
  60*VALUE(INDEX(SPLIT(E223, "":""),1,1)) + VALUE(INDEX(SPLIT(E223, "":""),1,2)),
  VALUE(E223)
)"),28.9)</f>
        <v/>
      </c>
      <c r="G223" s="211">
        <f>C218</f>
        <v/>
      </c>
      <c r="H223" s="211">
        <f>C227</f>
        <v/>
      </c>
      <c r="I223" s="211">
        <f>C232</f>
        <v/>
      </c>
      <c r="J223" s="211">
        <f>C235</f>
        <v/>
      </c>
      <c r="K223" s="60">
        <f>IFS(H223=21,1,I223=21,2,J223=21,3,and(H223=20,I223=22),1.5, and(I223=20,J223=22),2.5,H223&gt;21,0.5)</f>
        <v/>
      </c>
      <c r="L223" s="60">
        <f t="array" ref="L223">INDEX('Podium Target Times'!$C:$C, MATCH(A223&amp;B223, 'Podium Target Times'!$A:$A&amp;'Podium Target Times'!$B:$B, 0))
</f>
        <v/>
      </c>
      <c r="M223" s="66">
        <f>IFS(K223=0.5,M224+(F221-F224),K223=1,M224+(F221-F224), K223=1.5, M224+(F222-F225), K223=2, M224+(F222-F225), K223=2.5, M224+(F223-F226), K223=3, M224+(F223-F226))</f>
        <v/>
      </c>
      <c r="N223" s="60">
        <f>IF(M223&lt;60, TEXT(M223, "0.00"), TEXT(M223/(24*60*60), "M:SS.00"))</f>
        <v/>
      </c>
      <c r="O223" s="25">
        <f>IFERROR(__xludf.DUMMYFUNCTION("LET(
  gen,$A223, ev,$B223, t,$N223,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P223" s="65" t="n"/>
      <c r="Q223" s="65" t="n"/>
      <c r="R223" s="69">
        <f>A230</f>
        <v/>
      </c>
      <c r="S223" s="65">
        <f>B230</f>
        <v/>
      </c>
      <c r="T223" s="69">
        <f>C230</f>
        <v/>
      </c>
      <c r="U223" s="58">
        <f>N230</f>
        <v/>
      </c>
      <c r="V223" s="69">
        <f>O230</f>
        <v/>
      </c>
      <c r="W223" s="65" t="n"/>
      <c r="X223" s="65" t="n"/>
      <c r="Y223" s="65" t="n"/>
    </row>
    <row r="224">
      <c r="A224" s="8" t="inlineStr">
        <is>
          <t>F</t>
        </is>
      </c>
      <c r="B224" s="9" t="inlineStr">
        <is>
          <t>50 Back</t>
        </is>
      </c>
      <c r="C224" s="9" t="n">
        <v>18</v>
      </c>
      <c r="D224" s="9" t="n">
        <v>1</v>
      </c>
      <c r="E224" s="41" t="inlineStr">
        <is>
          <t>28.36</t>
        </is>
      </c>
      <c r="F224" s="35">
        <f>IFERROR(__xludf.DUMMYFUNCTION("IF(
  REGEXMATCH(E224, "":""),
  60*VALUE(INDEX(SPLIT(E224, "":""),1,1)) + VALUE(INDEX(SPLIT(E224, "":""),1,2)),
  VALUE(E224)
)"),28.36)</f>
        <v/>
      </c>
      <c r="G224" s="215">
        <f>C218</f>
        <v/>
      </c>
      <c r="H224" s="215">
        <f>C227</f>
        <v/>
      </c>
      <c r="I224" s="215">
        <f>C232</f>
        <v/>
      </c>
      <c r="J224" s="215">
        <f>C235</f>
        <v/>
      </c>
      <c r="K224" s="43">
        <f>IFS(H224=21,1,I224=21,2,J224=21,3,and(H224=20,I224=22),1.5, and(I224=20,J224=22),2.5,H224&gt;21,0.5)</f>
        <v/>
      </c>
      <c r="L224" s="43">
        <f t="array" ref="L224">INDEX('Podium Target Times'!$C:$C, MATCH(A224&amp;B224, 'Podium Target Times'!$A:$A&amp;'Podium Target Times'!$B:$B, 0))
</f>
        <v/>
      </c>
      <c r="M224" s="64">
        <f>IFS(K224=0.5,L224,K224=1,U222+(F224-F227), K224=1.5, M227+(F225-F228), K224=2, M227+(F225-F228), K224=2.5, M227+(F226-F229), K224=3, M227+(F226-F229))</f>
        <v/>
      </c>
      <c r="N224" s="43">
        <f>IF(M224&lt;60, TEXT(M224, "0.00"), TEXT(M224/(24*60*60), "M:SS.00"))</f>
        <v/>
      </c>
      <c r="O224" s="14">
        <f>IFERROR(__xludf.DUMMYFUNCTION("LET(
  gen,$A224, ev,$B224, t,$N224,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
      </c>
      <c r="P224" s="65" t="n"/>
      <c r="Q224" s="65" t="n"/>
      <c r="R224" s="69">
        <f>A232</f>
        <v/>
      </c>
      <c r="S224" s="65">
        <f>B232</f>
        <v/>
      </c>
      <c r="T224" s="69">
        <f>C232</f>
        <v/>
      </c>
      <c r="U224" s="58">
        <f>N232</f>
        <v/>
      </c>
      <c r="V224" s="69">
        <f>O232</f>
        <v/>
      </c>
      <c r="W224" s="65" t="n"/>
      <c r="X224" s="65" t="n"/>
      <c r="Y224" s="65" t="n"/>
    </row>
    <row r="225">
      <c r="A225" s="17" t="inlineStr">
        <is>
          <t>F</t>
        </is>
      </c>
      <c r="B225" s="18" t="inlineStr">
        <is>
          <t>50 Back</t>
        </is>
      </c>
      <c r="C225" s="18" t="n">
        <v>18</v>
      </c>
      <c r="D225" s="221" t="n">
        <v>2</v>
      </c>
      <c r="E225" s="46" t="inlineStr">
        <is>
          <t>28.60</t>
        </is>
      </c>
      <c r="F225" s="21">
        <f>IFERROR(__xludf.DUMMYFUNCTION("IF(
  REGEXMATCH(E225, "":""),
  60*VALUE(INDEX(SPLIT(E225, "":""),1,1)) + VALUE(INDEX(SPLIT(E225, "":""),1,2)),
  VALUE(E225)
)"),28.6)</f>
        <v/>
      </c>
      <c r="G225" s="211">
        <f>C218</f>
        <v/>
      </c>
      <c r="H225" s="211">
        <f>C227</f>
        <v/>
      </c>
      <c r="I225" s="211">
        <f>C232</f>
        <v/>
      </c>
      <c r="J225" s="211">
        <f>C235</f>
        <v/>
      </c>
      <c r="K225" s="60">
        <f>IFS(H225=21,1,I225=21,2,J225=21,3,and(H225=20,I225=22),1.5, and(I225=20,J225=22),2.5,H225&gt;21,0.5)</f>
        <v/>
      </c>
      <c r="L225" s="60">
        <f t="array" ref="L225">INDEX('Podium Target Times'!$C:$C, MATCH(A225&amp;B225, 'Podium Target Times'!$A:$A&amp;'Podium Target Times'!$B:$B, 0))
</f>
        <v/>
      </c>
      <c r="M225" s="66">
        <f>IFS(K225=0.5,L225,K225=1,U222+(F224-F227), K225=1.5, M227+(F225-F228), K225=2, M227+(F225-F228), K225=2.5, M227+(F226-F229), K225=3, M227+(F226-F229))</f>
        <v/>
      </c>
      <c r="N225" s="60">
        <f>IF(M225&lt;60, TEXT(M225, "0.00"), TEXT(M225/(24*60*60), "M:SS.00"))</f>
        <v/>
      </c>
      <c r="O225" s="25">
        <f>IFERROR(__xludf.DUMMYFUNCTION("LET(
  gen,$A225, ev,$B225, t,$N225,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
      </c>
      <c r="P225" s="65" t="n"/>
      <c r="Q225" s="65" t="n"/>
      <c r="R225" s="69" t="n"/>
      <c r="S225" s="65" t="n"/>
      <c r="T225" s="69" t="n"/>
      <c r="U225" s="58" t="n"/>
      <c r="V225" s="69" t="n"/>
      <c r="W225" s="65" t="n"/>
      <c r="X225" s="65" t="n"/>
      <c r="Y225" s="65" t="n"/>
    </row>
    <row r="226">
      <c r="A226" s="8" t="inlineStr">
        <is>
          <t>F</t>
        </is>
      </c>
      <c r="B226" s="9" t="inlineStr">
        <is>
          <t>50 Back</t>
        </is>
      </c>
      <c r="C226" s="9" t="n">
        <v>18</v>
      </c>
      <c r="D226" s="9" t="n">
        <v>3</v>
      </c>
      <c r="E226" s="41" t="inlineStr">
        <is>
          <t>28.73</t>
        </is>
      </c>
      <c r="F226" s="35">
        <f>IFERROR(__xludf.DUMMYFUNCTION("IF(
  REGEXMATCH(E226, "":""),
  60*VALUE(INDEX(SPLIT(E226, "":""),1,1)) + VALUE(INDEX(SPLIT(E226, "":""),1,2)),
  VALUE(E226)
)"),28.73)</f>
        <v/>
      </c>
      <c r="G226" s="215">
        <f>C218</f>
        <v/>
      </c>
      <c r="H226" s="215">
        <f>C227</f>
        <v/>
      </c>
      <c r="I226" s="215">
        <f>C232</f>
        <v/>
      </c>
      <c r="J226" s="215">
        <f>C235</f>
        <v/>
      </c>
      <c r="K226" s="43">
        <f>IFS(H226=21,1,I226=21,2,J226=21,3,and(H226=20,I226=22),1.5, and(I226=20,J226=22),2.5,H226&gt;21,0.5)</f>
        <v/>
      </c>
      <c r="L226" s="43">
        <f t="array" ref="L226">INDEX('Podium Target Times'!$C:$C, MATCH(A226&amp;B226, 'Podium Target Times'!$A:$A&amp;'Podium Target Times'!$B:$B, 0))
</f>
        <v/>
      </c>
      <c r="M226" s="64">
        <f>IFS(K226=0.5,L226,K226=1,U222+(F224-F227), K226=1.5, M227+(F225-F228), K226=2, M227+(F225-F228), K226=2.5, M227+(F226-F229), K226=3, M227+(F226-F229))</f>
        <v/>
      </c>
      <c r="N226" s="43">
        <f>IF(M226&lt;60, TEXT(M226, "0.00"), TEXT(M226/(24*60*60), "M:SS.00"))</f>
        <v/>
      </c>
      <c r="O226" s="14">
        <f>IFERROR(__xludf.DUMMYFUNCTION("LET(
  gen,$A226, ev,$B226, t,$N226,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)"),764.0)</f>
        <v/>
      </c>
      <c r="P226" s="65" t="n"/>
      <c r="Q226" s="65" t="n"/>
      <c r="R226" s="69" t="n"/>
      <c r="S226" s="65" t="n"/>
      <c r="T226" s="69" t="n"/>
      <c r="U226" s="58" t="n"/>
      <c r="V226" s="69" t="n"/>
      <c r="W226" s="65" t="n"/>
      <c r="X226" s="65" t="n"/>
      <c r="Y226" s="65" t="n"/>
    </row>
    <row r="227">
      <c r="A227" s="17" t="inlineStr">
        <is>
          <t>F</t>
        </is>
      </c>
      <c r="B227" s="18" t="inlineStr">
        <is>
          <t>50 Back</t>
        </is>
      </c>
      <c r="C227" s="18" t="n">
        <v>19</v>
      </c>
      <c r="D227" s="18" t="n">
        <v>1</v>
      </c>
      <c r="E227" s="46" t="inlineStr">
        <is>
          <t>28.22</t>
        </is>
      </c>
      <c r="F227" s="21">
        <f>IFERROR(__xludf.DUMMYFUNCTION("IF(
  REGEXMATCH(E227, "":""),
  60*VALUE(INDEX(SPLIT(E227, "":""),1,1)) + VALUE(INDEX(SPLIT(E227, "":""),1,2)),
  VALUE(E227)
)"),28.22)</f>
        <v/>
      </c>
      <c r="G227" s="211">
        <f>C218</f>
        <v/>
      </c>
      <c r="H227" s="211">
        <f>C227</f>
        <v/>
      </c>
      <c r="I227" s="211">
        <f>C232</f>
        <v/>
      </c>
      <c r="J227" s="211">
        <f>C235</f>
        <v/>
      </c>
      <c r="K227" s="60">
        <f>IFS(H227=21,1,I227=21,2,J227=21,3,and(H227=20,I227=22),1.5, and(I227=20,J227=22),2.5,H227&gt;21,0.5)</f>
        <v/>
      </c>
      <c r="L227" s="60">
        <f t="array" ref="L227">INDEX('Podium Target Times'!$C:$C, MATCH(A227&amp;B227, 'Podium Target Times'!$A:$A&amp;'Podium Target Times'!$B:$B, 0))
</f>
        <v/>
      </c>
      <c r="M227" s="66">
        <f>IFS(K227=0.5,L227,K227=1,L227, K227=1.5, M230+(F228-F230), K227=2, M230+(F228-F230), K227=2.5, M230+(F229-F231), K227=3, M230+(F229-F231))</f>
        <v/>
      </c>
      <c r="N227" s="60">
        <f>IF(M227&lt;60, TEXT(M227, "0.00"), TEXT(M227/(24*60*60), "M:SS.00"))</f>
        <v/>
      </c>
      <c r="O227" s="25">
        <f>IFERROR(__xludf.DUMMYFUNCTION("LET(
  gen,$A227, ev,$B227, t,$N227,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P227" s="65" t="n"/>
      <c r="Q227" s="65" t="n"/>
      <c r="R227" s="69" t="n"/>
      <c r="S227" s="65" t="n"/>
      <c r="T227" s="69" t="n"/>
      <c r="U227" s="58" t="n"/>
      <c r="V227" s="69" t="n"/>
      <c r="W227" s="65" t="n"/>
      <c r="X227" s="65" t="n"/>
      <c r="Y227" s="65" t="n"/>
    </row>
    <row r="228">
      <c r="A228" s="8" t="inlineStr">
        <is>
          <t>F</t>
        </is>
      </c>
      <c r="B228" s="9" t="inlineStr">
        <is>
          <t>50 Back</t>
        </is>
      </c>
      <c r="C228" s="9" t="n">
        <v>19</v>
      </c>
      <c r="D228" s="9" t="n">
        <v>2</v>
      </c>
      <c r="E228" s="41" t="inlineStr">
        <is>
          <t>28.46</t>
        </is>
      </c>
      <c r="F228" s="35">
        <f>IFERROR(__xludf.DUMMYFUNCTION("IF(
  REGEXMATCH(E228, "":""),
  60*VALUE(INDEX(SPLIT(E228, "":""),1,1)) + VALUE(INDEX(SPLIT(E228, "":""),1,2)),
  VALUE(E228)
)"),28.46)</f>
        <v/>
      </c>
      <c r="G228" s="215">
        <f>C218</f>
        <v/>
      </c>
      <c r="H228" s="215">
        <f>C227</f>
        <v/>
      </c>
      <c r="I228" s="215">
        <f>C232</f>
        <v/>
      </c>
      <c r="J228" s="215">
        <f>C235</f>
        <v/>
      </c>
      <c r="K228" s="43">
        <f>IFS(H228=21,1,I228=21,2,J228=21,3,and(H228=20,I228=22),1.5, and(I228=20,J228=22),2.5,H228&gt;21,0.5)</f>
        <v/>
      </c>
      <c r="L228" s="43">
        <f t="array" ref="L228">INDEX('Podium Target Times'!$C:$C, MATCH(A228&amp;B228, 'Podium Target Times'!$A:$A&amp;'Podium Target Times'!$B:$B, 0))
</f>
        <v/>
      </c>
      <c r="M228" s="64">
        <f>IFS(K228=0.5,L228,K228=1,L228, K228=1.5, M230+(F228-F230), K228=2, M230+(F228-F230), K228=2.5, M230+(F229-F231), K228=3, M230+(F229-F231))</f>
        <v/>
      </c>
      <c r="N228" s="43">
        <f>IF(M228&lt;60, TEXT(M228, "0.00"), TEXT(M228/(24*60*60), "M:SS.00"))</f>
        <v/>
      </c>
      <c r="O228" s="14">
        <f>IFERROR(__xludf.DUMMYFUNCTION("LET(
  gen,$A228, ev,$B228, t,$N228,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P228" s="65" t="n"/>
      <c r="Q228" s="65" t="n"/>
      <c r="R228" s="69" t="n"/>
      <c r="S228" s="65" t="n"/>
      <c r="T228" s="69" t="n"/>
      <c r="U228" s="58" t="n"/>
      <c r="V228" s="69" t="n"/>
      <c r="W228" s="65" t="n"/>
      <c r="X228" s="65" t="n"/>
      <c r="Y228" s="65" t="n"/>
    </row>
    <row r="229">
      <c r="A229" s="17" t="inlineStr">
        <is>
          <t>F</t>
        </is>
      </c>
      <c r="B229" s="18" t="inlineStr">
        <is>
          <t>50 Back</t>
        </is>
      </c>
      <c r="C229" s="18" t="n">
        <v>19</v>
      </c>
      <c r="D229" s="18" t="n">
        <v>3</v>
      </c>
      <c r="E229" s="46" t="inlineStr">
        <is>
          <t>28.59</t>
        </is>
      </c>
      <c r="F229" s="21">
        <f>IFERROR(__xludf.DUMMYFUNCTION("IF(
  REGEXMATCH(E229, "":""),
  60*VALUE(INDEX(SPLIT(E229, "":""),1,1)) + VALUE(INDEX(SPLIT(E229, "":""),1,2)),
  VALUE(E229)
)"),28.59)</f>
        <v/>
      </c>
      <c r="G229" s="211">
        <f>C218</f>
        <v/>
      </c>
      <c r="H229" s="211">
        <f>C227</f>
        <v/>
      </c>
      <c r="I229" s="211">
        <f>C232</f>
        <v/>
      </c>
      <c r="J229" s="211">
        <f>C235</f>
        <v/>
      </c>
      <c r="K229" s="60">
        <f>IFS(H229=21,1,I229=21,2,J229=21,3,and(H229=20,I229=22),1.5, and(I229=20,J229=22),2.5,H229&gt;21,0.5)</f>
        <v/>
      </c>
      <c r="L229" s="60">
        <f t="array" ref="L229">INDEX('Podium Target Times'!$C:$C, MATCH(A229&amp;B229, 'Podium Target Times'!$A:$A&amp;'Podium Target Times'!$B:$B, 0))
</f>
        <v/>
      </c>
      <c r="M229" s="66">
        <f>IFS(K229=0.5,L229,K229=1,L229, K229=1.5, M230+(F228-F230), K229=2, M230+(F228-F230), K229=2.5, M230+(F229-F231), K229=3, M230+(F229-F231))</f>
        <v/>
      </c>
      <c r="N229" s="60">
        <f>IF(M229&lt;60, TEXT(M229, "0.00"), TEXT(M229/(24*60*60), "M:SS.00"))</f>
        <v/>
      </c>
      <c r="O229" s="25">
        <f>IFERROR(__xludf.DUMMYFUNCTION("LET(
  gen,$A229, ev,$B229, t,$N229,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P229" s="65" t="n"/>
      <c r="Q229" s="65" t="n"/>
      <c r="R229" s="69" t="n"/>
      <c r="S229" s="65" t="n"/>
      <c r="T229" s="69" t="n"/>
      <c r="U229" s="58" t="n"/>
      <c r="V229" s="69" t="n"/>
      <c r="W229" s="65" t="n"/>
      <c r="X229" s="65" t="n"/>
      <c r="Y229" s="65" t="n"/>
    </row>
    <row r="230">
      <c r="A230" s="8" t="inlineStr">
        <is>
          <t>F</t>
        </is>
      </c>
      <c r="B230" s="9" t="inlineStr">
        <is>
          <t>50 Back</t>
        </is>
      </c>
      <c r="C230" s="9" t="n">
        <v>20</v>
      </c>
      <c r="D230" s="219" t="n">
        <v>2</v>
      </c>
      <c r="E230" s="41" t="inlineStr">
        <is>
          <t>28.32</t>
        </is>
      </c>
      <c r="F230" s="35">
        <f>IFERROR(__xludf.DUMMYFUNCTION("IF(
  REGEXMATCH(E230, "":""),
  60*VALUE(INDEX(SPLIT(E230, "":""),1,1)) + VALUE(INDEX(SPLIT(E230, "":""),1,2)),
  VALUE(E230)
)"),28.32)</f>
        <v/>
      </c>
      <c r="G230" s="215">
        <f>C218</f>
        <v/>
      </c>
      <c r="H230" s="215">
        <f>C227</f>
        <v/>
      </c>
      <c r="I230" s="215">
        <f>C232</f>
        <v/>
      </c>
      <c r="J230" s="215">
        <f>C235</f>
        <v/>
      </c>
      <c r="K230" s="43">
        <f>IFS(H230=21,1,I230=21,2,J230=21,3,and(H230=20,I230=22),1.5, and(I230=20,J230=22),2.5,H230&gt;21,0.5)</f>
        <v/>
      </c>
      <c r="L230" s="43">
        <f t="array" ref="L230">INDEX('Podium Target Times'!$C:$C, MATCH(A230&amp;B230, 'Podium Target Times'!$A:$A&amp;'Podium Target Times'!$B:$B, 0))
</f>
        <v/>
      </c>
      <c r="M230" s="64">
        <f>IFS(K230=0.5,L230,K230=1,L230, K230=1.5, L230, K230=2, M232+(F230-F232), K230=2.5, M232+(F231-F233), K230=3, M232+(F231-F233))</f>
        <v/>
      </c>
      <c r="N230" s="43">
        <f>IF(M230&lt;60, TEXT(M230, "0.00"), TEXT(M230/(24*60*60), "M:SS.00"))</f>
        <v/>
      </c>
      <c r="O230" s="14">
        <f>IFERROR(__xludf.DUMMYFUNCTION("LET(
  gen,$A230, ev,$B230, t,$N230,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
      </c>
      <c r="P230" s="65" t="n"/>
      <c r="Q230" s="65" t="n"/>
      <c r="R230" s="69" t="n"/>
      <c r="S230" s="65" t="n"/>
      <c r="T230" s="69" t="n"/>
      <c r="U230" s="58" t="n"/>
      <c r="V230" s="69" t="n"/>
      <c r="W230" s="65" t="n"/>
      <c r="X230" s="65" t="n"/>
      <c r="Y230" s="65" t="n"/>
    </row>
    <row r="231">
      <c r="A231" s="17" t="inlineStr">
        <is>
          <t>F</t>
        </is>
      </c>
      <c r="B231" s="18" t="inlineStr">
        <is>
          <t>50 Back</t>
        </is>
      </c>
      <c r="C231" s="18" t="n">
        <v>20</v>
      </c>
      <c r="D231" s="18" t="n">
        <v>3</v>
      </c>
      <c r="E231" s="46" t="inlineStr">
        <is>
          <t>28.46</t>
        </is>
      </c>
      <c r="F231" s="21">
        <f>IFERROR(__xludf.DUMMYFUNCTION("IF(
  REGEXMATCH(E231, "":""),
  60*VALUE(INDEX(SPLIT(E231, "":""),1,1)) + VALUE(INDEX(SPLIT(E231, "":""),1,2)),
  VALUE(E231)
)"),28.46)</f>
        <v/>
      </c>
      <c r="G231" s="211">
        <f>C218</f>
        <v/>
      </c>
      <c r="H231" s="211">
        <f>C227</f>
        <v/>
      </c>
      <c r="I231" s="211">
        <f>C232</f>
        <v/>
      </c>
      <c r="J231" s="211">
        <f>C235</f>
        <v/>
      </c>
      <c r="K231" s="60">
        <f>IFS(H231=21,1,I231=21,2,J231=21,3,and(H231=20,I231=22),1.5, and(I231=20,J231=22),2.5,H231&gt;21,0.5)</f>
        <v/>
      </c>
      <c r="L231" s="60">
        <f t="array" ref="L231">INDEX('Podium Target Times'!$C:$C, MATCH(A231&amp;B231, 'Podium Target Times'!$A:$A&amp;'Podium Target Times'!$B:$B, 0))
</f>
        <v/>
      </c>
      <c r="M231" s="66">
        <f>IFS(K231=0.5,L231,K231=1,L231, K231=1.5, L231, K231=2, M232+(F230-F232), K231=2.5, M232+(F231-F233), K231=3, M232+(F231-F233))</f>
        <v/>
      </c>
      <c r="N231" s="60">
        <f>IF(M231&lt;60, TEXT(M231, "0.00"), TEXT(M231/(24*60*60), "M:SS.00"))</f>
        <v/>
      </c>
      <c r="O231" s="25">
        <f>IFERROR(__xludf.DUMMYFUNCTION("LET(
  gen,$A231, ev,$B231, t,$N231,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
      </c>
      <c r="P231" s="65" t="n"/>
      <c r="Q231" s="65" t="n"/>
      <c r="R231" s="69" t="n"/>
      <c r="S231" s="65" t="n"/>
      <c r="T231" s="69" t="n"/>
      <c r="U231" s="58" t="n"/>
      <c r="V231" s="69" t="n"/>
      <c r="W231" s="65" t="n"/>
      <c r="X231" s="65" t="n"/>
      <c r="Y231" s="65" t="n"/>
    </row>
    <row r="232">
      <c r="A232" s="8" t="inlineStr">
        <is>
          <t>F</t>
        </is>
      </c>
      <c r="B232" s="9" t="inlineStr">
        <is>
          <t>50 Back</t>
        </is>
      </c>
      <c r="C232" s="9" t="n">
        <v>21</v>
      </c>
      <c r="D232" s="9" t="n">
        <v>2</v>
      </c>
      <c r="E232" s="41" t="inlineStr">
        <is>
          <t>28.22</t>
        </is>
      </c>
      <c r="F232" s="35">
        <f>IFERROR(__xludf.DUMMYFUNCTION("IF(
  REGEXMATCH(E232, "":""),
  60*VALUE(INDEX(SPLIT(E232, "":""),1,1)) + VALUE(INDEX(SPLIT(E232, "":""),1,2)),
  VALUE(E232)
)"),28.22)</f>
        <v/>
      </c>
      <c r="G232" s="215">
        <f>C218</f>
        <v/>
      </c>
      <c r="H232" s="215">
        <f>C227</f>
        <v/>
      </c>
      <c r="I232" s="215">
        <f>C232</f>
        <v/>
      </c>
      <c r="J232" s="215">
        <f>C235</f>
        <v/>
      </c>
      <c r="K232" s="43">
        <f>IFS(H232=21,1,I232=21,2,J232=21,3,and(H232=20,I232=22),1.5, and(I232=20,J232=22),2.5,H232&gt;21,0.5)</f>
        <v/>
      </c>
      <c r="L232" s="43">
        <f t="array" ref="L232">INDEX('Podium Target Times'!$C:$C, MATCH(A232&amp;B232, 'Podium Target Times'!$A:$A&amp;'Podium Target Times'!$B:$B, 0))
</f>
        <v/>
      </c>
      <c r="M232" s="64">
        <f>IFS(K232=0.5,L232,K232=1,L232, K232=1.5, L232, K232=2,L235, K232=2.5, M234+(F233-F234), K232=3,  M234+(F233-F234))</f>
        <v/>
      </c>
      <c r="N232" s="43">
        <f>IF(M232&lt;60, TEXT(M232, "0.00"), TEXT(M232/(24*60*60), "M:SS.00"))</f>
        <v/>
      </c>
      <c r="O232" s="14">
        <f>IFERROR(__xludf.DUMMYFUNCTION("LET(
  gen,$A232, ev,$B232, t,$N232,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232" s="65" t="n"/>
      <c r="Q232" s="65" t="n"/>
      <c r="R232" s="69" t="n"/>
      <c r="S232" s="65" t="n"/>
      <c r="T232" s="69" t="n"/>
      <c r="U232" s="58" t="n"/>
      <c r="V232" s="69" t="n"/>
      <c r="W232" s="65" t="n"/>
      <c r="X232" s="65" t="n"/>
      <c r="Y232" s="65" t="n"/>
    </row>
    <row r="233">
      <c r="A233" s="17" t="inlineStr">
        <is>
          <t>F</t>
        </is>
      </c>
      <c r="B233" s="18" t="inlineStr">
        <is>
          <t>50 Back</t>
        </is>
      </c>
      <c r="C233" s="18" t="n">
        <v>21</v>
      </c>
      <c r="D233" s="18" t="n">
        <v>3</v>
      </c>
      <c r="E233" s="46" t="inlineStr">
        <is>
          <t>28.35</t>
        </is>
      </c>
      <c r="F233" s="21">
        <f>IFERROR(__xludf.DUMMYFUNCTION("IF(
  REGEXMATCH(E233, "":""),
  60*VALUE(INDEX(SPLIT(E233, "":""),1,1)) + VALUE(INDEX(SPLIT(E233, "":""),1,2)),
  VALUE(E233)
)"),28.35)</f>
        <v/>
      </c>
      <c r="G233" s="211">
        <f>C218</f>
        <v/>
      </c>
      <c r="H233" s="211">
        <f>C227</f>
        <v/>
      </c>
      <c r="I233" s="211">
        <f>C232</f>
        <v/>
      </c>
      <c r="J233" s="211">
        <f>C235</f>
        <v/>
      </c>
      <c r="K233" s="60">
        <f>IFS(H233=21,1,I233=21,2,J233=21,3,and(H233=20,I233=22),1.5, and(I233=20,J233=22),2.5,H233&gt;21,0.5)</f>
        <v/>
      </c>
      <c r="L233" s="60">
        <f t="array" ref="L233">INDEX('Podium Target Times'!$C:$C, MATCH(A233&amp;B233, 'Podium Target Times'!$A:$A&amp;'Podium Target Times'!$B:$B, 0))
</f>
        <v/>
      </c>
      <c r="M233" s="66">
        <f>IFS(K233=0.5,L233,K233=1,L233, K233=1.5, L233, K233=2, L235, K233=2.5, M234+(F233-F234), K233=3, M234+(F233-F234))</f>
        <v/>
      </c>
      <c r="N233" s="60">
        <f>IF(M233&lt;60, TEXT(M233, "0.00"), TEXT(M233/(24*60*60), "M:SS.00"))</f>
        <v/>
      </c>
      <c r="O233" s="25">
        <f>IFERROR(__xludf.DUMMYFUNCTION("LET(
  gen,$A233, ev,$B233, t,$N233,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233" s="65" t="n"/>
      <c r="Q233" s="65" t="n"/>
      <c r="R233" s="69" t="n"/>
      <c r="S233" s="65" t="n"/>
      <c r="T233" s="69" t="n"/>
      <c r="U233" s="58" t="n"/>
      <c r="V233" s="69" t="n"/>
      <c r="W233" s="65" t="n"/>
      <c r="X233" s="65" t="n"/>
      <c r="Y233" s="65" t="n"/>
    </row>
    <row r="234">
      <c r="A234" s="8" t="inlineStr">
        <is>
          <t>F</t>
        </is>
      </c>
      <c r="B234" s="9" t="inlineStr">
        <is>
          <t>50 Back</t>
        </is>
      </c>
      <c r="C234" s="9" t="n">
        <v>22</v>
      </c>
      <c r="D234" s="9" t="n">
        <v>3</v>
      </c>
      <c r="E234" s="41" t="inlineStr">
        <is>
          <t>28.28</t>
        </is>
      </c>
      <c r="F234" s="35">
        <f>IFERROR(__xludf.DUMMYFUNCTION("IF(
  REGEXMATCH(E234, "":""),
  60*VALUE(INDEX(SPLIT(E234, "":""),1,1)) + VALUE(INDEX(SPLIT(E234, "":""),1,2)),
  VALUE(E234)
)"),28.28)</f>
        <v/>
      </c>
      <c r="G234" s="215">
        <f>C218</f>
        <v/>
      </c>
      <c r="H234" s="215">
        <f>C227</f>
        <v/>
      </c>
      <c r="I234" s="215">
        <f>C232</f>
        <v/>
      </c>
      <c r="J234" s="215">
        <f>C235</f>
        <v/>
      </c>
      <c r="K234" s="43">
        <f>IFS(H234=21,1,I234=21,2,J234=21,3,and(H234=20,I234=22),1.5, and(I234=20,J234=22),2.5,H234&gt;21,0.5)</f>
        <v/>
      </c>
      <c r="L234" s="43">
        <f t="array" ref="L234">INDEX('Podium Target Times'!$C:$C, MATCH(A234&amp;B234, 'Podium Target Times'!$A:$A&amp;'Podium Target Times'!$B:$B, 0))
</f>
        <v/>
      </c>
      <c r="M234" s="64">
        <f>IFS(K234=0.5,L234,K234=1,L234, K234=1.5, L234, K234=2, L235, K234=2.5, L235, K234=3, M235+(F234-F235))</f>
        <v/>
      </c>
      <c r="N234" s="43">
        <f>IF(M234&lt;60, TEXT(M234, "0.00"), TEXT(M234/(24*60*60), "M:SS.00"))</f>
        <v/>
      </c>
      <c r="O234" s="14">
        <f>IFERROR(__xludf.DUMMYFUNCTION("LET(
  gen,$A234, ev,$B234, t,$N234,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234" s="65" t="n"/>
      <c r="Q234" s="65" t="n"/>
      <c r="R234" s="69" t="n"/>
      <c r="S234" s="65" t="n"/>
      <c r="T234" s="69" t="n"/>
      <c r="U234" s="58" t="n"/>
      <c r="V234" s="69" t="n"/>
      <c r="W234" s="65" t="n"/>
      <c r="X234" s="65" t="n"/>
      <c r="Y234" s="65" t="n"/>
    </row>
    <row r="235">
      <c r="A235" s="17" t="inlineStr">
        <is>
          <t>F</t>
        </is>
      </c>
      <c r="B235" s="18" t="inlineStr">
        <is>
          <t>50 Back</t>
        </is>
      </c>
      <c r="C235" s="18" t="n">
        <v>23</v>
      </c>
      <c r="D235" s="18" t="n">
        <v>3</v>
      </c>
      <c r="E235" s="46" t="inlineStr">
        <is>
          <t>28.22</t>
        </is>
      </c>
      <c r="F235" s="21">
        <f>IFERROR(__xludf.DUMMYFUNCTION("IF(
  REGEXMATCH(E235, "":""),
  60*VALUE(INDEX(SPLIT(E235, "":""),1,1)) + VALUE(INDEX(SPLIT(E235, "":""),1,2)),
  VALUE(E235)
)"),28.22)</f>
        <v/>
      </c>
      <c r="G235" s="211">
        <f>C218</f>
        <v/>
      </c>
      <c r="H235" s="211">
        <f>C227</f>
        <v/>
      </c>
      <c r="I235" s="211">
        <f>C232</f>
        <v/>
      </c>
      <c r="J235" s="211">
        <f>C235</f>
        <v/>
      </c>
      <c r="K235" s="60">
        <f>IFS(H235=21,1,I235=21,2,J235=21,3,and(H235=20,I235=22),1.5, and(I235=20,J235=22),2.5,H235&gt;21,0.5)</f>
        <v/>
      </c>
      <c r="L235" s="60">
        <f t="array" ref="L235">INDEX('Podium Target Times'!$C:$C, MATCH(A235&amp;B235, 'Podium Target Times'!$A:$A&amp;'Podium Target Times'!$B:$B, 0))
</f>
        <v/>
      </c>
      <c r="M235" s="66">
        <f>IFS(K235=0.5,L235,K235=1,L235, K235=1.5, L235, K235=2, L235, K235=2.5, L235, K235=3, L235)</f>
        <v/>
      </c>
      <c r="N235" s="60">
        <f>IF(M235&lt;60, TEXT(M235, "0.00"), TEXT(M235/(24*60*60), "M:SS.00"))</f>
        <v/>
      </c>
      <c r="O235" s="25">
        <f>IFERROR(__xludf.DUMMYFUNCTION("LET(
  gen,$A235, ev,$B235, t,$N235,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235" s="65" t="n"/>
      <c r="Q235" s="65" t="n"/>
      <c r="R235" s="69" t="n"/>
      <c r="S235" s="65" t="n"/>
      <c r="T235" s="69" t="n"/>
      <c r="U235" s="58" t="n"/>
      <c r="V235" s="69" t="n"/>
      <c r="W235" s="65" t="n"/>
      <c r="X235" s="65" t="n"/>
      <c r="Y235" s="65" t="n"/>
    </row>
    <row r="236">
      <c r="A236" s="8" t="inlineStr">
        <is>
          <t>F</t>
        </is>
      </c>
      <c r="B236" s="9" t="inlineStr">
        <is>
          <t>50 Breast</t>
        </is>
      </c>
      <c r="C236" s="9" t="n">
        <v>16</v>
      </c>
      <c r="D236" s="9" t="n">
        <v>1</v>
      </c>
      <c r="E236" s="41" t="inlineStr">
        <is>
          <t>31.56</t>
        </is>
      </c>
      <c r="F236" s="35">
        <f>IFERROR(__xludf.DUMMYFUNCTION("IF(
  REGEXMATCH(E236, "":""),
  60*VALUE(INDEX(SPLIT(E236, "":""),1,1)) + VALUE(INDEX(SPLIT(E236, "":""),1,2)),
  VALUE(E236)
)"),31.56)</f>
        <v/>
      </c>
      <c r="G236" s="43">
        <f>C236</f>
        <v/>
      </c>
      <c r="H236" s="43">
        <f>C245</f>
        <v/>
      </c>
      <c r="I236" s="43">
        <f>C250</f>
        <v/>
      </c>
      <c r="J236" s="43">
        <f>C253</f>
        <v/>
      </c>
      <c r="K236" s="43">
        <f>IFS(H236=21,1,I236=21,2,J236=21,3,and(H236=20,I236=22),1.5, and(I236=20,J236=22),2.5,H236&gt;21,0.5)</f>
        <v/>
      </c>
      <c r="L236" s="43">
        <f t="array" ref="L236">INDEX('Podium Target Times'!$C:$C, MATCH(A236&amp;B236, 'Podium Target Times'!$A:$A&amp;'Podium Target Times'!$B:$B, 0))
</f>
        <v/>
      </c>
      <c r="M236" s="64">
        <f>IFS(K236=0.5,M237+(F236-F237),K236=1,M237+(F236-F237), K236=1.5, M237+(F236-F237), K236=2, M237+(F236-F237), K236=2.5, M237+(F236-F237), K236=3, M237+(F236-F237))</f>
        <v/>
      </c>
      <c r="N236" s="43">
        <f>IF(M236&lt;60, TEXT(M236, "0.00"), TEXT(M236/(24*60*60), "M:SS.00"))</f>
        <v/>
      </c>
      <c r="O236" s="14">
        <f>IFERROR(__xludf.DUMMYFUNCTION("LET(
  gen,$A236, ev,$B236, t,$N236,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
      </c>
      <c r="P236" s="65" t="n"/>
      <c r="Q236" s="65" t="n"/>
      <c r="R236" s="69">
        <f>A236</f>
        <v/>
      </c>
      <c r="S236" s="65">
        <f>B236</f>
        <v/>
      </c>
      <c r="T236" s="69">
        <f>C236</f>
        <v/>
      </c>
      <c r="U236" s="58">
        <f>N236</f>
        <v/>
      </c>
      <c r="V236" s="69">
        <f>O236</f>
        <v/>
      </c>
      <c r="W236" s="65" t="n"/>
      <c r="X236" s="65" t="n"/>
      <c r="Y236" s="65" t="n"/>
    </row>
    <row r="237">
      <c r="A237" s="17" t="inlineStr">
        <is>
          <t>F</t>
        </is>
      </c>
      <c r="B237" s="18" t="inlineStr">
        <is>
          <t>50 Breast</t>
        </is>
      </c>
      <c r="C237" s="18" t="n">
        <v>17</v>
      </c>
      <c r="D237" s="18" t="n">
        <v>1</v>
      </c>
      <c r="E237" s="46" t="inlineStr">
        <is>
          <t>31.20</t>
        </is>
      </c>
      <c r="F237" s="21">
        <f>IFERROR(__xludf.DUMMYFUNCTION("IF(
  REGEXMATCH(E237, "":""),
  60*VALUE(INDEX(SPLIT(E237, "":""),1,1)) + VALUE(INDEX(SPLIT(E237, "":""),1,2)),
  VALUE(E237)
)"),31.2)</f>
        <v/>
      </c>
      <c r="G237" s="211">
        <f>C236</f>
        <v/>
      </c>
      <c r="H237" s="211">
        <f>C245</f>
        <v/>
      </c>
      <c r="I237" s="211">
        <f>C250</f>
        <v/>
      </c>
      <c r="J237" s="211">
        <f>C253</f>
        <v/>
      </c>
      <c r="K237" s="60">
        <f>IFS(H237=21,1,I237=21,2,J237=21,3,and(H237=20,I237=22),1.5, and(I237=20,J237=22),2.5,H237&gt;21,0.5)</f>
        <v/>
      </c>
      <c r="L237" s="60">
        <f t="array" ref="L237">INDEX('Podium Target Times'!$C:$C, MATCH(A237&amp;B237, 'Podium Target Times'!$A:$A&amp;'Podium Target Times'!$B:$B, 0))
</f>
        <v/>
      </c>
      <c r="M237" s="66">
        <f>IFS(K237=0.5,M238+(F237-F239),K237=1,M238+(F237-F239), K237=1.5, M239+(F238-F240), K237=2, M239+(F238-F240), K237=2.5, M239+(F238-F240), K237=3, M239+(F238-F240))</f>
        <v/>
      </c>
      <c r="N237" s="60">
        <f>IF(M237&lt;60, TEXT(M237, "0.00"), TEXT(M237/(24*60*60), "M:SS.00"))</f>
        <v/>
      </c>
      <c r="O237" s="25">
        <f>IFERROR(__xludf.DUMMYFUNCTION("LET(
  gen,$A237, ev,$B237, t,$N237,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P237" s="65" t="n"/>
      <c r="Q237" s="65" t="n"/>
      <c r="R237" s="69">
        <f>A237</f>
        <v/>
      </c>
      <c r="S237" s="65">
        <f>B237</f>
        <v/>
      </c>
      <c r="T237" s="69">
        <f>C237</f>
        <v/>
      </c>
      <c r="U237" s="58">
        <f>N237</f>
        <v/>
      </c>
      <c r="V237" s="69">
        <f>O237</f>
        <v/>
      </c>
      <c r="W237" s="65" t="n"/>
      <c r="X237" s="65" t="n"/>
      <c r="Y237" s="65" t="n"/>
    </row>
    <row r="238">
      <c r="A238" s="8" t="inlineStr">
        <is>
          <t>F</t>
        </is>
      </c>
      <c r="B238" s="9" t="inlineStr">
        <is>
          <t>50 Breast</t>
        </is>
      </c>
      <c r="C238" s="9" t="n">
        <v>17</v>
      </c>
      <c r="D238" s="219" t="n">
        <v>2</v>
      </c>
      <c r="E238" s="41" t="inlineStr">
        <is>
          <t>31.35</t>
        </is>
      </c>
      <c r="F238" s="35">
        <f>IFERROR(__xludf.DUMMYFUNCTION("IF(
  REGEXMATCH(E238, "":""),
  60*VALUE(INDEX(SPLIT(E238, "":""),1,1)) + VALUE(INDEX(SPLIT(E238, "":""),1,2)),
  VALUE(E238)
)"),31.35)</f>
        <v/>
      </c>
      <c r="G238" s="215">
        <f>C236</f>
        <v/>
      </c>
      <c r="H238" s="215">
        <f>C245</f>
        <v/>
      </c>
      <c r="I238" s="215">
        <f>C250</f>
        <v/>
      </c>
      <c r="J238" s="215">
        <f>C253</f>
        <v/>
      </c>
      <c r="K238" s="43">
        <f>IFS(H238=21,1,I238=21,2,J238=21,3,and(H238=20,I238=22),1.5, and(I238=20,J238=22),2.5,H238&gt;21,0.5)</f>
        <v/>
      </c>
      <c r="L238" s="43">
        <f t="array" ref="L238">INDEX('Podium Target Times'!$C:$C, MATCH(A238&amp;B238, 'Podium Target Times'!$A:$A&amp;'Podium Target Times'!$B:$B, 0))
</f>
        <v/>
      </c>
      <c r="M238" s="64">
        <f>IFS(K238=0.5,M239+(F238-F241),K238=1,M239+(F238-F241), K238=1.5, M239+(F238-F240), K238=2, M239+(F238-F240), K238=2.5, M239+(F238-F240), K238=3, M239+(F238-F240))</f>
        <v/>
      </c>
      <c r="N238" s="43">
        <f>IF(M238&lt;60, TEXT(M238, "0.00"), TEXT(M238/(24*60*60), "M:SS.00"))</f>
        <v/>
      </c>
      <c r="O238" s="14">
        <f>IFERROR(__xludf.DUMMYFUNCTION("LET(
  gen,$A238, ev,$B238, t,$N238,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P238" s="65" t="n"/>
      <c r="Q238" s="65" t="n"/>
      <c r="R238" s="69">
        <f>A239</f>
        <v/>
      </c>
      <c r="S238" s="65">
        <f>B239</f>
        <v/>
      </c>
      <c r="T238" s="69">
        <f>C239</f>
        <v/>
      </c>
      <c r="U238" s="58">
        <f>N239</f>
        <v/>
      </c>
      <c r="V238" s="69">
        <f>O239</f>
        <v/>
      </c>
      <c r="W238" s="65" t="n"/>
      <c r="X238" s="65" t="n"/>
      <c r="Y238" s="65" t="n"/>
    </row>
    <row r="239">
      <c r="A239" s="17" t="inlineStr">
        <is>
          <t>F</t>
        </is>
      </c>
      <c r="B239" s="18" t="inlineStr">
        <is>
          <t>50 Breast</t>
        </is>
      </c>
      <c r="C239" s="18" t="n">
        <v>18</v>
      </c>
      <c r="D239" s="18" t="n">
        <v>1</v>
      </c>
      <c r="E239" s="46" t="inlineStr">
        <is>
          <t>31.00</t>
        </is>
      </c>
      <c r="F239" s="21">
        <f>IFERROR(__xludf.DUMMYFUNCTION("IF(
  REGEXMATCH(E239, "":""),
  60*VALUE(INDEX(SPLIT(E239, "":""),1,1)) + VALUE(INDEX(SPLIT(E239, "":""),1,2)),
  VALUE(E239)
)"),31.0)</f>
        <v/>
      </c>
      <c r="G239" s="211">
        <f>C236</f>
        <v/>
      </c>
      <c r="H239" s="211">
        <f>C245</f>
        <v/>
      </c>
      <c r="I239" s="211">
        <f>C250</f>
        <v/>
      </c>
      <c r="J239" s="211">
        <f>C253</f>
        <v/>
      </c>
      <c r="K239" s="60">
        <f>IFS(H239=21,1,I239=21,2,J239=21,3,and(H239=20,I239=22),1.5, and(I239=20,J239=22),2.5,H239&gt;21,0.5)</f>
        <v/>
      </c>
      <c r="L239" s="60">
        <f t="array" ref="L239">INDEX('Podium Target Times'!$C:$C, MATCH(A239&amp;B239, 'Podium Target Times'!$A:$A&amp;'Podium Target Times'!$B:$B, 0))
</f>
        <v/>
      </c>
      <c r="M239" s="66">
        <f>IFS(K239=0.5,M240+(F239-F242),K239=1,M240+(F239-F242), K239=1.5, M242+(F240-F243), K239=2, M242+(F240-F243), K239=2.5, M242+(F241-F244), K239=3, M242+(F241-F244))</f>
        <v/>
      </c>
      <c r="N239" s="60">
        <f>IF(M239&lt;60, TEXT(M239, "0.00"), TEXT(M239/(24*60*60), "M:SS.00"))</f>
        <v/>
      </c>
      <c r="O239" s="25">
        <f>IFERROR(__xludf.DUMMYFUNCTION("LET(
  gen,$A239, ev,$B239, t,$N239,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239" s="65" t="n"/>
      <c r="Q239" s="65" t="n"/>
      <c r="R239" s="69">
        <f>A242</f>
        <v/>
      </c>
      <c r="S239" s="65">
        <f>B242</f>
        <v/>
      </c>
      <c r="T239" s="69">
        <f>C242</f>
        <v/>
      </c>
      <c r="U239" s="58">
        <f>N242</f>
        <v/>
      </c>
      <c r="V239" s="69">
        <f>O242</f>
        <v/>
      </c>
      <c r="W239" s="65" t="n"/>
      <c r="X239" s="65" t="n"/>
      <c r="Y239" s="65" t="n"/>
    </row>
    <row r="240">
      <c r="A240" s="8" t="inlineStr">
        <is>
          <t>F</t>
        </is>
      </c>
      <c r="B240" s="9" t="inlineStr">
        <is>
          <t>50 Breast</t>
        </is>
      </c>
      <c r="C240" s="9" t="n">
        <v>18</v>
      </c>
      <c r="D240" s="9" t="n">
        <v>2</v>
      </c>
      <c r="E240" s="41" t="inlineStr">
        <is>
          <t>31.15</t>
        </is>
      </c>
      <c r="F240" s="35">
        <f>IFERROR(__xludf.DUMMYFUNCTION("IF(
  REGEXMATCH(E240, "":""),
  60*VALUE(INDEX(SPLIT(E240, "":""),1,1)) + VALUE(INDEX(SPLIT(E240, "":""),1,2)),
  VALUE(E240)
)"),31.15)</f>
        <v/>
      </c>
      <c r="G240" s="215">
        <f>C236</f>
        <v/>
      </c>
      <c r="H240" s="215">
        <f>C245</f>
        <v/>
      </c>
      <c r="I240" s="215">
        <f>C250</f>
        <v/>
      </c>
      <c r="J240" s="215">
        <f>C253</f>
        <v/>
      </c>
      <c r="K240" s="43">
        <f>IFS(H240=21,1,I240=21,2,J240=21,3,and(H240=20,I240=22),1.5, and(I240=20,J240=22),2.5,H240&gt;21,0.5)</f>
        <v/>
      </c>
      <c r="L240" s="43">
        <f t="array" ref="L240">INDEX('Podium Target Times'!$C:$C, MATCH(A240&amp;B240, 'Podium Target Times'!$A:$A&amp;'Podium Target Times'!$B:$B, 0))
</f>
        <v/>
      </c>
      <c r="M240" s="64">
        <f>IFS(K240=0.5,M241+(F239-F242),K240=1,M241+(F239-F242), K240=1.5, M242+(F240-F243), K240=2, M242+(F240-F243), K240=2.5, M242+(F241-F244), K240=3, M242+(F241-F244))</f>
        <v/>
      </c>
      <c r="N240" s="43">
        <f>IF(M240&lt;60, TEXT(M240, "0.00"), TEXT(M240/(24*60*60), "M:SS.00"))</f>
        <v/>
      </c>
      <c r="O240" s="14">
        <f>IFERROR(__xludf.DUMMYFUNCTION("LET(
  gen,$A240, ev,$B240, t,$N240,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240" s="65" t="n"/>
      <c r="Q240" s="65" t="n"/>
      <c r="R240" s="69">
        <f>A245</f>
        <v/>
      </c>
      <c r="S240" s="65">
        <f>B245</f>
        <v/>
      </c>
      <c r="T240" s="69">
        <f>C245</f>
        <v/>
      </c>
      <c r="U240" s="58">
        <f>N245</f>
        <v/>
      </c>
      <c r="V240" s="69">
        <f>O245</f>
        <v/>
      </c>
      <c r="W240" s="65" t="n"/>
      <c r="X240" s="65" t="n"/>
      <c r="Y240" s="65" t="n"/>
    </row>
    <row r="241">
      <c r="A241" s="17" t="inlineStr">
        <is>
          <t>F</t>
        </is>
      </c>
      <c r="B241" s="18" t="inlineStr">
        <is>
          <t>50 Breast</t>
        </is>
      </c>
      <c r="C241" s="18" t="n">
        <v>18</v>
      </c>
      <c r="D241" s="18" t="n">
        <v>3</v>
      </c>
      <c r="E241" s="46" t="inlineStr">
        <is>
          <t>31.19</t>
        </is>
      </c>
      <c r="F241" s="21">
        <f>IFERROR(__xludf.DUMMYFUNCTION("IF(
  REGEXMATCH(E241, "":""),
  60*VALUE(INDEX(SPLIT(E241, "":""),1,1)) + VALUE(INDEX(SPLIT(E241, "":""),1,2)),
  VALUE(E241)
)"),31.19)</f>
        <v/>
      </c>
      <c r="G241" s="211">
        <f>C236</f>
        <v/>
      </c>
      <c r="H241" s="211">
        <f>C245</f>
        <v/>
      </c>
      <c r="I241" s="211">
        <f>C250</f>
        <v/>
      </c>
      <c r="J241" s="211">
        <f>C253</f>
        <v/>
      </c>
      <c r="K241" s="60">
        <f>IFS(H241=21,1,I241=21,2,J241=21,3,and(H241=20,I241=22),1.5, and(I241=20,J241=22),2.5,H241&gt;21,0.5)</f>
        <v/>
      </c>
      <c r="L241" s="60">
        <f t="array" ref="L241">INDEX('Podium Target Times'!$C:$C, MATCH(A241&amp;B241, 'Podium Target Times'!$A:$A&amp;'Podium Target Times'!$B:$B, 0))
</f>
        <v/>
      </c>
      <c r="M241" s="66">
        <f>IFS(K241=0.5,M242+(F239-F242),K241=1,M242+(F239-F242), K241=1.5, M242+(F240-F243), K241=2, M242+(F240-F243), K241=2.5, M242+(F241-F244), K241=3, M242+(F241-F244))</f>
        <v/>
      </c>
      <c r="N241" s="60">
        <f>IF(M241&lt;60, TEXT(M241, "0.00"), TEXT(M241/(24*60*60), "M:SS.00"))</f>
        <v/>
      </c>
      <c r="O241" s="25">
        <f>IFERROR(__xludf.DUMMYFUNCTION("LET(
  gen,$A241, ev,$B241, t,$N241,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241" s="65" t="n"/>
      <c r="Q241" s="65" t="n"/>
      <c r="R241" s="69">
        <f>A248</f>
        <v/>
      </c>
      <c r="S241" s="65">
        <f>B248</f>
        <v/>
      </c>
      <c r="T241" s="69">
        <f>C248</f>
        <v/>
      </c>
      <c r="U241" s="58">
        <f>N248</f>
        <v/>
      </c>
      <c r="V241" s="69">
        <f>O248</f>
        <v/>
      </c>
      <c r="W241" s="65" t="n"/>
      <c r="X241" s="65" t="n"/>
      <c r="Y241" s="65" t="n"/>
    </row>
    <row r="242">
      <c r="A242" s="8" t="inlineStr">
        <is>
          <t>F</t>
        </is>
      </c>
      <c r="B242" s="9" t="inlineStr">
        <is>
          <t>50 Breast</t>
        </is>
      </c>
      <c r="C242" s="9" t="n">
        <v>19</v>
      </c>
      <c r="D242" s="9" t="n">
        <v>1</v>
      </c>
      <c r="E242" s="41" t="inlineStr">
        <is>
          <t>30.86</t>
        </is>
      </c>
      <c r="F242" s="35">
        <f>IFERROR(__xludf.DUMMYFUNCTION("IF(
  REGEXMATCH(E242, "":""),
  60*VALUE(INDEX(SPLIT(E242, "":""),1,1)) + VALUE(INDEX(SPLIT(E242, "":""),1,2)),
  VALUE(E242)
)"),30.86)</f>
        <v/>
      </c>
      <c r="G242" s="215">
        <f>C236</f>
        <v/>
      </c>
      <c r="H242" s="215">
        <f>C245</f>
        <v/>
      </c>
      <c r="I242" s="215">
        <f>C250</f>
        <v/>
      </c>
      <c r="J242" s="215">
        <f>C253</f>
        <v/>
      </c>
      <c r="K242" s="43">
        <f>IFS(H242=21,1,I242=21,2,J242=21,3,and(H242=20,I242=22),1.5, and(I242=20,J242=22),2.5,H242&gt;21,0.5)</f>
        <v/>
      </c>
      <c r="L242" s="43">
        <f t="array" ref="L242">INDEX('Podium Target Times'!$C:$C, MATCH(A242&amp;B242, 'Podium Target Times'!$A:$A&amp;'Podium Target Times'!$B:$B, 0))
</f>
        <v/>
      </c>
      <c r="M242" s="64">
        <f>IFS(K242=0.5,L242,K242=1,U240+(F242-F245), K242=1.5, M245+(F243-F246), K242=2, M245+(F243-F246), K242=2.5, M245+(F244-F247), K242=3, M245+(F244-F247))</f>
        <v/>
      </c>
      <c r="N242" s="43">
        <f>IF(M242&lt;60, TEXT(M242, "0.00"), TEXT(M242/(24*60*60), "M:SS.00"))</f>
        <v/>
      </c>
      <c r="O242" s="14">
        <f>IFERROR(__xludf.DUMMYFUNCTION("LET(
  gen,$A242, ev,$B242, t,$N242,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)"),746.0)</f>
        <v/>
      </c>
      <c r="P242" s="65" t="n"/>
      <c r="Q242" s="65" t="n"/>
      <c r="R242" s="69" t="n"/>
      <c r="S242" s="65" t="n"/>
      <c r="T242" s="69" t="n"/>
      <c r="U242" s="58" t="n"/>
      <c r="V242" s="69" t="n"/>
      <c r="W242" s="65" t="n"/>
      <c r="X242" s="65" t="n"/>
      <c r="Y242" s="65" t="n"/>
    </row>
    <row r="243">
      <c r="A243" s="17" t="inlineStr">
        <is>
          <t>F</t>
        </is>
      </c>
      <c r="B243" s="18" t="inlineStr">
        <is>
          <t>50 Breast</t>
        </is>
      </c>
      <c r="C243" s="18" t="n">
        <v>19</v>
      </c>
      <c r="D243" s="221" t="n">
        <v>2</v>
      </c>
      <c r="E243" s="46" t="inlineStr">
        <is>
          <t>31.01</t>
        </is>
      </c>
      <c r="F243" s="21">
        <f>IFERROR(__xludf.DUMMYFUNCTION("IF(
  REGEXMATCH(E243, "":""),
  60*VALUE(INDEX(SPLIT(E243, "":""),1,1)) + VALUE(INDEX(SPLIT(E243, "":""),1,2)),
  VALUE(E243)
)"),31.01)</f>
        <v/>
      </c>
      <c r="G243" s="211">
        <f>C236</f>
        <v/>
      </c>
      <c r="H243" s="211">
        <f>C245</f>
        <v/>
      </c>
      <c r="I243" s="211">
        <f>C250</f>
        <v/>
      </c>
      <c r="J243" s="211">
        <f>C253</f>
        <v/>
      </c>
      <c r="K243" s="60">
        <f>IFS(H243=21,1,I243=21,2,J243=21,3,and(H243=20,I243=22),1.5, and(I243=20,J243=22),2.5,H243&gt;21,0.5)</f>
        <v/>
      </c>
      <c r="L243" s="60">
        <f t="array" ref="L243">INDEX('Podium Target Times'!$C:$C, MATCH(A243&amp;B243, 'Podium Target Times'!$A:$A&amp;'Podium Target Times'!$B:$B, 0))
</f>
        <v/>
      </c>
      <c r="M243" s="66">
        <f>IFS(K243=0.5,L243,K243=1,U240+(F242-F245), K243=1.5, M245+(F243-F246), K243=2, M245+(F243-F246), K243=2.5, M245+(F244-F247), K243=3, M245+(F244-F247))</f>
        <v/>
      </c>
      <c r="N243" s="60">
        <f>IF(M243&lt;60, TEXT(M243, "0.00"), TEXT(M243/(24*60*60), "M:SS.00"))</f>
        <v/>
      </c>
      <c r="O243" s="25">
        <f>IFERROR(__xludf.DUMMYFUNCTION("LET(
  gen,$A243, ev,$B243, t,$N243,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)"),746.0)</f>
        <v/>
      </c>
      <c r="P243" s="65" t="n"/>
      <c r="Q243" s="65" t="n"/>
      <c r="R243" s="69" t="n"/>
      <c r="S243" s="65" t="n"/>
      <c r="T243" s="69" t="n"/>
      <c r="U243" s="58" t="n"/>
      <c r="V243" s="69" t="n"/>
      <c r="W243" s="65" t="n"/>
      <c r="X243" s="65" t="n"/>
      <c r="Y243" s="65" t="n"/>
    </row>
    <row r="244">
      <c r="A244" s="8" t="inlineStr">
        <is>
          <t>F</t>
        </is>
      </c>
      <c r="B244" s="9" t="inlineStr">
        <is>
          <t>50 Breast</t>
        </is>
      </c>
      <c r="C244" s="9" t="n">
        <v>19</v>
      </c>
      <c r="D244" s="9" t="n">
        <v>3</v>
      </c>
      <c r="E244" s="41" t="inlineStr">
        <is>
          <t>31.05</t>
        </is>
      </c>
      <c r="F244" s="35">
        <f>IFERROR(__xludf.DUMMYFUNCTION("IF(
  REGEXMATCH(E244, "":""),
  60*VALUE(INDEX(SPLIT(E244, "":""),1,1)) + VALUE(INDEX(SPLIT(E244, "":""),1,2)),
  VALUE(E244)
)"),31.05)</f>
        <v/>
      </c>
      <c r="G244" s="215">
        <f>C236</f>
        <v/>
      </c>
      <c r="H244" s="215">
        <f>C245</f>
        <v/>
      </c>
      <c r="I244" s="215">
        <f>C250</f>
        <v/>
      </c>
      <c r="J244" s="215">
        <f>C253</f>
        <v/>
      </c>
      <c r="K244" s="43">
        <f>IFS(H244=21,1,I244=21,2,J244=21,3,and(H244=20,I244=22),1.5, and(I244=20,J244=22),2.5,H244&gt;21,0.5)</f>
        <v/>
      </c>
      <c r="L244" s="43">
        <f t="array" ref="L244">INDEX('Podium Target Times'!$C:$C, MATCH(A244&amp;B244, 'Podium Target Times'!$A:$A&amp;'Podium Target Times'!$B:$B, 0))
</f>
        <v/>
      </c>
      <c r="M244" s="64">
        <f>IFS(K244=0.5,L244,K244=1,U240+(F242-F245), K244=1.5, M245+(F243-F246), K244=2, M245+(F243-F246), K244=2.5, M245+(F244-F247), K244=3, M245+(F244-F247))</f>
        <v/>
      </c>
      <c r="N244" s="43">
        <f>IF(M244&lt;60, TEXT(M244, "0.00"), TEXT(M244/(24*60*60), "M:SS.00"))</f>
        <v/>
      </c>
      <c r="O244" s="14">
        <f>IFERROR(__xludf.DUMMYFUNCTION("LET(
  gen,$A244, ev,$B244, t,$N244,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)"),746.0)</f>
        <v/>
      </c>
      <c r="P244" s="65" t="n"/>
      <c r="Q244" s="65" t="n"/>
      <c r="R244" s="69" t="n"/>
      <c r="S244" s="65" t="n"/>
      <c r="T244" s="69" t="n"/>
      <c r="U244" s="58" t="n"/>
      <c r="V244" s="69" t="n"/>
      <c r="W244" s="65" t="n"/>
      <c r="X244" s="65" t="n"/>
      <c r="Y244" s="65" t="n"/>
    </row>
    <row r="245">
      <c r="A245" s="17" t="inlineStr">
        <is>
          <t>F</t>
        </is>
      </c>
      <c r="B245" s="18" t="inlineStr">
        <is>
          <t>50 Breast</t>
        </is>
      </c>
      <c r="C245" s="18" t="n">
        <v>20</v>
      </c>
      <c r="D245" s="18" t="n">
        <v>1</v>
      </c>
      <c r="E245" s="46" t="inlineStr">
        <is>
          <t>30.75</t>
        </is>
      </c>
      <c r="F245" s="21">
        <f>IFERROR(__xludf.DUMMYFUNCTION("IF(
  REGEXMATCH(E245, "":""),
  60*VALUE(INDEX(SPLIT(E245, "":""),1,1)) + VALUE(INDEX(SPLIT(E245, "":""),1,2)),
  VALUE(E245)
)"),30.75)</f>
        <v/>
      </c>
      <c r="G245" s="211">
        <f>C236</f>
        <v/>
      </c>
      <c r="H245" s="211">
        <f>C245</f>
        <v/>
      </c>
      <c r="I245" s="211">
        <f>C250</f>
        <v/>
      </c>
      <c r="J245" s="211">
        <f>C253</f>
        <v/>
      </c>
      <c r="K245" s="60">
        <f>IFS(H245=21,1,I245=21,2,J245=21,3,and(H245=20,I245=22),1.5, and(I245=20,J245=22),2.5,H245&gt;21,0.5)</f>
        <v/>
      </c>
      <c r="L245" s="60">
        <f t="array" ref="L245">INDEX('Podium Target Times'!$C:$C, MATCH(A245&amp;B245, 'Podium Target Times'!$A:$A&amp;'Podium Target Times'!$B:$B, 0))
</f>
        <v/>
      </c>
      <c r="M245" s="66">
        <f>IFS(K245=0.5,L245,K245=1,L245, K245=1.5, M248+(F246-F248), K245=2, M248+(F246-F248), K245=2.5, M248+(F247-F249), K245=3, M248+(F247-F249))</f>
        <v/>
      </c>
      <c r="N245" s="60">
        <f>IF(M245&lt;60, TEXT(M245, "0.00"), TEXT(M245/(24*60*60), "M:SS.00"))</f>
        <v/>
      </c>
      <c r="O245" s="25">
        <f>IFERROR(__xludf.DUMMYFUNCTION("LET(
  gen,$A245, ev,$B245, t,$N245,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P245" s="65" t="n"/>
      <c r="Q245" s="65" t="n"/>
      <c r="R245" s="69" t="n"/>
      <c r="S245" s="65" t="n"/>
      <c r="T245" s="69" t="n"/>
      <c r="U245" s="58" t="n"/>
      <c r="V245" s="69" t="n"/>
      <c r="W245" s="65" t="n"/>
      <c r="X245" s="65" t="n"/>
      <c r="Y245" s="65" t="n"/>
    </row>
    <row r="246">
      <c r="A246" s="8" t="inlineStr">
        <is>
          <t>F</t>
        </is>
      </c>
      <c r="B246" s="9" t="inlineStr">
        <is>
          <t>50 Breast</t>
        </is>
      </c>
      <c r="C246" s="9" t="n">
        <v>20</v>
      </c>
      <c r="D246" s="9" t="n">
        <v>2</v>
      </c>
      <c r="E246" s="41" t="inlineStr">
        <is>
          <t>30.90</t>
        </is>
      </c>
      <c r="F246" s="35">
        <f>IFERROR(__xludf.DUMMYFUNCTION("IF(
  REGEXMATCH(E246, "":""),
  60*VALUE(INDEX(SPLIT(E246, "":""),1,1)) + VALUE(INDEX(SPLIT(E246, "":""),1,2)),
  VALUE(E246)
)"),30.9)</f>
        <v/>
      </c>
      <c r="G246" s="215">
        <f>C236</f>
        <v/>
      </c>
      <c r="H246" s="215">
        <f>C245</f>
        <v/>
      </c>
      <c r="I246" s="215">
        <f>C250</f>
        <v/>
      </c>
      <c r="J246" s="215">
        <f>C253</f>
        <v/>
      </c>
      <c r="K246" s="43">
        <f>IFS(H246=21,1,I246=21,2,J246=21,3,and(H246=20,I246=22),1.5, and(I246=20,J246=22),2.5,H246&gt;21,0.5)</f>
        <v/>
      </c>
      <c r="L246" s="43">
        <f t="array" ref="L246">INDEX('Podium Target Times'!$C:$C, MATCH(A246&amp;B246, 'Podium Target Times'!$A:$A&amp;'Podium Target Times'!$B:$B, 0))
</f>
        <v/>
      </c>
      <c r="M246" s="64">
        <f>IFS(K246=0.5,L246,K246=1,L246, K246=1.5, M248+(F246-F248), K246=2, M248+(F246-F248), K246=2.5, M248+(F247-F249), K246=3, M248+(F247-F249))</f>
        <v/>
      </c>
      <c r="N246" s="43">
        <f>IF(M246&lt;60, TEXT(M246, "0.00"), TEXT(M246/(24*60*60), "M:SS.00"))</f>
        <v/>
      </c>
      <c r="O246" s="14">
        <f>IFERROR(__xludf.DUMMYFUNCTION("LET(
  gen,$A246, ev,$B246, t,$N246,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P246" s="65" t="n"/>
      <c r="Q246" s="65" t="n"/>
      <c r="R246" s="69" t="n"/>
      <c r="S246" s="65" t="n"/>
      <c r="T246" s="69" t="n"/>
      <c r="U246" s="58" t="n"/>
      <c r="V246" s="69" t="n"/>
      <c r="W246" s="65" t="n"/>
      <c r="X246" s="65" t="n"/>
      <c r="Y246" s="65" t="n"/>
    </row>
    <row r="247">
      <c r="A247" s="17" t="inlineStr">
        <is>
          <t>F</t>
        </is>
      </c>
      <c r="B247" s="18" t="inlineStr">
        <is>
          <t>50 Breast</t>
        </is>
      </c>
      <c r="C247" s="18" t="n">
        <v>20</v>
      </c>
      <c r="D247" s="18" t="n">
        <v>3</v>
      </c>
      <c r="E247" s="46" t="inlineStr">
        <is>
          <t>30.94</t>
        </is>
      </c>
      <c r="F247" s="21">
        <f>IFERROR(__xludf.DUMMYFUNCTION("IF(
  REGEXMATCH(E247, "":""),
  60*VALUE(INDEX(SPLIT(E247, "":""),1,1)) + VALUE(INDEX(SPLIT(E247, "":""),1,2)),
  VALUE(E247)
)"),30.94)</f>
        <v/>
      </c>
      <c r="G247" s="211">
        <f>C236</f>
        <v/>
      </c>
      <c r="H247" s="211">
        <f>C245</f>
        <v/>
      </c>
      <c r="I247" s="211">
        <f>C250</f>
        <v/>
      </c>
      <c r="J247" s="211">
        <f>C253</f>
        <v/>
      </c>
      <c r="K247" s="60">
        <f>IFS(H247=21,1,I247=21,2,J247=21,3,and(H247=20,I247=22),1.5, and(I247=20,J247=22),2.5,H247&gt;21,0.5)</f>
        <v/>
      </c>
      <c r="L247" s="60">
        <f t="array" ref="L247">INDEX('Podium Target Times'!$C:$C, MATCH(A247&amp;B247, 'Podium Target Times'!$A:$A&amp;'Podium Target Times'!$B:$B, 0))
</f>
        <v/>
      </c>
      <c r="M247" s="66">
        <f>IFS(K247=0.5,L247,K247=1,L247, K247=1.5, M248+(F246-F248), K247=2, M248+(F246-F248), K247=2.5, M248+(F247-F249), K247=3, M248+(F247-F249))</f>
        <v/>
      </c>
      <c r="N247" s="60">
        <f>IF(M247&lt;60, TEXT(M247, "0.00"), TEXT(M247/(24*60*60), "M:SS.00"))</f>
        <v/>
      </c>
      <c r="O247" s="25">
        <f>IFERROR(__xludf.DUMMYFUNCTION("LET(
  gen,$A247, ev,$B247, t,$N247,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)"),754.0)</f>
        <v/>
      </c>
      <c r="P247" s="65" t="n"/>
      <c r="Q247" s="65" t="n"/>
      <c r="R247" s="69" t="n"/>
      <c r="S247" s="65" t="n"/>
      <c r="T247" s="69" t="n"/>
      <c r="U247" s="58" t="n"/>
      <c r="V247" s="69" t="n"/>
      <c r="W247" s="65" t="n"/>
      <c r="X247" s="65" t="n"/>
      <c r="Y247" s="65" t="n"/>
    </row>
    <row r="248">
      <c r="A248" s="8" t="inlineStr">
        <is>
          <t>F</t>
        </is>
      </c>
      <c r="B248" s="9" t="inlineStr">
        <is>
          <t>50 Breast</t>
        </is>
      </c>
      <c r="C248" s="9" t="n">
        <v>21</v>
      </c>
      <c r="D248" s="219" t="n">
        <v>2</v>
      </c>
      <c r="E248" s="41" t="inlineStr">
        <is>
          <t>30.81</t>
        </is>
      </c>
      <c r="F248" s="35">
        <f>IFERROR(__xludf.DUMMYFUNCTION("IF(
  REGEXMATCH(E248, "":""),
  60*VALUE(INDEX(SPLIT(E248, "":""),1,1)) + VALUE(INDEX(SPLIT(E248, "":""),1,2)),
  VALUE(E248)
)"),30.81)</f>
        <v/>
      </c>
      <c r="G248" s="215">
        <f>C236</f>
        <v/>
      </c>
      <c r="H248" s="215">
        <f>C245</f>
        <v/>
      </c>
      <c r="I248" s="215">
        <f>C250</f>
        <v/>
      </c>
      <c r="J248" s="215">
        <f>C253</f>
        <v/>
      </c>
      <c r="K248" s="43">
        <f>IFS(H248=21,1,I248=21,2,J248=21,3,and(H248=20,I248=22),1.5, and(I248=20,J248=22),2.5,H248&gt;21,0.5)</f>
        <v/>
      </c>
      <c r="L248" s="43">
        <f t="array" ref="L248">INDEX('Podium Target Times'!$C:$C, MATCH(A248&amp;B248, 'Podium Target Times'!$A:$A&amp;'Podium Target Times'!$B:$B, 0))
</f>
        <v/>
      </c>
      <c r="M248" s="64">
        <f>IFS(K248=0.5,L248,K248=1,L248, K248=1.5, L248, K248=2, M250+(F248-F250), K248=2.5, M250+(F249-F251), K248=3, M250+(F249-F251))</f>
        <v/>
      </c>
      <c r="N248" s="43">
        <f>IF(M248&lt;60, TEXT(M248, "0.00"), TEXT(M248/(24*60*60), "M:SS.00"))</f>
        <v/>
      </c>
      <c r="O248" s="14">
        <f>IFERROR(__xludf.DUMMYFUNCTION("LET(
  gen,$A248, ev,$B248, t,$N248,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P248" s="65" t="n"/>
      <c r="Q248" s="65" t="n"/>
      <c r="R248" s="69" t="n"/>
      <c r="S248" s="65" t="n"/>
      <c r="T248" s="69" t="n"/>
      <c r="U248" s="58" t="n"/>
      <c r="V248" s="69" t="n"/>
      <c r="W248" s="65" t="n"/>
      <c r="X248" s="65" t="n"/>
      <c r="Y248" s="65" t="n"/>
    </row>
    <row r="249">
      <c r="A249" s="17" t="inlineStr">
        <is>
          <t>F</t>
        </is>
      </c>
      <c r="B249" s="18" t="inlineStr">
        <is>
          <t>50 Breast</t>
        </is>
      </c>
      <c r="C249" s="18" t="n">
        <v>21</v>
      </c>
      <c r="D249" s="18" t="n">
        <v>3</v>
      </c>
      <c r="E249" s="46" t="inlineStr">
        <is>
          <t>30.85</t>
        </is>
      </c>
      <c r="F249" s="21">
        <f>IFERROR(__xludf.DUMMYFUNCTION("IF(
  REGEXMATCH(E249, "":""),
  60*VALUE(INDEX(SPLIT(E249, "":""),1,1)) + VALUE(INDEX(SPLIT(E249, "":""),1,2)),
  VALUE(E249)
)"),30.85)</f>
        <v/>
      </c>
      <c r="G249" s="211">
        <f>C236</f>
        <v/>
      </c>
      <c r="H249" s="211">
        <f>C245</f>
        <v/>
      </c>
      <c r="I249" s="211">
        <f>C250</f>
        <v/>
      </c>
      <c r="J249" s="211">
        <f>C253</f>
        <v/>
      </c>
      <c r="K249" s="60">
        <f>IFS(H249=21,1,I249=21,2,J249=21,3,and(H249=20,I249=22),1.5, and(I249=20,J249=22),2.5,H249&gt;21,0.5)</f>
        <v/>
      </c>
      <c r="L249" s="60">
        <f t="array" ref="L249">INDEX('Podium Target Times'!$C:$C, MATCH(A249&amp;B249, 'Podium Target Times'!$A:$A&amp;'Podium Target Times'!$B:$B, 0))
</f>
        <v/>
      </c>
      <c r="M249" s="66">
        <f>IFS(K249=0.5,L249,K249=1,L249, K249=1.5, L249, K249=2, M250+(F248-F250), K249=2.5, M250+(F249-F251), K249=3, M250+(F249-F251))</f>
        <v/>
      </c>
      <c r="N249" s="60">
        <f>IF(M249&lt;60, TEXT(M249, "0.00"), TEXT(M249/(24*60*60), "M:SS.00"))</f>
        <v/>
      </c>
      <c r="O249" s="25">
        <f>IFERROR(__xludf.DUMMYFUNCTION("LET(
  gen,$A249, ev,$B249, t,$N249,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P249" s="65" t="n"/>
      <c r="Q249" s="65" t="n"/>
      <c r="R249" s="69" t="n"/>
      <c r="S249" s="65" t="n"/>
      <c r="T249" s="69" t="n"/>
      <c r="U249" s="58" t="n"/>
      <c r="V249" s="69" t="n"/>
      <c r="W249" s="65" t="n"/>
      <c r="X249" s="65" t="n"/>
      <c r="Y249" s="65" t="n"/>
    </row>
    <row r="250">
      <c r="A250" s="8" t="inlineStr">
        <is>
          <t>F</t>
        </is>
      </c>
      <c r="B250" s="9" t="inlineStr">
        <is>
          <t>50 Breast</t>
        </is>
      </c>
      <c r="C250" s="9" t="n">
        <v>22</v>
      </c>
      <c r="D250" s="9" t="n">
        <v>2</v>
      </c>
      <c r="E250" s="41" t="inlineStr">
        <is>
          <t>30.75</t>
        </is>
      </c>
      <c r="F250" s="35">
        <f>IFERROR(__xludf.DUMMYFUNCTION("IF(
  REGEXMATCH(E250, "":""),
  60*VALUE(INDEX(SPLIT(E250, "":""),1,1)) + VALUE(INDEX(SPLIT(E250, "":""),1,2)),
  VALUE(E250)
)"),30.75)</f>
        <v/>
      </c>
      <c r="G250" s="215">
        <f>C236</f>
        <v/>
      </c>
      <c r="H250" s="215">
        <f>C245</f>
        <v/>
      </c>
      <c r="I250" s="215">
        <f>C250</f>
        <v/>
      </c>
      <c r="J250" s="215">
        <f>C253</f>
        <v/>
      </c>
      <c r="K250" s="43">
        <f>IFS(H250=21,1,I250=21,2,J250=21,3,and(H250=20,I250=22),1.5, and(I250=20,J250=22),2.5,H250&gt;21,0.5)</f>
        <v/>
      </c>
      <c r="L250" s="43">
        <f t="array" ref="L250">INDEX('Podium Target Times'!$C:$C, MATCH(A250&amp;B250, 'Podium Target Times'!$A:$A&amp;'Podium Target Times'!$B:$B, 0))
</f>
        <v/>
      </c>
      <c r="M250" s="64">
        <f>IFS(K250=0.5,L250,K250=1,L250, K250=1.5, L250, K250=2,L253, K250=2.5, M252+(F251-F252), K250=3,  M252+(F251-F252))</f>
        <v/>
      </c>
      <c r="N250" s="43">
        <f>IF(M250&lt;60, TEXT(M250, "0.00"), TEXT(M250/(24*60*60), "M:SS.00"))</f>
        <v/>
      </c>
      <c r="O250" s="14">
        <f>IFERROR(__xludf.DUMMYFUNCTION("LET(
  gen,$A250, ev,$B250, t,$N250,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P250" s="65" t="n"/>
      <c r="Q250" s="65" t="n"/>
      <c r="R250" s="69" t="n"/>
      <c r="S250" s="65" t="n"/>
      <c r="T250" s="69" t="n"/>
      <c r="U250" s="58" t="n"/>
      <c r="V250" s="69" t="n"/>
      <c r="W250" s="65" t="n"/>
      <c r="X250" s="65" t="n"/>
      <c r="Y250" s="65" t="n"/>
    </row>
    <row r="251">
      <c r="A251" s="17" t="inlineStr">
        <is>
          <t>F</t>
        </is>
      </c>
      <c r="B251" s="18" t="inlineStr">
        <is>
          <t>50 Breast</t>
        </is>
      </c>
      <c r="C251" s="18" t="n">
        <v>22</v>
      </c>
      <c r="D251" s="18" t="n">
        <v>3</v>
      </c>
      <c r="E251" s="46" t="inlineStr">
        <is>
          <t>30.79</t>
        </is>
      </c>
      <c r="F251" s="21">
        <f>IFERROR(__xludf.DUMMYFUNCTION("IF(
  REGEXMATCH(E251, "":""),
  60*VALUE(INDEX(SPLIT(E251, "":""),1,1)) + VALUE(INDEX(SPLIT(E251, "":""),1,2)),
  VALUE(E251)
)"),30.79)</f>
        <v/>
      </c>
      <c r="G251" s="211">
        <f>C236</f>
        <v/>
      </c>
      <c r="H251" s="211">
        <f>C245</f>
        <v/>
      </c>
      <c r="I251" s="211">
        <f>C250</f>
        <v/>
      </c>
      <c r="J251" s="211">
        <f>C253</f>
        <v/>
      </c>
      <c r="K251" s="60">
        <f>IFS(H251=21,1,I251=21,2,J251=21,3,and(H251=20,I251=22),1.5, and(I251=20,J251=22),2.5,H251&gt;21,0.5)</f>
        <v/>
      </c>
      <c r="L251" s="60">
        <f t="array" ref="L251">INDEX('Podium Target Times'!$C:$C, MATCH(A251&amp;B251, 'Podium Target Times'!$A:$A&amp;'Podium Target Times'!$B:$B, 0))
</f>
        <v/>
      </c>
      <c r="M251" s="66">
        <f>IFS(K251=0.5,L251,K251=1,L251, K251=1.5, L251, K251=2, L253, K251=2.5, M252+(F251-F252), K251=3, M252+(F251-F252))</f>
        <v/>
      </c>
      <c r="N251" s="60">
        <f>IF(M251&lt;60, TEXT(M251, "0.00"), TEXT(M251/(24*60*60), "M:SS.00"))</f>
        <v/>
      </c>
      <c r="O251" s="25">
        <f>IFERROR(__xludf.DUMMYFUNCTION("LET(
  gen,$A251, ev,$B251, t,$N251,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P251" s="65" t="n"/>
      <c r="Q251" s="65" t="n"/>
      <c r="R251" s="69" t="n"/>
      <c r="S251" s="65" t="n"/>
      <c r="T251" s="69" t="n"/>
      <c r="U251" s="58" t="n"/>
      <c r="V251" s="69" t="n"/>
      <c r="W251" s="65" t="n"/>
      <c r="X251" s="65" t="n"/>
      <c r="Y251" s="65" t="n"/>
    </row>
    <row r="252">
      <c r="A252" s="8" t="inlineStr">
        <is>
          <t>F</t>
        </is>
      </c>
      <c r="B252" s="9" t="inlineStr">
        <is>
          <t>50 Breast</t>
        </is>
      </c>
      <c r="C252" s="9" t="n">
        <v>23</v>
      </c>
      <c r="D252" s="9" t="n">
        <v>3</v>
      </c>
      <c r="E252" s="41" t="inlineStr">
        <is>
          <t>30.75</t>
        </is>
      </c>
      <c r="F252" s="35">
        <f>IFERROR(__xludf.DUMMYFUNCTION("IF(
  REGEXMATCH(E252, "":""),
  60*VALUE(INDEX(SPLIT(E252, "":""),1,1)) + VALUE(INDEX(SPLIT(E252, "":""),1,2)),
  VALUE(E252)
)"),30.75)</f>
        <v/>
      </c>
      <c r="G252" s="215">
        <f>C236</f>
        <v/>
      </c>
      <c r="H252" s="215">
        <f>C245</f>
        <v/>
      </c>
      <c r="I252" s="215">
        <f>C250</f>
        <v/>
      </c>
      <c r="J252" s="215">
        <f>C253</f>
        <v/>
      </c>
      <c r="K252" s="43">
        <f>IFS(H252=21,1,I252=21,2,J252=21,3,and(H252=20,I252=22),1.5, and(I252=20,J252=22),2.5,H252&gt;21,0.5)</f>
        <v/>
      </c>
      <c r="L252" s="43">
        <f t="array" ref="L252">INDEX('Podium Target Times'!$C:$C, MATCH(A252&amp;B252, 'Podium Target Times'!$A:$A&amp;'Podium Target Times'!$B:$B, 0))
</f>
        <v/>
      </c>
      <c r="M252" s="64">
        <f>IFS(K252=0.5,L252,K252=1,L252, K252=1.5, L252, K252=2, L253, K252=2.5, L253, K252=3, M253+(F252-F253))</f>
        <v/>
      </c>
      <c r="N252" s="43">
        <f>IF(M252&lt;60, TEXT(M252, "0.00"), TEXT(M252/(24*60*60), "M:SS.00"))</f>
        <v/>
      </c>
      <c r="O252" s="14">
        <f>IFERROR(__xludf.DUMMYFUNCTION("LET(
  gen,$A252, ev,$B252, t,$N252,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P252" s="65" t="n"/>
      <c r="Q252" s="65" t="n"/>
      <c r="R252" s="69" t="n"/>
      <c r="S252" s="65" t="n"/>
      <c r="T252" s="69" t="n"/>
      <c r="U252" s="58" t="n"/>
      <c r="V252" s="69" t="n"/>
      <c r="W252" s="65" t="n"/>
      <c r="X252" s="65" t="n"/>
      <c r="Y252" s="65" t="n"/>
    </row>
    <row r="253">
      <c r="A253" s="17" t="inlineStr">
        <is>
          <t>F</t>
        </is>
      </c>
      <c r="B253" s="18" t="inlineStr">
        <is>
          <t>50 Breast</t>
        </is>
      </c>
      <c r="C253" s="18" t="n">
        <v>24</v>
      </c>
      <c r="D253" s="18" t="n">
        <v>3</v>
      </c>
      <c r="E253" s="46" t="inlineStr">
        <is>
          <t>30.75</t>
        </is>
      </c>
      <c r="F253" s="21">
        <f>IFERROR(__xludf.DUMMYFUNCTION("IF(
  REGEXMATCH(E253, "":""),
  60*VALUE(INDEX(SPLIT(E253, "":""),1,1)) + VALUE(INDEX(SPLIT(E253, "":""),1,2)),
  VALUE(E253)
)"),30.75)</f>
        <v/>
      </c>
      <c r="G253" s="211">
        <f>C236</f>
        <v/>
      </c>
      <c r="H253" s="211">
        <f>C245</f>
        <v/>
      </c>
      <c r="I253" s="211">
        <f>C250</f>
        <v/>
      </c>
      <c r="J253" s="211">
        <f>C253</f>
        <v/>
      </c>
      <c r="K253" s="60">
        <f>IFS(H253=21,1,I253=21,2,J253=21,3,and(H253=20,I253=22),1.5, and(I253=20,J253=22),2.5,H253&gt;21,0.5)</f>
        <v/>
      </c>
      <c r="L253" s="60">
        <f t="array" ref="L253">INDEX('Podium Target Times'!$C:$C, MATCH(A253&amp;B253, 'Podium Target Times'!$A:$A&amp;'Podium Target Times'!$B:$B, 0))
</f>
        <v/>
      </c>
      <c r="M253" s="66">
        <f>IFS(K253=0.5,L253,K253=1,L253, K253=1.5, L253, K253=2, L253, K253=2.5, L253, K253=3, L253)</f>
        <v/>
      </c>
      <c r="N253" s="60">
        <f>IF(M253&lt;60, TEXT(M253, "0.00"), TEXT(M253/(24*60*60), "M:SS.00"))</f>
        <v/>
      </c>
      <c r="O253" s="25">
        <f>IFERROR(__xludf.DUMMYFUNCTION("LET(
  gen,$A253, ev,$B253, t,$N253,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)"),760.0)</f>
        <v/>
      </c>
      <c r="P253" s="65" t="n"/>
      <c r="Q253" s="65" t="n"/>
      <c r="R253" s="69" t="n"/>
      <c r="S253" s="65" t="n"/>
      <c r="T253" s="69" t="n"/>
      <c r="U253" s="58" t="n"/>
      <c r="V253" s="69" t="n"/>
      <c r="W253" s="65" t="n"/>
      <c r="X253" s="65" t="inlineStr">
        <is>
          <t>Confirm Values</t>
        </is>
      </c>
      <c r="Y253" s="65" t="n"/>
    </row>
    <row r="254">
      <c r="A254" s="8" t="inlineStr">
        <is>
          <t>F</t>
        </is>
      </c>
      <c r="B254" s="9" t="inlineStr">
        <is>
          <t>50 Fly</t>
        </is>
      </c>
      <c r="C254" s="9" t="n">
        <v>17</v>
      </c>
      <c r="D254" s="9" t="n">
        <v>1</v>
      </c>
      <c r="E254" s="483" t="inlineStr">
        <is>
          <t>26.98</t>
        </is>
      </c>
      <c r="F254" s="35">
        <f>IFERROR(__xludf.DUMMYFUNCTION("IF(
  REGEXMATCH(E254, "":""),
  60*VALUE(INDEX(SPLIT(E254, "":""),1,1)) + VALUE(INDEX(SPLIT(E254, "":""),1,2)),
  VALUE(E254)
)"),26.98)</f>
        <v/>
      </c>
      <c r="G254" s="43">
        <f>C254</f>
        <v/>
      </c>
      <c r="H254" s="43">
        <f>C263</f>
        <v/>
      </c>
      <c r="I254" s="43">
        <f>C268</f>
        <v/>
      </c>
      <c r="J254" s="43">
        <f>C271</f>
        <v/>
      </c>
      <c r="K254" s="43">
        <f>IFS(H254=21,1,I254=21,2,J254=21,3,and(H254=20,I254=22),1.5, and(I254=20,J254=22),2.5,H254&gt;21,0.5)</f>
        <v/>
      </c>
      <c r="L254" s="43">
        <f t="array" ref="L254">INDEX('Podium Target Times'!$C:$C, MATCH(A254&amp;B254, 'Podium Target Times'!$A:$A&amp;'Podium Target Times'!$B:$B, 0))
</f>
        <v/>
      </c>
      <c r="M254" s="64">
        <f>IFS(K254=0.5,M255+(F254-F255),K254=1,M255+(F254-F255), K254=1.5, M255+(F254-F255), K254=2, M255+(F254-F255), K254=2.5, M255+(F254-F255), K254=3, M255+(F254-F255))</f>
        <v/>
      </c>
      <c r="N254" s="43">
        <f>IF(M254&lt;60, TEXT(M254, "0.00"), TEXT(M254/(24*60*60), "M:SS.00"))</f>
        <v/>
      </c>
      <c r="O254" s="14">
        <f>IFERROR(__xludf.DUMMYFUNCTION("LET(
  gen,$A254, ev,$B254, t,$N254,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)"),643.0)</f>
        <v/>
      </c>
      <c r="P254" s="65" t="n"/>
      <c r="Q254" s="65" t="n"/>
      <c r="R254" s="69">
        <f>A254</f>
        <v/>
      </c>
      <c r="S254" s="65">
        <f>B254</f>
        <v/>
      </c>
      <c r="T254" s="69">
        <f>if(K254=1,G254)</f>
        <v/>
      </c>
      <c r="U254" s="68">
        <f>if(K254=1,U255+(F254-F255))</f>
        <v/>
      </c>
      <c r="V254" s="69">
        <f>IFERROR(__xludf.DUMMYFUNCTION("LET(
  gen,$R254, ev,$S254, t,$U254,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
      </c>
      <c r="W254" s="65" t="n"/>
      <c r="X254" s="70" t="n">
        <v>17</v>
      </c>
      <c r="Y254" s="71" t="n">
        <v>27.77</v>
      </c>
      <c r="Z254" s="72" t="n">
        <v>680</v>
      </c>
    </row>
    <row r="255">
      <c r="A255" s="17" t="inlineStr">
        <is>
          <t>F</t>
        </is>
      </c>
      <c r="B255" s="18" t="inlineStr">
        <is>
          <t>50 Fly</t>
        </is>
      </c>
      <c r="C255" s="18" t="n">
        <v>18</v>
      </c>
      <c r="D255" s="18" t="n">
        <v>1</v>
      </c>
      <c r="E255" s="46" t="inlineStr">
        <is>
          <t>26.71</t>
        </is>
      </c>
      <c r="F255" s="21">
        <f>IFERROR(__xludf.DUMMYFUNCTION("IF(
  REGEXMATCH(E255, "":""),
  60*VALUE(INDEX(SPLIT(E255, "":""),1,1)) + VALUE(INDEX(SPLIT(E255, "":""),1,2)),
  VALUE(E255)
)"),26.71)</f>
        <v/>
      </c>
      <c r="G255" s="211">
        <f>C254</f>
        <v/>
      </c>
      <c r="H255" s="211">
        <f>C263</f>
        <v/>
      </c>
      <c r="I255" s="211">
        <f>C268</f>
        <v/>
      </c>
      <c r="J255" s="211">
        <f>C271</f>
        <v/>
      </c>
      <c r="K255" s="60">
        <f>IFS(H255=21,1,I255=21,2,J255=21,3,and(H255=20,I255=22),1.5, and(I255=20,J255=22),2.5,H255&gt;21,0.5)</f>
        <v/>
      </c>
      <c r="L255" s="60">
        <f t="array" ref="L255">INDEX('Podium Target Times'!$C:$C, MATCH(A255&amp;B255, 'Podium Target Times'!$A:$A&amp;'Podium Target Times'!$B:$B, 0))
</f>
        <v/>
      </c>
      <c r="M255" s="66">
        <f>IFS(K255=0.5,M256+(F255-F257),K255=1,M256+(F255-F257), K255=1.5, M257+(F256-F258), K255=2, M257+(F256-F258), K255=2.5, M257+(F256-F258), K255=3, M257+(F256-F258))</f>
        <v/>
      </c>
      <c r="N255" s="60">
        <f>IF(M255&lt;60, TEXT(M255, "0.00"), TEXT(M255/(24*60*60), "M:SS.00"))</f>
        <v/>
      </c>
      <c r="O255" s="25">
        <f>IFERROR(__xludf.DUMMYFUNCTION("LET(
  gen,$A255, ev,$B255, t,$N255,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)"),662.0)</f>
        <v/>
      </c>
      <c r="P255" s="65" t="n"/>
      <c r="Q255" s="65" t="n"/>
      <c r="R255" s="69">
        <f>A255</f>
        <v/>
      </c>
      <c r="S255" s="65">
        <f>B255</f>
        <v/>
      </c>
      <c r="T255" s="69">
        <f>if(K254=1,G254+1)</f>
        <v/>
      </c>
      <c r="U255" s="68">
        <f>if(K254=1,U256+(F255-F257))</f>
        <v/>
      </c>
      <c r="V255" s="69">
        <f>IFERROR(__xludf.DUMMYFUNCTION("LET(
  gen,$R255, ev,$S255, t,$U255,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W255" s="65" t="n"/>
      <c r="X255" s="73" t="n">
        <v>18</v>
      </c>
      <c r="Y255" s="68" t="n">
        <v>27.5</v>
      </c>
      <c r="Z255" s="74" t="n">
        <v>701</v>
      </c>
    </row>
    <row r="256">
      <c r="A256" s="8" t="inlineStr">
        <is>
          <t>F</t>
        </is>
      </c>
      <c r="B256" s="9" t="inlineStr">
        <is>
          <t>50 Fly</t>
        </is>
      </c>
      <c r="C256" s="9" t="n">
        <v>18</v>
      </c>
      <c r="D256" s="9" t="n">
        <v>2</v>
      </c>
      <c r="E256" s="41" t="inlineStr">
        <is>
          <t>26.81</t>
        </is>
      </c>
      <c r="F256" s="35">
        <f>IFERROR(__xludf.DUMMYFUNCTION("IF(
  REGEXMATCH(E256, "":""),
  60*VALUE(INDEX(SPLIT(E256, "":""),1,1)) + VALUE(INDEX(SPLIT(E256, "":""),1,2)),
  VALUE(E256)
)"),26.81)</f>
        <v/>
      </c>
      <c r="G256" s="215">
        <f>C254</f>
        <v/>
      </c>
      <c r="H256" s="215">
        <f>C263</f>
        <v/>
      </c>
      <c r="I256" s="215">
        <f>C268</f>
        <v/>
      </c>
      <c r="J256" s="215">
        <f>C271</f>
        <v/>
      </c>
      <c r="K256" s="43">
        <f>IFS(H256=21,1,I256=21,2,J256=21,3,and(H256=20,I256=22),1.5, and(I256=20,J256=22),2.5,H256&gt;21,0.5)</f>
        <v/>
      </c>
      <c r="L256" s="43">
        <f t="array" ref="L256">INDEX('Podium Target Times'!$C:$C, MATCH(A256&amp;B256, 'Podium Target Times'!$A:$A&amp;'Podium Target Times'!$B:$B, 0))
</f>
        <v/>
      </c>
      <c r="M256" s="64">
        <f>IFS(K256=0.5,M257+(F256-F259),K256=1,M257+(F256-F259), K256=1.5, M257+(F256-F258), K256=2, M257+(F256-F258), K256=2.5, M257+(F256-F258), K256=3, M257+(F256-F258))</f>
        <v/>
      </c>
      <c r="N256" s="43">
        <f>IF(M256&lt;60, TEXT(M256, "0.00"), TEXT(M256/(24*60*60), "M:SS.00"))</f>
        <v/>
      </c>
      <c r="O256" s="14">
        <f>IFERROR(__xludf.DUMMYFUNCTION("LET(
  gen,$A256, ev,$B256, t,$N256,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
      </c>
      <c r="P256" s="65" t="n"/>
      <c r="Q256" s="65" t="n"/>
      <c r="R256" s="69">
        <f>A257</f>
        <v/>
      </c>
      <c r="S256" s="65">
        <f>B257</f>
        <v/>
      </c>
      <c r="T256" s="69">
        <f>if(K254=1,G254+2)</f>
        <v/>
      </c>
      <c r="U256" s="68">
        <f>if(K254=1,U257+(F257-F260))</f>
        <v/>
      </c>
      <c r="V256" s="69">
        <f>IFERROR(__xludf.DUMMYFUNCTION("LET(
  gen,$R256, ev,$S256, t,$U256,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W256" s="65" t="n"/>
      <c r="X256" s="73" t="n">
        <v>19</v>
      </c>
      <c r="Y256" s="68" t="n">
        <v>27.29</v>
      </c>
      <c r="Z256" s="74" t="n">
        <v>717</v>
      </c>
    </row>
    <row r="257">
      <c r="A257" s="17" t="inlineStr">
        <is>
          <t>F</t>
        </is>
      </c>
      <c r="B257" s="18" t="inlineStr">
        <is>
          <t>50 Fly</t>
        </is>
      </c>
      <c r="C257" s="18" t="n">
        <v>19</v>
      </c>
      <c r="D257" s="18" t="n">
        <v>1</v>
      </c>
      <c r="E257" s="46" t="inlineStr">
        <is>
          <t>26.50</t>
        </is>
      </c>
      <c r="F257" s="21">
        <f>IFERROR(__xludf.DUMMYFUNCTION("IF(
  REGEXMATCH(E257, "":""),
  60*VALUE(INDEX(SPLIT(E257, "":""),1,1)) + VALUE(INDEX(SPLIT(E257, "":""),1,2)),
  VALUE(E257)
)"),26.5)</f>
        <v/>
      </c>
      <c r="G257" s="211">
        <f>C254</f>
        <v/>
      </c>
      <c r="H257" s="211">
        <f>C263</f>
        <v/>
      </c>
      <c r="I257" s="211">
        <f>C268</f>
        <v/>
      </c>
      <c r="J257" s="211">
        <f>C271</f>
        <v/>
      </c>
      <c r="K257" s="60">
        <f>IFS(H257=21,1,I257=21,2,J257=21,3,and(H257=20,I257=22),1.5, and(I257=20,J257=22),2.5,H257&gt;21,0.5)</f>
        <v/>
      </c>
      <c r="L257" s="60">
        <f t="array" ref="L257">INDEX('Podium Target Times'!$C:$C, MATCH(A257&amp;B257, 'Podium Target Times'!$A:$A&amp;'Podium Target Times'!$B:$B, 0))
</f>
        <v/>
      </c>
      <c r="M257" s="66">
        <f>IFS(K257=0.5,M258+(F257-F260),K257=1,M258+(F257-F260), K257=1.5, M260+(F258-F261), K257=2, M260+(F258-F261), K257=2.5, M260+(F259-F262), K257=3, M260+(F259-F262))</f>
        <v/>
      </c>
      <c r="N257" s="60">
        <f>IF(M257&lt;60, TEXT(M257, "0.00"), TEXT(M257/(24*60*60), "M:SS.00"))</f>
        <v/>
      </c>
      <c r="O257" s="25">
        <f>IFERROR(__xludf.DUMMYFUNCTION("LET(
  gen,$A257, ev,$B257, t,$N257,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)"),692.0)</f>
        <v/>
      </c>
      <c r="P257" s="65" t="n"/>
      <c r="Q257" s="65" t="n"/>
      <c r="R257" s="69">
        <f>A260</f>
        <v/>
      </c>
      <c r="S257" s="65">
        <f>B260</f>
        <v/>
      </c>
      <c r="T257" s="69">
        <f>if(K254=1,G254+3)</f>
        <v/>
      </c>
      <c r="U257" s="68">
        <f>if(K254=1,U258+(F260-F263))</f>
        <v/>
      </c>
      <c r="V257" s="69">
        <f>IFERROR(__xludf.DUMMYFUNCTION("LET(
  gen,$R257, ev,$S257, t,$U257,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W257" s="65" t="n"/>
      <c r="X257" s="73" t="n">
        <v>20</v>
      </c>
      <c r="Y257" s="68" t="n">
        <v>27.13</v>
      </c>
      <c r="Z257" s="74" t="n">
        <v>730</v>
      </c>
    </row>
    <row r="258">
      <c r="A258" s="8" t="inlineStr">
        <is>
          <t>F</t>
        </is>
      </c>
      <c r="B258" s="9" t="inlineStr">
        <is>
          <t>50 Fly</t>
        </is>
      </c>
      <c r="C258" s="9" t="n">
        <v>19</v>
      </c>
      <c r="D258" s="219" t="n">
        <v>2</v>
      </c>
      <c r="E258" s="41" t="inlineStr">
        <is>
          <t>26.60</t>
        </is>
      </c>
      <c r="F258" s="35">
        <f>IFERROR(__xludf.DUMMYFUNCTION("IF(
  REGEXMATCH(E258, "":""),
  60*VALUE(INDEX(SPLIT(E258, "":""),1,1)) + VALUE(INDEX(SPLIT(E258, "":""),1,2)),
  VALUE(E258)
)"),26.6)</f>
        <v/>
      </c>
      <c r="G258" s="215">
        <f>C254</f>
        <v/>
      </c>
      <c r="H258" s="215">
        <f>C263</f>
        <v/>
      </c>
      <c r="I258" s="215">
        <f>C268</f>
        <v/>
      </c>
      <c r="J258" s="215">
        <f>C271</f>
        <v/>
      </c>
      <c r="K258" s="43">
        <f>IFS(H258=21,1,I258=21,2,J258=21,3,and(H258=20,I258=22),1.5, and(I258=20,J258=22),2.5,H258&gt;21,0.5)</f>
        <v/>
      </c>
      <c r="L258" s="43">
        <f t="array" ref="L258">INDEX('Podium Target Times'!$C:$C, MATCH(A258&amp;B258, 'Podium Target Times'!$A:$A&amp;'Podium Target Times'!$B:$B, 0))
</f>
        <v/>
      </c>
      <c r="M258" s="64">
        <f>IFS(K258=0.5,M259+(F257-F260),K258=1,M259+(F257-F260), K258=1.5, M260+(F258-F261), K258=2, M260+(F258-F261), K258=2.5, M260+(F259-F262), K258=3, M260+(F259-F262))</f>
        <v/>
      </c>
      <c r="N258" s="43">
        <f>IF(M258&lt;60, TEXT(M258, "0.00"), TEXT(M258/(24*60*60), "M:SS.00"))</f>
        <v/>
      </c>
      <c r="O258" s="14">
        <f>IFERROR(__xludf.DUMMYFUNCTION("LET(
  gen,$A258, ev,$B258, t,$N258,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)"),704.0)</f>
        <v/>
      </c>
      <c r="P258" s="65" t="n"/>
      <c r="Q258" s="65" t="n"/>
      <c r="R258" s="69">
        <f>A263</f>
        <v/>
      </c>
      <c r="S258" s="65">
        <f>B263</f>
        <v/>
      </c>
      <c r="T258" s="69">
        <f>if(K254=1,G254+4)</f>
        <v/>
      </c>
      <c r="U258" s="58">
        <f>if(K254=1,L263)</f>
        <v/>
      </c>
      <c r="V258" s="69">
        <f>IFERROR(__xludf.DUMMYFUNCTION("LET(
  gen,$R258, ev,$S258, t,$U258,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W258" s="65" t="n"/>
      <c r="X258" s="75" t="n">
        <v>21</v>
      </c>
      <c r="Y258" s="76" t="n">
        <v>27.02</v>
      </c>
      <c r="Z258" s="77" t="n">
        <v>739</v>
      </c>
    </row>
    <row r="259">
      <c r="A259" s="17" t="inlineStr">
        <is>
          <t>F</t>
        </is>
      </c>
      <c r="B259" s="18" t="inlineStr">
        <is>
          <t>50 Fly</t>
        </is>
      </c>
      <c r="C259" s="18" t="n">
        <v>19</v>
      </c>
      <c r="D259" s="221" t="n">
        <v>3</v>
      </c>
      <c r="E259" s="46" t="inlineStr">
        <is>
          <t>26.61</t>
        </is>
      </c>
      <c r="F259" s="21">
        <f>IFERROR(__xludf.DUMMYFUNCTION("IF(
  REGEXMATCH(E259, "":""),
  60*VALUE(INDEX(SPLIT(E259, "":""),1,1)) + VALUE(INDEX(SPLIT(E259, "":""),1,2)),
  VALUE(E259)
)"),26.61)</f>
        <v/>
      </c>
      <c r="G259" s="211">
        <f>C254</f>
        <v/>
      </c>
      <c r="H259" s="211">
        <f>C263</f>
        <v/>
      </c>
      <c r="I259" s="211">
        <f>C268</f>
        <v/>
      </c>
      <c r="J259" s="211">
        <f>C271</f>
        <v/>
      </c>
      <c r="K259" s="60">
        <f>IFS(H259=21,1,I259=21,2,J259=21,3,and(H259=20,I259=22),1.5, and(I259=20,J259=22),2.5,H259&gt;21,0.5)</f>
        <v/>
      </c>
      <c r="L259" s="60">
        <f t="array" ref="L259">INDEX('Podium Target Times'!$C:$C, MATCH(A259&amp;B259, 'Podium Target Times'!$A:$A&amp;'Podium Target Times'!$B:$B, 0))
</f>
        <v/>
      </c>
      <c r="M259" s="66">
        <f>IFS(K259=0.5,M260+(F257-F260),K259=1,M260+(F257-F260), K259=1.5, M260+(F258-F261), K259=2, M260+(F258-F261), K259=2.5, M260+(F259-F262), K259=3, M260+(F259-F262))</f>
        <v/>
      </c>
      <c r="N259" s="60">
        <f>IF(M259&lt;60, TEXT(M259, "0.00"), TEXT(M259/(24*60*60), "M:SS.00"))</f>
        <v/>
      </c>
      <c r="O259" s="25">
        <f>IFERROR(__xludf.DUMMYFUNCTION("LET(
  gen,$A259, ev,$B259, t,$N259,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P259" s="65" t="n"/>
      <c r="Q259" s="65" t="n"/>
      <c r="R259" s="69" t="n"/>
      <c r="S259" s="65" t="n"/>
      <c r="T259" s="69" t="n"/>
      <c r="U259" s="58" t="n"/>
      <c r="V259" s="69" t="n"/>
      <c r="W259" s="65" t="n"/>
      <c r="X259" s="65" t="n"/>
      <c r="Y259" s="65" t="n"/>
    </row>
    <row r="260">
      <c r="A260" s="8" t="inlineStr">
        <is>
          <t>F</t>
        </is>
      </c>
      <c r="B260" s="9" t="inlineStr">
        <is>
          <t>50 Fly</t>
        </is>
      </c>
      <c r="C260" s="9" t="n">
        <v>20</v>
      </c>
      <c r="D260" s="9" t="n">
        <v>1</v>
      </c>
      <c r="E260" s="41" t="inlineStr">
        <is>
          <t>26.34</t>
        </is>
      </c>
      <c r="F260" s="35">
        <f>IFERROR(__xludf.DUMMYFUNCTION("IF(
  REGEXMATCH(E260, "":""),
  60*VALUE(INDEX(SPLIT(E260, "":""),1,1)) + VALUE(INDEX(SPLIT(E260, "":""),1,2)),
  VALUE(E260)
)"),26.34)</f>
        <v/>
      </c>
      <c r="G260" s="215">
        <f>C254</f>
        <v/>
      </c>
      <c r="H260" s="215">
        <f>C263</f>
        <v/>
      </c>
      <c r="I260" s="215">
        <f>C268</f>
        <v/>
      </c>
      <c r="J260" s="215">
        <f>C271</f>
        <v/>
      </c>
      <c r="K260" s="43">
        <f>IFS(H260=21,1,I260=21,2,J260=21,3,and(H260=20,I260=22),1.5, and(I260=20,J260=22),2.5,H260&gt;21,0.5)</f>
        <v/>
      </c>
      <c r="L260" s="43">
        <f t="array" ref="L260">INDEX('Podium Target Times'!$C:$C, MATCH(A260&amp;B260, 'Podium Target Times'!$A:$A&amp;'Podium Target Times'!$B:$B, 0))
</f>
        <v/>
      </c>
      <c r="M260" s="64">
        <f>IFS(K260=0.5,L260,K260=1,U258+(F260-F263), K260=1.5, M263+(F261-F264), K260=2, M263+(F261-F264), K260=2.5, M263+(F262-F265), K260=3, M263+(F262-F265))</f>
        <v/>
      </c>
      <c r="N260" s="43">
        <f>IF(M260&lt;60, TEXT(M260, "0.00"), TEXT(M260/(24*60*60), "M:SS.00"))</f>
        <v/>
      </c>
      <c r="O260" s="14">
        <f>IFERROR(__xludf.DUMMYFUNCTION("LET(
  gen,$A260, ev,$B260, t,$N260,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P260" s="65" t="n"/>
      <c r="Q260" s="65" t="n"/>
      <c r="R260" s="69" t="n"/>
      <c r="S260" s="65" t="n"/>
      <c r="T260" s="69" t="n"/>
      <c r="U260" s="58" t="n"/>
      <c r="V260" s="69" t="n"/>
      <c r="W260" s="65" t="n"/>
      <c r="X260" s="65" t="n"/>
      <c r="Y260" s="65" t="n"/>
    </row>
    <row r="261">
      <c r="A261" s="17" t="inlineStr">
        <is>
          <t>F</t>
        </is>
      </c>
      <c r="B261" s="18" t="inlineStr">
        <is>
          <t>50 Fly</t>
        </is>
      </c>
      <c r="C261" s="18" t="n">
        <v>20</v>
      </c>
      <c r="D261" s="221" t="n">
        <v>2</v>
      </c>
      <c r="E261" s="46" t="inlineStr">
        <is>
          <t>26.43</t>
        </is>
      </c>
      <c r="F261" s="21">
        <f>IFERROR(__xludf.DUMMYFUNCTION("IF(
  REGEXMATCH(E261, "":""),
  60*VALUE(INDEX(SPLIT(E261, "":""),1,1)) + VALUE(INDEX(SPLIT(E261, "":""),1,2)),
  VALUE(E261)
)"),26.43)</f>
        <v/>
      </c>
      <c r="G261" s="211">
        <f>C254</f>
        <v/>
      </c>
      <c r="H261" s="211">
        <f>C263</f>
        <v/>
      </c>
      <c r="I261" s="211">
        <f>C268</f>
        <v/>
      </c>
      <c r="J261" s="211">
        <f>C271</f>
        <v/>
      </c>
      <c r="K261" s="60">
        <f>IFS(H261=21,1,I261=21,2,J261=21,3,and(H261=20,I261=22),1.5, and(I261=20,J261=22),2.5,H261&gt;21,0.5)</f>
        <v/>
      </c>
      <c r="L261" s="60">
        <f t="array" ref="L261">INDEX('Podium Target Times'!$C:$C, MATCH(A261&amp;B261, 'Podium Target Times'!$A:$A&amp;'Podium Target Times'!$B:$B, 0))
</f>
        <v/>
      </c>
      <c r="M261" s="66">
        <f>IFS(K261=0.5,L261,K261=1,U258+(F260-F263), K261=1.5, M263+(F261-F264), K261=2, M263+(F261-F264), K261=2.5, M263+(F262-F265), K261=3, M263+(F262-F265))</f>
        <v/>
      </c>
      <c r="N261" s="60">
        <f>IF(M261&lt;60, TEXT(M261, "0.00"), TEXT(M261/(24*60*60), "M:SS.00"))</f>
        <v/>
      </c>
      <c r="O261" s="25">
        <f>IFERROR(__xludf.DUMMYFUNCTION("LET(
  gen,$A261, ev,$B261, t,$N261,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P261" s="65" t="n"/>
      <c r="Q261" s="65" t="n"/>
      <c r="R261" s="69" t="n"/>
      <c r="S261" s="65" t="n"/>
      <c r="T261" s="69" t="n"/>
      <c r="U261" s="58" t="n"/>
      <c r="V261" s="69" t="n"/>
      <c r="W261" s="65" t="n"/>
      <c r="X261" s="65" t="n"/>
      <c r="Y261" s="65" t="n"/>
    </row>
    <row r="262">
      <c r="A262" s="8" t="inlineStr">
        <is>
          <t>F</t>
        </is>
      </c>
      <c r="B262" s="9" t="inlineStr">
        <is>
          <t>50 Fly</t>
        </is>
      </c>
      <c r="C262" s="9" t="n">
        <v>20</v>
      </c>
      <c r="D262" s="219" t="n">
        <v>3</v>
      </c>
      <c r="E262" s="41" t="inlineStr">
        <is>
          <t>26.45</t>
        </is>
      </c>
      <c r="F262" s="35">
        <f>IFERROR(__xludf.DUMMYFUNCTION("IF(
  REGEXMATCH(E262, "":""),
  60*VALUE(INDEX(SPLIT(E262, "":""),1,1)) + VALUE(INDEX(SPLIT(E262, "":""),1,2)),
  VALUE(E262)
)"),26.45)</f>
        <v/>
      </c>
      <c r="G262" s="215">
        <f>C254</f>
        <v/>
      </c>
      <c r="H262" s="215">
        <f>C263</f>
        <v/>
      </c>
      <c r="I262" s="215">
        <f>C268</f>
        <v/>
      </c>
      <c r="J262" s="215">
        <f>C271</f>
        <v/>
      </c>
      <c r="K262" s="43">
        <f>IFS(H262=21,1,I262=21,2,J262=21,3,and(H262=20,I262=22),1.5, and(I262=20,J262=22),2.5,H262&gt;21,0.5)</f>
        <v/>
      </c>
      <c r="L262" s="43">
        <f t="array" ref="L262">INDEX('Podium Target Times'!$C:$C, MATCH(A262&amp;B262, 'Podium Target Times'!$A:$A&amp;'Podium Target Times'!$B:$B, 0))
</f>
        <v/>
      </c>
      <c r="M262" s="64">
        <f>IFS(K262=0.5,L262,K262=1,U258+(F260-F263), K262=1.5, M263+(F261-F264), K262=2, M263+(F261-F264), K262=2.5, M263+(F262-F265), K262=3, M263+(F262-F265))</f>
        <v/>
      </c>
      <c r="N262" s="43">
        <f>IF(M262&lt;60, TEXT(M262, "0.00"), TEXT(M262/(24*60*60), "M:SS.00"))</f>
        <v/>
      </c>
      <c r="O262" s="14">
        <f>IFERROR(__xludf.DUMMYFUNCTION("LET(
  gen,$A262, ev,$B262, t,$N262,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)"),730.0)</f>
        <v/>
      </c>
      <c r="P262" s="65" t="n"/>
      <c r="Q262" s="65" t="n"/>
      <c r="R262" s="69" t="n"/>
      <c r="S262" s="65" t="n"/>
      <c r="T262" s="69" t="n"/>
      <c r="U262" s="58" t="n"/>
      <c r="V262" s="69" t="n"/>
      <c r="W262" s="65" t="n"/>
      <c r="X262" s="65" t="n"/>
      <c r="Y262" s="65" t="n"/>
    </row>
    <row r="263">
      <c r="A263" s="17" t="inlineStr">
        <is>
          <t>F</t>
        </is>
      </c>
      <c r="B263" s="18" t="inlineStr">
        <is>
          <t>50 Fly</t>
        </is>
      </c>
      <c r="C263" s="18" t="n">
        <v>21</v>
      </c>
      <c r="D263" s="18" t="n">
        <v>1</v>
      </c>
      <c r="E263" s="46" t="inlineStr">
        <is>
          <t>26.23</t>
        </is>
      </c>
      <c r="F263" s="21">
        <f>IFERROR(__xludf.DUMMYFUNCTION("IF(
  REGEXMATCH(E263, "":""),
  60*VALUE(INDEX(SPLIT(E263, "":""),1,1)) + VALUE(INDEX(SPLIT(E263, "":""),1,2)),
  VALUE(E263)
)"),26.23)</f>
        <v/>
      </c>
      <c r="G263" s="211">
        <f>C254</f>
        <v/>
      </c>
      <c r="H263" s="211">
        <f>C263</f>
        <v/>
      </c>
      <c r="I263" s="211">
        <f>C268</f>
        <v/>
      </c>
      <c r="J263" s="211">
        <f>C271</f>
        <v/>
      </c>
      <c r="K263" s="60">
        <f>IFS(H263=21,1,I263=21,2,J263=21,3,and(H263=20,I263=22),1.5, and(I263=20,J263=22),2.5,H263&gt;21,0.5)</f>
        <v/>
      </c>
      <c r="L263" s="60">
        <f t="array" ref="L263">INDEX('Podium Target Times'!$C:$C, MATCH(A263&amp;B263, 'Podium Target Times'!$A:$A&amp;'Podium Target Times'!$B:$B, 0))
</f>
        <v/>
      </c>
      <c r="M263" s="66">
        <f>IFS(K263=0.5,L263,K263=1,L263, K263=1.5, M266+(F264-F266), K263=2, M266+(F264-F266), K263=2.5, M266+(F265-F267), K263=3, M266+(F265-F267))</f>
        <v/>
      </c>
      <c r="N263" s="60">
        <f>IF(M263&lt;60, TEXT(M263, "0.00"), TEXT(M263/(24*60*60), "M:SS.00"))</f>
        <v/>
      </c>
      <c r="O263" s="25">
        <f>IFERROR(__xludf.DUMMYFUNCTION("LET(
  gen,$A263, ev,$B263, t,$N263,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263" s="65" t="n"/>
      <c r="Q263" s="65" t="n"/>
      <c r="R263" s="69" t="n"/>
      <c r="S263" s="65" t="n"/>
      <c r="T263" s="69" t="n"/>
      <c r="U263" s="58" t="n"/>
      <c r="V263" s="69" t="n"/>
      <c r="W263" s="65" t="n"/>
      <c r="X263" s="65" t="n"/>
      <c r="Y263" s="65" t="n"/>
    </row>
    <row r="264">
      <c r="A264" s="8" t="inlineStr">
        <is>
          <t>F</t>
        </is>
      </c>
      <c r="B264" s="9" t="inlineStr">
        <is>
          <t>50 Fly</t>
        </is>
      </c>
      <c r="C264" s="9" t="n">
        <v>21</v>
      </c>
      <c r="D264" s="219" t="n">
        <v>2</v>
      </c>
      <c r="E264" s="41" t="inlineStr">
        <is>
          <t>26.33</t>
        </is>
      </c>
      <c r="F264" s="35">
        <f>IFERROR(__xludf.DUMMYFUNCTION("IF(
  REGEXMATCH(E264, "":""),
  60*VALUE(INDEX(SPLIT(E264, "":""),1,1)) + VALUE(INDEX(SPLIT(E264, "":""),1,2)),
  VALUE(E264)
)"),26.33)</f>
        <v/>
      </c>
      <c r="G264" s="215">
        <f>C254</f>
        <v/>
      </c>
      <c r="H264" s="215">
        <f>C263</f>
        <v/>
      </c>
      <c r="I264" s="215">
        <f>C268</f>
        <v/>
      </c>
      <c r="J264" s="215">
        <f>C271</f>
        <v/>
      </c>
      <c r="K264" s="43">
        <f>IFS(H264=21,1,I264=21,2,J264=21,3,and(H264=20,I264=22),1.5, and(I264=20,J264=22),2.5,H264&gt;21,0.5)</f>
        <v/>
      </c>
      <c r="L264" s="43">
        <f t="array" ref="L264">INDEX('Podium Target Times'!$C:$C, MATCH(A264&amp;B264, 'Podium Target Times'!$A:$A&amp;'Podium Target Times'!$B:$B, 0))
</f>
        <v/>
      </c>
      <c r="M264" s="64">
        <f>IFS(K264=0.5,L264,K264=1,L264, K264=1.5, M266+(F264-F266), K264=2, M266+(F264-F266), K264=2.5, M266+(F265-F267), K264=3, M266+(F265-F267))</f>
        <v/>
      </c>
      <c r="N264" s="43">
        <f>IF(M264&lt;60, TEXT(M264, "0.00"), TEXT(M264/(24*60*60), "M:SS.00"))</f>
        <v/>
      </c>
      <c r="O264" s="14">
        <f>IFERROR(__xludf.DUMMYFUNCTION("LET(
  gen,$A264, ev,$B264, t,$N264,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264" s="65" t="n"/>
      <c r="Q264" s="65" t="n"/>
      <c r="R264" s="69" t="n"/>
      <c r="S264" s="65" t="n"/>
      <c r="T264" s="69" t="n"/>
      <c r="U264" s="58" t="n"/>
      <c r="V264" s="69" t="n"/>
      <c r="W264" s="65" t="n"/>
      <c r="X264" s="65" t="n"/>
      <c r="Y264" s="65" t="n"/>
    </row>
    <row r="265">
      <c r="A265" s="17" t="inlineStr">
        <is>
          <t>F</t>
        </is>
      </c>
      <c r="B265" s="18" t="inlineStr">
        <is>
          <t>50 Fly</t>
        </is>
      </c>
      <c r="C265" s="18" t="n">
        <v>21</v>
      </c>
      <c r="D265" s="221" t="n">
        <v>3</v>
      </c>
      <c r="E265" s="46" t="inlineStr">
        <is>
          <t>26.34</t>
        </is>
      </c>
      <c r="F265" s="21">
        <f>IFERROR(__xludf.DUMMYFUNCTION("IF(
  REGEXMATCH(E265, "":""),
  60*VALUE(INDEX(SPLIT(E265, "":""),1,1)) + VALUE(INDEX(SPLIT(E265, "":""),1,2)),
  VALUE(E265)
)"),26.34)</f>
        <v/>
      </c>
      <c r="G265" s="211">
        <f>C254</f>
        <v/>
      </c>
      <c r="H265" s="211">
        <f>C263</f>
        <v/>
      </c>
      <c r="I265" s="211">
        <f>C268</f>
        <v/>
      </c>
      <c r="J265" s="211">
        <f>C271</f>
        <v/>
      </c>
      <c r="K265" s="60">
        <f>IFS(H265=21,1,I265=21,2,J265=21,3,and(H265=20,I265=22),1.5, and(I265=20,J265=22),2.5,H265&gt;21,0.5)</f>
        <v/>
      </c>
      <c r="L265" s="60">
        <f t="array" ref="L265">INDEX('Podium Target Times'!$C:$C, MATCH(A265&amp;B265, 'Podium Target Times'!$A:$A&amp;'Podium Target Times'!$B:$B, 0))
</f>
        <v/>
      </c>
      <c r="M265" s="66">
        <f>IFS(K265=0.5,L265,K265=1,L265, K265=1.5, M266+(F264-F266), K265=2, M266+(F264-F266), K265=2.5, M266+(F265-F267), K265=3, M266+(F265-F267))</f>
        <v/>
      </c>
      <c r="N265" s="60">
        <f>IF(M265&lt;60, TEXT(M265, "0.00"), TEXT(M265/(24*60*60), "M:SS.00"))</f>
        <v/>
      </c>
      <c r="O265" s="25">
        <f>IFERROR(__xludf.DUMMYFUNCTION("LET(
  gen,$A265, ev,$B265, t,$N265,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265" s="65" t="n"/>
      <c r="Q265" s="65" t="n"/>
      <c r="R265" s="69" t="n"/>
      <c r="S265" s="65" t="n"/>
      <c r="T265" s="69" t="n"/>
      <c r="U265" s="58" t="n"/>
      <c r="V265" s="69" t="n"/>
      <c r="W265" s="65" t="n"/>
      <c r="X265" s="65" t="n"/>
      <c r="Y265" s="65" t="n"/>
    </row>
    <row r="266">
      <c r="A266" s="8" t="inlineStr">
        <is>
          <t>F</t>
        </is>
      </c>
      <c r="B266" s="9" t="inlineStr">
        <is>
          <t>50 Fly</t>
        </is>
      </c>
      <c r="C266" s="9" t="n">
        <v>22</v>
      </c>
      <c r="D266" s="219" t="n">
        <v>2</v>
      </c>
      <c r="E266" s="41" t="inlineStr">
        <is>
          <t>26.27</t>
        </is>
      </c>
      <c r="F266" s="35">
        <f>IFERROR(__xludf.DUMMYFUNCTION("IF(
  REGEXMATCH(E266, "":""),
  60*VALUE(INDEX(SPLIT(E266, "":""),1,1)) + VALUE(INDEX(SPLIT(E266, "":""),1,2)),
  VALUE(E266)
)"),26.27)</f>
        <v/>
      </c>
      <c r="G266" s="215">
        <f>C254</f>
        <v/>
      </c>
      <c r="H266" s="215">
        <f>C263</f>
        <v/>
      </c>
      <c r="I266" s="215">
        <f>C268</f>
        <v/>
      </c>
      <c r="J266" s="215">
        <f>C271</f>
        <v/>
      </c>
      <c r="K266" s="43">
        <f>IFS(H266=21,1,I266=21,2,J266=21,3,and(H266=20,I266=22),1.5, and(I266=20,J266=22),2.5,H266&gt;21,0.5)</f>
        <v/>
      </c>
      <c r="L266" s="43">
        <f t="array" ref="L266">INDEX('Podium Target Times'!$C:$C, MATCH(A266&amp;B266, 'Podium Target Times'!$A:$A&amp;'Podium Target Times'!$B:$B, 0))
</f>
        <v/>
      </c>
      <c r="M266" s="64">
        <f>IFS(K266=0.5,L266,K266=1,L266, K266=1.5, L266, K266=2, M268+(F266-F268), K266=2.5, M268+(F267-F269), K266=3, M268+(F267-F269))</f>
        <v/>
      </c>
      <c r="N266" s="43">
        <f>IF(M266&lt;60, TEXT(M266, "0.00"), TEXT(M266/(24*60*60), "M:SS.00"))</f>
        <v/>
      </c>
      <c r="O266" s="14">
        <f>IFERROR(__xludf.DUMMYFUNCTION("LET(
  gen,$A266, ev,$B266, t,$N266,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266" s="65" t="n"/>
      <c r="Q266" s="65" t="n"/>
      <c r="R266" s="69" t="n"/>
      <c r="S266" s="65" t="n"/>
      <c r="T266" s="69" t="n"/>
      <c r="U266" s="58" t="n"/>
      <c r="V266" s="69" t="n"/>
      <c r="W266" s="65" t="n"/>
      <c r="X266" s="65" t="n"/>
      <c r="Y266" s="65" t="n"/>
    </row>
    <row r="267">
      <c r="A267" s="17" t="inlineStr">
        <is>
          <t>F</t>
        </is>
      </c>
      <c r="B267" s="18" t="inlineStr">
        <is>
          <t>50 Fly</t>
        </is>
      </c>
      <c r="C267" s="18" t="n">
        <v>22</v>
      </c>
      <c r="D267" s="221" t="n">
        <v>3</v>
      </c>
      <c r="E267" s="46" t="inlineStr">
        <is>
          <t>26.28</t>
        </is>
      </c>
      <c r="F267" s="21">
        <f>IFERROR(__xludf.DUMMYFUNCTION("IF(
  REGEXMATCH(E267, "":""),
  60*VALUE(INDEX(SPLIT(E267, "":""),1,1)) + VALUE(INDEX(SPLIT(E267, "":""),1,2)),
  VALUE(E267)
)"),26.28)</f>
        <v/>
      </c>
      <c r="G267" s="211">
        <f>C254</f>
        <v/>
      </c>
      <c r="H267" s="211">
        <f>C263</f>
        <v/>
      </c>
      <c r="I267" s="211">
        <f>C268</f>
        <v/>
      </c>
      <c r="J267" s="211">
        <f>C271</f>
        <v/>
      </c>
      <c r="K267" s="60">
        <f>IFS(H267=21,1,I267=21,2,J267=21,3,and(H267=20,I267=22),1.5, and(I267=20,J267=22),2.5,H267&gt;21,0.5)</f>
        <v/>
      </c>
      <c r="L267" s="60">
        <f t="array" ref="L267">INDEX('Podium Target Times'!$C:$C, MATCH(A267&amp;B267, 'Podium Target Times'!$A:$A&amp;'Podium Target Times'!$B:$B, 0))
</f>
        <v/>
      </c>
      <c r="M267" s="66">
        <f>IFS(K267=0.5,L267,K267=1,L267, K267=1.5, L267, K267=2, M268+(F266-F268), K267=2.5, M268+(F267-F269), K267=3, M268+(F267-F269))</f>
        <v/>
      </c>
      <c r="N267" s="60">
        <f>IF(M267&lt;60, TEXT(M267, "0.00"), TEXT(M267/(24*60*60), "M:SS.00"))</f>
        <v/>
      </c>
      <c r="O267" s="25">
        <f>IFERROR(__xludf.DUMMYFUNCTION("LET(
  gen,$A267, ev,$B267, t,$N267,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267" s="65" t="n"/>
      <c r="Q267" s="65" t="n"/>
      <c r="R267" s="69" t="n"/>
      <c r="S267" s="65" t="n"/>
      <c r="T267" s="69" t="n"/>
      <c r="U267" s="58" t="n"/>
      <c r="V267" s="69" t="n"/>
      <c r="W267" s="65" t="n"/>
      <c r="X267" s="65" t="n"/>
      <c r="Y267" s="65" t="n"/>
    </row>
    <row r="268">
      <c r="A268" s="8" t="inlineStr">
        <is>
          <t>F</t>
        </is>
      </c>
      <c r="B268" s="9" t="inlineStr">
        <is>
          <t>50 Fly</t>
        </is>
      </c>
      <c r="C268" s="9" t="n">
        <v>23</v>
      </c>
      <c r="D268" s="219" t="n">
        <v>2</v>
      </c>
      <c r="E268" s="41" t="inlineStr">
        <is>
          <t>26.23</t>
        </is>
      </c>
      <c r="F268" s="35">
        <f>IFERROR(__xludf.DUMMYFUNCTION("IF(
  REGEXMATCH(E268, "":""),
  60*VALUE(INDEX(SPLIT(E268, "":""),1,1)) + VALUE(INDEX(SPLIT(E268, "":""),1,2)),
  VALUE(E268)
)"),26.23)</f>
        <v/>
      </c>
      <c r="G268" s="215">
        <f>C254</f>
        <v/>
      </c>
      <c r="H268" s="215">
        <f>C263</f>
        <v/>
      </c>
      <c r="I268" s="215">
        <f>C268</f>
        <v/>
      </c>
      <c r="J268" s="215">
        <f>C271</f>
        <v/>
      </c>
      <c r="K268" s="43">
        <f>IFS(H268=21,1,I268=21,2,J268=21,3,and(H268=20,I268=22),1.5, and(I268=20,J268=22),2.5,H268&gt;21,0.5)</f>
        <v/>
      </c>
      <c r="L268" s="43">
        <f t="array" ref="L268">INDEX('Podium Target Times'!$C:$C, MATCH(A268&amp;B268, 'Podium Target Times'!$A:$A&amp;'Podium Target Times'!$B:$B, 0))
</f>
        <v/>
      </c>
      <c r="M268" s="64">
        <f>IFS(K268=0.5,L268,K268=1,L268, K268=1.5, L268, K268=2,L271, K268=2.5, M270+(F269-F270), K268=3,  M270+(F269-F270))</f>
        <v/>
      </c>
      <c r="N268" s="43">
        <f>IF(M268&lt;60, TEXT(M268, "0.00"), TEXT(M268/(24*60*60), "M:SS.00"))</f>
        <v/>
      </c>
      <c r="O268" s="14">
        <f>IFERROR(__xludf.DUMMYFUNCTION("LET(
  gen,$A268, ev,$B268, t,$N268,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268" s="65" t="n"/>
      <c r="Q268" s="65" t="n"/>
      <c r="R268" s="69" t="n"/>
      <c r="S268" s="65" t="n"/>
      <c r="T268" s="69" t="n"/>
      <c r="U268" s="58" t="n"/>
      <c r="V268" s="69" t="n"/>
      <c r="W268" s="65" t="n"/>
      <c r="X268" s="65" t="n"/>
      <c r="Y268" s="65" t="n"/>
    </row>
    <row r="269">
      <c r="A269" s="17" t="inlineStr">
        <is>
          <t>F</t>
        </is>
      </c>
      <c r="B269" s="18" t="inlineStr">
        <is>
          <t>50 Fly</t>
        </is>
      </c>
      <c r="C269" s="18" t="n">
        <v>23</v>
      </c>
      <c r="D269" s="221" t="n">
        <v>3</v>
      </c>
      <c r="E269" s="46" t="inlineStr">
        <is>
          <t>26.24</t>
        </is>
      </c>
      <c r="F269" s="21">
        <f>IFERROR(__xludf.DUMMYFUNCTION("IF(
  REGEXMATCH(E269, "":""),
  60*VALUE(INDEX(SPLIT(E269, "":""),1,1)) + VALUE(INDEX(SPLIT(E269, "":""),1,2)),
  VALUE(E269)
)"),26.24)</f>
        <v/>
      </c>
      <c r="G269" s="211">
        <f>C254</f>
        <v/>
      </c>
      <c r="H269" s="211">
        <f>C263</f>
        <v/>
      </c>
      <c r="I269" s="211">
        <f>C268</f>
        <v/>
      </c>
      <c r="J269" s="211">
        <f>C271</f>
        <v/>
      </c>
      <c r="K269" s="60">
        <f>IFS(H269=21,1,I269=21,2,J269=21,3,and(H269=20,I269=22),1.5, and(I269=20,J269=22),2.5,H269&gt;21,0.5)</f>
        <v/>
      </c>
      <c r="L269" s="60">
        <f t="array" ref="L269">INDEX('Podium Target Times'!$C:$C, MATCH(A269&amp;B269, 'Podium Target Times'!$A:$A&amp;'Podium Target Times'!$B:$B, 0))
</f>
        <v/>
      </c>
      <c r="M269" s="66">
        <f>IFS(K269=0.5,L269,K269=1,L269, K269=1.5, L269, K269=2, L271, K269=2.5, M270+(F269-F270), K269=3, M270+(F269-F270))</f>
        <v/>
      </c>
      <c r="N269" s="60">
        <f>IF(M269&lt;60, TEXT(M269, "0.00"), TEXT(M269/(24*60*60), "M:SS.00"))</f>
        <v/>
      </c>
      <c r="O269" s="25">
        <f>IFERROR(__xludf.DUMMYFUNCTION("LET(
  gen,$A269, ev,$B269, t,$N269,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269" s="65" t="n"/>
      <c r="Q269" s="65" t="n"/>
      <c r="R269" s="69" t="n"/>
      <c r="S269" s="65" t="n"/>
      <c r="T269" s="69" t="n"/>
      <c r="U269" s="58" t="n"/>
      <c r="V269" s="69" t="n"/>
      <c r="W269" s="65" t="n"/>
      <c r="X269" s="65" t="n"/>
      <c r="Y269" s="65" t="n"/>
    </row>
    <row r="270">
      <c r="A270" s="8" t="inlineStr">
        <is>
          <t>F</t>
        </is>
      </c>
      <c r="B270" s="9" t="inlineStr">
        <is>
          <t>50 Fly</t>
        </is>
      </c>
      <c r="C270" s="9" t="n">
        <v>24</v>
      </c>
      <c r="D270" s="219" t="n">
        <v>3</v>
      </c>
      <c r="E270" s="41" t="inlineStr">
        <is>
          <t>26.23</t>
        </is>
      </c>
      <c r="F270" s="35">
        <f>IFERROR(__xludf.DUMMYFUNCTION("IF(
  REGEXMATCH(E270, "":""),
  60*VALUE(INDEX(SPLIT(E270, "":""),1,1)) + VALUE(INDEX(SPLIT(E270, "":""),1,2)),
  VALUE(E270)
)"),26.23)</f>
        <v/>
      </c>
      <c r="G270" s="215">
        <f>C254</f>
        <v/>
      </c>
      <c r="H270" s="215">
        <f>C263</f>
        <v/>
      </c>
      <c r="I270" s="215">
        <f>C268</f>
        <v/>
      </c>
      <c r="J270" s="215">
        <f>C271</f>
        <v/>
      </c>
      <c r="K270" s="43">
        <f>IFS(H270=21,1,I270=21,2,J270=21,3,and(H270=20,I270=22),1.5, and(I270=20,J270=22),2.5,H270&gt;21,0.5)</f>
        <v/>
      </c>
      <c r="L270" s="43">
        <f t="array" ref="L270">INDEX('Podium Target Times'!$C:$C, MATCH(A270&amp;B270, 'Podium Target Times'!$A:$A&amp;'Podium Target Times'!$B:$B, 0))
</f>
        <v/>
      </c>
      <c r="M270" s="64">
        <f>IFS(K270=0.5,L270,K270=1,L270, K270=1.5, L270, K270=2, L271, K270=2.5, L271, K270=3, M271+(F270-F271))</f>
        <v/>
      </c>
      <c r="N270" s="43">
        <f>IF(M270&lt;60, TEXT(M270, "0.00"), TEXT(M270/(24*60*60), "M:SS.00"))</f>
        <v/>
      </c>
      <c r="O270" s="14">
        <f>IFERROR(__xludf.DUMMYFUNCTION("LET(
  gen,$A270, ev,$B270, t,$N270,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270" s="65" t="n"/>
      <c r="Q270" s="65" t="n"/>
      <c r="R270" s="69" t="n"/>
      <c r="S270" s="65" t="n"/>
      <c r="T270" s="69" t="n"/>
      <c r="U270" s="58" t="n"/>
      <c r="V270" s="69" t="n"/>
      <c r="W270" s="65" t="n"/>
      <c r="X270" s="65" t="n"/>
      <c r="Y270" s="65" t="n"/>
    </row>
    <row r="271">
      <c r="A271" s="17" t="inlineStr">
        <is>
          <t>F</t>
        </is>
      </c>
      <c r="B271" s="18" t="inlineStr">
        <is>
          <t>50 Fly</t>
        </is>
      </c>
      <c r="C271" s="18" t="n">
        <v>25</v>
      </c>
      <c r="D271" s="221" t="n">
        <v>3</v>
      </c>
      <c r="E271" s="46" t="inlineStr">
        <is>
          <t>26.23</t>
        </is>
      </c>
      <c r="F271" s="21">
        <f>IFERROR(__xludf.DUMMYFUNCTION("IF(
  REGEXMATCH(E271, "":""),
  60*VALUE(INDEX(SPLIT(E271, "":""),1,1)) + VALUE(INDEX(SPLIT(E271, "":""),1,2)),
  VALUE(E271)
)"),26.23)</f>
        <v/>
      </c>
      <c r="G271" s="211">
        <f>C254</f>
        <v/>
      </c>
      <c r="H271" s="211">
        <f>C263</f>
        <v/>
      </c>
      <c r="I271" s="211">
        <f>C268</f>
        <v/>
      </c>
      <c r="J271" s="211">
        <f>C271</f>
        <v/>
      </c>
      <c r="K271" s="60">
        <f>IFS(H271=21,1,I271=21,2,J271=21,3,and(H271=20,I271=22),1.5, and(I271=20,J271=22),2.5,H271&gt;21,0.5)</f>
        <v/>
      </c>
      <c r="L271" s="60">
        <f t="array" ref="L271">INDEX('Podium Target Times'!$C:$C, MATCH(A271&amp;B271, 'Podium Target Times'!$A:$A&amp;'Podium Target Times'!$B:$B, 0))
</f>
        <v/>
      </c>
      <c r="M271" s="66">
        <f>IFS(K271=0.5,L271,K271=1,L271, K271=1.5, L271, K271=2, L271, K271=2.5, L271, K271=3, L271)</f>
        <v/>
      </c>
      <c r="N271" s="60">
        <f>IF(M271&lt;60, TEXT(M271, "0.00"), TEXT(M271/(24*60*60), "M:SS.00"))</f>
        <v/>
      </c>
      <c r="O271" s="25">
        <f>IFERROR(__xludf.DUMMYFUNCTION("LET(
  gen,$A271, ev,$B271, t,$N271,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271" s="65" t="n"/>
      <c r="Q271" s="65" t="n"/>
      <c r="R271" s="69" t="n"/>
      <c r="S271" s="65" t="n"/>
      <c r="T271" s="69" t="n"/>
      <c r="U271" s="58" t="n"/>
      <c r="V271" s="69" t="n"/>
      <c r="W271" s="65" t="n"/>
      <c r="X271" s="65" t="n"/>
      <c r="Y271" s="65" t="n"/>
    </row>
    <row r="272">
      <c r="A272" s="8" t="inlineStr">
        <is>
          <t>F</t>
        </is>
      </c>
      <c r="B272" s="9" t="inlineStr">
        <is>
          <t>50 Free</t>
        </is>
      </c>
      <c r="C272" s="9" t="n">
        <v>16</v>
      </c>
      <c r="D272" s="9" t="n">
        <v>1</v>
      </c>
      <c r="E272" s="483" t="inlineStr">
        <is>
          <t>25.66</t>
        </is>
      </c>
      <c r="F272" s="35">
        <f>IFERROR(__xludf.DUMMYFUNCTION("IF(
  REGEXMATCH(E272, "":""),
  60*VALUE(INDEX(SPLIT(E272, "":""),1,1)) + VALUE(INDEX(SPLIT(E272, "":""),1,2)),
  VALUE(E272)
)"),25.66)</f>
        <v/>
      </c>
      <c r="G272" s="43">
        <f>C272</f>
        <v/>
      </c>
      <c r="H272" s="43">
        <f>C281</f>
        <v/>
      </c>
      <c r="I272" s="43">
        <f>C286</f>
        <v/>
      </c>
      <c r="J272" s="43">
        <f>C289</f>
        <v/>
      </c>
      <c r="K272" s="43">
        <f>IFS(H272=21,1,I272=21,2,J272=21,3,and(H272=20,I272=22),1.5, and(I272=20,J272=22),2.5,H272&gt;21,0.5)</f>
        <v/>
      </c>
      <c r="L272" s="43">
        <f t="array" ref="L272">INDEX('Podium Target Times'!$C:$C, MATCH(A272&amp;B272, 'Podium Target Times'!$A:$A&amp;'Podium Target Times'!$B:$B, 0))
</f>
        <v/>
      </c>
      <c r="M272" s="64">
        <f>IFS(K272=0.5,M273+(F272-F273),K272=1,M273+(F272-F273), K272=1.5, M273+(F272-F273), K272=2, M273+(F272-F273), K272=2.5, M273+(F272-F273), K272=3, M273+(F272-F273))</f>
        <v/>
      </c>
      <c r="N272" s="43">
        <f>IF(M272&lt;60, TEXT(M272, "0.00"), TEXT(M272/(24*60*60), "M:SS.00"))</f>
        <v/>
      </c>
      <c r="O272" s="14">
        <f>IFERROR(__xludf.DUMMYFUNCTION("LET(
  gen,$A272, ev,$B272, t,$N272,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
      </c>
      <c r="P272" s="65" t="n"/>
      <c r="Q272" s="65" t="n"/>
      <c r="R272" s="69">
        <f>A272</f>
        <v/>
      </c>
      <c r="S272" s="65">
        <f>B272</f>
        <v/>
      </c>
      <c r="T272" s="69">
        <f>C272</f>
        <v/>
      </c>
      <c r="U272" s="58">
        <f>N272</f>
        <v/>
      </c>
      <c r="V272" s="69">
        <f>O272</f>
        <v/>
      </c>
      <c r="W272" s="65" t="n"/>
      <c r="X272" s="65" t="n"/>
      <c r="Y272" s="65" t="n"/>
    </row>
    <row r="273">
      <c r="A273" s="17" t="inlineStr">
        <is>
          <t>F</t>
        </is>
      </c>
      <c r="B273" s="18" t="inlineStr">
        <is>
          <t>50 Free</t>
        </is>
      </c>
      <c r="C273" s="18" t="n">
        <v>17</v>
      </c>
      <c r="D273" s="18" t="n">
        <v>1</v>
      </c>
      <c r="E273" s="46" t="inlineStr">
        <is>
          <t>25.40</t>
        </is>
      </c>
      <c r="F273" s="21">
        <f>IFERROR(__xludf.DUMMYFUNCTION("IF(
  REGEXMATCH(E273, "":""),
  60*VALUE(INDEX(SPLIT(E273, "":""),1,1)) + VALUE(INDEX(SPLIT(E273, "":""),1,2)),
  VALUE(E273)
)"),25.4)</f>
        <v/>
      </c>
      <c r="G273" s="211">
        <f>C272</f>
        <v/>
      </c>
      <c r="H273" s="211">
        <f>C281</f>
        <v/>
      </c>
      <c r="I273" s="211">
        <f>C286</f>
        <v/>
      </c>
      <c r="J273" s="211">
        <f>C289</f>
        <v/>
      </c>
      <c r="K273" s="60">
        <f>IFS(H273=21,1,I273=21,2,J273=21,3,and(H273=20,I273=22),1.5, and(I273=20,J273=22),2.5,H273&gt;21,0.5)</f>
        <v/>
      </c>
      <c r="L273" s="60">
        <f t="array" ref="L273">INDEX('Podium Target Times'!$C:$C, MATCH(A273&amp;B273, 'Podium Target Times'!$A:$A&amp;'Podium Target Times'!$B:$B, 0))
</f>
        <v/>
      </c>
      <c r="M273" s="66">
        <f>IFS(K273=0.5,M274+(F273-F275),K273=1,M274+(F273-F275), K273=1.5, M275+(F274-F276), K273=2, M275+(F274-F276), K273=2.5, M275+(F274-F276), K273=3, M275+(F274-F276))</f>
        <v/>
      </c>
      <c r="N273" s="60">
        <f>IF(M273&lt;60, TEXT(M273, "0.00"), TEXT(M273/(24*60*60), "M:SS.00"))</f>
        <v/>
      </c>
      <c r="O273" s="25">
        <f>IFERROR(__xludf.DUMMYFUNCTION("LET(
  gen,$A273, ev,$B273, t,$N273,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P273" s="65" t="n"/>
      <c r="Q273" s="65" t="n"/>
      <c r="R273" s="69">
        <f>A273</f>
        <v/>
      </c>
      <c r="S273" s="65">
        <f>B273</f>
        <v/>
      </c>
      <c r="T273" s="69">
        <f>C273</f>
        <v/>
      </c>
      <c r="U273" s="58">
        <f>N273</f>
        <v/>
      </c>
      <c r="V273" s="69">
        <f>O273</f>
        <v/>
      </c>
      <c r="W273" s="65" t="n"/>
      <c r="X273" s="65" t="n"/>
      <c r="Y273" s="65" t="n"/>
    </row>
    <row r="274">
      <c r="A274" s="8" t="inlineStr">
        <is>
          <t>F</t>
        </is>
      </c>
      <c r="B274" s="9" t="inlineStr">
        <is>
          <t>50 Free</t>
        </is>
      </c>
      <c r="C274" s="9" t="n">
        <v>17</v>
      </c>
      <c r="D274" s="9" t="n">
        <v>2</v>
      </c>
      <c r="E274" s="215" t="inlineStr">
        <is>
          <t>25.68</t>
        </is>
      </c>
      <c r="F274" s="35">
        <f>IFERROR(__xludf.DUMMYFUNCTION("IF(
  REGEXMATCH(E274, "":""),
  60*VALUE(INDEX(SPLIT(E274, "":""),1,1)) + VALUE(INDEX(SPLIT(E274, "":""),1,2)),
  VALUE(E274)
)"),25.68)</f>
        <v/>
      </c>
      <c r="G274" s="215">
        <f>C272</f>
        <v/>
      </c>
      <c r="H274" s="215">
        <f>C281</f>
        <v/>
      </c>
      <c r="I274" s="215">
        <f>C286</f>
        <v/>
      </c>
      <c r="J274" s="215">
        <f>C289</f>
        <v/>
      </c>
      <c r="K274" s="43">
        <f>IFS(H274=21,1,I274=21,2,J274=21,3,and(H274=20,I274=22),1.5, and(I274=20,J274=22),2.5,H274&gt;21,0.5)</f>
        <v/>
      </c>
      <c r="L274" s="43">
        <f t="array" ref="L274">INDEX('Podium Target Times'!$C:$C, MATCH(A274&amp;B274, 'Podium Target Times'!$A:$A&amp;'Podium Target Times'!$B:$B, 0))
</f>
        <v/>
      </c>
      <c r="M274" s="64">
        <f>IFS(K274=0.5,M275+(F274-F277),K274=1,M275+(F274-F277), K274=1.5, M275+(F274-F276), K274=2, M275+(F274-F276), K274=2.5, M275+(F274-F276), K274=3, M275+(F274-F276))</f>
        <v/>
      </c>
      <c r="N274" s="43">
        <f>IF(M274&lt;60, TEXT(M274, "0.00"), TEXT(M274/(24*60*60), "M:SS.00"))</f>
        <v/>
      </c>
      <c r="O274" s="14">
        <f>IFERROR(__xludf.DUMMYFUNCTION("LET(
  gen,$A274, ev,$B274, t,$N274,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)"),747.0)</f>
        <v/>
      </c>
      <c r="P274" s="65" t="n"/>
      <c r="Q274" s="65" t="n"/>
      <c r="R274" s="69">
        <f>A275</f>
        <v/>
      </c>
      <c r="S274" s="65">
        <f>B275</f>
        <v/>
      </c>
      <c r="T274" s="69">
        <f>C275</f>
        <v/>
      </c>
      <c r="U274" s="58">
        <f>N275</f>
        <v/>
      </c>
      <c r="V274" s="69">
        <f>O275</f>
        <v/>
      </c>
      <c r="W274" s="65" t="n"/>
      <c r="X274" s="65" t="n"/>
      <c r="Y274" s="65" t="n"/>
    </row>
    <row r="275">
      <c r="A275" s="17" t="inlineStr">
        <is>
          <t>F</t>
        </is>
      </c>
      <c r="B275" s="18" t="inlineStr">
        <is>
          <t>50 Free</t>
        </is>
      </c>
      <c r="C275" s="18" t="n">
        <v>18</v>
      </c>
      <c r="D275" s="18" t="n">
        <v>1</v>
      </c>
      <c r="E275" s="46" t="inlineStr">
        <is>
          <t>25.20</t>
        </is>
      </c>
      <c r="F275" s="21">
        <f>IFERROR(__xludf.DUMMYFUNCTION("IF(
  REGEXMATCH(E275, "":""),
  60*VALUE(INDEX(SPLIT(E275, "":""),1,1)) + VALUE(INDEX(SPLIT(E275, "":""),1,2)),
  VALUE(E275)
)"),25.2)</f>
        <v/>
      </c>
      <c r="G275" s="211">
        <f>C272</f>
        <v/>
      </c>
      <c r="H275" s="211">
        <f>C281</f>
        <v/>
      </c>
      <c r="I275" s="211">
        <f>C286</f>
        <v/>
      </c>
      <c r="J275" s="211">
        <f>C289</f>
        <v/>
      </c>
      <c r="K275" s="60">
        <f>IFS(H275=21,1,I275=21,2,J275=21,3,and(H275=20,I275=22),1.5, and(I275=20,J275=22),2.5,H275&gt;21,0.5)</f>
        <v/>
      </c>
      <c r="L275" s="60">
        <f t="array" ref="L275">INDEX('Podium Target Times'!$C:$C, MATCH(A275&amp;B275, 'Podium Target Times'!$A:$A&amp;'Podium Target Times'!$B:$B, 0))
</f>
        <v/>
      </c>
      <c r="M275" s="66">
        <f>IFS(K275=0.5,M276+(F275-F278),K275=1,M276+(F275-F278), K275=1.5, M278+(F276-F279), K275=2, M278+(F276-F279), K275=2.5, M278+(F277-F280), K275=3, M278+(F277-F280))</f>
        <v/>
      </c>
      <c r="N275" s="60">
        <f>IF(M275&lt;60, TEXT(M275, "0.00"), TEXT(M275/(24*60*60), "M:SS.00"))</f>
        <v/>
      </c>
      <c r="O275" s="25">
        <f>IFERROR(__xludf.DUMMYFUNCTION("LET(
  gen,$A275, ev,$B275, t,$N275,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P275" s="65" t="n"/>
      <c r="Q275" s="65" t="n"/>
      <c r="R275" s="69">
        <f>A278</f>
        <v/>
      </c>
      <c r="S275" s="65">
        <f>B278</f>
        <v/>
      </c>
      <c r="T275" s="69">
        <f>C278</f>
        <v/>
      </c>
      <c r="U275" s="58">
        <f>N278</f>
        <v/>
      </c>
      <c r="V275" s="69">
        <f>O278</f>
        <v/>
      </c>
      <c r="W275" s="65" t="n"/>
      <c r="X275" s="65" t="n"/>
      <c r="Y275" s="65" t="n"/>
    </row>
    <row r="276">
      <c r="A276" s="8" t="inlineStr">
        <is>
          <t>F</t>
        </is>
      </c>
      <c r="B276" s="9" t="inlineStr">
        <is>
          <t>50 Free</t>
        </is>
      </c>
      <c r="C276" s="9" t="n">
        <v>18</v>
      </c>
      <c r="D276" s="9" t="n">
        <v>2</v>
      </c>
      <c r="E276" s="41" t="inlineStr">
        <is>
          <t>25.48</t>
        </is>
      </c>
      <c r="F276" s="35">
        <f>IFERROR(__xludf.DUMMYFUNCTION("IF(
  REGEXMATCH(E276, "":""),
  60*VALUE(INDEX(SPLIT(E276, "":""),1,1)) + VALUE(INDEX(SPLIT(E276, "":""),1,2)),
  VALUE(E276)
)"),25.48)</f>
        <v/>
      </c>
      <c r="G276" s="215">
        <f>C272</f>
        <v/>
      </c>
      <c r="H276" s="215">
        <f>C281</f>
        <v/>
      </c>
      <c r="I276" s="215">
        <f>C286</f>
        <v/>
      </c>
      <c r="J276" s="215">
        <f>C289</f>
        <v/>
      </c>
      <c r="K276" s="43">
        <f>IFS(H276=21,1,I276=21,2,J276=21,3,and(H276=20,I276=22),1.5, and(I276=20,J276=22),2.5,H276&gt;21,0.5)</f>
        <v/>
      </c>
      <c r="L276" s="43">
        <f t="array" ref="L276">INDEX('Podium Target Times'!$C:$C, MATCH(A276&amp;B276, 'Podium Target Times'!$A:$A&amp;'Podium Target Times'!$B:$B, 0))
</f>
        <v/>
      </c>
      <c r="M276" s="64">
        <f>IFS(K276=0.5,M277+(F275-F278),K276=1,M277+(F275-F278), K276=1.5, M278+(F276-F279), K276=2, M278+(F276-F279), K276=2.5, M278+(F277-F280), K276=3, M278+(F277-F280))</f>
        <v/>
      </c>
      <c r="N276" s="43">
        <f>IF(M276&lt;60, TEXT(M276, "0.00"), TEXT(M276/(24*60*60), "M:SS.00"))</f>
        <v/>
      </c>
      <c r="O276" s="14">
        <f>IFERROR(__xludf.DUMMYFUNCTION("LET(
  gen,$A276, ev,$B276, t,$N276,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P276" s="65" t="n"/>
      <c r="Q276" s="65" t="n"/>
      <c r="R276" s="69">
        <f>A281</f>
        <v/>
      </c>
      <c r="S276" s="65">
        <f>B281</f>
        <v/>
      </c>
      <c r="T276" s="69">
        <f>C281</f>
        <v/>
      </c>
      <c r="U276" s="58">
        <f>N281</f>
        <v/>
      </c>
      <c r="V276" s="69">
        <f>O281</f>
        <v/>
      </c>
      <c r="W276" s="65" t="n"/>
      <c r="X276" s="65" t="n"/>
      <c r="Y276" s="65" t="n"/>
    </row>
    <row r="277">
      <c r="A277" s="17" t="inlineStr">
        <is>
          <t>F</t>
        </is>
      </c>
      <c r="B277" s="18" t="inlineStr">
        <is>
          <t>50 Free</t>
        </is>
      </c>
      <c r="C277" s="18" t="n">
        <v>18</v>
      </c>
      <c r="D277" s="18" t="n">
        <v>3</v>
      </c>
      <c r="E277" s="46" t="inlineStr">
        <is>
          <t>25.64</t>
        </is>
      </c>
      <c r="F277" s="21">
        <f>IFERROR(__xludf.DUMMYFUNCTION("IF(
  REGEXMATCH(E277, "":""),
  60*VALUE(INDEX(SPLIT(E277, "":""),1,1)) + VALUE(INDEX(SPLIT(E277, "":""),1,2)),
  VALUE(E277)
)"),25.64)</f>
        <v/>
      </c>
      <c r="G277" s="211">
        <f>C272</f>
        <v/>
      </c>
      <c r="H277" s="211">
        <f>C281</f>
        <v/>
      </c>
      <c r="I277" s="211">
        <f>C286</f>
        <v/>
      </c>
      <c r="J277" s="211">
        <f>C289</f>
        <v/>
      </c>
      <c r="K277" s="60">
        <f>IFS(H277=21,1,I277=21,2,J277=21,3,and(H277=20,I277=22),1.5, and(I277=20,J277=22),2.5,H277&gt;21,0.5)</f>
        <v/>
      </c>
      <c r="L277" s="60">
        <f t="array" ref="L277">INDEX('Podium Target Times'!$C:$C, MATCH(A277&amp;B277, 'Podium Target Times'!$A:$A&amp;'Podium Target Times'!$B:$B, 0))
</f>
        <v/>
      </c>
      <c r="M277" s="66">
        <f>IFS(K277=0.5,M278+(F275-F278),K277=1,M278+(F275-F278), K277=1.5, M278+(F276-F279), K277=2, M278+(F276-F279), K277=2.5, M278+(F277-F280), K277=3, M278+(F277-F280))</f>
        <v/>
      </c>
      <c r="N277" s="60">
        <f>IF(M277&lt;60, TEXT(M277, "0.00"), TEXT(M277/(24*60*60), "M:SS.00"))</f>
        <v/>
      </c>
      <c r="O277" s="25">
        <f>IFERROR(__xludf.DUMMYFUNCTION("LET(
  gen,$A277, ev,$B277, t,$N277,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P277" s="65" t="n"/>
      <c r="Q277" s="65" t="n"/>
      <c r="R277" s="69">
        <f>A284</f>
        <v/>
      </c>
      <c r="S277" s="65">
        <f>B284</f>
        <v/>
      </c>
      <c r="T277" s="69">
        <f>C284</f>
        <v/>
      </c>
      <c r="U277" s="58">
        <f>N284</f>
        <v/>
      </c>
      <c r="V277" s="69">
        <f>O284</f>
        <v/>
      </c>
      <c r="W277" s="65" t="n"/>
      <c r="X277" s="65" t="n"/>
      <c r="Y277" s="65" t="n"/>
    </row>
    <row r="278">
      <c r="A278" s="8" t="inlineStr">
        <is>
          <t>F</t>
        </is>
      </c>
      <c r="B278" s="9" t="inlineStr">
        <is>
          <t>50 Free</t>
        </is>
      </c>
      <c r="C278" s="9" t="n">
        <v>19</v>
      </c>
      <c r="D278" s="9" t="n">
        <v>1</v>
      </c>
      <c r="E278" s="41" t="inlineStr">
        <is>
          <t>25.02</t>
        </is>
      </c>
      <c r="F278" s="35">
        <f>IFERROR(__xludf.DUMMYFUNCTION("IF(
  REGEXMATCH(E278, "":""),
  60*VALUE(INDEX(SPLIT(E278, "":""),1,1)) + VALUE(INDEX(SPLIT(E278, "":""),1,2)),
  VALUE(E278)
)"),25.02)</f>
        <v/>
      </c>
      <c r="G278" s="215">
        <f>C272</f>
        <v/>
      </c>
      <c r="H278" s="215">
        <f>C281</f>
        <v/>
      </c>
      <c r="I278" s="215">
        <f>C286</f>
        <v/>
      </c>
      <c r="J278" s="215">
        <f>C289</f>
        <v/>
      </c>
      <c r="K278" s="43">
        <f>IFS(H278=21,1,I278=21,2,J278=21,3,and(H278=20,I278=22),1.5, and(I278=20,J278=22),2.5,H278&gt;21,0.5)</f>
        <v/>
      </c>
      <c r="L278" s="43">
        <f t="array" ref="L278">INDEX('Podium Target Times'!$C:$C, MATCH(A278&amp;B278, 'Podium Target Times'!$A:$A&amp;'Podium Target Times'!$B:$B, 0))
</f>
        <v/>
      </c>
      <c r="M278" s="64">
        <f>IFS(K278=0.5,L278,K278=1,U276+(F278-F281), K278=1.5, M281+(F279-F282), K278=2, M281+(F279-F282), K278=2.5, M281+(F280-F283), K278=3, M281+(F280-F283))</f>
        <v/>
      </c>
      <c r="N278" s="43">
        <f>IF(M278&lt;60, TEXT(M278, "0.00"), TEXT(M278/(24*60*60), "M:SS.00"))</f>
        <v/>
      </c>
      <c r="O278" s="14">
        <f>IFERROR(__xludf.DUMMYFUNCTION("LET(
  gen,$A278, ev,$B278, t,$N278,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P278" s="65" t="n"/>
      <c r="Q278" s="65" t="n"/>
      <c r="R278" s="69" t="n"/>
      <c r="S278" s="65" t="n"/>
      <c r="T278" s="69" t="n"/>
      <c r="U278" s="58" t="n"/>
      <c r="V278" s="69" t="n"/>
      <c r="W278" s="65" t="n"/>
      <c r="X278" s="65" t="n"/>
      <c r="Y278" s="65" t="n"/>
    </row>
    <row r="279">
      <c r="A279" s="17" t="inlineStr">
        <is>
          <t>F</t>
        </is>
      </c>
      <c r="B279" s="18" t="inlineStr">
        <is>
          <t>50 Free</t>
        </is>
      </c>
      <c r="C279" s="18" t="n">
        <v>19</v>
      </c>
      <c r="D279" s="18" t="n">
        <v>2</v>
      </c>
      <c r="E279" s="46" t="inlineStr">
        <is>
          <t>25.30</t>
        </is>
      </c>
      <c r="F279" s="21">
        <f>IFERROR(__xludf.DUMMYFUNCTION("IF(
  REGEXMATCH(E279, "":""),
  60*VALUE(INDEX(SPLIT(E279, "":""),1,1)) + VALUE(INDEX(SPLIT(E279, "":""),1,2)),
  VALUE(E279)
)"),25.3)</f>
        <v/>
      </c>
      <c r="G279" s="211">
        <f>C272</f>
        <v/>
      </c>
      <c r="H279" s="211">
        <f>C281</f>
        <v/>
      </c>
      <c r="I279" s="211">
        <f>C286</f>
        <v/>
      </c>
      <c r="J279" s="211">
        <f>C289</f>
        <v/>
      </c>
      <c r="K279" s="60">
        <f>IFS(H279=21,1,I279=21,2,J279=21,3,and(H279=20,I279=22),1.5, and(I279=20,J279=22),2.5,H279&gt;21,0.5)</f>
        <v/>
      </c>
      <c r="L279" s="60">
        <f t="array" ref="L279">INDEX('Podium Target Times'!$C:$C, MATCH(A279&amp;B279, 'Podium Target Times'!$A:$A&amp;'Podium Target Times'!$B:$B, 0))
</f>
        <v/>
      </c>
      <c r="M279" s="66">
        <f>IFS(K279=0.5,L279,K279=1,U276+(F278-F281), K279=1.5, M281+(F279-F282), K279=2, M281+(F279-F282), K279=2.5, M281+(F280-F283), K279=3, M281+(F280-F283))</f>
        <v/>
      </c>
      <c r="N279" s="60">
        <f>IF(M279&lt;60, TEXT(M279, "0.00"), TEXT(M279/(24*60*60), "M:SS.00"))</f>
        <v/>
      </c>
      <c r="O279" s="25">
        <f>IFERROR(__xludf.DUMMYFUNCTION("LET(
  gen,$A279, ev,$B279, t,$N279,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P279" s="65" t="n"/>
      <c r="Q279" s="65" t="n"/>
      <c r="R279" s="69" t="n"/>
      <c r="S279" s="65" t="n"/>
      <c r="T279" s="69" t="n"/>
      <c r="U279" s="58" t="n"/>
      <c r="V279" s="69" t="n"/>
      <c r="W279" s="65" t="n"/>
      <c r="X279" s="65" t="n"/>
      <c r="Y279" s="65" t="n"/>
    </row>
    <row r="280">
      <c r="A280" s="8" t="inlineStr">
        <is>
          <t>F</t>
        </is>
      </c>
      <c r="B280" s="9" t="inlineStr">
        <is>
          <t>50 Free</t>
        </is>
      </c>
      <c r="C280" s="9" t="n">
        <v>19</v>
      </c>
      <c r="D280" s="9" t="n">
        <v>3</v>
      </c>
      <c r="E280" s="41" t="inlineStr">
        <is>
          <t>25.47</t>
        </is>
      </c>
      <c r="F280" s="35">
        <f>IFERROR(__xludf.DUMMYFUNCTION("IF(
  REGEXMATCH(E280, "":""),
  60*VALUE(INDEX(SPLIT(E280, "":""),1,1)) + VALUE(INDEX(SPLIT(E280, "":""),1,2)),
  VALUE(E280)
)"),25.47)</f>
        <v/>
      </c>
      <c r="G280" s="215">
        <f>C272</f>
        <v/>
      </c>
      <c r="H280" s="215">
        <f>C281</f>
        <v/>
      </c>
      <c r="I280" s="215">
        <f>C286</f>
        <v/>
      </c>
      <c r="J280" s="215">
        <f>C289</f>
        <v/>
      </c>
      <c r="K280" s="43">
        <f>IFS(H280=21,1,I280=21,2,J280=21,3,and(H280=20,I280=22),1.5, and(I280=20,J280=22),2.5,H280&gt;21,0.5)</f>
        <v/>
      </c>
      <c r="L280" s="43">
        <f t="array" ref="L280">INDEX('Podium Target Times'!$C:$C, MATCH(A280&amp;B280, 'Podium Target Times'!$A:$A&amp;'Podium Target Times'!$B:$B, 0))
</f>
        <v/>
      </c>
      <c r="M280" s="64">
        <f>IFS(K280=0.5,L280,K280=1,U276+(F278-F281), K280=1.5, M281+(F279-F282), K280=2, M281+(F279-F282), K280=2.5, M281+(F280-F283), K280=3, M281+(F280-F283))</f>
        <v/>
      </c>
      <c r="N280" s="43">
        <f>IF(M280&lt;60, TEXT(M280, "0.00"), TEXT(M280/(24*60*60), "M:SS.00"))</f>
        <v/>
      </c>
      <c r="O280" s="14">
        <f>IFERROR(__xludf.DUMMYFUNCTION("LET(
  gen,$A280, ev,$B280, t,$N280,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P280" s="65" t="n"/>
      <c r="Q280" s="65" t="n"/>
      <c r="R280" s="69" t="n"/>
      <c r="S280" s="65" t="n"/>
      <c r="T280" s="69" t="n"/>
      <c r="U280" s="58" t="n"/>
      <c r="V280" s="69" t="n"/>
      <c r="W280" s="65" t="n"/>
      <c r="X280" s="65" t="n"/>
      <c r="Y280" s="65" t="n"/>
    </row>
    <row r="281">
      <c r="A281" s="17" t="inlineStr">
        <is>
          <t>F</t>
        </is>
      </c>
      <c r="B281" s="18" t="inlineStr">
        <is>
          <t>50 Free</t>
        </is>
      </c>
      <c r="C281" s="18" t="n">
        <v>20</v>
      </c>
      <c r="D281" s="18" t="n">
        <v>1</v>
      </c>
      <c r="E281" s="46" t="inlineStr">
        <is>
          <t>24.86</t>
        </is>
      </c>
      <c r="F281" s="21">
        <f>IFERROR(__xludf.DUMMYFUNCTION("IF(
  REGEXMATCH(E281, "":""),
  60*VALUE(INDEX(SPLIT(E281, "":""),1,1)) + VALUE(INDEX(SPLIT(E281, "":""),1,2)),
  VALUE(E281)
)"),24.86)</f>
        <v/>
      </c>
      <c r="G281" s="211">
        <f>C272</f>
        <v/>
      </c>
      <c r="H281" s="211">
        <f>C281</f>
        <v/>
      </c>
      <c r="I281" s="211">
        <f>C286</f>
        <v/>
      </c>
      <c r="J281" s="211">
        <f>C289</f>
        <v/>
      </c>
      <c r="K281" s="60">
        <f>IFS(H281=21,1,I281=21,2,J281=21,3,and(H281=20,I281=22),1.5, and(I281=20,J281=22),2.5,H281&gt;21,0.5)</f>
        <v/>
      </c>
      <c r="L281" s="60">
        <f t="array" ref="L281">INDEX('Podium Target Times'!$C:$C, MATCH(A281&amp;B281, 'Podium Target Times'!$A:$A&amp;'Podium Target Times'!$B:$B, 0))
</f>
        <v/>
      </c>
      <c r="M281" s="66">
        <f>IFS(K281=0.5,L281,K281=1,L281, K281=1.5, M284+(F282-F284), K281=2, M284+(F282-F284), K281=2.5, M284+(F283-F285), K281=3, M284+(F283-F285))</f>
        <v/>
      </c>
      <c r="N281" s="60">
        <f>IF(M281&lt;60, TEXT(M281, "0.00"), TEXT(M281/(24*60*60), "M:SS.00"))</f>
        <v/>
      </c>
      <c r="O281" s="25">
        <f>IFERROR(__xludf.DUMMYFUNCTION("LET(
  gen,$A281, ev,$B281, t,$N281,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
      </c>
      <c r="P281" s="65" t="n"/>
      <c r="Q281" s="65" t="n"/>
      <c r="R281" s="69" t="n"/>
      <c r="S281" s="65" t="n"/>
      <c r="T281" s="69" t="n"/>
      <c r="U281" s="58" t="n"/>
      <c r="V281" s="69" t="n"/>
      <c r="W281" s="65" t="n"/>
      <c r="X281" s="65" t="n"/>
      <c r="Y281" s="65" t="n"/>
    </row>
    <row r="282">
      <c r="A282" s="8" t="inlineStr">
        <is>
          <t>F</t>
        </is>
      </c>
      <c r="B282" s="9" t="inlineStr">
        <is>
          <t>50 Free</t>
        </is>
      </c>
      <c r="C282" s="9" t="n">
        <v>20</v>
      </c>
      <c r="D282" s="9" t="n">
        <v>2</v>
      </c>
      <c r="E282" s="41" t="inlineStr">
        <is>
          <t>25.14</t>
        </is>
      </c>
      <c r="F282" s="35">
        <f>IFERROR(__xludf.DUMMYFUNCTION("IF(
  REGEXMATCH(E282, "":""),
  60*VALUE(INDEX(SPLIT(E282, "":""),1,1)) + VALUE(INDEX(SPLIT(E282, "":""),1,2)),
  VALUE(E282)
)"),25.14)</f>
        <v/>
      </c>
      <c r="G282" s="215">
        <f>C272</f>
        <v/>
      </c>
      <c r="H282" s="215">
        <f>C281</f>
        <v/>
      </c>
      <c r="I282" s="215">
        <f>C286</f>
        <v/>
      </c>
      <c r="J282" s="215">
        <f>C289</f>
        <v/>
      </c>
      <c r="K282" s="43">
        <f>IFS(H282=21,1,I282=21,2,J282=21,3,and(H282=20,I282=22),1.5, and(I282=20,J282=22),2.5,H282&gt;21,0.5)</f>
        <v/>
      </c>
      <c r="L282" s="43">
        <f t="array" ref="L282">INDEX('Podium Target Times'!$C:$C, MATCH(A282&amp;B282, 'Podium Target Times'!$A:$A&amp;'Podium Target Times'!$B:$B, 0))
</f>
        <v/>
      </c>
      <c r="M282" s="64">
        <f>IFS(K282=0.5,L282,K282=1,L282, K282=1.5, M284+(F282-F284), K282=2, M284+(F282-F284), K282=2.5, M284+(F283-F285), K282=3, M284+(F283-F285))</f>
        <v/>
      </c>
      <c r="N282" s="43">
        <f>IF(M282&lt;60, TEXT(M282, "0.00"), TEXT(M282/(24*60*60), "M:SS.00"))</f>
        <v/>
      </c>
      <c r="O282" s="14">
        <f>IFERROR(__xludf.DUMMYFUNCTION("LET(
  gen,$A282, ev,$B282, t,$N282,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
      </c>
      <c r="P282" s="65" t="n"/>
      <c r="Q282" s="65" t="n"/>
      <c r="R282" s="69" t="n"/>
      <c r="S282" s="65" t="n"/>
      <c r="T282" s="69" t="n"/>
      <c r="U282" s="58" t="n"/>
      <c r="V282" s="69" t="n"/>
      <c r="W282" s="65" t="n"/>
      <c r="X282" s="65" t="n"/>
      <c r="Y282" s="65" t="n"/>
    </row>
    <row r="283">
      <c r="A283" s="17" t="inlineStr">
        <is>
          <t>F</t>
        </is>
      </c>
      <c r="B283" s="18" t="inlineStr">
        <is>
          <t>50 Free</t>
        </is>
      </c>
      <c r="C283" s="18" t="n">
        <v>20</v>
      </c>
      <c r="D283" s="18" t="n">
        <v>3</v>
      </c>
      <c r="E283" s="46" t="inlineStr">
        <is>
          <t>25.30</t>
        </is>
      </c>
      <c r="F283" s="21">
        <f>IFERROR(__xludf.DUMMYFUNCTION("IF(
  REGEXMATCH(E283, "":""),
  60*VALUE(INDEX(SPLIT(E283, "":""),1,1)) + VALUE(INDEX(SPLIT(E283, "":""),1,2)),
  VALUE(E283)
)"),25.3)</f>
        <v/>
      </c>
      <c r="G283" s="211">
        <f>C272</f>
        <v/>
      </c>
      <c r="H283" s="211">
        <f>C281</f>
        <v/>
      </c>
      <c r="I283" s="211">
        <f>C286</f>
        <v/>
      </c>
      <c r="J283" s="211">
        <f>C289</f>
        <v/>
      </c>
      <c r="K283" s="60">
        <f>IFS(H283=21,1,I283=21,2,J283=21,3,and(H283=20,I283=22),1.5, and(I283=20,J283=22),2.5,H283&gt;21,0.5)</f>
        <v/>
      </c>
      <c r="L283" s="60">
        <f t="array" ref="L283">INDEX('Podium Target Times'!$C:$C, MATCH(A283&amp;B283, 'Podium Target Times'!$A:$A&amp;'Podium Target Times'!$B:$B, 0))
</f>
        <v/>
      </c>
      <c r="M283" s="66">
        <f>IFS(K283=0.5,L283,K283=1,L283, K283=1.5, M284+(F282-F284), K283=2, M284+(F282-F284), K283=2.5, M284+(F283-F285), K283=3, M284+(F283-F285))</f>
        <v/>
      </c>
      <c r="N283" s="60">
        <f>IF(M283&lt;60, TEXT(M283, "0.00"), TEXT(M283/(24*60*60), "M:SS.00"))</f>
        <v/>
      </c>
      <c r="O283" s="25">
        <f>IFERROR(__xludf.DUMMYFUNCTION("LET(
  gen,$A283, ev,$B283, t,$N283,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)"),796.0)</f>
        <v/>
      </c>
      <c r="P283" s="65" t="n"/>
      <c r="Q283" s="65" t="n"/>
      <c r="R283" s="69" t="n"/>
      <c r="S283" s="65" t="n"/>
      <c r="T283" s="69" t="n"/>
      <c r="U283" s="58" t="n"/>
      <c r="V283" s="69" t="n"/>
      <c r="W283" s="65" t="n"/>
      <c r="X283" s="65" t="n"/>
      <c r="Y283" s="65" t="n"/>
    </row>
    <row r="284">
      <c r="A284" s="8" t="inlineStr">
        <is>
          <t>F</t>
        </is>
      </c>
      <c r="B284" s="9" t="inlineStr">
        <is>
          <t>50 Free</t>
        </is>
      </c>
      <c r="C284" s="9" t="n">
        <v>21</v>
      </c>
      <c r="D284" s="219" t="n">
        <v>2</v>
      </c>
      <c r="E284" s="41" t="inlineStr">
        <is>
          <t>24.99</t>
        </is>
      </c>
      <c r="F284" s="35">
        <f>IFERROR(__xludf.DUMMYFUNCTION("IF(
  REGEXMATCH(E284, "":""),
  60*VALUE(INDEX(SPLIT(E284, "":""),1,1)) + VALUE(INDEX(SPLIT(E284, "":""),1,2)),
  VALUE(E284)
)"),24.99)</f>
        <v/>
      </c>
      <c r="G284" s="215">
        <f>C272</f>
        <v/>
      </c>
      <c r="H284" s="215">
        <f>C281</f>
        <v/>
      </c>
      <c r="I284" s="215">
        <f>C286</f>
        <v/>
      </c>
      <c r="J284" s="215">
        <f>C289</f>
        <v/>
      </c>
      <c r="K284" s="43">
        <f>IFS(H284=21,1,I284=21,2,J284=21,3,and(H284=20,I284=22),1.5, and(I284=20,J284=22),2.5,H284&gt;21,0.5)</f>
        <v/>
      </c>
      <c r="L284" s="43">
        <f t="array" ref="L284">INDEX('Podium Target Times'!$C:$C, MATCH(A284&amp;B284, 'Podium Target Times'!$A:$A&amp;'Podium Target Times'!$B:$B, 0))
</f>
        <v/>
      </c>
      <c r="M284" s="64">
        <f>IFS(K284=0.5,L284,K284=1,L284, K284=1.5, L284, K284=2, M286+(F284-F286), K284=2.5, M286+(F285-F287), K284=3, M286+(F285-F287))</f>
        <v/>
      </c>
      <c r="N284" s="43">
        <f>IF(M284&lt;60, TEXT(M284, "0.00"), TEXT(M284/(24*60*60), "M:SS.00"))</f>
        <v/>
      </c>
      <c r="O284" s="14">
        <f>IFERROR(__xludf.DUMMYFUNCTION("LET(
  gen,$A284, ev,$B284, t,$N284,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284" s="65" t="n"/>
      <c r="Q284" s="65" t="n"/>
      <c r="R284" s="69" t="n"/>
      <c r="S284" s="65" t="n"/>
      <c r="T284" s="69" t="n"/>
      <c r="U284" s="58" t="n"/>
      <c r="V284" s="69" t="n"/>
      <c r="W284" s="65" t="n"/>
      <c r="X284" s="65" t="n"/>
      <c r="Y284" s="65" t="n"/>
    </row>
    <row r="285">
      <c r="A285" s="17" t="inlineStr">
        <is>
          <t>F</t>
        </is>
      </c>
      <c r="B285" s="18" t="inlineStr">
        <is>
          <t>50 Free</t>
        </is>
      </c>
      <c r="C285" s="18" t="n">
        <v>21</v>
      </c>
      <c r="D285" s="18" t="n">
        <v>3</v>
      </c>
      <c r="E285" s="46" t="inlineStr">
        <is>
          <t>25.15</t>
        </is>
      </c>
      <c r="F285" s="21">
        <f>IFERROR(__xludf.DUMMYFUNCTION("IF(
  REGEXMATCH(E285, "":""),
  60*VALUE(INDEX(SPLIT(E285, "":""),1,1)) + VALUE(INDEX(SPLIT(E285, "":""),1,2)),
  VALUE(E285)
)"),25.15)</f>
        <v/>
      </c>
      <c r="G285" s="211">
        <f>C272</f>
        <v/>
      </c>
      <c r="H285" s="211">
        <f>C281</f>
        <v/>
      </c>
      <c r="I285" s="211">
        <f>C286</f>
        <v/>
      </c>
      <c r="J285" s="211">
        <f>C289</f>
        <v/>
      </c>
      <c r="K285" s="60">
        <f>IFS(H285=21,1,I285=21,2,J285=21,3,and(H285=20,I285=22),1.5, and(I285=20,J285=22),2.5,H285&gt;21,0.5)</f>
        <v/>
      </c>
      <c r="L285" s="60">
        <f t="array" ref="L285">INDEX('Podium Target Times'!$C:$C, MATCH(A285&amp;B285, 'Podium Target Times'!$A:$A&amp;'Podium Target Times'!$B:$B, 0))
</f>
        <v/>
      </c>
      <c r="M285" s="66">
        <f>IFS(K285=0.5,L285,K285=1,L285, K285=1.5, L285, K285=2, M286+(F284-F286), K285=2.5, M286+(F285-F287), K285=3, M286+(F285-F287))</f>
        <v/>
      </c>
      <c r="N285" s="60">
        <f>IF(M285&lt;60, TEXT(M285, "0.00"), TEXT(M285/(24*60*60), "M:SS.00"))</f>
        <v/>
      </c>
      <c r="O285" s="25">
        <f>IFERROR(__xludf.DUMMYFUNCTION("LET(
  gen,$A285, ev,$B285, t,$N285,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285" s="65" t="n"/>
      <c r="Q285" s="65" t="n"/>
      <c r="R285" s="69" t="n"/>
      <c r="S285" s="65" t="n"/>
      <c r="T285" s="69" t="n"/>
      <c r="U285" s="58" t="n"/>
      <c r="V285" s="69" t="n"/>
      <c r="W285" s="65" t="n"/>
      <c r="X285" s="65" t="n"/>
      <c r="Y285" s="65" t="n"/>
    </row>
    <row r="286">
      <c r="A286" s="8" t="inlineStr">
        <is>
          <t>F</t>
        </is>
      </c>
      <c r="B286" s="9" t="inlineStr">
        <is>
          <t>50 Free</t>
        </is>
      </c>
      <c r="C286" s="9" t="n">
        <v>22</v>
      </c>
      <c r="D286" s="219" t="n">
        <v>2</v>
      </c>
      <c r="E286" s="41" t="inlineStr">
        <is>
          <t>24.86</t>
        </is>
      </c>
      <c r="F286" s="35">
        <f>IFERROR(__xludf.DUMMYFUNCTION("IF(
  REGEXMATCH(E286, "":""),
  60*VALUE(INDEX(SPLIT(E286, "":""),1,1)) + VALUE(INDEX(SPLIT(E286, "":""),1,2)),
  VALUE(E286)
)"),24.86)</f>
        <v/>
      </c>
      <c r="G286" s="215">
        <f>C272</f>
        <v/>
      </c>
      <c r="H286" s="215">
        <f>C281</f>
        <v/>
      </c>
      <c r="I286" s="215">
        <f>C286</f>
        <v/>
      </c>
      <c r="J286" s="215">
        <f>C289</f>
        <v/>
      </c>
      <c r="K286" s="43">
        <f>IFS(H286=21,1,I286=21,2,J286=21,3,and(H286=20,I286=22),1.5, and(I286=20,J286=22),2.5,H286&gt;21,0.5)</f>
        <v/>
      </c>
      <c r="L286" s="43">
        <f t="array" ref="L286">INDEX('Podium Target Times'!$C:$C, MATCH(A286&amp;B286, 'Podium Target Times'!$A:$A&amp;'Podium Target Times'!$B:$B, 0))
</f>
        <v/>
      </c>
      <c r="M286" s="64">
        <f>IFS(K286=0.5,L286,K286=1,L286, K286=1.5, L286, K286=2,L289, K286=2.5, M288+(F287-F288), K286=3,  M288+(F287-F288))</f>
        <v/>
      </c>
      <c r="N286" s="43">
        <f>IF(M286&lt;60, TEXT(M286, "0.00"), TEXT(M286/(24*60*60), "M:SS.00"))</f>
        <v/>
      </c>
      <c r="O286" s="14">
        <f>IFERROR(__xludf.DUMMYFUNCTION("LET(
  gen,$A286, ev,$B286, t,$N286,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286" s="65" t="n"/>
      <c r="Q286" s="65" t="n"/>
      <c r="R286" s="69" t="n"/>
      <c r="S286" s="65" t="n"/>
      <c r="T286" s="69" t="n"/>
      <c r="U286" s="58" t="n"/>
      <c r="V286" s="69" t="n"/>
      <c r="W286" s="65" t="n"/>
      <c r="X286" s="65" t="n"/>
      <c r="Y286" s="65" t="n"/>
    </row>
    <row r="287">
      <c r="A287" s="17" t="inlineStr">
        <is>
          <t>F</t>
        </is>
      </c>
      <c r="B287" s="18" t="inlineStr">
        <is>
          <t>50 Free</t>
        </is>
      </c>
      <c r="C287" s="18" t="n">
        <v>22</v>
      </c>
      <c r="D287" s="18" t="n">
        <v>3</v>
      </c>
      <c r="E287" s="46" t="inlineStr">
        <is>
          <t>25.02</t>
        </is>
      </c>
      <c r="F287" s="21">
        <f>IFERROR(__xludf.DUMMYFUNCTION("IF(
  REGEXMATCH(E287, "":""),
  60*VALUE(INDEX(SPLIT(E287, "":""),1,1)) + VALUE(INDEX(SPLIT(E287, "":""),1,2)),
  VALUE(E287)
)"),25.02)</f>
        <v/>
      </c>
      <c r="G287" s="211">
        <f>C272</f>
        <v/>
      </c>
      <c r="H287" s="211">
        <f>C281</f>
        <v/>
      </c>
      <c r="I287" s="211">
        <f>C286</f>
        <v/>
      </c>
      <c r="J287" s="211">
        <f>C289</f>
        <v/>
      </c>
      <c r="K287" s="60">
        <f>IFS(H287=21,1,I287=21,2,J287=21,3,and(H287=20,I287=22),1.5, and(I287=20,J287=22),2.5,H287&gt;21,0.5)</f>
        <v/>
      </c>
      <c r="L287" s="60">
        <f t="array" ref="L287">INDEX('Podium Target Times'!$C:$C, MATCH(A287&amp;B287, 'Podium Target Times'!$A:$A&amp;'Podium Target Times'!$B:$B, 0))
</f>
        <v/>
      </c>
      <c r="M287" s="66">
        <f>IFS(K287=0.5,L287,K287=1,L287, K287=1.5, L287, K287=2, L289, K287=2.5, M288+(F287-F288), K287=3, M288+(F287-F288))</f>
        <v/>
      </c>
      <c r="N287" s="60">
        <f>IF(M287&lt;60, TEXT(M287, "0.00"), TEXT(M287/(24*60*60), "M:SS.00"))</f>
        <v/>
      </c>
      <c r="O287" s="25">
        <f>IFERROR(__xludf.DUMMYFUNCTION("LET(
  gen,$A287, ev,$B287, t,$N287,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287" s="65" t="n"/>
      <c r="Q287" s="65" t="n"/>
      <c r="R287" s="69" t="n"/>
      <c r="S287" s="65" t="n"/>
      <c r="T287" s="69" t="n"/>
      <c r="U287" s="58" t="n"/>
      <c r="V287" s="69" t="n"/>
      <c r="W287" s="65" t="n"/>
      <c r="X287" s="65" t="n"/>
      <c r="Y287" s="65" t="n"/>
    </row>
    <row r="288">
      <c r="A288" s="8" t="inlineStr">
        <is>
          <t>F</t>
        </is>
      </c>
      <c r="B288" s="9" t="inlineStr">
        <is>
          <t>50 Free</t>
        </is>
      </c>
      <c r="C288" s="9" t="n">
        <v>23</v>
      </c>
      <c r="D288" s="9" t="n">
        <v>3</v>
      </c>
      <c r="E288" s="41" t="inlineStr">
        <is>
          <t>24.93</t>
        </is>
      </c>
      <c r="F288" s="35">
        <f>IFERROR(__xludf.DUMMYFUNCTION("IF(
  REGEXMATCH(E288, "":""),
  60*VALUE(INDEX(SPLIT(E288, "":""),1,1)) + VALUE(INDEX(SPLIT(E288, "":""),1,2)),
  VALUE(E288)
)"),24.93)</f>
        <v/>
      </c>
      <c r="G288" s="215">
        <f>C272</f>
        <v/>
      </c>
      <c r="H288" s="215">
        <f>C281</f>
        <v/>
      </c>
      <c r="I288" s="215">
        <f>C286</f>
        <v/>
      </c>
      <c r="J288" s="215">
        <f>C289</f>
        <v/>
      </c>
      <c r="K288" s="43">
        <f>IFS(H288=21,1,I288=21,2,J288=21,3,and(H288=20,I288=22),1.5, and(I288=20,J288=22),2.5,H288&gt;21,0.5)</f>
        <v/>
      </c>
      <c r="L288" s="43">
        <f t="array" ref="L288">INDEX('Podium Target Times'!$C:$C, MATCH(A288&amp;B288, 'Podium Target Times'!$A:$A&amp;'Podium Target Times'!$B:$B, 0))
</f>
        <v/>
      </c>
      <c r="M288" s="64">
        <f>IFS(K288=0.5,L288,K288=1,L288, K288=1.5, L288, K288=2, L289, K288=2.5, L289, K288=3, M289+(F288-F289))</f>
        <v/>
      </c>
      <c r="N288" s="43">
        <f>IF(M288&lt;60, TEXT(M288, "0.00"), TEXT(M288/(24*60*60), "M:SS.00"))</f>
        <v/>
      </c>
      <c r="O288" s="14">
        <f>IFERROR(__xludf.DUMMYFUNCTION("LET(
  gen,$A288, ev,$B288, t,$N288,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288" s="65" t="n"/>
      <c r="Q288" s="65" t="n"/>
      <c r="R288" s="69" t="n"/>
      <c r="S288" s="65" t="n"/>
      <c r="T288" s="69" t="n"/>
      <c r="U288" s="58" t="n"/>
      <c r="V288" s="69" t="n"/>
      <c r="W288" s="65" t="n"/>
      <c r="X288" s="65" t="n"/>
      <c r="Y288" s="65" t="n"/>
    </row>
    <row r="289">
      <c r="A289" s="17" t="inlineStr">
        <is>
          <t>F</t>
        </is>
      </c>
      <c r="B289" s="18" t="inlineStr">
        <is>
          <t>50 Free</t>
        </is>
      </c>
      <c r="C289" s="18" t="n">
        <v>24</v>
      </c>
      <c r="D289" s="18" t="n">
        <v>3</v>
      </c>
      <c r="E289" s="46" t="inlineStr">
        <is>
          <t>24.86</t>
        </is>
      </c>
      <c r="F289" s="21">
        <f>IFERROR(__xludf.DUMMYFUNCTION("IF(
  REGEXMATCH(E289, "":""),
  60*VALUE(INDEX(SPLIT(E289, "":""),1,1)) + VALUE(INDEX(SPLIT(E289, "":""),1,2)),
  VALUE(E289)
)"),24.86)</f>
        <v/>
      </c>
      <c r="G289" s="211">
        <f>C272</f>
        <v/>
      </c>
      <c r="H289" s="211">
        <f>C281</f>
        <v/>
      </c>
      <c r="I289" s="211">
        <f>C286</f>
        <v/>
      </c>
      <c r="J289" s="211">
        <f>C289</f>
        <v/>
      </c>
      <c r="K289" s="60">
        <f>IFS(H289=21,1,I289=21,2,J289=21,3,and(H289=20,I289=22),1.5, and(I289=20,J289=22),2.5,H289&gt;21,0.5)</f>
        <v/>
      </c>
      <c r="L289" s="60">
        <f t="array" ref="L289">INDEX('Podium Target Times'!$C:$C, MATCH(A289&amp;B289, 'Podium Target Times'!$A:$A&amp;'Podium Target Times'!$B:$B, 0))
</f>
        <v/>
      </c>
      <c r="M289" s="66">
        <f>IFS(K289=0.5,L289,K289=1,L289, K289=1.5, L289, K289=2, L289, K289=2.5, L289, K289=3, L289)</f>
        <v/>
      </c>
      <c r="N289" s="60">
        <f>IF(M289&lt;60, TEXT(M289, "0.00"), TEXT(M289/(24*60*60), "M:SS.00"))</f>
        <v/>
      </c>
      <c r="O289" s="25">
        <f>IFERROR(__xludf.DUMMYFUNCTION("LET(
  gen,$A289, ev,$B289, t,$N289,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289" s="65" t="n"/>
      <c r="Q289" s="65" t="n"/>
      <c r="R289" s="69" t="n"/>
      <c r="S289" s="65" t="n"/>
      <c r="T289" s="69" t="n"/>
      <c r="U289" s="58" t="n"/>
      <c r="V289" s="69" t="n"/>
      <c r="W289" s="65" t="n"/>
      <c r="X289" s="65" t="n"/>
      <c r="Y289" s="65" t="n"/>
    </row>
    <row r="290">
      <c r="A290" s="8" t="inlineStr">
        <is>
          <t>F</t>
        </is>
      </c>
      <c r="B290" s="9" t="inlineStr">
        <is>
          <t>800 Free</t>
        </is>
      </c>
      <c r="C290" s="9" t="n">
        <v>14</v>
      </c>
      <c r="D290" s="9" t="n">
        <v>1</v>
      </c>
      <c r="E290" s="43" t="inlineStr">
        <is>
          <t>9:04.09</t>
        </is>
      </c>
      <c r="F290" s="35">
        <f>IFERROR(__xludf.DUMMYFUNCTION("IF(
  REGEXMATCH(E290, "":""),
  60*VALUE(INDEX(SPLIT(E290, "":""),1,1)) + VALUE(INDEX(SPLIT(E290, "":""),1,2)),
  VALUE(E290)
)"),544.09)</f>
        <v/>
      </c>
      <c r="G290" s="43">
        <f>C290</f>
        <v/>
      </c>
      <c r="H290" s="43">
        <f>C299</f>
        <v/>
      </c>
      <c r="I290" s="43">
        <f>C304</f>
        <v/>
      </c>
      <c r="J290" s="43">
        <f>C307</f>
        <v/>
      </c>
      <c r="K290" s="43">
        <f>IFS(H290=21,1,I290=21,2,J290=21,3,and(H290=20,I290=22),1.5, and(I290=20,J290=22),2.5,H290&gt;21,0.5)</f>
        <v/>
      </c>
      <c r="L290" s="43">
        <f t="array" ref="L290">INDEX('Podium Target Times'!$C:$C, MATCH(A290&amp;B290, 'Podium Target Times'!$A:$A&amp;'Podium Target Times'!$B:$B, 0))
</f>
        <v/>
      </c>
      <c r="M290" s="64">
        <f>IFS(K290=0.5,M291+(F290-F291),K290=1,M291+(F290-F291), K290=1.5, M291+(F290-F291), K290=2, M291+(F290-F291), K290=2.5, M291+(F290-F291), K290=3, M291+(F290-F291))</f>
        <v/>
      </c>
      <c r="N290" s="43">
        <f>IF(M290&lt;60, TEXT(M290, "0.00"), TEXT(M290/(24*60*60), "M:SS.00"))</f>
        <v/>
      </c>
      <c r="O290" s="14">
        <f>IFERROR(__xludf.DUMMYFUNCTION("LET(
  gen,$A290, ev,$B290, t,$N290,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)"),618.0)</f>
        <v/>
      </c>
      <c r="P290" s="65" t="n"/>
      <c r="Q290" s="65" t="n"/>
      <c r="R290" s="69">
        <f>A290</f>
        <v/>
      </c>
      <c r="S290" s="65">
        <f>B290</f>
        <v/>
      </c>
      <c r="T290" s="69">
        <f>C290</f>
        <v/>
      </c>
      <c r="U290" s="58">
        <f>N290</f>
        <v/>
      </c>
      <c r="V290" s="69">
        <f>O290</f>
        <v/>
      </c>
      <c r="W290" s="65" t="n"/>
      <c r="X290" s="65" t="n"/>
      <c r="Y290" s="65" t="n"/>
    </row>
    <row r="291">
      <c r="A291" s="17" t="inlineStr">
        <is>
          <t>F</t>
        </is>
      </c>
      <c r="B291" s="18" t="inlineStr">
        <is>
          <t>800 Free</t>
        </is>
      </c>
      <c r="C291" s="18" t="n">
        <v>15</v>
      </c>
      <c r="D291" s="18" t="n">
        <v>1</v>
      </c>
      <c r="E291" s="60" t="inlineStr">
        <is>
          <t>8:51.31</t>
        </is>
      </c>
      <c r="F291" s="21">
        <f>IFERROR(__xludf.DUMMYFUNCTION("IF(
  REGEXMATCH(E291, "":""),
  60*VALUE(INDEX(SPLIT(E291, "":""),1,1)) + VALUE(INDEX(SPLIT(E291, "":""),1,2)),
  VALUE(E291)
)"),531.31)</f>
        <v/>
      </c>
      <c r="G291" s="211">
        <f>C290</f>
        <v/>
      </c>
      <c r="H291" s="211">
        <f>C299</f>
        <v/>
      </c>
      <c r="I291" s="211">
        <f>C304</f>
        <v/>
      </c>
      <c r="J291" s="211">
        <f>C307</f>
        <v/>
      </c>
      <c r="K291" s="60">
        <f>IFS(H291=21,1,I291=21,2,J291=21,3,and(H291=20,I291=22),1.5, and(I291=20,J291=22),2.5,H291&gt;21,0.5)</f>
        <v/>
      </c>
      <c r="L291" s="60">
        <f t="array" ref="L291">INDEX('Podium Target Times'!$C:$C, MATCH(A291&amp;B291, 'Podium Target Times'!$A:$A&amp;'Podium Target Times'!$B:$B, 0))
</f>
        <v/>
      </c>
      <c r="M291" s="66">
        <f>IFS(K291=0.5,M292+(F291-F293),K291=1,M292+(F291-F293), K291=1.5, M293+(F292-F294), K291=2, M293+(F292-F294), K291=2.5, M293+(F292-F294), K291=3, M293+(F292-F294))</f>
        <v/>
      </c>
      <c r="N291" s="60">
        <f>IF(M291&lt;60, TEXT(M291, "0.00"), TEXT(M291/(24*60*60), "M:SS.00"))</f>
        <v/>
      </c>
      <c r="O291" s="25">
        <f>IFERROR(__xludf.DUMMYFUNCTION("LET(
  gen,$A291, ev,$B291, t,$N291,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)"),662.0)</f>
        <v/>
      </c>
      <c r="P291" s="65" t="n"/>
      <c r="Q291" s="65" t="n"/>
      <c r="R291" s="69">
        <f>A291</f>
        <v/>
      </c>
      <c r="S291" s="65">
        <f>B291</f>
        <v/>
      </c>
      <c r="T291" s="69">
        <f>C291</f>
        <v/>
      </c>
      <c r="U291" s="58">
        <f>N291</f>
        <v/>
      </c>
      <c r="V291" s="69">
        <f>O291</f>
        <v/>
      </c>
      <c r="W291" s="65" t="n"/>
      <c r="X291" s="65" t="n"/>
      <c r="Y291" s="65" t="n"/>
    </row>
    <row r="292">
      <c r="A292" s="8" t="inlineStr">
        <is>
          <t>F</t>
        </is>
      </c>
      <c r="B292" s="9" t="inlineStr">
        <is>
          <t>800 Free</t>
        </is>
      </c>
      <c r="C292" s="9" t="n">
        <v>15</v>
      </c>
      <c r="D292" s="9" t="n">
        <v>2</v>
      </c>
      <c r="E292" s="43" t="inlineStr">
        <is>
          <t>8:54.21</t>
        </is>
      </c>
      <c r="F292" s="35">
        <f>IFERROR(__xludf.DUMMYFUNCTION("IF(
  REGEXMATCH(E292, "":""),
  60*VALUE(INDEX(SPLIT(E292, "":""),1,1)) + VALUE(INDEX(SPLIT(E292, "":""),1,2)),
  VALUE(E292)
)"),534.21)</f>
        <v/>
      </c>
      <c r="G292" s="215">
        <f>C290</f>
        <v/>
      </c>
      <c r="H292" s="215">
        <f>C299</f>
        <v/>
      </c>
      <c r="I292" s="215">
        <f>C304</f>
        <v/>
      </c>
      <c r="J292" s="215">
        <f>C307</f>
        <v/>
      </c>
      <c r="K292" s="43">
        <f>IFS(H292=21,1,I292=21,2,J292=21,3,and(H292=20,I292=22),1.5, and(I292=20,J292=22),2.5,H292&gt;21,0.5)</f>
        <v/>
      </c>
      <c r="L292" s="43">
        <f t="array" ref="L292">INDEX('Podium Target Times'!$C:$C, MATCH(A292&amp;B292, 'Podium Target Times'!$A:$A&amp;'Podium Target Times'!$B:$B, 0))
</f>
        <v/>
      </c>
      <c r="M292" s="64">
        <f>IFS(K292=0.5,M293+(F292-F295),K292=1,M293+(F292-F295), K292=1.5, M293+(F292-F294), K292=2, M293+(F292-F294), K292=2.5, M293+(F292-F294), K292=3, M293+(F292-F294))</f>
        <v/>
      </c>
      <c r="N292" s="43">
        <f>IF(M292&lt;60, TEXT(M292, "0.00"), TEXT(M292/(24*60*60), "M:SS.00"))</f>
        <v/>
      </c>
      <c r="O292" s="14">
        <f>IFERROR(__xludf.DUMMYFUNCTION("LET(
  gen,$A292, ev,$B292, t,$N292,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)"),662.0)</f>
        <v/>
      </c>
      <c r="P292" s="65" t="n"/>
      <c r="Q292" s="65" t="n"/>
      <c r="R292" s="69">
        <f>A293</f>
        <v/>
      </c>
      <c r="S292" s="65">
        <f>B293</f>
        <v/>
      </c>
      <c r="T292" s="69">
        <f>C293</f>
        <v/>
      </c>
      <c r="U292" s="58">
        <f>N293</f>
        <v/>
      </c>
      <c r="V292" s="69">
        <f>O293</f>
        <v/>
      </c>
      <c r="W292" s="65" t="n"/>
      <c r="X292" s="65" t="n"/>
      <c r="Y292" s="65" t="n"/>
    </row>
    <row r="293">
      <c r="A293" s="17" t="inlineStr">
        <is>
          <t>F</t>
        </is>
      </c>
      <c r="B293" s="18" t="inlineStr">
        <is>
          <t>800 Free</t>
        </is>
      </c>
      <c r="C293" s="18" t="n">
        <v>16</v>
      </c>
      <c r="D293" s="18" t="n">
        <v>1</v>
      </c>
      <c r="E293" s="491" t="inlineStr">
        <is>
          <t>8:42.92</t>
        </is>
      </c>
      <c r="F293" s="21">
        <f>IFERROR(__xludf.DUMMYFUNCTION("IF(
  REGEXMATCH(E293, "":""),
  60*VALUE(INDEX(SPLIT(E293, "":""),1,1)) + VALUE(INDEX(SPLIT(E293, "":""),1,2)),
  VALUE(E293)
)"),522.92)</f>
        <v/>
      </c>
      <c r="G293" s="211">
        <f>C290</f>
        <v/>
      </c>
      <c r="H293" s="211">
        <f>C299</f>
        <v/>
      </c>
      <c r="I293" s="211">
        <f>C304</f>
        <v/>
      </c>
      <c r="J293" s="211">
        <f>C307</f>
        <v/>
      </c>
      <c r="K293" s="60">
        <f>IFS(H293=21,1,I293=21,2,J293=21,3,and(H293=20,I293=22),1.5, and(I293=20,J293=22),2.5,H293&gt;21,0.5)</f>
        <v/>
      </c>
      <c r="L293" s="60">
        <f t="array" ref="L293">INDEX('Podium Target Times'!$C:$C, MATCH(A293&amp;B293, 'Podium Target Times'!$A:$A&amp;'Podium Target Times'!$B:$B, 0))
</f>
        <v/>
      </c>
      <c r="M293" s="66">
        <f>IFS(K293=0.5,M294+(F293-F296),K293=1,M294+(F293-F296), K293=1.5, M296+(F294-F297), K293=2, M296+(F294-F297), K293=2.5, M296+(F295-F298), K293=3, M296+(F295-F298))</f>
        <v/>
      </c>
      <c r="N293" s="60">
        <f>IF(M293&lt;60, TEXT(M293, "0.00"), TEXT(M293/(24*60*60), "M:SS.00"))</f>
        <v/>
      </c>
      <c r="O293" s="25">
        <f>IFERROR(__xludf.DUMMYFUNCTION("LET(
  gen,$A293, ev,$B293, t,$N293,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
      </c>
      <c r="P293" s="65" t="n"/>
      <c r="Q293" s="65" t="n"/>
      <c r="R293" s="69">
        <f>A296</f>
        <v/>
      </c>
      <c r="S293" s="65">
        <f>B296</f>
        <v/>
      </c>
      <c r="T293" s="69">
        <f>C296</f>
        <v/>
      </c>
      <c r="U293" s="58">
        <f>N296</f>
        <v/>
      </c>
      <c r="V293" s="69">
        <f>O296</f>
        <v/>
      </c>
      <c r="W293" s="65" t="n"/>
      <c r="X293" s="65" t="n"/>
      <c r="Y293" s="65" t="n"/>
    </row>
    <row r="294">
      <c r="A294" s="8" t="inlineStr">
        <is>
          <t>F</t>
        </is>
      </c>
      <c r="B294" s="9" t="inlineStr">
        <is>
          <t>800 Free</t>
        </is>
      </c>
      <c r="C294" s="9" t="n">
        <v>16</v>
      </c>
      <c r="D294" s="219" t="n">
        <v>2</v>
      </c>
      <c r="E294" s="41" t="inlineStr">
        <is>
          <t>8:45.77</t>
        </is>
      </c>
      <c r="F294" s="35">
        <f>IFERROR(__xludf.DUMMYFUNCTION("IF(
  REGEXMATCH(E294, "":""),
  60*VALUE(INDEX(SPLIT(E294, "":""),1,1)) + VALUE(INDEX(SPLIT(E294, "":""),1,2)),
  VALUE(E294)
)"),525.77)</f>
        <v/>
      </c>
      <c r="G294" s="215">
        <f>C290</f>
        <v/>
      </c>
      <c r="H294" s="215">
        <f>C299</f>
        <v/>
      </c>
      <c r="I294" s="215">
        <f>C304</f>
        <v/>
      </c>
      <c r="J294" s="215">
        <f>C307</f>
        <v/>
      </c>
      <c r="K294" s="43">
        <f>IFS(H294=21,1,I294=21,2,J294=21,3,and(H294=20,I294=22),1.5, and(I294=20,J294=22),2.5,H294&gt;21,0.5)</f>
        <v/>
      </c>
      <c r="L294" s="43">
        <f t="array" ref="L294">INDEX('Podium Target Times'!$C:$C, MATCH(A294&amp;B294, 'Podium Target Times'!$A:$A&amp;'Podium Target Times'!$B:$B, 0))
</f>
        <v/>
      </c>
      <c r="M294" s="64">
        <f>IFS(K294=0.5,M295+(F293-F296),K294=1,M295+(F293-F296), K294=1.5, M296+(F294-F297), K294=2, M296+(F294-F297), K294=2.5, M296+(F295-F298), K294=3, M296+(F295-F298))</f>
        <v/>
      </c>
      <c r="N294" s="43">
        <f>IF(M294&lt;60, TEXT(M294, "0.00"), TEXT(M294/(24*60*60), "M:SS.00"))</f>
        <v/>
      </c>
      <c r="O294" s="14">
        <f>IFERROR(__xludf.DUMMYFUNCTION("LET(
  gen,$A294, ev,$B294, t,$N294,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
      </c>
      <c r="P294" s="65" t="n"/>
      <c r="Q294" s="65" t="n"/>
      <c r="R294" s="69">
        <f>A299</f>
        <v/>
      </c>
      <c r="S294" s="65">
        <f>B299</f>
        <v/>
      </c>
      <c r="T294" s="69">
        <f>C299</f>
        <v/>
      </c>
      <c r="U294" s="58">
        <f>N299</f>
        <v/>
      </c>
      <c r="V294" s="69">
        <f>O299</f>
        <v/>
      </c>
      <c r="W294" s="65" t="n"/>
      <c r="X294" s="65" t="n"/>
      <c r="Y294" s="65" t="n"/>
    </row>
    <row r="295">
      <c r="A295" s="17" t="inlineStr">
        <is>
          <t>F</t>
        </is>
      </c>
      <c r="B295" s="18" t="inlineStr">
        <is>
          <t>800 Free</t>
        </is>
      </c>
      <c r="C295" s="18" t="n">
        <v>16</v>
      </c>
      <c r="D295" s="18" t="n">
        <v>3</v>
      </c>
      <c r="E295" s="46" t="inlineStr">
        <is>
          <t>8:46.60</t>
        </is>
      </c>
      <c r="F295" s="21">
        <f>IFERROR(__xludf.DUMMYFUNCTION("IF(
  REGEXMATCH(E295, "":""),
  60*VALUE(INDEX(SPLIT(E295, "":""),1,1)) + VALUE(INDEX(SPLIT(E295, "":""),1,2)),
  VALUE(E295)
)"),526.6)</f>
        <v/>
      </c>
      <c r="G295" s="211">
        <f>C290</f>
        <v/>
      </c>
      <c r="H295" s="211">
        <f>C299</f>
        <v/>
      </c>
      <c r="I295" s="211">
        <f>C304</f>
        <v/>
      </c>
      <c r="J295" s="211">
        <f>C307</f>
        <v/>
      </c>
      <c r="K295" s="60">
        <f>IFS(H295=21,1,I295=21,2,J295=21,3,and(H295=20,I295=22),1.5, and(I295=20,J295=22),2.5,H295&gt;21,0.5)</f>
        <v/>
      </c>
      <c r="L295" s="60">
        <f t="array" ref="L295">INDEX('Podium Target Times'!$C:$C, MATCH(A295&amp;B295, 'Podium Target Times'!$A:$A&amp;'Podium Target Times'!$B:$B, 0))
</f>
        <v/>
      </c>
      <c r="M295" s="66">
        <f>IFS(K295=0.5,M296+(F293-F296),K295=1,M296+(F293-F296), K295=1.5, M296+(F294-F297), K295=2, M296+(F294-F297), K295=2.5, M296+(F295-F298), K295=3, M296+(F295-F298))</f>
        <v/>
      </c>
      <c r="N295" s="60">
        <f>IF(M295&lt;60, TEXT(M295, "0.00"), TEXT(M295/(24*60*60), "M:SS.00"))</f>
        <v/>
      </c>
      <c r="O295" s="25">
        <f>IFERROR(__xludf.DUMMYFUNCTION("LET(
  gen,$A295, ev,$B295, t,$N295,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)"),693.0)</f>
        <v/>
      </c>
      <c r="P295" s="65" t="n"/>
      <c r="Q295" s="65" t="n"/>
      <c r="R295" s="69">
        <f>A302</f>
        <v/>
      </c>
      <c r="S295" s="65">
        <f>B302</f>
        <v/>
      </c>
      <c r="T295" s="69">
        <f>C302</f>
        <v/>
      </c>
      <c r="U295" s="58">
        <f>N302</f>
        <v/>
      </c>
      <c r="V295" s="69">
        <f>O302</f>
        <v/>
      </c>
      <c r="W295" s="65" t="n"/>
      <c r="X295" s="65" t="n"/>
      <c r="Y295" s="65" t="n"/>
    </row>
    <row r="296">
      <c r="A296" s="8" t="inlineStr">
        <is>
          <t>F</t>
        </is>
      </c>
      <c r="B296" s="9" t="inlineStr">
        <is>
          <t>800 Free</t>
        </is>
      </c>
      <c r="C296" s="9" t="n">
        <v>17</v>
      </c>
      <c r="D296" s="9" t="n">
        <v>1</v>
      </c>
      <c r="E296" s="483" t="inlineStr">
        <is>
          <t>8:37.81</t>
        </is>
      </c>
      <c r="F296" s="35">
        <f>IFERROR(__xludf.DUMMYFUNCTION("IF(
  REGEXMATCH(E296, "":""),
  60*VALUE(INDEX(SPLIT(E296, "":""),1,1)) + VALUE(INDEX(SPLIT(E296, "":""),1,2)),
  VALUE(E296)
)"),517.81)</f>
        <v/>
      </c>
      <c r="G296" s="215">
        <f>C290</f>
        <v/>
      </c>
      <c r="H296" s="215">
        <f>C299</f>
        <v/>
      </c>
      <c r="I296" s="215">
        <f>C304</f>
        <v/>
      </c>
      <c r="J296" s="215">
        <f>C307</f>
        <v/>
      </c>
      <c r="K296" s="43">
        <f>IFS(H296=21,1,I296=21,2,J296=21,3,and(H296=20,I296=22),1.5, and(I296=20,J296=22),2.5,H296&gt;21,0.5)</f>
        <v/>
      </c>
      <c r="L296" s="43">
        <f t="array" ref="L296">INDEX('Podium Target Times'!$C:$C, MATCH(A296&amp;B296, 'Podium Target Times'!$A:$A&amp;'Podium Target Times'!$B:$B, 0))
</f>
        <v/>
      </c>
      <c r="M296" s="64">
        <f>IFS(K296=0.5,L296,K296=1,U294+(F296-F299), K296=1.5, M299+(F297-F300), K296=2, M299+(F297-F300), K296=2.5, M299+(F298-F301), K296=3, M299+(F298-F301))</f>
        <v/>
      </c>
      <c r="N296" s="43">
        <f>IF(M296&lt;60, TEXT(M296, "0.00"), TEXT(M296/(24*60*60), "M:SS.00"))</f>
        <v/>
      </c>
      <c r="O296" s="14">
        <f>IFERROR(__xludf.DUMMYFUNCTION("LET(
  gen,$A296, ev,$B296, t,$N296,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
      </c>
      <c r="P296" s="65" t="n"/>
      <c r="Q296" s="65" t="n"/>
      <c r="R296" s="69">
        <f>A304</f>
        <v/>
      </c>
      <c r="S296" s="65">
        <f>B304</f>
        <v/>
      </c>
      <c r="T296" s="69">
        <f>C304</f>
        <v/>
      </c>
      <c r="U296" s="58">
        <f>N304</f>
        <v/>
      </c>
      <c r="V296" s="69">
        <f>O304</f>
        <v/>
      </c>
      <c r="W296" s="65" t="n"/>
      <c r="X296" s="65" t="n"/>
      <c r="Y296" s="65" t="n"/>
    </row>
    <row r="297">
      <c r="A297" s="17" t="inlineStr">
        <is>
          <t>F</t>
        </is>
      </c>
      <c r="B297" s="18" t="inlineStr">
        <is>
          <t>800 Free</t>
        </is>
      </c>
      <c r="C297" s="18" t="n">
        <v>17</v>
      </c>
      <c r="D297" s="18" t="n">
        <v>2</v>
      </c>
      <c r="E297" s="46" t="inlineStr">
        <is>
          <t>8:40.64</t>
        </is>
      </c>
      <c r="F297" s="21">
        <f>IFERROR(__xludf.DUMMYFUNCTION("IF(
  REGEXMATCH(E297, "":""),
  60*VALUE(INDEX(SPLIT(E297, "":""),1,1)) + VALUE(INDEX(SPLIT(E297, "":""),1,2)),
  VALUE(E297)
)"),520.64)</f>
        <v/>
      </c>
      <c r="G297" s="211">
        <f>C290</f>
        <v/>
      </c>
      <c r="H297" s="211">
        <f>C299</f>
        <v/>
      </c>
      <c r="I297" s="211">
        <f>C304</f>
        <v/>
      </c>
      <c r="J297" s="211">
        <f>C307</f>
        <v/>
      </c>
      <c r="K297" s="60">
        <f>IFS(H297=21,1,I297=21,2,J297=21,3,and(H297=20,I297=22),1.5, and(I297=20,J297=22),2.5,H297&gt;21,0.5)</f>
        <v/>
      </c>
      <c r="L297" s="60">
        <f t="array" ref="L297">INDEX('Podium Target Times'!$C:$C, MATCH(A297&amp;B297, 'Podium Target Times'!$A:$A&amp;'Podium Target Times'!$B:$B, 0))
</f>
        <v/>
      </c>
      <c r="M297" s="66">
        <f>IFS(K297=0.5,L297,K297=1,U294+(F296-F299), K297=1.5, M299+(F297-F300), K297=2, M299+(F297-F300), K297=2.5, M299+(F298-F301), K297=3, M299+(F298-F301))</f>
        <v/>
      </c>
      <c r="N297" s="60">
        <f>IF(M297&lt;60, TEXT(M297, "0.00"), TEXT(M297/(24*60*60), "M:SS.00"))</f>
        <v/>
      </c>
      <c r="O297" s="25">
        <f>IFERROR(__xludf.DUMMYFUNCTION("LET(
  gen,$A297, ev,$B297, t,$N297,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
      </c>
      <c r="P297" s="65" t="n"/>
      <c r="Q297" s="65" t="n"/>
      <c r="R297" s="69">
        <f>A306</f>
        <v/>
      </c>
      <c r="S297" s="65">
        <f>B306</f>
        <v/>
      </c>
      <c r="T297" s="69">
        <f>C306</f>
        <v/>
      </c>
      <c r="U297" s="58">
        <f>N306</f>
        <v/>
      </c>
      <c r="V297" s="69">
        <f>O306</f>
        <v/>
      </c>
      <c r="W297" s="65" t="n"/>
      <c r="X297" s="65" t="n"/>
      <c r="Y297" s="65" t="n"/>
    </row>
    <row r="298">
      <c r="A298" s="8" t="inlineStr">
        <is>
          <t>F</t>
        </is>
      </c>
      <c r="B298" s="9" t="inlineStr">
        <is>
          <t>800 Free</t>
        </is>
      </c>
      <c r="C298" s="9" t="n">
        <v>17</v>
      </c>
      <c r="D298" s="9" t="n">
        <v>3</v>
      </c>
      <c r="E298" s="41" t="inlineStr">
        <is>
          <t>8:41.46</t>
        </is>
      </c>
      <c r="F298" s="35">
        <f>IFERROR(__xludf.DUMMYFUNCTION("IF(
  REGEXMATCH(E298, "":""),
  60*VALUE(INDEX(SPLIT(E298, "":""),1,1)) + VALUE(INDEX(SPLIT(E298, "":""),1,2)),
  VALUE(E298)
)"),521.46)</f>
        <v/>
      </c>
      <c r="G298" s="215">
        <f>C290</f>
        <v/>
      </c>
      <c r="H298" s="215">
        <f>C299</f>
        <v/>
      </c>
      <c r="I298" s="215">
        <f>C304</f>
        <v/>
      </c>
      <c r="J298" s="215">
        <f>C307</f>
        <v/>
      </c>
      <c r="K298" s="43">
        <f>IFS(H298=21,1,I298=21,2,J298=21,3,and(H298=20,I298=22),1.5, and(I298=20,J298=22),2.5,H298&gt;21,0.5)</f>
        <v/>
      </c>
      <c r="L298" s="43">
        <f t="array" ref="L298">INDEX('Podium Target Times'!$C:$C, MATCH(A298&amp;B298, 'Podium Target Times'!$A:$A&amp;'Podium Target Times'!$B:$B, 0))
</f>
        <v/>
      </c>
      <c r="M298" s="64">
        <f>IFS(K298=0.5,L298,K298=1,U294+(F296-F299), K298=1.5, M299+(F297-F300), K298=2, M299+(F297-F300), K298=2.5, M299+(F298-F301), K298=3, M299+(F298-F301))</f>
        <v/>
      </c>
      <c r="N298" s="43">
        <f>IF(M298&lt;60, TEXT(M298, "0.00"), TEXT(M298/(24*60*60), "M:SS.00"))</f>
        <v/>
      </c>
      <c r="O298" s="14">
        <f>IFERROR(__xludf.DUMMYFUNCTION("LET(
  gen,$A298, ev,$B298, t,$N298,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
      </c>
      <c r="P298" s="65" t="n"/>
      <c r="Q298" s="65" t="n"/>
      <c r="R298" s="69" t="n"/>
      <c r="S298" s="65" t="n"/>
      <c r="T298" s="69" t="n"/>
      <c r="U298" s="58" t="n"/>
      <c r="V298" s="69" t="n"/>
      <c r="W298" s="65" t="n"/>
      <c r="X298" s="65" t="n"/>
      <c r="Y298" s="65" t="n"/>
    </row>
    <row r="299">
      <c r="A299" s="17" t="inlineStr">
        <is>
          <t>F</t>
        </is>
      </c>
      <c r="B299" s="18" t="inlineStr">
        <is>
          <t>800 Free</t>
        </is>
      </c>
      <c r="C299" s="18" t="n">
        <v>18</v>
      </c>
      <c r="D299" s="18" t="n">
        <v>1</v>
      </c>
      <c r="E299" s="46" t="inlineStr">
        <is>
          <t>8:34.62</t>
        </is>
      </c>
      <c r="F299" s="21">
        <f>IFERROR(__xludf.DUMMYFUNCTION("IF(
  REGEXMATCH(E299, "":""),
  60*VALUE(INDEX(SPLIT(E299, "":""),1,1)) + VALUE(INDEX(SPLIT(E299, "":""),1,2)),
  VALUE(E299)
)"),514.62)</f>
        <v/>
      </c>
      <c r="G299" s="211">
        <f>C290</f>
        <v/>
      </c>
      <c r="H299" s="211">
        <f>C299</f>
        <v/>
      </c>
      <c r="I299" s="211">
        <f>C304</f>
        <v/>
      </c>
      <c r="J299" s="211">
        <f>C307</f>
        <v/>
      </c>
      <c r="K299" s="60">
        <f>IFS(H299=21,1,I299=21,2,J299=21,3,and(H299=20,I299=22),1.5, and(I299=20,J299=22),2.5,H299&gt;21,0.5)</f>
        <v/>
      </c>
      <c r="L299" s="60">
        <f t="array" ref="L299">INDEX('Podium Target Times'!$C:$C, MATCH(A299&amp;B299, 'Podium Target Times'!$A:$A&amp;'Podium Target Times'!$B:$B, 0))
</f>
        <v/>
      </c>
      <c r="M299" s="66">
        <f>IFS(K299=0.5,L299,K299=1,L299, K299=1.5, M302+(F300-F302), K299=2, M302+(F300-F302), K299=2.5, M302+(F301-F303), K299=3, M302+(F301-F303))</f>
        <v/>
      </c>
      <c r="N299" s="60">
        <f>IF(M299&lt;60, TEXT(M299, "0.00"), TEXT(M299/(24*60*60), "M:SS.00"))</f>
        <v/>
      </c>
      <c r="O299" s="25">
        <f>IFERROR(__xludf.DUMMYFUNCTION("LET(
  gen,$A299, ev,$B299, t,$N299,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
      </c>
      <c r="P299" s="65" t="n"/>
      <c r="Q299" s="65" t="n"/>
      <c r="R299" s="69" t="n"/>
      <c r="S299" s="65" t="n"/>
      <c r="T299" s="69" t="n"/>
      <c r="U299" s="58" t="n"/>
      <c r="V299" s="69" t="n"/>
      <c r="W299" s="65" t="n"/>
      <c r="X299" s="65" t="n"/>
      <c r="Y299" s="65" t="n"/>
    </row>
    <row r="300">
      <c r="A300" s="8" t="inlineStr">
        <is>
          <t>F</t>
        </is>
      </c>
      <c r="B300" s="9" t="inlineStr">
        <is>
          <t>800 Free</t>
        </is>
      </c>
      <c r="C300" s="9" t="n">
        <v>18</v>
      </c>
      <c r="D300" s="9" t="n">
        <v>2</v>
      </c>
      <c r="E300" s="41" t="inlineStr">
        <is>
          <t>8:37.43</t>
        </is>
      </c>
      <c r="F300" s="35">
        <f>IFERROR(__xludf.DUMMYFUNCTION("IF(
  REGEXMATCH(E300, "":""),
  60*VALUE(INDEX(SPLIT(E300, "":""),1,1)) + VALUE(INDEX(SPLIT(E300, "":""),1,2)),
  VALUE(E300)
)"),517.43)</f>
        <v/>
      </c>
      <c r="G300" s="215">
        <f>C290</f>
        <v/>
      </c>
      <c r="H300" s="215">
        <f>C299</f>
        <v/>
      </c>
      <c r="I300" s="215">
        <f>C304</f>
        <v/>
      </c>
      <c r="J300" s="215">
        <f>C307</f>
        <v/>
      </c>
      <c r="K300" s="43">
        <f>IFS(H300=21,1,I300=21,2,J300=21,3,and(H300=20,I300=22),1.5, and(I300=20,J300=22),2.5,H300&gt;21,0.5)</f>
        <v/>
      </c>
      <c r="L300" s="43">
        <f t="array" ref="L300">INDEX('Podium Target Times'!$C:$C, MATCH(A300&amp;B300, 'Podium Target Times'!$A:$A&amp;'Podium Target Times'!$B:$B, 0))
</f>
        <v/>
      </c>
      <c r="M300" s="64">
        <f>IFS(K300=0.5,L300,K300=1,L300, K300=1.5, M302+(F300-F302), K300=2, M302+(F300-F302), K300=2.5, M302+(F301-F303), K300=3, M302+(F301-F303))</f>
        <v/>
      </c>
      <c r="N300" s="43">
        <f>IF(M300&lt;60, TEXT(M300, "0.00"), TEXT(M300/(24*60*60), "M:SS.00"))</f>
        <v/>
      </c>
      <c r="O300" s="14">
        <f>IFERROR(__xludf.DUMMYFUNCTION("LET(
  gen,$A300, ev,$B300, t,$N300,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
      </c>
      <c r="P300" s="65" t="n"/>
      <c r="Q300" s="65" t="n"/>
      <c r="R300" s="69" t="n"/>
      <c r="S300" s="65" t="n"/>
      <c r="T300" s="69" t="n"/>
      <c r="U300" s="58" t="n"/>
      <c r="V300" s="69" t="n"/>
      <c r="W300" s="65" t="n"/>
      <c r="X300" s="65" t="n"/>
      <c r="Y300" s="65" t="n"/>
    </row>
    <row r="301">
      <c r="A301" s="17" t="inlineStr">
        <is>
          <t>F</t>
        </is>
      </c>
      <c r="B301" s="18" t="inlineStr">
        <is>
          <t>800 Free</t>
        </is>
      </c>
      <c r="C301" s="18" t="n">
        <v>18</v>
      </c>
      <c r="D301" s="18" t="n">
        <v>3</v>
      </c>
      <c r="E301" s="46" t="inlineStr">
        <is>
          <t>8:38.25</t>
        </is>
      </c>
      <c r="F301" s="21">
        <f>IFERROR(__xludf.DUMMYFUNCTION("IF(
  REGEXMATCH(E301, "":""),
  60*VALUE(INDEX(SPLIT(E301, "":""),1,1)) + VALUE(INDEX(SPLIT(E301, "":""),1,2)),
  VALUE(E301)
)"),518.25)</f>
        <v/>
      </c>
      <c r="G301" s="211">
        <f>C290</f>
        <v/>
      </c>
      <c r="H301" s="211">
        <f>C299</f>
        <v/>
      </c>
      <c r="I301" s="211">
        <f>C304</f>
        <v/>
      </c>
      <c r="J301" s="211">
        <f>C307</f>
        <v/>
      </c>
      <c r="K301" s="60">
        <f>IFS(H301=21,1,I301=21,2,J301=21,3,and(H301=20,I301=22),1.5, and(I301=20,J301=22),2.5,H301&gt;21,0.5)</f>
        <v/>
      </c>
      <c r="L301" s="60">
        <f t="array" ref="L301">INDEX('Podium Target Times'!$C:$C, MATCH(A301&amp;B301, 'Podium Target Times'!$A:$A&amp;'Podium Target Times'!$B:$B, 0))
</f>
        <v/>
      </c>
      <c r="M301" s="66">
        <f>IFS(K301=0.5,L301,K301=1,L301, K301=1.5, M302+(F300-F302), K301=2, M302+(F300-F302), K301=2.5, M302+(F301-F303), K301=3, M302+(F301-F303))</f>
        <v/>
      </c>
      <c r="N301" s="60">
        <f>IF(M301&lt;60, TEXT(M301, "0.00"), TEXT(M301/(24*60*60), "M:SS.00"))</f>
        <v/>
      </c>
      <c r="O301" s="25">
        <f>IFERROR(__xludf.DUMMYFUNCTION("LET(
  gen,$A301, ev,$B301, t,$N301,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
      </c>
      <c r="P301" s="65" t="n"/>
      <c r="Q301" s="65" t="n"/>
      <c r="R301" s="69" t="n"/>
      <c r="S301" s="65" t="n"/>
      <c r="T301" s="69" t="n"/>
      <c r="U301" s="58" t="n"/>
      <c r="V301" s="69" t="n"/>
      <c r="W301" s="65" t="n"/>
      <c r="X301" s="65" t="n"/>
      <c r="Y301" s="65" t="n"/>
    </row>
    <row r="302">
      <c r="A302" s="8" t="inlineStr">
        <is>
          <t>F</t>
        </is>
      </c>
      <c r="B302" s="9" t="inlineStr">
        <is>
          <t>800 Free</t>
        </is>
      </c>
      <c r="C302" s="9" t="n">
        <v>19</v>
      </c>
      <c r="D302" s="219" t="n">
        <v>2</v>
      </c>
      <c r="E302" s="41" t="inlineStr">
        <is>
          <t>8:35.61</t>
        </is>
      </c>
      <c r="F302" s="35">
        <f>IFERROR(__xludf.DUMMYFUNCTION("IF(
  REGEXMATCH(E302, "":""),
  60*VALUE(INDEX(SPLIT(E302, "":""),1,1)) + VALUE(INDEX(SPLIT(E302, "":""),1,2)),
  VALUE(E302)
)"),515.61)</f>
        <v/>
      </c>
      <c r="G302" s="215">
        <f>C290</f>
        <v/>
      </c>
      <c r="H302" s="215">
        <f>C299</f>
        <v/>
      </c>
      <c r="I302" s="215">
        <f>C304</f>
        <v/>
      </c>
      <c r="J302" s="215">
        <f>C307</f>
        <v/>
      </c>
      <c r="K302" s="43">
        <f>IFS(H302=21,1,I302=21,2,J302=21,3,and(H302=20,I302=22),1.5, and(I302=20,J302=22),2.5,H302&gt;21,0.5)</f>
        <v/>
      </c>
      <c r="L302" s="43">
        <f t="array" ref="L302">INDEX('Podium Target Times'!$C:$C, MATCH(A302&amp;B302, 'Podium Target Times'!$A:$A&amp;'Podium Target Times'!$B:$B, 0))
</f>
        <v/>
      </c>
      <c r="M302" s="64">
        <f>IFS(K302=0.5,L302,K302=1,L302, K302=1.5, L302, K302=2, M304+(F302-F304), K302=2.5, M304+(F303-F305), K302=3, M304+(F303-F305))</f>
        <v/>
      </c>
      <c r="N302" s="43">
        <f>IF(M302&lt;60, TEXT(M302, "0.00"), TEXT(M302/(24*60*60), "M:SS.00"))</f>
        <v/>
      </c>
      <c r="O302" s="14">
        <f>IFERROR(__xludf.DUMMYFUNCTION("LET(
  gen,$A302, ev,$B302, t,$N302,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P302" s="65" t="n"/>
      <c r="Q302" s="65" t="n"/>
      <c r="R302" s="69" t="n"/>
      <c r="S302" s="65" t="n"/>
      <c r="T302" s="69" t="n"/>
      <c r="U302" s="58" t="n"/>
      <c r="V302" s="69" t="n"/>
      <c r="W302" s="65" t="n"/>
      <c r="X302" s="65" t="n"/>
      <c r="Y302" s="65" t="n"/>
    </row>
    <row r="303">
      <c r="A303" s="17" t="inlineStr">
        <is>
          <t>F</t>
        </is>
      </c>
      <c r="B303" s="18" t="inlineStr">
        <is>
          <t>800 Free</t>
        </is>
      </c>
      <c r="C303" s="18" t="n">
        <v>19</v>
      </c>
      <c r="D303" s="18" t="n">
        <v>3</v>
      </c>
      <c r="E303" s="46" t="inlineStr">
        <is>
          <t>8:36.42</t>
        </is>
      </c>
      <c r="F303" s="21">
        <f>IFERROR(__xludf.DUMMYFUNCTION("IF(
  REGEXMATCH(E303, "":""),
  60*VALUE(INDEX(SPLIT(E303, "":""),1,1)) + VALUE(INDEX(SPLIT(E303, "":""),1,2)),
  VALUE(E303)
)"),516.42)</f>
        <v/>
      </c>
      <c r="G303" s="211">
        <f>C290</f>
        <v/>
      </c>
      <c r="H303" s="211">
        <f>C299</f>
        <v/>
      </c>
      <c r="I303" s="211">
        <f>C304</f>
        <v/>
      </c>
      <c r="J303" s="211">
        <f>C307</f>
        <v/>
      </c>
      <c r="K303" s="60">
        <f>IFS(H303=21,1,I303=21,2,J303=21,3,and(H303=20,I303=22),1.5, and(I303=20,J303=22),2.5,H303&gt;21,0.5)</f>
        <v/>
      </c>
      <c r="L303" s="60">
        <f t="array" ref="L303">INDEX('Podium Target Times'!$C:$C, MATCH(A303&amp;B303, 'Podium Target Times'!$A:$A&amp;'Podium Target Times'!$B:$B, 0))
</f>
        <v/>
      </c>
      <c r="M303" s="66">
        <f>IFS(K303=0.5,L303,K303=1,L303, K303=1.5, L303, K303=2, M304+(F302-F304), K303=2.5, M304+(F303-F305), K303=3, M304+(F303-F305))</f>
        <v/>
      </c>
      <c r="N303" s="60">
        <f>IF(M303&lt;60, TEXT(M303, "0.00"), TEXT(M303/(24*60*60), "M:SS.00"))</f>
        <v/>
      </c>
      <c r="O303" s="25">
        <f>IFERROR(__xludf.DUMMYFUNCTION("LET(
  gen,$A303, ev,$B303, t,$N303,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)"),733.0)</f>
        <v/>
      </c>
      <c r="P303" s="65" t="n"/>
      <c r="Q303" s="65" t="n"/>
      <c r="R303" s="69" t="n"/>
      <c r="S303" s="65" t="n"/>
      <c r="T303" s="69" t="n"/>
      <c r="U303" s="58" t="n"/>
      <c r="V303" s="69" t="n"/>
      <c r="W303" s="65" t="n"/>
      <c r="X303" s="65" t="n"/>
      <c r="Y303" s="65" t="n"/>
    </row>
    <row r="304">
      <c r="A304" s="8" t="inlineStr">
        <is>
          <t>F</t>
        </is>
      </c>
      <c r="B304" s="9" t="inlineStr">
        <is>
          <t>800 Free</t>
        </is>
      </c>
      <c r="C304" s="9" t="n">
        <v>20</v>
      </c>
      <c r="D304" s="9" t="n">
        <v>2</v>
      </c>
      <c r="E304" s="41" t="inlineStr">
        <is>
          <t>8:34.62</t>
        </is>
      </c>
      <c r="F304" s="35">
        <f>IFERROR(__xludf.DUMMYFUNCTION("IF(
  REGEXMATCH(E304, "":""),
  60*VALUE(INDEX(SPLIT(E304, "":""),1,1)) + VALUE(INDEX(SPLIT(E304, "":""),1,2)),
  VALUE(E304)
)"),514.62)</f>
        <v/>
      </c>
      <c r="G304" s="215">
        <f>C290</f>
        <v/>
      </c>
      <c r="H304" s="215">
        <f>C299</f>
        <v/>
      </c>
      <c r="I304" s="215">
        <f>C304</f>
        <v/>
      </c>
      <c r="J304" s="215">
        <f>C307</f>
        <v/>
      </c>
      <c r="K304" s="43">
        <f>IFS(H304=21,1,I304=21,2,J304=21,3,and(H304=20,I304=22),1.5, and(I304=20,J304=22),2.5,H304&gt;21,0.5)</f>
        <v/>
      </c>
      <c r="L304" s="43">
        <f t="array" ref="L304">INDEX('Podium Target Times'!$C:$C, MATCH(A304&amp;B304, 'Podium Target Times'!$A:$A&amp;'Podium Target Times'!$B:$B, 0))
</f>
        <v/>
      </c>
      <c r="M304" s="64">
        <f>IFS(K304=0.5,L304,K304=1,L304, K304=1.5, L304, K304=2,L307, K304=2.5, M306+(F305-F306), K304=3,  M306+(F305-F306))</f>
        <v/>
      </c>
      <c r="N304" s="43">
        <f>IF(M304&lt;60, TEXT(M304, "0.00"), TEXT(M304/(24*60*60), "M:SS.00"))</f>
        <v/>
      </c>
      <c r="O304" s="14">
        <f>IFERROR(__xludf.DUMMYFUNCTION("LET(
  gen,$A304, ev,$B304, t,$N304,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304" s="65" t="n"/>
      <c r="Q304" s="65" t="n"/>
      <c r="R304" s="69" t="n"/>
      <c r="S304" s="65" t="n"/>
      <c r="T304" s="69" t="n"/>
      <c r="U304" s="58" t="n"/>
      <c r="V304" s="69" t="n"/>
      <c r="W304" s="65" t="n"/>
      <c r="X304" s="65" t="n"/>
      <c r="Y304" s="65" t="n"/>
    </row>
    <row r="305">
      <c r="A305" s="17" t="inlineStr">
        <is>
          <t>F</t>
        </is>
      </c>
      <c r="B305" s="18" t="inlineStr">
        <is>
          <t>800 Free</t>
        </is>
      </c>
      <c r="C305" s="18" t="n">
        <v>20</v>
      </c>
      <c r="D305" s="18" t="n">
        <v>3</v>
      </c>
      <c r="E305" s="46" t="inlineStr">
        <is>
          <t>8:35.43</t>
        </is>
      </c>
      <c r="F305" s="21">
        <f>IFERROR(__xludf.DUMMYFUNCTION("IF(
  REGEXMATCH(E305, "":""),
  60*VALUE(INDEX(SPLIT(E305, "":""),1,1)) + VALUE(INDEX(SPLIT(E305, "":""),1,2)),
  VALUE(E305)
)"),515.43)</f>
        <v/>
      </c>
      <c r="G305" s="211">
        <f>C290</f>
        <v/>
      </c>
      <c r="H305" s="211">
        <f>C299</f>
        <v/>
      </c>
      <c r="I305" s="211">
        <f>C304</f>
        <v/>
      </c>
      <c r="J305" s="211">
        <f>C307</f>
        <v/>
      </c>
      <c r="K305" s="60">
        <f>IFS(H305=21,1,I305=21,2,J305=21,3,and(H305=20,I305=22),1.5, and(I305=20,J305=22),2.5,H305&gt;21,0.5)</f>
        <v/>
      </c>
      <c r="L305" s="60">
        <f t="array" ref="L305">INDEX('Podium Target Times'!$C:$C, MATCH(A305&amp;B305, 'Podium Target Times'!$A:$A&amp;'Podium Target Times'!$B:$B, 0))
</f>
        <v/>
      </c>
      <c r="M305" s="66">
        <f>IFS(K305=0.5,L305,K305=1,L305, K305=1.5, L305, K305=2, L307, K305=2.5, M306+(F305-F306), K305=3, M306+(F305-F306))</f>
        <v/>
      </c>
      <c r="N305" s="60">
        <f>IF(M305&lt;60, TEXT(M305, "0.00"), TEXT(M305/(24*60*60), "M:SS.00"))</f>
        <v/>
      </c>
      <c r="O305" s="25">
        <f>IFERROR(__xludf.DUMMYFUNCTION("LET(
  gen,$A305, ev,$B305, t,$N305,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305" s="65" t="n"/>
      <c r="Q305" s="65" t="n"/>
      <c r="R305" s="69" t="n"/>
      <c r="S305" s="65" t="n"/>
      <c r="T305" s="69" t="n"/>
      <c r="U305" s="58" t="n"/>
      <c r="V305" s="69" t="n"/>
      <c r="W305" s="65" t="n"/>
      <c r="X305" s="65" t="n"/>
      <c r="Y305" s="65" t="n"/>
    </row>
    <row r="306">
      <c r="A306" s="8" t="inlineStr">
        <is>
          <t>F</t>
        </is>
      </c>
      <c r="B306" s="9" t="inlineStr">
        <is>
          <t>800 Free</t>
        </is>
      </c>
      <c r="C306" s="9" t="n">
        <v>21</v>
      </c>
      <c r="D306" s="9" t="n">
        <v>3</v>
      </c>
      <c r="E306" s="41" t="inlineStr">
        <is>
          <t>8:34.90</t>
        </is>
      </c>
      <c r="F306" s="35">
        <f>IFERROR(__xludf.DUMMYFUNCTION("IF(
  REGEXMATCH(E306, "":""),
  60*VALUE(INDEX(SPLIT(E306, "":""),1,1)) + VALUE(INDEX(SPLIT(E306, "":""),1,2)),
  VALUE(E306)
)"),514.9)</f>
        <v/>
      </c>
      <c r="G306" s="215">
        <f>C290</f>
        <v/>
      </c>
      <c r="H306" s="215">
        <f>C299</f>
        <v/>
      </c>
      <c r="I306" s="215">
        <f>C304</f>
        <v/>
      </c>
      <c r="J306" s="215">
        <f>C307</f>
        <v/>
      </c>
      <c r="K306" s="43">
        <f>IFS(H306=21,1,I306=21,2,J306=21,3,and(H306=20,I306=22),1.5, and(I306=20,J306=22),2.5,H306&gt;21,0.5)</f>
        <v/>
      </c>
      <c r="L306" s="43">
        <f t="array" ref="L306">INDEX('Podium Target Times'!$C:$C, MATCH(A306&amp;B306, 'Podium Target Times'!$A:$A&amp;'Podium Target Times'!$B:$B, 0))
</f>
        <v/>
      </c>
      <c r="M306" s="64">
        <f>IFS(K306=0.5,L306,K306=1,L306, K306=1.5, L306, K306=2, L307, K306=2.5, L307, K306=3, M307+(F306-F307))</f>
        <v/>
      </c>
      <c r="N306" s="43">
        <f>IF(M306&lt;60, TEXT(M306, "0.00"), TEXT(M306/(24*60*60), "M:SS.00"))</f>
        <v/>
      </c>
      <c r="O306" s="14">
        <f>IFERROR(__xludf.DUMMYFUNCTION("LET(
  gen,$A306, ev,$B306, t,$N306,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306" s="65" t="n"/>
      <c r="Q306" s="65" t="n"/>
      <c r="R306" s="69" t="n"/>
      <c r="S306" s="65" t="n"/>
      <c r="T306" s="69" t="n"/>
      <c r="U306" s="58" t="n"/>
      <c r="V306" s="69" t="n"/>
      <c r="W306" s="65" t="n"/>
      <c r="X306" s="65" t="n"/>
      <c r="Y306" s="65" t="n"/>
    </row>
    <row r="307">
      <c r="A307" s="17" t="inlineStr">
        <is>
          <t>F</t>
        </is>
      </c>
      <c r="B307" s="18" t="inlineStr">
        <is>
          <t>800 Free</t>
        </is>
      </c>
      <c r="C307" s="18" t="n">
        <v>22</v>
      </c>
      <c r="D307" s="18" t="n">
        <v>3</v>
      </c>
      <c r="E307" s="46" t="inlineStr">
        <is>
          <t>8:34.62</t>
        </is>
      </c>
      <c r="F307" s="21">
        <f>IFERROR(__xludf.DUMMYFUNCTION("IF(
  REGEXMATCH(E307, "":""),
  60*VALUE(INDEX(SPLIT(E307, "":""),1,1)) + VALUE(INDEX(SPLIT(E307, "":""),1,2)),
  VALUE(E307)
)"),514.62)</f>
        <v/>
      </c>
      <c r="G307" s="211">
        <f>C290</f>
        <v/>
      </c>
      <c r="H307" s="211">
        <f>C299</f>
        <v/>
      </c>
      <c r="I307" s="211">
        <f>C304</f>
        <v/>
      </c>
      <c r="J307" s="211">
        <f>C307</f>
        <v/>
      </c>
      <c r="K307" s="60">
        <f>IFS(H307=21,1,I307=21,2,J307=21,3,and(H307=20,I307=22),1.5, and(I307=20,J307=22),2.5,H307&gt;21,0.5)</f>
        <v/>
      </c>
      <c r="L307" s="60">
        <f t="array" ref="L307">INDEX('Podium Target Times'!$C:$C, MATCH(A307&amp;B307, 'Podium Target Times'!$A:$A&amp;'Podium Target Times'!$B:$B, 0))
</f>
        <v/>
      </c>
      <c r="M307" s="66">
        <f>IFS(K307=0.5,L307,K307=1,L307, K307=1.5, L307, K307=2, L307, K307=2.5, L307, K307=3, L307)</f>
        <v/>
      </c>
      <c r="N307" s="60">
        <f>IF(M307&lt;60, TEXT(M307, "0.00"), TEXT(M307/(24*60*60), "M:SS.00"))</f>
        <v/>
      </c>
      <c r="O307" s="25">
        <f>IFERROR(__xludf.DUMMYFUNCTION("LET(
  gen,$A307, ev,$B307, t,$N307,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307" s="65" t="n"/>
      <c r="Q307" s="65" t="n"/>
      <c r="R307" s="69" t="n"/>
      <c r="S307" s="65" t="n"/>
      <c r="T307" s="69" t="n"/>
      <c r="U307" s="58" t="n"/>
      <c r="V307" s="69" t="n"/>
      <c r="W307" s="65" t="n"/>
      <c r="X307" s="65" t="n"/>
      <c r="Y307" s="65" t="n"/>
    </row>
    <row r="308">
      <c r="A308" s="8" t="inlineStr">
        <is>
          <t>M</t>
        </is>
      </c>
      <c r="B308" s="9" t="inlineStr">
        <is>
          <t>100 Back</t>
        </is>
      </c>
      <c r="C308" s="9" t="n">
        <v>16</v>
      </c>
      <c r="D308" s="9" t="n">
        <v>1</v>
      </c>
      <c r="E308" s="41" t="inlineStr">
        <is>
          <t>57.82</t>
        </is>
      </c>
      <c r="F308" s="35">
        <f>IFERROR(__xludf.DUMMYFUNCTION("IF(
  REGEXMATCH(E308, "":""),
  60*VALUE(INDEX(SPLIT(E308, "":""),1,1)) + VALUE(INDEX(SPLIT(E308, "":""),1,2)),
  VALUE(E308)
)"),57.82)</f>
        <v/>
      </c>
      <c r="G308" s="43">
        <f>C308</f>
        <v/>
      </c>
      <c r="H308" s="43">
        <f>C317</f>
        <v/>
      </c>
      <c r="I308" s="43">
        <f>C322</f>
        <v/>
      </c>
      <c r="J308" s="43">
        <f>C325</f>
        <v/>
      </c>
      <c r="K308" s="43">
        <f>IFS(H308=21,1,I308=21,2,J308=21,3,and(H308=20,I308=22),1.5, and(I308=20,J308=22),2.5,H308&gt;21,0.5)</f>
        <v/>
      </c>
      <c r="L308" s="43">
        <f t="array" ref="L308">INDEX('Podium Target Times'!$C:$C, MATCH(A308&amp;B308, 'Podium Target Times'!$A:$A&amp;'Podium Target Times'!$B:$B, 0))
</f>
        <v/>
      </c>
      <c r="M308" s="64">
        <f>IFS(K308=0.5,M309+(F308-F309),K308=1,M309+(F308-F309), K308=1.5, M309+(F308-F309), K308=2, M309+(F308-F309), K308=2.5, M309+(F308-F309), K308=3, M309+(F308-F309))</f>
        <v/>
      </c>
      <c r="N308" s="43">
        <f>IF(M308&lt;60, TEXT(M308, "0.00"), TEXT(M308/(24*60*60), "M:SS.00"))</f>
        <v/>
      </c>
      <c r="O308" s="14">
        <f>IFERROR(__xludf.DUMMYFUNCTION("LET(
  gen,$A308, ev,$B308, t,$N308,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
      </c>
      <c r="P308" s="65" t="n"/>
      <c r="Q308" s="65" t="n"/>
      <c r="R308" s="69">
        <f>A308</f>
        <v/>
      </c>
      <c r="S308" s="65">
        <f>B308</f>
        <v/>
      </c>
      <c r="T308" s="69">
        <f>C308</f>
        <v/>
      </c>
      <c r="U308" s="58">
        <f>N308</f>
        <v/>
      </c>
      <c r="V308" s="69">
        <f>O308</f>
        <v/>
      </c>
      <c r="W308" s="65" t="n"/>
      <c r="X308" s="65" t="n"/>
      <c r="Y308" s="65" t="n"/>
    </row>
    <row r="309">
      <c r="A309" s="17" t="inlineStr">
        <is>
          <t>M</t>
        </is>
      </c>
      <c r="B309" s="18" t="inlineStr">
        <is>
          <t>100 Back</t>
        </is>
      </c>
      <c r="C309" s="18" t="n">
        <v>17</v>
      </c>
      <c r="D309" s="18" t="n">
        <v>1</v>
      </c>
      <c r="E309" s="46" t="inlineStr">
        <is>
          <t>56.23</t>
        </is>
      </c>
      <c r="F309" s="21">
        <f>IFERROR(__xludf.DUMMYFUNCTION("IF(
  REGEXMATCH(E309, "":""),
  60*VALUE(INDEX(SPLIT(E309, "":""),1,1)) + VALUE(INDEX(SPLIT(E309, "":""),1,2)),
  VALUE(E309)
)"),56.23)</f>
        <v/>
      </c>
      <c r="G309" s="211">
        <f>C308</f>
        <v/>
      </c>
      <c r="H309" s="211">
        <f>C317</f>
        <v/>
      </c>
      <c r="I309" s="211">
        <f>C322</f>
        <v/>
      </c>
      <c r="J309" s="211">
        <f>C325</f>
        <v/>
      </c>
      <c r="K309" s="60">
        <f>IFS(H309=21,1,I309=21,2,J309=21,3,and(H309=20,I309=22),1.5, and(I309=20,J309=22),2.5,H309&gt;21,0.5)</f>
        <v/>
      </c>
      <c r="L309" s="60">
        <f t="array" ref="L309">INDEX('Podium Target Times'!$C:$C, MATCH(A309&amp;B309, 'Podium Target Times'!$A:$A&amp;'Podium Target Times'!$B:$B, 0))
</f>
        <v/>
      </c>
      <c r="M309" s="66">
        <f>IFS(K309=0.5,M310+(F309-F311),K309=1,M310+(F309-F311), K309=1.5, M311+(F310-F312), K309=2, M311+(F310-F312), K309=2.5, M311+(F310-F312), K309=3, M311+(F310-F312))</f>
        <v/>
      </c>
      <c r="N309" s="60">
        <f>IF(M309&lt;60, TEXT(M309, "0.00"), TEXT(M309/(24*60*60), "M:SS.00"))</f>
        <v/>
      </c>
      <c r="O309" s="25">
        <f>IFERROR(__xludf.DUMMYFUNCTION("LET(
  gen,$A309, ev,$B309, t,$N309,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
      </c>
      <c r="P309" s="65" t="n"/>
      <c r="Q309" s="65" t="n"/>
      <c r="R309" s="69">
        <f>A309</f>
        <v/>
      </c>
      <c r="S309" s="65">
        <f>B309</f>
        <v/>
      </c>
      <c r="T309" s="69">
        <f>C309</f>
        <v/>
      </c>
      <c r="U309" s="58">
        <f>N309</f>
        <v/>
      </c>
      <c r="V309" s="69">
        <f>O309</f>
        <v/>
      </c>
      <c r="W309" s="65" t="n"/>
      <c r="X309" s="65" t="n"/>
      <c r="Y309" s="65" t="n"/>
    </row>
    <row r="310">
      <c r="A310" s="8" t="inlineStr">
        <is>
          <t>M</t>
        </is>
      </c>
      <c r="B310" s="9" t="inlineStr">
        <is>
          <t>100 Back</t>
        </is>
      </c>
      <c r="C310" s="9" t="n">
        <v>17</v>
      </c>
      <c r="D310" s="9" t="n">
        <v>2</v>
      </c>
      <c r="E310" s="41" t="inlineStr">
        <is>
          <t>56.79</t>
        </is>
      </c>
      <c r="F310" s="35">
        <f>IFERROR(__xludf.DUMMYFUNCTION("IF(
  REGEXMATCH(E310, "":""),
  60*VALUE(INDEX(SPLIT(E310, "":""),1,1)) + VALUE(INDEX(SPLIT(E310, "":""),1,2)),
  VALUE(E310)
)"),56.79)</f>
        <v/>
      </c>
      <c r="G310" s="215">
        <f>C308</f>
        <v/>
      </c>
      <c r="H310" s="215">
        <f>C317</f>
        <v/>
      </c>
      <c r="I310" s="215">
        <f>C322</f>
        <v/>
      </c>
      <c r="J310" s="215">
        <f>C325</f>
        <v/>
      </c>
      <c r="K310" s="43">
        <f>IFS(H310=21,1,I310=21,2,J310=21,3,and(H310=20,I310=22),1.5, and(I310=20,J310=22),2.5,H310&gt;21,0.5)</f>
        <v/>
      </c>
      <c r="L310" s="43">
        <f t="array" ref="L310">INDEX('Podium Target Times'!$C:$C, MATCH(A310&amp;B310, 'Podium Target Times'!$A:$A&amp;'Podium Target Times'!$B:$B, 0))
</f>
        <v/>
      </c>
      <c r="M310" s="64">
        <f>IFS(K310=0.5,M311+(F310-F313),K310=1,M311+(F310-F313), K310=1.5, M311+(F310-F312), K310=2, M311+(F310-F312), K310=2.5, M311+(F310-F312), K310=3, M311+(F310-F312))</f>
        <v/>
      </c>
      <c r="N310" s="43">
        <f>IF(M310&lt;60, TEXT(M310, "0.00"), TEXT(M310/(24*60*60), "M:SS.00"))</f>
        <v/>
      </c>
      <c r="O310" s="14">
        <f>IFERROR(__xludf.DUMMYFUNCTION("LET(
  gen,$A310, ev,$B310, t,$N310,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)"),681.0)</f>
        <v/>
      </c>
      <c r="P310" s="65" t="n"/>
      <c r="Q310" s="65" t="n"/>
      <c r="R310" s="69">
        <f>A311</f>
        <v/>
      </c>
      <c r="S310" s="65">
        <f>B311</f>
        <v/>
      </c>
      <c r="T310" s="69">
        <f>C311</f>
        <v/>
      </c>
      <c r="U310" s="58">
        <f>N311</f>
        <v/>
      </c>
      <c r="V310" s="69">
        <f>O311</f>
        <v/>
      </c>
      <c r="W310" s="65" t="n"/>
      <c r="X310" s="65" t="n"/>
      <c r="Y310" s="65" t="n"/>
    </row>
    <row r="311">
      <c r="A311" s="17" t="inlineStr">
        <is>
          <t>M</t>
        </is>
      </c>
      <c r="B311" s="18" t="inlineStr">
        <is>
          <t>100 Back</t>
        </is>
      </c>
      <c r="C311" s="18" t="n">
        <v>18</v>
      </c>
      <c r="D311" s="18" t="n">
        <v>1</v>
      </c>
      <c r="E311" s="46" t="inlineStr">
        <is>
          <t>55.17</t>
        </is>
      </c>
      <c r="F311" s="21">
        <f>IFERROR(__xludf.DUMMYFUNCTION("IF(
  REGEXMATCH(E311, "":""),
  60*VALUE(INDEX(SPLIT(E311, "":""),1,1)) + VALUE(INDEX(SPLIT(E311, "":""),1,2)),
  VALUE(E311)
)"),55.17)</f>
        <v/>
      </c>
      <c r="G311" s="211">
        <f>C308</f>
        <v/>
      </c>
      <c r="H311" s="211">
        <f>C317</f>
        <v/>
      </c>
      <c r="I311" s="211">
        <f>C322</f>
        <v/>
      </c>
      <c r="J311" s="211">
        <f>C325</f>
        <v/>
      </c>
      <c r="K311" s="60">
        <f>IFS(H311=21,1,I311=21,2,J311=21,3,and(H311=20,I311=22),1.5, and(I311=20,J311=22),2.5,H311&gt;21,0.5)</f>
        <v/>
      </c>
      <c r="L311" s="60">
        <f t="array" ref="L311">INDEX('Podium Target Times'!$C:$C, MATCH(A311&amp;B311, 'Podium Target Times'!$A:$A&amp;'Podium Target Times'!$B:$B, 0))
</f>
        <v/>
      </c>
      <c r="M311" s="66">
        <f>IFS(K311=0.5,M312+(F311-F314),K311=1,M312+(F311-F314), K311=1.5, M314+(F312-F315), K311=2, M314+(F312-F315), K311=2.5, M314+(F313-F316), K311=3, M314+(F313-F316))</f>
        <v/>
      </c>
      <c r="N311" s="60">
        <f>IF(M311&lt;60, TEXT(M311, "0.00"), TEXT(M311/(24*60*60), "M:SS.00"))</f>
        <v/>
      </c>
      <c r="O311" s="25">
        <f>IFERROR(__xludf.DUMMYFUNCTION("LET(
  gen,$A311, ev,$B311, t,$N311,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)"),720.0)</f>
        <v/>
      </c>
      <c r="P311" s="65" t="n"/>
      <c r="Q311" s="65" t="n"/>
      <c r="R311" s="69">
        <f>A314</f>
        <v/>
      </c>
      <c r="S311" s="65">
        <f>B314</f>
        <v/>
      </c>
      <c r="T311" s="69">
        <f>C314</f>
        <v/>
      </c>
      <c r="U311" s="58">
        <f>N314</f>
        <v/>
      </c>
      <c r="V311" s="69">
        <f>O314</f>
        <v/>
      </c>
      <c r="W311" s="65" t="n"/>
      <c r="X311" s="65" t="n"/>
      <c r="Y311" s="65" t="n"/>
    </row>
    <row r="312">
      <c r="A312" s="8" t="inlineStr">
        <is>
          <t>M</t>
        </is>
      </c>
      <c r="B312" s="9" t="inlineStr">
        <is>
          <t>100 Back</t>
        </is>
      </c>
      <c r="C312" s="9" t="n">
        <v>18</v>
      </c>
      <c r="D312" s="9" t="n">
        <v>2</v>
      </c>
      <c r="E312" s="41" t="inlineStr">
        <is>
          <t>55.72</t>
        </is>
      </c>
      <c r="F312" s="35">
        <f>IFERROR(__xludf.DUMMYFUNCTION("IF(
  REGEXMATCH(E312, "":""),
  60*VALUE(INDEX(SPLIT(E312, "":""),1,1)) + VALUE(INDEX(SPLIT(E312, "":""),1,2)),
  VALUE(E312)
)"),55.72)</f>
        <v/>
      </c>
      <c r="G312" s="215">
        <f>C308</f>
        <v/>
      </c>
      <c r="H312" s="215">
        <f>C317</f>
        <v/>
      </c>
      <c r="I312" s="215">
        <f>C322</f>
        <v/>
      </c>
      <c r="J312" s="215">
        <f>C325</f>
        <v/>
      </c>
      <c r="K312" s="43">
        <f>IFS(H312=21,1,I312=21,2,J312=21,3,and(H312=20,I312=22),1.5, and(I312=20,J312=22),2.5,H312&gt;21,0.5)</f>
        <v/>
      </c>
      <c r="L312" s="43">
        <f t="array" ref="L312">INDEX('Podium Target Times'!$C:$C, MATCH(A312&amp;B312, 'Podium Target Times'!$A:$A&amp;'Podium Target Times'!$B:$B, 0))
</f>
        <v/>
      </c>
      <c r="M312" s="64">
        <f>IFS(K312=0.5,M313+(F311-F314),K312=1,M313+(F311-F314), K312=1.5, M314+(F312-F315), K312=2, M314+(F312-F315), K312=2.5, M314+(F313-F316), K312=3, M314+(F313-F316))</f>
        <v/>
      </c>
      <c r="N312" s="43">
        <f>IF(M312&lt;60, TEXT(M312, "0.00"), TEXT(M312/(24*60*60), "M:SS.00"))</f>
        <v/>
      </c>
      <c r="O312" s="14">
        <f>IFERROR(__xludf.DUMMYFUNCTION("LET(
  gen,$A312, ev,$B312, t,$N312,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)"),720.0)</f>
        <v/>
      </c>
      <c r="P312" s="65" t="n"/>
      <c r="Q312" s="65" t="n"/>
      <c r="R312" s="69">
        <f>A317</f>
        <v/>
      </c>
      <c r="S312" s="65">
        <f>B317</f>
        <v/>
      </c>
      <c r="T312" s="69">
        <f>C317</f>
        <v/>
      </c>
      <c r="U312" s="58">
        <f>N317</f>
        <v/>
      </c>
      <c r="V312" s="69">
        <f>O317</f>
        <v/>
      </c>
      <c r="W312" s="65" t="n"/>
      <c r="X312" s="65" t="n"/>
      <c r="Y312" s="65" t="n"/>
    </row>
    <row r="313">
      <c r="A313" s="17" t="inlineStr">
        <is>
          <t>M</t>
        </is>
      </c>
      <c r="B313" s="18" t="inlineStr">
        <is>
          <t>100 Back</t>
        </is>
      </c>
      <c r="C313" s="18" t="n">
        <v>18</v>
      </c>
      <c r="D313" s="18" t="n">
        <v>3</v>
      </c>
      <c r="E313" s="46" t="inlineStr">
        <is>
          <t>55.86</t>
        </is>
      </c>
      <c r="F313" s="21">
        <f>IFERROR(__xludf.DUMMYFUNCTION("IF(
  REGEXMATCH(E313, "":""),
  60*VALUE(INDEX(SPLIT(E313, "":""),1,1)) + VALUE(INDEX(SPLIT(E313, "":""),1,2)),
  VALUE(E313)
)"),55.86)</f>
        <v/>
      </c>
      <c r="G313" s="211">
        <f>C308</f>
        <v/>
      </c>
      <c r="H313" s="211">
        <f>C317</f>
        <v/>
      </c>
      <c r="I313" s="211">
        <f>C322</f>
        <v/>
      </c>
      <c r="J313" s="211">
        <f>C325</f>
        <v/>
      </c>
      <c r="K313" s="60">
        <f>IFS(H313=21,1,I313=21,2,J313=21,3,and(H313=20,I313=22),1.5, and(I313=20,J313=22),2.5,H313&gt;21,0.5)</f>
        <v/>
      </c>
      <c r="L313" s="60">
        <f t="array" ref="L313">INDEX('Podium Target Times'!$C:$C, MATCH(A313&amp;B313, 'Podium Target Times'!$A:$A&amp;'Podium Target Times'!$B:$B, 0))
</f>
        <v/>
      </c>
      <c r="M313" s="66">
        <f>IFS(K313=0.5,M314+(F311-F314),K313=1,M314+(F311-F314), K313=1.5, M314+(F312-F315), K313=2, M314+(F312-F315), K313=2.5, M314+(F313-F316), K313=3, M314+(F313-F316))</f>
        <v/>
      </c>
      <c r="N313" s="60">
        <f>IF(M313&lt;60, TEXT(M313, "0.00"), TEXT(M313/(24*60*60), "M:SS.00"))</f>
        <v/>
      </c>
      <c r="O313" s="25">
        <f>IFERROR(__xludf.DUMMYFUNCTION("LET(
  gen,$A313, ev,$B313, t,$N313,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)"),720.0)</f>
        <v/>
      </c>
      <c r="P313" s="65" t="n"/>
      <c r="Q313" s="65" t="n"/>
      <c r="R313" s="69">
        <f>A320</f>
        <v/>
      </c>
      <c r="S313" s="65">
        <f>B320</f>
        <v/>
      </c>
      <c r="T313" s="69">
        <f>C320</f>
        <v/>
      </c>
      <c r="U313" s="58">
        <f>N320</f>
        <v/>
      </c>
      <c r="V313" s="69">
        <f>O320</f>
        <v/>
      </c>
      <c r="W313" s="65" t="n"/>
      <c r="X313" s="65" t="n"/>
      <c r="Y313" s="65" t="n"/>
    </row>
    <row r="314">
      <c r="A314" s="8" t="inlineStr">
        <is>
          <t>M</t>
        </is>
      </c>
      <c r="B314" s="9" t="inlineStr">
        <is>
          <t>100 Back</t>
        </is>
      </c>
      <c r="C314" s="9" t="n">
        <v>19</v>
      </c>
      <c r="D314" s="9" t="n">
        <v>1</v>
      </c>
      <c r="E314" s="41" t="inlineStr">
        <is>
          <t>54.43</t>
        </is>
      </c>
      <c r="F314" s="35">
        <f>IFERROR(__xludf.DUMMYFUNCTION("IF(
  REGEXMATCH(E314, "":""),
  60*VALUE(INDEX(SPLIT(E314, "":""),1,1)) + VALUE(INDEX(SPLIT(E314, "":""),1,2)),
  VALUE(E314)
)"),54.43)</f>
        <v/>
      </c>
      <c r="G314" s="215">
        <f>C308</f>
        <v/>
      </c>
      <c r="H314" s="215">
        <f>C317</f>
        <v/>
      </c>
      <c r="I314" s="215">
        <f>C322</f>
        <v/>
      </c>
      <c r="J314" s="215">
        <f>C325</f>
        <v/>
      </c>
      <c r="K314" s="43">
        <f>IFS(H314=21,1,I314=21,2,J314=21,3,and(H314=20,I314=22),1.5, and(I314=20,J314=22),2.5,H314&gt;21,0.5)</f>
        <v/>
      </c>
      <c r="L314" s="43">
        <f t="array" ref="L314">INDEX('Podium Target Times'!$C:$C, MATCH(A314&amp;B314, 'Podium Target Times'!$A:$A&amp;'Podium Target Times'!$B:$B, 0))
</f>
        <v/>
      </c>
      <c r="M314" s="64">
        <f>IFS(K314=0.5,L314,K314=1,U312+(F314-F317), K314=1.5, M317+(F315-F318), K314=2, M317+(F315-F318), K314=2.5, M317+(F316-F319), K314=3, M317+(F316-F319))</f>
        <v/>
      </c>
      <c r="N314" s="43">
        <f>IF(M314&lt;60, TEXT(M314, "0.00"), TEXT(M314/(24*60*60), "M:SS.00"))</f>
        <v/>
      </c>
      <c r="O314" s="14">
        <f>IFERROR(__xludf.DUMMYFUNCTION("LET(
  gen,$A314, ev,$B314, t,$N314,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314" s="65" t="n"/>
      <c r="Q314" s="65" t="n"/>
      <c r="R314" s="69" t="n"/>
      <c r="S314" s="65" t="n"/>
      <c r="T314" s="69" t="n"/>
      <c r="U314" s="58" t="n"/>
      <c r="V314" s="69" t="n"/>
      <c r="W314" s="65" t="n"/>
      <c r="X314" s="65" t="n"/>
      <c r="Y314" s="65" t="n"/>
    </row>
    <row r="315">
      <c r="A315" s="17" t="inlineStr">
        <is>
          <t>M</t>
        </is>
      </c>
      <c r="B315" s="18" t="inlineStr">
        <is>
          <t>100 Back</t>
        </is>
      </c>
      <c r="C315" s="18" t="n">
        <v>19</v>
      </c>
      <c r="D315" s="18" t="n">
        <v>2</v>
      </c>
      <c r="E315" s="46" t="inlineStr">
        <is>
          <t>54.98</t>
        </is>
      </c>
      <c r="F315" s="21">
        <f>IFERROR(__xludf.DUMMYFUNCTION("IF(
  REGEXMATCH(E315, "":""),
  60*VALUE(INDEX(SPLIT(E315, "":""),1,1)) + VALUE(INDEX(SPLIT(E315, "":""),1,2)),
  VALUE(E315)
)"),54.98)</f>
        <v/>
      </c>
      <c r="G315" s="211">
        <f>C308</f>
        <v/>
      </c>
      <c r="H315" s="211">
        <f>C317</f>
        <v/>
      </c>
      <c r="I315" s="211">
        <f>C322</f>
        <v/>
      </c>
      <c r="J315" s="211">
        <f>C325</f>
        <v/>
      </c>
      <c r="K315" s="60">
        <f>IFS(H315=21,1,I315=21,2,J315=21,3,and(H315=20,I315=22),1.5, and(I315=20,J315=22),2.5,H315&gt;21,0.5)</f>
        <v/>
      </c>
      <c r="L315" s="60">
        <f t="array" ref="L315">INDEX('Podium Target Times'!$C:$C, MATCH(A315&amp;B315, 'Podium Target Times'!$A:$A&amp;'Podium Target Times'!$B:$B, 0))
</f>
        <v/>
      </c>
      <c r="M315" s="66">
        <f>IFS(K315=0.5,L315,K315=1,U312+(F314-F317), K315=1.5, M317+(F315-F318), K315=2, M317+(F315-F318), K315=2.5, M317+(F316-F319), K315=3, M317+(F316-F319))</f>
        <v/>
      </c>
      <c r="N315" s="60">
        <f>IF(M315&lt;60, TEXT(M315, "0.00"), TEXT(M315/(24*60*60), "M:SS.00"))</f>
        <v/>
      </c>
      <c r="O315" s="25">
        <f>IFERROR(__xludf.DUMMYFUNCTION("LET(
  gen,$A315, ev,$B315, t,$N315,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315" s="65" t="n"/>
      <c r="Q315" s="65" t="n"/>
      <c r="R315" s="69" t="n"/>
      <c r="S315" s="65" t="n"/>
      <c r="T315" s="69" t="n"/>
      <c r="U315" s="58" t="n"/>
      <c r="V315" s="69" t="n"/>
      <c r="W315" s="65" t="n"/>
      <c r="X315" s="65" t="n"/>
      <c r="Y315" s="65" t="n"/>
    </row>
    <row r="316">
      <c r="A316" s="8" t="inlineStr">
        <is>
          <t>M</t>
        </is>
      </c>
      <c r="B316" s="9" t="inlineStr">
        <is>
          <t>100 Back</t>
        </is>
      </c>
      <c r="C316" s="9" t="n">
        <v>19</v>
      </c>
      <c r="D316" s="9" t="n">
        <v>3</v>
      </c>
      <c r="E316" s="41" t="inlineStr">
        <is>
          <t>55.12</t>
        </is>
      </c>
      <c r="F316" s="35">
        <f>IFERROR(__xludf.DUMMYFUNCTION("IF(
  REGEXMATCH(E316, "":""),
  60*VALUE(INDEX(SPLIT(E316, "":""),1,1)) + VALUE(INDEX(SPLIT(E316, "":""),1,2)),
  VALUE(E316)
)"),55.12)</f>
        <v/>
      </c>
      <c r="G316" s="215">
        <f>C308</f>
        <v/>
      </c>
      <c r="H316" s="215">
        <f>C317</f>
        <v/>
      </c>
      <c r="I316" s="215">
        <f>C322</f>
        <v/>
      </c>
      <c r="J316" s="215">
        <f>C325</f>
        <v/>
      </c>
      <c r="K316" s="43">
        <f>IFS(H316=21,1,I316=21,2,J316=21,3,and(H316=20,I316=22),1.5, and(I316=20,J316=22),2.5,H316&gt;21,0.5)</f>
        <v/>
      </c>
      <c r="L316" s="43">
        <f t="array" ref="L316">INDEX('Podium Target Times'!$C:$C, MATCH(A316&amp;B316, 'Podium Target Times'!$A:$A&amp;'Podium Target Times'!$B:$B, 0))
</f>
        <v/>
      </c>
      <c r="M316" s="64">
        <f>IFS(K316=0.5,L316,K316=1,U312+(F314-F317), K316=1.5, M317+(F315-F318), K316=2, M317+(F315-F318), K316=2.5, M317+(F316-F319), K316=3, M317+(F316-F319))</f>
        <v/>
      </c>
      <c r="N316" s="43">
        <f>IF(M316&lt;60, TEXT(M316, "0.00"), TEXT(M316/(24*60*60), "M:SS.00"))</f>
        <v/>
      </c>
      <c r="O316" s="14">
        <f>IFERROR(__xludf.DUMMYFUNCTION("LET(
  gen,$A316, ev,$B316, t,$N316,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316" s="65" t="n"/>
      <c r="Q316" s="65" t="n"/>
      <c r="R316" s="69" t="n"/>
      <c r="S316" s="65" t="n"/>
      <c r="T316" s="69" t="n"/>
      <c r="U316" s="58" t="n"/>
      <c r="V316" s="69" t="n"/>
      <c r="W316" s="65" t="n"/>
      <c r="X316" s="65" t="n"/>
      <c r="Y316" s="65" t="n"/>
    </row>
    <row r="317">
      <c r="A317" s="17" t="inlineStr">
        <is>
          <t>M</t>
        </is>
      </c>
      <c r="B317" s="18" t="inlineStr">
        <is>
          <t>100 Back</t>
        </is>
      </c>
      <c r="C317" s="18" t="n">
        <v>20</v>
      </c>
      <c r="D317" s="18" t="n">
        <v>1</v>
      </c>
      <c r="E317" s="46" t="inlineStr">
        <is>
          <t>53.94</t>
        </is>
      </c>
      <c r="F317" s="21">
        <f>IFERROR(__xludf.DUMMYFUNCTION("IF(
  REGEXMATCH(E317, "":""),
  60*VALUE(INDEX(SPLIT(E317, "":""),1,1)) + VALUE(INDEX(SPLIT(E317, "":""),1,2)),
  VALUE(E317)
)"),53.94)</f>
        <v/>
      </c>
      <c r="G317" s="211">
        <f>C308</f>
        <v/>
      </c>
      <c r="H317" s="211">
        <f>C317</f>
        <v/>
      </c>
      <c r="I317" s="211">
        <f>C322</f>
        <v/>
      </c>
      <c r="J317" s="211">
        <f>C325</f>
        <v/>
      </c>
      <c r="K317" s="60">
        <f>IFS(H317=21,1,I317=21,2,J317=21,3,and(H317=20,I317=22),1.5, and(I317=20,J317=22),2.5,H317&gt;21,0.5)</f>
        <v/>
      </c>
      <c r="L317" s="60">
        <f t="array" ref="L317">INDEX('Podium Target Times'!$C:$C, MATCH(A317&amp;B317, 'Podium Target Times'!$A:$A&amp;'Podium Target Times'!$B:$B, 0))
</f>
        <v/>
      </c>
      <c r="M317" s="66">
        <f>IFS(K317=0.5,L317,K317=1,L317, K317=1.5, M320+(F318-F320), K317=2, M320+(F318-F320), K317=2.5, M320+(F319-F321), K317=3, M320+(F319-F321))</f>
        <v/>
      </c>
      <c r="N317" s="60">
        <f>IF(M317&lt;60, TEXT(M317, "0.00"), TEXT(M317/(24*60*60), "M:SS.00"))</f>
        <v/>
      </c>
      <c r="O317" s="25">
        <f>IFERROR(__xludf.DUMMYFUNCTION("LET(
  gen,$A317, ev,$B317, t,$N317,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P317" s="65" t="n"/>
      <c r="Q317" s="65" t="n"/>
      <c r="R317" s="69" t="n"/>
      <c r="S317" s="65" t="n"/>
      <c r="T317" s="69" t="n"/>
      <c r="U317" s="58" t="n"/>
      <c r="V317" s="69" t="n"/>
      <c r="W317" s="65" t="n"/>
      <c r="X317" s="65" t="n"/>
      <c r="Y317" s="65" t="n"/>
    </row>
    <row r="318">
      <c r="A318" s="8" t="inlineStr">
        <is>
          <t>M</t>
        </is>
      </c>
      <c r="B318" s="9" t="inlineStr">
        <is>
          <t>100 Back</t>
        </is>
      </c>
      <c r="C318" s="9" t="n">
        <v>20</v>
      </c>
      <c r="D318" s="9" t="n">
        <v>2</v>
      </c>
      <c r="E318" s="41" t="inlineStr">
        <is>
          <t>54.48</t>
        </is>
      </c>
      <c r="F318" s="35">
        <f>IFERROR(__xludf.DUMMYFUNCTION("IF(
  REGEXMATCH(E318, "":""),
  60*VALUE(INDEX(SPLIT(E318, "":""),1,1)) + VALUE(INDEX(SPLIT(E318, "":""),1,2)),
  VALUE(E318)
)"),54.48)</f>
        <v/>
      </c>
      <c r="G318" s="215">
        <f>C308</f>
        <v/>
      </c>
      <c r="H318" s="215">
        <f>C317</f>
        <v/>
      </c>
      <c r="I318" s="215">
        <f>C322</f>
        <v/>
      </c>
      <c r="J318" s="215">
        <f>C325</f>
        <v/>
      </c>
      <c r="K318" s="43">
        <f>IFS(H318=21,1,I318=21,2,J318=21,3,and(H318=20,I318=22),1.5, and(I318=20,J318=22),2.5,H318&gt;21,0.5)</f>
        <v/>
      </c>
      <c r="L318" s="43">
        <f t="array" ref="L318">INDEX('Podium Target Times'!$C:$C, MATCH(A318&amp;B318, 'Podium Target Times'!$A:$A&amp;'Podium Target Times'!$B:$B, 0))
</f>
        <v/>
      </c>
      <c r="M318" s="64">
        <f>IFS(K318=0.5,L318,K318=1,L318, K318=1.5, M320+(F318-F320), K318=2, M320+(F318-F320), K318=2.5, M320+(F319-F321), K318=3, M320+(F319-F321))</f>
        <v/>
      </c>
      <c r="N318" s="43">
        <f>IF(M318&lt;60, TEXT(M318, "0.00"), TEXT(M318/(24*60*60), "M:SS.00"))</f>
        <v/>
      </c>
      <c r="O318" s="14">
        <f>IFERROR(__xludf.DUMMYFUNCTION("LET(
  gen,$A318, ev,$B318, t,$N318,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P318" s="65" t="n"/>
      <c r="Q318" s="65" t="n"/>
      <c r="R318" s="69" t="n"/>
      <c r="S318" s="65" t="n"/>
      <c r="T318" s="69" t="n"/>
      <c r="U318" s="58" t="n"/>
      <c r="V318" s="69" t="n"/>
      <c r="W318" s="65" t="n"/>
      <c r="X318" s="65" t="n"/>
      <c r="Y318" s="65" t="n"/>
    </row>
    <row r="319">
      <c r="A319" s="17" t="inlineStr">
        <is>
          <t>M</t>
        </is>
      </c>
      <c r="B319" s="18" t="inlineStr">
        <is>
          <t>100 Back</t>
        </is>
      </c>
      <c r="C319" s="18" t="n">
        <v>20</v>
      </c>
      <c r="D319" s="18" t="n">
        <v>3</v>
      </c>
      <c r="E319" s="46" t="inlineStr">
        <is>
          <t>54.62</t>
        </is>
      </c>
      <c r="F319" s="21">
        <f>IFERROR(__xludf.DUMMYFUNCTION("IF(
  REGEXMATCH(E319, "":""),
  60*VALUE(INDEX(SPLIT(E319, "":""),1,1)) + VALUE(INDEX(SPLIT(E319, "":""),1,2)),
  VALUE(E319)
)"),54.62)</f>
        <v/>
      </c>
      <c r="G319" s="211">
        <f>C308</f>
        <v/>
      </c>
      <c r="H319" s="211">
        <f>C317</f>
        <v/>
      </c>
      <c r="I319" s="211">
        <f>C322</f>
        <v/>
      </c>
      <c r="J319" s="211">
        <f>C325</f>
        <v/>
      </c>
      <c r="K319" s="60">
        <f>IFS(H319=21,1,I319=21,2,J319=21,3,and(H319=20,I319=22),1.5, and(I319=20,J319=22),2.5,H319&gt;21,0.5)</f>
        <v/>
      </c>
      <c r="L319" s="60">
        <f t="array" ref="L319">INDEX('Podium Target Times'!$C:$C, MATCH(A319&amp;B319, 'Podium Target Times'!$A:$A&amp;'Podium Target Times'!$B:$B, 0))
</f>
        <v/>
      </c>
      <c r="M319" s="66">
        <f>IFS(K319=0.5,L319,K319=1,L319, K319=1.5, M320+(F318-F320), K319=2, M320+(F318-F320), K319=2.5, M320+(F319-F321), K319=3, M320+(F319-F321))</f>
        <v/>
      </c>
      <c r="N319" s="60">
        <f>IF(M319&lt;60, TEXT(M319, "0.00"), TEXT(M319/(24*60*60), "M:SS.00"))</f>
        <v/>
      </c>
      <c r="O319" s="25">
        <f>IFERROR(__xludf.DUMMYFUNCTION("LET(
  gen,$A319, ev,$B319, t,$N319,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P319" s="65" t="n"/>
      <c r="Q319" s="65" t="n"/>
      <c r="R319" s="69" t="n"/>
      <c r="S319" s="65" t="n"/>
      <c r="T319" s="69" t="n"/>
      <c r="U319" s="58" t="n"/>
      <c r="V319" s="69" t="n"/>
      <c r="W319" s="65" t="n"/>
      <c r="X319" s="65" t="n"/>
      <c r="Y319" s="65" t="n"/>
    </row>
    <row r="320">
      <c r="A320" s="8" t="inlineStr">
        <is>
          <t>M</t>
        </is>
      </c>
      <c r="B320" s="9" t="inlineStr">
        <is>
          <t>100 Back</t>
        </is>
      </c>
      <c r="C320" s="9" t="n">
        <v>21</v>
      </c>
      <c r="D320" s="9" t="n">
        <v>2</v>
      </c>
      <c r="E320" s="41" t="inlineStr">
        <is>
          <t>54.15</t>
        </is>
      </c>
      <c r="F320" s="35">
        <f>IFERROR(__xludf.DUMMYFUNCTION("IF(
  REGEXMATCH(E320, "":""),
  60*VALUE(INDEX(SPLIT(E320, "":""),1,1)) + VALUE(INDEX(SPLIT(E320, "":""),1,2)),
  VALUE(E320)
)"),54.15)</f>
        <v/>
      </c>
      <c r="G320" s="215">
        <f>C308</f>
        <v/>
      </c>
      <c r="H320" s="215">
        <f>C317</f>
        <v/>
      </c>
      <c r="I320" s="215">
        <f>C322</f>
        <v/>
      </c>
      <c r="J320" s="215">
        <f>C325</f>
        <v/>
      </c>
      <c r="K320" s="43">
        <f>IFS(H320=21,1,I320=21,2,J320=21,3,and(H320=20,I320=22),1.5, and(I320=20,J320=22),2.5,H320&gt;21,0.5)</f>
        <v/>
      </c>
      <c r="L320" s="43">
        <f t="array" ref="L320">INDEX('Podium Target Times'!$C:$C, MATCH(A320&amp;B320, 'Podium Target Times'!$A:$A&amp;'Podium Target Times'!$B:$B, 0))
</f>
        <v/>
      </c>
      <c r="M320" s="64">
        <f>IFS(K320=0.5,L320,K320=1,L320, K320=1.5, L320, K320=2, M322+(F320-F322), K320=2.5, M322+(F321-F323), K320=3, M322+(F321-F323))</f>
        <v/>
      </c>
      <c r="N320" s="43">
        <f>IF(M320&lt;60, TEXT(M320, "0.00"), TEXT(M320/(24*60*60), "M:SS.00"))</f>
        <v/>
      </c>
      <c r="O320" s="14">
        <f>IFERROR(__xludf.DUMMYFUNCTION("LET(
  gen,$A320, ev,$B320, t,$N320,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P320" s="65" t="n"/>
      <c r="Q320" s="65" t="n"/>
      <c r="R320" s="69" t="n"/>
      <c r="S320" s="65" t="n"/>
      <c r="T320" s="69" t="n"/>
      <c r="U320" s="58" t="n"/>
      <c r="V320" s="69" t="n"/>
      <c r="W320" s="65" t="n"/>
      <c r="X320" s="65" t="n"/>
      <c r="Y320" s="65" t="n"/>
    </row>
    <row r="321">
      <c r="A321" s="17" t="inlineStr">
        <is>
          <t>M</t>
        </is>
      </c>
      <c r="B321" s="18" t="inlineStr">
        <is>
          <t>100 Back</t>
        </is>
      </c>
      <c r="C321" s="18" t="n">
        <v>21</v>
      </c>
      <c r="D321" s="18" t="n">
        <v>3</v>
      </c>
      <c r="E321" s="46" t="inlineStr">
        <is>
          <t>54.28</t>
        </is>
      </c>
      <c r="F321" s="21">
        <f>IFERROR(__xludf.DUMMYFUNCTION("IF(
  REGEXMATCH(E321, "":""),
  60*VALUE(INDEX(SPLIT(E321, "":""),1,1)) + VALUE(INDEX(SPLIT(E321, "":""),1,2)),
  VALUE(E321)
)"),54.28)</f>
        <v/>
      </c>
      <c r="G321" s="211">
        <f>C308</f>
        <v/>
      </c>
      <c r="H321" s="211">
        <f>C317</f>
        <v/>
      </c>
      <c r="I321" s="211">
        <f>C322</f>
        <v/>
      </c>
      <c r="J321" s="211">
        <f>C325</f>
        <v/>
      </c>
      <c r="K321" s="60">
        <f>IFS(H321=21,1,I321=21,2,J321=21,3,and(H321=20,I321=22),1.5, and(I321=20,J321=22),2.5,H321&gt;21,0.5)</f>
        <v/>
      </c>
      <c r="L321" s="60">
        <f t="array" ref="L321">INDEX('Podium Target Times'!$C:$C, MATCH(A321&amp;B321, 'Podium Target Times'!$A:$A&amp;'Podium Target Times'!$B:$B, 0))
</f>
        <v/>
      </c>
      <c r="M321" s="66">
        <f>IFS(K321=0.5,L321,K321=1,L321, K321=1.5, L321, K321=2, M322+(F320-F322), K321=2.5, M322+(F321-F323), K321=3, M322+(F321-F323))</f>
        <v/>
      </c>
      <c r="N321" s="60">
        <f>IF(M321&lt;60, TEXT(M321, "0.00"), TEXT(M321/(24*60*60), "M:SS.00"))</f>
        <v/>
      </c>
      <c r="O321" s="25">
        <f>IFERROR(__xludf.DUMMYFUNCTION("LET(
  gen,$A321, ev,$B321, t,$N321,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P321" s="65" t="n"/>
      <c r="Q321" s="65" t="n"/>
      <c r="R321" s="69" t="n"/>
      <c r="S321" s="65" t="n"/>
      <c r="T321" s="69" t="n"/>
      <c r="U321" s="58" t="n"/>
      <c r="V321" s="69" t="n"/>
      <c r="W321" s="65" t="n"/>
      <c r="X321" s="65" t="n"/>
      <c r="Y321" s="65" t="n"/>
    </row>
    <row r="322">
      <c r="A322" s="8" t="inlineStr">
        <is>
          <t>M</t>
        </is>
      </c>
      <c r="B322" s="9" t="inlineStr">
        <is>
          <t>100 Back</t>
        </is>
      </c>
      <c r="C322" s="9" t="n">
        <v>22</v>
      </c>
      <c r="D322" s="9" t="n">
        <v>2</v>
      </c>
      <c r="E322" s="41" t="inlineStr">
        <is>
          <t>53.94</t>
        </is>
      </c>
      <c r="F322" s="35">
        <f>IFERROR(__xludf.DUMMYFUNCTION("IF(
  REGEXMATCH(E322, "":""),
  60*VALUE(INDEX(SPLIT(E322, "":""),1,1)) + VALUE(INDEX(SPLIT(E322, "":""),1,2)),
  VALUE(E322)
)"),53.94)</f>
        <v/>
      </c>
      <c r="G322" s="215">
        <f>C308</f>
        <v/>
      </c>
      <c r="H322" s="215">
        <f>C317</f>
        <v/>
      </c>
      <c r="I322" s="215">
        <f>C322</f>
        <v/>
      </c>
      <c r="J322" s="215">
        <f>C325</f>
        <v/>
      </c>
      <c r="K322" s="43">
        <f>IFS(H322=21,1,I322=21,2,J322=21,3,and(H322=20,I322=22),1.5, and(I322=20,J322=22),2.5,H322&gt;21,0.5)</f>
        <v/>
      </c>
      <c r="L322" s="43">
        <f t="array" ref="L322">INDEX('Podium Target Times'!$C:$C, MATCH(A322&amp;B322, 'Podium Target Times'!$A:$A&amp;'Podium Target Times'!$B:$B, 0))
</f>
        <v/>
      </c>
      <c r="M322" s="64">
        <f>IFS(K322=0.5,L322,K322=1,L322, K322=1.5, L322, K322=2,L325, K322=2.5, M324+(F323-F324), K322=3,  M324+(F323-F324))</f>
        <v/>
      </c>
      <c r="N322" s="43">
        <f>IF(M322&lt;60, TEXT(M322, "0.00"), TEXT(M322/(24*60*60), "M:SS.00"))</f>
        <v/>
      </c>
      <c r="O322" s="14">
        <f>IFERROR(__xludf.DUMMYFUNCTION("LET(
  gen,$A322, ev,$B322, t,$N322,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P322" s="65" t="n"/>
      <c r="Q322" s="65" t="n"/>
      <c r="R322" s="69" t="n"/>
      <c r="S322" s="65" t="n"/>
      <c r="T322" s="69" t="n"/>
      <c r="U322" s="58" t="n"/>
      <c r="V322" s="69" t="n"/>
      <c r="W322" s="65" t="n"/>
      <c r="X322" s="65" t="n"/>
      <c r="Y322" s="65" t="n"/>
    </row>
    <row r="323">
      <c r="A323" s="17" t="inlineStr">
        <is>
          <t>M</t>
        </is>
      </c>
      <c r="B323" s="18" t="inlineStr">
        <is>
          <t>100 Back</t>
        </is>
      </c>
      <c r="C323" s="18" t="n">
        <v>22</v>
      </c>
      <c r="D323" s="18" t="n">
        <v>3</v>
      </c>
      <c r="E323" s="46" t="inlineStr">
        <is>
          <t>54.08</t>
        </is>
      </c>
      <c r="F323" s="21">
        <f>IFERROR(__xludf.DUMMYFUNCTION("IF(
  REGEXMATCH(E323, "":""),
  60*VALUE(INDEX(SPLIT(E323, "":""),1,1)) + VALUE(INDEX(SPLIT(E323, "":""),1,2)),
  VALUE(E323)
)"),54.08)</f>
        <v/>
      </c>
      <c r="G323" s="211">
        <f>C308</f>
        <v/>
      </c>
      <c r="H323" s="211">
        <f>C317</f>
        <v/>
      </c>
      <c r="I323" s="211">
        <f>C322</f>
        <v/>
      </c>
      <c r="J323" s="211">
        <f>C325</f>
        <v/>
      </c>
      <c r="K323" s="60">
        <f>IFS(H323=21,1,I323=21,2,J323=21,3,and(H323=20,I323=22),1.5, and(I323=20,J323=22),2.5,H323&gt;21,0.5)</f>
        <v/>
      </c>
      <c r="L323" s="60">
        <f t="array" ref="L323">INDEX('Podium Target Times'!$C:$C, MATCH(A323&amp;B323, 'Podium Target Times'!$A:$A&amp;'Podium Target Times'!$B:$B, 0))
</f>
        <v/>
      </c>
      <c r="M323" s="66">
        <f>IFS(K323=0.5,L323,K323=1,L323, K323=1.5, L323, K323=2, L325, K323=2.5, M324+(F323-F324), K323=3, M324+(F323-F324))</f>
        <v/>
      </c>
      <c r="N323" s="60">
        <f>IF(M323&lt;60, TEXT(M323, "0.00"), TEXT(M323/(24*60*60), "M:SS.00"))</f>
        <v/>
      </c>
      <c r="O323" s="25">
        <f>IFERROR(__xludf.DUMMYFUNCTION("LET(
  gen,$A323, ev,$B323, t,$N323,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P323" s="65" t="n"/>
      <c r="Q323" s="65" t="n"/>
      <c r="R323" s="69" t="n"/>
      <c r="S323" s="65" t="n"/>
      <c r="T323" s="69" t="n"/>
      <c r="U323" s="58" t="n"/>
      <c r="V323" s="69" t="n"/>
      <c r="W323" s="65" t="n"/>
      <c r="X323" s="65" t="n"/>
      <c r="Y323" s="65" t="n"/>
    </row>
    <row r="324">
      <c r="A324" s="8" t="inlineStr">
        <is>
          <t>M</t>
        </is>
      </c>
      <c r="B324" s="9" t="inlineStr">
        <is>
          <t>100 Back</t>
        </is>
      </c>
      <c r="C324" s="9" t="n">
        <v>23</v>
      </c>
      <c r="D324" s="9" t="n">
        <v>3</v>
      </c>
      <c r="E324" s="41" t="inlineStr">
        <is>
          <t>53.97</t>
        </is>
      </c>
      <c r="F324" s="35">
        <f>IFERROR(__xludf.DUMMYFUNCTION("IF(
  REGEXMATCH(E324, "":""),
  60*VALUE(INDEX(SPLIT(E324, "":""),1,1)) + VALUE(INDEX(SPLIT(E324, "":""),1,2)),
  VALUE(E324)
)"),53.97)</f>
        <v/>
      </c>
      <c r="G324" s="215">
        <f>C308</f>
        <v/>
      </c>
      <c r="H324" s="215">
        <f>C317</f>
        <v/>
      </c>
      <c r="I324" s="215">
        <f>C322</f>
        <v/>
      </c>
      <c r="J324" s="215">
        <f>C325</f>
        <v/>
      </c>
      <c r="K324" s="43">
        <f>IFS(H324=21,1,I324=21,2,J324=21,3,and(H324=20,I324=22),1.5, and(I324=20,J324=22),2.5,H324&gt;21,0.5)</f>
        <v/>
      </c>
      <c r="L324" s="43">
        <f t="array" ref="L324">INDEX('Podium Target Times'!$C:$C, MATCH(A324&amp;B324, 'Podium Target Times'!$A:$A&amp;'Podium Target Times'!$B:$B, 0))
</f>
        <v/>
      </c>
      <c r="M324" s="64">
        <f>IFS(K324=0.5,L324,K324=1,L324, K324=1.5, L324, K324=2, L325, K324=2.5, L325, K324=3, M325+(F324-F325))</f>
        <v/>
      </c>
      <c r="N324" s="43">
        <f>IF(M324&lt;60, TEXT(M324, "0.00"), TEXT(M324/(24*60*60), "M:SS.00"))</f>
        <v/>
      </c>
      <c r="O324" s="14">
        <f>IFERROR(__xludf.DUMMYFUNCTION("LET(
  gen,$A324, ev,$B324, t,$N324,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P324" s="65" t="n"/>
      <c r="Q324" s="65" t="n"/>
      <c r="R324" s="69" t="n"/>
      <c r="S324" s="65" t="n"/>
      <c r="T324" s="69" t="n"/>
      <c r="U324" s="58" t="n"/>
      <c r="V324" s="69" t="n"/>
      <c r="W324" s="65" t="n"/>
      <c r="X324" s="65" t="n"/>
      <c r="Y324" s="65" t="n"/>
    </row>
    <row r="325">
      <c r="A325" s="17" t="inlineStr">
        <is>
          <t>M</t>
        </is>
      </c>
      <c r="B325" s="18" t="inlineStr">
        <is>
          <t>100 Back</t>
        </is>
      </c>
      <c r="C325" s="18" t="n">
        <v>24</v>
      </c>
      <c r="D325" s="18" t="n">
        <v>3</v>
      </c>
      <c r="E325" s="46" t="inlineStr">
        <is>
          <t>53.94</t>
        </is>
      </c>
      <c r="F325" s="21">
        <f>IFERROR(__xludf.DUMMYFUNCTION("IF(
  REGEXMATCH(E325, "":""),
  60*VALUE(INDEX(SPLIT(E325, "":""),1,1)) + VALUE(INDEX(SPLIT(E325, "":""),1,2)),
  VALUE(E325)
)"),53.94)</f>
        <v/>
      </c>
      <c r="G325" s="211">
        <f>C308</f>
        <v/>
      </c>
      <c r="H325" s="211">
        <f>C317</f>
        <v/>
      </c>
      <c r="I325" s="211">
        <f>C322</f>
        <v/>
      </c>
      <c r="J325" s="211">
        <f>C325</f>
        <v/>
      </c>
      <c r="K325" s="60">
        <f>IFS(H325=21,1,I325=21,2,J325=21,3,and(H325=20,I325=22),1.5, and(I325=20,J325=22),2.5,H325&gt;21,0.5)</f>
        <v/>
      </c>
      <c r="L325" s="60">
        <f t="array" ref="L325">INDEX('Podium Target Times'!$C:$C, MATCH(A325&amp;B325, 'Podium Target Times'!$A:$A&amp;'Podium Target Times'!$B:$B, 0))
</f>
        <v/>
      </c>
      <c r="M325" s="66">
        <f>IFS(K325=0.5,L325,K325=1,L325, K325=1.5, L325, K325=2, L325, K325=2.5, L325, K325=3, L325)</f>
        <v/>
      </c>
      <c r="N325" s="60">
        <f>IF(M325&lt;60, TEXT(M325, "0.00"), TEXT(M325/(24*60*60), "M:SS.00"))</f>
        <v/>
      </c>
      <c r="O325" s="25">
        <f>IFERROR(__xludf.DUMMYFUNCTION("LET(
  gen,$A325, ev,$B325, t,$N325,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)"),782.0)</f>
        <v/>
      </c>
      <c r="P325" s="65" t="n"/>
      <c r="Q325" s="65" t="n"/>
      <c r="R325" s="69" t="n"/>
      <c r="S325" s="65" t="n"/>
      <c r="T325" s="69" t="n"/>
      <c r="U325" s="58" t="n"/>
      <c r="V325" s="69" t="n"/>
      <c r="W325" s="65" t="n"/>
      <c r="X325" s="65" t="n"/>
      <c r="Y325" s="65" t="n"/>
    </row>
    <row r="326">
      <c r="A326" s="8" t="inlineStr">
        <is>
          <t>M</t>
        </is>
      </c>
      <c r="B326" s="9" t="inlineStr">
        <is>
          <t>100 Breast</t>
        </is>
      </c>
      <c r="C326" s="9" t="n">
        <v>16</v>
      </c>
      <c r="D326" s="9" t="n">
        <v>1</v>
      </c>
      <c r="E326" s="41" t="inlineStr">
        <is>
          <t>1:04.06</t>
        </is>
      </c>
      <c r="F326" s="35">
        <f>IFERROR(__xludf.DUMMYFUNCTION("IF(
  REGEXMATCH(E326, "":""),
  60*VALUE(INDEX(SPLIT(E326, "":""),1,1)) + VALUE(INDEX(SPLIT(E326, "":""),1,2)),
  VALUE(E326)
)"),64.06)</f>
        <v/>
      </c>
      <c r="G326" s="43">
        <f>C326</f>
        <v/>
      </c>
      <c r="H326" s="43">
        <f>C335</f>
        <v/>
      </c>
      <c r="I326" s="43">
        <f>C340</f>
        <v/>
      </c>
      <c r="J326" s="43">
        <f>C343</f>
        <v/>
      </c>
      <c r="K326" s="43">
        <f>IFS(H326=21,1,I326=21,2,J326=21,3,and(H326=20,I326=22),1.5, and(I326=20,J326=22),2.5,H326&gt;21,0.5)</f>
        <v/>
      </c>
      <c r="L326" s="43">
        <f t="array" ref="L326">INDEX('Podium Target Times'!$C:$C, MATCH(A326&amp;B326, 'Podium Target Times'!$A:$A&amp;'Podium Target Times'!$B:$B, 0))
</f>
        <v/>
      </c>
      <c r="M326" s="64">
        <f>IFS(K326=0.5,M327+(F326-F327),K326=1,M327+(F326-F327), K326=1.5, M327+(F326-F327), K326=2, M327+(F326-F327), K326=2.5, M327+(F326-F327), K326=3, M327+(F326-F327))</f>
        <v/>
      </c>
      <c r="N326" s="43">
        <f>IF(M326&lt;60, TEXT(M326, "0.00"), TEXT(M326/(24*60*60), "M:SS.00"))</f>
        <v/>
      </c>
      <c r="O326" s="14">
        <f>IFERROR(__xludf.DUMMYFUNCTION("LET(
  gen,$A326, ev,$B326, t,$N326,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)"),611.0)</f>
        <v/>
      </c>
      <c r="P326" s="65" t="n"/>
      <c r="Q326" s="65" t="n"/>
      <c r="R326" s="69">
        <f>A326</f>
        <v/>
      </c>
      <c r="S326" s="65">
        <f>B326</f>
        <v/>
      </c>
      <c r="T326" s="69">
        <f>C326</f>
        <v/>
      </c>
      <c r="U326" s="58">
        <f>N326</f>
        <v/>
      </c>
      <c r="V326" s="69">
        <f>O326</f>
        <v/>
      </c>
      <c r="W326" s="65" t="n"/>
      <c r="X326" s="65" t="n"/>
      <c r="Y326" s="65" t="n"/>
    </row>
    <row r="327">
      <c r="A327" s="17" t="inlineStr">
        <is>
          <t>M</t>
        </is>
      </c>
      <c r="B327" s="18" t="inlineStr">
        <is>
          <t>100 Breast</t>
        </is>
      </c>
      <c r="C327" s="18" t="n">
        <v>17</v>
      </c>
      <c r="D327" s="18" t="n">
        <v>1</v>
      </c>
      <c r="E327" s="46" t="inlineStr">
        <is>
          <t>1:02.45</t>
        </is>
      </c>
      <c r="F327" s="21">
        <f>IFERROR(__xludf.DUMMYFUNCTION("IF(
  REGEXMATCH(E327, "":""),
  60*VALUE(INDEX(SPLIT(E327, "":""),1,1)) + VALUE(INDEX(SPLIT(E327, "":""),1,2)),
  VALUE(E327)
)"),62.45)</f>
        <v/>
      </c>
      <c r="G327" s="211">
        <f>C326</f>
        <v/>
      </c>
      <c r="H327" s="211">
        <f>C335</f>
        <v/>
      </c>
      <c r="I327" s="211">
        <f>C340</f>
        <v/>
      </c>
      <c r="J327" s="211">
        <f>C343</f>
        <v/>
      </c>
      <c r="K327" s="60">
        <f>IFS(H327=21,1,I327=21,2,J327=21,3,and(H327=20,I327=22),1.5, and(I327=20,J327=22),2.5,H327&gt;21,0.5)</f>
        <v/>
      </c>
      <c r="L327" s="60">
        <f t="array" ref="L327">INDEX('Podium Target Times'!$C:$C, MATCH(A327&amp;B327, 'Podium Target Times'!$A:$A&amp;'Podium Target Times'!$B:$B, 0))
</f>
        <v/>
      </c>
      <c r="M327" s="66">
        <f>IFS(K327=0.5,M328+(F327-F329),K327=1,M328+(F327-F329), K327=1.5, M329+(F328-F330), K327=2, M329+(F328-F330), K327=2.5, M329+(F328-F330), K327=3, M329+(F328-F330))</f>
        <v/>
      </c>
      <c r="N327" s="60">
        <f>IF(M327&lt;60, TEXT(M327, "0.00"), TEXT(M327/(24*60*60), "M:SS.00"))</f>
        <v/>
      </c>
      <c r="O327" s="25">
        <f>IFERROR(__xludf.DUMMYFUNCTION("LET(
  gen,$A327, ev,$B327, t,$N327,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
      </c>
      <c r="P327" s="65" t="n"/>
      <c r="Q327" s="65" t="n"/>
      <c r="R327" s="69">
        <f>A327</f>
        <v/>
      </c>
      <c r="S327" s="65">
        <f>B327</f>
        <v/>
      </c>
      <c r="T327" s="69">
        <f>C327</f>
        <v/>
      </c>
      <c r="U327" s="58">
        <f>N327</f>
        <v/>
      </c>
      <c r="V327" s="69">
        <f>O327</f>
        <v/>
      </c>
      <c r="W327" s="65" t="n"/>
      <c r="X327" s="65" t="n"/>
      <c r="Y327" s="65" t="n"/>
    </row>
    <row r="328">
      <c r="A328" s="8" t="inlineStr">
        <is>
          <t>M</t>
        </is>
      </c>
      <c r="B328" s="9" t="inlineStr">
        <is>
          <t>100 Breast</t>
        </is>
      </c>
      <c r="C328" s="9" t="n">
        <v>17</v>
      </c>
      <c r="D328" s="9" t="n">
        <v>2</v>
      </c>
      <c r="E328" s="41" t="inlineStr">
        <is>
          <t>1:03.26</t>
        </is>
      </c>
      <c r="F328" s="35">
        <f>IFERROR(__xludf.DUMMYFUNCTION("IF(
  REGEXMATCH(E328, "":""),
  60*VALUE(INDEX(SPLIT(E328, "":""),1,1)) + VALUE(INDEX(SPLIT(E328, "":""),1,2)),
  VALUE(E328)
)"),63.26)</f>
        <v/>
      </c>
      <c r="G328" s="215">
        <f>C326</f>
        <v/>
      </c>
      <c r="H328" s="215">
        <f>C335</f>
        <v/>
      </c>
      <c r="I328" s="215">
        <f>C340</f>
        <v/>
      </c>
      <c r="J328" s="215">
        <f>C343</f>
        <v/>
      </c>
      <c r="K328" s="43">
        <f>IFS(H328=21,1,I328=21,2,J328=21,3,and(H328=20,I328=22),1.5, and(I328=20,J328=22),2.5,H328&gt;21,0.5)</f>
        <v/>
      </c>
      <c r="L328" s="43">
        <f t="array" ref="L328">INDEX('Podium Target Times'!$C:$C, MATCH(A328&amp;B328, 'Podium Target Times'!$A:$A&amp;'Podium Target Times'!$B:$B, 0))
</f>
        <v/>
      </c>
      <c r="M328" s="64">
        <f>IFS(K328=0.5,M329+(F328-F331),K328=1,M329+(F328-F331), K328=1.5, M329+(F328-F330), K328=2, M329+(F328-F330), K328=2.5, M329+(F328-F330), K328=3, M329+(F328-F330))</f>
        <v/>
      </c>
      <c r="N328" s="43">
        <f>IF(M328&lt;60, TEXT(M328, "0.00"), TEXT(M328/(24*60*60), "M:SS.00"))</f>
        <v/>
      </c>
      <c r="O328" s="14">
        <f>IFERROR(__xludf.DUMMYFUNCTION("LET(
  gen,$A328, ev,$B328, t,$N328,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)"),658.0)</f>
        <v/>
      </c>
      <c r="P328" s="65" t="n"/>
      <c r="Q328" s="65" t="n"/>
      <c r="R328" s="69">
        <f>A329</f>
        <v/>
      </c>
      <c r="S328" s="65">
        <f>B329</f>
        <v/>
      </c>
      <c r="T328" s="69">
        <f>C329</f>
        <v/>
      </c>
      <c r="U328" s="58">
        <f>N329</f>
        <v/>
      </c>
      <c r="V328" s="69">
        <f>O329</f>
        <v/>
      </c>
      <c r="W328" s="65" t="n"/>
      <c r="X328" s="65" t="n"/>
      <c r="Y328" s="65" t="n"/>
    </row>
    <row r="329">
      <c r="A329" s="17" t="inlineStr">
        <is>
          <t>M</t>
        </is>
      </c>
      <c r="B329" s="18" t="inlineStr">
        <is>
          <t>100 Breast</t>
        </is>
      </c>
      <c r="C329" s="18" t="n">
        <v>18</v>
      </c>
      <c r="D329" s="18" t="n">
        <v>1</v>
      </c>
      <c r="E329" s="46" t="inlineStr">
        <is>
          <t>1:01.25</t>
        </is>
      </c>
      <c r="F329" s="21">
        <f>IFERROR(__xludf.DUMMYFUNCTION("IF(
  REGEXMATCH(E329, "":""),
  60*VALUE(INDEX(SPLIT(E329, "":""),1,1)) + VALUE(INDEX(SPLIT(E329, "":""),1,2)),
  VALUE(E329)
)"),61.25)</f>
        <v/>
      </c>
      <c r="G329" s="211">
        <f>C326</f>
        <v/>
      </c>
      <c r="H329" s="211">
        <f>C335</f>
        <v/>
      </c>
      <c r="I329" s="211">
        <f>C340</f>
        <v/>
      </c>
      <c r="J329" s="211">
        <f>C343</f>
        <v/>
      </c>
      <c r="K329" s="60">
        <f>IFS(H329=21,1,I329=21,2,J329=21,3,and(H329=20,I329=22),1.5, and(I329=20,J329=22),2.5,H329&gt;21,0.5)</f>
        <v/>
      </c>
      <c r="L329" s="60">
        <f t="array" ref="L329">INDEX('Podium Target Times'!$C:$C, MATCH(A329&amp;B329, 'Podium Target Times'!$A:$A&amp;'Podium Target Times'!$B:$B, 0))
</f>
        <v/>
      </c>
      <c r="M329" s="66">
        <f>IFS(K329=0.5,M330+(F329-F332),K329=1,M330+(F329-F332), K329=1.5, M332+(F330-F333), K329=2, M332+(F330-F333), K329=2.5, M332+(F331-F334), K329=3, M332+(F331-F334))</f>
        <v/>
      </c>
      <c r="N329" s="60">
        <f>IF(M329&lt;60, TEXT(M329, "0.00"), TEXT(M329/(24*60*60), "M:SS.00"))</f>
        <v/>
      </c>
      <c r="O329" s="25">
        <f>IFERROR(__xludf.DUMMYFUNCTION("LET(
  gen,$A329, ev,$B329, t,$N329,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
      </c>
      <c r="P329" s="65" t="n"/>
      <c r="Q329" s="65" t="n"/>
      <c r="R329" s="69">
        <f>A332</f>
        <v/>
      </c>
      <c r="S329" s="65">
        <f>B332</f>
        <v/>
      </c>
      <c r="T329" s="69">
        <f>C332</f>
        <v/>
      </c>
      <c r="U329" s="58">
        <f>N332</f>
        <v/>
      </c>
      <c r="V329" s="69">
        <f>O332</f>
        <v/>
      </c>
      <c r="W329" s="65" t="n"/>
      <c r="X329" s="65" t="n"/>
      <c r="Y329" s="65" t="n"/>
    </row>
    <row r="330">
      <c r="A330" s="8" t="inlineStr">
        <is>
          <t>M</t>
        </is>
      </c>
      <c r="B330" s="9" t="inlineStr">
        <is>
          <t>100 Breast</t>
        </is>
      </c>
      <c r="C330" s="9" t="n">
        <v>18</v>
      </c>
      <c r="D330" s="9" t="n">
        <v>2</v>
      </c>
      <c r="E330" s="41" t="inlineStr">
        <is>
          <t>1:02.05</t>
        </is>
      </c>
      <c r="F330" s="35">
        <f>IFERROR(__xludf.DUMMYFUNCTION("IF(
  REGEXMATCH(E330, "":""),
  60*VALUE(INDEX(SPLIT(E330, "":""),1,1)) + VALUE(INDEX(SPLIT(E330, "":""),1,2)),
  VALUE(E330)
)"),62.05)</f>
        <v/>
      </c>
      <c r="G330" s="215">
        <f>C326</f>
        <v/>
      </c>
      <c r="H330" s="215">
        <f>C335</f>
        <v/>
      </c>
      <c r="I330" s="215">
        <f>C340</f>
        <v/>
      </c>
      <c r="J330" s="215">
        <f>C343</f>
        <v/>
      </c>
      <c r="K330" s="43">
        <f>IFS(H330=21,1,I330=21,2,J330=21,3,and(H330=20,I330=22),1.5, and(I330=20,J330=22),2.5,H330&gt;21,0.5)</f>
        <v/>
      </c>
      <c r="L330" s="43">
        <f t="array" ref="L330">INDEX('Podium Target Times'!$C:$C, MATCH(A330&amp;B330, 'Podium Target Times'!$A:$A&amp;'Podium Target Times'!$B:$B, 0))
</f>
        <v/>
      </c>
      <c r="M330" s="64">
        <f>IFS(K330=0.5,M331+(F329-F332),K330=1,M331+(F329-F332), K330=1.5, M332+(F330-F333), K330=2, M332+(F330-F333), K330=2.5, M332+(F331-F334), K330=3, M332+(F331-F334))</f>
        <v/>
      </c>
      <c r="N330" s="43">
        <f>IF(M330&lt;60, TEXT(M330, "0.00"), TEXT(M330/(24*60*60), "M:SS.00"))</f>
        <v/>
      </c>
      <c r="O330" s="14">
        <f>IFERROR(__xludf.DUMMYFUNCTION("LET(
  gen,$A330, ev,$B330, t,$N330,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
      </c>
      <c r="P330" s="65" t="n"/>
      <c r="Q330" s="65" t="n"/>
      <c r="R330" s="69">
        <f>A335</f>
        <v/>
      </c>
      <c r="S330" s="65">
        <f>B335</f>
        <v/>
      </c>
      <c r="T330" s="69">
        <f>C335</f>
        <v/>
      </c>
      <c r="U330" s="58">
        <f>N335</f>
        <v/>
      </c>
      <c r="V330" s="69">
        <f>O335</f>
        <v/>
      </c>
      <c r="W330" s="65" t="n"/>
      <c r="X330" s="65" t="n"/>
      <c r="Y330" s="65" t="n"/>
    </row>
    <row r="331">
      <c r="A331" s="17" t="inlineStr">
        <is>
          <t>M</t>
        </is>
      </c>
      <c r="B331" s="18" t="inlineStr">
        <is>
          <t>100 Breast</t>
        </is>
      </c>
      <c r="C331" s="18" t="n">
        <v>18</v>
      </c>
      <c r="D331" s="18" t="n">
        <v>3</v>
      </c>
      <c r="E331" s="46" t="inlineStr">
        <is>
          <t>1:02.46</t>
        </is>
      </c>
      <c r="F331" s="21">
        <f>IFERROR(__xludf.DUMMYFUNCTION("IF(
  REGEXMATCH(E331, "":""),
  60*VALUE(INDEX(SPLIT(E331, "":""),1,1)) + VALUE(INDEX(SPLIT(E331, "":""),1,2)),
  VALUE(E331)
)"),62.46)</f>
        <v/>
      </c>
      <c r="G331" s="211">
        <f>C326</f>
        <v/>
      </c>
      <c r="H331" s="211">
        <f>C335</f>
        <v/>
      </c>
      <c r="I331" s="211">
        <f>C340</f>
        <v/>
      </c>
      <c r="J331" s="211">
        <f>C343</f>
        <v/>
      </c>
      <c r="K331" s="60">
        <f>IFS(H331=21,1,I331=21,2,J331=21,3,and(H331=20,I331=22),1.5, and(I331=20,J331=22),2.5,H331&gt;21,0.5)</f>
        <v/>
      </c>
      <c r="L331" s="60">
        <f t="array" ref="L331">INDEX('Podium Target Times'!$C:$C, MATCH(A331&amp;B331, 'Podium Target Times'!$A:$A&amp;'Podium Target Times'!$B:$B, 0))
</f>
        <v/>
      </c>
      <c r="M331" s="66">
        <f>IFS(K331=0.5,M332+(F329-F332),K331=1,M332+(F329-F332), K331=1.5, M332+(F330-F333), K331=2, M332+(F330-F333), K331=2.5, M332+(F331-F334), K331=3, M332+(F331-F334))</f>
        <v/>
      </c>
      <c r="N331" s="60">
        <f>IF(M331&lt;60, TEXT(M331, "0.00"), TEXT(M331/(24*60*60), "M:SS.00"))</f>
        <v/>
      </c>
      <c r="O331" s="25">
        <f>IFERROR(__xludf.DUMMYFUNCTION("LET(
  gen,$A331, ev,$B331, t,$N331,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
      </c>
      <c r="P331" s="65" t="n"/>
      <c r="Q331" s="65" t="n"/>
      <c r="R331" s="69">
        <f>A338</f>
        <v/>
      </c>
      <c r="S331" s="65">
        <f>B338</f>
        <v/>
      </c>
      <c r="T331" s="69">
        <f>C338</f>
        <v/>
      </c>
      <c r="U331" s="58">
        <f>N338</f>
        <v/>
      </c>
      <c r="V331" s="69">
        <f>O338</f>
        <v/>
      </c>
      <c r="W331" s="65" t="n"/>
      <c r="X331" s="65" t="n"/>
      <c r="Y331" s="65" t="n"/>
    </row>
    <row r="332">
      <c r="A332" s="8" t="inlineStr">
        <is>
          <t>M</t>
        </is>
      </c>
      <c r="B332" s="9" t="inlineStr">
        <is>
          <t>100 Breast</t>
        </is>
      </c>
      <c r="C332" s="9" t="n">
        <v>19</v>
      </c>
      <c r="D332" s="9" t="n">
        <v>1</v>
      </c>
      <c r="E332" s="41" t="inlineStr">
        <is>
          <t>1:00.37</t>
        </is>
      </c>
      <c r="F332" s="35">
        <f>IFERROR(__xludf.DUMMYFUNCTION("IF(
  REGEXMATCH(E332, "":""),
  60*VALUE(INDEX(SPLIT(E332, "":""),1,1)) + VALUE(INDEX(SPLIT(E332, "":""),1,2)),
  VALUE(E332)
)"),60.37)</f>
        <v/>
      </c>
      <c r="G332" s="215">
        <f>C326</f>
        <v/>
      </c>
      <c r="H332" s="215">
        <f>C335</f>
        <v/>
      </c>
      <c r="I332" s="215">
        <f>C340</f>
        <v/>
      </c>
      <c r="J332" s="215">
        <f>C343</f>
        <v/>
      </c>
      <c r="K332" s="43">
        <f>IFS(H332=21,1,I332=21,2,J332=21,3,and(H332=20,I332=22),1.5, and(I332=20,J332=22),2.5,H332&gt;21,0.5)</f>
        <v/>
      </c>
      <c r="L332" s="43">
        <f t="array" ref="L332">INDEX('Podium Target Times'!$C:$C, MATCH(A332&amp;B332, 'Podium Target Times'!$A:$A&amp;'Podium Target Times'!$B:$B, 0))
</f>
        <v/>
      </c>
      <c r="M332" s="64">
        <f>IFS(K332=0.5,L332,K332=1,U330+(F332-F335), K332=1.5, M335+(F333-F336), K332=2, M335+(F333-F336), K332=2.5, M335+(F334-F337), K332=3, M335+(F334-F337))</f>
        <v/>
      </c>
      <c r="N332" s="43">
        <f>IF(M332&lt;60, TEXT(M332, "0.00"), TEXT(M332/(24*60*60), "M:SS.00"))</f>
        <v/>
      </c>
      <c r="O332" s="14">
        <f>IFERROR(__xludf.DUMMYFUNCTION("LET(
  gen,$A332, ev,$B332, t,$N332,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
      </c>
      <c r="P332" s="65" t="n"/>
      <c r="Q332" s="65" t="n"/>
      <c r="R332" s="69" t="n"/>
      <c r="S332" s="65" t="n"/>
      <c r="T332" s="69" t="n"/>
      <c r="U332" s="58" t="n"/>
      <c r="V332" s="69" t="n"/>
      <c r="W332" s="65" t="n"/>
      <c r="X332" s="65" t="n"/>
      <c r="Y332" s="65" t="n"/>
    </row>
    <row r="333">
      <c r="A333" s="17" t="inlineStr">
        <is>
          <t>M</t>
        </is>
      </c>
      <c r="B333" s="18" t="inlineStr">
        <is>
          <t>100 Breast</t>
        </is>
      </c>
      <c r="C333" s="18" t="n">
        <v>19</v>
      </c>
      <c r="D333" s="18" t="n">
        <v>2</v>
      </c>
      <c r="E333" s="46" t="inlineStr">
        <is>
          <t>1:01.16</t>
        </is>
      </c>
      <c r="F333" s="21">
        <f>IFERROR(__xludf.DUMMYFUNCTION("IF(
  REGEXMATCH(E333, "":""),
  60*VALUE(INDEX(SPLIT(E333, "":""),1,1)) + VALUE(INDEX(SPLIT(E333, "":""),1,2)),
  VALUE(E333)
)"),61.16)</f>
        <v/>
      </c>
      <c r="G333" s="211">
        <f>C326</f>
        <v/>
      </c>
      <c r="H333" s="211">
        <f>C335</f>
        <v/>
      </c>
      <c r="I333" s="211">
        <f>C340</f>
        <v/>
      </c>
      <c r="J333" s="211">
        <f>C343</f>
        <v/>
      </c>
      <c r="K333" s="60">
        <f>IFS(H333=21,1,I333=21,2,J333=21,3,and(H333=20,I333=22),1.5, and(I333=20,J333=22),2.5,H333&gt;21,0.5)</f>
        <v/>
      </c>
      <c r="L333" s="60">
        <f t="array" ref="L333">INDEX('Podium Target Times'!$C:$C, MATCH(A333&amp;B333, 'Podium Target Times'!$A:$A&amp;'Podium Target Times'!$B:$B, 0))
</f>
        <v/>
      </c>
      <c r="M333" s="66">
        <f>IFS(K333=0.5,L333,K333=1,U330+(F332-F335), K333=1.5, M335+(F333-F336), K333=2, M335+(F333-F336), K333=2.5, M335+(F334-F337), K333=3, M335+(F334-F337))</f>
        <v/>
      </c>
      <c r="N333" s="60">
        <f>IF(M333&lt;60, TEXT(M333, "0.00"), TEXT(M333/(24*60*60), "M:SS.00"))</f>
        <v/>
      </c>
      <c r="O333" s="25">
        <f>IFERROR(__xludf.DUMMYFUNCTION("LET(
  gen,$A333, ev,$B333, t,$N333,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
      </c>
      <c r="P333" s="65" t="n"/>
      <c r="Q333" s="65" t="n"/>
      <c r="R333" s="69" t="n"/>
      <c r="S333" s="65" t="n"/>
      <c r="T333" s="69" t="n"/>
      <c r="U333" s="58" t="n"/>
      <c r="V333" s="69" t="n"/>
      <c r="W333" s="65" t="n"/>
      <c r="X333" s="65" t="n"/>
      <c r="Y333" s="65" t="n"/>
    </row>
    <row r="334">
      <c r="A334" s="8" t="inlineStr">
        <is>
          <t>M</t>
        </is>
      </c>
      <c r="B334" s="9" t="inlineStr">
        <is>
          <t>100 Breast</t>
        </is>
      </c>
      <c r="C334" s="9" t="n">
        <v>19</v>
      </c>
      <c r="D334" s="9" t="n">
        <v>3</v>
      </c>
      <c r="E334" s="41" t="inlineStr">
        <is>
          <t>1:01.57</t>
        </is>
      </c>
      <c r="F334" s="35">
        <f>IFERROR(__xludf.DUMMYFUNCTION("IF(
  REGEXMATCH(E334, "":""),
  60*VALUE(INDEX(SPLIT(E334, "":""),1,1)) + VALUE(INDEX(SPLIT(E334, "":""),1,2)),
  VALUE(E334)
)"),61.57)</f>
        <v/>
      </c>
      <c r="G334" s="215">
        <f>C326</f>
        <v/>
      </c>
      <c r="H334" s="215">
        <f>C335</f>
        <v/>
      </c>
      <c r="I334" s="215">
        <f>C340</f>
        <v/>
      </c>
      <c r="J334" s="215">
        <f>C343</f>
        <v/>
      </c>
      <c r="K334" s="43">
        <f>IFS(H334=21,1,I334=21,2,J334=21,3,and(H334=20,I334=22),1.5, and(I334=20,J334=22),2.5,H334&gt;21,0.5)</f>
        <v/>
      </c>
      <c r="L334" s="43">
        <f t="array" ref="L334">INDEX('Podium Target Times'!$C:$C, MATCH(A334&amp;B334, 'Podium Target Times'!$A:$A&amp;'Podium Target Times'!$B:$B, 0))
</f>
        <v/>
      </c>
      <c r="M334" s="64">
        <f>IFS(K334=0.5,L334,K334=1,U330+(F332-F335), K334=1.5, M335+(F333-F336), K334=2, M335+(F333-F336), K334=2.5, M335+(F334-F337), K334=3, M335+(F334-F337))</f>
        <v/>
      </c>
      <c r="N334" s="43">
        <f>IF(M334&lt;60, TEXT(M334, "0.00"), TEXT(M334/(24*60*60), "M:SS.00"))</f>
        <v/>
      </c>
      <c r="O334" s="14">
        <f>IFERROR(__xludf.DUMMYFUNCTION("LET(
  gen,$A334, ev,$B334, t,$N334,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)"),725.0)</f>
        <v/>
      </c>
      <c r="P334" s="65" t="n"/>
      <c r="Q334" s="65" t="n"/>
      <c r="R334" s="69" t="n"/>
      <c r="S334" s="65" t="n"/>
      <c r="T334" s="69" t="n"/>
      <c r="U334" s="58" t="n"/>
      <c r="V334" s="69" t="n"/>
      <c r="W334" s="65" t="n"/>
      <c r="X334" s="65" t="n"/>
      <c r="Y334" s="65" t="n"/>
    </row>
    <row r="335">
      <c r="A335" s="17" t="inlineStr">
        <is>
          <t>M</t>
        </is>
      </c>
      <c r="B335" s="18" t="inlineStr">
        <is>
          <t>100 Breast</t>
        </is>
      </c>
      <c r="C335" s="18" t="n">
        <v>20</v>
      </c>
      <c r="D335" s="18" t="n">
        <v>1</v>
      </c>
      <c r="E335" s="46" t="inlineStr">
        <is>
          <t>59.75</t>
        </is>
      </c>
      <c r="F335" s="21">
        <f>IFERROR(__xludf.DUMMYFUNCTION("IF(
  REGEXMATCH(E335, "":""),
  60*VALUE(INDEX(SPLIT(E335, "":""),1,1)) + VALUE(INDEX(SPLIT(E335, "":""),1,2)),
  VALUE(E335)
)"),59.75)</f>
        <v/>
      </c>
      <c r="G335" s="211">
        <f>C326</f>
        <v/>
      </c>
      <c r="H335" s="211">
        <f>C335</f>
        <v/>
      </c>
      <c r="I335" s="211">
        <f>C340</f>
        <v/>
      </c>
      <c r="J335" s="211">
        <f>C343</f>
        <v/>
      </c>
      <c r="K335" s="60">
        <f>IFS(H335=21,1,I335=21,2,J335=21,3,and(H335=20,I335=22),1.5, and(I335=20,J335=22),2.5,H335&gt;21,0.5)</f>
        <v/>
      </c>
      <c r="L335" s="60">
        <f t="array" ref="L335">INDEX('Podium Target Times'!$C:$C, MATCH(A335&amp;B335, 'Podium Target Times'!$A:$A&amp;'Podium Target Times'!$B:$B, 0))
</f>
        <v/>
      </c>
      <c r="M335" s="66">
        <f>IFS(K335=0.5,L335,K335=1,L335, K335=1.5, M338+(F336-F338), K335=2, M338+(F336-F338), K335=2.5, M338+(F337-F339), K335=3, M338+(F337-F339))</f>
        <v/>
      </c>
      <c r="N335" s="60">
        <f>IF(M335&lt;60, TEXT(M335, "0.00"), TEXT(M335/(24*60*60), "M:SS.00"))</f>
        <v/>
      </c>
      <c r="O335" s="25">
        <f>IFERROR(__xludf.DUMMYFUNCTION("LET(
  gen,$A335, ev,$B335, t,$N335,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335" s="65" t="n"/>
      <c r="Q335" s="65" t="n"/>
      <c r="R335" s="69" t="n"/>
      <c r="S335" s="65" t="n"/>
      <c r="T335" s="69" t="n"/>
      <c r="U335" s="58" t="n"/>
      <c r="V335" s="69" t="n"/>
      <c r="W335" s="65" t="n"/>
      <c r="X335" s="65" t="n"/>
      <c r="Y335" s="65" t="n"/>
    </row>
    <row r="336">
      <c r="A336" s="8" t="inlineStr">
        <is>
          <t>M</t>
        </is>
      </c>
      <c r="B336" s="9" t="inlineStr">
        <is>
          <t>100 Breast</t>
        </is>
      </c>
      <c r="C336" s="9" t="n">
        <v>20</v>
      </c>
      <c r="D336" s="9" t="n">
        <v>2</v>
      </c>
      <c r="E336" s="41" t="inlineStr">
        <is>
          <t>1:00.53</t>
        </is>
      </c>
      <c r="F336" s="35">
        <f>IFERROR(__xludf.DUMMYFUNCTION("IF(
  REGEXMATCH(E336, "":""),
  60*VALUE(INDEX(SPLIT(E336, "":""),1,1)) + VALUE(INDEX(SPLIT(E336, "":""),1,2)),
  VALUE(E336)
)"),60.53)</f>
        <v/>
      </c>
      <c r="G336" s="215">
        <f>C326</f>
        <v/>
      </c>
      <c r="H336" s="215">
        <f>C335</f>
        <v/>
      </c>
      <c r="I336" s="215">
        <f>C340</f>
        <v/>
      </c>
      <c r="J336" s="215">
        <f>C343</f>
        <v/>
      </c>
      <c r="K336" s="43">
        <f>IFS(H336=21,1,I336=21,2,J336=21,3,and(H336=20,I336=22),1.5, and(I336=20,J336=22),2.5,H336&gt;21,0.5)</f>
        <v/>
      </c>
      <c r="L336" s="43">
        <f t="array" ref="L336">INDEX('Podium Target Times'!$C:$C, MATCH(A336&amp;B336, 'Podium Target Times'!$A:$A&amp;'Podium Target Times'!$B:$B, 0))
</f>
        <v/>
      </c>
      <c r="M336" s="64">
        <f>IFS(K336=0.5,L336,K336=1,L336, K336=1.5, M338+(F336-F338), K336=2, M338+(F336-F338), K336=2.5, M338+(F337-F339), K336=3, M338+(F337-F339))</f>
        <v/>
      </c>
      <c r="N336" s="43">
        <f>IF(M336&lt;60, TEXT(M336, "0.00"), TEXT(M336/(24*60*60), "M:SS.00"))</f>
        <v/>
      </c>
      <c r="O336" s="14">
        <f>IFERROR(__xludf.DUMMYFUNCTION("LET(
  gen,$A336, ev,$B336, t,$N336,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336" s="65" t="n"/>
      <c r="Q336" s="65" t="n"/>
      <c r="R336" s="69" t="n"/>
      <c r="S336" s="65" t="n"/>
      <c r="T336" s="69" t="n"/>
      <c r="U336" s="58" t="n"/>
      <c r="V336" s="69" t="n"/>
      <c r="W336" s="65" t="n"/>
      <c r="X336" s="65" t="n"/>
      <c r="Y336" s="65" t="n"/>
    </row>
    <row r="337">
      <c r="A337" s="17" t="inlineStr">
        <is>
          <t>M</t>
        </is>
      </c>
      <c r="B337" s="18" t="inlineStr">
        <is>
          <t>100 Breast</t>
        </is>
      </c>
      <c r="C337" s="18" t="n">
        <v>20</v>
      </c>
      <c r="D337" s="18" t="n">
        <v>3</v>
      </c>
      <c r="E337" s="46" t="inlineStr">
        <is>
          <t>1:00.93</t>
        </is>
      </c>
      <c r="F337" s="21">
        <f>IFERROR(__xludf.DUMMYFUNCTION("IF(
  REGEXMATCH(E337, "":""),
  60*VALUE(INDEX(SPLIT(E337, "":""),1,1)) + VALUE(INDEX(SPLIT(E337, "":""),1,2)),
  VALUE(E337)
)"),60.93)</f>
        <v/>
      </c>
      <c r="G337" s="211">
        <f>C326</f>
        <v/>
      </c>
      <c r="H337" s="211">
        <f>C335</f>
        <v/>
      </c>
      <c r="I337" s="211">
        <f>C340</f>
        <v/>
      </c>
      <c r="J337" s="211">
        <f>C343</f>
        <v/>
      </c>
      <c r="K337" s="60">
        <f>IFS(H337=21,1,I337=21,2,J337=21,3,and(H337=20,I337=22),1.5, and(I337=20,J337=22),2.5,H337&gt;21,0.5)</f>
        <v/>
      </c>
      <c r="L337" s="60">
        <f t="array" ref="L337">INDEX('Podium Target Times'!$C:$C, MATCH(A337&amp;B337, 'Podium Target Times'!$A:$A&amp;'Podium Target Times'!$B:$B, 0))
</f>
        <v/>
      </c>
      <c r="M337" s="66">
        <f>IFS(K337=0.5,L337,K337=1,L337, K337=1.5, M338+(F336-F338), K337=2, M338+(F336-F338), K337=2.5, M338+(F337-F339), K337=3, M338+(F337-F339))</f>
        <v/>
      </c>
      <c r="N337" s="60">
        <f>IF(M337&lt;60, TEXT(M337, "0.00"), TEXT(M337/(24*60*60), "M:SS.00"))</f>
        <v/>
      </c>
      <c r="O337" s="25">
        <f>IFERROR(__xludf.DUMMYFUNCTION("LET(
  gen,$A337, ev,$B337, t,$N337,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337" s="65" t="n"/>
      <c r="Q337" s="65" t="n"/>
      <c r="R337" s="69" t="n"/>
      <c r="S337" s="65" t="n"/>
      <c r="T337" s="69" t="n"/>
      <c r="U337" s="58" t="n"/>
      <c r="V337" s="69" t="n"/>
      <c r="W337" s="65" t="n"/>
      <c r="X337" s="65" t="n"/>
      <c r="Y337" s="65" t="n"/>
    </row>
    <row r="338">
      <c r="A338" s="8" t="inlineStr">
        <is>
          <t>M</t>
        </is>
      </c>
      <c r="B338" s="9" t="inlineStr">
        <is>
          <t>100 Breast</t>
        </is>
      </c>
      <c r="C338" s="9" t="n">
        <v>21</v>
      </c>
      <c r="D338" s="9" t="n">
        <v>2</v>
      </c>
      <c r="E338" s="41" t="inlineStr">
        <is>
          <t>1:00.09</t>
        </is>
      </c>
      <c r="F338" s="35">
        <f>IFERROR(__xludf.DUMMYFUNCTION("IF(
  REGEXMATCH(E338, "":""),
  60*VALUE(INDEX(SPLIT(E338, "":""),1,1)) + VALUE(INDEX(SPLIT(E338, "":""),1,2)),
  VALUE(E338)
)"),60.09)</f>
        <v/>
      </c>
      <c r="G338" s="215">
        <f>C326</f>
        <v/>
      </c>
      <c r="H338" s="215">
        <f>C335</f>
        <v/>
      </c>
      <c r="I338" s="215">
        <f>C340</f>
        <v/>
      </c>
      <c r="J338" s="215">
        <f>C343</f>
        <v/>
      </c>
      <c r="K338" s="43">
        <f>IFS(H338=21,1,I338=21,2,J338=21,3,and(H338=20,I338=22),1.5, and(I338=20,J338=22),2.5,H338&gt;21,0.5)</f>
        <v/>
      </c>
      <c r="L338" s="43">
        <f t="array" ref="L338">INDEX('Podium Target Times'!$C:$C, MATCH(A338&amp;B338, 'Podium Target Times'!$A:$A&amp;'Podium Target Times'!$B:$B, 0))
</f>
        <v/>
      </c>
      <c r="M338" s="64">
        <f>IFS(K338=0.5,L338,K338=1,L338, K338=1.5, L338, K338=2, M340+(F338-F340), K338=2.5, M340+(F339-F341), K338=3, M340+(F339-F341))</f>
        <v/>
      </c>
      <c r="N338" s="43">
        <f>IF(M338&lt;60, TEXT(M338, "0.00"), TEXT(M338/(24*60*60), "M:SS.00"))</f>
        <v/>
      </c>
      <c r="O338" s="14">
        <f>IFERROR(__xludf.DUMMYFUNCTION("LET(
  gen,$A338, ev,$B338, t,$N338,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338" s="65" t="n"/>
      <c r="Q338" s="65" t="n"/>
      <c r="R338" s="69" t="n"/>
      <c r="S338" s="65" t="n"/>
      <c r="T338" s="69" t="n"/>
      <c r="U338" s="58" t="n"/>
      <c r="V338" s="69" t="n"/>
      <c r="W338" s="65" t="n"/>
      <c r="X338" s="65" t="n"/>
      <c r="Y338" s="65" t="n"/>
    </row>
    <row r="339">
      <c r="A339" s="17" t="inlineStr">
        <is>
          <t>M</t>
        </is>
      </c>
      <c r="B339" s="18" t="inlineStr">
        <is>
          <t>100 Breast</t>
        </is>
      </c>
      <c r="C339" s="18" t="n">
        <v>21</v>
      </c>
      <c r="D339" s="18" t="n">
        <v>3</v>
      </c>
      <c r="E339" s="46" t="inlineStr">
        <is>
          <t>1:00.48</t>
        </is>
      </c>
      <c r="F339" s="21">
        <f>IFERROR(__xludf.DUMMYFUNCTION("IF(
  REGEXMATCH(E339, "":""),
  60*VALUE(INDEX(SPLIT(E339, "":""),1,1)) + VALUE(INDEX(SPLIT(E339, "":""),1,2)),
  VALUE(E339)
)"),60.48)</f>
        <v/>
      </c>
      <c r="G339" s="211">
        <f>C326</f>
        <v/>
      </c>
      <c r="H339" s="211">
        <f>C335</f>
        <v/>
      </c>
      <c r="I339" s="211">
        <f>C340</f>
        <v/>
      </c>
      <c r="J339" s="211">
        <f>C343</f>
        <v/>
      </c>
      <c r="K339" s="60">
        <f>IFS(H339=21,1,I339=21,2,J339=21,3,and(H339=20,I339=22),1.5, and(I339=20,J339=22),2.5,H339&gt;21,0.5)</f>
        <v/>
      </c>
      <c r="L339" s="60">
        <f t="array" ref="L339">INDEX('Podium Target Times'!$C:$C, MATCH(A339&amp;B339, 'Podium Target Times'!$A:$A&amp;'Podium Target Times'!$B:$B, 0))
</f>
        <v/>
      </c>
      <c r="M339" s="66">
        <f>IFS(K339=0.5,L339,K339=1,L339, K339=1.5, L339, K339=2, M340+(F338-F340), K339=2.5, M340+(F339-F341), K339=3, M340+(F339-F341))</f>
        <v/>
      </c>
      <c r="N339" s="60">
        <f>IF(M339&lt;60, TEXT(M339, "0.00"), TEXT(M339/(24*60*60), "M:SS.00"))</f>
        <v/>
      </c>
      <c r="O339" s="25">
        <f>IFERROR(__xludf.DUMMYFUNCTION("LET(
  gen,$A339, ev,$B339, t,$N339,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339" s="65" t="n"/>
      <c r="Q339" s="65" t="n"/>
      <c r="R339" s="69" t="n"/>
      <c r="S339" s="65" t="n"/>
      <c r="T339" s="69" t="n"/>
      <c r="U339" s="58" t="n"/>
      <c r="V339" s="69" t="n"/>
      <c r="W339" s="65" t="n"/>
      <c r="X339" s="65" t="n"/>
      <c r="Y339" s="65" t="n"/>
    </row>
    <row r="340">
      <c r="A340" s="8" t="inlineStr">
        <is>
          <t>M</t>
        </is>
      </c>
      <c r="B340" s="9" t="inlineStr">
        <is>
          <t>100 Breast</t>
        </is>
      </c>
      <c r="C340" s="9" t="n">
        <v>22</v>
      </c>
      <c r="D340" s="9" t="n">
        <v>2</v>
      </c>
      <c r="E340" s="41" t="inlineStr">
        <is>
          <t>59.75</t>
        </is>
      </c>
      <c r="F340" s="35">
        <f>IFERROR(__xludf.DUMMYFUNCTION("IF(
  REGEXMATCH(E340, "":""),
  60*VALUE(INDEX(SPLIT(E340, "":""),1,1)) + VALUE(INDEX(SPLIT(E340, "":""),1,2)),
  VALUE(E340)
)"),59.75)</f>
        <v/>
      </c>
      <c r="G340" s="215">
        <f>C326</f>
        <v/>
      </c>
      <c r="H340" s="215">
        <f>C335</f>
        <v/>
      </c>
      <c r="I340" s="215">
        <f>C340</f>
        <v/>
      </c>
      <c r="J340" s="215">
        <f>C343</f>
        <v/>
      </c>
      <c r="K340" s="43">
        <f>IFS(H340=21,1,I340=21,2,J340=21,3,and(H340=20,I340=22),1.5, and(I340=20,J340=22),2.5,H340&gt;21,0.5)</f>
        <v/>
      </c>
      <c r="L340" s="43">
        <f t="array" ref="L340">INDEX('Podium Target Times'!$C:$C, MATCH(A340&amp;B340, 'Podium Target Times'!$A:$A&amp;'Podium Target Times'!$B:$B, 0))
</f>
        <v/>
      </c>
      <c r="M340" s="64">
        <f>IFS(K340=0.5,L340,K340=1,L340, K340=1.5, L340, K340=2,L343, K340=2.5, M342+(F341-F342), K340=3,  M342+(F341-F342))</f>
        <v/>
      </c>
      <c r="N340" s="43">
        <f>IF(M340&lt;60, TEXT(M340, "0.00"), TEXT(M340/(24*60*60), "M:SS.00"))</f>
        <v/>
      </c>
      <c r="O340" s="14">
        <f>IFERROR(__xludf.DUMMYFUNCTION("LET(
  gen,$A340, ev,$B340, t,$N340,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340" s="65" t="n"/>
      <c r="Q340" s="65" t="n"/>
      <c r="R340" s="69" t="n"/>
      <c r="S340" s="65" t="n"/>
      <c r="T340" s="69" t="n"/>
      <c r="U340" s="58" t="n"/>
      <c r="V340" s="69" t="n"/>
      <c r="W340" s="65" t="n"/>
      <c r="X340" s="65" t="n"/>
      <c r="Y340" s="65" t="n"/>
    </row>
    <row r="341">
      <c r="A341" s="17" t="inlineStr">
        <is>
          <t>M</t>
        </is>
      </c>
      <c r="B341" s="18" t="inlineStr">
        <is>
          <t>100 Breast</t>
        </is>
      </c>
      <c r="C341" s="18" t="n">
        <v>22</v>
      </c>
      <c r="D341" s="18" t="n">
        <v>3</v>
      </c>
      <c r="E341" s="46" t="inlineStr">
        <is>
          <t>1:00.14</t>
        </is>
      </c>
      <c r="F341" s="21">
        <f>IFERROR(__xludf.DUMMYFUNCTION("IF(
  REGEXMATCH(E341, "":""),
  60*VALUE(INDEX(SPLIT(E341, "":""),1,1)) + VALUE(INDEX(SPLIT(E341, "":""),1,2)),
  VALUE(E341)
)"),60.14)</f>
        <v/>
      </c>
      <c r="G341" s="211">
        <f>C326</f>
        <v/>
      </c>
      <c r="H341" s="211">
        <f>C335</f>
        <v/>
      </c>
      <c r="I341" s="211">
        <f>C340</f>
        <v/>
      </c>
      <c r="J341" s="211">
        <f>C343</f>
        <v/>
      </c>
      <c r="K341" s="60">
        <f>IFS(H341=21,1,I341=21,2,J341=21,3,and(H341=20,I341=22),1.5, and(I341=20,J341=22),2.5,H341&gt;21,0.5)</f>
        <v/>
      </c>
      <c r="L341" s="60">
        <f t="array" ref="L341">INDEX('Podium Target Times'!$C:$C, MATCH(A341&amp;B341, 'Podium Target Times'!$A:$A&amp;'Podium Target Times'!$B:$B, 0))
</f>
        <v/>
      </c>
      <c r="M341" s="66">
        <f>IFS(K341=0.5,L341,K341=1,L341, K341=1.5, L341, K341=2, L343, K341=2.5, M342+(F341-F342), K341=3, M342+(F341-F342))</f>
        <v/>
      </c>
      <c r="N341" s="60">
        <f>IF(M341&lt;60, TEXT(M341, "0.00"), TEXT(M341/(24*60*60), "M:SS.00"))</f>
        <v/>
      </c>
      <c r="O341" s="25">
        <f>IFERROR(__xludf.DUMMYFUNCTION("LET(
  gen,$A341, ev,$B341, t,$N341,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341" s="65" t="n"/>
      <c r="Q341" s="65" t="n"/>
      <c r="R341" s="69" t="n"/>
      <c r="S341" s="65" t="n"/>
      <c r="T341" s="69" t="n"/>
      <c r="U341" s="58" t="n"/>
      <c r="V341" s="69" t="n"/>
      <c r="W341" s="65" t="n"/>
      <c r="X341" s="65" t="n"/>
      <c r="Y341" s="65" t="n"/>
    </row>
    <row r="342">
      <c r="A342" s="8" t="inlineStr">
        <is>
          <t>M</t>
        </is>
      </c>
      <c r="B342" s="9" t="inlineStr">
        <is>
          <t>100 Breast</t>
        </is>
      </c>
      <c r="C342" s="9" t="n">
        <v>23</v>
      </c>
      <c r="D342" s="9" t="n">
        <v>3</v>
      </c>
      <c r="E342" s="41" t="inlineStr">
        <is>
          <t>59.91</t>
        </is>
      </c>
      <c r="F342" s="35">
        <f>IFERROR(__xludf.DUMMYFUNCTION("IF(
  REGEXMATCH(E342, "":""),
  60*VALUE(INDEX(SPLIT(E342, "":""),1,1)) + VALUE(INDEX(SPLIT(E342, "":""),1,2)),
  VALUE(E342)
)"),59.91)</f>
        <v/>
      </c>
      <c r="G342" s="215">
        <f>C326</f>
        <v/>
      </c>
      <c r="H342" s="215">
        <f>C335</f>
        <v/>
      </c>
      <c r="I342" s="215">
        <f>C340</f>
        <v/>
      </c>
      <c r="J342" s="215">
        <f>C343</f>
        <v/>
      </c>
      <c r="K342" s="43">
        <f>IFS(H342=21,1,I342=21,2,J342=21,3,and(H342=20,I342=22),1.5, and(I342=20,J342=22),2.5,H342&gt;21,0.5)</f>
        <v/>
      </c>
      <c r="L342" s="43">
        <f t="array" ref="L342">INDEX('Podium Target Times'!$C:$C, MATCH(A342&amp;B342, 'Podium Target Times'!$A:$A&amp;'Podium Target Times'!$B:$B, 0))
</f>
        <v/>
      </c>
      <c r="M342" s="64">
        <f>IFS(K342=0.5,L342,K342=1,L342, K342=1.5, L342, K342=2, L343, K342=2.5, L343, K342=3, M343+(F342-F343))</f>
        <v/>
      </c>
      <c r="N342" s="43">
        <f>IF(M342&lt;60, TEXT(M342, "0.00"), TEXT(M342/(24*60*60), "M:SS.00"))</f>
        <v/>
      </c>
      <c r="O342" s="14">
        <f>IFERROR(__xludf.DUMMYFUNCTION("LET(
  gen,$A342, ev,$B342, t,$N342,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342" s="65" t="n"/>
      <c r="Q342" s="65" t="n"/>
      <c r="R342" s="69" t="n"/>
      <c r="S342" s="65" t="n"/>
      <c r="T342" s="69" t="n"/>
      <c r="U342" s="58" t="n"/>
      <c r="V342" s="69" t="n"/>
      <c r="W342" s="65" t="n"/>
      <c r="X342" s="65" t="n"/>
      <c r="Y342" s="65" t="n"/>
    </row>
    <row r="343">
      <c r="A343" s="17" t="inlineStr">
        <is>
          <t>M</t>
        </is>
      </c>
      <c r="B343" s="18" t="inlineStr">
        <is>
          <t>100 Breast</t>
        </is>
      </c>
      <c r="C343" s="18" t="n">
        <v>24</v>
      </c>
      <c r="D343" s="18" t="n">
        <v>3</v>
      </c>
      <c r="E343" s="46" t="inlineStr">
        <is>
          <t>59.75</t>
        </is>
      </c>
      <c r="F343" s="21">
        <f>IFERROR(__xludf.DUMMYFUNCTION("IF(
  REGEXMATCH(E343, "":""),
  60*VALUE(INDEX(SPLIT(E343, "":""),1,1)) + VALUE(INDEX(SPLIT(E343, "":""),1,2)),
  VALUE(E343)
)"),59.75)</f>
        <v/>
      </c>
      <c r="G343" s="211">
        <f>C326</f>
        <v/>
      </c>
      <c r="H343" s="211">
        <f>C335</f>
        <v/>
      </c>
      <c r="I343" s="211">
        <f>C340</f>
        <v/>
      </c>
      <c r="J343" s="211">
        <f>C343</f>
        <v/>
      </c>
      <c r="K343" s="60">
        <f>IFS(H343=21,1,I343=21,2,J343=21,3,and(H343=20,I343=22),1.5, and(I343=20,J343=22),2.5,H343&gt;21,0.5)</f>
        <v/>
      </c>
      <c r="L343" s="60">
        <f t="array" ref="L343">INDEX('Podium Target Times'!$C:$C, MATCH(A343&amp;B343, 'Podium Target Times'!$A:$A&amp;'Podium Target Times'!$B:$B, 0))
</f>
        <v/>
      </c>
      <c r="M343" s="66">
        <f>IFS(K343=0.5,L343,K343=1,L343, K343=1.5, L343, K343=2, L343, K343=2.5, L343, K343=3, L343)</f>
        <v/>
      </c>
      <c r="N343" s="60">
        <f>IF(M343&lt;60, TEXT(M343, "0.00"), TEXT(M343/(24*60*60), "M:SS.00"))</f>
        <v/>
      </c>
      <c r="O343" s="25">
        <f>IFERROR(__xludf.DUMMYFUNCTION("LET(
  gen,$A343, ev,$B343, t,$N343,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343" s="65" t="n"/>
      <c r="Q343" s="65" t="n"/>
      <c r="R343" s="69" t="n"/>
      <c r="S343" s="65" t="n"/>
      <c r="T343" s="69" t="n"/>
      <c r="U343" s="58" t="n"/>
      <c r="V343" s="69" t="n"/>
      <c r="W343" s="65" t="n"/>
      <c r="X343" s="65" t="n"/>
      <c r="Y343" s="65" t="n"/>
    </row>
    <row r="344">
      <c r="A344" s="8" t="inlineStr">
        <is>
          <t>M</t>
        </is>
      </c>
      <c r="B344" s="9" t="inlineStr">
        <is>
          <t>100 Fly</t>
        </is>
      </c>
      <c r="C344" s="9" t="n">
        <v>16</v>
      </c>
      <c r="D344" s="9" t="n">
        <v>1</v>
      </c>
      <c r="E344" s="483" t="inlineStr">
        <is>
          <t>55.15</t>
        </is>
      </c>
      <c r="F344" s="35">
        <f>IFERROR(__xludf.DUMMYFUNCTION("IF(
  REGEXMATCH(E344, "":""),
  60*VALUE(INDEX(SPLIT(E344, "":""),1,1)) + VALUE(INDEX(SPLIT(E344, "":""),1,2)),
  VALUE(E344)
)"),55.15)</f>
        <v/>
      </c>
      <c r="G344" s="43">
        <f>C344</f>
        <v/>
      </c>
      <c r="H344" s="43">
        <f>C353</f>
        <v/>
      </c>
      <c r="I344" s="43">
        <f>C358</f>
        <v/>
      </c>
      <c r="J344" s="43">
        <f>C361</f>
        <v/>
      </c>
      <c r="K344" s="43">
        <f>IFS(H344=21,1,I344=21,2,J344=21,3,and(H344=20,I344=22),1.5, and(I344=20,J344=22),2.5,H344&gt;21,0.5)</f>
        <v/>
      </c>
      <c r="L344" s="43">
        <f t="array" ref="L344">INDEX('Podium Target Times'!$C:$C, MATCH(A344&amp;B344, 'Podium Target Times'!$A:$A&amp;'Podium Target Times'!$B:$B, 0))
</f>
        <v/>
      </c>
      <c r="M344" s="64">
        <f>IFS(K344=0.5,M345+(F344-F345),K344=1,M345+(F344-F345), K344=1.5, M345+(F344-F345), K344=2, M345+(F344-F345), K344=2.5, M345+(F344-F345), K344=3, M345+(F344-F345))</f>
        <v/>
      </c>
      <c r="N344" s="43">
        <f>IF(M344&lt;60, TEXT(M344, "0.00"), TEXT(M344/(24*60*60), "M:SS.00"))</f>
        <v/>
      </c>
      <c r="O344" s="14">
        <f>IFERROR(__xludf.DUMMYFUNCTION("LET(
  gen,$A344, ev,$B344, t,$N344,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)"),665.0)</f>
        <v/>
      </c>
      <c r="P344" s="65" t="n"/>
      <c r="Q344" s="65" t="n"/>
      <c r="R344" s="69">
        <f>A344</f>
        <v/>
      </c>
      <c r="S344" s="65">
        <f>B344</f>
        <v/>
      </c>
      <c r="T344" s="69">
        <f>C344</f>
        <v/>
      </c>
      <c r="U344" s="58">
        <f>N344</f>
        <v/>
      </c>
      <c r="V344" s="69">
        <f>O344</f>
        <v/>
      </c>
      <c r="W344" s="65" t="n"/>
      <c r="X344" s="65" t="n"/>
      <c r="Y344" s="65" t="n"/>
    </row>
    <row r="345">
      <c r="A345" s="17" t="inlineStr">
        <is>
          <t>M</t>
        </is>
      </c>
      <c r="B345" s="18" t="inlineStr">
        <is>
          <t>100 Fly</t>
        </is>
      </c>
      <c r="C345" s="18" t="n">
        <v>17</v>
      </c>
      <c r="D345" s="18" t="n">
        <v>1</v>
      </c>
      <c r="E345" s="46" t="inlineStr">
        <is>
          <t>53.75</t>
        </is>
      </c>
      <c r="F345" s="21">
        <f>IFERROR(__xludf.DUMMYFUNCTION("IF(
  REGEXMATCH(E345, "":""),
  60*VALUE(INDEX(SPLIT(E345, "":""),1,1)) + VALUE(INDEX(SPLIT(E345, "":""),1,2)),
  VALUE(E345)
)"),53.75)</f>
        <v/>
      </c>
      <c r="G345" s="211">
        <f>C344</f>
        <v/>
      </c>
      <c r="H345" s="211">
        <f>C353</f>
        <v/>
      </c>
      <c r="I345" s="211">
        <f>C358</f>
        <v/>
      </c>
      <c r="J345" s="211">
        <f>C361</f>
        <v/>
      </c>
      <c r="K345" s="60">
        <f>IFS(H345=21,1,I345=21,2,J345=21,3,and(H345=20,I345=22),1.5, and(I345=20,J345=22),2.5,H345&gt;21,0.5)</f>
        <v/>
      </c>
      <c r="L345" s="60">
        <f t="array" ref="L345">INDEX('Podium Target Times'!$C:$C, MATCH(A345&amp;B345, 'Podium Target Times'!$A:$A&amp;'Podium Target Times'!$B:$B, 0))
</f>
        <v/>
      </c>
      <c r="M345" s="66">
        <f>IFS(K345=0.5,M346+(F345-F347),K345=1,M346+(F345-F347), K345=1.5, M347+(F346-F348), K345=2, M347+(F346-F348), K345=2.5, M347+(F346-F348), K345=3, M347+(F346-F348))</f>
        <v/>
      </c>
      <c r="N345" s="60">
        <f>IF(M345&lt;60, TEXT(M345, "0.00"), TEXT(M345/(24*60*60), "M:SS.00"))</f>
        <v/>
      </c>
      <c r="O345" s="25">
        <f>IFERROR(__xludf.DUMMYFUNCTION("LET(
  gen,$A345, ev,$B345, t,$N345,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P345" s="65" t="n"/>
      <c r="Q345" s="65" t="n"/>
      <c r="R345" s="69">
        <f>A345</f>
        <v/>
      </c>
      <c r="S345" s="65">
        <f>B345</f>
        <v/>
      </c>
      <c r="T345" s="69">
        <f>C345</f>
        <v/>
      </c>
      <c r="U345" s="58">
        <f>N345</f>
        <v/>
      </c>
      <c r="V345" s="69">
        <f>O345</f>
        <v/>
      </c>
      <c r="W345" s="65" t="n"/>
      <c r="X345" s="65" t="n"/>
      <c r="Y345" s="65" t="n"/>
    </row>
    <row r="346">
      <c r="A346" s="8" t="inlineStr">
        <is>
          <t>M</t>
        </is>
      </c>
      <c r="B346" s="9" t="inlineStr">
        <is>
          <t>100 Fly</t>
        </is>
      </c>
      <c r="C346" s="9" t="n">
        <v>17</v>
      </c>
      <c r="D346" s="9" t="n">
        <v>2</v>
      </c>
      <c r="E346" s="41" t="inlineStr">
        <is>
          <t>54.31</t>
        </is>
      </c>
      <c r="F346" s="35">
        <f>IFERROR(__xludf.DUMMYFUNCTION("IF(
  REGEXMATCH(E346, "":""),
  60*VALUE(INDEX(SPLIT(E346, "":""),1,1)) + VALUE(INDEX(SPLIT(E346, "":""),1,2)),
  VALUE(E346)
)"),54.31)</f>
        <v/>
      </c>
      <c r="G346" s="215">
        <f>C344</f>
        <v/>
      </c>
      <c r="H346" s="215">
        <f>C353</f>
        <v/>
      </c>
      <c r="I346" s="215">
        <f>C358</f>
        <v/>
      </c>
      <c r="J346" s="215">
        <f>C361</f>
        <v/>
      </c>
      <c r="K346" s="43">
        <f>IFS(H346=21,1,I346=21,2,J346=21,3,and(H346=20,I346=22),1.5, and(I346=20,J346=22),2.5,H346&gt;21,0.5)</f>
        <v/>
      </c>
      <c r="L346" s="43">
        <f t="array" ref="L346">INDEX('Podium Target Times'!$C:$C, MATCH(A346&amp;B346, 'Podium Target Times'!$A:$A&amp;'Podium Target Times'!$B:$B, 0))
</f>
        <v/>
      </c>
      <c r="M346" s="64">
        <f>IFS(K346=0.5,M347+(F346-F349),K346=1,M347+(F346-F349), K346=1.5, M347+(F346-F348), K346=2, M347+(F346-F348), K346=2.5, M347+(F346-F348), K346=3, M347+(F346-F348))</f>
        <v/>
      </c>
      <c r="N346" s="43">
        <f>IF(M346&lt;60, TEXT(M346, "0.00"), TEXT(M346/(24*60*60), "M:SS.00"))</f>
        <v/>
      </c>
      <c r="O346" s="14">
        <f>IFERROR(__xludf.DUMMYFUNCTION("LET(
  gen,$A346, ev,$B346, t,$N346,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P346" s="65" t="n"/>
      <c r="Q346" s="65" t="n"/>
      <c r="R346" s="69">
        <f>A347</f>
        <v/>
      </c>
      <c r="S346" s="65">
        <f>B347</f>
        <v/>
      </c>
      <c r="T346" s="69">
        <f>C347</f>
        <v/>
      </c>
      <c r="U346" s="58">
        <f>N347</f>
        <v/>
      </c>
      <c r="V346" s="69">
        <f>O347</f>
        <v/>
      </c>
      <c r="W346" s="65" t="n"/>
      <c r="X346" s="65" t="n"/>
      <c r="Y346" s="65" t="n"/>
    </row>
    <row r="347">
      <c r="A347" s="17" t="inlineStr">
        <is>
          <t>M</t>
        </is>
      </c>
      <c r="B347" s="18" t="inlineStr">
        <is>
          <t>100 Fly</t>
        </is>
      </c>
      <c r="C347" s="18" t="n">
        <v>18</v>
      </c>
      <c r="D347" s="18" t="n">
        <v>1</v>
      </c>
      <c r="E347" s="46" t="inlineStr">
        <is>
          <t>52.83</t>
        </is>
      </c>
      <c r="F347" s="21">
        <f>IFERROR(__xludf.DUMMYFUNCTION("IF(
  REGEXMATCH(E347, "":""),
  60*VALUE(INDEX(SPLIT(E347, "":""),1,1)) + VALUE(INDEX(SPLIT(E347, "":""),1,2)),
  VALUE(E347)
)"),52.83)</f>
        <v/>
      </c>
      <c r="G347" s="211">
        <f>C344</f>
        <v/>
      </c>
      <c r="H347" s="211">
        <f>C353</f>
        <v/>
      </c>
      <c r="I347" s="211">
        <f>C358</f>
        <v/>
      </c>
      <c r="J347" s="211">
        <f>C361</f>
        <v/>
      </c>
      <c r="K347" s="60">
        <f>IFS(H347=21,1,I347=21,2,J347=21,3,and(H347=20,I347=22),1.5, and(I347=20,J347=22),2.5,H347&gt;21,0.5)</f>
        <v/>
      </c>
      <c r="L347" s="60">
        <f t="array" ref="L347">INDEX('Podium Target Times'!$C:$C, MATCH(A347&amp;B347, 'Podium Target Times'!$A:$A&amp;'Podium Target Times'!$B:$B, 0))
</f>
        <v/>
      </c>
      <c r="M347" s="66">
        <f>IFS(K347=0.5,M348+(F347-F350),K347=1,M348+(F347-F350), K347=1.5, M350+(F348-F351), K347=2, M350+(F348-F351), K347=2.5, M350+(F349-F352), K347=3, M350+(F349-F352))</f>
        <v/>
      </c>
      <c r="N347" s="60">
        <f>IF(M347&lt;60, TEXT(M347, "0.00"), TEXT(M347/(24*60*60), "M:SS.00"))</f>
        <v/>
      </c>
      <c r="O347" s="25">
        <f>IFERROR(__xludf.DUMMYFUNCTION("LET(
  gen,$A347, ev,$B347, t,$N347,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347" s="65" t="n"/>
      <c r="Q347" s="65" t="n"/>
      <c r="R347" s="69">
        <f>A350</f>
        <v/>
      </c>
      <c r="S347" s="65">
        <f>B350</f>
        <v/>
      </c>
      <c r="T347" s="69">
        <f>C350</f>
        <v/>
      </c>
      <c r="U347" s="58">
        <f>N350</f>
        <v/>
      </c>
      <c r="V347" s="69">
        <f>O350</f>
        <v/>
      </c>
      <c r="W347" s="65" t="n"/>
      <c r="X347" s="65" t="n"/>
      <c r="Y347" s="65" t="n"/>
    </row>
    <row r="348">
      <c r="A348" s="8" t="inlineStr">
        <is>
          <t>M</t>
        </is>
      </c>
      <c r="B348" s="9" t="inlineStr">
        <is>
          <t>100 Fly</t>
        </is>
      </c>
      <c r="C348" s="9" t="n">
        <v>18</v>
      </c>
      <c r="D348" s="9" t="n">
        <v>2</v>
      </c>
      <c r="E348" s="41" t="inlineStr">
        <is>
          <t>53.38</t>
        </is>
      </c>
      <c r="F348" s="35">
        <f>IFERROR(__xludf.DUMMYFUNCTION("IF(
  REGEXMATCH(E348, "":""),
  60*VALUE(INDEX(SPLIT(E348, "":""),1,1)) + VALUE(INDEX(SPLIT(E348, "":""),1,2)),
  VALUE(E348)
)"),53.38)</f>
        <v/>
      </c>
      <c r="G348" s="215">
        <f>C344</f>
        <v/>
      </c>
      <c r="H348" s="215">
        <f>C353</f>
        <v/>
      </c>
      <c r="I348" s="215">
        <f>C358</f>
        <v/>
      </c>
      <c r="J348" s="215">
        <f>C361</f>
        <v/>
      </c>
      <c r="K348" s="43">
        <f>IFS(H348=21,1,I348=21,2,J348=21,3,and(H348=20,I348=22),1.5, and(I348=20,J348=22),2.5,H348&gt;21,0.5)</f>
        <v/>
      </c>
      <c r="L348" s="43">
        <f t="array" ref="L348">INDEX('Podium Target Times'!$C:$C, MATCH(A348&amp;B348, 'Podium Target Times'!$A:$A&amp;'Podium Target Times'!$B:$B, 0))
</f>
        <v/>
      </c>
      <c r="M348" s="64">
        <f>IFS(K348=0.5,M349+(F347-F350),K348=1,M349+(F347-F350), K348=1.5, M350+(F348-F351), K348=2, M350+(F348-F351), K348=2.5, M350+(F349-F352), K348=3, M350+(F349-F352))</f>
        <v/>
      </c>
      <c r="N348" s="43">
        <f>IF(M348&lt;60, TEXT(M348, "0.00"), TEXT(M348/(24*60*60), "M:SS.00"))</f>
        <v/>
      </c>
      <c r="O348" s="14">
        <f>IFERROR(__xludf.DUMMYFUNCTION("LET(
  gen,$A348, ev,$B348, t,$N348,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348" s="65" t="n"/>
      <c r="Q348" s="65" t="n"/>
      <c r="R348" s="69">
        <f>A353</f>
        <v/>
      </c>
      <c r="S348" s="65">
        <f>B353</f>
        <v/>
      </c>
      <c r="T348" s="69">
        <f>C353</f>
        <v/>
      </c>
      <c r="U348" s="58">
        <f>N353</f>
        <v/>
      </c>
      <c r="V348" s="69">
        <f>O353</f>
        <v/>
      </c>
      <c r="W348" s="65" t="n"/>
      <c r="X348" s="65" t="n"/>
      <c r="Y348" s="65" t="n"/>
    </row>
    <row r="349">
      <c r="A349" s="17" t="inlineStr">
        <is>
          <t>M</t>
        </is>
      </c>
      <c r="B349" s="18" t="inlineStr">
        <is>
          <t>100 Fly</t>
        </is>
      </c>
      <c r="C349" s="18" t="n">
        <v>18</v>
      </c>
      <c r="D349" s="18" t="n">
        <v>3</v>
      </c>
      <c r="E349" s="46" t="inlineStr">
        <is>
          <t>53.52</t>
        </is>
      </c>
      <c r="F349" s="21">
        <f>IFERROR(__xludf.DUMMYFUNCTION("IF(
  REGEXMATCH(E349, "":""),
  60*VALUE(INDEX(SPLIT(E349, "":""),1,1)) + VALUE(INDEX(SPLIT(E349, "":""),1,2)),
  VALUE(E349)
)"),53.52)</f>
        <v/>
      </c>
      <c r="G349" s="211">
        <f>C344</f>
        <v/>
      </c>
      <c r="H349" s="211">
        <f>C353</f>
        <v/>
      </c>
      <c r="I349" s="211">
        <f>C358</f>
        <v/>
      </c>
      <c r="J349" s="211">
        <f>C361</f>
        <v/>
      </c>
      <c r="K349" s="60">
        <f>IFS(H349=21,1,I349=21,2,J349=21,3,and(H349=20,I349=22),1.5, and(I349=20,J349=22),2.5,H349&gt;21,0.5)</f>
        <v/>
      </c>
      <c r="L349" s="60">
        <f t="array" ref="L349">INDEX('Podium Target Times'!$C:$C, MATCH(A349&amp;B349, 'Podium Target Times'!$A:$A&amp;'Podium Target Times'!$B:$B, 0))
</f>
        <v/>
      </c>
      <c r="M349" s="66">
        <f>IFS(K349=0.5,M350+(F347-F350),K349=1,M350+(F347-F350), K349=1.5, M350+(F348-F351), K349=2, M350+(F348-F351), K349=2.5, M350+(F349-F352), K349=3, M350+(F349-F352))</f>
        <v/>
      </c>
      <c r="N349" s="60">
        <f>IF(M349&lt;60, TEXT(M349, "0.00"), TEXT(M349/(24*60*60), "M:SS.00"))</f>
        <v/>
      </c>
      <c r="O349" s="25">
        <f>IFERROR(__xludf.DUMMYFUNCTION("LET(
  gen,$A349, ev,$B349, t,$N349,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349" s="65" t="n"/>
      <c r="Q349" s="65" t="n"/>
      <c r="R349" s="69">
        <f>A356</f>
        <v/>
      </c>
      <c r="S349" s="65">
        <f>B356</f>
        <v/>
      </c>
      <c r="T349" s="69">
        <f>C356</f>
        <v/>
      </c>
      <c r="U349" s="58">
        <f>N356</f>
        <v/>
      </c>
      <c r="V349" s="69">
        <f>O356</f>
        <v/>
      </c>
      <c r="W349" s="65" t="n"/>
      <c r="X349" s="65" t="n"/>
      <c r="Y349" s="65" t="n"/>
    </row>
    <row r="350">
      <c r="A350" s="8" t="inlineStr">
        <is>
          <t>M</t>
        </is>
      </c>
      <c r="B350" s="9" t="inlineStr">
        <is>
          <t>100 Fly</t>
        </is>
      </c>
      <c r="C350" s="9" t="n">
        <v>19</v>
      </c>
      <c r="D350" s="9" t="n">
        <v>1</v>
      </c>
      <c r="E350" s="41" t="inlineStr">
        <is>
          <t>52.22</t>
        </is>
      </c>
      <c r="F350" s="35">
        <f>IFERROR(__xludf.DUMMYFUNCTION("IF(
  REGEXMATCH(E350, "":""),
  60*VALUE(INDEX(SPLIT(E350, "":""),1,1)) + VALUE(INDEX(SPLIT(E350, "":""),1,2)),
  VALUE(E350)
)"),52.22)</f>
        <v/>
      </c>
      <c r="G350" s="215">
        <f>C344</f>
        <v/>
      </c>
      <c r="H350" s="215">
        <f>C353</f>
        <v/>
      </c>
      <c r="I350" s="215">
        <f>C358</f>
        <v/>
      </c>
      <c r="J350" s="215">
        <f>C361</f>
        <v/>
      </c>
      <c r="K350" s="43">
        <f>IFS(H350=21,1,I350=21,2,J350=21,3,and(H350=20,I350=22),1.5, and(I350=20,J350=22),2.5,H350&gt;21,0.5)</f>
        <v/>
      </c>
      <c r="L350" s="43">
        <f t="array" ref="L350">INDEX('Podium Target Times'!$C:$C, MATCH(A350&amp;B350, 'Podium Target Times'!$A:$A&amp;'Podium Target Times'!$B:$B, 0))
</f>
        <v/>
      </c>
      <c r="M350" s="64">
        <f>IFS(K350=0.5,L350,K350=1,U348+(F350-F353), K350=1.5, M353+(F351-F354), K350=2, M353+(F351-F354), K350=2.5, M353+(F352-F355), K350=3, M353+(F352-F355))</f>
        <v/>
      </c>
      <c r="N350" s="43">
        <f>IF(M350&lt;60, TEXT(M350, "0.00"), TEXT(M350/(24*60*60), "M:SS.00"))</f>
        <v/>
      </c>
      <c r="O350" s="14">
        <f>IFERROR(__xludf.DUMMYFUNCTION("LET(
  gen,$A350, ev,$B350, t,$N350,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P350" s="65" t="n"/>
      <c r="Q350" s="65" t="n"/>
      <c r="R350" s="69" t="n"/>
      <c r="S350" s="65" t="n"/>
      <c r="T350" s="69" t="n"/>
      <c r="U350" s="58" t="n"/>
      <c r="V350" s="69" t="n"/>
      <c r="W350" s="65" t="n"/>
      <c r="X350" s="65" t="n"/>
      <c r="Y350" s="65" t="n"/>
    </row>
    <row r="351">
      <c r="A351" s="17" t="inlineStr">
        <is>
          <t>M</t>
        </is>
      </c>
      <c r="B351" s="18" t="inlineStr">
        <is>
          <t>100 Fly</t>
        </is>
      </c>
      <c r="C351" s="18" t="n">
        <v>19</v>
      </c>
      <c r="D351" s="18" t="n">
        <v>2</v>
      </c>
      <c r="E351" s="46" t="inlineStr">
        <is>
          <t>52.76</t>
        </is>
      </c>
      <c r="F351" s="21">
        <f>IFERROR(__xludf.DUMMYFUNCTION("IF(
  REGEXMATCH(E351, "":""),
  60*VALUE(INDEX(SPLIT(E351, "":""),1,1)) + VALUE(INDEX(SPLIT(E351, "":""),1,2)),
  VALUE(E351)
)"),52.76)</f>
        <v/>
      </c>
      <c r="G351" s="211">
        <f>C344</f>
        <v/>
      </c>
      <c r="H351" s="211">
        <f>C353</f>
        <v/>
      </c>
      <c r="I351" s="211">
        <f>C358</f>
        <v/>
      </c>
      <c r="J351" s="211">
        <f>C361</f>
        <v/>
      </c>
      <c r="K351" s="60">
        <f>IFS(H351=21,1,I351=21,2,J351=21,3,and(H351=20,I351=22),1.5, and(I351=20,J351=22),2.5,H351&gt;21,0.5)</f>
        <v/>
      </c>
      <c r="L351" s="60">
        <f t="array" ref="L351">INDEX('Podium Target Times'!$C:$C, MATCH(A351&amp;B351, 'Podium Target Times'!$A:$A&amp;'Podium Target Times'!$B:$B, 0))
</f>
        <v/>
      </c>
      <c r="M351" s="66">
        <f>IFS(K351=0.5,L351,K351=1,U348+(F350-F353), K351=1.5, M353+(F351-F354), K351=2, M353+(F351-F354), K351=2.5, M353+(F352-F355), K351=3, M353+(F352-F355))</f>
        <v/>
      </c>
      <c r="N351" s="60">
        <f>IF(M351&lt;60, TEXT(M351, "0.00"), TEXT(M351/(24*60*60), "M:SS.00"))</f>
        <v/>
      </c>
      <c r="O351" s="25">
        <f>IFERROR(__xludf.DUMMYFUNCTION("LET(
  gen,$A351, ev,$B351, t,$N351,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P351" s="65" t="n"/>
      <c r="Q351" s="65" t="n"/>
      <c r="R351" s="69" t="n"/>
      <c r="S351" s="65" t="n"/>
      <c r="T351" s="69" t="n"/>
      <c r="U351" s="58" t="n"/>
      <c r="V351" s="69" t="n"/>
      <c r="W351" s="65" t="n"/>
      <c r="X351" s="65" t="n"/>
      <c r="Y351" s="65" t="n"/>
    </row>
    <row r="352">
      <c r="A352" s="8" t="inlineStr">
        <is>
          <t>M</t>
        </is>
      </c>
      <c r="B352" s="9" t="inlineStr">
        <is>
          <t>100 Fly</t>
        </is>
      </c>
      <c r="C352" s="9" t="n">
        <v>19</v>
      </c>
      <c r="D352" s="9" t="n">
        <v>3</v>
      </c>
      <c r="E352" s="41" t="inlineStr">
        <is>
          <t>52.90</t>
        </is>
      </c>
      <c r="F352" s="35">
        <f>IFERROR(__xludf.DUMMYFUNCTION("IF(
  REGEXMATCH(E352, "":""),
  60*VALUE(INDEX(SPLIT(E352, "":""),1,1)) + VALUE(INDEX(SPLIT(E352, "":""),1,2)),
  VALUE(E352)
)"),52.9)</f>
        <v/>
      </c>
      <c r="G352" s="215">
        <f>C344</f>
        <v/>
      </c>
      <c r="H352" s="215">
        <f>C353</f>
        <v/>
      </c>
      <c r="I352" s="215">
        <f>C358</f>
        <v/>
      </c>
      <c r="J352" s="215">
        <f>C361</f>
        <v/>
      </c>
      <c r="K352" s="43">
        <f>IFS(H352=21,1,I352=21,2,J352=21,3,and(H352=20,I352=22),1.5, and(I352=20,J352=22),2.5,H352&gt;21,0.5)</f>
        <v/>
      </c>
      <c r="L352" s="43">
        <f t="array" ref="L352">INDEX('Podium Target Times'!$C:$C, MATCH(A352&amp;B352, 'Podium Target Times'!$A:$A&amp;'Podium Target Times'!$B:$B, 0))
</f>
        <v/>
      </c>
      <c r="M352" s="64">
        <f>IFS(K352=0.5,L352,K352=1,U348+(F350-F353), K352=1.5, M353+(F351-F354), K352=2, M353+(F351-F354), K352=2.5, M353+(F352-F355), K352=3, M353+(F352-F355))</f>
        <v/>
      </c>
      <c r="N352" s="43">
        <f>IF(M352&lt;60, TEXT(M352, "0.00"), TEXT(M352/(24*60*60), "M:SS.00"))</f>
        <v/>
      </c>
      <c r="O352" s="14">
        <f>IFERROR(__xludf.DUMMYFUNCTION("LET(
  gen,$A352, ev,$B352, t,$N352,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P352" s="65" t="n"/>
      <c r="Q352" s="65" t="n"/>
      <c r="R352" s="69" t="n"/>
      <c r="S352" s="65" t="n"/>
      <c r="T352" s="69" t="n"/>
      <c r="U352" s="58" t="n"/>
      <c r="V352" s="69" t="n"/>
      <c r="W352" s="65" t="n"/>
      <c r="X352" s="65" t="n"/>
      <c r="Y352" s="65" t="n"/>
    </row>
    <row r="353">
      <c r="A353" s="17" t="inlineStr">
        <is>
          <t>M</t>
        </is>
      </c>
      <c r="B353" s="18" t="inlineStr">
        <is>
          <t>100 Fly</t>
        </is>
      </c>
      <c r="C353" s="18" t="n">
        <v>20</v>
      </c>
      <c r="D353" s="18" t="n">
        <v>1</v>
      </c>
      <c r="E353" s="46" t="inlineStr">
        <is>
          <t>51.77</t>
        </is>
      </c>
      <c r="F353" s="21">
        <f>IFERROR(__xludf.DUMMYFUNCTION("IF(
  REGEXMATCH(E353, "":""),
  60*VALUE(INDEX(SPLIT(E353, "":""),1,1)) + VALUE(INDEX(SPLIT(E353, "":""),1,2)),
  VALUE(E353)
)"),51.77)</f>
        <v/>
      </c>
      <c r="G353" s="211">
        <f>C344</f>
        <v/>
      </c>
      <c r="H353" s="211">
        <f>C353</f>
        <v/>
      </c>
      <c r="I353" s="211">
        <f>C358</f>
        <v/>
      </c>
      <c r="J353" s="211">
        <f>C361</f>
        <v/>
      </c>
      <c r="K353" s="60">
        <f>IFS(H353=21,1,I353=21,2,J353=21,3,and(H353=20,I353=22),1.5, and(I353=20,J353=22),2.5,H353&gt;21,0.5)</f>
        <v/>
      </c>
      <c r="L353" s="60">
        <f t="array" ref="L353">INDEX('Podium Target Times'!$C:$C, MATCH(A353&amp;B353, 'Podium Target Times'!$A:$A&amp;'Podium Target Times'!$B:$B, 0))
</f>
        <v/>
      </c>
      <c r="M353" s="66">
        <f>IFS(K353=0.5,L353,K353=1,L353, K353=1.5, M356+(F354-F356), K353=2, M356+(F354-F356), K353=2.5, M356+(F355-F357), K353=3, M356+(F355-F357))</f>
        <v/>
      </c>
      <c r="N353" s="60">
        <f>IF(M353&lt;60, TEXT(M353, "0.00"), TEXT(M353/(24*60*60), "M:SS.00"))</f>
        <v/>
      </c>
      <c r="O353" s="25">
        <f>IFERROR(__xludf.DUMMYFUNCTION("LET(
  gen,$A353, ev,$B353, t,$N353,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
      </c>
      <c r="P353" s="65" t="n"/>
      <c r="Q353" s="65" t="n"/>
      <c r="R353" s="69" t="n"/>
      <c r="S353" s="65" t="n"/>
      <c r="T353" s="69" t="n"/>
      <c r="U353" s="58" t="n"/>
      <c r="V353" s="69" t="n"/>
      <c r="W353" s="65" t="n"/>
      <c r="X353" s="65" t="n"/>
      <c r="Y353" s="65" t="n"/>
    </row>
    <row r="354">
      <c r="A354" s="8" t="inlineStr">
        <is>
          <t>M</t>
        </is>
      </c>
      <c r="B354" s="9" t="inlineStr">
        <is>
          <t>100 Fly</t>
        </is>
      </c>
      <c r="C354" s="9" t="n">
        <v>20</v>
      </c>
      <c r="D354" s="9" t="n">
        <v>2</v>
      </c>
      <c r="E354" s="41" t="inlineStr">
        <is>
          <t>52.31</t>
        </is>
      </c>
      <c r="F354" s="35">
        <f>IFERROR(__xludf.DUMMYFUNCTION("IF(
  REGEXMATCH(E354, "":""),
  60*VALUE(INDEX(SPLIT(E354, "":""),1,1)) + VALUE(INDEX(SPLIT(E354, "":""),1,2)),
  VALUE(E354)
)"),52.31)</f>
        <v/>
      </c>
      <c r="G354" s="215">
        <f>C344</f>
        <v/>
      </c>
      <c r="H354" s="215">
        <f>C353</f>
        <v/>
      </c>
      <c r="I354" s="215">
        <f>C358</f>
        <v/>
      </c>
      <c r="J354" s="215">
        <f>C361</f>
        <v/>
      </c>
      <c r="K354" s="43">
        <f>IFS(H354=21,1,I354=21,2,J354=21,3,and(H354=20,I354=22),1.5, and(I354=20,J354=22),2.5,H354&gt;21,0.5)</f>
        <v/>
      </c>
      <c r="L354" s="43">
        <f t="array" ref="L354">INDEX('Podium Target Times'!$C:$C, MATCH(A354&amp;B354, 'Podium Target Times'!$A:$A&amp;'Podium Target Times'!$B:$B, 0))
</f>
        <v/>
      </c>
      <c r="M354" s="64">
        <f>IFS(K354=0.5,L354,K354=1,L354, K354=1.5, M356+(F354-F356), K354=2, M356+(F354-F356), K354=2.5, M356+(F355-F357), K354=3, M356+(F355-F357))</f>
        <v/>
      </c>
      <c r="N354" s="43">
        <f>IF(M354&lt;60, TEXT(M354, "0.00"), TEXT(M354/(24*60*60), "M:SS.00"))</f>
        <v/>
      </c>
      <c r="O354" s="14">
        <f>IFERROR(__xludf.DUMMYFUNCTION("LET(
  gen,$A354, ev,$B354, t,$N354,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
      </c>
      <c r="P354" s="65" t="n"/>
      <c r="Q354" s="65" t="n"/>
      <c r="R354" s="69" t="n"/>
      <c r="S354" s="65" t="n"/>
      <c r="T354" s="69" t="n"/>
      <c r="U354" s="58" t="n"/>
      <c r="V354" s="69" t="n"/>
      <c r="W354" s="65" t="n"/>
      <c r="X354" s="65" t="n"/>
      <c r="Y354" s="65" t="n"/>
    </row>
    <row r="355">
      <c r="A355" s="17" t="inlineStr">
        <is>
          <t>M</t>
        </is>
      </c>
      <c r="B355" s="18" t="inlineStr">
        <is>
          <t>100 Fly</t>
        </is>
      </c>
      <c r="C355" s="18" t="n">
        <v>20</v>
      </c>
      <c r="D355" s="18" t="n">
        <v>3</v>
      </c>
      <c r="E355" s="46" t="inlineStr">
        <is>
          <t>52.45</t>
        </is>
      </c>
      <c r="F355" s="21">
        <f>IFERROR(__xludf.DUMMYFUNCTION("IF(
  REGEXMATCH(E355, "":""),
  60*VALUE(INDEX(SPLIT(E355, "":""),1,1)) + VALUE(INDEX(SPLIT(E355, "":""),1,2)),
  VALUE(E355)
)"),52.45)</f>
        <v/>
      </c>
      <c r="G355" s="211">
        <f>C344</f>
        <v/>
      </c>
      <c r="H355" s="211">
        <f>C353</f>
        <v/>
      </c>
      <c r="I355" s="211">
        <f>C358</f>
        <v/>
      </c>
      <c r="J355" s="211">
        <f>C361</f>
        <v/>
      </c>
      <c r="K355" s="60">
        <f>IFS(H355=21,1,I355=21,2,J355=21,3,and(H355=20,I355=22),1.5, and(I355=20,J355=22),2.5,H355&gt;21,0.5)</f>
        <v/>
      </c>
      <c r="L355" s="60">
        <f t="array" ref="L355">INDEX('Podium Target Times'!$C:$C, MATCH(A355&amp;B355, 'Podium Target Times'!$A:$A&amp;'Podium Target Times'!$B:$B, 0))
</f>
        <v/>
      </c>
      <c r="M355" s="66">
        <f>IFS(K355=0.5,L355,K355=1,L355, K355=1.5, M356+(F354-F356), K355=2, M356+(F354-F356), K355=2.5, M356+(F355-F357), K355=3, M356+(F355-F357))</f>
        <v/>
      </c>
      <c r="N355" s="60">
        <f>IF(M355&lt;60, TEXT(M355, "0.00"), TEXT(M355/(24*60*60), "M:SS.00"))</f>
        <v/>
      </c>
      <c r="O355" s="25">
        <f>IFERROR(__xludf.DUMMYFUNCTION("LET(
  gen,$A355, ev,$B355, t,$N355,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
      </c>
      <c r="P355" s="65" t="n"/>
      <c r="Q355" s="65" t="n"/>
      <c r="R355" s="69" t="n"/>
      <c r="S355" s="65" t="n"/>
      <c r="T355" s="69" t="n"/>
      <c r="U355" s="58" t="n"/>
      <c r="V355" s="69" t="n"/>
      <c r="W355" s="65" t="n"/>
      <c r="X355" s="65" t="n"/>
      <c r="Y355" s="65" t="n"/>
    </row>
    <row r="356">
      <c r="A356" s="8" t="inlineStr">
        <is>
          <t>M</t>
        </is>
      </c>
      <c r="B356" s="9" t="inlineStr">
        <is>
          <t>100 Fly</t>
        </is>
      </c>
      <c r="C356" s="9" t="n">
        <v>21</v>
      </c>
      <c r="D356" s="9" t="n">
        <v>2</v>
      </c>
      <c r="E356" s="41" t="inlineStr">
        <is>
          <t>51.99</t>
        </is>
      </c>
      <c r="F356" s="35">
        <f>IFERROR(__xludf.DUMMYFUNCTION("IF(
  REGEXMATCH(E356, "":""),
  60*VALUE(INDEX(SPLIT(E356, "":""),1,1)) + VALUE(INDEX(SPLIT(E356, "":""),1,2)),
  VALUE(E356)
)"),51.99)</f>
        <v/>
      </c>
      <c r="G356" s="215">
        <f>C344</f>
        <v/>
      </c>
      <c r="H356" s="215">
        <f>C353</f>
        <v/>
      </c>
      <c r="I356" s="215">
        <f>C358</f>
        <v/>
      </c>
      <c r="J356" s="215">
        <f>C361</f>
        <v/>
      </c>
      <c r="K356" s="43">
        <f>IFS(H356=21,1,I356=21,2,J356=21,3,and(H356=20,I356=22),1.5, and(I356=20,J356=22),2.5,H356&gt;21,0.5)</f>
        <v/>
      </c>
      <c r="L356" s="43">
        <f t="array" ref="L356">INDEX('Podium Target Times'!$C:$C, MATCH(A356&amp;B356, 'Podium Target Times'!$A:$A&amp;'Podium Target Times'!$B:$B, 0))
</f>
        <v/>
      </c>
      <c r="M356" s="64">
        <f>IFS(K356=0.5,L356,K356=1,L356, K356=1.5, L356, K356=2, M358+(F356-F358), K356=2.5, M358+(F357-F359), K356=3, M358+(F357-F359))</f>
        <v/>
      </c>
      <c r="N356" s="43">
        <f>IF(M356&lt;60, TEXT(M356, "0.00"), TEXT(M356/(24*60*60), "M:SS.00"))</f>
        <v/>
      </c>
      <c r="O356" s="14">
        <f>IFERROR(__xludf.DUMMYFUNCTION("LET(
  gen,$A356, ev,$B356, t,$N356,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
      </c>
      <c r="P356" s="65" t="n"/>
      <c r="Q356" s="65" t="n"/>
      <c r="R356" s="69" t="n"/>
      <c r="S356" s="65" t="n"/>
      <c r="T356" s="69" t="n"/>
      <c r="U356" s="58" t="n"/>
      <c r="V356" s="69" t="n"/>
      <c r="W356" s="65" t="n"/>
      <c r="X356" s="65" t="n"/>
      <c r="Y356" s="65" t="n"/>
    </row>
    <row r="357">
      <c r="A357" s="17" t="inlineStr">
        <is>
          <t>M</t>
        </is>
      </c>
      <c r="B357" s="18" t="inlineStr">
        <is>
          <t>100 Fly</t>
        </is>
      </c>
      <c r="C357" s="18" t="n">
        <v>21</v>
      </c>
      <c r="D357" s="18" t="n">
        <v>3</v>
      </c>
      <c r="E357" s="46" t="inlineStr">
        <is>
          <t>52.13</t>
        </is>
      </c>
      <c r="F357" s="21">
        <f>IFERROR(__xludf.DUMMYFUNCTION("IF(
  REGEXMATCH(E357, "":""),
  60*VALUE(INDEX(SPLIT(E357, "":""),1,1)) + VALUE(INDEX(SPLIT(E357, "":""),1,2)),
  VALUE(E357)
)"),52.13)</f>
        <v/>
      </c>
      <c r="G357" s="211">
        <f>C344</f>
        <v/>
      </c>
      <c r="H357" s="211">
        <f>C353</f>
        <v/>
      </c>
      <c r="I357" s="211">
        <f>C358</f>
        <v/>
      </c>
      <c r="J357" s="211">
        <f>C361</f>
        <v/>
      </c>
      <c r="K357" s="60">
        <f>IFS(H357=21,1,I357=21,2,J357=21,3,and(H357=20,I357=22),1.5, and(I357=20,J357=22),2.5,H357&gt;21,0.5)</f>
        <v/>
      </c>
      <c r="L357" s="60">
        <f t="array" ref="L357">INDEX('Podium Target Times'!$C:$C, MATCH(A357&amp;B357, 'Podium Target Times'!$A:$A&amp;'Podium Target Times'!$B:$B, 0))
</f>
        <v/>
      </c>
      <c r="M357" s="66">
        <f>IFS(K357=0.5,L357,K357=1,L357, K357=1.5, L357, K357=2, M358+(F356-F358), K357=2.5, M358+(F357-F359), K357=3, M358+(F357-F359))</f>
        <v/>
      </c>
      <c r="N357" s="60">
        <f>IF(M357&lt;60, TEXT(M357, "0.00"), TEXT(M357/(24*60*60), "M:SS.00"))</f>
        <v/>
      </c>
      <c r="O357" s="25">
        <f>IFERROR(__xludf.DUMMYFUNCTION("LET(
  gen,$A357, ev,$B357, t,$N357,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
      </c>
      <c r="P357" s="65" t="n"/>
      <c r="Q357" s="65" t="n"/>
      <c r="R357" s="69" t="n"/>
      <c r="S357" s="65" t="n"/>
      <c r="T357" s="69" t="n"/>
      <c r="U357" s="58" t="n"/>
      <c r="V357" s="69" t="n"/>
      <c r="W357" s="65" t="n"/>
      <c r="X357" s="65" t="n"/>
      <c r="Y357" s="65" t="n"/>
    </row>
    <row r="358">
      <c r="A358" s="8" t="inlineStr">
        <is>
          <t>M</t>
        </is>
      </c>
      <c r="B358" s="9" t="inlineStr">
        <is>
          <t>100 Fly</t>
        </is>
      </c>
      <c r="C358" s="9" t="n">
        <v>22</v>
      </c>
      <c r="D358" s="9" t="n">
        <v>2</v>
      </c>
      <c r="E358" s="41" t="inlineStr">
        <is>
          <t>51.77</t>
        </is>
      </c>
      <c r="F358" s="35">
        <f>IFERROR(__xludf.DUMMYFUNCTION("IF(
  REGEXMATCH(E358, "":""),
  60*VALUE(INDEX(SPLIT(E358, "":""),1,1)) + VALUE(INDEX(SPLIT(E358, "":""),1,2)),
  VALUE(E358)
)"),51.77)</f>
        <v/>
      </c>
      <c r="G358" s="215">
        <f>C344</f>
        <v/>
      </c>
      <c r="H358" s="215">
        <f>C353</f>
        <v/>
      </c>
      <c r="I358" s="215">
        <f>C358</f>
        <v/>
      </c>
      <c r="J358" s="215">
        <f>C361</f>
        <v/>
      </c>
      <c r="K358" s="43">
        <f>IFS(H358=21,1,I358=21,2,J358=21,3,and(H358=20,I358=22),1.5, and(I358=20,J358=22),2.5,H358&gt;21,0.5)</f>
        <v/>
      </c>
      <c r="L358" s="43">
        <f t="array" ref="L358">INDEX('Podium Target Times'!$C:$C, MATCH(A358&amp;B358, 'Podium Target Times'!$A:$A&amp;'Podium Target Times'!$B:$B, 0))
</f>
        <v/>
      </c>
      <c r="M358" s="64">
        <f>IFS(K358=0.5,L358,K358=1,L358, K358=1.5, L358, K358=2,L361, K358=2.5, M360+(F359-F360), K358=3,  M360+(F359-F360))</f>
        <v/>
      </c>
      <c r="N358" s="43">
        <f>IF(M358&lt;60, TEXT(M358, "0.00"), TEXT(M358/(24*60*60), "M:SS.00"))</f>
        <v/>
      </c>
      <c r="O358" s="14">
        <f>IFERROR(__xludf.DUMMYFUNCTION("LET(
  gen,$A358, ev,$B358, t,$N358,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
      </c>
      <c r="P358" s="65" t="n"/>
      <c r="Q358" s="65" t="n"/>
      <c r="R358" s="69" t="n"/>
      <c r="S358" s="65" t="n"/>
      <c r="T358" s="69" t="n"/>
      <c r="U358" s="58" t="n"/>
      <c r="V358" s="69" t="n"/>
      <c r="W358" s="65" t="n"/>
      <c r="X358" s="65" t="n"/>
      <c r="Y358" s="65" t="n"/>
    </row>
    <row r="359">
      <c r="A359" s="17" t="inlineStr">
        <is>
          <t>M</t>
        </is>
      </c>
      <c r="B359" s="18" t="inlineStr">
        <is>
          <t>100 Fly</t>
        </is>
      </c>
      <c r="C359" s="18" t="n">
        <v>22</v>
      </c>
      <c r="D359" s="18" t="n">
        <v>3</v>
      </c>
      <c r="E359" s="46" t="inlineStr">
        <is>
          <t>51.90</t>
        </is>
      </c>
      <c r="F359" s="21">
        <f>IFERROR(__xludf.DUMMYFUNCTION("IF(
  REGEXMATCH(E359, "":""),
  60*VALUE(INDEX(SPLIT(E359, "":""),1,1)) + VALUE(INDEX(SPLIT(E359, "":""),1,2)),
  VALUE(E359)
)"),51.9)</f>
        <v/>
      </c>
      <c r="G359" s="211">
        <f>C344</f>
        <v/>
      </c>
      <c r="H359" s="211">
        <f>C353</f>
        <v/>
      </c>
      <c r="I359" s="211">
        <f>C358</f>
        <v/>
      </c>
      <c r="J359" s="211">
        <f>C361</f>
        <v/>
      </c>
      <c r="K359" s="60">
        <f>IFS(H359=21,1,I359=21,2,J359=21,3,and(H359=20,I359=22),1.5, and(I359=20,J359=22),2.5,H359&gt;21,0.5)</f>
        <v/>
      </c>
      <c r="L359" s="60">
        <f t="array" ref="L359">INDEX('Podium Target Times'!$C:$C, MATCH(A359&amp;B359, 'Podium Target Times'!$A:$A&amp;'Podium Target Times'!$B:$B, 0))
</f>
        <v/>
      </c>
      <c r="M359" s="66">
        <f>IFS(K359=0.5,L359,K359=1,L359, K359=1.5, L359, K359=2, L361, K359=2.5, M360+(F359-F360), K359=3, M360+(F359-F360))</f>
        <v/>
      </c>
      <c r="N359" s="60">
        <f>IF(M359&lt;60, TEXT(M359, "0.00"), TEXT(M359/(24*60*60), "M:SS.00"))</f>
        <v/>
      </c>
      <c r="O359" s="25">
        <f>IFERROR(__xludf.DUMMYFUNCTION("LET(
  gen,$A359, ev,$B359, t,$N359,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
      </c>
      <c r="P359" s="65" t="n"/>
      <c r="Q359" s="65" t="n"/>
      <c r="R359" s="69" t="n"/>
      <c r="S359" s="65" t="n"/>
      <c r="T359" s="69" t="n"/>
      <c r="U359" s="58" t="n"/>
      <c r="V359" s="69" t="n"/>
      <c r="W359" s="65" t="n"/>
      <c r="X359" s="65" t="n"/>
      <c r="Y359" s="65" t="n"/>
    </row>
    <row r="360">
      <c r="A360" s="8" t="inlineStr">
        <is>
          <t>M</t>
        </is>
      </c>
      <c r="B360" s="9" t="inlineStr">
        <is>
          <t>100 Fly</t>
        </is>
      </c>
      <c r="C360" s="9" t="n">
        <v>23</v>
      </c>
      <c r="D360" s="9" t="n">
        <v>3</v>
      </c>
      <c r="E360" s="41" t="inlineStr">
        <is>
          <t>51.79</t>
        </is>
      </c>
      <c r="F360" s="35">
        <f>IFERROR(__xludf.DUMMYFUNCTION("IF(
  REGEXMATCH(E360, "":""),
  60*VALUE(INDEX(SPLIT(E360, "":""),1,1)) + VALUE(INDEX(SPLIT(E360, "":""),1,2)),
  VALUE(E360)
)"),51.79)</f>
        <v/>
      </c>
      <c r="G360" s="215">
        <f>C344</f>
        <v/>
      </c>
      <c r="H360" s="215">
        <f>C353</f>
        <v/>
      </c>
      <c r="I360" s="215">
        <f>C358</f>
        <v/>
      </c>
      <c r="J360" s="215">
        <f>C361</f>
        <v/>
      </c>
      <c r="K360" s="43">
        <f>IFS(H360=21,1,I360=21,2,J360=21,3,and(H360=20,I360=22),1.5, and(I360=20,J360=22),2.5,H360&gt;21,0.5)</f>
        <v/>
      </c>
      <c r="L360" s="43">
        <f t="array" ref="L360">INDEX('Podium Target Times'!$C:$C, MATCH(A360&amp;B360, 'Podium Target Times'!$A:$A&amp;'Podium Target Times'!$B:$B, 0))
</f>
        <v/>
      </c>
      <c r="M360" s="64">
        <f>IFS(K360=0.5,L360,K360=1,L360, K360=1.5, L360, K360=2, L361, K360=2.5, L361, K360=3, M361+(F360-F361))</f>
        <v/>
      </c>
      <c r="N360" s="43">
        <f>IF(M360&lt;60, TEXT(M360, "0.00"), TEXT(M360/(24*60*60), "M:SS.00"))</f>
        <v/>
      </c>
      <c r="O360" s="14">
        <f>IFERROR(__xludf.DUMMYFUNCTION("LET(
  gen,$A360, ev,$B360, t,$N360,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
      </c>
      <c r="P360" s="65" t="n"/>
      <c r="Q360" s="65" t="n"/>
      <c r="R360" s="69" t="n"/>
      <c r="S360" s="65" t="n"/>
      <c r="T360" s="69" t="n"/>
      <c r="U360" s="58" t="n"/>
      <c r="V360" s="69" t="n"/>
      <c r="W360" s="65" t="n"/>
      <c r="X360" s="65" t="n"/>
      <c r="Y360" s="65" t="n"/>
    </row>
    <row r="361">
      <c r="A361" s="17" t="inlineStr">
        <is>
          <t>M</t>
        </is>
      </c>
      <c r="B361" s="18" t="inlineStr">
        <is>
          <t>100 Fly</t>
        </is>
      </c>
      <c r="C361" s="18" t="n">
        <v>24</v>
      </c>
      <c r="D361" s="18" t="n">
        <v>3</v>
      </c>
      <c r="E361" s="46" t="inlineStr">
        <is>
          <t>51.77</t>
        </is>
      </c>
      <c r="F361" s="21">
        <f>IFERROR(__xludf.DUMMYFUNCTION("IF(
  REGEXMATCH(E361, "":""),
  60*VALUE(INDEX(SPLIT(E361, "":""),1,1)) + VALUE(INDEX(SPLIT(E361, "":""),1,2)),
  VALUE(E361)
)"),51.77)</f>
        <v/>
      </c>
      <c r="G361" s="211">
        <f>C344</f>
        <v/>
      </c>
      <c r="H361" s="211">
        <f>C353</f>
        <v/>
      </c>
      <c r="I361" s="211">
        <f>C358</f>
        <v/>
      </c>
      <c r="J361" s="211">
        <f>C361</f>
        <v/>
      </c>
      <c r="K361" s="60">
        <f>IFS(H361=21,1,I361=21,2,J361=21,3,and(H361=20,I361=22),1.5, and(I361=20,J361=22),2.5,H361&gt;21,0.5)</f>
        <v/>
      </c>
      <c r="L361" s="60">
        <f t="array" ref="L361">INDEX('Podium Target Times'!$C:$C, MATCH(A361&amp;B361, 'Podium Target Times'!$A:$A&amp;'Podium Target Times'!$B:$B, 0))
</f>
        <v/>
      </c>
      <c r="M361" s="66">
        <f>IFS(K361=0.5,L361,K361=1,L361, K361=1.5, L361, K361=2, L361, K361=2.5, L361, K361=3, L361)</f>
        <v/>
      </c>
      <c r="N361" s="60">
        <f>IF(M361&lt;60, TEXT(M361, "0.00"), TEXT(M361/(24*60*60), "M:SS.00"))</f>
        <v/>
      </c>
      <c r="O361" s="25">
        <f>IFERROR(__xludf.DUMMYFUNCTION("LET(
  gen,$A361, ev,$B361, t,$N361,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)"),816.0)</f>
        <v/>
      </c>
      <c r="P361" s="65" t="n"/>
      <c r="Q361" s="65" t="n"/>
      <c r="R361" s="69" t="n"/>
      <c r="S361" s="65" t="n"/>
      <c r="T361" s="69" t="n"/>
      <c r="U361" s="58" t="n"/>
      <c r="V361" s="69" t="n"/>
      <c r="W361" s="65" t="n"/>
      <c r="X361" s="65" t="n"/>
      <c r="Y361" s="65" t="n"/>
    </row>
    <row r="362">
      <c r="A362" s="8" t="inlineStr">
        <is>
          <t>M</t>
        </is>
      </c>
      <c r="B362" s="9" t="inlineStr">
        <is>
          <t>100 Free</t>
        </is>
      </c>
      <c r="C362" s="9" t="n">
        <v>15</v>
      </c>
      <c r="D362" s="9" t="n">
        <v>1</v>
      </c>
      <c r="E362" s="41" t="inlineStr">
        <is>
          <t>53.28</t>
        </is>
      </c>
      <c r="F362" s="35">
        <f>IFERROR(__xludf.DUMMYFUNCTION("IF(
  REGEXMATCH(E362, "":""),
  60*VALUE(INDEX(SPLIT(E362, "":""),1,1)) + VALUE(INDEX(SPLIT(E362, "":""),1,2)),
  VALUE(E362)
)"),53.28)</f>
        <v/>
      </c>
      <c r="G362" s="43">
        <f>C362</f>
        <v/>
      </c>
      <c r="H362" s="43">
        <f>C371</f>
        <v/>
      </c>
      <c r="I362" s="43">
        <f>C376</f>
        <v/>
      </c>
      <c r="J362" s="43">
        <f>C379</f>
        <v/>
      </c>
      <c r="K362" s="43">
        <f>IFS(H362=21,1,I362=21,2,J362=21,3,and(H362=20,I362=22),1.5, and(I362=20,J362=22),2.5,H362&gt;21,0.5)</f>
        <v/>
      </c>
      <c r="L362" s="43">
        <f t="array" ref="L362">INDEX('Podium Target Times'!$C:$C, MATCH(A362&amp;B362, 'Podium Target Times'!$A:$A&amp;'Podium Target Times'!$B:$B, 0))
</f>
        <v/>
      </c>
      <c r="M362" s="64">
        <f>IFS(K362=0.5,M363+(F362-F363),K362=1,M363+(F362-F363), K362=1.5, M363+(F362-F363), K362=2, M363+(F362-F363), K362=2.5, M363+(F362-F363), K362=3, M363+(F362-F363))</f>
        <v/>
      </c>
      <c r="N362" s="43">
        <f>IF(M362&lt;60, TEXT(M362, "0.00"), TEXT(M362/(24*60*60), "M:SS.00"))</f>
        <v/>
      </c>
      <c r="O362" s="14">
        <f>IFERROR(__xludf.DUMMYFUNCTION("LET(
  gen,$A362, ev,$B362, t,$N362,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)"),581.0)</f>
        <v/>
      </c>
      <c r="P362" s="65" t="n"/>
      <c r="Q362" s="65" t="n"/>
      <c r="R362" s="69">
        <f>A362</f>
        <v/>
      </c>
      <c r="S362" s="65">
        <f>B362</f>
        <v/>
      </c>
      <c r="T362" s="69">
        <f>C362</f>
        <v/>
      </c>
      <c r="U362" s="58">
        <f>N362</f>
        <v/>
      </c>
      <c r="V362" s="69">
        <f>O362</f>
        <v/>
      </c>
      <c r="W362" s="65" t="n"/>
      <c r="X362" s="65" t="n"/>
      <c r="Y362" s="65" t="n"/>
    </row>
    <row r="363">
      <c r="A363" s="17" t="inlineStr">
        <is>
          <t>M</t>
        </is>
      </c>
      <c r="B363" s="18" t="inlineStr">
        <is>
          <t>100 Free</t>
        </is>
      </c>
      <c r="C363" s="18" t="n">
        <v>16</v>
      </c>
      <c r="D363" s="18" t="n">
        <v>1</v>
      </c>
      <c r="E363" s="46" t="inlineStr">
        <is>
          <t>51.48</t>
        </is>
      </c>
      <c r="F363" s="21">
        <f>IFERROR(__xludf.DUMMYFUNCTION("IF(
  REGEXMATCH(E363, "":""),
  60*VALUE(INDEX(SPLIT(E363, "":""),1,1)) + VALUE(INDEX(SPLIT(E363, "":""),1,2)),
  VALUE(E363)
)"),51.48)</f>
        <v/>
      </c>
      <c r="G363" s="211">
        <f>C362</f>
        <v/>
      </c>
      <c r="H363" s="211">
        <f>C371</f>
        <v/>
      </c>
      <c r="I363" s="211">
        <f>C376</f>
        <v/>
      </c>
      <c r="J363" s="211">
        <f>C379</f>
        <v/>
      </c>
      <c r="K363" s="60">
        <f>IFS(H363=21,1,I363=21,2,J363=21,3,and(H363=20,I363=22),1.5, and(I363=20,J363=22),2.5,H363&gt;21,0.5)</f>
        <v/>
      </c>
      <c r="L363" s="60">
        <f t="array" ref="L363">INDEX('Podium Target Times'!$C:$C, MATCH(A363&amp;B363, 'Podium Target Times'!$A:$A&amp;'Podium Target Times'!$B:$B, 0))
</f>
        <v/>
      </c>
      <c r="M363" s="66">
        <f>IFS(K363=0.5,M364+(F363-F365),K363=1,M364+(F363-F365), K363=1.5, M365+(F364-F366), K363=2, M365+(F364-F366), K363=2.5, M365+(F364-F366), K363=3, M365+(F364-F366))</f>
        <v/>
      </c>
      <c r="N363" s="60">
        <f>IF(M363&lt;60, TEXT(M363, "0.00"), TEXT(M363/(24*60*60), "M:SS.00"))</f>
        <v/>
      </c>
      <c r="O363" s="25">
        <f>IFERROR(__xludf.DUMMYFUNCTION("LET(
  gen,$A363, ev,$B363, t,$N363,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)"),642.0)</f>
        <v/>
      </c>
      <c r="P363" s="65" t="n"/>
      <c r="Q363" s="65" t="n"/>
      <c r="R363" s="69">
        <f>A363</f>
        <v/>
      </c>
      <c r="S363" s="65">
        <f>B363</f>
        <v/>
      </c>
      <c r="T363" s="69">
        <f>C363</f>
        <v/>
      </c>
      <c r="U363" s="58">
        <f>N363</f>
        <v/>
      </c>
      <c r="V363" s="69">
        <f>O363</f>
        <v/>
      </c>
      <c r="W363" s="65" t="n"/>
      <c r="X363" s="65" t="n"/>
      <c r="Y363" s="65" t="n"/>
    </row>
    <row r="364">
      <c r="A364" s="8" t="inlineStr">
        <is>
          <t>M</t>
        </is>
      </c>
      <c r="B364" s="9" t="inlineStr">
        <is>
          <t>100 Free</t>
        </is>
      </c>
      <c r="C364" s="9" t="n">
        <v>16</v>
      </c>
      <c r="D364" s="9" t="n">
        <v>2</v>
      </c>
      <c r="E364" s="41" t="inlineStr">
        <is>
          <t>52.43</t>
        </is>
      </c>
      <c r="F364" s="35">
        <f>IFERROR(__xludf.DUMMYFUNCTION("IF(
  REGEXMATCH(E364, "":""),
  60*VALUE(INDEX(SPLIT(E364, "":""),1,1)) + VALUE(INDEX(SPLIT(E364, "":""),1,2)),
  VALUE(E364)
)"),52.43)</f>
        <v/>
      </c>
      <c r="G364" s="215">
        <f>C362</f>
        <v/>
      </c>
      <c r="H364" s="215">
        <f>C371</f>
        <v/>
      </c>
      <c r="I364" s="215">
        <f>C376</f>
        <v/>
      </c>
      <c r="J364" s="215">
        <f>C379</f>
        <v/>
      </c>
      <c r="K364" s="43">
        <f>IFS(H364=21,1,I364=21,2,J364=21,3,and(H364=20,I364=22),1.5, and(I364=20,J364=22),2.5,H364&gt;21,0.5)</f>
        <v/>
      </c>
      <c r="L364" s="43">
        <f t="array" ref="L364">INDEX('Podium Target Times'!$C:$C, MATCH(A364&amp;B364, 'Podium Target Times'!$A:$A&amp;'Podium Target Times'!$B:$B, 0))
</f>
        <v/>
      </c>
      <c r="M364" s="64">
        <f>IFS(K364=0.5,M365+(F364-F367),K364=1,M365+(F364-F367), K364=1.5, M365+(F364-F366), K364=2, M365+(F364-F366), K364=2.5, M365+(F364-F366), K364=3, M365+(F364-F366))</f>
        <v/>
      </c>
      <c r="N364" s="43">
        <f>IF(M364&lt;60, TEXT(M364, "0.00"), TEXT(M364/(24*60*60), "M:SS.00"))</f>
        <v/>
      </c>
      <c r="O364" s="14">
        <f>IFERROR(__xludf.DUMMYFUNCTION("LET(
  gen,$A364, ev,$B364, t,$N364,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)"),642.0)</f>
        <v/>
      </c>
      <c r="P364" s="65" t="n"/>
      <c r="Q364" s="65" t="n"/>
      <c r="R364" s="69">
        <f>A365</f>
        <v/>
      </c>
      <c r="S364" s="65">
        <f>B365</f>
        <v/>
      </c>
      <c r="T364" s="69">
        <f>C365</f>
        <v/>
      </c>
      <c r="U364" s="58">
        <f>N365</f>
        <v/>
      </c>
      <c r="V364" s="69">
        <f>O365</f>
        <v/>
      </c>
      <c r="W364" s="65" t="n"/>
      <c r="X364" s="65" t="n"/>
      <c r="Y364" s="65" t="n"/>
    </row>
    <row r="365">
      <c r="A365" s="17" t="inlineStr">
        <is>
          <t>M</t>
        </is>
      </c>
      <c r="B365" s="18" t="inlineStr">
        <is>
          <t>100 Free</t>
        </is>
      </c>
      <c r="C365" s="18" t="n">
        <v>17</v>
      </c>
      <c r="D365" s="18" t="n">
        <v>1</v>
      </c>
      <c r="E365" s="46" t="inlineStr">
        <is>
          <t>50.09</t>
        </is>
      </c>
      <c r="F365" s="21">
        <f>IFERROR(__xludf.DUMMYFUNCTION("IF(
  REGEXMATCH(E365, "":""),
  60*VALUE(INDEX(SPLIT(E365, "":""),1,1)) + VALUE(INDEX(SPLIT(E365, "":""),1,2)),
  VALUE(E365)
)"),50.09)</f>
        <v/>
      </c>
      <c r="G365" s="211">
        <f>C362</f>
        <v/>
      </c>
      <c r="H365" s="211">
        <f>C371</f>
        <v/>
      </c>
      <c r="I365" s="211">
        <f>C376</f>
        <v/>
      </c>
      <c r="J365" s="211">
        <f>C379</f>
        <v/>
      </c>
      <c r="K365" s="60">
        <f>IFS(H365=21,1,I365=21,2,J365=21,3,and(H365=20,I365=22),1.5, and(I365=20,J365=22),2.5,H365&gt;21,0.5)</f>
        <v/>
      </c>
      <c r="L365" s="60">
        <f t="array" ref="L365">INDEX('Podium Target Times'!$C:$C, MATCH(A365&amp;B365, 'Podium Target Times'!$A:$A&amp;'Podium Target Times'!$B:$B, 0))
</f>
        <v/>
      </c>
      <c r="M365" s="66">
        <f>IFS(K365=0.5,M366+(F365-F368),K365=1,M366+(F365-F368), K365=1.5, M368+(F366-F369), K365=2, M368+(F366-F369), K365=2.5, M368+(F367-F370), K365=3, M368+(F367-F370))</f>
        <v/>
      </c>
      <c r="N365" s="60">
        <f>IF(M365&lt;60, TEXT(M365, "0.00"), TEXT(M365/(24*60*60), "M:SS.00"))</f>
        <v/>
      </c>
      <c r="O365" s="25">
        <f>IFERROR(__xludf.DUMMYFUNCTION("LET(
  gen,$A365, ev,$B365, t,$N365,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P365" s="65" t="n"/>
      <c r="Q365" s="65" t="n"/>
      <c r="R365" s="69">
        <f>A368</f>
        <v/>
      </c>
      <c r="S365" s="65">
        <f>B368</f>
        <v/>
      </c>
      <c r="T365" s="69">
        <f>C368</f>
        <v/>
      </c>
      <c r="U365" s="58">
        <f>N368</f>
        <v/>
      </c>
      <c r="V365" s="69">
        <f>O368</f>
        <v/>
      </c>
      <c r="W365" s="65" t="n"/>
      <c r="X365" s="65" t="n"/>
      <c r="Y365" s="65" t="n"/>
    </row>
    <row r="366">
      <c r="A366" s="8" t="inlineStr">
        <is>
          <t>M</t>
        </is>
      </c>
      <c r="B366" s="9" t="inlineStr">
        <is>
          <t>100 Free</t>
        </is>
      </c>
      <c r="C366" s="9" t="n">
        <v>17</v>
      </c>
      <c r="D366" s="9" t="n">
        <v>2</v>
      </c>
      <c r="E366" s="41" t="inlineStr">
        <is>
          <t>51.02</t>
        </is>
      </c>
      <c r="F366" s="35">
        <f>IFERROR(__xludf.DUMMYFUNCTION("IF(
  REGEXMATCH(E366, "":""),
  60*VALUE(INDEX(SPLIT(E366, "":""),1,1)) + VALUE(INDEX(SPLIT(E366, "":""),1,2)),
  VALUE(E366)
)"),51.02)</f>
        <v/>
      </c>
      <c r="G366" s="215">
        <f>C362</f>
        <v/>
      </c>
      <c r="H366" s="215">
        <f>C371</f>
        <v/>
      </c>
      <c r="I366" s="215">
        <f>C376</f>
        <v/>
      </c>
      <c r="J366" s="215">
        <f>C379</f>
        <v/>
      </c>
      <c r="K366" s="43">
        <f>IFS(H366=21,1,I366=21,2,J366=21,3,and(H366=20,I366=22),1.5, and(I366=20,J366=22),2.5,H366&gt;21,0.5)</f>
        <v/>
      </c>
      <c r="L366" s="43">
        <f t="array" ref="L366">INDEX('Podium Target Times'!$C:$C, MATCH(A366&amp;B366, 'Podium Target Times'!$A:$A&amp;'Podium Target Times'!$B:$B, 0))
</f>
        <v/>
      </c>
      <c r="M366" s="64">
        <f>IFS(K366=0.5,M367+(F365-F368),K366=1,M367+(F365-F368), K366=1.5, M368+(F366-F369), K366=2, M368+(F366-F369), K366=2.5, M368+(F367-F370), K366=3, M368+(F367-F370))</f>
        <v/>
      </c>
      <c r="N366" s="43">
        <f>IF(M366&lt;60, TEXT(M366, "0.00"), TEXT(M366/(24*60*60), "M:SS.00"))</f>
        <v/>
      </c>
      <c r="O366" s="14">
        <f>IFERROR(__xludf.DUMMYFUNCTION("LET(
  gen,$A366, ev,$B366, t,$N366,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P366" s="65" t="n"/>
      <c r="Q366" s="65" t="n"/>
      <c r="R366" s="69">
        <f>A371</f>
        <v/>
      </c>
      <c r="S366" s="65">
        <f>B371</f>
        <v/>
      </c>
      <c r="T366" s="69">
        <f>C371</f>
        <v/>
      </c>
      <c r="U366" s="58">
        <f>N371</f>
        <v/>
      </c>
      <c r="V366" s="69">
        <f>O371</f>
        <v/>
      </c>
      <c r="W366" s="65" t="n"/>
      <c r="X366" s="65" t="n"/>
      <c r="Y366" s="65" t="n"/>
    </row>
    <row r="367">
      <c r="A367" s="17" t="inlineStr">
        <is>
          <t>M</t>
        </is>
      </c>
      <c r="B367" s="18" t="inlineStr">
        <is>
          <t>100 Free</t>
        </is>
      </c>
      <c r="C367" s="18" t="n">
        <v>17</v>
      </c>
      <c r="D367" s="18" t="n">
        <v>3</v>
      </c>
      <c r="E367" s="46" t="inlineStr">
        <is>
          <t>51.44</t>
        </is>
      </c>
      <c r="F367" s="21">
        <f>IFERROR(__xludf.DUMMYFUNCTION("IF(
  REGEXMATCH(E367, "":""),
  60*VALUE(INDEX(SPLIT(E367, "":""),1,1)) + VALUE(INDEX(SPLIT(E367, "":""),1,2)),
  VALUE(E367)
)"),51.44)</f>
        <v/>
      </c>
      <c r="G367" s="211">
        <f>C362</f>
        <v/>
      </c>
      <c r="H367" s="211">
        <f>C371</f>
        <v/>
      </c>
      <c r="I367" s="211">
        <f>C376</f>
        <v/>
      </c>
      <c r="J367" s="211">
        <f>C379</f>
        <v/>
      </c>
      <c r="K367" s="60">
        <f>IFS(H367=21,1,I367=21,2,J367=21,3,and(H367=20,I367=22),1.5, and(I367=20,J367=22),2.5,H367&gt;21,0.5)</f>
        <v/>
      </c>
      <c r="L367" s="60">
        <f t="array" ref="L367">INDEX('Podium Target Times'!$C:$C, MATCH(A367&amp;B367, 'Podium Target Times'!$A:$A&amp;'Podium Target Times'!$B:$B, 0))
</f>
        <v/>
      </c>
      <c r="M367" s="66">
        <f>IFS(K367=0.5,M368+(F365-F368),K367=1,M368+(F365-F368), K367=1.5, M368+(F366-F369), K367=2, M368+(F366-F369), K367=2.5, M368+(F367-F370), K367=3, M368+(F367-F370))</f>
        <v/>
      </c>
      <c r="N367" s="60">
        <f>IF(M367&lt;60, TEXT(M367, "0.00"), TEXT(M367/(24*60*60), "M:SS.00"))</f>
        <v/>
      </c>
      <c r="O367" s="25">
        <f>IFERROR(__xludf.DUMMYFUNCTION("LET(
  gen,$A367, ev,$B367, t,$N367,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P367" s="65" t="n"/>
      <c r="Q367" s="65" t="n"/>
      <c r="R367" s="69">
        <f>A374</f>
        <v/>
      </c>
      <c r="S367" s="65">
        <f>B374</f>
        <v/>
      </c>
      <c r="T367" s="69">
        <f>C374</f>
        <v/>
      </c>
      <c r="U367" s="58">
        <f>N374</f>
        <v/>
      </c>
      <c r="V367" s="69">
        <f>O374</f>
        <v/>
      </c>
      <c r="W367" s="65" t="n"/>
      <c r="X367" s="65" t="n"/>
      <c r="Y367" s="65" t="n"/>
    </row>
    <row r="368">
      <c r="A368" s="8" t="inlineStr">
        <is>
          <t>M</t>
        </is>
      </c>
      <c r="B368" s="9" t="inlineStr">
        <is>
          <t>100 Free</t>
        </is>
      </c>
      <c r="C368" s="9" t="n">
        <v>18</v>
      </c>
      <c r="D368" s="9" t="n">
        <v>1</v>
      </c>
      <c r="E368" s="41" t="inlineStr">
        <is>
          <t>49.07</t>
        </is>
      </c>
      <c r="F368" s="35">
        <f>IFERROR(__xludf.DUMMYFUNCTION("IF(
  REGEXMATCH(E368, "":""),
  60*VALUE(INDEX(SPLIT(E368, "":""),1,1)) + VALUE(INDEX(SPLIT(E368, "":""),1,2)),
  VALUE(E368)
)"),49.07)</f>
        <v/>
      </c>
      <c r="G368" s="215">
        <f>C362</f>
        <v/>
      </c>
      <c r="H368" s="215">
        <f>C371</f>
        <v/>
      </c>
      <c r="I368" s="215">
        <f>C376</f>
        <v/>
      </c>
      <c r="J368" s="215">
        <f>C379</f>
        <v/>
      </c>
      <c r="K368" s="43">
        <f>IFS(H368=21,1,I368=21,2,J368=21,3,and(H368=20,I368=22),1.5, and(I368=20,J368=22),2.5,H368&gt;21,0.5)</f>
        <v/>
      </c>
      <c r="L368" s="43">
        <f t="array" ref="L368">INDEX('Podium Target Times'!$C:$C, MATCH(A368&amp;B368, 'Podium Target Times'!$A:$A&amp;'Podium Target Times'!$B:$B, 0))
</f>
        <v/>
      </c>
      <c r="M368" s="64">
        <f>IFS(K368=0.5,L368,K368=1,U366+(F368-F371), K368=1.5, M371+(F369-F372), K368=2, M371+(F369-F372), K368=2.5, M371+(F370-F373), K368=3, M371+(F370-F373))</f>
        <v/>
      </c>
      <c r="N368" s="43">
        <f>IF(M368&lt;60, TEXT(M368, "0.00"), TEXT(M368/(24*60*60), "M:SS.00"))</f>
        <v/>
      </c>
      <c r="O368" s="14">
        <f>IFERROR(__xludf.DUMMYFUNCTION("LET(
  gen,$A368, ev,$B368, t,$N368,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P368" s="65" t="n"/>
      <c r="Q368" s="65" t="n"/>
      <c r="R368" s="69">
        <f>A376</f>
        <v/>
      </c>
      <c r="S368" s="65">
        <f>B376</f>
        <v/>
      </c>
      <c r="T368" s="69">
        <f>C376</f>
        <v/>
      </c>
      <c r="U368" s="58">
        <f>N376</f>
        <v/>
      </c>
      <c r="V368" s="69">
        <f>O376</f>
        <v/>
      </c>
      <c r="W368" s="65" t="n"/>
      <c r="X368" s="65" t="n"/>
      <c r="Y368" s="65" t="n"/>
    </row>
    <row r="369">
      <c r="A369" s="17" t="inlineStr">
        <is>
          <t>M</t>
        </is>
      </c>
      <c r="B369" s="18" t="inlineStr">
        <is>
          <t>100 Free</t>
        </is>
      </c>
      <c r="C369" s="18" t="n">
        <v>18</v>
      </c>
      <c r="D369" s="18" t="n">
        <v>2</v>
      </c>
      <c r="E369" s="46" t="inlineStr">
        <is>
          <t>49.98</t>
        </is>
      </c>
      <c r="F369" s="21">
        <f>IFERROR(__xludf.DUMMYFUNCTION("IF(
  REGEXMATCH(E369, "":""),
  60*VALUE(INDEX(SPLIT(E369, "":""),1,1)) + VALUE(INDEX(SPLIT(E369, "":""),1,2)),
  VALUE(E369)
)"),49.98)</f>
        <v/>
      </c>
      <c r="G369" s="211">
        <f>C362</f>
        <v/>
      </c>
      <c r="H369" s="211">
        <f>C371</f>
        <v/>
      </c>
      <c r="I369" s="211">
        <f>C376</f>
        <v/>
      </c>
      <c r="J369" s="211">
        <f>C379</f>
        <v/>
      </c>
      <c r="K369" s="60">
        <f>IFS(H369=21,1,I369=21,2,J369=21,3,and(H369=20,I369=22),1.5, and(I369=20,J369=22),2.5,H369&gt;21,0.5)</f>
        <v/>
      </c>
      <c r="L369" s="60">
        <f t="array" ref="L369">INDEX('Podium Target Times'!$C:$C, MATCH(A369&amp;B369, 'Podium Target Times'!$A:$A&amp;'Podium Target Times'!$B:$B, 0))
</f>
        <v/>
      </c>
      <c r="M369" s="66">
        <f>IFS(K369=0.5,L369,K369=1,U366+(F368-F371), K369=1.5, M371+(F369-F372), K369=2, M371+(F369-F372), K369=2.5, M371+(F370-F373), K369=3, M371+(F370-F373))</f>
        <v/>
      </c>
      <c r="N369" s="60">
        <f>IF(M369&lt;60, TEXT(M369, "0.00"), TEXT(M369/(24*60*60), "M:SS.00"))</f>
        <v/>
      </c>
      <c r="O369" s="25">
        <f>IFERROR(__xludf.DUMMYFUNCTION("LET(
  gen,$A369, ev,$B369, t,$N369,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P369" s="65" t="n"/>
      <c r="Q369" s="65" t="n"/>
      <c r="R369" s="69" t="n"/>
      <c r="S369" s="65" t="n"/>
      <c r="T369" s="69" t="n"/>
      <c r="U369" s="58" t="n"/>
      <c r="V369" s="69" t="n"/>
      <c r="W369" s="65" t="n"/>
      <c r="X369" s="65" t="n"/>
      <c r="Y369" s="65" t="n"/>
    </row>
    <row r="370">
      <c r="A370" s="8" t="inlineStr">
        <is>
          <t>M</t>
        </is>
      </c>
      <c r="B370" s="9" t="inlineStr">
        <is>
          <t>100 Free</t>
        </is>
      </c>
      <c r="C370" s="9" t="n">
        <v>18</v>
      </c>
      <c r="D370" s="9" t="n">
        <v>3</v>
      </c>
      <c r="E370" s="41" t="inlineStr">
        <is>
          <t>50.39</t>
        </is>
      </c>
      <c r="F370" s="35">
        <f>IFERROR(__xludf.DUMMYFUNCTION("IF(
  REGEXMATCH(E370, "":""),
  60*VALUE(INDEX(SPLIT(E370, "":""),1,1)) + VALUE(INDEX(SPLIT(E370, "":""),1,2)),
  VALUE(E370)
)"),50.39)</f>
        <v/>
      </c>
      <c r="G370" s="215">
        <f>C362</f>
        <v/>
      </c>
      <c r="H370" s="215">
        <f>C371</f>
        <v/>
      </c>
      <c r="I370" s="215">
        <f>C376</f>
        <v/>
      </c>
      <c r="J370" s="215">
        <f>C379</f>
        <v/>
      </c>
      <c r="K370" s="43">
        <f>IFS(H370=21,1,I370=21,2,J370=21,3,and(H370=20,I370=22),1.5, and(I370=20,J370=22),2.5,H370&gt;21,0.5)</f>
        <v/>
      </c>
      <c r="L370" s="43">
        <f t="array" ref="L370">INDEX('Podium Target Times'!$C:$C, MATCH(A370&amp;B370, 'Podium Target Times'!$A:$A&amp;'Podium Target Times'!$B:$B, 0))
</f>
        <v/>
      </c>
      <c r="M370" s="64">
        <f>IFS(K370=0.5,L370,K370=1,U366+(F368-F371), K370=1.5, M371+(F369-F372), K370=2, M371+(F369-F372), K370=2.5, M371+(F370-F373), K370=3, M371+(F370-F373))</f>
        <v/>
      </c>
      <c r="N370" s="43">
        <f>IF(M370&lt;60, TEXT(M370, "0.00"), TEXT(M370/(24*60*60), "M:SS.00"))</f>
        <v/>
      </c>
      <c r="O370" s="14">
        <f>IFERROR(__xludf.DUMMYFUNCTION("LET(
  gen,$A370, ev,$B370, t,$N370,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)"),738.0)</f>
        <v/>
      </c>
      <c r="P370" s="65" t="n"/>
      <c r="Q370" s="65" t="n"/>
      <c r="R370" s="69" t="n"/>
      <c r="S370" s="65" t="n"/>
      <c r="T370" s="69" t="n"/>
      <c r="U370" s="58" t="n"/>
      <c r="V370" s="69" t="n"/>
      <c r="W370" s="65" t="n"/>
      <c r="X370" s="65" t="n"/>
      <c r="Y370" s="65" t="n"/>
    </row>
    <row r="371">
      <c r="A371" s="17" t="inlineStr">
        <is>
          <t>M</t>
        </is>
      </c>
      <c r="B371" s="18" t="inlineStr">
        <is>
          <t>100 Free</t>
        </is>
      </c>
      <c r="C371" s="18" t="n">
        <v>19</v>
      </c>
      <c r="D371" s="18" t="n">
        <v>1</v>
      </c>
      <c r="E371" s="46" t="inlineStr">
        <is>
          <t>48.34</t>
        </is>
      </c>
      <c r="F371" s="21">
        <f>IFERROR(__xludf.DUMMYFUNCTION("IF(
  REGEXMATCH(E371, "":""),
  60*VALUE(INDEX(SPLIT(E371, "":""),1,1)) + VALUE(INDEX(SPLIT(E371, "":""),1,2)),
  VALUE(E371)
)"),48.34)</f>
        <v/>
      </c>
      <c r="G371" s="211">
        <f>C362</f>
        <v/>
      </c>
      <c r="H371" s="211">
        <f>C371</f>
        <v/>
      </c>
      <c r="I371" s="211">
        <f>C376</f>
        <v/>
      </c>
      <c r="J371" s="211">
        <f>C379</f>
        <v/>
      </c>
      <c r="K371" s="60">
        <f>IFS(H371=21,1,I371=21,2,J371=21,3,and(H371=20,I371=22),1.5, and(I371=20,J371=22),2.5,H371&gt;21,0.5)</f>
        <v/>
      </c>
      <c r="L371" s="60">
        <f t="array" ref="L371">INDEX('Podium Target Times'!$C:$C, MATCH(A371&amp;B371, 'Podium Target Times'!$A:$A&amp;'Podium Target Times'!$B:$B, 0))
</f>
        <v/>
      </c>
      <c r="M371" s="66">
        <f>IFS(K371=0.5,L371,K371=1,L371, K371=1.5, M374+(F372-F374), K371=2, M374+(F372-F374), K371=2.5, M374+(F373-F375), K371=3, M374+(F373-F375))</f>
        <v/>
      </c>
      <c r="N371" s="60">
        <f>IF(M371&lt;60, TEXT(M371, "0.00"), TEXT(M371/(24*60*60), "M:SS.00"))</f>
        <v/>
      </c>
      <c r="O371" s="25">
        <f>IFERROR(__xludf.DUMMYFUNCTION("LET(
  gen,$A371, ev,$B371, t,$N371,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
      </c>
      <c r="P371" s="65" t="n"/>
      <c r="Q371" s="65" t="n"/>
      <c r="R371" s="69" t="n"/>
      <c r="S371" s="65" t="n"/>
      <c r="T371" s="69" t="n"/>
      <c r="U371" s="58" t="n"/>
      <c r="V371" s="69" t="n"/>
      <c r="W371" s="65" t="n"/>
      <c r="X371" s="65" t="n"/>
      <c r="Y371" s="65" t="n"/>
    </row>
    <row r="372">
      <c r="A372" s="8" t="inlineStr">
        <is>
          <t>M</t>
        </is>
      </c>
      <c r="B372" s="9" t="inlineStr">
        <is>
          <t>100 Free</t>
        </is>
      </c>
      <c r="C372" s="9" t="n">
        <v>19</v>
      </c>
      <c r="D372" s="9" t="n">
        <v>2</v>
      </c>
      <c r="E372" s="41" t="inlineStr">
        <is>
          <t>49.23</t>
        </is>
      </c>
      <c r="F372" s="35">
        <f>IFERROR(__xludf.DUMMYFUNCTION("IF(
  REGEXMATCH(E372, "":""),
  60*VALUE(INDEX(SPLIT(E372, "":""),1,1)) + VALUE(INDEX(SPLIT(E372, "":""),1,2)),
  VALUE(E372)
)"),49.23)</f>
        <v/>
      </c>
      <c r="G372" s="215">
        <f>C362</f>
        <v/>
      </c>
      <c r="H372" s="215">
        <f>C371</f>
        <v/>
      </c>
      <c r="I372" s="215">
        <f>C376</f>
        <v/>
      </c>
      <c r="J372" s="215">
        <f>C379</f>
        <v/>
      </c>
      <c r="K372" s="43">
        <f>IFS(H372=21,1,I372=21,2,J372=21,3,and(H372=20,I372=22),1.5, and(I372=20,J372=22),2.5,H372&gt;21,0.5)</f>
        <v/>
      </c>
      <c r="L372" s="43">
        <f t="array" ref="L372">INDEX('Podium Target Times'!$C:$C, MATCH(A372&amp;B372, 'Podium Target Times'!$A:$A&amp;'Podium Target Times'!$B:$B, 0))
</f>
        <v/>
      </c>
      <c r="M372" s="64">
        <f>IFS(K372=0.5,L372,K372=1,L372, K372=1.5, M374+(F372-F374), K372=2, M374+(F372-F374), K372=2.5, M374+(F373-F375), K372=3, M374+(F373-F375))</f>
        <v/>
      </c>
      <c r="N372" s="43">
        <f>IF(M372&lt;60, TEXT(M372, "0.00"), TEXT(M372/(24*60*60), "M:SS.00"))</f>
        <v/>
      </c>
      <c r="O372" s="14">
        <f>IFERROR(__xludf.DUMMYFUNCTION("LET(
  gen,$A372, ev,$B372, t,$N372,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
      </c>
      <c r="P372" s="65" t="n"/>
      <c r="Q372" s="65" t="n"/>
      <c r="R372" s="69" t="n"/>
      <c r="S372" s="65" t="n"/>
      <c r="T372" s="69" t="n"/>
      <c r="U372" s="58" t="n"/>
      <c r="V372" s="69" t="n"/>
      <c r="W372" s="65" t="n"/>
      <c r="X372" s="65" t="n"/>
      <c r="Y372" s="65" t="n"/>
    </row>
    <row r="373">
      <c r="A373" s="17" t="inlineStr">
        <is>
          <t>M</t>
        </is>
      </c>
      <c r="B373" s="18" t="inlineStr">
        <is>
          <t>100 Free</t>
        </is>
      </c>
      <c r="C373" s="18" t="n">
        <v>19</v>
      </c>
      <c r="D373" s="18" t="n">
        <v>3</v>
      </c>
      <c r="E373" s="46" t="inlineStr">
        <is>
          <t>49.64</t>
        </is>
      </c>
      <c r="F373" s="21">
        <f>IFERROR(__xludf.DUMMYFUNCTION("IF(
  REGEXMATCH(E373, "":""),
  60*VALUE(INDEX(SPLIT(E373, "":""),1,1)) + VALUE(INDEX(SPLIT(E373, "":""),1,2)),
  VALUE(E373)
)"),49.64)</f>
        <v/>
      </c>
      <c r="G373" s="211">
        <f>C362</f>
        <v/>
      </c>
      <c r="H373" s="211">
        <f>C371</f>
        <v/>
      </c>
      <c r="I373" s="211">
        <f>C376</f>
        <v/>
      </c>
      <c r="J373" s="211">
        <f>C379</f>
        <v/>
      </c>
      <c r="K373" s="60">
        <f>IFS(H373=21,1,I373=21,2,J373=21,3,and(H373=20,I373=22),1.5, and(I373=20,J373=22),2.5,H373&gt;21,0.5)</f>
        <v/>
      </c>
      <c r="L373" s="60">
        <f t="array" ref="L373">INDEX('Podium Target Times'!$C:$C, MATCH(A373&amp;B373, 'Podium Target Times'!$A:$A&amp;'Podium Target Times'!$B:$B, 0))
</f>
        <v/>
      </c>
      <c r="M373" s="66">
        <f>IFS(K373=0.5,L373,K373=1,L373, K373=1.5, M374+(F372-F374), K373=2, M374+(F372-F374), K373=2.5, M374+(F373-F375), K373=3, M374+(F373-F375))</f>
        <v/>
      </c>
      <c r="N373" s="60">
        <f>IF(M373&lt;60, TEXT(M373, "0.00"), TEXT(M373/(24*60*60), "M:SS.00"))</f>
        <v/>
      </c>
      <c r="O373" s="25">
        <f>IFERROR(__xludf.DUMMYFUNCTION("LET(
  gen,$A373, ev,$B373, t,$N373,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)"),772.0)</f>
        <v/>
      </c>
      <c r="P373" s="65" t="n"/>
      <c r="Q373" s="65" t="n"/>
      <c r="R373" s="69" t="n"/>
      <c r="S373" s="65" t="n"/>
      <c r="T373" s="69" t="n"/>
      <c r="U373" s="58" t="n"/>
      <c r="V373" s="69" t="n"/>
      <c r="W373" s="65" t="n"/>
      <c r="X373" s="65" t="n"/>
      <c r="Y373" s="65" t="n"/>
    </row>
    <row r="374">
      <c r="A374" s="8" t="inlineStr">
        <is>
          <t>M</t>
        </is>
      </c>
      <c r="B374" s="9" t="inlineStr">
        <is>
          <t>100 Free</t>
        </is>
      </c>
      <c r="C374" s="9" t="n">
        <v>20</v>
      </c>
      <c r="D374" s="9" t="n">
        <v>2</v>
      </c>
      <c r="E374" s="41" t="inlineStr">
        <is>
          <t>48.72</t>
        </is>
      </c>
      <c r="F374" s="35">
        <f>IFERROR(__xludf.DUMMYFUNCTION("IF(
  REGEXMATCH(E374, "":""),
  60*VALUE(INDEX(SPLIT(E374, "":""),1,1)) + VALUE(INDEX(SPLIT(E374, "":""),1,2)),
  VALUE(E374)
)"),48.72)</f>
        <v/>
      </c>
      <c r="G374" s="215">
        <f>C362</f>
        <v/>
      </c>
      <c r="H374" s="215">
        <f>C371</f>
        <v/>
      </c>
      <c r="I374" s="215">
        <f>C376</f>
        <v/>
      </c>
      <c r="J374" s="215">
        <f>C379</f>
        <v/>
      </c>
      <c r="K374" s="43">
        <f>IFS(H374=21,1,I374=21,2,J374=21,3,and(H374=20,I374=22),1.5, and(I374=20,J374=22),2.5,H374&gt;21,0.5)</f>
        <v/>
      </c>
      <c r="L374" s="43">
        <f t="array" ref="L374">INDEX('Podium Target Times'!$C:$C, MATCH(A374&amp;B374, 'Podium Target Times'!$A:$A&amp;'Podium Target Times'!$B:$B, 0))
</f>
        <v/>
      </c>
      <c r="M374" s="64">
        <f>IFS(K374=0.5,L374,K374=1,L374, K374=1.5, L374, K374=2, M376+(F374-F376), K374=2.5, M376+(F375-F377), K374=3, M376+(F375-F377))</f>
        <v/>
      </c>
      <c r="N374" s="43">
        <f>IF(M374&lt;60, TEXT(M374, "0.00"), TEXT(M374/(24*60*60), "M:SS.00"))</f>
        <v/>
      </c>
      <c r="O374" s="14">
        <f>IFERROR(__xludf.DUMMYFUNCTION("LET(
  gen,$A374, ev,$B374, t,$N374,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374" s="65" t="n"/>
      <c r="Q374" s="65" t="n"/>
      <c r="R374" s="69" t="n"/>
      <c r="S374" s="65" t="n"/>
      <c r="T374" s="69" t="n"/>
      <c r="U374" s="58" t="n"/>
      <c r="V374" s="69" t="n"/>
      <c r="W374" s="65" t="n"/>
      <c r="X374" s="65" t="n"/>
      <c r="Y374" s="65" t="n"/>
    </row>
    <row r="375">
      <c r="A375" s="17" t="inlineStr">
        <is>
          <t>M</t>
        </is>
      </c>
      <c r="B375" s="18" t="inlineStr">
        <is>
          <t>100 Free</t>
        </is>
      </c>
      <c r="C375" s="18" t="n">
        <v>20</v>
      </c>
      <c r="D375" s="18" t="n">
        <v>3</v>
      </c>
      <c r="E375" s="491" t="inlineStr">
        <is>
          <t>49.12</t>
        </is>
      </c>
      <c r="F375" s="21">
        <f>IFERROR(__xludf.DUMMYFUNCTION("IF(
  REGEXMATCH(E375, "":""),
  60*VALUE(INDEX(SPLIT(E375, "":""),1,1)) + VALUE(INDEX(SPLIT(E375, "":""),1,2)),
  VALUE(E375)
)"),49.12)</f>
        <v/>
      </c>
      <c r="G375" s="211">
        <f>C362</f>
        <v/>
      </c>
      <c r="H375" s="211">
        <f>C371</f>
        <v/>
      </c>
      <c r="I375" s="211">
        <f>C376</f>
        <v/>
      </c>
      <c r="J375" s="211">
        <f>C379</f>
        <v/>
      </c>
      <c r="K375" s="60">
        <f>IFS(H375=21,1,I375=21,2,J375=21,3,and(H375=20,I375=22),1.5, and(I375=20,J375=22),2.5,H375&gt;21,0.5)</f>
        <v/>
      </c>
      <c r="L375" s="60">
        <f t="array" ref="L375">INDEX('Podium Target Times'!$C:$C, MATCH(A375&amp;B375, 'Podium Target Times'!$A:$A&amp;'Podium Target Times'!$B:$B, 0))
</f>
        <v/>
      </c>
      <c r="M375" s="66">
        <f>IFS(K375=0.5,L375,K375=1,L375, K375=1.5, L375, K375=2, M376+(F374-F376), K375=2.5, M376+(F375-F377), K375=3, M376+(F375-F377))</f>
        <v/>
      </c>
      <c r="N375" s="60">
        <f>IF(M375&lt;60, TEXT(M375, "0.00"), TEXT(M375/(24*60*60), "M:SS.00"))</f>
        <v/>
      </c>
      <c r="O375" s="25">
        <f>IFERROR(__xludf.DUMMYFUNCTION("LET(
  gen,$A375, ev,$B375, t,$N375,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375" s="65" t="n"/>
      <c r="Q375" s="65" t="n"/>
      <c r="R375" s="69" t="n"/>
      <c r="S375" s="65" t="n"/>
      <c r="T375" s="69" t="n"/>
      <c r="U375" s="58" t="n"/>
      <c r="V375" s="69" t="n"/>
      <c r="W375" s="65" t="n"/>
      <c r="X375" s="65" t="n"/>
      <c r="Y375" s="65" t="n"/>
    </row>
    <row r="376">
      <c r="A376" s="8" t="inlineStr">
        <is>
          <t>M</t>
        </is>
      </c>
      <c r="B376" s="9" t="inlineStr">
        <is>
          <t>100 Free</t>
        </is>
      </c>
      <c r="C376" s="9" t="n">
        <v>21</v>
      </c>
      <c r="D376" s="9" t="n">
        <v>2</v>
      </c>
      <c r="E376" s="41" t="inlineStr">
        <is>
          <t>48.34</t>
        </is>
      </c>
      <c r="F376" s="35">
        <f>IFERROR(__xludf.DUMMYFUNCTION("IF(
  REGEXMATCH(E376, "":""),
  60*VALUE(INDEX(SPLIT(E376, "":""),1,1)) + VALUE(INDEX(SPLIT(E376, "":""),1,2)),
  VALUE(E376)
)"),48.34)</f>
        <v/>
      </c>
      <c r="G376" s="215">
        <f>C362</f>
        <v/>
      </c>
      <c r="H376" s="215">
        <f>C371</f>
        <v/>
      </c>
      <c r="I376" s="215">
        <f>C376</f>
        <v/>
      </c>
      <c r="J376" s="215">
        <f>C379</f>
        <v/>
      </c>
      <c r="K376" s="43">
        <f>IFS(H376=21,1,I376=21,2,J376=21,3,and(H376=20,I376=22),1.5, and(I376=20,J376=22),2.5,H376&gt;21,0.5)</f>
        <v/>
      </c>
      <c r="L376" s="43">
        <f t="array" ref="L376">INDEX('Podium Target Times'!$C:$C, MATCH(A376&amp;B376, 'Podium Target Times'!$A:$A&amp;'Podium Target Times'!$B:$B, 0))
</f>
        <v/>
      </c>
      <c r="M376" s="64">
        <f>IFS(K376=0.5,L376,K376=1,L376, K376=1.5, L376, K376=2,L379, K376=2.5, M378+(F377-F378), K376=3,  M378+(F377-F378))</f>
        <v/>
      </c>
      <c r="N376" s="43">
        <f>IF(M376&lt;60, TEXT(M376, "0.00"), TEXT(M376/(24*60*60), "M:SS.00"))</f>
        <v/>
      </c>
      <c r="O376" s="14">
        <f>IFERROR(__xludf.DUMMYFUNCTION("LET(
  gen,$A376, ev,$B376, t,$N376,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
      </c>
      <c r="P376" s="65" t="n"/>
      <c r="Q376" s="65" t="n"/>
      <c r="R376" s="69" t="n"/>
      <c r="S376" s="65" t="n"/>
      <c r="T376" s="69" t="n"/>
      <c r="U376" s="58" t="n"/>
      <c r="V376" s="69" t="n"/>
      <c r="W376" s="65" t="n"/>
      <c r="X376" s="65" t="n"/>
      <c r="Y376" s="65" t="n"/>
    </row>
    <row r="377">
      <c r="A377" s="17" t="inlineStr">
        <is>
          <t>M</t>
        </is>
      </c>
      <c r="B377" s="18" t="inlineStr">
        <is>
          <t>100 Free</t>
        </is>
      </c>
      <c r="C377" s="18" t="n">
        <v>21</v>
      </c>
      <c r="D377" s="18" t="n">
        <v>3</v>
      </c>
      <c r="E377" s="46" t="inlineStr">
        <is>
          <t>48.74</t>
        </is>
      </c>
      <c r="F377" s="21">
        <f>IFERROR(__xludf.DUMMYFUNCTION("IF(
  REGEXMATCH(E377, "":""),
  60*VALUE(INDEX(SPLIT(E377, "":""),1,1)) + VALUE(INDEX(SPLIT(E377, "":""),1,2)),
  VALUE(E377)
)"),48.74)</f>
        <v/>
      </c>
      <c r="G377" s="211">
        <f>C362</f>
        <v/>
      </c>
      <c r="H377" s="211">
        <f>C371</f>
        <v/>
      </c>
      <c r="I377" s="211">
        <f>C376</f>
        <v/>
      </c>
      <c r="J377" s="211">
        <f>C379</f>
        <v/>
      </c>
      <c r="K377" s="60">
        <f>IFS(H377=21,1,I377=21,2,J377=21,3,and(H377=20,I377=22),1.5, and(I377=20,J377=22),2.5,H377&gt;21,0.5)</f>
        <v/>
      </c>
      <c r="L377" s="60">
        <f t="array" ref="L377">INDEX('Podium Target Times'!$C:$C, MATCH(A377&amp;B377, 'Podium Target Times'!$A:$A&amp;'Podium Target Times'!$B:$B, 0))
</f>
        <v/>
      </c>
      <c r="M377" s="66">
        <f>IFS(K377=0.5,L377,K377=1,L377, K377=1.5, L377, K377=2, L379, K377=2.5, M378+(F377-F378), K377=3, M378+(F377-F378))</f>
        <v/>
      </c>
      <c r="N377" s="60">
        <f>IF(M377&lt;60, TEXT(M377, "0.00"), TEXT(M377/(24*60*60), "M:SS.00"))</f>
        <v/>
      </c>
      <c r="O377" s="25">
        <f>IFERROR(__xludf.DUMMYFUNCTION("LET(
  gen,$A377, ev,$B377, t,$N377,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
      </c>
      <c r="P377" s="65" t="n"/>
      <c r="Q377" s="65" t="n"/>
      <c r="R377" s="69" t="n"/>
      <c r="S377" s="65" t="n"/>
      <c r="T377" s="69" t="n"/>
      <c r="U377" s="58" t="n"/>
      <c r="V377" s="69" t="n"/>
      <c r="W377" s="65" t="n"/>
      <c r="X377" s="65" t="n"/>
      <c r="Y377" s="65" t="n"/>
    </row>
    <row r="378">
      <c r="A378" s="8" t="inlineStr">
        <is>
          <t>M</t>
        </is>
      </c>
      <c r="B378" s="9" t="inlineStr">
        <is>
          <t>100 Free</t>
        </is>
      </c>
      <c r="C378" s="9" t="n">
        <v>22</v>
      </c>
      <c r="D378" s="9" t="n">
        <v>3</v>
      </c>
      <c r="E378" s="41" t="inlineStr">
        <is>
          <t>48.49</t>
        </is>
      </c>
      <c r="F378" s="35">
        <f>IFERROR(__xludf.DUMMYFUNCTION("IF(
  REGEXMATCH(E378, "":""),
  60*VALUE(INDEX(SPLIT(E378, "":""),1,1)) + VALUE(INDEX(SPLIT(E378, "":""),1,2)),
  VALUE(E378)
)"),48.49)</f>
        <v/>
      </c>
      <c r="G378" s="215">
        <f>C362</f>
        <v/>
      </c>
      <c r="H378" s="215">
        <f>C371</f>
        <v/>
      </c>
      <c r="I378" s="215">
        <f>C376</f>
        <v/>
      </c>
      <c r="J378" s="215">
        <f>C379</f>
        <v/>
      </c>
      <c r="K378" s="43">
        <f>IFS(H378=21,1,I378=21,2,J378=21,3,and(H378=20,I378=22),1.5, and(I378=20,J378=22),2.5,H378&gt;21,0.5)</f>
        <v/>
      </c>
      <c r="L378" s="43">
        <f t="array" ref="L378">INDEX('Podium Target Times'!$C:$C, MATCH(A378&amp;B378, 'Podium Target Times'!$A:$A&amp;'Podium Target Times'!$B:$B, 0))
</f>
        <v/>
      </c>
      <c r="M378" s="64">
        <f>IFS(K378=0.5,L378,K378=1,L378, K378=1.5, L378, K378=2, L379, K378=2.5, L379, K378=3, M379+(F378-F379))</f>
        <v/>
      </c>
      <c r="N378" s="43">
        <f>IF(M378&lt;60, TEXT(M378, "0.00"), TEXT(M378/(24*60*60), "M:SS.00"))</f>
        <v/>
      </c>
      <c r="O378" s="14">
        <f>IFERROR(__xludf.DUMMYFUNCTION("LET(
  gen,$A378, ev,$B378, t,$N378,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
      </c>
      <c r="P378" s="65" t="n"/>
      <c r="Q378" s="65" t="n"/>
      <c r="R378" s="69" t="n"/>
      <c r="S378" s="65" t="n"/>
      <c r="T378" s="69" t="n"/>
      <c r="U378" s="58" t="n"/>
      <c r="V378" s="69" t="n"/>
      <c r="W378" s="65" t="n"/>
      <c r="X378" s="65" t="n"/>
      <c r="Y378" s="65" t="n"/>
    </row>
    <row r="379">
      <c r="A379" s="17" t="inlineStr">
        <is>
          <t>M</t>
        </is>
      </c>
      <c r="B379" s="18" t="inlineStr">
        <is>
          <t>100 Free</t>
        </is>
      </c>
      <c r="C379" s="18" t="n">
        <v>23</v>
      </c>
      <c r="D379" s="18" t="n">
        <v>3</v>
      </c>
      <c r="E379" s="46" t="inlineStr">
        <is>
          <t>48.34</t>
        </is>
      </c>
      <c r="F379" s="21">
        <f>IFERROR(__xludf.DUMMYFUNCTION("IF(
  REGEXMATCH(E379, "":""),
  60*VALUE(INDEX(SPLIT(E379, "":""),1,1)) + VALUE(INDEX(SPLIT(E379, "":""),1,2)),
  VALUE(E379)
)"),48.34)</f>
        <v/>
      </c>
      <c r="G379" s="211">
        <f>C362</f>
        <v/>
      </c>
      <c r="H379" s="211">
        <f>C371</f>
        <v/>
      </c>
      <c r="I379" s="211">
        <f>C376</f>
        <v/>
      </c>
      <c r="J379" s="211">
        <f>C379</f>
        <v/>
      </c>
      <c r="K379" s="60">
        <f>IFS(H379=21,1,I379=21,2,J379=21,3,and(H379=20,I379=22),1.5, and(I379=20,J379=22),2.5,H379&gt;21,0.5)</f>
        <v/>
      </c>
      <c r="L379" s="60">
        <f t="array" ref="L379">INDEX('Podium Target Times'!$C:$C, MATCH(A379&amp;B379, 'Podium Target Times'!$A:$A&amp;'Podium Target Times'!$B:$B, 0))
</f>
        <v/>
      </c>
      <c r="M379" s="66">
        <f>IFS(K379=0.5,L379,K379=1,L379, K379=1.5, L379, K379=2, L379, K379=2.5, L379, K379=3, L379)</f>
        <v/>
      </c>
      <c r="N379" s="60">
        <f>IF(M379&lt;60, TEXT(M379, "0.00"), TEXT(M379/(24*60*60), "M:SS.00"))</f>
        <v/>
      </c>
      <c r="O379" s="25">
        <f>IFERROR(__xludf.DUMMYFUNCTION("LET(
  gen,$A379, ev,$B379, t,$N379,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)"),814.0)</f>
        <v/>
      </c>
      <c r="P379" s="65" t="n"/>
      <c r="Q379" s="65" t="n"/>
      <c r="R379" s="69" t="n"/>
      <c r="S379" s="65" t="n"/>
      <c r="T379" s="69" t="n"/>
      <c r="U379" s="58" t="n"/>
      <c r="V379" s="69" t="n"/>
      <c r="W379" s="65" t="n"/>
      <c r="X379" s="65" t="n"/>
      <c r="Y379" s="65" t="n"/>
    </row>
    <row r="380">
      <c r="A380" s="8" t="inlineStr">
        <is>
          <t>M</t>
        </is>
      </c>
      <c r="B380" s="9" t="inlineStr">
        <is>
          <t>1500 Free</t>
        </is>
      </c>
      <c r="C380" s="9" t="n">
        <v>15</v>
      </c>
      <c r="D380" s="9" t="n">
        <v>1</v>
      </c>
      <c r="E380" s="41" t="inlineStr">
        <is>
          <t>16:17.69</t>
        </is>
      </c>
      <c r="F380" s="35">
        <f>IFERROR(__xludf.DUMMYFUNCTION("IF(
  REGEXMATCH(E380, "":""),
  60*VALUE(INDEX(SPLIT(E380, "":""),1,1)) + VALUE(INDEX(SPLIT(E380, "":""),1,2)),
  VALUE(E380)
)"),977.69)</f>
        <v/>
      </c>
      <c r="G380" s="43">
        <f>C380</f>
        <v/>
      </c>
      <c r="H380" s="43">
        <f>C389</f>
        <v/>
      </c>
      <c r="I380" s="43">
        <f>C394</f>
        <v/>
      </c>
      <c r="J380" s="43">
        <f>C397</f>
        <v/>
      </c>
      <c r="K380" s="43">
        <f>IFS(H380=21,1,I380=21,2,J380=21,3,and(H380=20,I380=22),1.5, and(I380=20,J380=22),2.5,H380&gt;21,0.5)</f>
        <v/>
      </c>
      <c r="L380" s="43">
        <f t="array" ref="L380">INDEX('Podium Target Times'!$C:$C, MATCH(A380&amp;B380, 'Podium Target Times'!$A:$A&amp;'Podium Target Times'!$B:$B, 0))
</f>
        <v/>
      </c>
      <c r="M380" s="64">
        <f>IFS(K380=0.5,M381+(F380-F381),K380=1,M381+(F380-F381), K380=1.5, M381+(F380-F381), K380=2, M381+(F380-F381), K380=2.5, M381+(F380-F381), K380=3, M381+(F380-F381))</f>
        <v/>
      </c>
      <c r="N380" s="43">
        <f>IF(M380&lt;60, TEXT(M380, "0.00"), TEXT(M380/(24*60*60), "M:SS.00"))</f>
        <v/>
      </c>
      <c r="O380" s="14">
        <f>IFERROR(__xludf.DUMMYFUNCTION("LET(
  gen,$A380, ev,$B380, t,$N380,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)"),615.0)</f>
        <v/>
      </c>
      <c r="P380" s="65" t="n"/>
      <c r="Q380" s="65" t="n"/>
      <c r="R380" s="69">
        <f>A380</f>
        <v/>
      </c>
      <c r="S380" s="65">
        <f>B380</f>
        <v/>
      </c>
      <c r="T380" s="69">
        <f>C380</f>
        <v/>
      </c>
      <c r="U380" s="58">
        <f>N380</f>
        <v/>
      </c>
      <c r="V380" s="69">
        <f>O380</f>
        <v/>
      </c>
      <c r="W380" s="65" t="n"/>
      <c r="X380" s="65" t="n"/>
      <c r="Y380" s="65" t="n"/>
    </row>
    <row r="381">
      <c r="A381" s="17" t="inlineStr">
        <is>
          <t>M</t>
        </is>
      </c>
      <c r="B381" s="18" t="inlineStr">
        <is>
          <t>1500 Free</t>
        </is>
      </c>
      <c r="C381" s="18" t="n">
        <v>16</v>
      </c>
      <c r="D381" s="18" t="n">
        <v>1</v>
      </c>
      <c r="E381" s="46" t="inlineStr">
        <is>
          <t>15:46.32</t>
        </is>
      </c>
      <c r="F381" s="21">
        <f>IFERROR(__xludf.DUMMYFUNCTION("IF(
  REGEXMATCH(E381, "":""),
  60*VALUE(INDEX(SPLIT(E381, "":""),1,1)) + VALUE(INDEX(SPLIT(E381, "":""),1,2)),
  VALUE(E381)
)"),946.32)</f>
        <v/>
      </c>
      <c r="G381" s="211">
        <f>C380</f>
        <v/>
      </c>
      <c r="H381" s="211">
        <f>C389</f>
        <v/>
      </c>
      <c r="I381" s="211">
        <f>C394</f>
        <v/>
      </c>
      <c r="J381" s="211">
        <f>C397</f>
        <v/>
      </c>
      <c r="K381" s="60">
        <f>IFS(H381=21,1,I381=21,2,J381=21,3,and(H381=20,I381=22),1.5, and(I381=20,J381=22),2.5,H381&gt;21,0.5)</f>
        <v/>
      </c>
      <c r="L381" s="60">
        <f t="array" ref="L381">INDEX('Podium Target Times'!$C:$C, MATCH(A381&amp;B381, 'Podium Target Times'!$A:$A&amp;'Podium Target Times'!$B:$B, 0))
</f>
        <v/>
      </c>
      <c r="M381" s="66">
        <f>IFS(K381=0.5,M382+(F381-F383),K381=1,M382+(F381-F383), K381=1.5, M383+(F382-F384), K381=2, M383+(F382-F384), K381=2.5, M383+(F382-F384), K381=3, M383+(F382-F384))</f>
        <v/>
      </c>
      <c r="N381" s="60">
        <f>IF(M381&lt;60, TEXT(M381, "0.00"), TEXT(M381/(24*60*60), "M:SS.00"))</f>
        <v/>
      </c>
      <c r="O381" s="25">
        <f>IFERROR(__xludf.DUMMYFUNCTION("LET(
  gen,$A381, ev,$B381, t,$N381,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)"),675.0)</f>
        <v/>
      </c>
      <c r="P381" s="65" t="n"/>
      <c r="Q381" s="65" t="n"/>
      <c r="R381" s="69">
        <f>A381</f>
        <v/>
      </c>
      <c r="S381" s="65">
        <f>B381</f>
        <v/>
      </c>
      <c r="T381" s="69">
        <f>C381</f>
        <v/>
      </c>
      <c r="U381" s="58">
        <f>N381</f>
        <v/>
      </c>
      <c r="V381" s="69">
        <f>O381</f>
        <v/>
      </c>
      <c r="W381" s="65" t="n"/>
      <c r="X381" s="65" t="n"/>
      <c r="Y381" s="65" t="n"/>
    </row>
    <row r="382">
      <c r="A382" s="8" t="inlineStr">
        <is>
          <t>M</t>
        </is>
      </c>
      <c r="B382" s="9" t="inlineStr">
        <is>
          <t>1500 Free</t>
        </is>
      </c>
      <c r="C382" s="9" t="n">
        <v>16</v>
      </c>
      <c r="D382" s="9" t="n">
        <v>2</v>
      </c>
      <c r="E382" s="41" t="inlineStr">
        <is>
          <t>15:53.70</t>
        </is>
      </c>
      <c r="F382" s="35">
        <f>IFERROR(__xludf.DUMMYFUNCTION("IF(
  REGEXMATCH(E382, "":""),
  60*VALUE(INDEX(SPLIT(E382, "":""),1,1)) + VALUE(INDEX(SPLIT(E382, "":""),1,2)),
  VALUE(E382)
)"),953.7)</f>
        <v/>
      </c>
      <c r="G382" s="215">
        <f>C380</f>
        <v/>
      </c>
      <c r="H382" s="215">
        <f>C389</f>
        <v/>
      </c>
      <c r="I382" s="215">
        <f>C394</f>
        <v/>
      </c>
      <c r="J382" s="215">
        <f>C397</f>
        <v/>
      </c>
      <c r="K382" s="43">
        <f>IFS(H382=21,1,I382=21,2,J382=21,3,and(H382=20,I382=22),1.5, and(I382=20,J382=22),2.5,H382&gt;21,0.5)</f>
        <v/>
      </c>
      <c r="L382" s="43">
        <f t="array" ref="L382">INDEX('Podium Target Times'!$C:$C, MATCH(A382&amp;B382, 'Podium Target Times'!$A:$A&amp;'Podium Target Times'!$B:$B, 0))
</f>
        <v/>
      </c>
      <c r="M382" s="64">
        <f>IFS(K382=0.5,M383+(F382-F385),K382=1,M383+(F382-F385), K382=1.5, M383+(F382-F384), K382=2, M383+(F382-F384), K382=2.5, M383+(F382-F384), K382=3, M383+(F382-F384))</f>
        <v/>
      </c>
      <c r="N382" s="43">
        <f>IF(M382&lt;60, TEXT(M382, "0.00"), TEXT(M382/(24*60*60), "M:SS.00"))</f>
        <v/>
      </c>
      <c r="O382" s="14">
        <f>IFERROR(__xludf.DUMMYFUNCTION("LET(
  gen,$A382, ev,$B382, t,$N382,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)"),675.0)</f>
        <v/>
      </c>
      <c r="P382" s="65" t="n"/>
      <c r="Q382" s="65" t="n"/>
      <c r="R382" s="69">
        <f>A383</f>
        <v/>
      </c>
      <c r="S382" s="65">
        <f>B383</f>
        <v/>
      </c>
      <c r="T382" s="69">
        <f>C383</f>
        <v/>
      </c>
      <c r="U382" s="58">
        <f>N383</f>
        <v/>
      </c>
      <c r="V382" s="69">
        <f>O383</f>
        <v/>
      </c>
      <c r="W382" s="65" t="n"/>
      <c r="X382" s="65" t="n"/>
      <c r="Y382" s="65" t="n"/>
    </row>
    <row r="383">
      <c r="A383" s="17" t="inlineStr">
        <is>
          <t>M</t>
        </is>
      </c>
      <c r="B383" s="18" t="inlineStr">
        <is>
          <t>1500 Free</t>
        </is>
      </c>
      <c r="C383" s="18" t="n">
        <v>17</v>
      </c>
      <c r="D383" s="18" t="n">
        <v>1</v>
      </c>
      <c r="E383" s="46" t="inlineStr">
        <is>
          <t>15:24.14</t>
        </is>
      </c>
      <c r="F383" s="21">
        <f>IFERROR(__xludf.DUMMYFUNCTION("IF(
  REGEXMATCH(E383, "":""),
  60*VALUE(INDEX(SPLIT(E383, "":""),1,1)) + VALUE(INDEX(SPLIT(E383, "":""),1,2)),
  VALUE(E383)
)"),924.14)</f>
        <v/>
      </c>
      <c r="G383" s="211">
        <f>C380</f>
        <v/>
      </c>
      <c r="H383" s="211">
        <f>C389</f>
        <v/>
      </c>
      <c r="I383" s="211">
        <f>C394</f>
        <v/>
      </c>
      <c r="J383" s="211">
        <f>C397</f>
        <v/>
      </c>
      <c r="K383" s="60">
        <f>IFS(H383=21,1,I383=21,2,J383=21,3,and(H383=20,I383=22),1.5, and(I383=20,J383=22),2.5,H383&gt;21,0.5)</f>
        <v/>
      </c>
      <c r="L383" s="60">
        <f t="array" ref="L383">INDEX('Podium Target Times'!$C:$C, MATCH(A383&amp;B383, 'Podium Target Times'!$A:$A&amp;'Podium Target Times'!$B:$B, 0))
</f>
        <v/>
      </c>
      <c r="M383" s="66">
        <f>IFS(K383=0.5,M384+(F383-F386),K383=1,M384+(F383-F386), K383=1.5, M386+(F384-F387), K383=2, M386+(F384-F387), K383=2.5, M386+(F385-F388), K383=3, M386+(F385-F388))</f>
        <v/>
      </c>
      <c r="N383" s="60">
        <f>IF(M383&lt;60, TEXT(M383, "0.00"), TEXT(M383/(24*60*60), "M:SS.00"))</f>
        <v/>
      </c>
      <c r="O383" s="25">
        <f>IFERROR(__xludf.DUMMYFUNCTION("LET(
  gen,$A383, ev,$B383, t,$N383,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P383" s="65" t="n"/>
      <c r="Q383" s="65" t="n"/>
      <c r="R383" s="69">
        <f>A386</f>
        <v/>
      </c>
      <c r="S383" s="65">
        <f>B386</f>
        <v/>
      </c>
      <c r="T383" s="69">
        <f>C386</f>
        <v/>
      </c>
      <c r="U383" s="58">
        <f>N386</f>
        <v/>
      </c>
      <c r="V383" s="69">
        <f>O386</f>
        <v/>
      </c>
      <c r="W383" s="65" t="n"/>
      <c r="X383" s="65" t="n"/>
      <c r="Y383" s="65" t="n"/>
    </row>
    <row r="384">
      <c r="A384" s="8" t="inlineStr">
        <is>
          <t>M</t>
        </is>
      </c>
      <c r="B384" s="9" t="inlineStr">
        <is>
          <t>1500 Free</t>
        </is>
      </c>
      <c r="C384" s="9" t="n">
        <v>17</v>
      </c>
      <c r="D384" s="9" t="n">
        <v>2</v>
      </c>
      <c r="E384" s="41" t="inlineStr">
        <is>
          <t>15:31.34</t>
        </is>
      </c>
      <c r="F384" s="35">
        <f>IFERROR(__xludf.DUMMYFUNCTION("IF(
  REGEXMATCH(E384, "":""),
  60*VALUE(INDEX(SPLIT(E384, "":""),1,1)) + VALUE(INDEX(SPLIT(E384, "":""),1,2)),
  VALUE(E384)
)"),931.34)</f>
        <v/>
      </c>
      <c r="G384" s="215">
        <f>C380</f>
        <v/>
      </c>
      <c r="H384" s="215">
        <f>C389</f>
        <v/>
      </c>
      <c r="I384" s="215">
        <f>C394</f>
        <v/>
      </c>
      <c r="J384" s="215">
        <f>C397</f>
        <v/>
      </c>
      <c r="K384" s="43">
        <f>IFS(H384=21,1,I384=21,2,J384=21,3,and(H384=20,I384=22),1.5, and(I384=20,J384=22),2.5,H384&gt;21,0.5)</f>
        <v/>
      </c>
      <c r="L384" s="43">
        <f t="array" ref="L384">INDEX('Podium Target Times'!$C:$C, MATCH(A384&amp;B384, 'Podium Target Times'!$A:$A&amp;'Podium Target Times'!$B:$B, 0))
</f>
        <v/>
      </c>
      <c r="M384" s="64">
        <f>IFS(K384=0.5,M385+(F383-F386),K384=1,M385+(F383-F386), K384=1.5, M386+(F384-F387), K384=2, M386+(F384-F387), K384=2.5, M386+(F385-F388), K384=3, M386+(F385-F388))</f>
        <v/>
      </c>
      <c r="N384" s="43">
        <f>IF(M384&lt;60, TEXT(M384, "0.00"), TEXT(M384/(24*60*60), "M:SS.00"))</f>
        <v/>
      </c>
      <c r="O384" s="14">
        <f>IFERROR(__xludf.DUMMYFUNCTION("LET(
  gen,$A384, ev,$B384, t,$N384,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P384" s="65" t="n"/>
      <c r="Q384" s="65" t="n"/>
      <c r="R384" s="69">
        <f>A389</f>
        <v/>
      </c>
      <c r="S384" s="65">
        <f>B389</f>
        <v/>
      </c>
      <c r="T384" s="69">
        <f>C389</f>
        <v/>
      </c>
      <c r="U384" s="58">
        <f>N389</f>
        <v/>
      </c>
      <c r="V384" s="69">
        <f>O389</f>
        <v/>
      </c>
      <c r="W384" s="65" t="n"/>
      <c r="X384" s="65" t="n"/>
      <c r="Y384" s="65" t="n"/>
    </row>
    <row r="385">
      <c r="A385" s="17" t="inlineStr">
        <is>
          <t>M</t>
        </is>
      </c>
      <c r="B385" s="18" t="inlineStr">
        <is>
          <t>1500 Free</t>
        </is>
      </c>
      <c r="C385" s="18" t="n">
        <v>17</v>
      </c>
      <c r="D385" s="18" t="n">
        <v>3</v>
      </c>
      <c r="E385" s="46" t="inlineStr">
        <is>
          <t>15:33.06</t>
        </is>
      </c>
      <c r="F385" s="21">
        <f>IFERROR(__xludf.DUMMYFUNCTION("IF(
  REGEXMATCH(E385, "":""),
  60*VALUE(INDEX(SPLIT(E385, "":""),1,1)) + VALUE(INDEX(SPLIT(E385, "":""),1,2)),
  VALUE(E385)
)"),933.06)</f>
        <v/>
      </c>
      <c r="G385" s="211">
        <f>C380</f>
        <v/>
      </c>
      <c r="H385" s="211">
        <f>C389</f>
        <v/>
      </c>
      <c r="I385" s="211">
        <f>C394</f>
        <v/>
      </c>
      <c r="J385" s="211">
        <f>C397</f>
        <v/>
      </c>
      <c r="K385" s="60">
        <f>IFS(H385=21,1,I385=21,2,J385=21,3,and(H385=20,I385=22),1.5, and(I385=20,J385=22),2.5,H385&gt;21,0.5)</f>
        <v/>
      </c>
      <c r="L385" s="60">
        <f t="array" ref="L385">INDEX('Podium Target Times'!$C:$C, MATCH(A385&amp;B385, 'Podium Target Times'!$A:$A&amp;'Podium Target Times'!$B:$B, 0))
</f>
        <v/>
      </c>
      <c r="M385" s="66">
        <f>IFS(K385=0.5,M386+(F383-F386),K385=1,M386+(F383-F386), K385=1.5, M386+(F384-F387), K385=2, M386+(F384-F387), K385=2.5, M386+(F385-F388), K385=3, M386+(F385-F388))</f>
        <v/>
      </c>
      <c r="N385" s="60">
        <f>IF(M385&lt;60, TEXT(M385, "0.00"), TEXT(M385/(24*60*60), "M:SS.00"))</f>
        <v/>
      </c>
      <c r="O385" s="25">
        <f>IFERROR(__xludf.DUMMYFUNCTION("LET(
  gen,$A385, ev,$B385, t,$N385,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)"),723.0)</f>
        <v/>
      </c>
      <c r="P385" s="65" t="n"/>
      <c r="Q385" s="65" t="n"/>
      <c r="R385" s="69">
        <f>A392</f>
        <v/>
      </c>
      <c r="S385" s="65">
        <f>B392</f>
        <v/>
      </c>
      <c r="T385" s="69">
        <f>C392</f>
        <v/>
      </c>
      <c r="U385" s="58">
        <f>N392</f>
        <v/>
      </c>
      <c r="V385" s="69">
        <f>O392</f>
        <v/>
      </c>
      <c r="W385" s="65" t="n"/>
      <c r="X385" s="65" t="n"/>
      <c r="Y385" s="65" t="n"/>
    </row>
    <row r="386">
      <c r="A386" s="8" t="inlineStr">
        <is>
          <t>M</t>
        </is>
      </c>
      <c r="B386" s="9" t="inlineStr">
        <is>
          <t>1500 Free</t>
        </is>
      </c>
      <c r="C386" s="9" t="n">
        <v>18</v>
      </c>
      <c r="D386" s="9" t="n">
        <v>1</v>
      </c>
      <c r="E386" s="41" t="inlineStr">
        <is>
          <t>15:10.35</t>
        </is>
      </c>
      <c r="F386" s="35">
        <f>IFERROR(__xludf.DUMMYFUNCTION("IF(
  REGEXMATCH(E386, "":""),
  60*VALUE(INDEX(SPLIT(E386, "":""),1,1)) + VALUE(INDEX(SPLIT(E386, "":""),1,2)),
  VALUE(E386)
)"),910.35)</f>
        <v/>
      </c>
      <c r="G386" s="215">
        <f>C380</f>
        <v/>
      </c>
      <c r="H386" s="215">
        <f>C389</f>
        <v/>
      </c>
      <c r="I386" s="215">
        <f>C394</f>
        <v/>
      </c>
      <c r="J386" s="215">
        <f>C397</f>
        <v/>
      </c>
      <c r="K386" s="43">
        <f>IFS(H386=21,1,I386=21,2,J386=21,3,and(H386=20,I386=22),1.5, and(I386=20,J386=22),2.5,H386&gt;21,0.5)</f>
        <v/>
      </c>
      <c r="L386" s="43">
        <f t="array" ref="L386">INDEX('Podium Target Times'!$C:$C, MATCH(A386&amp;B386, 'Podium Target Times'!$A:$A&amp;'Podium Target Times'!$B:$B, 0))
</f>
        <v/>
      </c>
      <c r="M386" s="64">
        <f>IFS(K386=0.5,L386,K386=1,U384+(F386-F389), K386=1.5, M389+(F387-F390), K386=2, M389+(F387-F390), K386=2.5, M389+(F388-F391), K386=3, M389+(F388-F391))</f>
        <v/>
      </c>
      <c r="N386" s="43">
        <f>IF(M386&lt;60, TEXT(M386, "0.00"), TEXT(M386/(24*60*60), "M:SS.00"))</f>
        <v/>
      </c>
      <c r="O386" s="14">
        <f>IFERROR(__xludf.DUMMYFUNCTION("LET(
  gen,$A386, ev,$B386, t,$N386,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386" s="65" t="n"/>
      <c r="Q386" s="65" t="n"/>
      <c r="R386" s="69">
        <f>A394</f>
        <v/>
      </c>
      <c r="S386" s="65">
        <f>B394</f>
        <v/>
      </c>
      <c r="T386" s="69">
        <f>C394</f>
        <v/>
      </c>
      <c r="U386" s="58">
        <f>N394</f>
        <v/>
      </c>
      <c r="V386" s="69">
        <f>O394</f>
        <v/>
      </c>
      <c r="W386" s="65" t="n"/>
      <c r="X386" s="65" t="n"/>
      <c r="Y386" s="65" t="n"/>
    </row>
    <row r="387">
      <c r="A387" s="17" t="inlineStr">
        <is>
          <t>M</t>
        </is>
      </c>
      <c r="B387" s="18" t="inlineStr">
        <is>
          <t>1500 Free</t>
        </is>
      </c>
      <c r="C387" s="18" t="n">
        <v>18</v>
      </c>
      <c r="D387" s="18" t="n">
        <v>2</v>
      </c>
      <c r="E387" s="46" t="inlineStr">
        <is>
          <t>15:17.45</t>
        </is>
      </c>
      <c r="F387" s="21">
        <f>IFERROR(__xludf.DUMMYFUNCTION("IF(
  REGEXMATCH(E387, "":""),
  60*VALUE(INDEX(SPLIT(E387, "":""),1,1)) + VALUE(INDEX(SPLIT(E387, "":""),1,2)),
  VALUE(E387)
)"),917.45)</f>
        <v/>
      </c>
      <c r="G387" s="211">
        <f>C380</f>
        <v/>
      </c>
      <c r="H387" s="211">
        <f>C389</f>
        <v/>
      </c>
      <c r="I387" s="211">
        <f>C394</f>
        <v/>
      </c>
      <c r="J387" s="211">
        <f>C397</f>
        <v/>
      </c>
      <c r="K387" s="60">
        <f>IFS(H387=21,1,I387=21,2,J387=21,3,and(H387=20,I387=22),1.5, and(I387=20,J387=22),2.5,H387&gt;21,0.5)</f>
        <v/>
      </c>
      <c r="L387" s="60">
        <f t="array" ref="L387">INDEX('Podium Target Times'!$C:$C, MATCH(A387&amp;B387, 'Podium Target Times'!$A:$A&amp;'Podium Target Times'!$B:$B, 0))
</f>
        <v/>
      </c>
      <c r="M387" s="66">
        <f>IFS(K387=0.5,L387,K387=1,U384+(F386-F389), K387=1.5, M389+(F387-F390), K387=2, M389+(F387-F390), K387=2.5, M389+(F388-F391), K387=3, M389+(F388-F391))</f>
        <v/>
      </c>
      <c r="N387" s="60">
        <f>IF(M387&lt;60, TEXT(M387, "0.00"), TEXT(M387/(24*60*60), "M:SS.00"))</f>
        <v/>
      </c>
      <c r="O387" s="25">
        <f>IFERROR(__xludf.DUMMYFUNCTION("LET(
  gen,$A387, ev,$B387, t,$N387,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387" s="65" t="n"/>
      <c r="Q387" s="65" t="n"/>
      <c r="R387" s="69" t="n"/>
      <c r="S387" s="65" t="n"/>
      <c r="T387" s="69" t="n"/>
      <c r="U387" s="58" t="n"/>
      <c r="V387" s="69" t="n"/>
      <c r="W387" s="65" t="n"/>
      <c r="X387" s="65" t="n"/>
      <c r="Y387" s="65" t="n"/>
    </row>
    <row r="388">
      <c r="A388" s="8" t="inlineStr">
        <is>
          <t>M</t>
        </is>
      </c>
      <c r="B388" s="9" t="inlineStr">
        <is>
          <t>1500 Free</t>
        </is>
      </c>
      <c r="C388" s="9" t="n">
        <v>18</v>
      </c>
      <c r="D388" s="9" t="n">
        <v>3</v>
      </c>
      <c r="E388" s="41" t="inlineStr">
        <is>
          <t>15:19.13</t>
        </is>
      </c>
      <c r="F388" s="35">
        <f>IFERROR(__xludf.DUMMYFUNCTION("IF(
  REGEXMATCH(E388, "":""),
  60*VALUE(INDEX(SPLIT(E388, "":""),1,1)) + VALUE(INDEX(SPLIT(E388, "":""),1,2)),
  VALUE(E388)
)"),919.13)</f>
        <v/>
      </c>
      <c r="G388" s="215">
        <f>C380</f>
        <v/>
      </c>
      <c r="H388" s="215">
        <f>C389</f>
        <v/>
      </c>
      <c r="I388" s="215">
        <f>C394</f>
        <v/>
      </c>
      <c r="J388" s="215">
        <f>C397</f>
        <v/>
      </c>
      <c r="K388" s="43">
        <f>IFS(H388=21,1,I388=21,2,J388=21,3,and(H388=20,I388=22),1.5, and(I388=20,J388=22),2.5,H388&gt;21,0.5)</f>
        <v/>
      </c>
      <c r="L388" s="43">
        <f t="array" ref="L388">INDEX('Podium Target Times'!$C:$C, MATCH(A388&amp;B388, 'Podium Target Times'!$A:$A&amp;'Podium Target Times'!$B:$B, 0))
</f>
        <v/>
      </c>
      <c r="M388" s="64">
        <f>IFS(K388=0.5,L388,K388=1,U384+(F386-F389), K388=1.5, M389+(F387-F390), K388=2, M389+(F387-F390), K388=2.5, M389+(F388-F391), K388=3, M389+(F388-F391))</f>
        <v/>
      </c>
      <c r="N388" s="43">
        <f>IF(M388&lt;60, TEXT(M388, "0.00"), TEXT(M388/(24*60*60), "M:SS.00"))</f>
        <v/>
      </c>
      <c r="O388" s="14">
        <f>IFERROR(__xludf.DUMMYFUNCTION("LET(
  gen,$A388, ev,$B388, t,$N388,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388" s="65" t="n"/>
      <c r="Q388" s="65" t="n"/>
      <c r="R388" s="69" t="n"/>
      <c r="S388" s="65" t="n"/>
      <c r="T388" s="69" t="n"/>
      <c r="U388" s="58" t="n"/>
      <c r="V388" s="69" t="n"/>
      <c r="W388" s="65" t="n"/>
      <c r="X388" s="65" t="n"/>
      <c r="Y388" s="65" t="n"/>
    </row>
    <row r="389">
      <c r="A389" s="17" t="inlineStr">
        <is>
          <t>M</t>
        </is>
      </c>
      <c r="B389" s="18" t="inlineStr">
        <is>
          <t>1500 Free</t>
        </is>
      </c>
      <c r="C389" s="18" t="n">
        <v>19</v>
      </c>
      <c r="D389" s="18" t="n">
        <v>1</v>
      </c>
      <c r="E389" s="46" t="inlineStr">
        <is>
          <t>15:01.89</t>
        </is>
      </c>
      <c r="F389" s="21">
        <f>IFERROR(__xludf.DUMMYFUNCTION("IF(
  REGEXMATCH(E389, "":""),
  60*VALUE(INDEX(SPLIT(E389, "":""),1,1)) + VALUE(INDEX(SPLIT(E389, "":""),1,2)),
  VALUE(E389)
)"),901.89)</f>
        <v/>
      </c>
      <c r="G389" s="211">
        <f>C380</f>
        <v/>
      </c>
      <c r="H389" s="211">
        <f>C389</f>
        <v/>
      </c>
      <c r="I389" s="211">
        <f>C394</f>
        <v/>
      </c>
      <c r="J389" s="211">
        <f>C397</f>
        <v/>
      </c>
      <c r="K389" s="60">
        <f>IFS(H389=21,1,I389=21,2,J389=21,3,and(H389=20,I389=22),1.5, and(I389=20,J389=22),2.5,H389&gt;21,0.5)</f>
        <v/>
      </c>
      <c r="L389" s="60">
        <f t="array" ref="L389">INDEX('Podium Target Times'!$C:$C, MATCH(A389&amp;B389, 'Podium Target Times'!$A:$A&amp;'Podium Target Times'!$B:$B, 0))
</f>
        <v/>
      </c>
      <c r="M389" s="66">
        <f>IFS(K389=0.5,L389,K389=1,L389, K389=1.5, M392+(F390-F392), K389=2, M392+(F390-F392), K389=2.5, M392+(F391-F393), K389=3, M392+(F391-F393))</f>
        <v/>
      </c>
      <c r="N389" s="60">
        <f>IF(M389&lt;60, TEXT(M389, "0.00"), TEXT(M389/(24*60*60), "M:SS.00"))</f>
        <v/>
      </c>
      <c r="O389" s="25">
        <f>IFERROR(__xludf.DUMMYFUNCTION("LET(
  gen,$A389, ev,$B389, t,$N389,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P389" s="65" t="n"/>
      <c r="Q389" s="65" t="n"/>
      <c r="R389" s="69" t="n"/>
      <c r="S389" s="65" t="n"/>
      <c r="T389" s="69" t="n"/>
      <c r="U389" s="58" t="n"/>
      <c r="V389" s="69" t="n"/>
      <c r="W389" s="65" t="n"/>
      <c r="X389" s="65" t="n"/>
      <c r="Y389" s="65" t="n"/>
    </row>
    <row r="390">
      <c r="A390" s="8" t="inlineStr">
        <is>
          <t>M</t>
        </is>
      </c>
      <c r="B390" s="9" t="inlineStr">
        <is>
          <t>1500 Free</t>
        </is>
      </c>
      <c r="C390" s="9" t="n">
        <v>19</v>
      </c>
      <c r="D390" s="9" t="n">
        <v>2</v>
      </c>
      <c r="E390" s="41" t="inlineStr">
        <is>
          <t>15:08.92</t>
        </is>
      </c>
      <c r="F390" s="35">
        <f>IFERROR(__xludf.DUMMYFUNCTION("IF(
  REGEXMATCH(E390, "":""),
  60*VALUE(INDEX(SPLIT(E390, "":""),1,1)) + VALUE(INDEX(SPLIT(E390, "":""),1,2)),
  VALUE(E390)
)"),908.92)</f>
        <v/>
      </c>
      <c r="G390" s="215">
        <f>C380</f>
        <v/>
      </c>
      <c r="H390" s="215">
        <f>C389</f>
        <v/>
      </c>
      <c r="I390" s="215">
        <f>C394</f>
        <v/>
      </c>
      <c r="J390" s="215">
        <f>C397</f>
        <v/>
      </c>
      <c r="K390" s="43">
        <f>IFS(H390=21,1,I390=21,2,J390=21,3,and(H390=20,I390=22),1.5, and(I390=20,J390=22),2.5,H390&gt;21,0.5)</f>
        <v/>
      </c>
      <c r="L390" s="43">
        <f t="array" ref="L390">INDEX('Podium Target Times'!$C:$C, MATCH(A390&amp;B390, 'Podium Target Times'!$A:$A&amp;'Podium Target Times'!$B:$B, 0))
</f>
        <v/>
      </c>
      <c r="M390" s="64">
        <f>IFS(K390=0.5,L390,K390=1,L390, K390=1.5, M392+(F390-F392), K390=2, M392+(F390-F392), K390=2.5, M392+(F391-F393), K390=3, M392+(F391-F393))</f>
        <v/>
      </c>
      <c r="N390" s="43">
        <f>IF(M390&lt;60, TEXT(M390, "0.00"), TEXT(M390/(24*60*60), "M:SS.00"))</f>
        <v/>
      </c>
      <c r="O390" s="14">
        <f>IFERROR(__xludf.DUMMYFUNCTION("LET(
  gen,$A390, ev,$B390, t,$N390,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P390" s="65" t="n"/>
      <c r="Q390" s="65" t="n"/>
      <c r="R390" s="69" t="n"/>
      <c r="S390" s="65" t="n"/>
      <c r="T390" s="69" t="n"/>
      <c r="U390" s="58" t="n"/>
      <c r="V390" s="69" t="n"/>
      <c r="W390" s="65" t="n"/>
      <c r="X390" s="65" t="n"/>
      <c r="Y390" s="65" t="n"/>
    </row>
    <row r="391">
      <c r="A391" s="17" t="inlineStr">
        <is>
          <t>M</t>
        </is>
      </c>
      <c r="B391" s="18" t="inlineStr">
        <is>
          <t>1500 Free</t>
        </is>
      </c>
      <c r="C391" s="18" t="n">
        <v>19</v>
      </c>
      <c r="D391" s="18" t="n">
        <v>3</v>
      </c>
      <c r="E391" s="46" t="inlineStr">
        <is>
          <t>15:10.59</t>
        </is>
      </c>
      <c r="F391" s="21">
        <f>IFERROR(__xludf.DUMMYFUNCTION("IF(
  REGEXMATCH(E391, "":""),
  60*VALUE(INDEX(SPLIT(E391, "":""),1,1)) + VALUE(INDEX(SPLIT(E391, "":""),1,2)),
  VALUE(E391)
)"),910.59)</f>
        <v/>
      </c>
      <c r="G391" s="211">
        <f>C380</f>
        <v/>
      </c>
      <c r="H391" s="211">
        <f>C389</f>
        <v/>
      </c>
      <c r="I391" s="211">
        <f>C394</f>
        <v/>
      </c>
      <c r="J391" s="211">
        <f>C397</f>
        <v/>
      </c>
      <c r="K391" s="60">
        <f>IFS(H391=21,1,I391=21,2,J391=21,3,and(H391=20,I391=22),1.5, and(I391=20,J391=22),2.5,H391&gt;21,0.5)</f>
        <v/>
      </c>
      <c r="L391" s="60">
        <f t="array" ref="L391">INDEX('Podium Target Times'!$C:$C, MATCH(A391&amp;B391, 'Podium Target Times'!$A:$A&amp;'Podium Target Times'!$B:$B, 0))
</f>
        <v/>
      </c>
      <c r="M391" s="66">
        <f>IFS(K391=0.5,L391,K391=1,L391, K391=1.5, M392+(F390-F392), K391=2, M392+(F390-F392), K391=2.5, M392+(F391-F393), K391=3, M392+(F391-F393))</f>
        <v/>
      </c>
      <c r="N391" s="60">
        <f>IF(M391&lt;60, TEXT(M391, "0.00"), TEXT(M391/(24*60*60), "M:SS.00"))</f>
        <v/>
      </c>
      <c r="O391" s="25">
        <f>IFERROR(__xludf.DUMMYFUNCTION("LET(
  gen,$A391, ev,$B391, t,$N391,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P391" s="65" t="n"/>
      <c r="Q391" s="65" t="n"/>
      <c r="R391" s="69" t="n"/>
      <c r="S391" s="65" t="n"/>
      <c r="T391" s="69" t="n"/>
      <c r="U391" s="58" t="n"/>
      <c r="V391" s="69" t="n"/>
      <c r="W391" s="65" t="n"/>
      <c r="X391" s="65" t="n"/>
      <c r="Y391" s="65" t="n"/>
    </row>
    <row r="392">
      <c r="A392" s="8" t="inlineStr">
        <is>
          <t>M</t>
        </is>
      </c>
      <c r="B392" s="9" t="inlineStr">
        <is>
          <t>1500 Free</t>
        </is>
      </c>
      <c r="C392" s="9" t="n">
        <v>20</v>
      </c>
      <c r="D392" s="9" t="n">
        <v>2</v>
      </c>
      <c r="E392" s="41" t="inlineStr">
        <is>
          <t>15:04.13</t>
        </is>
      </c>
      <c r="F392" s="35">
        <f>IFERROR(__xludf.DUMMYFUNCTION("IF(
  REGEXMATCH(E392, "":""),
  60*VALUE(INDEX(SPLIT(E392, "":""),1,1)) + VALUE(INDEX(SPLIT(E392, "":""),1,2)),
  VALUE(E392)
)"),904.13)</f>
        <v/>
      </c>
      <c r="G392" s="215">
        <f>C380</f>
        <v/>
      </c>
      <c r="H392" s="215">
        <f>C389</f>
        <v/>
      </c>
      <c r="I392" s="215">
        <f>C394</f>
        <v/>
      </c>
      <c r="J392" s="215">
        <f>C397</f>
        <v/>
      </c>
      <c r="K392" s="43">
        <f>IFS(H392=21,1,I392=21,2,J392=21,3,and(H392=20,I392=22),1.5, and(I392=20,J392=22),2.5,H392&gt;21,0.5)</f>
        <v/>
      </c>
      <c r="L392" s="43">
        <f t="array" ref="L392">INDEX('Podium Target Times'!$C:$C, MATCH(A392&amp;B392, 'Podium Target Times'!$A:$A&amp;'Podium Target Times'!$B:$B, 0))
</f>
        <v/>
      </c>
      <c r="M392" s="64">
        <f>IFS(K392=0.5,L392,K392=1,L392, K392=1.5, L392, K392=2, M394+(F392-F394), K392=2.5, M394+(F393-F395), K392=3, M394+(F393-F395))</f>
        <v/>
      </c>
      <c r="N392" s="43">
        <f>IF(M392&lt;60, TEXT(M392, "0.00"), TEXT(M392/(24*60*60), "M:SS.00"))</f>
        <v/>
      </c>
      <c r="O392" s="14">
        <f>IFERROR(__xludf.DUMMYFUNCTION("LET(
  gen,$A392, ev,$B392, t,$N392,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
      </c>
      <c r="P392" s="65" t="n"/>
      <c r="Q392" s="65" t="n"/>
      <c r="R392" s="69" t="n"/>
      <c r="S392" s="65" t="n"/>
      <c r="T392" s="69" t="n"/>
      <c r="U392" s="58" t="n"/>
      <c r="V392" s="69" t="n"/>
      <c r="W392" s="65" t="n"/>
      <c r="X392" s="65" t="n"/>
      <c r="Y392" s="65" t="n"/>
    </row>
    <row r="393">
      <c r="A393" s="17" t="inlineStr">
        <is>
          <t>M</t>
        </is>
      </c>
      <c r="B393" s="18" t="inlineStr">
        <is>
          <t>1500 Free</t>
        </is>
      </c>
      <c r="C393" s="18" t="n">
        <v>20</v>
      </c>
      <c r="D393" s="18" t="n">
        <v>3</v>
      </c>
      <c r="E393" s="46" t="inlineStr">
        <is>
          <t>15:05.79</t>
        </is>
      </c>
      <c r="F393" s="21">
        <f>IFERROR(__xludf.DUMMYFUNCTION("IF(
  REGEXMATCH(E393, "":""),
  60*VALUE(INDEX(SPLIT(E393, "":""),1,1)) + VALUE(INDEX(SPLIT(E393, "":""),1,2)),
  VALUE(E393)
)"),905.79)</f>
        <v/>
      </c>
      <c r="G393" s="211">
        <f>C380</f>
        <v/>
      </c>
      <c r="H393" s="211">
        <f>C389</f>
        <v/>
      </c>
      <c r="I393" s="211">
        <f>C394</f>
        <v/>
      </c>
      <c r="J393" s="211">
        <f>C397</f>
        <v/>
      </c>
      <c r="K393" s="60">
        <f>IFS(H393=21,1,I393=21,2,J393=21,3,and(H393=20,I393=22),1.5, and(I393=20,J393=22),2.5,H393&gt;21,0.5)</f>
        <v/>
      </c>
      <c r="L393" s="60">
        <f t="array" ref="L393">INDEX('Podium Target Times'!$C:$C, MATCH(A393&amp;B393, 'Podium Target Times'!$A:$A&amp;'Podium Target Times'!$B:$B, 0))
</f>
        <v/>
      </c>
      <c r="M393" s="66">
        <f>IFS(K393=0.5,L393,K393=1,L393, K393=1.5, L393, K393=2, M394+(F392-F394), K393=2.5, M394+(F393-F395), K393=3, M394+(F393-F395))</f>
        <v/>
      </c>
      <c r="N393" s="60">
        <f>IF(M393&lt;60, TEXT(M393, "0.00"), TEXT(M393/(24*60*60), "M:SS.00"))</f>
        <v/>
      </c>
      <c r="O393" s="25">
        <f>IFERROR(__xludf.DUMMYFUNCTION("LET(
  gen,$A393, ev,$B393, t,$N393,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)"),787.0)</f>
        <v/>
      </c>
      <c r="P393" s="65" t="n"/>
      <c r="Q393" s="65" t="n"/>
      <c r="R393" s="69" t="n"/>
      <c r="S393" s="65" t="n"/>
      <c r="T393" s="69" t="n"/>
      <c r="U393" s="58" t="n"/>
      <c r="V393" s="69" t="n"/>
      <c r="W393" s="65" t="n"/>
      <c r="X393" s="65" t="n"/>
      <c r="Y393" s="65" t="n"/>
    </row>
    <row r="394">
      <c r="A394" s="8" t="inlineStr">
        <is>
          <t>M</t>
        </is>
      </c>
      <c r="B394" s="9" t="inlineStr">
        <is>
          <t>1500 Free</t>
        </is>
      </c>
      <c r="C394" s="9" t="n">
        <v>21</v>
      </c>
      <c r="D394" s="9" t="n">
        <v>2</v>
      </c>
      <c r="E394" s="41" t="inlineStr">
        <is>
          <t>15:01.89</t>
        </is>
      </c>
      <c r="F394" s="35">
        <f>IFERROR(__xludf.DUMMYFUNCTION("IF(
  REGEXMATCH(E394, "":""),
  60*VALUE(INDEX(SPLIT(E394, "":""),1,1)) + VALUE(INDEX(SPLIT(E394, "":""),1,2)),
  VALUE(E394)
)"),901.89)</f>
        <v/>
      </c>
      <c r="G394" s="215">
        <f>C380</f>
        <v/>
      </c>
      <c r="H394" s="215">
        <f>C389</f>
        <v/>
      </c>
      <c r="I394" s="215">
        <f>C394</f>
        <v/>
      </c>
      <c r="J394" s="215">
        <f>C397</f>
        <v/>
      </c>
      <c r="K394" s="43">
        <f>IFS(H394=21,1,I394=21,2,J394=21,3,and(H394=20,I394=22),1.5, and(I394=20,J394=22),2.5,H394&gt;21,0.5)</f>
        <v/>
      </c>
      <c r="L394" s="43">
        <f t="array" ref="L394">INDEX('Podium Target Times'!$C:$C, MATCH(A394&amp;B394, 'Podium Target Times'!$A:$A&amp;'Podium Target Times'!$B:$B, 0))
</f>
        <v/>
      </c>
      <c r="M394" s="64">
        <f>IFS(K394=0.5,L394,K394=1,L394, K394=1.5, L394, K394=2,L397, K394=2.5, M396+(F395-F396), K394=3,  M396+(F395-F396))</f>
        <v/>
      </c>
      <c r="N394" s="43">
        <f>IF(M394&lt;60, TEXT(M394, "0.00"), TEXT(M394/(24*60*60), "M:SS.00"))</f>
        <v/>
      </c>
      <c r="O394" s="14">
        <f>IFERROR(__xludf.DUMMYFUNCTION("LET(
  gen,$A394, ev,$B394, t,$N394,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P394" s="65" t="n"/>
      <c r="Q394" s="65" t="n"/>
      <c r="R394" s="69" t="n"/>
      <c r="S394" s="65" t="n"/>
      <c r="T394" s="69" t="n"/>
      <c r="U394" s="58" t="n"/>
      <c r="V394" s="69" t="n"/>
      <c r="W394" s="65" t="n"/>
      <c r="X394" s="65" t="n"/>
      <c r="Y394" s="65" t="n"/>
    </row>
    <row r="395">
      <c r="A395" s="17" t="inlineStr">
        <is>
          <t>M</t>
        </is>
      </c>
      <c r="B395" s="18" t="inlineStr">
        <is>
          <t>1500 Free</t>
        </is>
      </c>
      <c r="C395" s="18" t="n">
        <v>21</v>
      </c>
      <c r="D395" s="18" t="n">
        <v>3</v>
      </c>
      <c r="E395" s="46" t="inlineStr">
        <is>
          <t>15:03.55</t>
        </is>
      </c>
      <c r="F395" s="21">
        <f>IFERROR(__xludf.DUMMYFUNCTION("IF(
  REGEXMATCH(E395, "":""),
  60*VALUE(INDEX(SPLIT(E395, "":""),1,1)) + VALUE(INDEX(SPLIT(E395, "":""),1,2)),
  VALUE(E395)
)"),903.55)</f>
        <v/>
      </c>
      <c r="G395" s="211">
        <f>C380</f>
        <v/>
      </c>
      <c r="H395" s="211">
        <f>C389</f>
        <v/>
      </c>
      <c r="I395" s="211">
        <f>C394</f>
        <v/>
      </c>
      <c r="J395" s="211">
        <f>C397</f>
        <v/>
      </c>
      <c r="K395" s="60">
        <f>IFS(H395=21,1,I395=21,2,J395=21,3,and(H395=20,I395=22),1.5, and(I395=20,J395=22),2.5,H395&gt;21,0.5)</f>
        <v/>
      </c>
      <c r="L395" s="60">
        <f t="array" ref="L395">INDEX('Podium Target Times'!$C:$C, MATCH(A395&amp;B395, 'Podium Target Times'!$A:$A&amp;'Podium Target Times'!$B:$B, 0))
</f>
        <v/>
      </c>
      <c r="M395" s="66">
        <f>IFS(K395=0.5,L395,K395=1,L395, K395=1.5, L395, K395=2, L397, K395=2.5, M396+(F395-F396), K395=3, M396+(F395-F396))</f>
        <v/>
      </c>
      <c r="N395" s="60">
        <f>IF(M395&lt;60, TEXT(M395, "0.00"), TEXT(M395/(24*60*60), "M:SS.00"))</f>
        <v/>
      </c>
      <c r="O395" s="25">
        <f>IFERROR(__xludf.DUMMYFUNCTION("LET(
  gen,$A395, ev,$B395, t,$N395,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P395" s="65" t="n"/>
      <c r="Q395" s="65" t="n"/>
      <c r="R395" s="69" t="n"/>
      <c r="S395" s="65" t="n"/>
      <c r="T395" s="69" t="n"/>
      <c r="U395" s="58" t="n"/>
      <c r="V395" s="69" t="n"/>
      <c r="W395" s="65" t="n"/>
      <c r="X395" s="65" t="n"/>
      <c r="Y395" s="65" t="n"/>
    </row>
    <row r="396">
      <c r="A396" s="8" t="inlineStr">
        <is>
          <t>M</t>
        </is>
      </c>
      <c r="B396" s="9" t="inlineStr">
        <is>
          <t>1500 Free</t>
        </is>
      </c>
      <c r="C396" s="9" t="n">
        <v>22</v>
      </c>
      <c r="D396" s="9" t="n">
        <v>3</v>
      </c>
      <c r="E396" s="41" t="inlineStr">
        <is>
          <t>15:02.44</t>
        </is>
      </c>
      <c r="F396" s="35">
        <f>IFERROR(__xludf.DUMMYFUNCTION("IF(
  REGEXMATCH(E396, "":""),
  60*VALUE(INDEX(SPLIT(E396, "":""),1,1)) + VALUE(INDEX(SPLIT(E396, "":""),1,2)),
  VALUE(E396)
)"),902.44)</f>
        <v/>
      </c>
      <c r="G396" s="215">
        <f>C380</f>
        <v/>
      </c>
      <c r="H396" s="215">
        <f>C389</f>
        <v/>
      </c>
      <c r="I396" s="215">
        <f>C394</f>
        <v/>
      </c>
      <c r="J396" s="215">
        <f>C397</f>
        <v/>
      </c>
      <c r="K396" s="43">
        <f>IFS(H396=21,1,I396=21,2,J396=21,3,and(H396=20,I396=22),1.5, and(I396=20,J396=22),2.5,H396&gt;21,0.5)</f>
        <v/>
      </c>
      <c r="L396" s="43">
        <f t="array" ref="L396">INDEX('Podium Target Times'!$C:$C, MATCH(A396&amp;B396, 'Podium Target Times'!$A:$A&amp;'Podium Target Times'!$B:$B, 0))
</f>
        <v/>
      </c>
      <c r="M396" s="64">
        <f>IFS(K396=0.5,L396,K396=1,L396, K396=1.5, L396, K396=2, L397, K396=2.5, L397, K396=3, M397+(F396-F397))</f>
        <v/>
      </c>
      <c r="N396" s="43">
        <f>IF(M396&lt;60, TEXT(M396, "0.00"), TEXT(M396/(24*60*60), "M:SS.00"))</f>
        <v/>
      </c>
      <c r="O396" s="14">
        <f>IFERROR(__xludf.DUMMYFUNCTION("LET(
  gen,$A396, ev,$B396, t,$N396,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P396" s="65" t="n"/>
      <c r="Q396" s="65" t="n"/>
      <c r="R396" s="69" t="n"/>
      <c r="S396" s="65" t="n"/>
      <c r="T396" s="69" t="n"/>
      <c r="U396" s="58" t="n"/>
      <c r="V396" s="69" t="n"/>
      <c r="W396" s="65" t="n"/>
      <c r="X396" s="65" t="n"/>
      <c r="Y396" s="65" t="n"/>
    </row>
    <row r="397">
      <c r="A397" s="17" t="inlineStr">
        <is>
          <t>M</t>
        </is>
      </c>
      <c r="B397" s="18" t="inlineStr">
        <is>
          <t>1500 Free</t>
        </is>
      </c>
      <c r="C397" s="18" t="n">
        <v>23</v>
      </c>
      <c r="D397" s="18" t="n">
        <v>3</v>
      </c>
      <c r="E397" s="46" t="inlineStr">
        <is>
          <t>15:01.89</t>
        </is>
      </c>
      <c r="F397" s="21">
        <f>IFERROR(__xludf.DUMMYFUNCTION("IF(
  REGEXMATCH(E397, "":""),
  60*VALUE(INDEX(SPLIT(E397, "":""),1,1)) + VALUE(INDEX(SPLIT(E397, "":""),1,2)),
  VALUE(E397)
)"),901.89)</f>
        <v/>
      </c>
      <c r="G397" s="211">
        <f>C380</f>
        <v/>
      </c>
      <c r="H397" s="211">
        <f>C389</f>
        <v/>
      </c>
      <c r="I397" s="211">
        <f>C394</f>
        <v/>
      </c>
      <c r="J397" s="211">
        <f>C397</f>
        <v/>
      </c>
      <c r="K397" s="60">
        <f>IFS(H397=21,1,I397=21,2,J397=21,3,and(H397=20,I397=22),1.5, and(I397=20,J397=22),2.5,H397&gt;21,0.5)</f>
        <v/>
      </c>
      <c r="L397" s="60">
        <f t="array" ref="L397">INDEX('Podium Target Times'!$C:$C, MATCH(A397&amp;B397, 'Podium Target Times'!$A:$A&amp;'Podium Target Times'!$B:$B, 0))
</f>
        <v/>
      </c>
      <c r="M397" s="66">
        <f>IFS(K397=0.5,L397,K397=1,L397, K397=1.5, L397, K397=2, L397, K397=2.5, L397, K397=3, L397)</f>
        <v/>
      </c>
      <c r="N397" s="60">
        <f>IF(M397&lt;60, TEXT(M397, "0.00"), TEXT(M397/(24*60*60), "M:SS.00"))</f>
        <v/>
      </c>
      <c r="O397" s="25">
        <f>IFERROR(__xludf.DUMMYFUNCTION("LET(
  gen,$A397, ev,$B397, t,$N397,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P397" s="65" t="n"/>
      <c r="Q397" s="65" t="n"/>
      <c r="R397" s="69" t="n"/>
      <c r="S397" s="65" t="n"/>
      <c r="T397" s="69" t="n"/>
      <c r="U397" s="58" t="n"/>
      <c r="V397" s="69" t="n"/>
      <c r="W397" s="65" t="n"/>
      <c r="X397" s="65" t="n"/>
      <c r="Y397" s="65" t="n"/>
    </row>
    <row r="398">
      <c r="A398" s="8" t="inlineStr">
        <is>
          <t>M</t>
        </is>
      </c>
      <c r="B398" s="9" t="inlineStr">
        <is>
          <t>200 Back</t>
        </is>
      </c>
      <c r="C398" s="9" t="n">
        <v>15</v>
      </c>
      <c r="D398" s="9" t="n">
        <v>1</v>
      </c>
      <c r="E398" s="41" t="inlineStr">
        <is>
          <t>2:07.63</t>
        </is>
      </c>
      <c r="F398" s="35">
        <f>IFERROR(__xludf.DUMMYFUNCTION("IF(
  REGEXMATCH(E398, "":""),
  60*VALUE(INDEX(SPLIT(E398, "":""),1,1)) + VALUE(INDEX(SPLIT(E398, "":""),1,2)),
  VALUE(E398)
)"),127.63)</f>
        <v/>
      </c>
      <c r="G398" s="43">
        <f>C398</f>
        <v/>
      </c>
      <c r="H398" s="43">
        <f>C407</f>
        <v/>
      </c>
      <c r="I398" s="43">
        <f>C412</f>
        <v/>
      </c>
      <c r="J398" s="43">
        <f>C415</f>
        <v/>
      </c>
      <c r="K398" s="43">
        <f>IFS(H398=21,1,I398=21,2,J398=21,3,and(H398=20,I398=22),1.5, and(I398=20,J398=22),2.5,H398&gt;21,0.5)</f>
        <v/>
      </c>
      <c r="L398" s="43">
        <f t="array" ref="L398">INDEX('Podium Target Times'!$C:$C, MATCH(A398&amp;B398, 'Podium Target Times'!$A:$A&amp;'Podium Target Times'!$B:$B, 0))
</f>
        <v/>
      </c>
      <c r="M398" s="64">
        <f>IFS(K398=0.5,M399+(F398-F399),K398=1,M399+(F398-F399), K398=1.5, M399+(F398-F399), K398=2, M399+(F398-F399), K398=2.5, M399+(F398-F399), K398=3, M399+(F398-F399))</f>
        <v/>
      </c>
      <c r="N398" s="43">
        <f>IF(M398&lt;60, TEXT(M398, "0.00"), TEXT(M398/(24*60*60), "M:SS.00"))</f>
        <v/>
      </c>
      <c r="O398" s="14">
        <f>IFERROR(__xludf.DUMMYFUNCTION("LET(
  gen,$A398, ev,$B398, t,$N398,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)"),604.0)</f>
        <v/>
      </c>
      <c r="P398" s="65" t="n"/>
      <c r="Q398" s="65" t="n"/>
      <c r="R398" s="69">
        <f>A398</f>
        <v/>
      </c>
      <c r="S398" s="65">
        <f>B398</f>
        <v/>
      </c>
      <c r="T398" s="69">
        <f>C398</f>
        <v/>
      </c>
      <c r="U398" s="58">
        <f>N398</f>
        <v/>
      </c>
      <c r="V398" s="69">
        <f>O398</f>
        <v/>
      </c>
      <c r="W398" s="65" t="n"/>
      <c r="X398" s="65" t="n"/>
      <c r="Y398" s="65" t="n"/>
    </row>
    <row r="399">
      <c r="A399" s="17" t="inlineStr">
        <is>
          <t>M</t>
        </is>
      </c>
      <c r="B399" s="18" t="inlineStr">
        <is>
          <t>200 Back</t>
        </is>
      </c>
      <c r="C399" s="18" t="n">
        <v>16</v>
      </c>
      <c r="D399" s="18" t="n">
        <v>1</v>
      </c>
      <c r="E399" s="46" t="inlineStr">
        <is>
          <t>2:03.66</t>
        </is>
      </c>
      <c r="F399" s="21">
        <f>IFERROR(__xludf.DUMMYFUNCTION("IF(
  REGEXMATCH(E399, "":""),
  60*VALUE(INDEX(SPLIT(E399, "":""),1,1)) + VALUE(INDEX(SPLIT(E399, "":""),1,2)),
  VALUE(E399)
)"),123.66)</f>
        <v/>
      </c>
      <c r="G399" s="211">
        <f>C398</f>
        <v/>
      </c>
      <c r="H399" s="211">
        <f>C407</f>
        <v/>
      </c>
      <c r="I399" s="211">
        <f>C412</f>
        <v/>
      </c>
      <c r="J399" s="211">
        <f>C415</f>
        <v/>
      </c>
      <c r="K399" s="60">
        <f>IFS(H399=21,1,I399=21,2,J399=21,3,and(H399=20,I399=22),1.5, and(I399=20,J399=22),2.5,H399&gt;21,0.5)</f>
        <v/>
      </c>
      <c r="L399" s="60">
        <f t="array" ref="L399">INDEX('Podium Target Times'!$C:$C, MATCH(A399&amp;B399, 'Podium Target Times'!$A:$A&amp;'Podium Target Times'!$B:$B, 0))
</f>
        <v/>
      </c>
      <c r="M399" s="66">
        <f>IFS(K399=0.5,M400+(F399-F401),K399=1,M400+(F399-F401), K399=1.5, M401+(F400-F402), K399=2, M401+(F400-F402), K399=2.5, M401+(F400-F402), K399=3, M401+(F400-F402))</f>
        <v/>
      </c>
      <c r="N399" s="60">
        <f>IF(M399&lt;60, TEXT(M399, "0.00"), TEXT(M399/(24*60*60), "M:SS.00"))</f>
        <v/>
      </c>
      <c r="O399" s="25">
        <f>IFERROR(__xludf.DUMMYFUNCTION("LET(
  gen,$A399, ev,$B399, t,$N399,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)"),661.0)</f>
        <v/>
      </c>
      <c r="P399" s="65" t="n"/>
      <c r="Q399" s="65" t="n"/>
      <c r="R399" s="69">
        <f>A399</f>
        <v/>
      </c>
      <c r="S399" s="65">
        <f>B399</f>
        <v/>
      </c>
      <c r="T399" s="69">
        <f>C399</f>
        <v/>
      </c>
      <c r="U399" s="58">
        <f>N399</f>
        <v/>
      </c>
      <c r="V399" s="69">
        <f>O399</f>
        <v/>
      </c>
      <c r="W399" s="65" t="n"/>
      <c r="X399" s="65" t="n"/>
      <c r="Y399" s="65" t="n"/>
    </row>
    <row r="400">
      <c r="A400" s="8" t="inlineStr">
        <is>
          <t>M</t>
        </is>
      </c>
      <c r="B400" s="9" t="inlineStr">
        <is>
          <t>200 Back</t>
        </is>
      </c>
      <c r="C400" s="9" t="n">
        <v>16</v>
      </c>
      <c r="D400" s="9" t="n">
        <v>2</v>
      </c>
      <c r="E400" s="41" t="inlineStr">
        <is>
          <t>2:04.75</t>
        </is>
      </c>
      <c r="F400" s="35">
        <f>IFERROR(__xludf.DUMMYFUNCTION("IF(
  REGEXMATCH(E400, "":""),
  60*VALUE(INDEX(SPLIT(E400, "":""),1,1)) + VALUE(INDEX(SPLIT(E400, "":""),1,2)),
  VALUE(E400)
)"),124.75)</f>
        <v/>
      </c>
      <c r="G400" s="215">
        <f>C398</f>
        <v/>
      </c>
      <c r="H400" s="215">
        <f>C407</f>
        <v/>
      </c>
      <c r="I400" s="215">
        <f>C412</f>
        <v/>
      </c>
      <c r="J400" s="215">
        <f>C415</f>
        <v/>
      </c>
      <c r="K400" s="43">
        <f>IFS(H400=21,1,I400=21,2,J400=21,3,and(H400=20,I400=22),1.5, and(I400=20,J400=22),2.5,H400&gt;21,0.5)</f>
        <v/>
      </c>
      <c r="L400" s="43">
        <f t="array" ref="L400">INDEX('Podium Target Times'!$C:$C, MATCH(A400&amp;B400, 'Podium Target Times'!$A:$A&amp;'Podium Target Times'!$B:$B, 0))
</f>
        <v/>
      </c>
      <c r="M400" s="64">
        <f>IFS(K400=0.5,M401+(F400-F403),K400=1,M401+(F400-F403), K400=1.5, M401+(F400-F402), K400=2, M401+(F400-F402), K400=2.5, M401+(F400-F402), K400=3, M401+(F400-F402))</f>
        <v/>
      </c>
      <c r="N400" s="43">
        <f>IF(M400&lt;60, TEXT(M400, "0.00"), TEXT(M400/(24*60*60), "M:SS.00"))</f>
        <v/>
      </c>
      <c r="O400" s="14">
        <f>IFERROR(__xludf.DUMMYFUNCTION("LET(
  gen,$A400, ev,$B400, t,$N400,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)"),661.0)</f>
        <v/>
      </c>
      <c r="P400" s="65" t="n"/>
      <c r="Q400" s="65" t="n"/>
      <c r="R400" s="69">
        <f>A401</f>
        <v/>
      </c>
      <c r="S400" s="65">
        <f>B401</f>
        <v/>
      </c>
      <c r="T400" s="69">
        <f>C401</f>
        <v/>
      </c>
      <c r="U400" s="58">
        <f>N401</f>
        <v/>
      </c>
      <c r="V400" s="69">
        <f>O401</f>
        <v/>
      </c>
      <c r="W400" s="65" t="n"/>
      <c r="X400" s="65" t="n"/>
      <c r="Y400" s="65" t="n"/>
    </row>
    <row r="401">
      <c r="A401" s="17" t="inlineStr">
        <is>
          <t>M</t>
        </is>
      </c>
      <c r="B401" s="18" t="inlineStr">
        <is>
          <t>200 Back</t>
        </is>
      </c>
      <c r="C401" s="18" t="n">
        <v>17</v>
      </c>
      <c r="D401" s="18" t="n">
        <v>1</v>
      </c>
      <c r="E401" s="46" t="inlineStr">
        <is>
          <t>2:00.86</t>
        </is>
      </c>
      <c r="F401" s="21">
        <f>IFERROR(__xludf.DUMMYFUNCTION("IF(
  REGEXMATCH(E401, "":""),
  60*VALUE(INDEX(SPLIT(E401, "":""),1,1)) + VALUE(INDEX(SPLIT(E401, "":""),1,2)),
  VALUE(E401)
)"),120.86)</f>
        <v/>
      </c>
      <c r="G401" s="211">
        <f>C398</f>
        <v/>
      </c>
      <c r="H401" s="211">
        <f>C407</f>
        <v/>
      </c>
      <c r="I401" s="211">
        <f>C412</f>
        <v/>
      </c>
      <c r="J401" s="211">
        <f>C415</f>
        <v/>
      </c>
      <c r="K401" s="60">
        <f>IFS(H401=21,1,I401=21,2,J401=21,3,and(H401=20,I401=22),1.5, and(I401=20,J401=22),2.5,H401&gt;21,0.5)</f>
        <v/>
      </c>
      <c r="L401" s="60">
        <f t="array" ref="L401">INDEX('Podium Target Times'!$C:$C, MATCH(A401&amp;B401, 'Podium Target Times'!$A:$A&amp;'Podium Target Times'!$B:$B, 0))
</f>
        <v/>
      </c>
      <c r="M401" s="66">
        <f>IFS(K401=0.5,M402+(F401-F404),K401=1,M402+(F401-F404), K401=1.5, M404+(F402-F405), K401=2, M404+(F402-F405), K401=2.5, M404+(F403-F406), K401=3, M404+(F403-F406))</f>
        <v/>
      </c>
      <c r="N401" s="60">
        <f>IF(M401&lt;60, TEXT(M401, "0.00"), TEXT(M401/(24*60*60), "M:SS.00"))</f>
        <v/>
      </c>
      <c r="O401" s="25">
        <f>IFERROR(__xludf.DUMMYFUNCTION("LET(
  gen,$A401, ev,$B401, t,$N401,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P401" s="65" t="n"/>
      <c r="Q401" s="65" t="n"/>
      <c r="R401" s="69">
        <f>A404</f>
        <v/>
      </c>
      <c r="S401" s="65">
        <f>B404</f>
        <v/>
      </c>
      <c r="T401" s="69">
        <f>C404</f>
        <v/>
      </c>
      <c r="U401" s="58">
        <f>N404</f>
        <v/>
      </c>
      <c r="V401" s="69">
        <f>O404</f>
        <v/>
      </c>
      <c r="W401" s="65" t="n"/>
      <c r="X401" s="65" t="n"/>
      <c r="Y401" s="65" t="n"/>
    </row>
    <row r="402">
      <c r="A402" s="8" t="inlineStr">
        <is>
          <t>M</t>
        </is>
      </c>
      <c r="B402" s="9" t="inlineStr">
        <is>
          <t>200 Back</t>
        </is>
      </c>
      <c r="C402" s="9" t="n">
        <v>17</v>
      </c>
      <c r="D402" s="9" t="n">
        <v>2</v>
      </c>
      <c r="E402" s="41" t="inlineStr">
        <is>
          <t>2:01.93</t>
        </is>
      </c>
      <c r="F402" s="35">
        <f>IFERROR(__xludf.DUMMYFUNCTION("IF(
  REGEXMATCH(E402, "":""),
  60*VALUE(INDEX(SPLIT(E402, "":""),1,1)) + VALUE(INDEX(SPLIT(E402, "":""),1,2)),
  VALUE(E402)
)"),121.93)</f>
        <v/>
      </c>
      <c r="G402" s="215">
        <f>C398</f>
        <v/>
      </c>
      <c r="H402" s="215">
        <f>C407</f>
        <v/>
      </c>
      <c r="I402" s="215">
        <f>C412</f>
        <v/>
      </c>
      <c r="J402" s="215">
        <f>C415</f>
        <v/>
      </c>
      <c r="K402" s="43">
        <f>IFS(H402=21,1,I402=21,2,J402=21,3,and(H402=20,I402=22),1.5, and(I402=20,J402=22),2.5,H402&gt;21,0.5)</f>
        <v/>
      </c>
      <c r="L402" s="43">
        <f t="array" ref="L402">INDEX('Podium Target Times'!$C:$C, MATCH(A402&amp;B402, 'Podium Target Times'!$A:$A&amp;'Podium Target Times'!$B:$B, 0))
</f>
        <v/>
      </c>
      <c r="M402" s="64">
        <f>IFS(K402=0.5,M403+(F401-F404),K402=1,M403+(F401-F404), K402=1.5, M404+(F402-F405), K402=2, M404+(F402-F405), K402=2.5, M404+(F403-F406), K402=3, M404+(F403-F406))</f>
        <v/>
      </c>
      <c r="N402" s="43">
        <f>IF(M402&lt;60, TEXT(M402, "0.00"), TEXT(M402/(24*60*60), "M:SS.00"))</f>
        <v/>
      </c>
      <c r="O402" s="14">
        <f>IFERROR(__xludf.DUMMYFUNCTION("LET(
  gen,$A402, ev,$B402, t,$N402,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P402" s="65" t="n"/>
      <c r="Q402" s="65" t="n"/>
      <c r="R402" s="69">
        <f>A407</f>
        <v/>
      </c>
      <c r="S402" s="65">
        <f>B407</f>
        <v/>
      </c>
      <c r="T402" s="69">
        <f>C407</f>
        <v/>
      </c>
      <c r="U402" s="58">
        <f>N407</f>
        <v/>
      </c>
      <c r="V402" s="69">
        <f>O407</f>
        <v/>
      </c>
      <c r="W402" s="65" t="n"/>
      <c r="X402" s="65" t="n"/>
      <c r="Y402" s="65" t="n"/>
    </row>
    <row r="403">
      <c r="A403" s="17" t="inlineStr">
        <is>
          <t>M</t>
        </is>
      </c>
      <c r="B403" s="18" t="inlineStr">
        <is>
          <t>200 Back</t>
        </is>
      </c>
      <c r="C403" s="18" t="n">
        <v>17</v>
      </c>
      <c r="D403" s="18" t="n">
        <v>3</v>
      </c>
      <c r="E403" s="46" t="inlineStr">
        <is>
          <t>2:02.23</t>
        </is>
      </c>
      <c r="F403" s="21">
        <f>IFERROR(__xludf.DUMMYFUNCTION("IF(
  REGEXMATCH(E403, "":""),
  60*VALUE(INDEX(SPLIT(E403, "":""),1,1)) + VALUE(INDEX(SPLIT(E403, "":""),1,2)),
  VALUE(E403)
)"),122.23)</f>
        <v/>
      </c>
      <c r="G403" s="211">
        <f>C398</f>
        <v/>
      </c>
      <c r="H403" s="211">
        <f>C407</f>
        <v/>
      </c>
      <c r="I403" s="211">
        <f>C412</f>
        <v/>
      </c>
      <c r="J403" s="211">
        <f>C415</f>
        <v/>
      </c>
      <c r="K403" s="60">
        <f>IFS(H403=21,1,I403=21,2,J403=21,3,and(H403=20,I403=22),1.5, and(I403=20,J403=22),2.5,H403&gt;21,0.5)</f>
        <v/>
      </c>
      <c r="L403" s="60">
        <f t="array" ref="L403">INDEX('Podium Target Times'!$C:$C, MATCH(A403&amp;B403, 'Podium Target Times'!$A:$A&amp;'Podium Target Times'!$B:$B, 0))
</f>
        <v/>
      </c>
      <c r="M403" s="66">
        <f>IFS(K403=0.5,M404+(F401-F404),K403=1,M404+(F401-F404), K403=1.5, M404+(F402-F405), K403=2, M404+(F402-F405), K403=2.5, M404+(F403-F406), K403=3, M404+(F403-F406))</f>
        <v/>
      </c>
      <c r="N403" s="60">
        <f>IF(M403&lt;60, TEXT(M403, "0.00"), TEXT(M403/(24*60*60), "M:SS.00"))</f>
        <v/>
      </c>
      <c r="O403" s="25">
        <f>IFERROR(__xludf.DUMMYFUNCTION("LET(
  gen,$A403, ev,$B403, t,$N403,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P403" s="65" t="n"/>
      <c r="Q403" s="65" t="n"/>
      <c r="R403" s="69">
        <f>A410</f>
        <v/>
      </c>
      <c r="S403" s="65">
        <f>B410</f>
        <v/>
      </c>
      <c r="T403" s="69">
        <f>C410</f>
        <v/>
      </c>
      <c r="U403" s="58">
        <f>N410</f>
        <v/>
      </c>
      <c r="V403" s="69">
        <f>O410</f>
        <v/>
      </c>
      <c r="W403" s="65" t="n"/>
      <c r="X403" s="65" t="n"/>
      <c r="Y403" s="65" t="n"/>
    </row>
    <row r="404">
      <c r="A404" s="8" t="inlineStr">
        <is>
          <t>M</t>
        </is>
      </c>
      <c r="B404" s="9" t="inlineStr">
        <is>
          <t>200 Back</t>
        </is>
      </c>
      <c r="C404" s="9" t="n">
        <v>18</v>
      </c>
      <c r="D404" s="9" t="n">
        <v>1</v>
      </c>
      <c r="E404" s="41" t="inlineStr">
        <is>
          <t>1:59.15</t>
        </is>
      </c>
      <c r="F404" s="35">
        <f>IFERROR(__xludf.DUMMYFUNCTION("IF(
  REGEXMATCH(E404, "":""),
  60*VALUE(INDEX(SPLIT(E404, "":""),1,1)) + VALUE(INDEX(SPLIT(E404, "":""),1,2)),
  VALUE(E404)
)"),119.15)</f>
        <v/>
      </c>
      <c r="G404" s="215">
        <f>C398</f>
        <v/>
      </c>
      <c r="H404" s="215">
        <f>C407</f>
        <v/>
      </c>
      <c r="I404" s="215">
        <f>C412</f>
        <v/>
      </c>
      <c r="J404" s="215">
        <f>C415</f>
        <v/>
      </c>
      <c r="K404" s="43">
        <f>IFS(H404=21,1,I404=21,2,J404=21,3,and(H404=20,I404=22),1.5, and(I404=20,J404=22),2.5,H404&gt;21,0.5)</f>
        <v/>
      </c>
      <c r="L404" s="43">
        <f t="array" ref="L404">INDEX('Podium Target Times'!$C:$C, MATCH(A404&amp;B404, 'Podium Target Times'!$A:$A&amp;'Podium Target Times'!$B:$B, 0))
</f>
        <v/>
      </c>
      <c r="M404" s="64">
        <f>IFS(K404=0.5,L404,K404=1,U402+(F404-F407), K404=1.5, M407+(F405-F408), K404=2, M407+(F405-F408), K404=2.5, M407+(F406-F409), K404=3, M407+(F406-F409))</f>
        <v/>
      </c>
      <c r="N404" s="43">
        <f>IF(M404&lt;60, TEXT(M404, "0.00"), TEXT(M404/(24*60*60), "M:SS.00"))</f>
        <v/>
      </c>
      <c r="O404" s="14">
        <f>IFERROR(__xludf.DUMMYFUNCTION("LET(
  gen,$A404, ev,$B404, t,$N404,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404" s="65" t="n"/>
      <c r="Q404" s="65" t="n"/>
      <c r="R404" s="69">
        <f>A412</f>
        <v/>
      </c>
      <c r="S404" s="65">
        <f>B412</f>
        <v/>
      </c>
      <c r="T404" s="69">
        <f>C412</f>
        <v/>
      </c>
      <c r="U404" s="58">
        <f>N412</f>
        <v/>
      </c>
      <c r="V404" s="69">
        <f>O412</f>
        <v/>
      </c>
      <c r="W404" s="65" t="n"/>
      <c r="X404" s="65" t="n"/>
      <c r="Y404" s="65" t="n"/>
    </row>
    <row r="405">
      <c r="A405" s="17" t="inlineStr">
        <is>
          <t>M</t>
        </is>
      </c>
      <c r="B405" s="18" t="inlineStr">
        <is>
          <t>200 Back</t>
        </is>
      </c>
      <c r="C405" s="18" t="n">
        <v>18</v>
      </c>
      <c r="D405" s="18" t="n">
        <v>2</v>
      </c>
      <c r="E405" s="46" t="inlineStr">
        <is>
          <t>2:00.21</t>
        </is>
      </c>
      <c r="F405" s="21">
        <f>IFERROR(__xludf.DUMMYFUNCTION("IF(
  REGEXMATCH(E405, "":""),
  60*VALUE(INDEX(SPLIT(E405, "":""),1,1)) + VALUE(INDEX(SPLIT(E405, "":""),1,2)),
  VALUE(E405)
)"),120.21)</f>
        <v/>
      </c>
      <c r="G405" s="211">
        <f>C398</f>
        <v/>
      </c>
      <c r="H405" s="211">
        <f>C407</f>
        <v/>
      </c>
      <c r="I405" s="211">
        <f>C412</f>
        <v/>
      </c>
      <c r="J405" s="211">
        <f>C415</f>
        <v/>
      </c>
      <c r="K405" s="60">
        <f>IFS(H405=21,1,I405=21,2,J405=21,3,and(H405=20,I405=22),1.5, and(I405=20,J405=22),2.5,H405&gt;21,0.5)</f>
        <v/>
      </c>
      <c r="L405" s="60">
        <f t="array" ref="L405">INDEX('Podium Target Times'!$C:$C, MATCH(A405&amp;B405, 'Podium Target Times'!$A:$A&amp;'Podium Target Times'!$B:$B, 0))
</f>
        <v/>
      </c>
      <c r="M405" s="66">
        <f>IFS(K405=0.5,L405,K405=1,U402+(F404-F407), K405=1.5, M407+(F405-F408), K405=2, M407+(F405-F408), K405=2.5, M407+(F406-F409), K405=3, M407+(F406-F409))</f>
        <v/>
      </c>
      <c r="N405" s="60">
        <f>IF(M405&lt;60, TEXT(M405, "0.00"), TEXT(M405/(24*60*60), "M:SS.00"))</f>
        <v/>
      </c>
      <c r="O405" s="25">
        <f>IFERROR(__xludf.DUMMYFUNCTION("LET(
  gen,$A405, ev,$B405, t,$N405,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405" s="65" t="n"/>
      <c r="Q405" s="65" t="n"/>
      <c r="R405" s="69" t="n"/>
      <c r="S405" s="65" t="n"/>
      <c r="T405" s="69" t="n"/>
      <c r="U405" s="58" t="n"/>
      <c r="V405" s="69" t="n"/>
      <c r="W405" s="65" t="n"/>
      <c r="X405" s="65" t="n"/>
      <c r="Y405" s="65" t="n"/>
    </row>
    <row r="406">
      <c r="A406" s="8" t="inlineStr">
        <is>
          <t>M</t>
        </is>
      </c>
      <c r="B406" s="9" t="inlineStr">
        <is>
          <t>200 Back</t>
        </is>
      </c>
      <c r="C406" s="9" t="n">
        <v>18</v>
      </c>
      <c r="D406" s="9" t="n">
        <v>3</v>
      </c>
      <c r="E406" s="41" t="inlineStr">
        <is>
          <t>2:00.51</t>
        </is>
      </c>
      <c r="F406" s="35">
        <f>IFERROR(__xludf.DUMMYFUNCTION("IF(
  REGEXMATCH(E406, "":""),
  60*VALUE(INDEX(SPLIT(E406, "":""),1,1)) + VALUE(INDEX(SPLIT(E406, "":""),1,2)),
  VALUE(E406)
)"),120.51)</f>
        <v/>
      </c>
      <c r="G406" s="215">
        <f>C398</f>
        <v/>
      </c>
      <c r="H406" s="215">
        <f>C407</f>
        <v/>
      </c>
      <c r="I406" s="215">
        <f>C412</f>
        <v/>
      </c>
      <c r="J406" s="215">
        <f>C415</f>
        <v/>
      </c>
      <c r="K406" s="43">
        <f>IFS(H406=21,1,I406=21,2,J406=21,3,and(H406=20,I406=22),1.5, and(I406=20,J406=22),2.5,H406&gt;21,0.5)</f>
        <v/>
      </c>
      <c r="L406" s="43">
        <f t="array" ref="L406">INDEX('Podium Target Times'!$C:$C, MATCH(A406&amp;B406, 'Podium Target Times'!$A:$A&amp;'Podium Target Times'!$B:$B, 0))
</f>
        <v/>
      </c>
      <c r="M406" s="64">
        <f>IFS(K406=0.5,L406,K406=1,U402+(F404-F407), K406=1.5, M407+(F405-F408), K406=2, M407+(F405-F408), K406=2.5, M407+(F406-F409), K406=3, M407+(F406-F409))</f>
        <v/>
      </c>
      <c r="N406" s="43">
        <f>IF(M406&lt;60, TEXT(M406, "0.00"), TEXT(M406/(24*60*60), "M:SS.00"))</f>
        <v/>
      </c>
      <c r="O406" s="14">
        <f>IFERROR(__xludf.DUMMYFUNCTION("LET(
  gen,$A406, ev,$B406, t,$N406,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406" s="65" t="n"/>
      <c r="Q406" s="65" t="n"/>
      <c r="R406" s="69" t="n"/>
      <c r="S406" s="65" t="n"/>
      <c r="T406" s="69" t="n"/>
      <c r="U406" s="58" t="n"/>
      <c r="V406" s="69" t="n"/>
      <c r="W406" s="65" t="n"/>
      <c r="X406" s="65" t="n"/>
      <c r="Y406" s="65" t="n"/>
    </row>
    <row r="407">
      <c r="A407" s="17" t="inlineStr">
        <is>
          <t>M</t>
        </is>
      </c>
      <c r="B407" s="18" t="inlineStr">
        <is>
          <t>200 Back</t>
        </is>
      </c>
      <c r="C407" s="18" t="n">
        <v>19</v>
      </c>
      <c r="D407" s="18" t="n">
        <v>1</v>
      </c>
      <c r="E407" s="46" t="inlineStr">
        <is>
          <t>1:58.07</t>
        </is>
      </c>
      <c r="F407" s="21">
        <f>IFERROR(__xludf.DUMMYFUNCTION("IF(
  REGEXMATCH(E407, "":""),
  60*VALUE(INDEX(SPLIT(E407, "":""),1,1)) + VALUE(INDEX(SPLIT(E407, "":""),1,2)),
  VALUE(E407)
)"),118.07)</f>
        <v/>
      </c>
      <c r="G407" s="211">
        <f>C398</f>
        <v/>
      </c>
      <c r="H407" s="211">
        <f>C407</f>
        <v/>
      </c>
      <c r="I407" s="211">
        <f>C412</f>
        <v/>
      </c>
      <c r="J407" s="211">
        <f>C415</f>
        <v/>
      </c>
      <c r="K407" s="60">
        <f>IFS(H407=21,1,I407=21,2,J407=21,3,and(H407=20,I407=22),1.5, and(I407=20,J407=22),2.5,H407&gt;21,0.5)</f>
        <v/>
      </c>
      <c r="L407" s="60">
        <f t="array" ref="L407">INDEX('Podium Target Times'!$C:$C, MATCH(A407&amp;B407, 'Podium Target Times'!$A:$A&amp;'Podium Target Times'!$B:$B, 0))
</f>
        <v/>
      </c>
      <c r="M407" s="66">
        <f>IFS(K407=0.5,L407,K407=1,L407, K407=1.5, M410+(F408-F410), K407=2, M410+(F408-F410), K407=2.5, M410+(F409-F411), K407=3, M410+(F409-F411))</f>
        <v/>
      </c>
      <c r="N407" s="60">
        <f>IF(M407&lt;60, TEXT(M407, "0.00"), TEXT(M407/(24*60*60), "M:SS.00"))</f>
        <v/>
      </c>
      <c r="O407" s="25">
        <f>IFERROR(__xludf.DUMMYFUNCTION("LET(
  gen,$A407, ev,$B407, t,$N407,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P407" s="65" t="n"/>
      <c r="Q407" s="65" t="n"/>
      <c r="R407" s="69" t="n"/>
      <c r="S407" s="65" t="n"/>
      <c r="T407" s="69" t="n"/>
      <c r="U407" s="58" t="n"/>
      <c r="V407" s="69" t="n"/>
      <c r="W407" s="65" t="n"/>
      <c r="X407" s="65" t="n"/>
      <c r="Y407" s="65" t="n"/>
    </row>
    <row r="408">
      <c r="A408" s="8" t="inlineStr">
        <is>
          <t>M</t>
        </is>
      </c>
      <c r="B408" s="9" t="inlineStr">
        <is>
          <t>200 Back</t>
        </is>
      </c>
      <c r="C408" s="9" t="n">
        <v>19</v>
      </c>
      <c r="D408" s="9" t="n">
        <v>2</v>
      </c>
      <c r="E408" s="41" t="inlineStr">
        <is>
          <t>1:59.12</t>
        </is>
      </c>
      <c r="F408" s="35">
        <f>IFERROR(__xludf.DUMMYFUNCTION("IF(
  REGEXMATCH(E408, "":""),
  60*VALUE(INDEX(SPLIT(E408, "":""),1,1)) + VALUE(INDEX(SPLIT(E408, "":""),1,2)),
  VALUE(E408)
)"),119.12)</f>
        <v/>
      </c>
      <c r="G408" s="215">
        <f>C398</f>
        <v/>
      </c>
      <c r="H408" s="215">
        <f>C407</f>
        <v/>
      </c>
      <c r="I408" s="215">
        <f>C412</f>
        <v/>
      </c>
      <c r="J408" s="215">
        <f>C415</f>
        <v/>
      </c>
      <c r="K408" s="43">
        <f>IFS(H408=21,1,I408=21,2,J408=21,3,and(H408=20,I408=22),1.5, and(I408=20,J408=22),2.5,H408&gt;21,0.5)</f>
        <v/>
      </c>
      <c r="L408" s="43">
        <f t="array" ref="L408">INDEX('Podium Target Times'!$C:$C, MATCH(A408&amp;B408, 'Podium Target Times'!$A:$A&amp;'Podium Target Times'!$B:$B, 0))
</f>
        <v/>
      </c>
      <c r="M408" s="64">
        <f>IFS(K408=0.5,L408,K408=1,L408, K408=1.5, M410+(F408-F410), K408=2, M410+(F408-F410), K408=2.5, M410+(F409-F411), K408=3, M410+(F409-F411))</f>
        <v/>
      </c>
      <c r="N408" s="43">
        <f>IF(M408&lt;60, TEXT(M408, "0.00"), TEXT(M408/(24*60*60), "M:SS.00"))</f>
        <v/>
      </c>
      <c r="O408" s="14">
        <f>IFERROR(__xludf.DUMMYFUNCTION("LET(
  gen,$A408, ev,$B408, t,$N408,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P408" s="65" t="n"/>
      <c r="Q408" s="65" t="n"/>
      <c r="R408" s="69" t="n"/>
      <c r="S408" s="65" t="n"/>
      <c r="T408" s="69" t="n"/>
      <c r="U408" s="58" t="n"/>
      <c r="V408" s="69" t="n"/>
      <c r="W408" s="65" t="n"/>
      <c r="X408" s="65" t="n"/>
      <c r="Y408" s="65" t="n"/>
    </row>
    <row r="409">
      <c r="A409" s="17" t="inlineStr">
        <is>
          <t>M</t>
        </is>
      </c>
      <c r="B409" s="18" t="inlineStr">
        <is>
          <t>200 Back</t>
        </is>
      </c>
      <c r="C409" s="18" t="n">
        <v>19</v>
      </c>
      <c r="D409" s="18" t="n">
        <v>3</v>
      </c>
      <c r="E409" s="46" t="inlineStr">
        <is>
          <t>1:59.41</t>
        </is>
      </c>
      <c r="F409" s="21">
        <f>IFERROR(__xludf.DUMMYFUNCTION("IF(
  REGEXMATCH(E409, "":""),
  60*VALUE(INDEX(SPLIT(E409, "":""),1,1)) + VALUE(INDEX(SPLIT(E409, "":""),1,2)),
  VALUE(E409)
)"),119.41)</f>
        <v/>
      </c>
      <c r="G409" s="211">
        <f>C398</f>
        <v/>
      </c>
      <c r="H409" s="211">
        <f>C407</f>
        <v/>
      </c>
      <c r="I409" s="211">
        <f>C412</f>
        <v/>
      </c>
      <c r="J409" s="211">
        <f>C415</f>
        <v/>
      </c>
      <c r="K409" s="60">
        <f>IFS(H409=21,1,I409=21,2,J409=21,3,and(H409=20,I409=22),1.5, and(I409=20,J409=22),2.5,H409&gt;21,0.5)</f>
        <v/>
      </c>
      <c r="L409" s="60">
        <f t="array" ref="L409">INDEX('Podium Target Times'!$C:$C, MATCH(A409&amp;B409, 'Podium Target Times'!$A:$A&amp;'Podium Target Times'!$B:$B, 0))
</f>
        <v/>
      </c>
      <c r="M409" s="66">
        <f>IFS(K409=0.5,L409,K409=1,L409, K409=1.5, M410+(F408-F410), K409=2, M410+(F408-F410), K409=2.5, M410+(F409-F411), K409=3, M410+(F409-F411))</f>
        <v/>
      </c>
      <c r="N409" s="60">
        <f>IF(M409&lt;60, TEXT(M409, "0.00"), TEXT(M409/(24*60*60), "M:SS.00"))</f>
        <v/>
      </c>
      <c r="O409" s="25">
        <f>IFERROR(__xludf.DUMMYFUNCTION("LET(
  gen,$A409, ev,$B409, t,$N409,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)"),757.0)</f>
        <v/>
      </c>
      <c r="P409" s="65" t="n"/>
      <c r="Q409" s="65" t="n"/>
      <c r="R409" s="69" t="n"/>
      <c r="S409" s="65" t="n"/>
      <c r="T409" s="69" t="n"/>
      <c r="U409" s="58" t="n"/>
      <c r="V409" s="69" t="n"/>
      <c r="W409" s="65" t="n"/>
      <c r="X409" s="65" t="n"/>
      <c r="Y409" s="65" t="n"/>
    </row>
    <row r="410">
      <c r="A410" s="8" t="inlineStr">
        <is>
          <t>M</t>
        </is>
      </c>
      <c r="B410" s="9" t="inlineStr">
        <is>
          <t>200 Back</t>
        </is>
      </c>
      <c r="C410" s="9" t="n">
        <v>20</v>
      </c>
      <c r="D410" s="9" t="n">
        <v>2</v>
      </c>
      <c r="E410" s="41" t="inlineStr">
        <is>
          <t>1:58.48</t>
        </is>
      </c>
      <c r="F410" s="35">
        <f>IFERROR(__xludf.DUMMYFUNCTION("IF(
  REGEXMATCH(E410, "":""),
  60*VALUE(INDEX(SPLIT(E410, "":""),1,1)) + VALUE(INDEX(SPLIT(E410, "":""),1,2)),
  VALUE(E410)
)"),118.47999999999999)</f>
        <v/>
      </c>
      <c r="G410" s="215">
        <f>C398</f>
        <v/>
      </c>
      <c r="H410" s="215">
        <f>C407</f>
        <v/>
      </c>
      <c r="I410" s="215">
        <f>C412</f>
        <v/>
      </c>
      <c r="J410" s="215">
        <f>C415</f>
        <v/>
      </c>
      <c r="K410" s="43">
        <f>IFS(H410=21,1,I410=21,2,J410=21,3,and(H410=20,I410=22),1.5, and(I410=20,J410=22),2.5,H410&gt;21,0.5)</f>
        <v/>
      </c>
      <c r="L410" s="43">
        <f t="array" ref="L410">INDEX('Podium Target Times'!$C:$C, MATCH(A410&amp;B410, 'Podium Target Times'!$A:$A&amp;'Podium Target Times'!$B:$B, 0))
</f>
        <v/>
      </c>
      <c r="M410" s="64">
        <f>IFS(K410=0.5,L410,K410=1,L410, K410=1.5, L410, K410=2, M412+(F410-F412), K410=2.5, M412+(F411-F413), K410=3, M412+(F411-F413))</f>
        <v/>
      </c>
      <c r="N410" s="43">
        <f>IF(M410&lt;60, TEXT(M410, "0.00"), TEXT(M410/(24*60*60), "M:SS.00"))</f>
        <v/>
      </c>
      <c r="O410" s="14">
        <f>IFERROR(__xludf.DUMMYFUNCTION("LET(
  gen,$A410, ev,$B410, t,$N410,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P410" s="65" t="n"/>
      <c r="Q410" s="65" t="n"/>
      <c r="R410" s="69" t="n"/>
      <c r="S410" s="65" t="n"/>
      <c r="T410" s="69" t="n"/>
      <c r="U410" s="58" t="n"/>
      <c r="V410" s="69" t="n"/>
      <c r="W410" s="65" t="n"/>
      <c r="X410" s="65" t="n"/>
      <c r="Y410" s="65" t="n"/>
    </row>
    <row r="411">
      <c r="A411" s="17" t="inlineStr">
        <is>
          <t>M</t>
        </is>
      </c>
      <c r="B411" s="18" t="inlineStr">
        <is>
          <t>200 Back</t>
        </is>
      </c>
      <c r="C411" s="18" t="n">
        <v>20</v>
      </c>
      <c r="D411" s="18" t="n">
        <v>3</v>
      </c>
      <c r="E411" s="46" t="inlineStr">
        <is>
          <t>1:58.77</t>
        </is>
      </c>
      <c r="F411" s="21">
        <f>IFERROR(__xludf.DUMMYFUNCTION("IF(
  REGEXMATCH(E411, "":""),
  60*VALUE(INDEX(SPLIT(E411, "":""),1,1)) + VALUE(INDEX(SPLIT(E411, "":""),1,2)),
  VALUE(E411)
)"),118.77000000000001)</f>
        <v/>
      </c>
      <c r="G411" s="211">
        <f>C398</f>
        <v/>
      </c>
      <c r="H411" s="211">
        <f>C407</f>
        <v/>
      </c>
      <c r="I411" s="211">
        <f>C412</f>
        <v/>
      </c>
      <c r="J411" s="211">
        <f>C415</f>
        <v/>
      </c>
      <c r="K411" s="60">
        <f>IFS(H411=21,1,I411=21,2,J411=21,3,and(H411=20,I411=22),1.5, and(I411=20,J411=22),2.5,H411&gt;21,0.5)</f>
        <v/>
      </c>
      <c r="L411" s="60">
        <f t="array" ref="L411">INDEX('Podium Target Times'!$C:$C, MATCH(A411&amp;B411, 'Podium Target Times'!$A:$A&amp;'Podium Target Times'!$B:$B, 0))
</f>
        <v/>
      </c>
      <c r="M411" s="66">
        <f>IFS(K411=0.5,L411,K411=1,L411, K411=1.5, L411, K411=2, M412+(F410-F412), K411=2.5, M412+(F411-F413), K411=3, M412+(F411-F413))</f>
        <v/>
      </c>
      <c r="N411" s="60">
        <f>IF(M411&lt;60, TEXT(M411, "0.00"), TEXT(M411/(24*60*60), "M:SS.00"))</f>
        <v/>
      </c>
      <c r="O411" s="25">
        <f>IFERROR(__xludf.DUMMYFUNCTION("LET(
  gen,$A411, ev,$B411, t,$N411,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P411" s="65" t="n"/>
      <c r="Q411" s="65" t="n"/>
      <c r="R411" s="69" t="n"/>
      <c r="S411" s="65" t="n"/>
      <c r="T411" s="69" t="n"/>
      <c r="U411" s="58" t="n"/>
      <c r="V411" s="69" t="n"/>
      <c r="W411" s="65" t="n"/>
      <c r="X411" s="65" t="n"/>
      <c r="Y411" s="65" t="n"/>
    </row>
    <row r="412">
      <c r="A412" s="8" t="inlineStr">
        <is>
          <t>M</t>
        </is>
      </c>
      <c r="B412" s="9" t="inlineStr">
        <is>
          <t>200 Back</t>
        </is>
      </c>
      <c r="C412" s="9" t="n">
        <v>21</v>
      </c>
      <c r="D412" s="9" t="n">
        <v>2</v>
      </c>
      <c r="E412" s="41" t="inlineStr">
        <is>
          <t>1:58.07</t>
        </is>
      </c>
      <c r="F412" s="35">
        <f>IFERROR(__xludf.DUMMYFUNCTION("IF(
  REGEXMATCH(E412, "":""),
  60*VALUE(INDEX(SPLIT(E412, "":""),1,1)) + VALUE(INDEX(SPLIT(E412, "":""),1,2)),
  VALUE(E412)
)"),118.07)</f>
        <v/>
      </c>
      <c r="G412" s="215">
        <f>C398</f>
        <v/>
      </c>
      <c r="H412" s="215">
        <f>C407</f>
        <v/>
      </c>
      <c r="I412" s="215">
        <f>C412</f>
        <v/>
      </c>
      <c r="J412" s="215">
        <f>C415</f>
        <v/>
      </c>
      <c r="K412" s="43">
        <f>IFS(H412=21,1,I412=21,2,J412=21,3,and(H412=20,I412=22),1.5, and(I412=20,J412=22),2.5,H412&gt;21,0.5)</f>
        <v/>
      </c>
      <c r="L412" s="43">
        <f t="array" ref="L412">INDEX('Podium Target Times'!$C:$C, MATCH(A412&amp;B412, 'Podium Target Times'!$A:$A&amp;'Podium Target Times'!$B:$B, 0))
</f>
        <v/>
      </c>
      <c r="M412" s="64">
        <f>IFS(K412=0.5,L412,K412=1,L412, K412=1.5, L412, K412=2,L415, K412=2.5, M414+(F413-F414), K412=3,  M414+(F413-F414))</f>
        <v/>
      </c>
      <c r="N412" s="43">
        <f>IF(M412&lt;60, TEXT(M412, "0.00"), TEXT(M412/(24*60*60), "M:SS.00"))</f>
        <v/>
      </c>
      <c r="O412" s="14">
        <f>IFERROR(__xludf.DUMMYFUNCTION("LET(
  gen,$A412, ev,$B412, t,$N412,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412" s="65" t="n"/>
      <c r="Q412" s="65" t="n"/>
      <c r="R412" s="69" t="n"/>
      <c r="S412" s="65" t="n"/>
      <c r="T412" s="69" t="n"/>
      <c r="U412" s="58" t="n"/>
      <c r="V412" s="69" t="n"/>
      <c r="W412" s="65" t="n"/>
      <c r="X412" s="65" t="n"/>
      <c r="Y412" s="65" t="n"/>
    </row>
    <row r="413">
      <c r="A413" s="17" t="inlineStr">
        <is>
          <t>M</t>
        </is>
      </c>
      <c r="B413" s="18" t="inlineStr">
        <is>
          <t>200 Back</t>
        </is>
      </c>
      <c r="C413" s="18" t="n">
        <v>21</v>
      </c>
      <c r="D413" s="18" t="n">
        <v>3</v>
      </c>
      <c r="E413" s="46" t="inlineStr">
        <is>
          <t>1:58.36</t>
        </is>
      </c>
      <c r="F413" s="21">
        <f>IFERROR(__xludf.DUMMYFUNCTION("IF(
  REGEXMATCH(E413, "":""),
  60*VALUE(INDEX(SPLIT(E413, "":""),1,1)) + VALUE(INDEX(SPLIT(E413, "":""),1,2)),
  VALUE(E413)
)"),118.36)</f>
        <v/>
      </c>
      <c r="G413" s="211">
        <f>C398</f>
        <v/>
      </c>
      <c r="H413" s="211">
        <f>C407</f>
        <v/>
      </c>
      <c r="I413" s="211">
        <f>C412</f>
        <v/>
      </c>
      <c r="J413" s="211">
        <f>C415</f>
        <v/>
      </c>
      <c r="K413" s="60">
        <f>IFS(H413=21,1,I413=21,2,J413=21,3,and(H413=20,I413=22),1.5, and(I413=20,J413=22),2.5,H413&gt;21,0.5)</f>
        <v/>
      </c>
      <c r="L413" s="60">
        <f t="array" ref="L413">INDEX('Podium Target Times'!$C:$C, MATCH(A413&amp;B413, 'Podium Target Times'!$A:$A&amp;'Podium Target Times'!$B:$B, 0))
</f>
        <v/>
      </c>
      <c r="M413" s="66">
        <f>IFS(K413=0.5,L413,K413=1,L413, K413=1.5, L413, K413=2, L415, K413=2.5, M414+(F413-F414), K413=3, M414+(F413-F414))</f>
        <v/>
      </c>
      <c r="N413" s="60">
        <f>IF(M413&lt;60, TEXT(M413, "0.00"), TEXT(M413/(24*60*60), "M:SS.00"))</f>
        <v/>
      </c>
      <c r="O413" s="25">
        <f>IFERROR(__xludf.DUMMYFUNCTION("LET(
  gen,$A413, ev,$B413, t,$N413,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413" s="65" t="n"/>
      <c r="Q413" s="65" t="n"/>
      <c r="R413" s="69" t="n"/>
      <c r="S413" s="65" t="n"/>
      <c r="T413" s="69" t="n"/>
      <c r="U413" s="58" t="n"/>
      <c r="V413" s="69" t="n"/>
      <c r="W413" s="65" t="n"/>
      <c r="X413" s="65" t="n"/>
      <c r="Y413" s="65" t="n"/>
    </row>
    <row r="414">
      <c r="A414" s="8" t="inlineStr">
        <is>
          <t>M</t>
        </is>
      </c>
      <c r="B414" s="9" t="inlineStr">
        <is>
          <t>200 Back</t>
        </is>
      </c>
      <c r="C414" s="9" t="n">
        <v>22</v>
      </c>
      <c r="D414" s="9" t="n">
        <v>3</v>
      </c>
      <c r="E414" s="41" t="inlineStr">
        <is>
          <t>1:58.13</t>
        </is>
      </c>
      <c r="F414" s="35">
        <f>IFERROR(__xludf.DUMMYFUNCTION("IF(
  REGEXMATCH(E414, "":""),
  60*VALUE(INDEX(SPLIT(E414, "":""),1,1)) + VALUE(INDEX(SPLIT(E414, "":""),1,2)),
  VALUE(E414)
)"),118.13)</f>
        <v/>
      </c>
      <c r="G414" s="215">
        <f>C398</f>
        <v/>
      </c>
      <c r="H414" s="215">
        <f>C407</f>
        <v/>
      </c>
      <c r="I414" s="215">
        <f>C412</f>
        <v/>
      </c>
      <c r="J414" s="215">
        <f>C415</f>
        <v/>
      </c>
      <c r="K414" s="43">
        <f>IFS(H414=21,1,I414=21,2,J414=21,3,and(H414=20,I414=22),1.5, and(I414=20,J414=22),2.5,H414&gt;21,0.5)</f>
        <v/>
      </c>
      <c r="L414" s="43">
        <f t="array" ref="L414">INDEX('Podium Target Times'!$C:$C, MATCH(A414&amp;B414, 'Podium Target Times'!$A:$A&amp;'Podium Target Times'!$B:$B, 0))
</f>
        <v/>
      </c>
      <c r="M414" s="64">
        <f>IFS(K414=0.5,L414,K414=1,L414, K414=1.5, L414, K414=2, L415, K414=2.5, L415, K414=3, M415+(F414-F415))</f>
        <v/>
      </c>
      <c r="N414" s="43">
        <f>IF(M414&lt;60, TEXT(M414, "0.00"), TEXT(M414/(24*60*60), "M:SS.00"))</f>
        <v/>
      </c>
      <c r="O414" s="14">
        <f>IFERROR(__xludf.DUMMYFUNCTION("LET(
  gen,$A414, ev,$B414, t,$N414,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414" s="65" t="n"/>
      <c r="Q414" s="65" t="n"/>
      <c r="R414" s="69" t="n"/>
      <c r="S414" s="65" t="n"/>
      <c r="T414" s="69" t="n"/>
      <c r="U414" s="58" t="n"/>
      <c r="V414" s="69" t="n"/>
      <c r="W414" s="65" t="n"/>
      <c r="X414" s="65" t="n"/>
      <c r="Y414" s="65" t="n"/>
    </row>
    <row r="415">
      <c r="A415" s="17" t="inlineStr">
        <is>
          <t>M</t>
        </is>
      </c>
      <c r="B415" s="18" t="inlineStr">
        <is>
          <t>200 Back</t>
        </is>
      </c>
      <c r="C415" s="18" t="n">
        <v>23</v>
      </c>
      <c r="D415" s="18" t="n">
        <v>3</v>
      </c>
      <c r="E415" s="46" t="inlineStr">
        <is>
          <t>1:58.07</t>
        </is>
      </c>
      <c r="F415" s="21">
        <f>IFERROR(__xludf.DUMMYFUNCTION("IF(
  REGEXMATCH(E415, "":""),
  60*VALUE(INDEX(SPLIT(E415, "":""),1,1)) + VALUE(INDEX(SPLIT(E415, "":""),1,2)),
  VALUE(E415)
)"),118.07)</f>
        <v/>
      </c>
      <c r="G415" s="211">
        <f>C398</f>
        <v/>
      </c>
      <c r="H415" s="211">
        <f>C407</f>
        <v/>
      </c>
      <c r="I415" s="211">
        <f>C412</f>
        <v/>
      </c>
      <c r="J415" s="211">
        <f>C415</f>
        <v/>
      </c>
      <c r="K415" s="60">
        <f>IFS(H415=21,1,I415=21,2,J415=21,3,and(H415=20,I415=22),1.5, and(I415=20,J415=22),2.5,H415&gt;21,0.5)</f>
        <v/>
      </c>
      <c r="L415" s="60">
        <f t="array" ref="L415">INDEX('Podium Target Times'!$C:$C, MATCH(A415&amp;B415, 'Podium Target Times'!$A:$A&amp;'Podium Target Times'!$B:$B, 0))
</f>
        <v/>
      </c>
      <c r="M415" s="66">
        <f>IFS(K415=0.5,L415,K415=1,L415, K415=1.5, L415, K415=2, L415, K415=2.5, L415, K415=3, L415)</f>
        <v/>
      </c>
      <c r="N415" s="60">
        <f>IF(M415&lt;60, TEXT(M415, "0.00"), TEXT(M415/(24*60*60), "M:SS.00"))</f>
        <v/>
      </c>
      <c r="O415" s="25">
        <f>IFERROR(__xludf.DUMMYFUNCTION("LET(
  gen,$A415, ev,$B415, t,$N415,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415" s="65" t="n"/>
      <c r="Q415" s="65" t="n"/>
      <c r="R415" s="69" t="n"/>
      <c r="S415" s="65" t="n"/>
      <c r="T415" s="69" t="n"/>
      <c r="U415" s="58" t="n"/>
      <c r="V415" s="69" t="n"/>
      <c r="W415" s="65" t="n"/>
      <c r="X415" s="65" t="n"/>
      <c r="Y415" s="65" t="n"/>
    </row>
    <row r="416">
      <c r="A416" s="8" t="inlineStr">
        <is>
          <t>M</t>
        </is>
      </c>
      <c r="B416" s="9" t="inlineStr">
        <is>
          <t>200 Breast</t>
        </is>
      </c>
      <c r="C416" s="9" t="n">
        <v>15</v>
      </c>
      <c r="D416" s="9" t="n">
        <v>1</v>
      </c>
      <c r="E416" s="41" t="inlineStr">
        <is>
          <t>2:23.31</t>
        </is>
      </c>
      <c r="F416" s="35">
        <f>IFERROR(__xludf.DUMMYFUNCTION("IF(
  REGEXMATCH(E416, "":""),
  60*VALUE(INDEX(SPLIT(E416, "":""),1,1)) + VALUE(INDEX(SPLIT(E416, "":""),1,2)),
  VALUE(E416)
)"),143.31)</f>
        <v/>
      </c>
      <c r="G416" s="43">
        <f>C416</f>
        <v/>
      </c>
      <c r="H416" s="43">
        <f>C425</f>
        <v/>
      </c>
      <c r="I416" s="43">
        <f>C430</f>
        <v/>
      </c>
      <c r="J416" s="43">
        <f>C433</f>
        <v/>
      </c>
      <c r="K416" s="43">
        <f>IFS(H416=21,1,I416=21,2,J416=21,3,and(H416=20,I416=22),1.5, and(I416=20,J416=22),2.5,H416&gt;21,0.5)</f>
        <v/>
      </c>
      <c r="L416" s="43">
        <f t="array" ref="L416">INDEX('Podium Target Times'!$C:$C, MATCH(A416&amp;B416, 'Podium Target Times'!$A:$A&amp;'Podium Target Times'!$B:$B, 0))
</f>
        <v/>
      </c>
      <c r="M416" s="64">
        <f>IFS(K416=0.5,M417+(F416-F417),K416=1,M417+(F416-F417), K416=1.5, M417+(F416-F417), K416=2, M417+(F416-F417), K416=2.5, M417+(F416-F417), K416=3, M417+(F416-F417))</f>
        <v/>
      </c>
      <c r="N416" s="43">
        <f>IF(M416&lt;60, TEXT(M416, "0.00"), TEXT(M416/(24*60*60), "M:SS.00"))</f>
        <v/>
      </c>
      <c r="O416" s="14">
        <f>IFERROR(__xludf.DUMMYFUNCTION("LET(
  gen,$A416, ev,$B416, t,$N416,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)"),589.0)</f>
        <v/>
      </c>
      <c r="P416" s="65" t="n"/>
      <c r="Q416" s="65" t="n"/>
      <c r="R416" s="69">
        <f>A416</f>
        <v/>
      </c>
      <c r="S416" s="65">
        <f>B416</f>
        <v/>
      </c>
      <c r="T416" s="69">
        <f>C416</f>
        <v/>
      </c>
      <c r="U416" s="58">
        <f>N416</f>
        <v/>
      </c>
      <c r="V416" s="69">
        <f>O416</f>
        <v/>
      </c>
      <c r="W416" s="65" t="n"/>
      <c r="X416" s="65" t="n"/>
      <c r="Y416" s="65" t="n"/>
    </row>
    <row r="417">
      <c r="A417" s="17" t="inlineStr">
        <is>
          <t>M</t>
        </is>
      </c>
      <c r="B417" s="18" t="inlineStr">
        <is>
          <t>200 Breast</t>
        </is>
      </c>
      <c r="C417" s="18" t="n">
        <v>16</v>
      </c>
      <c r="D417" s="18" t="n">
        <v>1</v>
      </c>
      <c r="E417" s="46" t="inlineStr">
        <is>
          <t>2:18.55</t>
        </is>
      </c>
      <c r="F417" s="21">
        <f>IFERROR(__xludf.DUMMYFUNCTION("IF(
  REGEXMATCH(E417, "":""),
  60*VALUE(INDEX(SPLIT(E417, "":""),1,1)) + VALUE(INDEX(SPLIT(E417, "":""),1,2)),
  VALUE(E417)
)"),138.55)</f>
        <v/>
      </c>
      <c r="G417" s="211">
        <f>C416</f>
        <v/>
      </c>
      <c r="H417" s="211">
        <f>C425</f>
        <v/>
      </c>
      <c r="I417" s="211">
        <f>C430</f>
        <v/>
      </c>
      <c r="J417" s="211">
        <f>C433</f>
        <v/>
      </c>
      <c r="K417" s="60">
        <f>IFS(H417=21,1,I417=21,2,J417=21,3,and(H417=20,I417=22),1.5, and(I417=20,J417=22),2.5,H417&gt;21,0.5)</f>
        <v/>
      </c>
      <c r="L417" s="60">
        <f t="array" ref="L417">INDEX('Podium Target Times'!$C:$C, MATCH(A417&amp;B417, 'Podium Target Times'!$A:$A&amp;'Podium Target Times'!$B:$B, 0))
</f>
        <v/>
      </c>
      <c r="M417" s="66">
        <f>IFS(K417=0.5,M418+(F417-F419),K417=1,M418+(F417-F419), K417=1.5, M419+(F418-F420), K417=2, M419+(F418-F420), K417=2.5, M419+(F418-F420), K417=3, M419+(F418-F420))</f>
        <v/>
      </c>
      <c r="N417" s="60">
        <f>IF(M417&lt;60, TEXT(M417, "0.00"), TEXT(M417/(24*60*60), "M:SS.00"))</f>
        <v/>
      </c>
      <c r="O417" s="25">
        <f>IFERROR(__xludf.DUMMYFUNCTION("LET(
  gen,$A417, ev,$B417, t,$N417,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)"),649.0)</f>
        <v/>
      </c>
      <c r="P417" s="65" t="n"/>
      <c r="Q417" s="65" t="n"/>
      <c r="R417" s="69">
        <f>A417</f>
        <v/>
      </c>
      <c r="S417" s="65">
        <f>B417</f>
        <v/>
      </c>
      <c r="T417" s="69">
        <f>C417</f>
        <v/>
      </c>
      <c r="U417" s="58">
        <f>N417</f>
        <v/>
      </c>
      <c r="V417" s="69">
        <f>O417</f>
        <v/>
      </c>
      <c r="W417" s="65" t="n"/>
      <c r="X417" s="65" t="n"/>
      <c r="Y417" s="65" t="n"/>
    </row>
    <row r="418">
      <c r="A418" s="8" t="inlineStr">
        <is>
          <t>M</t>
        </is>
      </c>
      <c r="B418" s="9" t="inlineStr">
        <is>
          <t>200 Breast</t>
        </is>
      </c>
      <c r="C418" s="9" t="n">
        <v>16</v>
      </c>
      <c r="D418" s="9" t="n">
        <v>2</v>
      </c>
      <c r="E418" s="41" t="inlineStr">
        <is>
          <t>2:20.95</t>
        </is>
      </c>
      <c r="F418" s="35">
        <f>IFERROR(__xludf.DUMMYFUNCTION("IF(
  REGEXMATCH(E418, "":""),
  60*VALUE(INDEX(SPLIT(E418, "":""),1,1)) + VALUE(INDEX(SPLIT(E418, "":""),1,2)),
  VALUE(E418)
)"),140.95)</f>
        <v/>
      </c>
      <c r="G418" s="215">
        <f>C416</f>
        <v/>
      </c>
      <c r="H418" s="215">
        <f>C425</f>
        <v/>
      </c>
      <c r="I418" s="215">
        <f>C430</f>
        <v/>
      </c>
      <c r="J418" s="215">
        <f>C433</f>
        <v/>
      </c>
      <c r="K418" s="43">
        <f>IFS(H418=21,1,I418=21,2,J418=21,3,and(H418=20,I418=22),1.5, and(I418=20,J418=22),2.5,H418&gt;21,0.5)</f>
        <v/>
      </c>
      <c r="L418" s="43">
        <f t="array" ref="L418">INDEX('Podium Target Times'!$C:$C, MATCH(A418&amp;B418, 'Podium Target Times'!$A:$A&amp;'Podium Target Times'!$B:$B, 0))
</f>
        <v/>
      </c>
      <c r="M418" s="64">
        <f>IFS(K418=0.5,M419+(F418-F421),K418=1,M419+(F418-F421), K418=1.5, M419+(F418-F420), K418=2, M419+(F418-F420), K418=2.5, M419+(F418-F420), K418=3, M419+(F418-F420))</f>
        <v/>
      </c>
      <c r="N418" s="43">
        <f>IF(M418&lt;60, TEXT(M418, "0.00"), TEXT(M418/(24*60*60), "M:SS.00"))</f>
        <v/>
      </c>
      <c r="O418" s="14">
        <f>IFERROR(__xludf.DUMMYFUNCTION("LET(
  gen,$A418, ev,$B418, t,$N418,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)"),649.0)</f>
        <v/>
      </c>
      <c r="P418" s="65" t="n"/>
      <c r="Q418" s="65" t="n"/>
      <c r="R418" s="69">
        <f>A419</f>
        <v/>
      </c>
      <c r="S418" s="65">
        <f>B419</f>
        <v/>
      </c>
      <c r="T418" s="69">
        <f>C419</f>
        <v/>
      </c>
      <c r="U418" s="58">
        <f>N419</f>
        <v/>
      </c>
      <c r="V418" s="69">
        <f>O419</f>
        <v/>
      </c>
      <c r="W418" s="65" t="n"/>
      <c r="X418" s="65" t="n"/>
      <c r="Y418" s="65" t="n"/>
    </row>
    <row r="419">
      <c r="A419" s="17" t="inlineStr">
        <is>
          <t>M</t>
        </is>
      </c>
      <c r="B419" s="18" t="inlineStr">
        <is>
          <t>200 Breast</t>
        </is>
      </c>
      <c r="C419" s="18" t="n">
        <v>17</v>
      </c>
      <c r="D419" s="18" t="n">
        <v>1</v>
      </c>
      <c r="E419" s="46" t="inlineStr">
        <is>
          <t>2:14.89</t>
        </is>
      </c>
      <c r="F419" s="21">
        <f>IFERROR(__xludf.DUMMYFUNCTION("IF(
  REGEXMATCH(E419, "":""),
  60*VALUE(INDEX(SPLIT(E419, "":""),1,1)) + VALUE(INDEX(SPLIT(E419, "":""),1,2)),
  VALUE(E419)
)"),134.89)</f>
        <v/>
      </c>
      <c r="G419" s="211">
        <f>C416</f>
        <v/>
      </c>
      <c r="H419" s="211">
        <f>C425</f>
        <v/>
      </c>
      <c r="I419" s="211">
        <f>C430</f>
        <v/>
      </c>
      <c r="J419" s="211">
        <f>C433</f>
        <v/>
      </c>
      <c r="K419" s="60">
        <f>IFS(H419=21,1,I419=21,2,J419=21,3,and(H419=20,I419=22),1.5, and(I419=20,J419=22),2.5,H419&gt;21,0.5)</f>
        <v/>
      </c>
      <c r="L419" s="60">
        <f t="array" ref="L419">INDEX('Podium Target Times'!$C:$C, MATCH(A419&amp;B419, 'Podium Target Times'!$A:$A&amp;'Podium Target Times'!$B:$B, 0))
</f>
        <v/>
      </c>
      <c r="M419" s="66">
        <f>IFS(K419=0.5,M420+(F419-F422),K419=1,M420+(F419-F422), K419=1.5, M422+(F420-F423), K419=2, M422+(F420-F423), K419=2.5, M422+(F421-F424), K419=3, M422+(F421-F424))</f>
        <v/>
      </c>
      <c r="N419" s="60">
        <f>IF(M419&lt;60, TEXT(M419, "0.00"), TEXT(M419/(24*60*60), "M:SS.00"))</f>
        <v/>
      </c>
      <c r="O419" s="25">
        <f>IFERROR(__xludf.DUMMYFUNCTION("LET(
  gen,$A419, ev,$B419, t,$N419,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P419" s="65" t="n"/>
      <c r="Q419" s="65" t="n"/>
      <c r="R419" s="69">
        <f>A422</f>
        <v/>
      </c>
      <c r="S419" s="65">
        <f>B422</f>
        <v/>
      </c>
      <c r="T419" s="69">
        <f>C422</f>
        <v/>
      </c>
      <c r="U419" s="58">
        <f>N422</f>
        <v/>
      </c>
      <c r="V419" s="69">
        <f>O422</f>
        <v/>
      </c>
      <c r="W419" s="65" t="n"/>
      <c r="X419" s="65" t="n"/>
      <c r="Y419" s="65" t="n"/>
    </row>
    <row r="420">
      <c r="A420" s="8" t="inlineStr">
        <is>
          <t>M</t>
        </is>
      </c>
      <c r="B420" s="9" t="inlineStr">
        <is>
          <t>200 Breast</t>
        </is>
      </c>
      <c r="C420" s="9" t="n">
        <v>17</v>
      </c>
      <c r="D420" s="9" t="n">
        <v>2</v>
      </c>
      <c r="E420" s="41" t="inlineStr">
        <is>
          <t>2:17.24</t>
        </is>
      </c>
      <c r="F420" s="35">
        <f>IFERROR(__xludf.DUMMYFUNCTION("IF(
  REGEXMATCH(E420, "":""),
  60*VALUE(INDEX(SPLIT(E420, "":""),1,1)) + VALUE(INDEX(SPLIT(E420, "":""),1,2)),
  VALUE(E420)
)"),137.24)</f>
        <v/>
      </c>
      <c r="G420" s="215">
        <f>C416</f>
        <v/>
      </c>
      <c r="H420" s="215">
        <f>C425</f>
        <v/>
      </c>
      <c r="I420" s="215">
        <f>C430</f>
        <v/>
      </c>
      <c r="J420" s="215">
        <f>C433</f>
        <v/>
      </c>
      <c r="K420" s="43">
        <f>IFS(H420=21,1,I420=21,2,J420=21,3,and(H420=20,I420=22),1.5, and(I420=20,J420=22),2.5,H420&gt;21,0.5)</f>
        <v/>
      </c>
      <c r="L420" s="43">
        <f t="array" ref="L420">INDEX('Podium Target Times'!$C:$C, MATCH(A420&amp;B420, 'Podium Target Times'!$A:$A&amp;'Podium Target Times'!$B:$B, 0))
</f>
        <v/>
      </c>
      <c r="M420" s="64">
        <f>IFS(K420=0.5,M421+(F419-F422),K420=1,M421+(F419-F422), K420=1.5, M422+(F420-F423), K420=2, M422+(F420-F423), K420=2.5, M422+(F421-F424), K420=3, M422+(F421-F424))</f>
        <v/>
      </c>
      <c r="N420" s="43">
        <f>IF(M420&lt;60, TEXT(M420, "0.00"), TEXT(M420/(24*60*60), "M:SS.00"))</f>
        <v/>
      </c>
      <c r="O420" s="14">
        <f>IFERROR(__xludf.DUMMYFUNCTION("LET(
  gen,$A420, ev,$B420, t,$N420,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P420" s="65" t="n"/>
      <c r="Q420" s="65" t="n"/>
      <c r="R420" s="69">
        <f>A425</f>
        <v/>
      </c>
      <c r="S420" s="65">
        <f>B425</f>
        <v/>
      </c>
      <c r="T420" s="69">
        <f>C425</f>
        <v/>
      </c>
      <c r="U420" s="58">
        <f>N425</f>
        <v/>
      </c>
      <c r="V420" s="69">
        <f>O425</f>
        <v/>
      </c>
      <c r="W420" s="65" t="n"/>
      <c r="X420" s="65" t="n"/>
      <c r="Y420" s="65" t="n"/>
    </row>
    <row r="421">
      <c r="A421" s="17" t="inlineStr">
        <is>
          <t>M</t>
        </is>
      </c>
      <c r="B421" s="18" t="inlineStr">
        <is>
          <t>200 Breast</t>
        </is>
      </c>
      <c r="C421" s="18" t="n">
        <v>17</v>
      </c>
      <c r="D421" s="18" t="n">
        <v>3</v>
      </c>
      <c r="E421" s="46" t="inlineStr">
        <is>
          <t>2:18.23</t>
        </is>
      </c>
      <c r="F421" s="21">
        <f>IFERROR(__xludf.DUMMYFUNCTION("IF(
  REGEXMATCH(E421, "":""),
  60*VALUE(INDEX(SPLIT(E421, "":""),1,1)) + VALUE(INDEX(SPLIT(E421, "":""),1,2)),
  VALUE(E421)
)"),138.23)</f>
        <v/>
      </c>
      <c r="G421" s="211">
        <f>C416</f>
        <v/>
      </c>
      <c r="H421" s="211">
        <f>C425</f>
        <v/>
      </c>
      <c r="I421" s="211">
        <f>C430</f>
        <v/>
      </c>
      <c r="J421" s="211">
        <f>C433</f>
        <v/>
      </c>
      <c r="K421" s="60">
        <f>IFS(H421=21,1,I421=21,2,J421=21,3,and(H421=20,I421=22),1.5, and(I421=20,J421=22),2.5,H421&gt;21,0.5)</f>
        <v/>
      </c>
      <c r="L421" s="60">
        <f t="array" ref="L421">INDEX('Podium Target Times'!$C:$C, MATCH(A421&amp;B421, 'Podium Target Times'!$A:$A&amp;'Podium Target Times'!$B:$B, 0))
</f>
        <v/>
      </c>
      <c r="M421" s="66">
        <f>IFS(K421=0.5,M422+(F419-F422),K421=1,M422+(F419-F422), K421=1.5, M422+(F420-F423), K421=2, M422+(F420-F423), K421=2.5, M422+(F421-F424), K421=3, M422+(F421-F424))</f>
        <v/>
      </c>
      <c r="N421" s="60">
        <f>IF(M421&lt;60, TEXT(M421, "0.00"), TEXT(M421/(24*60*60), "M:SS.00"))</f>
        <v/>
      </c>
      <c r="O421" s="25">
        <f>IFERROR(__xludf.DUMMYFUNCTION("LET(
  gen,$A421, ev,$B421, t,$N421,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)"),701.0)</f>
        <v/>
      </c>
      <c r="P421" s="65" t="n"/>
      <c r="Q421" s="65" t="n"/>
      <c r="R421" s="69">
        <f>A428</f>
        <v/>
      </c>
      <c r="S421" s="65">
        <f>B428</f>
        <v/>
      </c>
      <c r="T421" s="69">
        <f>C428</f>
        <v/>
      </c>
      <c r="U421" s="58">
        <f>N428</f>
        <v/>
      </c>
      <c r="V421" s="69">
        <f>O428</f>
        <v/>
      </c>
      <c r="W421" s="65" t="n"/>
      <c r="X421" s="65" t="n"/>
      <c r="Y421" s="65" t="n"/>
    </row>
    <row r="422">
      <c r="A422" s="8" t="inlineStr">
        <is>
          <t>M</t>
        </is>
      </c>
      <c r="B422" s="9" t="inlineStr">
        <is>
          <t>200 Breast</t>
        </is>
      </c>
      <c r="C422" s="9" t="n">
        <v>18</v>
      </c>
      <c r="D422" s="9" t="n">
        <v>1</v>
      </c>
      <c r="E422" s="41" t="inlineStr">
        <is>
          <t>2:12.22</t>
        </is>
      </c>
      <c r="F422" s="35">
        <f>IFERROR(__xludf.DUMMYFUNCTION("IF(
  REGEXMATCH(E422, "":""),
  60*VALUE(INDEX(SPLIT(E422, "":""),1,1)) + VALUE(INDEX(SPLIT(E422, "":""),1,2)),
  VALUE(E422)
)"),132.22)</f>
        <v/>
      </c>
      <c r="G422" s="215">
        <f>C416</f>
        <v/>
      </c>
      <c r="H422" s="215">
        <f>C425</f>
        <v/>
      </c>
      <c r="I422" s="215">
        <f>C430</f>
        <v/>
      </c>
      <c r="J422" s="215">
        <f>C433</f>
        <v/>
      </c>
      <c r="K422" s="43">
        <f>IFS(H422=21,1,I422=21,2,J422=21,3,and(H422=20,I422=22),1.5, and(I422=20,J422=22),2.5,H422&gt;21,0.5)</f>
        <v/>
      </c>
      <c r="L422" s="43">
        <f t="array" ref="L422">INDEX('Podium Target Times'!$C:$C, MATCH(A422&amp;B422, 'Podium Target Times'!$A:$A&amp;'Podium Target Times'!$B:$B, 0))
</f>
        <v/>
      </c>
      <c r="M422" s="64">
        <f>IFS(K422=0.5,L422,K422=1,U420+(F422-F425), K422=1.5, M425+(F423-F426), K422=2, M425+(F423-F426), K422=2.5, M425+(F424-F427), K422=3, M425+(F424-F427))</f>
        <v/>
      </c>
      <c r="N422" s="43">
        <f>IF(M422&lt;60, TEXT(M422, "0.00"), TEXT(M422/(24*60*60), "M:SS.00"))</f>
        <v/>
      </c>
      <c r="O422" s="14">
        <f>IFERROR(__xludf.DUMMYFUNCTION("LET(
  gen,$A422, ev,$B422, t,$N422,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
      </c>
      <c r="P422" s="65" t="n"/>
      <c r="Q422" s="65" t="n"/>
      <c r="R422" s="69">
        <f>A430</f>
        <v/>
      </c>
      <c r="S422" s="65">
        <f>B430</f>
        <v/>
      </c>
      <c r="T422" s="69">
        <f>C430</f>
        <v/>
      </c>
      <c r="U422" s="58">
        <f>N430</f>
        <v/>
      </c>
      <c r="V422" s="69">
        <f>O430</f>
        <v/>
      </c>
      <c r="W422" s="65" t="n"/>
      <c r="X422" s="65" t="n"/>
      <c r="Y422" s="65" t="n"/>
    </row>
    <row r="423">
      <c r="A423" s="17" t="inlineStr">
        <is>
          <t>M</t>
        </is>
      </c>
      <c r="B423" s="18" t="inlineStr">
        <is>
          <t>200 Breast</t>
        </is>
      </c>
      <c r="C423" s="18" t="n">
        <v>18</v>
      </c>
      <c r="D423" s="18" t="n">
        <v>2</v>
      </c>
      <c r="E423" s="46" t="inlineStr">
        <is>
          <t>2:14.51</t>
        </is>
      </c>
      <c r="F423" s="21">
        <f>IFERROR(__xludf.DUMMYFUNCTION("IF(
  REGEXMATCH(E423, "":""),
  60*VALUE(INDEX(SPLIT(E423, "":""),1,1)) + VALUE(INDEX(SPLIT(E423, "":""),1,2)),
  VALUE(E423)
)"),134.51)</f>
        <v/>
      </c>
      <c r="G423" s="211">
        <f>C416</f>
        <v/>
      </c>
      <c r="H423" s="211">
        <f>C425</f>
        <v/>
      </c>
      <c r="I423" s="211">
        <f>C430</f>
        <v/>
      </c>
      <c r="J423" s="211">
        <f>C433</f>
        <v/>
      </c>
      <c r="K423" s="60">
        <f>IFS(H423=21,1,I423=21,2,J423=21,3,and(H423=20,I423=22),1.5, and(I423=20,J423=22),2.5,H423&gt;21,0.5)</f>
        <v/>
      </c>
      <c r="L423" s="60">
        <f t="array" ref="L423">INDEX('Podium Target Times'!$C:$C, MATCH(A423&amp;B423, 'Podium Target Times'!$A:$A&amp;'Podium Target Times'!$B:$B, 0))
</f>
        <v/>
      </c>
      <c r="M423" s="66">
        <f>IFS(K423=0.5,L423,K423=1,U420+(F422-F425), K423=1.5, M425+(F423-F426), K423=2, M425+(F423-F426), K423=2.5, M425+(F424-F427), K423=3, M425+(F424-F427))</f>
        <v/>
      </c>
      <c r="N423" s="60">
        <f>IF(M423&lt;60, TEXT(M423, "0.00"), TEXT(M423/(24*60*60), "M:SS.00"))</f>
        <v/>
      </c>
      <c r="O423" s="25">
        <f>IFERROR(__xludf.DUMMYFUNCTION("LET(
  gen,$A423, ev,$B423, t,$N423,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
      </c>
      <c r="P423" s="65" t="n"/>
      <c r="Q423" s="65" t="n"/>
      <c r="R423" s="69" t="n"/>
      <c r="S423" s="65" t="n"/>
      <c r="T423" s="69" t="n"/>
      <c r="U423" s="58" t="n"/>
      <c r="V423" s="69" t="n"/>
      <c r="W423" s="65" t="n"/>
      <c r="X423" s="65" t="n"/>
      <c r="Y423" s="65" t="n"/>
    </row>
    <row r="424">
      <c r="A424" s="8" t="inlineStr">
        <is>
          <t>M</t>
        </is>
      </c>
      <c r="B424" s="9" t="inlineStr">
        <is>
          <t>200 Breast</t>
        </is>
      </c>
      <c r="C424" s="9" t="n">
        <v>18</v>
      </c>
      <c r="D424" s="9" t="n">
        <v>3</v>
      </c>
      <c r="E424" s="41" t="inlineStr">
        <is>
          <t>2:15.48</t>
        </is>
      </c>
      <c r="F424" s="35">
        <f>IFERROR(__xludf.DUMMYFUNCTION("IF(
  REGEXMATCH(E424, "":""),
  60*VALUE(INDEX(SPLIT(E424, "":""),1,1)) + VALUE(INDEX(SPLIT(E424, "":""),1,2)),
  VALUE(E424)
)"),135.48)</f>
        <v/>
      </c>
      <c r="G424" s="215">
        <f>C416</f>
        <v/>
      </c>
      <c r="H424" s="215">
        <f>C425</f>
        <v/>
      </c>
      <c r="I424" s="215">
        <f>C430</f>
        <v/>
      </c>
      <c r="J424" s="215">
        <f>C433</f>
        <v/>
      </c>
      <c r="K424" s="43">
        <f>IFS(H424=21,1,I424=21,2,J424=21,3,and(H424=20,I424=22),1.5, and(I424=20,J424=22),2.5,H424&gt;21,0.5)</f>
        <v/>
      </c>
      <c r="L424" s="43">
        <f t="array" ref="L424">INDEX('Podium Target Times'!$C:$C, MATCH(A424&amp;B424, 'Podium Target Times'!$A:$A&amp;'Podium Target Times'!$B:$B, 0))
</f>
        <v/>
      </c>
      <c r="M424" s="64">
        <f>IFS(K424=0.5,L424,K424=1,U420+(F422-F425), K424=1.5, M425+(F423-F426), K424=2, M425+(F423-F426), K424=2.5, M425+(F424-F427), K424=3, M425+(F424-F427))</f>
        <v/>
      </c>
      <c r="N424" s="43">
        <f>IF(M424&lt;60, TEXT(M424, "0.00"), TEXT(M424/(24*60*60), "M:SS.00"))</f>
        <v/>
      </c>
      <c r="O424" s="14">
        <f>IFERROR(__xludf.DUMMYFUNCTION("LET(
  gen,$A424, ev,$B424, t,$N424,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)"),743.0)</f>
        <v/>
      </c>
      <c r="P424" s="65" t="n"/>
      <c r="Q424" s="65" t="n"/>
      <c r="R424" s="69" t="n"/>
      <c r="S424" s="65" t="n"/>
      <c r="T424" s="69" t="n"/>
      <c r="U424" s="58" t="n"/>
      <c r="V424" s="69" t="n"/>
      <c r="W424" s="65" t="n"/>
      <c r="X424" s="65" t="n"/>
      <c r="Y424" s="65" t="n"/>
    </row>
    <row r="425">
      <c r="A425" s="17" t="inlineStr">
        <is>
          <t>M</t>
        </is>
      </c>
      <c r="B425" s="18" t="inlineStr">
        <is>
          <t>200 Breast</t>
        </is>
      </c>
      <c r="C425" s="18" t="n">
        <v>19</v>
      </c>
      <c r="D425" s="18" t="n">
        <v>1</v>
      </c>
      <c r="E425" s="46" t="inlineStr">
        <is>
          <t>2:10.32</t>
        </is>
      </c>
      <c r="F425" s="21">
        <f>IFERROR(__xludf.DUMMYFUNCTION("IF(
  REGEXMATCH(E425, "":""),
  60*VALUE(INDEX(SPLIT(E425, "":""),1,1)) + VALUE(INDEX(SPLIT(E425, "":""),1,2)),
  VALUE(E425)
)"),130.32)</f>
        <v/>
      </c>
      <c r="G425" s="211">
        <f>C416</f>
        <v/>
      </c>
      <c r="H425" s="211">
        <f>C425</f>
        <v/>
      </c>
      <c r="I425" s="211">
        <f>C430</f>
        <v/>
      </c>
      <c r="J425" s="211">
        <f>C433</f>
        <v/>
      </c>
      <c r="K425" s="60">
        <f>IFS(H425=21,1,I425=21,2,J425=21,3,and(H425=20,I425=22),1.5, and(I425=20,J425=22),2.5,H425&gt;21,0.5)</f>
        <v/>
      </c>
      <c r="L425" s="60">
        <f t="array" ref="L425">INDEX('Podium Target Times'!$C:$C, MATCH(A425&amp;B425, 'Podium Target Times'!$A:$A&amp;'Podium Target Times'!$B:$B, 0))
</f>
        <v/>
      </c>
      <c r="M425" s="66">
        <f>IFS(K425=0.5,L425,K425=1,L425, K425=1.5, M428+(F426-F428), K425=2, M428+(F426-F428), K425=2.5, M428+(F427-F429), K425=3, M428+(F427-F429))</f>
        <v/>
      </c>
      <c r="N425" s="60">
        <f>IF(M425&lt;60, TEXT(M425, "0.00"), TEXT(M425/(24*60*60), "M:SS.00"))</f>
        <v/>
      </c>
      <c r="O425" s="25">
        <f>IFERROR(__xludf.DUMMYFUNCTION("LET(
  gen,$A425, ev,$B425, t,$N425,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P425" s="65" t="n"/>
      <c r="Q425" s="65" t="n"/>
      <c r="R425" s="69" t="n"/>
      <c r="S425" s="65" t="n"/>
      <c r="T425" s="69" t="n"/>
      <c r="U425" s="58" t="n"/>
      <c r="V425" s="69" t="n"/>
      <c r="W425" s="65" t="n"/>
      <c r="X425" s="65" t="n"/>
      <c r="Y425" s="65" t="n"/>
    </row>
    <row r="426">
      <c r="A426" s="8" t="inlineStr">
        <is>
          <t>M</t>
        </is>
      </c>
      <c r="B426" s="9" t="inlineStr">
        <is>
          <t>200 Breast</t>
        </is>
      </c>
      <c r="C426" s="9" t="n">
        <v>19</v>
      </c>
      <c r="D426" s="9" t="n">
        <v>2</v>
      </c>
      <c r="E426" s="41" t="inlineStr">
        <is>
          <t>2:12.58</t>
        </is>
      </c>
      <c r="F426" s="35">
        <f>IFERROR(__xludf.DUMMYFUNCTION("IF(
  REGEXMATCH(E426, "":""),
  60*VALUE(INDEX(SPLIT(E426, "":""),1,1)) + VALUE(INDEX(SPLIT(E426, "":""),1,2)),
  VALUE(E426)
)"),132.58)</f>
        <v/>
      </c>
      <c r="G426" s="215">
        <f>C416</f>
        <v/>
      </c>
      <c r="H426" s="215">
        <f>C425</f>
        <v/>
      </c>
      <c r="I426" s="215">
        <f>C430</f>
        <v/>
      </c>
      <c r="J426" s="215">
        <f>C433</f>
        <v/>
      </c>
      <c r="K426" s="43">
        <f>IFS(H426=21,1,I426=21,2,J426=21,3,and(H426=20,I426=22),1.5, and(I426=20,J426=22),2.5,H426&gt;21,0.5)</f>
        <v/>
      </c>
      <c r="L426" s="43">
        <f t="array" ref="L426">INDEX('Podium Target Times'!$C:$C, MATCH(A426&amp;B426, 'Podium Target Times'!$A:$A&amp;'Podium Target Times'!$B:$B, 0))
</f>
        <v/>
      </c>
      <c r="M426" s="64">
        <f>IFS(K426=0.5,L426,K426=1,L426, K426=1.5, M428+(F426-F428), K426=2, M428+(F426-F428), K426=2.5, M428+(F427-F429), K426=3, M428+(F427-F429))</f>
        <v/>
      </c>
      <c r="N426" s="43">
        <f>IF(M426&lt;60, TEXT(M426, "0.00"), TEXT(M426/(24*60*60), "M:SS.00"))</f>
        <v/>
      </c>
      <c r="O426" s="14">
        <f>IFERROR(__xludf.DUMMYFUNCTION("LET(
  gen,$A426, ev,$B426, t,$N426,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P426" s="65" t="n"/>
      <c r="Q426" s="65" t="n"/>
      <c r="R426" s="69" t="n"/>
      <c r="S426" s="65" t="n"/>
      <c r="T426" s="69" t="n"/>
      <c r="U426" s="58" t="n"/>
      <c r="V426" s="69" t="n"/>
      <c r="W426" s="65" t="n"/>
      <c r="X426" s="65" t="n"/>
      <c r="Y426" s="65" t="n"/>
    </row>
    <row r="427">
      <c r="A427" s="17" t="inlineStr">
        <is>
          <t>M</t>
        </is>
      </c>
      <c r="B427" s="18" t="inlineStr">
        <is>
          <t>200 Breast</t>
        </is>
      </c>
      <c r="C427" s="18" t="n">
        <v>19</v>
      </c>
      <c r="D427" s="18" t="n">
        <v>3</v>
      </c>
      <c r="E427" s="46" t="inlineStr">
        <is>
          <t>2:13.54</t>
        </is>
      </c>
      <c r="F427" s="21">
        <f>IFERROR(__xludf.DUMMYFUNCTION("IF(
  REGEXMATCH(E427, "":""),
  60*VALUE(INDEX(SPLIT(E427, "":""),1,1)) + VALUE(INDEX(SPLIT(E427, "":""),1,2)),
  VALUE(E427)
)"),133.54)</f>
        <v/>
      </c>
      <c r="G427" s="211">
        <f>C416</f>
        <v/>
      </c>
      <c r="H427" s="211">
        <f>C425</f>
        <v/>
      </c>
      <c r="I427" s="211">
        <f>C430</f>
        <v/>
      </c>
      <c r="J427" s="211">
        <f>C433</f>
        <v/>
      </c>
      <c r="K427" s="60">
        <f>IFS(H427=21,1,I427=21,2,J427=21,3,and(H427=20,I427=22),1.5, and(I427=20,J427=22),2.5,H427&gt;21,0.5)</f>
        <v/>
      </c>
      <c r="L427" s="60">
        <f t="array" ref="L427">INDEX('Podium Target Times'!$C:$C, MATCH(A427&amp;B427, 'Podium Target Times'!$A:$A&amp;'Podium Target Times'!$B:$B, 0))
</f>
        <v/>
      </c>
      <c r="M427" s="66">
        <f>IFS(K427=0.5,L427,K427=1,L427, K427=1.5, M428+(F426-F428), K427=2, M428+(F426-F428), K427=2.5, M428+(F427-F429), K427=3, M428+(F427-F429))</f>
        <v/>
      </c>
      <c r="N427" s="60">
        <f>IF(M427&lt;60, TEXT(M427, "0.00"), TEXT(M427/(24*60*60), "M:SS.00"))</f>
        <v/>
      </c>
      <c r="O427" s="25">
        <f>IFERROR(__xludf.DUMMYFUNCTION("LET(
  gen,$A427, ev,$B427, t,$N427,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)"),775.0)</f>
        <v/>
      </c>
      <c r="P427" s="65" t="n"/>
      <c r="Q427" s="65" t="n"/>
      <c r="R427" s="69" t="n"/>
      <c r="S427" s="65" t="n"/>
      <c r="T427" s="69" t="n"/>
      <c r="U427" s="58" t="n"/>
      <c r="V427" s="69" t="n"/>
      <c r="W427" s="65" t="n"/>
      <c r="X427" s="65" t="n"/>
      <c r="Y427" s="65" t="n"/>
    </row>
    <row r="428">
      <c r="A428" s="8" t="inlineStr">
        <is>
          <t>M</t>
        </is>
      </c>
      <c r="B428" s="9" t="inlineStr">
        <is>
          <t>200 Breast</t>
        </is>
      </c>
      <c r="C428" s="9" t="n">
        <v>20</v>
      </c>
      <c r="D428" s="9" t="n">
        <v>2</v>
      </c>
      <c r="E428" s="41" t="inlineStr">
        <is>
          <t>2:11.26</t>
        </is>
      </c>
      <c r="F428" s="35">
        <f>IFERROR(__xludf.DUMMYFUNCTION("IF(
  REGEXMATCH(E428, "":""),
  60*VALUE(INDEX(SPLIT(E428, "":""),1,1)) + VALUE(INDEX(SPLIT(E428, "":""),1,2)),
  VALUE(E428)
)"),131.26)</f>
        <v/>
      </c>
      <c r="G428" s="215">
        <f>C416</f>
        <v/>
      </c>
      <c r="H428" s="215">
        <f>C425</f>
        <v/>
      </c>
      <c r="I428" s="215">
        <f>C430</f>
        <v/>
      </c>
      <c r="J428" s="215">
        <f>C433</f>
        <v/>
      </c>
      <c r="K428" s="43">
        <f>IFS(H428=21,1,I428=21,2,J428=21,3,and(H428=20,I428=22),1.5, and(I428=20,J428=22),2.5,H428&gt;21,0.5)</f>
        <v/>
      </c>
      <c r="L428" s="43">
        <f t="array" ref="L428">INDEX('Podium Target Times'!$C:$C, MATCH(A428&amp;B428, 'Podium Target Times'!$A:$A&amp;'Podium Target Times'!$B:$B, 0))
</f>
        <v/>
      </c>
      <c r="M428" s="64">
        <f>IFS(K428=0.5,L428,K428=1,L428, K428=1.5, L428, K428=2, M430+(F428-F430), K428=2.5, M430+(F429-F431), K428=3, M430+(F429-F431))</f>
        <v/>
      </c>
      <c r="N428" s="43">
        <f>IF(M428&lt;60, TEXT(M428, "0.00"), TEXT(M428/(24*60*60), "M:SS.00"))</f>
        <v/>
      </c>
      <c r="O428" s="14">
        <f>IFERROR(__xludf.DUMMYFUNCTION("LET(
  gen,$A428, ev,$B428, t,$N428,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
      </c>
      <c r="P428" s="65" t="n"/>
      <c r="Q428" s="65" t="n"/>
      <c r="R428" s="69" t="n"/>
      <c r="S428" s="65" t="n"/>
      <c r="T428" s="69" t="n"/>
      <c r="U428" s="58" t="n"/>
      <c r="V428" s="69" t="n"/>
      <c r="W428" s="65" t="n"/>
      <c r="X428" s="65" t="n"/>
      <c r="Y428" s="65" t="n"/>
    </row>
    <row r="429">
      <c r="A429" s="17" t="inlineStr">
        <is>
          <t>M</t>
        </is>
      </c>
      <c r="B429" s="18" t="inlineStr">
        <is>
          <t>200 Breast</t>
        </is>
      </c>
      <c r="C429" s="18" t="n">
        <v>20</v>
      </c>
      <c r="D429" s="18" t="n">
        <v>3</v>
      </c>
      <c r="E429" s="46" t="inlineStr">
        <is>
          <t>2:12.21</t>
        </is>
      </c>
      <c r="F429" s="21">
        <f>IFERROR(__xludf.DUMMYFUNCTION("IF(
  REGEXMATCH(E429, "":""),
  60*VALUE(INDEX(SPLIT(E429, "":""),1,1)) + VALUE(INDEX(SPLIT(E429, "":""),1,2)),
  VALUE(E429)
)"),132.21)</f>
        <v/>
      </c>
      <c r="G429" s="211">
        <f>C416</f>
        <v/>
      </c>
      <c r="H429" s="211">
        <f>C425</f>
        <v/>
      </c>
      <c r="I429" s="211">
        <f>C430</f>
        <v/>
      </c>
      <c r="J429" s="211">
        <f>C433</f>
        <v/>
      </c>
      <c r="K429" s="60">
        <f>IFS(H429=21,1,I429=21,2,J429=21,3,and(H429=20,I429=22),1.5, and(I429=20,J429=22),2.5,H429&gt;21,0.5)</f>
        <v/>
      </c>
      <c r="L429" s="60">
        <f t="array" ref="L429">INDEX('Podium Target Times'!$C:$C, MATCH(A429&amp;B429, 'Podium Target Times'!$A:$A&amp;'Podium Target Times'!$B:$B, 0))
</f>
        <v/>
      </c>
      <c r="M429" s="66">
        <f>IFS(K429=0.5,L429,K429=1,L429, K429=1.5, L429, K429=2, M430+(F428-F430), K429=2.5, M430+(F429-F431), K429=3, M430+(F429-F431))</f>
        <v/>
      </c>
      <c r="N429" s="60">
        <f>IF(M429&lt;60, TEXT(M429, "0.00"), TEXT(M429/(24*60*60), "M:SS.00"))</f>
        <v/>
      </c>
      <c r="O429" s="25">
        <f>IFERROR(__xludf.DUMMYFUNCTION("LET(
  gen,$A429, ev,$B429, t,$N429,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)"),798.0)</f>
        <v/>
      </c>
      <c r="P429" s="65" t="n"/>
      <c r="Q429" s="65" t="n"/>
      <c r="R429" s="69" t="n"/>
      <c r="S429" s="65" t="n"/>
      <c r="T429" s="69" t="n"/>
      <c r="U429" s="58" t="n"/>
      <c r="V429" s="69" t="n"/>
      <c r="W429" s="65" t="n"/>
      <c r="X429" s="65" t="n"/>
      <c r="Y429" s="65" t="n"/>
    </row>
    <row r="430">
      <c r="A430" s="8" t="inlineStr">
        <is>
          <t>M</t>
        </is>
      </c>
      <c r="B430" s="9" t="inlineStr">
        <is>
          <t>200 Breast</t>
        </is>
      </c>
      <c r="C430" s="9" t="n">
        <v>21</v>
      </c>
      <c r="D430" s="9" t="n">
        <v>2</v>
      </c>
      <c r="E430" s="41" t="inlineStr">
        <is>
          <t>2:10.32</t>
        </is>
      </c>
      <c r="F430" s="35">
        <f>IFERROR(__xludf.DUMMYFUNCTION("IF(
  REGEXMATCH(E430, "":""),
  60*VALUE(INDEX(SPLIT(E430, "":""),1,1)) + VALUE(INDEX(SPLIT(E430, "":""),1,2)),
  VALUE(E430)
)"),130.32)</f>
        <v/>
      </c>
      <c r="G430" s="215">
        <f>C416</f>
        <v/>
      </c>
      <c r="H430" s="215">
        <f>C425</f>
        <v/>
      </c>
      <c r="I430" s="215">
        <f>C430</f>
        <v/>
      </c>
      <c r="J430" s="215">
        <f>C433</f>
        <v/>
      </c>
      <c r="K430" s="43">
        <f>IFS(H430=21,1,I430=21,2,J430=21,3,and(H430=20,I430=22),1.5, and(I430=20,J430=22),2.5,H430&gt;21,0.5)</f>
        <v/>
      </c>
      <c r="L430" s="43">
        <f t="array" ref="L430">INDEX('Podium Target Times'!$C:$C, MATCH(A430&amp;B430, 'Podium Target Times'!$A:$A&amp;'Podium Target Times'!$B:$B, 0))
</f>
        <v/>
      </c>
      <c r="M430" s="64">
        <f>IFS(K430=0.5,L430,K430=1,L430, K430=1.5, L430, K430=2,L433, K430=2.5, M432+(F431-F432), K430=3,  M432+(F431-F432))</f>
        <v/>
      </c>
      <c r="N430" s="43">
        <f>IF(M430&lt;60, TEXT(M430, "0.00"), TEXT(M430/(24*60*60), "M:SS.00"))</f>
        <v/>
      </c>
      <c r="O430" s="14">
        <f>IFERROR(__xludf.DUMMYFUNCTION("LET(
  gen,$A430, ev,$B430, t,$N430,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
      </c>
      <c r="P430" s="65" t="n"/>
      <c r="Q430" s="65" t="n"/>
      <c r="R430" s="69" t="n"/>
      <c r="S430" s="65" t="n"/>
      <c r="T430" s="69" t="n"/>
      <c r="U430" s="58" t="n"/>
      <c r="V430" s="69" t="n"/>
      <c r="W430" s="65" t="n"/>
      <c r="X430" s="65" t="n"/>
      <c r="Y430" s="65" t="n"/>
    </row>
    <row r="431">
      <c r="A431" s="17" t="inlineStr">
        <is>
          <t>M</t>
        </is>
      </c>
      <c r="B431" s="18" t="inlineStr">
        <is>
          <t>200 Breast</t>
        </is>
      </c>
      <c r="C431" s="18" t="n">
        <v>21</v>
      </c>
      <c r="D431" s="18" t="n">
        <v>3</v>
      </c>
      <c r="E431" s="46" t="inlineStr">
        <is>
          <t>2:11.26</t>
        </is>
      </c>
      <c r="F431" s="21">
        <f>IFERROR(__xludf.DUMMYFUNCTION("IF(
  REGEXMATCH(E431, "":""),
  60*VALUE(INDEX(SPLIT(E431, "":""),1,1)) + VALUE(INDEX(SPLIT(E431, "":""),1,2)),
  VALUE(E431)
)"),131.26)</f>
        <v/>
      </c>
      <c r="G431" s="211">
        <f>C416</f>
        <v/>
      </c>
      <c r="H431" s="211">
        <f>C425</f>
        <v/>
      </c>
      <c r="I431" s="211">
        <f>C430</f>
        <v/>
      </c>
      <c r="J431" s="211">
        <f>C433</f>
        <v/>
      </c>
      <c r="K431" s="60">
        <f>IFS(H431=21,1,I431=21,2,J431=21,3,and(H431=20,I431=22),1.5, and(I431=20,J431=22),2.5,H431&gt;21,0.5)</f>
        <v/>
      </c>
      <c r="L431" s="60">
        <f t="array" ref="L431">INDEX('Podium Target Times'!$C:$C, MATCH(A431&amp;B431, 'Podium Target Times'!$A:$A&amp;'Podium Target Times'!$B:$B, 0))
</f>
        <v/>
      </c>
      <c r="M431" s="66">
        <f>IFS(K431=0.5,L431,K431=1,L431, K431=1.5, L431, K431=2, L433, K431=2.5, M432+(F431-F432), K431=3, M432+(F431-F432))</f>
        <v/>
      </c>
      <c r="N431" s="60">
        <f>IF(M431&lt;60, TEXT(M431, "0.00"), TEXT(M431/(24*60*60), "M:SS.00"))</f>
        <v/>
      </c>
      <c r="O431" s="25">
        <f>IFERROR(__xludf.DUMMYFUNCTION("LET(
  gen,$A431, ev,$B431, t,$N431,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
      </c>
      <c r="P431" s="65" t="n"/>
      <c r="Q431" s="65" t="n"/>
      <c r="R431" s="69" t="n"/>
      <c r="S431" s="65" t="n"/>
      <c r="T431" s="69" t="n"/>
      <c r="U431" s="58" t="n"/>
      <c r="V431" s="69" t="n"/>
      <c r="W431" s="65" t="n"/>
      <c r="X431" s="65" t="n"/>
      <c r="Y431" s="65" t="n"/>
    </row>
    <row r="432">
      <c r="A432" s="8" t="inlineStr">
        <is>
          <t>M</t>
        </is>
      </c>
      <c r="B432" s="9" t="inlineStr">
        <is>
          <t>200 Breast</t>
        </is>
      </c>
      <c r="C432" s="9" t="n">
        <v>22</v>
      </c>
      <c r="D432" s="9" t="n">
        <v>3</v>
      </c>
      <c r="E432" s="41" t="inlineStr">
        <is>
          <t>2:10.66</t>
        </is>
      </c>
      <c r="F432" s="35">
        <f>IFERROR(__xludf.DUMMYFUNCTION("IF(
  REGEXMATCH(E432, "":""),
  60*VALUE(INDEX(SPLIT(E432, "":""),1,1)) + VALUE(INDEX(SPLIT(E432, "":""),1,2)),
  VALUE(E432)
)"),130.66)</f>
        <v/>
      </c>
      <c r="G432" s="215">
        <f>C416</f>
        <v/>
      </c>
      <c r="H432" s="215">
        <f>C425</f>
        <v/>
      </c>
      <c r="I432" s="215">
        <f>C430</f>
        <v/>
      </c>
      <c r="J432" s="215">
        <f>C433</f>
        <v/>
      </c>
      <c r="K432" s="43">
        <f>IFS(H432=21,1,I432=21,2,J432=21,3,and(H432=20,I432=22),1.5, and(I432=20,J432=22),2.5,H432&gt;21,0.5)</f>
        <v/>
      </c>
      <c r="L432" s="43">
        <f t="array" ref="L432">INDEX('Podium Target Times'!$C:$C, MATCH(A432&amp;B432, 'Podium Target Times'!$A:$A&amp;'Podium Target Times'!$B:$B, 0))
</f>
        <v/>
      </c>
      <c r="M432" s="64">
        <f>IFS(K432=0.5,L432,K432=1,L432, K432=1.5, L432, K432=2, L433, K432=2.5, L433, K432=3, M433+(F432-F433))</f>
        <v/>
      </c>
      <c r="N432" s="43">
        <f>IF(M432&lt;60, TEXT(M432, "0.00"), TEXT(M432/(24*60*60), "M:SS.00"))</f>
        <v/>
      </c>
      <c r="O432" s="14">
        <f>IFERROR(__xludf.DUMMYFUNCTION("LET(
  gen,$A432, ev,$B432, t,$N432,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
      </c>
      <c r="P432" s="65" t="n"/>
      <c r="Q432" s="65" t="n"/>
      <c r="R432" s="69" t="n"/>
      <c r="S432" s="65" t="n"/>
      <c r="T432" s="69" t="n"/>
      <c r="U432" s="58" t="n"/>
      <c r="V432" s="69" t="n"/>
      <c r="W432" s="65" t="n"/>
      <c r="X432" s="65" t="n"/>
      <c r="Y432" s="65" t="n"/>
    </row>
    <row r="433">
      <c r="A433" s="17" t="inlineStr">
        <is>
          <t>M</t>
        </is>
      </c>
      <c r="B433" s="18" t="inlineStr">
        <is>
          <t>200 Breast</t>
        </is>
      </c>
      <c r="C433" s="18" t="n">
        <v>23</v>
      </c>
      <c r="D433" s="18" t="n">
        <v>3</v>
      </c>
      <c r="E433" s="46" t="inlineStr">
        <is>
          <t>2:10.32</t>
        </is>
      </c>
      <c r="F433" s="21">
        <f>IFERROR(__xludf.DUMMYFUNCTION("IF(
  REGEXMATCH(E433, "":""),
  60*VALUE(INDEX(SPLIT(E433, "":""),1,1)) + VALUE(INDEX(SPLIT(E433, "":""),1,2)),
  VALUE(E433)
)"),130.32)</f>
        <v/>
      </c>
      <c r="G433" s="211">
        <f>C416</f>
        <v/>
      </c>
      <c r="H433" s="211">
        <f>C425</f>
        <v/>
      </c>
      <c r="I433" s="211">
        <f>C430</f>
        <v/>
      </c>
      <c r="J433" s="211">
        <f>C433</f>
        <v/>
      </c>
      <c r="K433" s="60">
        <f>IFS(H433=21,1,I433=21,2,J433=21,3,and(H433=20,I433=22),1.5, and(I433=20,J433=22),2.5,H433&gt;21,0.5)</f>
        <v/>
      </c>
      <c r="L433" s="60">
        <f t="array" ref="L433">INDEX('Podium Target Times'!$C:$C, MATCH(A433&amp;B433, 'Podium Target Times'!$A:$A&amp;'Podium Target Times'!$B:$B, 0))
</f>
        <v/>
      </c>
      <c r="M433" s="66">
        <f>IFS(K433=0.5,L433,K433=1,L433, K433=1.5, L433, K433=2, L433, K433=2.5, L433, K433=3, L433)</f>
        <v/>
      </c>
      <c r="N433" s="60">
        <f>IF(M433&lt;60, TEXT(M433, "0.00"), TEXT(M433/(24*60*60), "M:SS.00"))</f>
        <v/>
      </c>
      <c r="O433" s="25">
        <f>IFERROR(__xludf.DUMMYFUNCTION("LET(
  gen,$A433, ev,$B433, t,$N433,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)"),815.0)</f>
        <v/>
      </c>
      <c r="P433" s="65" t="n"/>
      <c r="Q433" s="65" t="n"/>
      <c r="R433" s="69" t="n"/>
      <c r="S433" s="65" t="n"/>
      <c r="T433" s="69" t="n"/>
      <c r="U433" s="58" t="n"/>
      <c r="V433" s="69" t="n"/>
      <c r="W433" s="65" t="n"/>
      <c r="X433" s="65" t="n"/>
      <c r="Y433" s="65" t="n"/>
    </row>
    <row r="434">
      <c r="A434" s="8" t="inlineStr">
        <is>
          <t>M</t>
        </is>
      </c>
      <c r="B434" s="9" t="inlineStr">
        <is>
          <t>200 Fly</t>
        </is>
      </c>
      <c r="C434" s="9" t="n">
        <v>15</v>
      </c>
      <c r="D434" s="9" t="n">
        <v>1</v>
      </c>
      <c r="E434" s="43" t="inlineStr">
        <is>
          <t>2:07.69</t>
        </is>
      </c>
      <c r="F434" s="35">
        <f>IFERROR(__xludf.DUMMYFUNCTION("IF(
  REGEXMATCH(E434, "":""),
  60*VALUE(INDEX(SPLIT(E434, "":""),1,1)) + VALUE(INDEX(SPLIT(E434, "":""),1,2)),
  VALUE(E434)
)"),127.69)</f>
        <v/>
      </c>
      <c r="G434" s="43">
        <f>C434</f>
        <v/>
      </c>
      <c r="H434" s="43">
        <f>C443</f>
        <v/>
      </c>
      <c r="I434" s="43">
        <f>C448</f>
        <v/>
      </c>
      <c r="J434" s="43">
        <f>C451</f>
        <v/>
      </c>
      <c r="K434" s="43">
        <f>IFS(H434=21,1,I434=21,2,J434=21,3,and(H434=20,I434=22),1.5, and(I434=20,J434=22),2.5,H434&gt;21,0.5)</f>
        <v/>
      </c>
      <c r="L434" s="43">
        <f t="array" ref="L434">INDEX('Podium Target Times'!$C:$C, MATCH(A434&amp;B434, 'Podium Target Times'!$A:$A&amp;'Podium Target Times'!$B:$B, 0))
</f>
        <v/>
      </c>
      <c r="M434" s="64">
        <f>IFS(K434=0.5,M435+(F434-F435),K434=1,M435+(F434-F435), K434=1.5, M435+(F434-F435), K434=2, M435+(F434-F435), K434=2.5, M435+(F434-F435), K434=3, M435+(F434-F435))</f>
        <v/>
      </c>
      <c r="N434" s="43">
        <f>IF(M434&lt;60, TEXT(M434, "0.00"), TEXT(M434/(24*60*60), "M:SS.00"))</f>
        <v/>
      </c>
      <c r="O434" s="14">
        <f>IFERROR(__xludf.DUMMYFUNCTION("LET(
  gen,$A434, ev,$B434, t,$N434,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)"),567.0)</f>
        <v/>
      </c>
      <c r="P434" s="65" t="n"/>
      <c r="Q434" s="65" t="n"/>
      <c r="R434" s="69">
        <f>A434</f>
        <v/>
      </c>
      <c r="S434" s="65">
        <f>B434</f>
        <v/>
      </c>
      <c r="T434" s="69">
        <f>C434</f>
        <v/>
      </c>
      <c r="U434" s="58">
        <f>N434</f>
        <v/>
      </c>
      <c r="V434" s="69">
        <f>O434</f>
        <v/>
      </c>
      <c r="W434" s="65" t="n"/>
      <c r="X434" s="65" t="n"/>
      <c r="Y434" s="65" t="n"/>
    </row>
    <row r="435">
      <c r="A435" s="17" t="inlineStr">
        <is>
          <t>M</t>
        </is>
      </c>
      <c r="B435" s="18" t="inlineStr">
        <is>
          <t>200 Fly</t>
        </is>
      </c>
      <c r="C435" s="18" t="n">
        <v>16</v>
      </c>
      <c r="D435" s="18" t="n">
        <v>1</v>
      </c>
      <c r="E435" s="60" t="inlineStr">
        <is>
          <t>2:03.12</t>
        </is>
      </c>
      <c r="F435" s="21">
        <f>IFERROR(__xludf.DUMMYFUNCTION("IF(
  REGEXMATCH(E435, "":""),
  60*VALUE(INDEX(SPLIT(E435, "":""),1,1)) + VALUE(INDEX(SPLIT(E435, "":""),1,2)),
  VALUE(E435)
)"),123.12)</f>
        <v/>
      </c>
      <c r="G435" s="211">
        <f>C434</f>
        <v/>
      </c>
      <c r="H435" s="211">
        <f>C443</f>
        <v/>
      </c>
      <c r="I435" s="211">
        <f>C448</f>
        <v/>
      </c>
      <c r="J435" s="211">
        <f>C451</f>
        <v/>
      </c>
      <c r="K435" s="60">
        <f>IFS(H435=21,1,I435=21,2,J435=21,3,and(H435=20,I435=22),1.5, and(I435=20,J435=22),2.5,H435&gt;21,0.5)</f>
        <v/>
      </c>
      <c r="L435" s="60">
        <f t="array" ref="L435">INDEX('Podium Target Times'!$C:$C, MATCH(A435&amp;B435, 'Podium Target Times'!$A:$A&amp;'Podium Target Times'!$B:$B, 0))
</f>
        <v/>
      </c>
      <c r="M435" s="66">
        <f>IFS(K435=0.5,M436+(F435-F437),K435=1,M436+(F435-F437), K435=1.5, M437+(F436-F438), K435=2, M437+(F436-F438), K435=2.5, M437+(F436-F438), K435=3, M437+(F436-F438))</f>
        <v/>
      </c>
      <c r="N435" s="60">
        <f>IF(M435&lt;60, TEXT(M435, "0.00"), TEXT(M435/(24*60*60), "M:SS.00"))</f>
        <v/>
      </c>
      <c r="O435" s="25">
        <f>IFERROR(__xludf.DUMMYFUNCTION("LET(
  gen,$A435, ev,$B435, t,$N435,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
      </c>
      <c r="P435" s="65" t="n"/>
      <c r="Q435" s="65" t="n"/>
      <c r="R435" s="69">
        <f>A435</f>
        <v/>
      </c>
      <c r="S435" s="65">
        <f>B435</f>
        <v/>
      </c>
      <c r="T435" s="69">
        <f>C435</f>
        <v/>
      </c>
      <c r="U435" s="58">
        <f>N435</f>
        <v/>
      </c>
      <c r="V435" s="69">
        <f>O435</f>
        <v/>
      </c>
      <c r="W435" s="65" t="n"/>
      <c r="X435" s="65" t="n"/>
      <c r="Y435" s="65" t="n"/>
    </row>
    <row r="436">
      <c r="A436" s="8" t="inlineStr">
        <is>
          <t>M</t>
        </is>
      </c>
      <c r="B436" s="9" t="inlineStr">
        <is>
          <t>200 Fly</t>
        </is>
      </c>
      <c r="C436" s="9" t="n">
        <v>16</v>
      </c>
      <c r="D436" s="9" t="n">
        <v>2</v>
      </c>
      <c r="E436" s="41" t="inlineStr">
        <is>
          <t>2:04.65</t>
        </is>
      </c>
      <c r="F436" s="35">
        <f>IFERROR(__xludf.DUMMYFUNCTION("IF(
  REGEXMATCH(E436, "":""),
  60*VALUE(INDEX(SPLIT(E436, "":""),1,1)) + VALUE(INDEX(SPLIT(E436, "":""),1,2)),
  VALUE(E436)
)"),124.65)</f>
        <v/>
      </c>
      <c r="G436" s="215">
        <f>C434</f>
        <v/>
      </c>
      <c r="H436" s="215">
        <f>C443</f>
        <v/>
      </c>
      <c r="I436" s="215">
        <f>C448</f>
        <v/>
      </c>
      <c r="J436" s="215">
        <f>C451</f>
        <v/>
      </c>
      <c r="K436" s="43">
        <f>IFS(H436=21,1,I436=21,2,J436=21,3,and(H436=20,I436=22),1.5, and(I436=20,J436=22),2.5,H436&gt;21,0.5)</f>
        <v/>
      </c>
      <c r="L436" s="43">
        <f t="array" ref="L436">INDEX('Podium Target Times'!$C:$C, MATCH(A436&amp;B436, 'Podium Target Times'!$A:$A&amp;'Podium Target Times'!$B:$B, 0))
</f>
        <v/>
      </c>
      <c r="M436" s="64">
        <f>IFS(K436=0.5,M437+(F436-F439),K436=1,M437+(F436-F439), K436=1.5, M437+(F436-F438), K436=2, M437+(F436-F438), K436=2.5, M437+(F436-F438), K436=3, M437+(F436-F438))</f>
        <v/>
      </c>
      <c r="N436" s="43">
        <f>IF(M436&lt;60, TEXT(M436, "0.00"), TEXT(M436/(24*60*60), "M:SS.00"))</f>
        <v/>
      </c>
      <c r="O436" s="14">
        <f>IFERROR(__xludf.DUMMYFUNCTION("LET(
  gen,$A436, ev,$B436, t,$N436,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)"),629.0)</f>
        <v/>
      </c>
      <c r="P436" s="65" t="n"/>
      <c r="Q436" s="65" t="n"/>
      <c r="R436" s="69">
        <f>A437</f>
        <v/>
      </c>
      <c r="S436" s="65">
        <f>B437</f>
        <v/>
      </c>
      <c r="T436" s="69">
        <f>C437</f>
        <v/>
      </c>
      <c r="U436" s="58">
        <f>N437</f>
        <v/>
      </c>
      <c r="V436" s="69">
        <f>O437</f>
        <v/>
      </c>
      <c r="W436" s="65" t="n"/>
      <c r="X436" s="65" t="n"/>
      <c r="Y436" s="65" t="n"/>
    </row>
    <row r="437">
      <c r="A437" s="17" t="inlineStr">
        <is>
          <t>M</t>
        </is>
      </c>
      <c r="B437" s="18" t="inlineStr">
        <is>
          <t>200 Fly</t>
        </is>
      </c>
      <c r="C437" s="18" t="n">
        <v>17</v>
      </c>
      <c r="D437" s="18" t="n">
        <v>1</v>
      </c>
      <c r="E437" s="46" t="inlineStr">
        <is>
          <t>1:59.88</t>
        </is>
      </c>
      <c r="F437" s="21">
        <f>IFERROR(__xludf.DUMMYFUNCTION("IF(
  REGEXMATCH(E437, "":""),
  60*VALUE(INDEX(SPLIT(E437, "":""),1,1)) + VALUE(INDEX(SPLIT(E437, "":""),1,2)),
  VALUE(E437)
)"),119.88)</f>
        <v/>
      </c>
      <c r="G437" s="211">
        <f>C434</f>
        <v/>
      </c>
      <c r="H437" s="211">
        <f>C443</f>
        <v/>
      </c>
      <c r="I437" s="211">
        <f>C448</f>
        <v/>
      </c>
      <c r="J437" s="211">
        <f>C451</f>
        <v/>
      </c>
      <c r="K437" s="60">
        <f>IFS(H437=21,1,I437=21,2,J437=21,3,and(H437=20,I437=22),1.5, and(I437=20,J437=22),2.5,H437&gt;21,0.5)</f>
        <v/>
      </c>
      <c r="L437" s="60">
        <f t="array" ref="L437">INDEX('Podium Target Times'!$C:$C, MATCH(A437&amp;B437, 'Podium Target Times'!$A:$A&amp;'Podium Target Times'!$B:$B, 0))
</f>
        <v/>
      </c>
      <c r="M437" s="66">
        <f>IFS(K437=0.5,M438+(F437-F440),K437=1,M438+(F437-F440), K437=1.5, M440+(F438-F441), K437=2, M440+(F438-F441), K437=2.5, M440+(F439-F442), K437=3, M440+(F439-F442))</f>
        <v/>
      </c>
      <c r="N437" s="60">
        <f>IF(M437&lt;60, TEXT(M437, "0.00"), TEXT(M437/(24*60*60), "M:SS.00"))</f>
        <v/>
      </c>
      <c r="O437" s="25">
        <f>IFERROR(__xludf.DUMMYFUNCTION("LET(
  gen,$A437, ev,$B437, t,$N437,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
      </c>
      <c r="P437" s="65" t="n"/>
      <c r="Q437" s="65" t="n"/>
      <c r="R437" s="69">
        <f>A440</f>
        <v/>
      </c>
      <c r="S437" s="65">
        <f>B440</f>
        <v/>
      </c>
      <c r="T437" s="69">
        <f>C440</f>
        <v/>
      </c>
      <c r="U437" s="58">
        <f>N440</f>
        <v/>
      </c>
      <c r="V437" s="69">
        <f>O440</f>
        <v/>
      </c>
      <c r="W437" s="65" t="n"/>
      <c r="X437" s="65" t="n"/>
      <c r="Y437" s="65" t="n"/>
    </row>
    <row r="438">
      <c r="A438" s="8" t="inlineStr">
        <is>
          <t>M</t>
        </is>
      </c>
      <c r="B438" s="9" t="inlineStr">
        <is>
          <t>200 Fly</t>
        </is>
      </c>
      <c r="C438" s="9" t="n">
        <v>17</v>
      </c>
      <c r="D438" s="9" t="n">
        <v>2</v>
      </c>
      <c r="E438" s="41" t="inlineStr">
        <is>
          <t>2:01.37</t>
        </is>
      </c>
      <c r="F438" s="35">
        <f>IFERROR(__xludf.DUMMYFUNCTION("IF(
  REGEXMATCH(E438, "":""),
  60*VALUE(INDEX(SPLIT(E438, "":""),1,1)) + VALUE(INDEX(SPLIT(E438, "":""),1,2)),
  VALUE(E438)
)"),121.37)</f>
        <v/>
      </c>
      <c r="G438" s="215">
        <f>C434</f>
        <v/>
      </c>
      <c r="H438" s="215">
        <f>C443</f>
        <v/>
      </c>
      <c r="I438" s="215">
        <f>C448</f>
        <v/>
      </c>
      <c r="J438" s="215">
        <f>C451</f>
        <v/>
      </c>
      <c r="K438" s="43">
        <f>IFS(H438=21,1,I438=21,2,J438=21,3,and(H438=20,I438=22),1.5, and(I438=20,J438=22),2.5,H438&gt;21,0.5)</f>
        <v/>
      </c>
      <c r="L438" s="43">
        <f t="array" ref="L438">INDEX('Podium Target Times'!$C:$C, MATCH(A438&amp;B438, 'Podium Target Times'!$A:$A&amp;'Podium Target Times'!$B:$B, 0))
</f>
        <v/>
      </c>
      <c r="M438" s="64">
        <f>IFS(K438=0.5,M439+(F437-F440),K438=1,M439+(F437-F440), K438=1.5, M440+(F438-F441), K438=2, M440+(F438-F441), K438=2.5, M440+(F439-F442), K438=3, M440+(F439-F442))</f>
        <v/>
      </c>
      <c r="N438" s="43">
        <f>IF(M438&lt;60, TEXT(M438, "0.00"), TEXT(M438/(24*60*60), "M:SS.00"))</f>
        <v/>
      </c>
      <c r="O438" s="14">
        <f>IFERROR(__xludf.DUMMYFUNCTION("LET(
  gen,$A438, ev,$B438, t,$N438,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
      </c>
      <c r="P438" s="65" t="n"/>
      <c r="Q438" s="65" t="n"/>
      <c r="R438" s="69">
        <f>A443</f>
        <v/>
      </c>
      <c r="S438" s="65">
        <f>B443</f>
        <v/>
      </c>
      <c r="T438" s="69">
        <f>C443</f>
        <v/>
      </c>
      <c r="U438" s="58">
        <f>N443</f>
        <v/>
      </c>
      <c r="V438" s="69">
        <f>O443</f>
        <v/>
      </c>
      <c r="W438" s="65" t="n"/>
      <c r="X438" s="65" t="n"/>
      <c r="Y438" s="65" t="n"/>
    </row>
    <row r="439">
      <c r="A439" s="17" t="inlineStr">
        <is>
          <t>M</t>
        </is>
      </c>
      <c r="B439" s="18" t="inlineStr">
        <is>
          <t>200 Fly</t>
        </is>
      </c>
      <c r="C439" s="18" t="n">
        <v>17</v>
      </c>
      <c r="D439" s="18" t="n">
        <v>3</v>
      </c>
      <c r="E439" s="46" t="inlineStr">
        <is>
          <t>2:01.77</t>
        </is>
      </c>
      <c r="F439" s="21">
        <f>IFERROR(__xludf.DUMMYFUNCTION("IF(
  REGEXMATCH(E439, "":""),
  60*VALUE(INDEX(SPLIT(E439, "":""),1,1)) + VALUE(INDEX(SPLIT(E439, "":""),1,2)),
  VALUE(E439)
)"),121.77)</f>
        <v/>
      </c>
      <c r="G439" s="211">
        <f>C434</f>
        <v/>
      </c>
      <c r="H439" s="211">
        <f>C443</f>
        <v/>
      </c>
      <c r="I439" s="211">
        <f>C448</f>
        <v/>
      </c>
      <c r="J439" s="211">
        <f>C451</f>
        <v/>
      </c>
      <c r="K439" s="60">
        <f>IFS(H439=21,1,I439=21,2,J439=21,3,and(H439=20,I439=22),1.5, and(I439=20,J439=22),2.5,H439&gt;21,0.5)</f>
        <v/>
      </c>
      <c r="L439" s="60">
        <f t="array" ref="L439">INDEX('Podium Target Times'!$C:$C, MATCH(A439&amp;B439, 'Podium Target Times'!$A:$A&amp;'Podium Target Times'!$B:$B, 0))
</f>
        <v/>
      </c>
      <c r="M439" s="66">
        <f>IFS(K439=0.5,M440+(F437-F440),K439=1,M440+(F437-F440), K439=1.5, M440+(F438-F441), K439=2, M440+(F438-F441), K439=2.5, M440+(F439-F442), K439=3, M440+(F439-F442))</f>
        <v/>
      </c>
      <c r="N439" s="60">
        <f>IF(M439&lt;60, TEXT(M439, "0.00"), TEXT(M439/(24*60*60), "M:SS.00"))</f>
        <v/>
      </c>
      <c r="O439" s="25">
        <f>IFERROR(__xludf.DUMMYFUNCTION("LET(
  gen,$A439, ev,$B439, t,$N439,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
      </c>
      <c r="P439" s="65" t="n"/>
      <c r="Q439" s="65" t="n"/>
      <c r="R439" s="69">
        <f>A446</f>
        <v/>
      </c>
      <c r="S439" s="65">
        <f>B446</f>
        <v/>
      </c>
      <c r="T439" s="69">
        <f>C446</f>
        <v/>
      </c>
      <c r="U439" s="58">
        <f>N446</f>
        <v/>
      </c>
      <c r="V439" s="69">
        <f>O446</f>
        <v/>
      </c>
      <c r="W439" s="65" t="n"/>
      <c r="X439" s="65" t="n"/>
      <c r="Y439" s="65" t="n"/>
    </row>
    <row r="440">
      <c r="A440" s="8" t="inlineStr">
        <is>
          <t>M</t>
        </is>
      </c>
      <c r="B440" s="9" t="inlineStr">
        <is>
          <t>200 Fly</t>
        </is>
      </c>
      <c r="C440" s="9" t="n">
        <v>18</v>
      </c>
      <c r="D440" s="9" t="n">
        <v>1</v>
      </c>
      <c r="E440" s="41" t="inlineStr">
        <is>
          <t>1:57.84</t>
        </is>
      </c>
      <c r="F440" s="35">
        <f>IFERROR(__xludf.DUMMYFUNCTION("IF(
  REGEXMATCH(E440, "":""),
  60*VALUE(INDEX(SPLIT(E440, "":""),1,1)) + VALUE(INDEX(SPLIT(E440, "":""),1,2)),
  VALUE(E440)
)"),117.84)</f>
        <v/>
      </c>
      <c r="G440" s="215">
        <f>C434</f>
        <v/>
      </c>
      <c r="H440" s="215">
        <f>C443</f>
        <v/>
      </c>
      <c r="I440" s="215">
        <f>C448</f>
        <v/>
      </c>
      <c r="J440" s="215">
        <f>C451</f>
        <v/>
      </c>
      <c r="K440" s="43">
        <f>IFS(H440=21,1,I440=21,2,J440=21,3,and(H440=20,I440=22),1.5, and(I440=20,J440=22),2.5,H440&gt;21,0.5)</f>
        <v/>
      </c>
      <c r="L440" s="43">
        <f t="array" ref="L440">INDEX('Podium Target Times'!$C:$C, MATCH(A440&amp;B440, 'Podium Target Times'!$A:$A&amp;'Podium Target Times'!$B:$B, 0))
</f>
        <v/>
      </c>
      <c r="M440" s="64">
        <f>IFS(K440=0.5,L440,K440=1,U438+(F440-F443), K440=1.5, M443+(F441-F444), K440=2, M443+(F441-F444), K440=2.5, M443+(F442-F445), K440=3, M443+(F442-F445))</f>
        <v/>
      </c>
      <c r="N440" s="43">
        <f>IF(M440&lt;60, TEXT(M440, "0.00"), TEXT(M440/(24*60*60), "M:SS.00"))</f>
        <v/>
      </c>
      <c r="O440" s="14">
        <f>IFERROR(__xludf.DUMMYFUNCTION("LET(
  gen,$A440, ev,$B440, t,$N440,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P440" s="65" t="n"/>
      <c r="Q440" s="65" t="n"/>
      <c r="R440" s="69">
        <f>A448</f>
        <v/>
      </c>
      <c r="S440" s="65">
        <f>B448</f>
        <v/>
      </c>
      <c r="T440" s="69">
        <f>C448</f>
        <v/>
      </c>
      <c r="U440" s="58">
        <f>N448</f>
        <v/>
      </c>
      <c r="V440" s="69">
        <f>O448</f>
        <v/>
      </c>
      <c r="W440" s="65" t="n"/>
      <c r="X440" s="65" t="n"/>
      <c r="Y440" s="65" t="n"/>
    </row>
    <row r="441">
      <c r="A441" s="17" t="inlineStr">
        <is>
          <t>M</t>
        </is>
      </c>
      <c r="B441" s="18" t="inlineStr">
        <is>
          <t>200 Fly</t>
        </is>
      </c>
      <c r="C441" s="18" t="n">
        <v>18</v>
      </c>
      <c r="D441" s="18" t="n">
        <v>2</v>
      </c>
      <c r="E441" s="46" t="inlineStr">
        <is>
          <t>1:59.30</t>
        </is>
      </c>
      <c r="F441" s="21">
        <f>IFERROR(__xludf.DUMMYFUNCTION("IF(
  REGEXMATCH(E441, "":""),
  60*VALUE(INDEX(SPLIT(E441, "":""),1,1)) + VALUE(INDEX(SPLIT(E441, "":""),1,2)),
  VALUE(E441)
)"),119.3)</f>
        <v/>
      </c>
      <c r="G441" s="211">
        <f>C434</f>
        <v/>
      </c>
      <c r="H441" s="211">
        <f>C443</f>
        <v/>
      </c>
      <c r="I441" s="211">
        <f>C448</f>
        <v/>
      </c>
      <c r="J441" s="211">
        <f>C451</f>
        <v/>
      </c>
      <c r="K441" s="60">
        <f>IFS(H441=21,1,I441=21,2,J441=21,3,and(H441=20,I441=22),1.5, and(I441=20,J441=22),2.5,H441&gt;21,0.5)</f>
        <v/>
      </c>
      <c r="L441" s="60">
        <f t="array" ref="L441">INDEX('Podium Target Times'!$C:$C, MATCH(A441&amp;B441, 'Podium Target Times'!$A:$A&amp;'Podium Target Times'!$B:$B, 0))
</f>
        <v/>
      </c>
      <c r="M441" s="66">
        <f>IFS(K441=0.5,L441,K441=1,U438+(F440-F443), K441=1.5, M443+(F441-F444), K441=2, M443+(F441-F444), K441=2.5, M443+(F442-F445), K441=3, M443+(F442-F445))</f>
        <v/>
      </c>
      <c r="N441" s="60">
        <f>IF(M441&lt;60, TEXT(M441, "0.00"), TEXT(M441/(24*60*60), "M:SS.00"))</f>
        <v/>
      </c>
      <c r="O441" s="25">
        <f>IFERROR(__xludf.DUMMYFUNCTION("LET(
  gen,$A441, ev,$B441, t,$N441,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P441" s="65" t="n"/>
      <c r="Q441" s="65" t="n"/>
      <c r="R441" s="69" t="n"/>
      <c r="S441" s="65" t="n"/>
      <c r="T441" s="69" t="n"/>
      <c r="U441" s="58" t="n"/>
      <c r="V441" s="69" t="n"/>
      <c r="W441" s="65" t="n"/>
      <c r="X441" s="65" t="n"/>
      <c r="Y441" s="65" t="n"/>
    </row>
    <row r="442">
      <c r="A442" s="8" t="inlineStr">
        <is>
          <t>M</t>
        </is>
      </c>
      <c r="B442" s="9" t="inlineStr">
        <is>
          <t>200 Fly</t>
        </is>
      </c>
      <c r="C442" s="9" t="n">
        <v>18</v>
      </c>
      <c r="D442" s="9" t="n">
        <v>3</v>
      </c>
      <c r="E442" s="41" t="inlineStr">
        <is>
          <t>1:59.70</t>
        </is>
      </c>
      <c r="F442" s="35">
        <f>IFERROR(__xludf.DUMMYFUNCTION("IF(
  REGEXMATCH(E442, "":""),
  60*VALUE(INDEX(SPLIT(E442, "":""),1,1)) + VALUE(INDEX(SPLIT(E442, "":""),1,2)),
  VALUE(E442)
)"),119.7)</f>
        <v/>
      </c>
      <c r="G442" s="215">
        <f>C434</f>
        <v/>
      </c>
      <c r="H442" s="215">
        <f>C443</f>
        <v/>
      </c>
      <c r="I442" s="215">
        <f>C448</f>
        <v/>
      </c>
      <c r="J442" s="215">
        <f>C451</f>
        <v/>
      </c>
      <c r="K442" s="43">
        <f>IFS(H442=21,1,I442=21,2,J442=21,3,and(H442=20,I442=22),1.5, and(I442=20,J442=22),2.5,H442&gt;21,0.5)</f>
        <v/>
      </c>
      <c r="L442" s="43">
        <f t="array" ref="L442">INDEX('Podium Target Times'!$C:$C, MATCH(A442&amp;B442, 'Podium Target Times'!$A:$A&amp;'Podium Target Times'!$B:$B, 0))
</f>
        <v/>
      </c>
      <c r="M442" s="64">
        <f>IFS(K442=0.5,L442,K442=1,U438+(F440-F443), K442=1.5, M443+(F441-F444), K442=2, M443+(F441-F444), K442=2.5, M443+(F442-F445), K442=3, M443+(F442-F445))</f>
        <v/>
      </c>
      <c r="N442" s="43">
        <f>IF(M442&lt;60, TEXT(M442, "0.00"), TEXT(M442/(24*60*60), "M:SS.00"))</f>
        <v/>
      </c>
      <c r="O442" s="14">
        <f>IFERROR(__xludf.DUMMYFUNCTION("LET(
  gen,$A442, ev,$B442, t,$N442,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)"),715.0)</f>
        <v/>
      </c>
      <c r="P442" s="65" t="n"/>
      <c r="Q442" s="65" t="n"/>
      <c r="R442" s="69" t="n"/>
      <c r="S442" s="65" t="n"/>
      <c r="T442" s="69" t="n"/>
      <c r="U442" s="58" t="n"/>
      <c r="V442" s="69" t="n"/>
      <c r="W442" s="65" t="n"/>
      <c r="X442" s="65" t="n"/>
      <c r="Y442" s="65" t="n"/>
    </row>
    <row r="443">
      <c r="A443" s="17" t="inlineStr">
        <is>
          <t>M</t>
        </is>
      </c>
      <c r="B443" s="18" t="inlineStr">
        <is>
          <t>200 Fly</t>
        </is>
      </c>
      <c r="C443" s="18" t="n">
        <v>19</v>
      </c>
      <c r="D443" s="18" t="n">
        <v>1</v>
      </c>
      <c r="E443" s="46" t="inlineStr">
        <is>
          <t>1:56.51</t>
        </is>
      </c>
      <c r="F443" s="21">
        <f>IFERROR(__xludf.DUMMYFUNCTION("IF(
  REGEXMATCH(E443, "":""),
  60*VALUE(INDEX(SPLIT(E443, "":""),1,1)) + VALUE(INDEX(SPLIT(E443, "":""),1,2)),
  VALUE(E443)
)"),116.50999999999999)</f>
        <v/>
      </c>
      <c r="G443" s="211">
        <f>C434</f>
        <v/>
      </c>
      <c r="H443" s="211">
        <f>C443</f>
        <v/>
      </c>
      <c r="I443" s="211">
        <f>C448</f>
        <v/>
      </c>
      <c r="J443" s="211">
        <f>C451</f>
        <v/>
      </c>
      <c r="K443" s="60">
        <f>IFS(H443=21,1,I443=21,2,J443=21,3,and(H443=20,I443=22),1.5, and(I443=20,J443=22),2.5,H443&gt;21,0.5)</f>
        <v/>
      </c>
      <c r="L443" s="60">
        <f t="array" ref="L443">INDEX('Podium Target Times'!$C:$C, MATCH(A443&amp;B443, 'Podium Target Times'!$A:$A&amp;'Podium Target Times'!$B:$B, 0))
</f>
        <v/>
      </c>
      <c r="M443" s="66">
        <f>IFS(K443=0.5,L443,K443=1,L443, K443=1.5, M446+(F444-F446), K443=2, M446+(F444-F446), K443=2.5, M446+(F445-F447), K443=3, M446+(F445-F447))</f>
        <v/>
      </c>
      <c r="N443" s="60">
        <f>IF(M443&lt;60, TEXT(M443, "0.00"), TEXT(M443/(24*60*60), "M:SS.00"))</f>
        <v/>
      </c>
      <c r="O443" s="25">
        <f>IFERROR(__xludf.DUMMYFUNCTION("LET(
  gen,$A443, ev,$B443, t,$N443,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443" s="65" t="n"/>
      <c r="Q443" s="65" t="n"/>
      <c r="R443" s="69" t="n"/>
      <c r="S443" s="65" t="n"/>
      <c r="T443" s="69" t="n"/>
      <c r="U443" s="58" t="n"/>
      <c r="V443" s="69" t="n"/>
      <c r="W443" s="65" t="n"/>
      <c r="X443" s="65" t="n"/>
      <c r="Y443" s="65" t="n"/>
    </row>
    <row r="444">
      <c r="A444" s="8" t="inlineStr">
        <is>
          <t>M</t>
        </is>
      </c>
      <c r="B444" s="9" t="inlineStr">
        <is>
          <t>200 Fly</t>
        </is>
      </c>
      <c r="C444" s="9" t="n">
        <v>19</v>
      </c>
      <c r="D444" s="9" t="n">
        <v>2</v>
      </c>
      <c r="E444" s="41" t="inlineStr">
        <is>
          <t>1:57.95</t>
        </is>
      </c>
      <c r="F444" s="35">
        <f>IFERROR(__xludf.DUMMYFUNCTION("IF(
  REGEXMATCH(E444, "":""),
  60*VALUE(INDEX(SPLIT(E444, "":""),1,1)) + VALUE(INDEX(SPLIT(E444, "":""),1,2)),
  VALUE(E444)
)"),117.95)</f>
        <v/>
      </c>
      <c r="G444" s="215">
        <f>C434</f>
        <v/>
      </c>
      <c r="H444" s="215">
        <f>C443</f>
        <v/>
      </c>
      <c r="I444" s="215">
        <f>C448</f>
        <v/>
      </c>
      <c r="J444" s="215">
        <f>C451</f>
        <v/>
      </c>
      <c r="K444" s="43">
        <f>IFS(H444=21,1,I444=21,2,J444=21,3,and(H444=20,I444=22),1.5, and(I444=20,J444=22),2.5,H444&gt;21,0.5)</f>
        <v/>
      </c>
      <c r="L444" s="43">
        <f t="array" ref="L444">INDEX('Podium Target Times'!$C:$C, MATCH(A444&amp;B444, 'Podium Target Times'!$A:$A&amp;'Podium Target Times'!$B:$B, 0))
</f>
        <v/>
      </c>
      <c r="M444" s="64">
        <f>IFS(K444=0.5,L444,K444=1,L444, K444=1.5, M446+(F444-F446), K444=2, M446+(F444-F446), K444=2.5, M446+(F445-F447), K444=3, M446+(F445-F447))</f>
        <v/>
      </c>
      <c r="N444" s="43">
        <f>IF(M444&lt;60, TEXT(M444, "0.00"), TEXT(M444/(24*60*60), "M:SS.00"))</f>
        <v/>
      </c>
      <c r="O444" s="14">
        <f>IFERROR(__xludf.DUMMYFUNCTION("LET(
  gen,$A444, ev,$B444, t,$N444,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444" s="65" t="n"/>
      <c r="Q444" s="65" t="n"/>
      <c r="R444" s="69" t="n"/>
      <c r="S444" s="65" t="n"/>
      <c r="T444" s="69" t="n"/>
      <c r="U444" s="58" t="n"/>
      <c r="V444" s="69" t="n"/>
      <c r="W444" s="65" t="n"/>
      <c r="X444" s="65" t="n"/>
      <c r="Y444" s="65" t="n"/>
    </row>
    <row r="445">
      <c r="A445" s="17" t="inlineStr">
        <is>
          <t>M</t>
        </is>
      </c>
      <c r="B445" s="18" t="inlineStr">
        <is>
          <t>200 Fly</t>
        </is>
      </c>
      <c r="C445" s="18" t="n">
        <v>19</v>
      </c>
      <c r="D445" s="18" t="n">
        <v>3</v>
      </c>
      <c r="E445" s="46" t="inlineStr">
        <is>
          <t>1:58.35</t>
        </is>
      </c>
      <c r="F445" s="21">
        <f>IFERROR(__xludf.DUMMYFUNCTION("IF(
  REGEXMATCH(E445, "":""),
  60*VALUE(INDEX(SPLIT(E445, "":""),1,1)) + VALUE(INDEX(SPLIT(E445, "":""),1,2)),
  VALUE(E445)
)"),118.35)</f>
        <v/>
      </c>
      <c r="G445" s="211">
        <f>C434</f>
        <v/>
      </c>
      <c r="H445" s="211">
        <f>C443</f>
        <v/>
      </c>
      <c r="I445" s="211">
        <f>C448</f>
        <v/>
      </c>
      <c r="J445" s="211">
        <f>C451</f>
        <v/>
      </c>
      <c r="K445" s="60">
        <f>IFS(H445=21,1,I445=21,2,J445=21,3,and(H445=20,I445=22),1.5, and(I445=20,J445=22),2.5,H445&gt;21,0.5)</f>
        <v/>
      </c>
      <c r="L445" s="60">
        <f t="array" ref="L445">INDEX('Podium Target Times'!$C:$C, MATCH(A445&amp;B445, 'Podium Target Times'!$A:$A&amp;'Podium Target Times'!$B:$B, 0))
</f>
        <v/>
      </c>
      <c r="M445" s="66">
        <f>IFS(K445=0.5,L445,K445=1,L445, K445=1.5, M446+(F444-F446), K445=2, M446+(F444-F446), K445=2.5, M446+(F445-F447), K445=3, M446+(F445-F447))</f>
        <v/>
      </c>
      <c r="N445" s="60">
        <f>IF(M445&lt;60, TEXT(M445, "0.00"), TEXT(M445/(24*60*60), "M:SS.00"))</f>
        <v/>
      </c>
      <c r="O445" s="25">
        <f>IFERROR(__xludf.DUMMYFUNCTION("LET(
  gen,$A445, ev,$B445, t,$N445,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P445" s="65" t="n"/>
      <c r="Q445" s="65" t="n"/>
      <c r="R445" s="69" t="n"/>
      <c r="S445" s="65" t="n"/>
      <c r="T445" s="69" t="n"/>
      <c r="U445" s="58" t="n"/>
      <c r="V445" s="69" t="n"/>
      <c r="W445" s="65" t="n"/>
      <c r="X445" s="65" t="n"/>
      <c r="Y445" s="65" t="n"/>
    </row>
    <row r="446">
      <c r="A446" s="8" t="inlineStr">
        <is>
          <t>M</t>
        </is>
      </c>
      <c r="B446" s="9" t="inlineStr">
        <is>
          <t>200 Fly</t>
        </is>
      </c>
      <c r="C446" s="9" t="n">
        <v>20</v>
      </c>
      <c r="D446" s="9" t="n">
        <v>2</v>
      </c>
      <c r="E446" s="41" t="inlineStr">
        <is>
          <t>1:57.06</t>
        </is>
      </c>
      <c r="F446" s="35">
        <f>IFERROR(__xludf.DUMMYFUNCTION("IF(
  REGEXMATCH(E446, "":""),
  60*VALUE(INDEX(SPLIT(E446, "":""),1,1)) + VALUE(INDEX(SPLIT(E446, "":""),1,2)),
  VALUE(E446)
)"),117.06)</f>
        <v/>
      </c>
      <c r="G446" s="215">
        <f>C434</f>
        <v/>
      </c>
      <c r="H446" s="215">
        <f>C443</f>
        <v/>
      </c>
      <c r="I446" s="215">
        <f>C448</f>
        <v/>
      </c>
      <c r="J446" s="215">
        <f>C451</f>
        <v/>
      </c>
      <c r="K446" s="43">
        <f>IFS(H446=21,1,I446=21,2,J446=21,3,and(H446=20,I446=22),1.5, and(I446=20,J446=22),2.5,H446&gt;21,0.5)</f>
        <v/>
      </c>
      <c r="L446" s="43">
        <f t="array" ref="L446">INDEX('Podium Target Times'!$C:$C, MATCH(A446&amp;B446, 'Podium Target Times'!$A:$A&amp;'Podium Target Times'!$B:$B, 0))
</f>
        <v/>
      </c>
      <c r="M446" s="64">
        <f>IFS(K446=0.5,L446,K446=1,L446, K446=1.5, L446, K446=2, M448+(F446-F448), K446=2.5, M448+(F447-F449), K446=3, M448+(F447-F449))</f>
        <v/>
      </c>
      <c r="N446" s="43">
        <f>IF(M446&lt;60, TEXT(M446, "0.00"), TEXT(M446/(24*60*60), "M:SS.00"))</f>
        <v/>
      </c>
      <c r="O446" s="14">
        <f>IFERROR(__xludf.DUMMYFUNCTION("LET(
  gen,$A446, ev,$B446, t,$N446,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446" s="65" t="n"/>
      <c r="Q446" s="65" t="n"/>
      <c r="R446" s="69" t="n"/>
      <c r="S446" s="65" t="n"/>
      <c r="T446" s="69" t="n"/>
      <c r="U446" s="58" t="n"/>
      <c r="V446" s="69" t="n"/>
      <c r="W446" s="65" t="n"/>
      <c r="X446" s="65" t="n"/>
      <c r="Y446" s="65" t="n"/>
    </row>
    <row r="447">
      <c r="A447" s="17" t="inlineStr">
        <is>
          <t>M</t>
        </is>
      </c>
      <c r="B447" s="18" t="inlineStr">
        <is>
          <t>200 Fly</t>
        </is>
      </c>
      <c r="C447" s="18" t="n">
        <v>20</v>
      </c>
      <c r="D447" s="18" t="n">
        <v>3</v>
      </c>
      <c r="E447" s="46" t="inlineStr">
        <is>
          <t>1:57.45</t>
        </is>
      </c>
      <c r="F447" s="21">
        <f>IFERROR(__xludf.DUMMYFUNCTION("IF(
  REGEXMATCH(E447, "":""),
  60*VALUE(INDEX(SPLIT(E447, "":""),1,1)) + VALUE(INDEX(SPLIT(E447, "":""),1,2)),
  VALUE(E447)
)"),117.45)</f>
        <v/>
      </c>
      <c r="G447" s="211">
        <f>C434</f>
        <v/>
      </c>
      <c r="H447" s="211">
        <f>C443</f>
        <v/>
      </c>
      <c r="I447" s="211">
        <f>C448</f>
        <v/>
      </c>
      <c r="J447" s="211">
        <f>C451</f>
        <v/>
      </c>
      <c r="K447" s="60">
        <f>IFS(H447=21,1,I447=21,2,J447=21,3,and(H447=20,I447=22),1.5, and(I447=20,J447=22),2.5,H447&gt;21,0.5)</f>
        <v/>
      </c>
      <c r="L447" s="60">
        <f t="array" ref="L447">INDEX('Podium Target Times'!$C:$C, MATCH(A447&amp;B447, 'Podium Target Times'!$A:$A&amp;'Podium Target Times'!$B:$B, 0))
</f>
        <v/>
      </c>
      <c r="M447" s="66">
        <f>IFS(K447=0.5,L447,K447=1,L447, K447=1.5, L447, K447=2, M448+(F446-F448), K447=2.5, M448+(F447-F449), K447=3, M448+(F447-F449))</f>
        <v/>
      </c>
      <c r="N447" s="60">
        <f>IF(M447&lt;60, TEXT(M447, "0.00"), TEXT(M447/(24*60*60), "M:SS.00"))</f>
        <v/>
      </c>
      <c r="O447" s="25">
        <f>IFERROR(__xludf.DUMMYFUNCTION("LET(
  gen,$A447, ev,$B447, t,$N447,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)"),755.0)</f>
        <v/>
      </c>
      <c r="P447" s="65" t="n"/>
      <c r="Q447" s="65" t="n"/>
      <c r="R447" s="69" t="n"/>
      <c r="S447" s="65" t="n"/>
      <c r="T447" s="69" t="n"/>
      <c r="U447" s="58" t="n"/>
      <c r="V447" s="69" t="n"/>
      <c r="W447" s="65" t="n"/>
      <c r="X447" s="65" t="n"/>
      <c r="Y447" s="65" t="n"/>
    </row>
    <row r="448">
      <c r="A448" s="8" t="inlineStr">
        <is>
          <t>M</t>
        </is>
      </c>
      <c r="B448" s="9" t="inlineStr">
        <is>
          <t>200 Fly</t>
        </is>
      </c>
      <c r="C448" s="9" t="n">
        <v>21</v>
      </c>
      <c r="D448" s="9" t="n">
        <v>2</v>
      </c>
      <c r="E448" s="41" t="inlineStr">
        <is>
          <t>1:56.51</t>
        </is>
      </c>
      <c r="F448" s="35">
        <f>IFERROR(__xludf.DUMMYFUNCTION("IF(
  REGEXMATCH(E448, "":""),
  60*VALUE(INDEX(SPLIT(E448, "":""),1,1)) + VALUE(INDEX(SPLIT(E448, "":""),1,2)),
  VALUE(E448)
)"),116.50999999999999)</f>
        <v/>
      </c>
      <c r="G448" s="215">
        <f>C434</f>
        <v/>
      </c>
      <c r="H448" s="215">
        <f>C443</f>
        <v/>
      </c>
      <c r="I448" s="215">
        <f>C448</f>
        <v/>
      </c>
      <c r="J448" s="215">
        <f>C451</f>
        <v/>
      </c>
      <c r="K448" s="43">
        <f>IFS(H448=21,1,I448=21,2,J448=21,3,and(H448=20,I448=22),1.5, and(I448=20,J448=22),2.5,H448&gt;21,0.5)</f>
        <v/>
      </c>
      <c r="L448" s="43">
        <f t="array" ref="L448">INDEX('Podium Target Times'!$C:$C, MATCH(A448&amp;B448, 'Podium Target Times'!$A:$A&amp;'Podium Target Times'!$B:$B, 0))
</f>
        <v/>
      </c>
      <c r="M448" s="64">
        <f>IFS(K448=0.5,L448,K448=1,L448, K448=1.5, L448, K448=2,L451, K448=2.5, M450+(F449-F450), K448=3,  M450+(F449-F450))</f>
        <v/>
      </c>
      <c r="N448" s="43">
        <f>IF(M448&lt;60, TEXT(M448, "0.00"), TEXT(M448/(24*60*60), "M:SS.00"))</f>
        <v/>
      </c>
      <c r="O448" s="14">
        <f>IFERROR(__xludf.DUMMYFUNCTION("LET(
  gen,$A448, ev,$B448, t,$N448,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P448" s="65" t="n"/>
      <c r="Q448" s="65" t="n"/>
      <c r="R448" s="69" t="n"/>
      <c r="S448" s="65" t="n"/>
      <c r="T448" s="69" t="n"/>
      <c r="U448" s="58" t="n"/>
      <c r="V448" s="69" t="n"/>
      <c r="W448" s="65" t="n"/>
      <c r="X448" s="65" t="n"/>
      <c r="Y448" s="65" t="n"/>
    </row>
    <row r="449">
      <c r="A449" s="17" t="inlineStr">
        <is>
          <t>M</t>
        </is>
      </c>
      <c r="B449" s="18" t="inlineStr">
        <is>
          <t>200 Fly</t>
        </is>
      </c>
      <c r="C449" s="18" t="n">
        <v>21</v>
      </c>
      <c r="D449" s="18" t="n">
        <v>3</v>
      </c>
      <c r="E449" s="46" t="inlineStr">
        <is>
          <t>1:56.90</t>
        </is>
      </c>
      <c r="F449" s="21">
        <f>IFERROR(__xludf.DUMMYFUNCTION("IF(
  REGEXMATCH(E449, "":""),
  60*VALUE(INDEX(SPLIT(E449, "":""),1,1)) + VALUE(INDEX(SPLIT(E449, "":""),1,2)),
  VALUE(E449)
)"),116.9)</f>
        <v/>
      </c>
      <c r="G449" s="211">
        <f>C434</f>
        <v/>
      </c>
      <c r="H449" s="211">
        <f>C443</f>
        <v/>
      </c>
      <c r="I449" s="211">
        <f>C448</f>
        <v/>
      </c>
      <c r="J449" s="211">
        <f>C451</f>
        <v/>
      </c>
      <c r="K449" s="60">
        <f>IFS(H449=21,1,I449=21,2,J449=21,3,and(H449=20,I449=22),1.5, and(I449=20,J449=22),2.5,H449&gt;21,0.5)</f>
        <v/>
      </c>
      <c r="L449" s="60">
        <f t="array" ref="L449">INDEX('Podium Target Times'!$C:$C, MATCH(A449&amp;B449, 'Podium Target Times'!$A:$A&amp;'Podium Target Times'!$B:$B, 0))
</f>
        <v/>
      </c>
      <c r="M449" s="66">
        <f>IFS(K449=0.5,L449,K449=1,L449, K449=1.5, L449, K449=2, L451, K449=2.5, M450+(F449-F450), K449=3, M450+(F449-F450))</f>
        <v/>
      </c>
      <c r="N449" s="60">
        <f>IF(M449&lt;60, TEXT(M449, "0.00"), TEXT(M449/(24*60*60), "M:SS.00"))</f>
        <v/>
      </c>
      <c r="O449" s="25">
        <f>IFERROR(__xludf.DUMMYFUNCTION("LET(
  gen,$A449, ev,$B449, t,$N449,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P449" s="65" t="n"/>
      <c r="Q449" s="65" t="n"/>
      <c r="R449" s="69" t="n"/>
      <c r="S449" s="65" t="n"/>
      <c r="T449" s="69" t="n"/>
      <c r="U449" s="58" t="n"/>
      <c r="V449" s="69" t="n"/>
      <c r="W449" s="65" t="n"/>
      <c r="X449" s="65" t="n"/>
      <c r="Y449" s="65" t="n"/>
    </row>
    <row r="450">
      <c r="A450" s="8" t="inlineStr">
        <is>
          <t>M</t>
        </is>
      </c>
      <c r="B450" s="9" t="inlineStr">
        <is>
          <t>200 Fly</t>
        </is>
      </c>
      <c r="C450" s="9" t="n">
        <v>22</v>
      </c>
      <c r="D450" s="9" t="n">
        <v>3</v>
      </c>
      <c r="E450" s="41" t="inlineStr">
        <is>
          <t>1:56.60</t>
        </is>
      </c>
      <c r="F450" s="35">
        <f>IFERROR(__xludf.DUMMYFUNCTION("IF(
  REGEXMATCH(E450, "":""),
  60*VALUE(INDEX(SPLIT(E450, "":""),1,1)) + VALUE(INDEX(SPLIT(E450, "":""),1,2)),
  VALUE(E450)
)"),116.6)</f>
        <v/>
      </c>
      <c r="G450" s="215">
        <f>C434</f>
        <v/>
      </c>
      <c r="H450" s="215">
        <f>C443</f>
        <v/>
      </c>
      <c r="I450" s="215">
        <f>C448</f>
        <v/>
      </c>
      <c r="J450" s="215">
        <f>C451</f>
        <v/>
      </c>
      <c r="K450" s="43">
        <f>IFS(H450=21,1,I450=21,2,J450=21,3,and(H450=20,I450=22),1.5, and(I450=20,J450=22),2.5,H450&gt;21,0.5)</f>
        <v/>
      </c>
      <c r="L450" s="43">
        <f t="array" ref="L450">INDEX('Podium Target Times'!$C:$C, MATCH(A450&amp;B450, 'Podium Target Times'!$A:$A&amp;'Podium Target Times'!$B:$B, 0))
</f>
        <v/>
      </c>
      <c r="M450" s="64">
        <f>IFS(K450=0.5,L450,K450=1,L450, K450=1.5, L450, K450=2, L451, K450=2.5, L451, K450=3, M451+(F450-F451))</f>
        <v/>
      </c>
      <c r="N450" s="43">
        <f>IF(M450&lt;60, TEXT(M450, "0.00"), TEXT(M450/(24*60*60), "M:SS.00"))</f>
        <v/>
      </c>
      <c r="O450" s="14">
        <f>IFERROR(__xludf.DUMMYFUNCTION("LET(
  gen,$A450, ev,$B450, t,$N450,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P450" s="65" t="n"/>
      <c r="Q450" s="65" t="n"/>
      <c r="R450" s="69" t="n"/>
      <c r="S450" s="65" t="n"/>
      <c r="T450" s="69" t="n"/>
      <c r="U450" s="58" t="n"/>
      <c r="V450" s="69" t="n"/>
      <c r="W450" s="65" t="n"/>
      <c r="X450" s="65" t="n"/>
      <c r="Y450" s="65" t="n"/>
    </row>
    <row r="451">
      <c r="A451" s="17" t="inlineStr">
        <is>
          <t>M</t>
        </is>
      </c>
      <c r="B451" s="18" t="inlineStr">
        <is>
          <t>200 Fly</t>
        </is>
      </c>
      <c r="C451" s="18" t="n">
        <v>23</v>
      </c>
      <c r="D451" s="18" t="n">
        <v>3</v>
      </c>
      <c r="E451" s="46" t="inlineStr">
        <is>
          <t>1:56.51</t>
        </is>
      </c>
      <c r="F451" s="21">
        <f>IFERROR(__xludf.DUMMYFUNCTION("IF(
  REGEXMATCH(E451, "":""),
  60*VALUE(INDEX(SPLIT(E451, "":""),1,1)) + VALUE(INDEX(SPLIT(E451, "":""),1,2)),
  VALUE(E451)
)"),116.50999999999999)</f>
        <v/>
      </c>
      <c r="G451" s="211">
        <f>C434</f>
        <v/>
      </c>
      <c r="H451" s="211">
        <f>C443</f>
        <v/>
      </c>
      <c r="I451" s="211">
        <f>C448</f>
        <v/>
      </c>
      <c r="J451" s="211">
        <f>C451</f>
        <v/>
      </c>
      <c r="K451" s="60">
        <f>IFS(H451=21,1,I451=21,2,J451=21,3,and(H451=20,I451=22),1.5, and(I451=20,J451=22),2.5,H451&gt;21,0.5)</f>
        <v/>
      </c>
      <c r="L451" s="60">
        <f t="array" ref="L451">INDEX('Podium Target Times'!$C:$C, MATCH(A451&amp;B451, 'Podium Target Times'!$A:$A&amp;'Podium Target Times'!$B:$B, 0))
</f>
        <v/>
      </c>
      <c r="M451" s="66">
        <f>IFS(K451=0.5,L451,K451=1,L451, K451=1.5, L451, K451=2, L451, K451=2.5, L451, K451=3, L451)</f>
        <v/>
      </c>
      <c r="N451" s="60">
        <f>IF(M451&lt;60, TEXT(M451, "0.00"), TEXT(M451/(24*60*60), "M:SS.00"))</f>
        <v/>
      </c>
      <c r="O451" s="25">
        <f>IFERROR(__xludf.DUMMYFUNCTION("LET(
  gen,$A451, ev,$B451, t,$N451,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)"),765.0)</f>
        <v/>
      </c>
      <c r="P451" s="65" t="n"/>
      <c r="Q451" s="65" t="n"/>
      <c r="R451" s="69" t="n"/>
      <c r="S451" s="65" t="n"/>
      <c r="T451" s="69" t="n"/>
      <c r="U451" s="58" t="n"/>
      <c r="V451" s="69" t="n"/>
      <c r="W451" s="65" t="n"/>
      <c r="X451" s="65" t="n"/>
      <c r="Y451" s="65" t="n"/>
    </row>
    <row r="452">
      <c r="A452" s="8" t="inlineStr">
        <is>
          <t>M</t>
        </is>
      </c>
      <c r="B452" s="9" t="inlineStr">
        <is>
          <t>200 Free</t>
        </is>
      </c>
      <c r="C452" s="9" t="n">
        <v>15</v>
      </c>
      <c r="D452" s="9" t="n">
        <v>1</v>
      </c>
      <c r="E452" s="41" t="inlineStr">
        <is>
          <t>1:56.62</t>
        </is>
      </c>
      <c r="F452" s="35">
        <f>IFERROR(__xludf.DUMMYFUNCTION("IF(
  REGEXMATCH(E452, "":""),
  60*VALUE(INDEX(SPLIT(E452, "":""),1,1)) + VALUE(INDEX(SPLIT(E452, "":""),1,2)),
  VALUE(E452)
)"),116.62)</f>
        <v/>
      </c>
      <c r="G452" s="43">
        <f>C452</f>
        <v/>
      </c>
      <c r="H452" s="43">
        <f>C461</f>
        <v/>
      </c>
      <c r="I452" s="43">
        <f>C466</f>
        <v/>
      </c>
      <c r="J452" s="43">
        <f>C469</f>
        <v/>
      </c>
      <c r="K452" s="43">
        <f>IFS(H452=21,1,I452=21,2,J452=21,3,and(H452=20,I452=22),1.5, and(I452=20,J452=22),2.5,H452&gt;21,0.5)</f>
        <v/>
      </c>
      <c r="L452" s="43">
        <f t="array" ref="L452">INDEX('Podium Target Times'!$C:$C, MATCH(A452&amp;B452, 'Podium Target Times'!$A:$A&amp;'Podium Target Times'!$B:$B, 0))
</f>
        <v/>
      </c>
      <c r="M452" s="64">
        <f>IFS(K452=0.5,M453+(F452-F453),K452=1,M453+(F452-F453), K452=1.5, M453+(F452-F453), K452=2, M453+(F452-F453), K452=2.5, M453+(F452-F453), K452=3, M453+(F452-F453))</f>
        <v/>
      </c>
      <c r="N452" s="43">
        <f>IF(M452&lt;60, TEXT(M452, "0.00"), TEXT(M452/(24*60*60), "M:SS.00"))</f>
        <v/>
      </c>
      <c r="O452" s="14">
        <f>IFERROR(__xludf.DUMMYFUNCTION("LET(
  gen,$A452, ev,$B452, t,$N452,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)"),601.0)</f>
        <v/>
      </c>
      <c r="P452" s="65" t="n"/>
      <c r="Q452" s="65" t="n"/>
      <c r="R452" s="69">
        <f>A452</f>
        <v/>
      </c>
      <c r="S452" s="65">
        <f>B452</f>
        <v/>
      </c>
      <c r="T452" s="69">
        <f>C452</f>
        <v/>
      </c>
      <c r="U452" s="58">
        <f>N452</f>
        <v/>
      </c>
      <c r="V452" s="69">
        <f>O452</f>
        <v/>
      </c>
      <c r="W452" s="65" t="n"/>
      <c r="X452" s="65" t="n"/>
      <c r="Y452" s="65" t="n"/>
    </row>
    <row r="453">
      <c r="A453" s="17" t="inlineStr">
        <is>
          <t>M</t>
        </is>
      </c>
      <c r="B453" s="18" t="inlineStr">
        <is>
          <t>200 Free</t>
        </is>
      </c>
      <c r="C453" s="18" t="n">
        <v>16</v>
      </c>
      <c r="D453" s="18" t="n">
        <v>1</v>
      </c>
      <c r="E453" s="46" t="inlineStr">
        <is>
          <t>1:52.75</t>
        </is>
      </c>
      <c r="F453" s="21">
        <f>IFERROR(__xludf.DUMMYFUNCTION("IF(
  REGEXMATCH(E453, "":""),
  60*VALUE(INDEX(SPLIT(E453, "":""),1,1)) + VALUE(INDEX(SPLIT(E453, "":""),1,2)),
  VALUE(E453)
)"),112.75)</f>
        <v/>
      </c>
      <c r="G453" s="211">
        <f>C452</f>
        <v/>
      </c>
      <c r="H453" s="211">
        <f>C461</f>
        <v/>
      </c>
      <c r="I453" s="211">
        <f>C466</f>
        <v/>
      </c>
      <c r="J453" s="211">
        <f>C469</f>
        <v/>
      </c>
      <c r="K453" s="60">
        <f>IFS(H453=21,1,I453=21,2,J453=21,3,and(H453=20,I453=22),1.5, and(I453=20,J453=22),2.5,H453&gt;21,0.5)</f>
        <v/>
      </c>
      <c r="L453" s="60">
        <f t="array" ref="L453">INDEX('Podium Target Times'!$C:$C, MATCH(A453&amp;B453, 'Podium Target Times'!$A:$A&amp;'Podium Target Times'!$B:$B, 0))
</f>
        <v/>
      </c>
      <c r="M453" s="66">
        <f>IFS(K453=0.5,M454+(F453-F455),K453=1,M454+(F453-F455), K453=1.5, M455+(F454-F456), K453=2, M455+(F454-F456), K453=2.5, M455+(F454-F456), K453=3, M455+(F454-F456))</f>
        <v/>
      </c>
      <c r="N453" s="60">
        <f>IF(M453&lt;60, TEXT(M453, "0.00"), TEXT(M453/(24*60*60), "M:SS.00"))</f>
        <v/>
      </c>
      <c r="O453" s="25">
        <f>IFERROR(__xludf.DUMMYFUNCTION("LET(
  gen,$A453, ev,$B453, t,$N453,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)"),663.0)</f>
        <v/>
      </c>
      <c r="P453" s="65" t="n"/>
      <c r="Q453" s="65" t="n"/>
      <c r="R453" s="69">
        <f>A453</f>
        <v/>
      </c>
      <c r="S453" s="65">
        <f>B453</f>
        <v/>
      </c>
      <c r="T453" s="69">
        <f>C453</f>
        <v/>
      </c>
      <c r="U453" s="58">
        <f>N453</f>
        <v/>
      </c>
      <c r="V453" s="69">
        <f>O453</f>
        <v/>
      </c>
      <c r="W453" s="65" t="n"/>
      <c r="X453" s="65" t="n"/>
      <c r="Y453" s="65" t="n"/>
    </row>
    <row r="454">
      <c r="A454" s="8" t="inlineStr">
        <is>
          <t>M</t>
        </is>
      </c>
      <c r="B454" s="9" t="inlineStr">
        <is>
          <t>200 Free</t>
        </is>
      </c>
      <c r="C454" s="9" t="n">
        <v>16</v>
      </c>
      <c r="D454" s="9" t="n">
        <v>2</v>
      </c>
      <c r="E454" s="41" t="inlineStr">
        <is>
          <t>1:54.33</t>
        </is>
      </c>
      <c r="F454" s="35">
        <f>IFERROR(__xludf.DUMMYFUNCTION("IF(
  REGEXMATCH(E454, "":""),
  60*VALUE(INDEX(SPLIT(E454, "":""),1,1)) + VALUE(INDEX(SPLIT(E454, "":""),1,2)),
  VALUE(E454)
)"),114.33)</f>
        <v/>
      </c>
      <c r="G454" s="215">
        <f>C452</f>
        <v/>
      </c>
      <c r="H454" s="215">
        <f>C461</f>
        <v/>
      </c>
      <c r="I454" s="215">
        <f>C466</f>
        <v/>
      </c>
      <c r="J454" s="215">
        <f>C469</f>
        <v/>
      </c>
      <c r="K454" s="43">
        <f>IFS(H454=21,1,I454=21,2,J454=21,3,and(H454=20,I454=22),1.5, and(I454=20,J454=22),2.5,H454&gt;21,0.5)</f>
        <v/>
      </c>
      <c r="L454" s="43">
        <f t="array" ref="L454">INDEX('Podium Target Times'!$C:$C, MATCH(A454&amp;B454, 'Podium Target Times'!$A:$A&amp;'Podium Target Times'!$B:$B, 0))
</f>
        <v/>
      </c>
      <c r="M454" s="64">
        <f>IFS(K454=0.5,M455+(F454-F457),K454=1,M455+(F454-F457), K454=1.5, M455+(F454-F456), K454=2, M455+(F454-F456), K454=2.5, M455+(F454-F456), K454=3, M455+(F454-F456))</f>
        <v/>
      </c>
      <c r="N454" s="43">
        <f>IF(M454&lt;60, TEXT(M454, "0.00"), TEXT(M454/(24*60*60), "M:SS.00"))</f>
        <v/>
      </c>
      <c r="O454" s="14">
        <f>IFERROR(__xludf.DUMMYFUNCTION("LET(
  gen,$A454, ev,$B454, t,$N454,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)"),663.0)</f>
        <v/>
      </c>
      <c r="P454" s="65" t="n"/>
      <c r="Q454" s="65" t="n"/>
      <c r="R454" s="69">
        <f>A455</f>
        <v/>
      </c>
      <c r="S454" s="65">
        <f>B455</f>
        <v/>
      </c>
      <c r="T454" s="69">
        <f>C455</f>
        <v/>
      </c>
      <c r="U454" s="58">
        <f>N455</f>
        <v/>
      </c>
      <c r="V454" s="69">
        <f>O455</f>
        <v/>
      </c>
      <c r="W454" s="65" t="n"/>
      <c r="X454" s="65" t="n"/>
      <c r="Y454" s="65" t="n"/>
    </row>
    <row r="455">
      <c r="A455" s="17" t="inlineStr">
        <is>
          <t>M</t>
        </is>
      </c>
      <c r="B455" s="18" t="inlineStr">
        <is>
          <t>200 Free</t>
        </is>
      </c>
      <c r="C455" s="18" t="n">
        <v>17</v>
      </c>
      <c r="D455" s="18" t="n">
        <v>1</v>
      </c>
      <c r="E455" s="46" t="inlineStr">
        <is>
          <t>1:49.93</t>
        </is>
      </c>
      <c r="F455" s="21">
        <f>IFERROR(__xludf.DUMMYFUNCTION("IF(
  REGEXMATCH(E455, "":""),
  60*VALUE(INDEX(SPLIT(E455, "":""),1,1)) + VALUE(INDEX(SPLIT(E455, "":""),1,2)),
  VALUE(E455)
)"),109.93)</f>
        <v/>
      </c>
      <c r="G455" s="211">
        <f>C452</f>
        <v/>
      </c>
      <c r="H455" s="211">
        <f>C461</f>
        <v/>
      </c>
      <c r="I455" s="211">
        <f>C466</f>
        <v/>
      </c>
      <c r="J455" s="211">
        <f>C469</f>
        <v/>
      </c>
      <c r="K455" s="60">
        <f>IFS(H455=21,1,I455=21,2,J455=21,3,and(H455=20,I455=22),1.5, and(I455=20,J455=22),2.5,H455&gt;21,0.5)</f>
        <v/>
      </c>
      <c r="L455" s="60">
        <f t="array" ref="L455">INDEX('Podium Target Times'!$C:$C, MATCH(A455&amp;B455, 'Podium Target Times'!$A:$A&amp;'Podium Target Times'!$B:$B, 0))
</f>
        <v/>
      </c>
      <c r="M455" s="66">
        <f>IFS(K455=0.5,M456+(F455-F458),K455=1,M456+(F455-F458), K455=1.5, M458+(F456-F459), K455=2, M458+(F456-F459), K455=2.5, M458+(F457-F460), K455=3, M458+(F457-F460))</f>
        <v/>
      </c>
      <c r="N455" s="60">
        <f>IF(M455&lt;60, TEXT(M455, "0.00"), TEXT(M455/(24*60*60), "M:SS.00"))</f>
        <v/>
      </c>
      <c r="O455" s="25">
        <f>IFERROR(__xludf.DUMMYFUNCTION("LET(
  gen,$A455, ev,$B455, t,$N455,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P455" s="65" t="n"/>
      <c r="Q455" s="65" t="n"/>
      <c r="R455" s="69">
        <f>A458</f>
        <v/>
      </c>
      <c r="S455" s="65">
        <f>B458</f>
        <v/>
      </c>
      <c r="T455" s="69">
        <f>C458</f>
        <v/>
      </c>
      <c r="U455" s="58">
        <f>N458</f>
        <v/>
      </c>
      <c r="V455" s="69">
        <f>O458</f>
        <v/>
      </c>
      <c r="W455" s="65" t="n"/>
      <c r="X455" s="65" t="n"/>
      <c r="Y455" s="65" t="n"/>
    </row>
    <row r="456">
      <c r="A456" s="8" t="inlineStr">
        <is>
          <t>M</t>
        </is>
      </c>
      <c r="B456" s="9" t="inlineStr">
        <is>
          <t>200 Free</t>
        </is>
      </c>
      <c r="C456" s="9" t="n">
        <v>17</v>
      </c>
      <c r="D456" s="9" t="n">
        <v>2</v>
      </c>
      <c r="E456" s="41" t="inlineStr">
        <is>
          <t>1:51.47</t>
        </is>
      </c>
      <c r="F456" s="35">
        <f>IFERROR(__xludf.DUMMYFUNCTION("IF(
  REGEXMATCH(E456, "":""),
  60*VALUE(INDEX(SPLIT(E456, "":""),1,1)) + VALUE(INDEX(SPLIT(E456, "":""),1,2)),
  VALUE(E456)
)"),111.47)</f>
        <v/>
      </c>
      <c r="G456" s="215">
        <f>C452</f>
        <v/>
      </c>
      <c r="H456" s="215">
        <f>C461</f>
        <v/>
      </c>
      <c r="I456" s="215">
        <f>C466</f>
        <v/>
      </c>
      <c r="J456" s="215">
        <f>C469</f>
        <v/>
      </c>
      <c r="K456" s="43">
        <f>IFS(H456=21,1,I456=21,2,J456=21,3,and(H456=20,I456=22),1.5, and(I456=20,J456=22),2.5,H456&gt;21,0.5)</f>
        <v/>
      </c>
      <c r="L456" s="43">
        <f t="array" ref="L456">INDEX('Podium Target Times'!$C:$C, MATCH(A456&amp;B456, 'Podium Target Times'!$A:$A&amp;'Podium Target Times'!$B:$B, 0))
</f>
        <v/>
      </c>
      <c r="M456" s="64">
        <f>IFS(K456=0.5,M457+(F455-F458),K456=1,M457+(F455-F458), K456=1.5, M458+(F456-F459), K456=2, M458+(F456-F459), K456=2.5, M458+(F457-F460), K456=3, M458+(F457-F460))</f>
        <v/>
      </c>
      <c r="N456" s="43">
        <f>IF(M456&lt;60, TEXT(M456, "0.00"), TEXT(M456/(24*60*60), "M:SS.00"))</f>
        <v/>
      </c>
      <c r="O456" s="14">
        <f>IFERROR(__xludf.DUMMYFUNCTION("LET(
  gen,$A456, ev,$B456, t,$N456,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P456" s="65" t="n"/>
      <c r="Q456" s="65" t="n"/>
      <c r="R456" s="69">
        <f>A461</f>
        <v/>
      </c>
      <c r="S456" s="65">
        <f>B461</f>
        <v/>
      </c>
      <c r="T456" s="69">
        <f>C461</f>
        <v/>
      </c>
      <c r="U456" s="58">
        <f>N461</f>
        <v/>
      </c>
      <c r="V456" s="69">
        <f>O461</f>
        <v/>
      </c>
      <c r="W456" s="65" t="n"/>
      <c r="X456" s="65" t="n"/>
      <c r="Y456" s="65" t="n"/>
    </row>
    <row r="457">
      <c r="A457" s="17" t="inlineStr">
        <is>
          <t>M</t>
        </is>
      </c>
      <c r="B457" s="18" t="inlineStr">
        <is>
          <t>200 Free</t>
        </is>
      </c>
      <c r="C457" s="18" t="n">
        <v>17</v>
      </c>
      <c r="D457" s="18" t="n">
        <v>3</v>
      </c>
      <c r="E457" s="46" t="inlineStr">
        <is>
          <t>1:52.04</t>
        </is>
      </c>
      <c r="F457" s="21">
        <f>IFERROR(__xludf.DUMMYFUNCTION("IF(
  REGEXMATCH(E457, "":""),
  60*VALUE(INDEX(SPLIT(E457, "":""),1,1)) + VALUE(INDEX(SPLIT(E457, "":""),1,2)),
  VALUE(E457)
)"),112.03999999999999)</f>
        <v/>
      </c>
      <c r="G457" s="211">
        <f>C452</f>
        <v/>
      </c>
      <c r="H457" s="211">
        <f>C461</f>
        <v/>
      </c>
      <c r="I457" s="211">
        <f>C466</f>
        <v/>
      </c>
      <c r="J457" s="211">
        <f>C469</f>
        <v/>
      </c>
      <c r="K457" s="60">
        <f>IFS(H457=21,1,I457=21,2,J457=21,3,and(H457=20,I457=22),1.5, and(I457=20,J457=22),2.5,H457&gt;21,0.5)</f>
        <v/>
      </c>
      <c r="L457" s="60">
        <f t="array" ref="L457">INDEX('Podium Target Times'!$C:$C, MATCH(A457&amp;B457, 'Podium Target Times'!$A:$A&amp;'Podium Target Times'!$B:$B, 0))
</f>
        <v/>
      </c>
      <c r="M457" s="66">
        <f>IFS(K457=0.5,M458+(F455-F458),K457=1,M458+(F455-F458), K457=1.5, M458+(F456-F459), K457=2, M458+(F456-F459), K457=2.5, M458+(F457-F460), K457=3, M458+(F457-F460))</f>
        <v/>
      </c>
      <c r="N457" s="60">
        <f>IF(M457&lt;60, TEXT(M457, "0.00"), TEXT(M457/(24*60*60), "M:SS.00"))</f>
        <v/>
      </c>
      <c r="O457" s="25">
        <f>IFERROR(__xludf.DUMMYFUNCTION("LET(
  gen,$A457, ev,$B457, t,$N457,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)"),714.0)</f>
        <v/>
      </c>
      <c r="P457" s="65" t="n"/>
      <c r="Q457" s="65" t="n"/>
      <c r="R457" s="69">
        <f>A464</f>
        <v/>
      </c>
      <c r="S457" s="65">
        <f>B464</f>
        <v/>
      </c>
      <c r="T457" s="69">
        <f>C464</f>
        <v/>
      </c>
      <c r="U457" s="58">
        <f>N464</f>
        <v/>
      </c>
      <c r="V457" s="69">
        <f>O464</f>
        <v/>
      </c>
      <c r="W457" s="65" t="n"/>
      <c r="X457" s="65" t="n"/>
      <c r="Y457" s="65" t="n"/>
    </row>
    <row r="458">
      <c r="A458" s="8" t="inlineStr">
        <is>
          <t>M</t>
        </is>
      </c>
      <c r="B458" s="9" t="inlineStr">
        <is>
          <t>200 Free</t>
        </is>
      </c>
      <c r="C458" s="9" t="n">
        <v>18</v>
      </c>
      <c r="D458" s="9" t="n">
        <v>1</v>
      </c>
      <c r="E458" s="41" t="inlineStr">
        <is>
          <t>1:48.02</t>
        </is>
      </c>
      <c r="F458" s="35">
        <f>IFERROR(__xludf.DUMMYFUNCTION("IF(
  REGEXMATCH(E458, "":""),
  60*VALUE(INDEX(SPLIT(E458, "":""),1,1)) + VALUE(INDEX(SPLIT(E458, "":""),1,2)),
  VALUE(E458)
)"),108.02000000000001)</f>
        <v/>
      </c>
      <c r="G458" s="215">
        <f>C452</f>
        <v/>
      </c>
      <c r="H458" s="215">
        <f>C461</f>
        <v/>
      </c>
      <c r="I458" s="215">
        <f>C466</f>
        <v/>
      </c>
      <c r="J458" s="215">
        <f>C469</f>
        <v/>
      </c>
      <c r="K458" s="43">
        <f>IFS(H458=21,1,I458=21,2,J458=21,3,and(H458=20,I458=22),1.5, and(I458=20,J458=22),2.5,H458&gt;21,0.5)</f>
        <v/>
      </c>
      <c r="L458" s="43">
        <f t="array" ref="L458">INDEX('Podium Target Times'!$C:$C, MATCH(A458&amp;B458, 'Podium Target Times'!$A:$A&amp;'Podium Target Times'!$B:$B, 0))
</f>
        <v/>
      </c>
      <c r="M458" s="64">
        <f>IFS(K458=0.5,L458,K458=1,U456+(F458-F461), K458=1.5, M461+(F459-F462), K458=2, M461+(F459-F462), K458=2.5, M461+(F460-F463), K458=3, M461+(F460-F463))</f>
        <v/>
      </c>
      <c r="N458" s="43">
        <f>IF(M458&lt;60, TEXT(M458, "0.00"), TEXT(M458/(24*60*60), "M:SS.00"))</f>
        <v/>
      </c>
      <c r="O458" s="14">
        <f>IFERROR(__xludf.DUMMYFUNCTION("LET(
  gen,$A458, ev,$B458, t,$N458,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P458" s="65" t="n"/>
      <c r="Q458" s="65" t="n"/>
      <c r="R458" s="69">
        <f>A466</f>
        <v/>
      </c>
      <c r="S458" s="65">
        <f>B466</f>
        <v/>
      </c>
      <c r="T458" s="69">
        <f>C466</f>
        <v/>
      </c>
      <c r="U458" s="58">
        <f>N466</f>
        <v/>
      </c>
      <c r="V458" s="69">
        <f>O466</f>
        <v/>
      </c>
      <c r="W458" s="65" t="n"/>
      <c r="X458" s="65" t="n"/>
      <c r="Y458" s="65" t="n"/>
    </row>
    <row r="459">
      <c r="A459" s="17" t="inlineStr">
        <is>
          <t>M</t>
        </is>
      </c>
      <c r="B459" s="18" t="inlineStr">
        <is>
          <t>200 Free</t>
        </is>
      </c>
      <c r="C459" s="18" t="n">
        <v>18</v>
      </c>
      <c r="D459" s="18" t="n">
        <v>2</v>
      </c>
      <c r="E459" s="46" t="inlineStr">
        <is>
          <t>1:49.53</t>
        </is>
      </c>
      <c r="F459" s="21">
        <f>IFERROR(__xludf.DUMMYFUNCTION("IF(
  REGEXMATCH(E459, "":""),
  60*VALUE(INDEX(SPLIT(E459, "":""),1,1)) + VALUE(INDEX(SPLIT(E459, "":""),1,2)),
  VALUE(E459)
)"),109.53)</f>
        <v/>
      </c>
      <c r="G459" s="211">
        <f>C452</f>
        <v/>
      </c>
      <c r="H459" s="211">
        <f>C461</f>
        <v/>
      </c>
      <c r="I459" s="211">
        <f>C466</f>
        <v/>
      </c>
      <c r="J459" s="211">
        <f>C469</f>
        <v/>
      </c>
      <c r="K459" s="60">
        <f>IFS(H459=21,1,I459=21,2,J459=21,3,and(H459=20,I459=22),1.5, and(I459=20,J459=22),2.5,H459&gt;21,0.5)</f>
        <v/>
      </c>
      <c r="L459" s="60">
        <f t="array" ref="L459">INDEX('Podium Target Times'!$C:$C, MATCH(A459&amp;B459, 'Podium Target Times'!$A:$A&amp;'Podium Target Times'!$B:$B, 0))
</f>
        <v/>
      </c>
      <c r="M459" s="66">
        <f>IFS(K459=0.5,L459,K459=1,U456+(F458-F461), K459=1.5, M461+(F459-F462), K459=2, M461+(F459-F462), K459=2.5, M461+(F460-F463), K459=3, M461+(F460-F463))</f>
        <v/>
      </c>
      <c r="N459" s="60">
        <f>IF(M459&lt;60, TEXT(M459, "0.00"), TEXT(M459/(24*60*60), "M:SS.00"))</f>
        <v/>
      </c>
      <c r="O459" s="25">
        <f>IFERROR(__xludf.DUMMYFUNCTION("LET(
  gen,$A459, ev,$B459, t,$N459,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P459" s="65" t="n"/>
      <c r="Q459" s="65" t="n"/>
      <c r="R459" s="69" t="n"/>
      <c r="S459" s="65" t="n"/>
      <c r="T459" s="69" t="n"/>
      <c r="U459" s="58" t="n"/>
      <c r="V459" s="69" t="n"/>
      <c r="W459" s="65" t="n"/>
      <c r="X459" s="65" t="n"/>
      <c r="Y459" s="65" t="n"/>
    </row>
    <row r="460">
      <c r="A460" s="8" t="inlineStr">
        <is>
          <t>M</t>
        </is>
      </c>
      <c r="B460" s="9" t="inlineStr">
        <is>
          <t>200 Free</t>
        </is>
      </c>
      <c r="C460" s="9" t="n">
        <v>18</v>
      </c>
      <c r="D460" s="9" t="n">
        <v>3</v>
      </c>
      <c r="E460" s="41" t="inlineStr">
        <is>
          <t>1:50.09</t>
        </is>
      </c>
      <c r="F460" s="35">
        <f>IFERROR(__xludf.DUMMYFUNCTION("IF(
  REGEXMATCH(E460, "":""),
  60*VALUE(INDEX(SPLIT(E460, "":""),1,1)) + VALUE(INDEX(SPLIT(E460, "":""),1,2)),
  VALUE(E460)
)"),110.09)</f>
        <v/>
      </c>
      <c r="G460" s="215">
        <f>C452</f>
        <v/>
      </c>
      <c r="H460" s="215">
        <f>C461</f>
        <v/>
      </c>
      <c r="I460" s="215">
        <f>C466</f>
        <v/>
      </c>
      <c r="J460" s="215">
        <f>C469</f>
        <v/>
      </c>
      <c r="K460" s="43">
        <f>IFS(H460=21,1,I460=21,2,J460=21,3,and(H460=20,I460=22),1.5, and(I460=20,J460=22),2.5,H460&gt;21,0.5)</f>
        <v/>
      </c>
      <c r="L460" s="43">
        <f t="array" ref="L460">INDEX('Podium Target Times'!$C:$C, MATCH(A460&amp;B460, 'Podium Target Times'!$A:$A&amp;'Podium Target Times'!$B:$B, 0))
</f>
        <v/>
      </c>
      <c r="M460" s="64">
        <f>IFS(K460=0.5,L460,K460=1,U456+(F458-F461), K460=1.5, M461+(F459-F462), K460=2, M461+(F459-F462), K460=2.5, M461+(F460-F463), K460=3, M461+(F460-F463))</f>
        <v/>
      </c>
      <c r="N460" s="43">
        <f>IF(M460&lt;60, TEXT(M460, "0.00"), TEXT(M460/(24*60*60), "M:SS.00"))</f>
        <v/>
      </c>
      <c r="O460" s="14">
        <f>IFERROR(__xludf.DUMMYFUNCTION("LET(
  gen,$A460, ev,$B460, t,$N460,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P460" s="65" t="n"/>
      <c r="Q460" s="65" t="n"/>
      <c r="R460" s="69" t="n"/>
      <c r="S460" s="65" t="n"/>
      <c r="T460" s="69" t="n"/>
      <c r="U460" s="58" t="n"/>
      <c r="V460" s="69" t="n"/>
      <c r="W460" s="65" t="n"/>
      <c r="X460" s="65" t="n"/>
      <c r="Y460" s="65" t="n"/>
    </row>
    <row r="461">
      <c r="A461" s="17" t="inlineStr">
        <is>
          <t>M</t>
        </is>
      </c>
      <c r="B461" s="18" t="inlineStr">
        <is>
          <t>200 Free</t>
        </is>
      </c>
      <c r="C461" s="18" t="n">
        <v>19</v>
      </c>
      <c r="D461" s="18" t="n">
        <v>1</v>
      </c>
      <c r="E461" s="46" t="inlineStr">
        <is>
          <t>1:46.70</t>
        </is>
      </c>
      <c r="F461" s="21">
        <f>IFERROR(__xludf.DUMMYFUNCTION("IF(
  REGEXMATCH(E461, "":""),
  60*VALUE(INDEX(SPLIT(E461, "":""),1,1)) + VALUE(INDEX(SPLIT(E461, "":""),1,2)),
  VALUE(E461)
)"),106.7)</f>
        <v/>
      </c>
      <c r="G461" s="211">
        <f>C452</f>
        <v/>
      </c>
      <c r="H461" s="211">
        <f>C461</f>
        <v/>
      </c>
      <c r="I461" s="211">
        <f>C466</f>
        <v/>
      </c>
      <c r="J461" s="211">
        <f>C469</f>
        <v/>
      </c>
      <c r="K461" s="60">
        <f>IFS(H461=21,1,I461=21,2,J461=21,3,and(H461=20,I461=22),1.5, and(I461=20,J461=22),2.5,H461&gt;21,0.5)</f>
        <v/>
      </c>
      <c r="L461" s="60">
        <f t="array" ref="L461">INDEX('Podium Target Times'!$C:$C, MATCH(A461&amp;B461, 'Podium Target Times'!$A:$A&amp;'Podium Target Times'!$B:$B, 0))
</f>
        <v/>
      </c>
      <c r="M461" s="66">
        <f>IFS(K461=0.5,L461,K461=1,L461, K461=1.5, M464+(F462-F464), K461=2, M464+(F462-F464), K461=2.5, M464+(F463-F465), K461=3, M464+(F463-F465))</f>
        <v/>
      </c>
      <c r="N461" s="60">
        <f>IF(M461&lt;60, TEXT(M461, "0.00"), TEXT(M461/(24*60*60), "M:SS.00"))</f>
        <v/>
      </c>
      <c r="O461" s="25">
        <f>IFERROR(__xludf.DUMMYFUNCTION("LET(
  gen,$A461, ev,$B461, t,$N461,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
      </c>
      <c r="P461" s="65" t="n"/>
      <c r="Q461" s="65" t="n"/>
      <c r="R461" s="69" t="n"/>
      <c r="S461" s="65" t="n"/>
      <c r="T461" s="69" t="n"/>
      <c r="U461" s="58" t="n"/>
      <c r="V461" s="69" t="n"/>
      <c r="W461" s="65" t="n"/>
      <c r="X461" s="65" t="n"/>
      <c r="Y461" s="65" t="n"/>
    </row>
    <row r="462">
      <c r="A462" s="8" t="inlineStr">
        <is>
          <t>M</t>
        </is>
      </c>
      <c r="B462" s="9" t="inlineStr">
        <is>
          <t>200 Free</t>
        </is>
      </c>
      <c r="C462" s="9" t="n">
        <v>19</v>
      </c>
      <c r="D462" s="9" t="n">
        <v>2</v>
      </c>
      <c r="E462" s="41" t="inlineStr">
        <is>
          <t>1:48.20</t>
        </is>
      </c>
      <c r="F462" s="35">
        <f>IFERROR(__xludf.DUMMYFUNCTION("IF(
  REGEXMATCH(E462, "":""),
  60*VALUE(INDEX(SPLIT(E462, "":""),1,1)) + VALUE(INDEX(SPLIT(E462, "":""),1,2)),
  VALUE(E462)
)"),108.2)</f>
        <v/>
      </c>
      <c r="G462" s="215">
        <f>C452</f>
        <v/>
      </c>
      <c r="H462" s="215">
        <f>C461</f>
        <v/>
      </c>
      <c r="I462" s="215">
        <f>C466</f>
        <v/>
      </c>
      <c r="J462" s="215">
        <f>C469</f>
        <v/>
      </c>
      <c r="K462" s="43">
        <f>IFS(H462=21,1,I462=21,2,J462=21,3,and(H462=20,I462=22),1.5, and(I462=20,J462=22),2.5,H462&gt;21,0.5)</f>
        <v/>
      </c>
      <c r="L462" s="43">
        <f t="array" ref="L462">INDEX('Podium Target Times'!$C:$C, MATCH(A462&amp;B462, 'Podium Target Times'!$A:$A&amp;'Podium Target Times'!$B:$B, 0))
</f>
        <v/>
      </c>
      <c r="M462" s="64">
        <f>IFS(K462=0.5,L462,K462=1,L462, K462=1.5, M464+(F462-F464), K462=2, M464+(F462-F464), K462=2.5, M464+(F463-F465), K462=3, M464+(F463-F465))</f>
        <v/>
      </c>
      <c r="N462" s="43">
        <f>IF(M462&lt;60, TEXT(M462, "0.00"), TEXT(M462/(24*60*60), "M:SS.00"))</f>
        <v/>
      </c>
      <c r="O462" s="14">
        <f>IFERROR(__xludf.DUMMYFUNCTION("LET(
  gen,$A462, ev,$B462, t,$N462,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
      </c>
      <c r="P462" s="65" t="n"/>
      <c r="Q462" s="65" t="n"/>
      <c r="R462" s="69" t="n"/>
      <c r="S462" s="65" t="n"/>
      <c r="T462" s="69" t="n"/>
      <c r="U462" s="58" t="n"/>
      <c r="V462" s="69" t="n"/>
      <c r="W462" s="65" t="n"/>
      <c r="X462" s="65" t="n"/>
      <c r="Y462" s="65" t="n"/>
    </row>
    <row r="463">
      <c r="A463" s="17" t="inlineStr">
        <is>
          <t>M</t>
        </is>
      </c>
      <c r="B463" s="18" t="inlineStr">
        <is>
          <t>200 Free</t>
        </is>
      </c>
      <c r="C463" s="18" t="n">
        <v>19</v>
      </c>
      <c r="D463" s="18" t="n">
        <v>3</v>
      </c>
      <c r="E463" s="46" t="inlineStr">
        <is>
          <t>1:48.75</t>
        </is>
      </c>
      <c r="F463" s="21">
        <f>IFERROR(__xludf.DUMMYFUNCTION("IF(
  REGEXMATCH(E463, "":""),
  60*VALUE(INDEX(SPLIT(E463, "":""),1,1)) + VALUE(INDEX(SPLIT(E463, "":""),1,2)),
  VALUE(E463)
)"),108.75)</f>
        <v/>
      </c>
      <c r="G463" s="211">
        <f>C452</f>
        <v/>
      </c>
      <c r="H463" s="211">
        <f>C461</f>
        <v/>
      </c>
      <c r="I463" s="211">
        <f>C466</f>
        <v/>
      </c>
      <c r="J463" s="211">
        <f>C469</f>
        <v/>
      </c>
      <c r="K463" s="60">
        <f>IFS(H463=21,1,I463=21,2,J463=21,3,and(H463=20,I463=22),1.5, and(I463=20,J463=22),2.5,H463&gt;21,0.5)</f>
        <v/>
      </c>
      <c r="L463" s="60">
        <f t="array" ref="L463">INDEX('Podium Target Times'!$C:$C, MATCH(A463&amp;B463, 'Podium Target Times'!$A:$A&amp;'Podium Target Times'!$B:$B, 0))
</f>
        <v/>
      </c>
      <c r="M463" s="66">
        <f>IFS(K463=0.5,L463,K463=1,L463, K463=1.5, M464+(F462-F464), K463=2, M464+(F462-F464), K463=2.5, M464+(F463-F465), K463=3, M464+(F463-F465))</f>
        <v/>
      </c>
      <c r="N463" s="60">
        <f>IF(M463&lt;60, TEXT(M463, "0.00"), TEXT(M463/(24*60*60), "M:SS.00"))</f>
        <v/>
      </c>
      <c r="O463" s="25">
        <f>IFERROR(__xludf.DUMMYFUNCTION("LET(
  gen,$A463, ev,$B463, t,$N463,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)"),779.0)</f>
        <v/>
      </c>
      <c r="P463" s="65" t="n"/>
      <c r="Q463" s="65" t="n"/>
      <c r="R463" s="69" t="n"/>
      <c r="S463" s="65" t="n"/>
      <c r="T463" s="69" t="n"/>
      <c r="U463" s="58" t="n"/>
      <c r="V463" s="69" t="n"/>
      <c r="W463" s="65" t="n"/>
      <c r="X463" s="65" t="n"/>
      <c r="Y463" s="65" t="n"/>
    </row>
    <row r="464">
      <c r="A464" s="8" t="inlineStr">
        <is>
          <t>M</t>
        </is>
      </c>
      <c r="B464" s="9" t="inlineStr">
        <is>
          <t>200 Free</t>
        </is>
      </c>
      <c r="C464" s="9" t="n">
        <v>20</v>
      </c>
      <c r="D464" s="9" t="n">
        <v>2</v>
      </c>
      <c r="E464" s="41" t="inlineStr">
        <is>
          <t>1:47.30</t>
        </is>
      </c>
      <c r="F464" s="35">
        <f>IFERROR(__xludf.DUMMYFUNCTION("IF(
  REGEXMATCH(E464, "":""),
  60*VALUE(INDEX(SPLIT(E464, "":""),1,1)) + VALUE(INDEX(SPLIT(E464, "":""),1,2)),
  VALUE(E464)
)"),107.3)</f>
        <v/>
      </c>
      <c r="G464" s="215">
        <f>C452</f>
        <v/>
      </c>
      <c r="H464" s="215">
        <f>C461</f>
        <v/>
      </c>
      <c r="I464" s="215">
        <f>C466</f>
        <v/>
      </c>
      <c r="J464" s="215">
        <f>C469</f>
        <v/>
      </c>
      <c r="K464" s="43">
        <f>IFS(H464=21,1,I464=21,2,J464=21,3,and(H464=20,I464=22),1.5, and(I464=20,J464=22),2.5,H464&gt;21,0.5)</f>
        <v/>
      </c>
      <c r="L464" s="43">
        <f t="array" ref="L464">INDEX('Podium Target Times'!$C:$C, MATCH(A464&amp;B464, 'Podium Target Times'!$A:$A&amp;'Podium Target Times'!$B:$B, 0))
</f>
        <v/>
      </c>
      <c r="M464" s="64">
        <f>IFS(K464=0.5,L464,K464=1,L464, K464=1.5, L464, K464=2, M466+(F464-F466), K464=2.5, M466+(F465-F467), K464=3, M466+(F465-F467))</f>
        <v/>
      </c>
      <c r="N464" s="43">
        <f>IF(M464&lt;60, TEXT(M464, "0.00"), TEXT(M464/(24*60*60), "M:SS.00"))</f>
        <v/>
      </c>
      <c r="O464" s="14">
        <f>IFERROR(__xludf.DUMMYFUNCTION("LET(
  gen,$A464, ev,$B464, t,$N464,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P464" s="65" t="n"/>
      <c r="Q464" s="65" t="n"/>
      <c r="R464" s="69" t="n"/>
      <c r="S464" s="65" t="n"/>
      <c r="T464" s="69" t="n"/>
      <c r="U464" s="58" t="n"/>
      <c r="V464" s="69" t="n"/>
      <c r="W464" s="65" t="n"/>
      <c r="X464" s="65" t="n"/>
      <c r="Y464" s="65" t="n"/>
    </row>
    <row r="465">
      <c r="A465" s="17" t="inlineStr">
        <is>
          <t>M</t>
        </is>
      </c>
      <c r="B465" s="18" t="inlineStr">
        <is>
          <t>200 Free</t>
        </is>
      </c>
      <c r="C465" s="18" t="n">
        <v>20</v>
      </c>
      <c r="D465" s="18" t="n">
        <v>3</v>
      </c>
      <c r="E465" s="46" t="inlineStr">
        <is>
          <t>1:47.84</t>
        </is>
      </c>
      <c r="F465" s="21">
        <f>IFERROR(__xludf.DUMMYFUNCTION("IF(
  REGEXMATCH(E465, "":""),
  60*VALUE(INDEX(SPLIT(E465, "":""),1,1)) + VALUE(INDEX(SPLIT(E465, "":""),1,2)),
  VALUE(E465)
)"),107.84)</f>
        <v/>
      </c>
      <c r="G465" s="211">
        <f>C452</f>
        <v/>
      </c>
      <c r="H465" s="211">
        <f>C461</f>
        <v/>
      </c>
      <c r="I465" s="211">
        <f>C466</f>
        <v/>
      </c>
      <c r="J465" s="211">
        <f>C469</f>
        <v/>
      </c>
      <c r="K465" s="60">
        <f>IFS(H465=21,1,I465=21,2,J465=21,3,and(H465=20,I465=22),1.5, and(I465=20,J465=22),2.5,H465&gt;21,0.5)</f>
        <v/>
      </c>
      <c r="L465" s="60">
        <f t="array" ref="L465">INDEX('Podium Target Times'!$C:$C, MATCH(A465&amp;B465, 'Podium Target Times'!$A:$A&amp;'Podium Target Times'!$B:$B, 0))
</f>
        <v/>
      </c>
      <c r="M465" s="66">
        <f>IFS(K465=0.5,L465,K465=1,L465, K465=1.5, L465, K465=2, M466+(F464-F466), K465=2.5, M466+(F465-F467), K465=3, M466+(F465-F467))</f>
        <v/>
      </c>
      <c r="N465" s="60">
        <f>IF(M465&lt;60, TEXT(M465, "0.00"), TEXT(M465/(24*60*60), "M:SS.00"))</f>
        <v/>
      </c>
      <c r="O465" s="25">
        <f>IFERROR(__xludf.DUMMYFUNCTION("LET(
  gen,$A465, ev,$B465, t,$N465,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)"),799.0)</f>
        <v/>
      </c>
      <c r="P465" s="65" t="n"/>
      <c r="Q465" s="65" t="n"/>
      <c r="R465" s="69" t="n"/>
      <c r="S465" s="65" t="n"/>
      <c r="T465" s="69" t="n"/>
      <c r="U465" s="58" t="n"/>
      <c r="V465" s="69" t="n"/>
      <c r="W465" s="65" t="n"/>
      <c r="X465" s="65" t="n"/>
      <c r="Y465" s="65" t="n"/>
    </row>
    <row r="466">
      <c r="A466" s="8" t="inlineStr">
        <is>
          <t>M</t>
        </is>
      </c>
      <c r="B466" s="9" t="inlineStr">
        <is>
          <t>200 Free</t>
        </is>
      </c>
      <c r="C466" s="9" t="n">
        <v>21</v>
      </c>
      <c r="D466" s="9" t="n">
        <v>2</v>
      </c>
      <c r="E466" s="41" t="inlineStr">
        <is>
          <t>1:46.70</t>
        </is>
      </c>
      <c r="F466" s="35">
        <f>IFERROR(__xludf.DUMMYFUNCTION("IF(
  REGEXMATCH(E466, "":""),
  60*VALUE(INDEX(SPLIT(E466, "":""),1,1)) + VALUE(INDEX(SPLIT(E466, "":""),1,2)),
  VALUE(E466)
)"),106.7)</f>
        <v/>
      </c>
      <c r="G466" s="215">
        <f>C452</f>
        <v/>
      </c>
      <c r="H466" s="215">
        <f>C461</f>
        <v/>
      </c>
      <c r="I466" s="215">
        <f>C466</f>
        <v/>
      </c>
      <c r="J466" s="215">
        <f>C469</f>
        <v/>
      </c>
      <c r="K466" s="43">
        <f>IFS(H466=21,1,I466=21,2,J466=21,3,and(H466=20,I466=22),1.5, and(I466=20,J466=22),2.5,H466&gt;21,0.5)</f>
        <v/>
      </c>
      <c r="L466" s="43">
        <f t="array" ref="L466">INDEX('Podium Target Times'!$C:$C, MATCH(A466&amp;B466, 'Podium Target Times'!$A:$A&amp;'Podium Target Times'!$B:$B, 0))
</f>
        <v/>
      </c>
      <c r="M466" s="64">
        <f>IFS(K466=0.5,L466,K466=1,L466, K466=1.5, L466, K466=2,L469, K466=2.5, M468+(F467-F468), K466=3,  M468+(F467-F468))</f>
        <v/>
      </c>
      <c r="N466" s="43">
        <f>IF(M466&lt;60, TEXT(M466, "0.00"), TEXT(M466/(24*60*60), "M:SS.00"))</f>
        <v/>
      </c>
      <c r="O466" s="14">
        <f>IFERROR(__xludf.DUMMYFUNCTION("LET(
  gen,$A466, ev,$B466, t,$N466,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
      </c>
      <c r="P466" s="65" t="n"/>
      <c r="Q466" s="65" t="n"/>
      <c r="R466" s="69" t="n"/>
      <c r="S466" s="65" t="n"/>
      <c r="T466" s="69" t="n"/>
      <c r="U466" s="58" t="n"/>
      <c r="V466" s="69" t="n"/>
      <c r="W466" s="65" t="n"/>
      <c r="X466" s="65" t="n"/>
      <c r="Y466" s="65" t="n"/>
    </row>
    <row r="467">
      <c r="A467" s="17" t="inlineStr">
        <is>
          <t>M</t>
        </is>
      </c>
      <c r="B467" s="18" t="inlineStr">
        <is>
          <t>200 Free</t>
        </is>
      </c>
      <c r="C467" s="18" t="n">
        <v>21</v>
      </c>
      <c r="D467" s="18" t="n">
        <v>3</v>
      </c>
      <c r="E467" s="46" t="inlineStr">
        <is>
          <t>1:47.24</t>
        </is>
      </c>
      <c r="F467" s="21">
        <f>IFERROR(__xludf.DUMMYFUNCTION("IF(
  REGEXMATCH(E467, "":""),
  60*VALUE(INDEX(SPLIT(E467, "":""),1,1)) + VALUE(INDEX(SPLIT(E467, "":""),1,2)),
  VALUE(E467)
)"),107.24000000000001)</f>
        <v/>
      </c>
      <c r="G467" s="211">
        <f>C452</f>
        <v/>
      </c>
      <c r="H467" s="211">
        <f>C461</f>
        <v/>
      </c>
      <c r="I467" s="211">
        <f>C466</f>
        <v/>
      </c>
      <c r="J467" s="211">
        <f>C469</f>
        <v/>
      </c>
      <c r="K467" s="60">
        <f>IFS(H467=21,1,I467=21,2,J467=21,3,and(H467=20,I467=22),1.5, and(I467=20,J467=22),2.5,H467&gt;21,0.5)</f>
        <v/>
      </c>
      <c r="L467" s="60">
        <f t="array" ref="L467">INDEX('Podium Target Times'!$C:$C, MATCH(A467&amp;B467, 'Podium Target Times'!$A:$A&amp;'Podium Target Times'!$B:$B, 0))
</f>
        <v/>
      </c>
      <c r="M467" s="66">
        <f>IFS(K467=0.5,L467,K467=1,L467, K467=1.5, L467, K467=2, L469, K467=2.5, M468+(F467-F468), K467=3, M468+(F467-F468))</f>
        <v/>
      </c>
      <c r="N467" s="60">
        <f>IF(M467&lt;60, TEXT(M467, "0.00"), TEXT(M467/(24*60*60), "M:SS.00"))</f>
        <v/>
      </c>
      <c r="O467" s="25">
        <f>IFERROR(__xludf.DUMMYFUNCTION("LET(
  gen,$A467, ev,$B467, t,$N467,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
      </c>
      <c r="P467" s="65" t="n"/>
      <c r="Q467" s="65" t="n"/>
      <c r="R467" s="69" t="n"/>
      <c r="S467" s="65" t="n"/>
      <c r="T467" s="69" t="n"/>
      <c r="U467" s="58" t="n"/>
      <c r="V467" s="69" t="n"/>
      <c r="W467" s="65" t="n"/>
      <c r="X467" s="65" t="n"/>
      <c r="Y467" s="65" t="n"/>
    </row>
    <row r="468">
      <c r="A468" s="8" t="inlineStr">
        <is>
          <t>M</t>
        </is>
      </c>
      <c r="B468" s="9" t="inlineStr">
        <is>
          <t>200 Free</t>
        </is>
      </c>
      <c r="C468" s="9" t="n">
        <v>22</v>
      </c>
      <c r="D468" s="9" t="n">
        <v>3</v>
      </c>
      <c r="E468" s="41" t="inlineStr">
        <is>
          <t>1:46.88</t>
        </is>
      </c>
      <c r="F468" s="35">
        <f>IFERROR(__xludf.DUMMYFUNCTION("IF(
  REGEXMATCH(E468, "":""),
  60*VALUE(INDEX(SPLIT(E468, "":""),1,1)) + VALUE(INDEX(SPLIT(E468, "":""),1,2)),
  VALUE(E468)
)"),106.88)</f>
        <v/>
      </c>
      <c r="G468" s="215">
        <f>C452</f>
        <v/>
      </c>
      <c r="H468" s="215">
        <f>C461</f>
        <v/>
      </c>
      <c r="I468" s="215">
        <f>C466</f>
        <v/>
      </c>
      <c r="J468" s="215">
        <f>C469</f>
        <v/>
      </c>
      <c r="K468" s="43">
        <f>IFS(H468=21,1,I468=21,2,J468=21,3,and(H468=20,I468=22),1.5, and(I468=20,J468=22),2.5,H468&gt;21,0.5)</f>
        <v/>
      </c>
      <c r="L468" s="43">
        <f t="array" ref="L468">INDEX('Podium Target Times'!$C:$C, MATCH(A468&amp;B468, 'Podium Target Times'!$A:$A&amp;'Podium Target Times'!$B:$B, 0))
</f>
        <v/>
      </c>
      <c r="M468" s="64">
        <f>IFS(K468=0.5,L468,K468=1,L468, K468=1.5, L468, K468=2, L469, K468=2.5, L469, K468=3, M469+(F468-F469))</f>
        <v/>
      </c>
      <c r="N468" s="43">
        <f>IF(M468&lt;60, TEXT(M468, "0.00"), TEXT(M468/(24*60*60), "M:SS.00"))</f>
        <v/>
      </c>
      <c r="O468" s="14">
        <f>IFERROR(__xludf.DUMMYFUNCTION("LET(
  gen,$A468, ev,$B468, t,$N468,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
      </c>
      <c r="P468" s="65" t="n"/>
      <c r="Q468" s="65" t="n"/>
      <c r="R468" s="69" t="n"/>
      <c r="S468" s="65" t="n"/>
      <c r="T468" s="69" t="n"/>
      <c r="U468" s="58" t="n"/>
      <c r="V468" s="69" t="n"/>
      <c r="W468" s="65" t="n"/>
      <c r="X468" s="65" t="n"/>
      <c r="Y468" s="65" t="n"/>
    </row>
    <row r="469">
      <c r="A469" s="17" t="inlineStr">
        <is>
          <t>M</t>
        </is>
      </c>
      <c r="B469" s="18" t="inlineStr">
        <is>
          <t>200 Free</t>
        </is>
      </c>
      <c r="C469" s="18" t="n">
        <v>23</v>
      </c>
      <c r="D469" s="18" t="n">
        <v>3</v>
      </c>
      <c r="E469" s="46" t="inlineStr">
        <is>
          <t>1:46.70</t>
        </is>
      </c>
      <c r="F469" s="21">
        <f>IFERROR(__xludf.DUMMYFUNCTION("IF(
  REGEXMATCH(E469, "":""),
  60*VALUE(INDEX(SPLIT(E469, "":""),1,1)) + VALUE(INDEX(SPLIT(E469, "":""),1,2)),
  VALUE(E469)
)"),106.7)</f>
        <v/>
      </c>
      <c r="G469" s="211">
        <f>C452</f>
        <v/>
      </c>
      <c r="H469" s="211">
        <f>C461</f>
        <v/>
      </c>
      <c r="I469" s="211">
        <f>C466</f>
        <v/>
      </c>
      <c r="J469" s="211">
        <f>C469</f>
        <v/>
      </c>
      <c r="K469" s="60">
        <f>IFS(H469=21,1,I469=21,2,J469=21,3,and(H469=20,I469=22),1.5, and(I469=20,J469=22),2.5,H469&gt;21,0.5)</f>
        <v/>
      </c>
      <c r="L469" s="60">
        <f t="array" ref="L469">INDEX('Podium Target Times'!$C:$C, MATCH(A469&amp;B469, 'Podium Target Times'!$A:$A&amp;'Podium Target Times'!$B:$B, 0))
</f>
        <v/>
      </c>
      <c r="M469" s="66">
        <f>IFS(K469=0.5,L469,K469=1,L469, K469=1.5, L469, K469=2, L469, K469=2.5, L469, K469=3, L469)</f>
        <v/>
      </c>
      <c r="N469" s="60">
        <f>IF(M469&lt;60, TEXT(M469, "0.00"), TEXT(M469/(24*60*60), "M:SS.00"))</f>
        <v/>
      </c>
      <c r="O469" s="25">
        <f>IFERROR(__xludf.DUMMYFUNCTION("LET(
  gen,$A469, ev,$B469, t,$N469,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)"),812.0)</f>
        <v/>
      </c>
      <c r="P469" s="65" t="n"/>
      <c r="Q469" s="65" t="n"/>
      <c r="R469" s="69" t="n"/>
      <c r="S469" s="65" t="n"/>
      <c r="T469" s="69" t="n"/>
      <c r="U469" s="58" t="n"/>
      <c r="V469" s="69" t="n"/>
      <c r="W469" s="65" t="n"/>
      <c r="X469" s="65" t="n"/>
      <c r="Y469" s="65" t="n"/>
    </row>
    <row r="470">
      <c r="A470" s="8" t="inlineStr">
        <is>
          <t>M</t>
        </is>
      </c>
      <c r="B470" s="9" t="inlineStr">
        <is>
          <t>200 IM</t>
        </is>
      </c>
      <c r="C470" s="9" t="n">
        <v>16</v>
      </c>
      <c r="D470" s="9" t="n">
        <v>1</v>
      </c>
      <c r="E470" s="41" t="inlineStr">
        <is>
          <t>2:06.50</t>
        </is>
      </c>
      <c r="F470" s="35">
        <f>IFERROR(__xludf.DUMMYFUNCTION("IF(
  REGEXMATCH(E470, "":""),
  60*VALUE(INDEX(SPLIT(E470, "":""),1,1)) + VALUE(INDEX(SPLIT(E470, "":""),1,2)),
  VALUE(E470)
)"),126.5)</f>
        <v/>
      </c>
      <c r="G470" s="43">
        <f>C470</f>
        <v/>
      </c>
      <c r="H470" s="43">
        <f>C479</f>
        <v/>
      </c>
      <c r="I470" s="43">
        <f>C484</f>
        <v/>
      </c>
      <c r="J470" s="43">
        <f>C487</f>
        <v/>
      </c>
      <c r="K470" s="43">
        <f>IFS(H470=21,1,I470=21,2,J470=21,3,and(H470=20,I470=22),1.5, and(I470=20,J470=22),2.5,H470&gt;21,0.5)</f>
        <v/>
      </c>
      <c r="L470" s="43">
        <f t="array" ref="L470">INDEX('Podium Target Times'!$C:$C, MATCH(A470&amp;B470, 'Podium Target Times'!$A:$A&amp;'Podium Target Times'!$B:$B, 0))
</f>
        <v/>
      </c>
      <c r="M470" s="64">
        <f>IFS(K470=0.5,M471+(F470-F471),K470=1,M471+(F470-F471), K470=1.5, M471+(F470-F471), K470=2, M471+(F470-F471), K470=2.5, M471+(F470-F471), K470=3, M471+(F470-F471))</f>
        <v/>
      </c>
      <c r="N470" s="43">
        <f>IF(M470&lt;60, TEXT(M470, "0.00"), TEXT(M470/(24*60*60), "M:SS.00"))</f>
        <v/>
      </c>
      <c r="O470" s="14">
        <f>IFERROR(__xludf.DUMMYFUNCTION("LET(
  gen,$A470, ev,$B470, t,$N470,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)"),666.0)</f>
        <v/>
      </c>
      <c r="P470" s="65" t="n"/>
      <c r="Q470" s="65" t="n"/>
      <c r="R470" s="69">
        <f>A470</f>
        <v/>
      </c>
      <c r="S470" s="65">
        <f>B470</f>
        <v/>
      </c>
      <c r="T470" s="69">
        <f>C470</f>
        <v/>
      </c>
      <c r="U470" s="58">
        <f>N470</f>
        <v/>
      </c>
      <c r="V470" s="69">
        <f>O470</f>
        <v/>
      </c>
      <c r="W470" s="65" t="n"/>
      <c r="X470" s="65" t="n"/>
      <c r="Y470" s="65" t="n"/>
    </row>
    <row r="471">
      <c r="A471" s="17" t="inlineStr">
        <is>
          <t>M</t>
        </is>
      </c>
      <c r="B471" s="18" t="inlineStr">
        <is>
          <t>200 IM</t>
        </is>
      </c>
      <c r="C471" s="18" t="n">
        <v>17</v>
      </c>
      <c r="D471" s="18" t="n">
        <v>1</v>
      </c>
      <c r="E471" s="46" t="inlineStr">
        <is>
          <t>2:03.32</t>
        </is>
      </c>
      <c r="F471" s="21">
        <f>IFERROR(__xludf.DUMMYFUNCTION("IF(
  REGEXMATCH(E471, "":""),
  60*VALUE(INDEX(SPLIT(E471, "":""),1,1)) + VALUE(INDEX(SPLIT(E471, "":""),1,2)),
  VALUE(E471)
)"),123.32)</f>
        <v/>
      </c>
      <c r="G471" s="211">
        <f>C470</f>
        <v/>
      </c>
      <c r="H471" s="211">
        <f>C479</f>
        <v/>
      </c>
      <c r="I471" s="211">
        <f>C484</f>
        <v/>
      </c>
      <c r="J471" s="211">
        <f>C487</f>
        <v/>
      </c>
      <c r="K471" s="60">
        <f>IFS(H471=21,1,I471=21,2,J471=21,3,and(H471=20,I471=22),1.5, and(I471=20,J471=22),2.5,H471&gt;21,0.5)</f>
        <v/>
      </c>
      <c r="L471" s="60">
        <f t="array" ref="L471">INDEX('Podium Target Times'!$C:$C, MATCH(A471&amp;B471, 'Podium Target Times'!$A:$A&amp;'Podium Target Times'!$B:$B, 0))
</f>
        <v/>
      </c>
      <c r="M471" s="66">
        <f>IFS(K471=0.5,M472+(F471-F473),K471=1,M472+(F471-F473), K471=1.5, M473+(F472-F474), K471=2, M473+(F472-F474), K471=2.5, M473+(F472-F474), K471=3, M473+(F472-F474))</f>
        <v/>
      </c>
      <c r="N471" s="60">
        <f>IF(M471&lt;60, TEXT(M471, "0.00"), TEXT(M471/(24*60*60), "M:SS.00"))</f>
        <v/>
      </c>
      <c r="O471" s="25">
        <f>IFERROR(__xludf.DUMMYFUNCTION("LET(
  gen,$A471, ev,$B471, t,$N471,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P471" s="65" t="n"/>
      <c r="Q471" s="65" t="n"/>
      <c r="R471" s="69">
        <f>A471</f>
        <v/>
      </c>
      <c r="S471" s="65">
        <f>B471</f>
        <v/>
      </c>
      <c r="T471" s="69">
        <f>C471</f>
        <v/>
      </c>
      <c r="U471" s="58">
        <f>N471</f>
        <v/>
      </c>
      <c r="V471" s="69">
        <f>O471</f>
        <v/>
      </c>
      <c r="W471" s="65" t="n"/>
      <c r="X471" s="65" t="n"/>
      <c r="Y471" s="65" t="n"/>
    </row>
    <row r="472">
      <c r="A472" s="8" t="inlineStr">
        <is>
          <t>M</t>
        </is>
      </c>
      <c r="B472" s="9" t="inlineStr">
        <is>
          <t>200 IM</t>
        </is>
      </c>
      <c r="C472" s="9" t="n">
        <v>17</v>
      </c>
      <c r="D472" s="9" t="n">
        <v>2</v>
      </c>
      <c r="E472" s="41" t="inlineStr">
        <is>
          <t>2:04.42</t>
        </is>
      </c>
      <c r="F472" s="35">
        <f>IFERROR(__xludf.DUMMYFUNCTION("IF(
  REGEXMATCH(E472, "":""),
  60*VALUE(INDEX(SPLIT(E472, "":""),1,1)) + VALUE(INDEX(SPLIT(E472, "":""),1,2)),
  VALUE(E472)
)"),124.42)</f>
        <v/>
      </c>
      <c r="G472" s="215">
        <f>C470</f>
        <v/>
      </c>
      <c r="H472" s="215">
        <f>C479</f>
        <v/>
      </c>
      <c r="I472" s="215">
        <f>C484</f>
        <v/>
      </c>
      <c r="J472" s="215">
        <f>C487</f>
        <v/>
      </c>
      <c r="K472" s="43">
        <f>IFS(H472=21,1,I472=21,2,J472=21,3,and(H472=20,I472=22),1.5, and(I472=20,J472=22),2.5,H472&gt;21,0.5)</f>
        <v/>
      </c>
      <c r="L472" s="43">
        <f t="array" ref="L472">INDEX('Podium Target Times'!$C:$C, MATCH(A472&amp;B472, 'Podium Target Times'!$A:$A&amp;'Podium Target Times'!$B:$B, 0))
</f>
        <v/>
      </c>
      <c r="M472" s="64">
        <f>IFS(K472=0.5,M473+(F472-F475),K472=1,M473+(F472-F475), K472=1.5, M473+(F472-F474), K472=2, M473+(F472-F474), K472=2.5, M473+(F472-F474), K472=3, M473+(F472-F474))</f>
        <v/>
      </c>
      <c r="N472" s="43">
        <f>IF(M472&lt;60, TEXT(M472, "0.00"), TEXT(M472/(24*60*60), "M:SS.00"))</f>
        <v/>
      </c>
      <c r="O472" s="14">
        <f>IFERROR(__xludf.DUMMYFUNCTION("LET(
  gen,$A472, ev,$B472, t,$N472,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)"),717.0)</f>
        <v/>
      </c>
      <c r="P472" s="65" t="n"/>
      <c r="Q472" s="65" t="n"/>
      <c r="R472" s="69">
        <f>A473</f>
        <v/>
      </c>
      <c r="S472" s="65">
        <f>B473</f>
        <v/>
      </c>
      <c r="T472" s="69">
        <f>C473</f>
        <v/>
      </c>
      <c r="U472" s="58">
        <f>N473</f>
        <v/>
      </c>
      <c r="V472" s="69">
        <f>O473</f>
        <v/>
      </c>
      <c r="W472" s="65" t="n"/>
      <c r="X472" s="65" t="n"/>
      <c r="Y472" s="65" t="n"/>
    </row>
    <row r="473">
      <c r="A473" s="17" t="inlineStr">
        <is>
          <t>M</t>
        </is>
      </c>
      <c r="B473" s="18" t="inlineStr">
        <is>
          <t>200 IM</t>
        </is>
      </c>
      <c r="C473" s="18" t="n">
        <v>18</v>
      </c>
      <c r="D473" s="18" t="n">
        <v>1</v>
      </c>
      <c r="E473" s="46" t="inlineStr">
        <is>
          <t>2:01.30</t>
        </is>
      </c>
      <c r="F473" s="21">
        <f>IFERROR(__xludf.DUMMYFUNCTION("IF(
  REGEXMATCH(E473, "":""),
  60*VALUE(INDEX(SPLIT(E473, "":""),1,1)) + VALUE(INDEX(SPLIT(E473, "":""),1,2)),
  VALUE(E473)
)"),121.3)</f>
        <v/>
      </c>
      <c r="G473" s="211">
        <f>C470</f>
        <v/>
      </c>
      <c r="H473" s="211">
        <f>C479</f>
        <v/>
      </c>
      <c r="I473" s="211">
        <f>C484</f>
        <v/>
      </c>
      <c r="J473" s="211">
        <f>C487</f>
        <v/>
      </c>
      <c r="K473" s="60">
        <f>IFS(H473=21,1,I473=21,2,J473=21,3,and(H473=20,I473=22),1.5, and(I473=20,J473=22),2.5,H473&gt;21,0.5)</f>
        <v/>
      </c>
      <c r="L473" s="60">
        <f t="array" ref="L473">INDEX('Podium Target Times'!$C:$C, MATCH(A473&amp;B473, 'Podium Target Times'!$A:$A&amp;'Podium Target Times'!$B:$B, 0))
</f>
        <v/>
      </c>
      <c r="M473" s="66">
        <f>IFS(K473=0.5,M474+(F473-F476),K473=1,M474+(F473-F476), K473=1.5, M476+(F474-F477), K473=2, M476+(F474-F477), K473=2.5, M476+(F475-F478), K473=3, M476+(F475-F478))</f>
        <v/>
      </c>
      <c r="N473" s="60">
        <f>IF(M473&lt;60, TEXT(M473, "0.00"), TEXT(M473/(24*60*60), "M:SS.00"))</f>
        <v/>
      </c>
      <c r="O473" s="25">
        <f>IFERROR(__xludf.DUMMYFUNCTION("LET(
  gen,$A473, ev,$B473, t,$N473,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P473" s="65" t="n"/>
      <c r="Q473" s="65" t="n"/>
      <c r="R473" s="69">
        <f>A476</f>
        <v/>
      </c>
      <c r="S473" s="65">
        <f>B476</f>
        <v/>
      </c>
      <c r="T473" s="69">
        <f>C476</f>
        <v/>
      </c>
      <c r="U473" s="58">
        <f>N476</f>
        <v/>
      </c>
      <c r="V473" s="69">
        <f>O476</f>
        <v/>
      </c>
      <c r="W473" s="65" t="n"/>
      <c r="X473" s="65" t="n"/>
      <c r="Y473" s="65" t="n"/>
    </row>
    <row r="474">
      <c r="A474" s="8" t="inlineStr">
        <is>
          <t>M</t>
        </is>
      </c>
      <c r="B474" s="9" t="inlineStr">
        <is>
          <t>200 IM</t>
        </is>
      </c>
      <c r="C474" s="9" t="n">
        <v>18</v>
      </c>
      <c r="D474" s="9" t="n">
        <v>2</v>
      </c>
      <c r="E474" s="41" t="inlineStr">
        <is>
          <t>2:02.39</t>
        </is>
      </c>
      <c r="F474" s="35">
        <f>IFERROR(__xludf.DUMMYFUNCTION("IF(
  REGEXMATCH(E474, "":""),
  60*VALUE(INDEX(SPLIT(E474, "":""),1,1)) + VALUE(INDEX(SPLIT(E474, "":""),1,2)),
  VALUE(E474)
)"),122.39)</f>
        <v/>
      </c>
      <c r="G474" s="215">
        <f>C470</f>
        <v/>
      </c>
      <c r="H474" s="215">
        <f>C479</f>
        <v/>
      </c>
      <c r="I474" s="215">
        <f>C484</f>
        <v/>
      </c>
      <c r="J474" s="215">
        <f>C487</f>
        <v/>
      </c>
      <c r="K474" s="43">
        <f>IFS(H474=21,1,I474=21,2,J474=21,3,and(H474=20,I474=22),1.5, and(I474=20,J474=22),2.5,H474&gt;21,0.5)</f>
        <v/>
      </c>
      <c r="L474" s="43">
        <f t="array" ref="L474">INDEX('Podium Target Times'!$C:$C, MATCH(A474&amp;B474, 'Podium Target Times'!$A:$A&amp;'Podium Target Times'!$B:$B, 0))
</f>
        <v/>
      </c>
      <c r="M474" s="64">
        <f>IFS(K474=0.5,M475+(F473-F476),K474=1,M475+(F473-F476), K474=1.5, M476+(F474-F477), K474=2, M476+(F474-F477), K474=2.5, M476+(F475-F478), K474=3, M476+(F475-F478))</f>
        <v/>
      </c>
      <c r="N474" s="43">
        <f>IF(M474&lt;60, TEXT(M474, "0.00"), TEXT(M474/(24*60*60), "M:SS.00"))</f>
        <v/>
      </c>
      <c r="O474" s="14">
        <f>IFERROR(__xludf.DUMMYFUNCTION("LET(
  gen,$A474, ev,$B474, t,$N474,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P474" s="65" t="n"/>
      <c r="Q474" s="65" t="n"/>
      <c r="R474" s="69">
        <f>A479</f>
        <v/>
      </c>
      <c r="S474" s="65">
        <f>B479</f>
        <v/>
      </c>
      <c r="T474" s="69">
        <f>C479</f>
        <v/>
      </c>
      <c r="U474" s="58">
        <f>N479</f>
        <v/>
      </c>
      <c r="V474" s="69">
        <f>O479</f>
        <v/>
      </c>
      <c r="W474" s="65" t="n"/>
      <c r="X474" s="65" t="n"/>
      <c r="Y474" s="65" t="n"/>
    </row>
    <row r="475">
      <c r="A475" s="17" t="inlineStr">
        <is>
          <t>M</t>
        </is>
      </c>
      <c r="B475" s="18" t="inlineStr">
        <is>
          <t>200 IM</t>
        </is>
      </c>
      <c r="C475" s="18" t="n">
        <v>18</v>
      </c>
      <c r="D475" s="18" t="n">
        <v>3</v>
      </c>
      <c r="E475" s="46" t="inlineStr">
        <is>
          <t>2:02.59</t>
        </is>
      </c>
      <c r="F475" s="21">
        <f>IFERROR(__xludf.DUMMYFUNCTION("IF(
  REGEXMATCH(E475, "":""),
  60*VALUE(INDEX(SPLIT(E475, "":""),1,1)) + VALUE(INDEX(SPLIT(E475, "":""),1,2)),
  VALUE(E475)
)"),122.59)</f>
        <v/>
      </c>
      <c r="G475" s="211">
        <f>C470</f>
        <v/>
      </c>
      <c r="H475" s="211">
        <f>C479</f>
        <v/>
      </c>
      <c r="I475" s="211">
        <f>C484</f>
        <v/>
      </c>
      <c r="J475" s="211">
        <f>C487</f>
        <v/>
      </c>
      <c r="K475" s="60">
        <f>IFS(H475=21,1,I475=21,2,J475=21,3,and(H475=20,I475=22),1.5, and(I475=20,J475=22),2.5,H475&gt;21,0.5)</f>
        <v/>
      </c>
      <c r="L475" s="60">
        <f t="array" ref="L475">INDEX('Podium Target Times'!$C:$C, MATCH(A475&amp;B475, 'Podium Target Times'!$A:$A&amp;'Podium Target Times'!$B:$B, 0))
</f>
        <v/>
      </c>
      <c r="M475" s="66">
        <f>IFS(K475=0.5,M476+(F473-F476),K475=1,M476+(F473-F476), K475=1.5, M476+(F474-F477), K475=2, M476+(F474-F477), K475=2.5, M476+(F475-F478), K475=3, M476+(F475-F478))</f>
        <v/>
      </c>
      <c r="N475" s="60">
        <f>IF(M475&lt;60, TEXT(M475, "0.00"), TEXT(M475/(24*60*60), "M:SS.00"))</f>
        <v/>
      </c>
      <c r="O475" s="25">
        <f>IFERROR(__xludf.DUMMYFUNCTION("LET(
  gen,$A475, ev,$B475, t,$N475,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P475" s="65" t="n"/>
      <c r="Q475" s="65" t="n"/>
      <c r="R475" s="69">
        <f>A482</f>
        <v/>
      </c>
      <c r="S475" s="65">
        <f>B482</f>
        <v/>
      </c>
      <c r="T475" s="69">
        <f>C482</f>
        <v/>
      </c>
      <c r="U475" s="58">
        <f>N482</f>
        <v/>
      </c>
      <c r="V475" s="69">
        <f>O482</f>
        <v/>
      </c>
      <c r="W475" s="65" t="n"/>
      <c r="X475" s="65" t="n"/>
      <c r="Y475" s="65" t="n"/>
    </row>
    <row r="476">
      <c r="A476" s="8" t="inlineStr">
        <is>
          <t>M</t>
        </is>
      </c>
      <c r="B476" s="9" t="inlineStr">
        <is>
          <t>200 IM</t>
        </is>
      </c>
      <c r="C476" s="9" t="n">
        <v>19</v>
      </c>
      <c r="D476" s="9" t="n">
        <v>1</v>
      </c>
      <c r="E476" s="41" t="inlineStr">
        <is>
          <t>1:59.95</t>
        </is>
      </c>
      <c r="F476" s="35">
        <f>IFERROR(__xludf.DUMMYFUNCTION("IF(
  REGEXMATCH(E476, "":""),
  60*VALUE(INDEX(SPLIT(E476, "":""),1,1)) + VALUE(INDEX(SPLIT(E476, "":""),1,2)),
  VALUE(E476)
)"),119.95)</f>
        <v/>
      </c>
      <c r="G476" s="215">
        <f>C470</f>
        <v/>
      </c>
      <c r="H476" s="215">
        <f>C479</f>
        <v/>
      </c>
      <c r="I476" s="215">
        <f>C484</f>
        <v/>
      </c>
      <c r="J476" s="215">
        <f>C487</f>
        <v/>
      </c>
      <c r="K476" s="43">
        <f>IFS(H476=21,1,I476=21,2,J476=21,3,and(H476=20,I476=22),1.5, and(I476=20,J476=22),2.5,H476&gt;21,0.5)</f>
        <v/>
      </c>
      <c r="L476" s="43">
        <f t="array" ref="L476">INDEX('Podium Target Times'!$C:$C, MATCH(A476&amp;B476, 'Podium Target Times'!$A:$A&amp;'Podium Target Times'!$B:$B, 0))
</f>
        <v/>
      </c>
      <c r="M476" s="64">
        <f>IFS(K476=0.5,L476,K476=1,U474+(F476-F479), K476=1.5, M479+(F477-F480), K476=2, M479+(F477-F480), K476=2.5, M479+(F478-F481), K476=3, M479+(F478-F481))</f>
        <v/>
      </c>
      <c r="N476" s="43">
        <f>IF(M476&lt;60, TEXT(M476, "0.00"), TEXT(M476/(24*60*60), "M:SS.00"))</f>
        <v/>
      </c>
      <c r="O476" s="14">
        <f>IFERROR(__xludf.DUMMYFUNCTION("LET(
  gen,$A476, ev,$B476, t,$N476,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476" s="65" t="n"/>
      <c r="Q476" s="65" t="n"/>
      <c r="R476" s="69" t="n"/>
      <c r="S476" s="65" t="n"/>
      <c r="T476" s="69" t="n"/>
      <c r="U476" s="58" t="n"/>
      <c r="V476" s="69" t="n"/>
      <c r="W476" s="65" t="n"/>
      <c r="X476" s="65" t="n"/>
      <c r="Y476" s="65" t="n"/>
    </row>
    <row r="477">
      <c r="A477" s="17" t="inlineStr">
        <is>
          <t>M</t>
        </is>
      </c>
      <c r="B477" s="18" t="inlineStr">
        <is>
          <t>200 IM</t>
        </is>
      </c>
      <c r="C477" s="18" t="n">
        <v>19</v>
      </c>
      <c r="D477" s="18" t="n">
        <v>2</v>
      </c>
      <c r="E477" s="46" t="inlineStr">
        <is>
          <t>2:01.03</t>
        </is>
      </c>
      <c r="F477" s="21">
        <f>IFERROR(__xludf.DUMMYFUNCTION("IF(
  REGEXMATCH(E477, "":""),
  60*VALUE(INDEX(SPLIT(E477, "":""),1,1)) + VALUE(INDEX(SPLIT(E477, "":""),1,2)),
  VALUE(E477)
)"),121.03)</f>
        <v/>
      </c>
      <c r="G477" s="211">
        <f>C470</f>
        <v/>
      </c>
      <c r="H477" s="211">
        <f>C479</f>
        <v/>
      </c>
      <c r="I477" s="211">
        <f>C484</f>
        <v/>
      </c>
      <c r="J477" s="211">
        <f>C487</f>
        <v/>
      </c>
      <c r="K477" s="60">
        <f>IFS(H477=21,1,I477=21,2,J477=21,3,and(H477=20,I477=22),1.5, and(I477=20,J477=22),2.5,H477&gt;21,0.5)</f>
        <v/>
      </c>
      <c r="L477" s="60">
        <f t="array" ref="L477">INDEX('Podium Target Times'!$C:$C, MATCH(A477&amp;B477, 'Podium Target Times'!$A:$A&amp;'Podium Target Times'!$B:$B, 0))
</f>
        <v/>
      </c>
      <c r="M477" s="66">
        <f>IFS(K477=0.5,L477,K477=1,U474+(F476-F479), K477=1.5, M479+(F477-F480), K477=2, M479+(F477-F480), K477=2.5, M479+(F478-F481), K477=3, M479+(F478-F481))</f>
        <v/>
      </c>
      <c r="N477" s="60">
        <f>IF(M477&lt;60, TEXT(M477, "0.00"), TEXT(M477/(24*60*60), "M:SS.00"))</f>
        <v/>
      </c>
      <c r="O477" s="25">
        <f>IFERROR(__xludf.DUMMYFUNCTION("LET(
  gen,$A477, ev,$B477, t,$N477,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477" s="65" t="n"/>
      <c r="Q477" s="65" t="n"/>
      <c r="R477" s="69" t="n"/>
      <c r="S477" s="65" t="n"/>
      <c r="T477" s="69" t="n"/>
      <c r="U477" s="58" t="n"/>
      <c r="V477" s="69" t="n"/>
      <c r="W477" s="65" t="n"/>
      <c r="X477" s="65" t="n"/>
      <c r="Y477" s="65" t="n"/>
    </row>
    <row r="478">
      <c r="A478" s="8" t="inlineStr">
        <is>
          <t>M</t>
        </is>
      </c>
      <c r="B478" s="9" t="inlineStr">
        <is>
          <t>200 IM</t>
        </is>
      </c>
      <c r="C478" s="9" t="n">
        <v>19</v>
      </c>
      <c r="D478" s="9" t="n">
        <v>3</v>
      </c>
      <c r="E478" s="41" t="inlineStr">
        <is>
          <t>2:01.22</t>
        </is>
      </c>
      <c r="F478" s="35">
        <f>IFERROR(__xludf.DUMMYFUNCTION("IF(
  REGEXMATCH(E478, "":""),
  60*VALUE(INDEX(SPLIT(E478, "":""),1,1)) + VALUE(INDEX(SPLIT(E478, "":""),1,2)),
  VALUE(E478)
)"),121.22)</f>
        <v/>
      </c>
      <c r="G478" s="215">
        <f>C470</f>
        <v/>
      </c>
      <c r="H478" s="215">
        <f>C479</f>
        <v/>
      </c>
      <c r="I478" s="215">
        <f>C484</f>
        <v/>
      </c>
      <c r="J478" s="215">
        <f>C487</f>
        <v/>
      </c>
      <c r="K478" s="43">
        <f>IFS(H478=21,1,I478=21,2,J478=21,3,and(H478=20,I478=22),1.5, and(I478=20,J478=22),2.5,H478&gt;21,0.5)</f>
        <v/>
      </c>
      <c r="L478" s="43">
        <f t="array" ref="L478">INDEX('Podium Target Times'!$C:$C, MATCH(A478&amp;B478, 'Podium Target Times'!$A:$A&amp;'Podium Target Times'!$B:$B, 0))
</f>
        <v/>
      </c>
      <c r="M478" s="64">
        <f>IFS(K478=0.5,L478,K478=1,U474+(F476-F479), K478=1.5, M479+(F477-F480), K478=2, M479+(F477-F480), K478=2.5, M479+(F478-F481), K478=3, M479+(F478-F481))</f>
        <v/>
      </c>
      <c r="N478" s="43">
        <f>IF(M478&lt;60, TEXT(M478, "0.00"), TEXT(M478/(24*60*60), "M:SS.00"))</f>
        <v/>
      </c>
      <c r="O478" s="14">
        <f>IFERROR(__xludf.DUMMYFUNCTION("LET(
  gen,$A478, ev,$B478, t,$N478,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478" s="65" t="n"/>
      <c r="Q478" s="65" t="n"/>
      <c r="R478" s="69" t="n"/>
      <c r="S478" s="65" t="n"/>
      <c r="T478" s="69" t="n"/>
      <c r="U478" s="58" t="n"/>
      <c r="V478" s="69" t="n"/>
      <c r="W478" s="65" t="n"/>
      <c r="X478" s="65" t="n"/>
      <c r="Y478" s="65" t="n"/>
    </row>
    <row r="479">
      <c r="A479" s="17" t="inlineStr">
        <is>
          <t>M</t>
        </is>
      </c>
      <c r="B479" s="18" t="inlineStr">
        <is>
          <t>200 IM</t>
        </is>
      </c>
      <c r="C479" s="18" t="n">
        <v>20</v>
      </c>
      <c r="D479" s="18" t="n">
        <v>1</v>
      </c>
      <c r="E479" s="46" t="inlineStr">
        <is>
          <t>1:59.05</t>
        </is>
      </c>
      <c r="F479" s="21">
        <f>IFERROR(__xludf.DUMMYFUNCTION("IF(
  REGEXMATCH(E479, "":""),
  60*VALUE(INDEX(SPLIT(E479, "":""),1,1)) + VALUE(INDEX(SPLIT(E479, "":""),1,2)),
  VALUE(E479)
)"),119.05)</f>
        <v/>
      </c>
      <c r="G479" s="211">
        <f>C470</f>
        <v/>
      </c>
      <c r="H479" s="211">
        <f>C479</f>
        <v/>
      </c>
      <c r="I479" s="211">
        <f>C484</f>
        <v/>
      </c>
      <c r="J479" s="211">
        <f>C487</f>
        <v/>
      </c>
      <c r="K479" s="60">
        <f>IFS(H479=21,1,I479=21,2,J479=21,3,and(H479=20,I479=22),1.5, and(I479=20,J479=22),2.5,H479&gt;21,0.5)</f>
        <v/>
      </c>
      <c r="L479" s="60">
        <f t="array" ref="L479">INDEX('Podium Target Times'!$C:$C, MATCH(A479&amp;B479, 'Podium Target Times'!$A:$A&amp;'Podium Target Times'!$B:$B, 0))
</f>
        <v/>
      </c>
      <c r="M479" s="66">
        <f>IFS(K479=0.5,L479,K479=1,L479, K479=1.5, M482+(F480-F482), K479=2, M482+(F480-F482), K479=2.5, M482+(F481-F483), K479=3, M482+(F481-F483))</f>
        <v/>
      </c>
      <c r="N479" s="60">
        <f>IF(M479&lt;60, TEXT(M479, "0.00"), TEXT(M479/(24*60*60), "M:SS.00"))</f>
        <v/>
      </c>
      <c r="O479" s="25">
        <f>IFERROR(__xludf.DUMMYFUNCTION("LET(
  gen,$A479, ev,$B479, t,$N479,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479" s="65" t="n"/>
      <c r="Q479" s="65" t="n"/>
      <c r="R479" s="69" t="n"/>
      <c r="S479" s="65" t="n"/>
      <c r="T479" s="69" t="n"/>
      <c r="U479" s="58" t="n"/>
      <c r="V479" s="69" t="n"/>
      <c r="W479" s="65" t="n"/>
      <c r="X479" s="65" t="n"/>
      <c r="Y479" s="65" t="n"/>
    </row>
    <row r="480">
      <c r="A480" s="8" t="inlineStr">
        <is>
          <t>M</t>
        </is>
      </c>
      <c r="B480" s="9" t="inlineStr">
        <is>
          <t>200 IM</t>
        </is>
      </c>
      <c r="C480" s="9" t="n">
        <v>20</v>
      </c>
      <c r="D480" s="9" t="n">
        <v>2</v>
      </c>
      <c r="E480" s="41" t="inlineStr">
        <is>
          <t>2:00.12</t>
        </is>
      </c>
      <c r="F480" s="35">
        <f>IFERROR(__xludf.DUMMYFUNCTION("IF(
  REGEXMATCH(E480, "":""),
  60*VALUE(INDEX(SPLIT(E480, "":""),1,1)) + VALUE(INDEX(SPLIT(E480, "":""),1,2)),
  VALUE(E480)
)"),120.12)</f>
        <v/>
      </c>
      <c r="G480" s="215">
        <f>C470</f>
        <v/>
      </c>
      <c r="H480" s="215">
        <f>C479</f>
        <v/>
      </c>
      <c r="I480" s="215">
        <f>C484</f>
        <v/>
      </c>
      <c r="J480" s="215">
        <f>C487</f>
        <v/>
      </c>
      <c r="K480" s="43">
        <f>IFS(H480=21,1,I480=21,2,J480=21,3,and(H480=20,I480=22),1.5, and(I480=20,J480=22),2.5,H480&gt;21,0.5)</f>
        <v/>
      </c>
      <c r="L480" s="43">
        <f t="array" ref="L480">INDEX('Podium Target Times'!$C:$C, MATCH(A480&amp;B480, 'Podium Target Times'!$A:$A&amp;'Podium Target Times'!$B:$B, 0))
</f>
        <v/>
      </c>
      <c r="M480" s="64">
        <f>IFS(K480=0.5,L480,K480=1,L480, K480=1.5, M482+(F480-F482), K480=2, M482+(F480-F482), K480=2.5, M482+(F481-F483), K480=3, M482+(F481-F483))</f>
        <v/>
      </c>
      <c r="N480" s="43">
        <f>IF(M480&lt;60, TEXT(M480, "0.00"), TEXT(M480/(24*60*60), "M:SS.00"))</f>
        <v/>
      </c>
      <c r="O480" s="14">
        <f>IFERROR(__xludf.DUMMYFUNCTION("LET(
  gen,$A480, ev,$B480, t,$N480,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480" s="65" t="n"/>
      <c r="Q480" s="65" t="n"/>
      <c r="R480" s="69" t="n"/>
      <c r="S480" s="65" t="n"/>
      <c r="T480" s="69" t="n"/>
      <c r="U480" s="58" t="n"/>
      <c r="V480" s="69" t="n"/>
      <c r="W480" s="65" t="n"/>
      <c r="X480" s="65" t="n"/>
      <c r="Y480" s="65" t="n"/>
    </row>
    <row r="481">
      <c r="A481" s="17" t="inlineStr">
        <is>
          <t>M</t>
        </is>
      </c>
      <c r="B481" s="18" t="inlineStr">
        <is>
          <t>200 IM</t>
        </is>
      </c>
      <c r="C481" s="18" t="n">
        <v>20</v>
      </c>
      <c r="D481" s="18" t="n">
        <v>3</v>
      </c>
      <c r="E481" s="46" t="inlineStr">
        <is>
          <t>2:00.31</t>
        </is>
      </c>
      <c r="F481" s="21">
        <f>IFERROR(__xludf.DUMMYFUNCTION("IF(
  REGEXMATCH(E481, "":""),
  60*VALUE(INDEX(SPLIT(E481, "":""),1,1)) + VALUE(INDEX(SPLIT(E481, "":""),1,2)),
  VALUE(E481)
)"),120.31)</f>
        <v/>
      </c>
      <c r="G481" s="211">
        <f>C470</f>
        <v/>
      </c>
      <c r="H481" s="211">
        <f>C479</f>
        <v/>
      </c>
      <c r="I481" s="211">
        <f>C484</f>
        <v/>
      </c>
      <c r="J481" s="211">
        <f>C487</f>
        <v/>
      </c>
      <c r="K481" s="60">
        <f>IFS(H481=21,1,I481=21,2,J481=21,3,and(H481=20,I481=22),1.5, and(I481=20,J481=22),2.5,H481&gt;21,0.5)</f>
        <v/>
      </c>
      <c r="L481" s="60">
        <f t="array" ref="L481">INDEX('Podium Target Times'!$C:$C, MATCH(A481&amp;B481, 'Podium Target Times'!$A:$A&amp;'Podium Target Times'!$B:$B, 0))
</f>
        <v/>
      </c>
      <c r="M481" s="66">
        <f>IFS(K481=0.5,L481,K481=1,L481, K481=1.5, M482+(F480-F482), K481=2, M482+(F480-F482), K481=2.5, M482+(F481-F483), K481=3, M482+(F481-F483))</f>
        <v/>
      </c>
      <c r="N481" s="60">
        <f>IF(M481&lt;60, TEXT(M481, "0.00"), TEXT(M481/(24*60*60), "M:SS.00"))</f>
        <v/>
      </c>
      <c r="O481" s="25">
        <f>IFERROR(__xludf.DUMMYFUNCTION("LET(
  gen,$A481, ev,$B481, t,$N481,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481" s="65" t="n"/>
      <c r="Q481" s="65" t="n"/>
      <c r="R481" s="69" t="n"/>
      <c r="S481" s="65" t="n"/>
      <c r="T481" s="69" t="n"/>
      <c r="U481" s="58" t="n"/>
      <c r="V481" s="69" t="n"/>
      <c r="W481" s="65" t="n"/>
      <c r="X481" s="65" t="n"/>
      <c r="Y481" s="65" t="n"/>
    </row>
    <row r="482">
      <c r="A482" s="8" t="inlineStr">
        <is>
          <t>M</t>
        </is>
      </c>
      <c r="B482" s="9" t="inlineStr">
        <is>
          <t>200 IM</t>
        </is>
      </c>
      <c r="C482" s="9" t="n">
        <v>21</v>
      </c>
      <c r="D482" s="9" t="n">
        <v>2</v>
      </c>
      <c r="E482" s="41" t="inlineStr">
        <is>
          <t>1:59.49</t>
        </is>
      </c>
      <c r="F482" s="35">
        <f>IFERROR(__xludf.DUMMYFUNCTION("IF(
  REGEXMATCH(E482, "":""),
  60*VALUE(INDEX(SPLIT(E482, "":""),1,1)) + VALUE(INDEX(SPLIT(E482, "":""),1,2)),
  VALUE(E482)
)"),119.49000000000001)</f>
        <v/>
      </c>
      <c r="G482" s="215">
        <f>C470</f>
        <v/>
      </c>
      <c r="H482" s="215">
        <f>C479</f>
        <v/>
      </c>
      <c r="I482" s="215">
        <f>C484</f>
        <v/>
      </c>
      <c r="J482" s="215">
        <f>C487</f>
        <v/>
      </c>
      <c r="K482" s="43">
        <f>IFS(H482=21,1,I482=21,2,J482=21,3,and(H482=20,I482=22),1.5, and(I482=20,J482=22),2.5,H482&gt;21,0.5)</f>
        <v/>
      </c>
      <c r="L482" s="43">
        <f t="array" ref="L482">INDEX('Podium Target Times'!$C:$C, MATCH(A482&amp;B482, 'Podium Target Times'!$A:$A&amp;'Podium Target Times'!$B:$B, 0))
</f>
        <v/>
      </c>
      <c r="M482" s="64">
        <f>IFS(K482=0.5,L482,K482=1,L482, K482=1.5, L482, K482=2, M484+(F482-F484), K482=2.5, M484+(F483-F485), K482=3, M484+(F483-F485))</f>
        <v/>
      </c>
      <c r="N482" s="43">
        <f>IF(M482&lt;60, TEXT(M482, "0.00"), TEXT(M482/(24*60*60), "M:SS.00"))</f>
        <v/>
      </c>
      <c r="O482" s="14">
        <f>IFERROR(__xludf.DUMMYFUNCTION("LET(
  gen,$A482, ev,$B482, t,$N482,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P482" s="65" t="n"/>
      <c r="Q482" s="65" t="n"/>
      <c r="R482" s="69" t="n"/>
      <c r="S482" s="65" t="n"/>
      <c r="T482" s="69" t="n"/>
      <c r="U482" s="58" t="n"/>
      <c r="V482" s="69" t="n"/>
      <c r="W482" s="65" t="n"/>
      <c r="X482" s="65" t="n"/>
      <c r="Y482" s="65" t="n"/>
    </row>
    <row r="483">
      <c r="A483" s="17" t="inlineStr">
        <is>
          <t>M</t>
        </is>
      </c>
      <c r="B483" s="18" t="inlineStr">
        <is>
          <t>200 IM</t>
        </is>
      </c>
      <c r="C483" s="18" t="n">
        <v>21</v>
      </c>
      <c r="D483" s="18" t="n">
        <v>3</v>
      </c>
      <c r="E483" s="46" t="inlineStr">
        <is>
          <t>1:59.69</t>
        </is>
      </c>
      <c r="F483" s="21">
        <f>IFERROR(__xludf.DUMMYFUNCTION("IF(
  REGEXMATCH(E483, "":""),
  60*VALUE(INDEX(SPLIT(E483, "":""),1,1)) + VALUE(INDEX(SPLIT(E483, "":""),1,2)),
  VALUE(E483)
)"),119.69)</f>
        <v/>
      </c>
      <c r="G483" s="211">
        <f>C470</f>
        <v/>
      </c>
      <c r="H483" s="211">
        <f>C479</f>
        <v/>
      </c>
      <c r="I483" s="211">
        <f>C484</f>
        <v/>
      </c>
      <c r="J483" s="211">
        <f>C487</f>
        <v/>
      </c>
      <c r="K483" s="60">
        <f>IFS(H483=21,1,I483=21,2,J483=21,3,and(H483=20,I483=22),1.5, and(I483=20,J483=22),2.5,H483&gt;21,0.5)</f>
        <v/>
      </c>
      <c r="L483" s="60">
        <f t="array" ref="L483">INDEX('Podium Target Times'!$C:$C, MATCH(A483&amp;B483, 'Podium Target Times'!$A:$A&amp;'Podium Target Times'!$B:$B, 0))
</f>
        <v/>
      </c>
      <c r="M483" s="66">
        <f>IFS(K483=0.5,L483,K483=1,L483, K483=1.5, L483, K483=2, M484+(F482-F484), K483=2.5, M484+(F483-F485), K483=3, M484+(F483-F485))</f>
        <v/>
      </c>
      <c r="N483" s="60">
        <f>IF(M483&lt;60, TEXT(M483, "0.00"), TEXT(M483/(24*60*60), "M:SS.00"))</f>
        <v/>
      </c>
      <c r="O483" s="25">
        <f>IFERROR(__xludf.DUMMYFUNCTION("LET(
  gen,$A483, ev,$B483, t,$N483,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P483" s="65" t="n"/>
      <c r="Q483" s="65" t="n"/>
      <c r="R483" s="69" t="n"/>
      <c r="S483" s="65" t="n"/>
      <c r="T483" s="69" t="n"/>
      <c r="U483" s="58" t="n"/>
      <c r="V483" s="69" t="n"/>
      <c r="W483" s="65" t="n"/>
      <c r="X483" s="65" t="n"/>
      <c r="Y483" s="65" t="n"/>
    </row>
    <row r="484">
      <c r="A484" s="8" t="inlineStr">
        <is>
          <t>M</t>
        </is>
      </c>
      <c r="B484" s="9" t="inlineStr">
        <is>
          <t>200 IM</t>
        </is>
      </c>
      <c r="C484" s="9" t="n">
        <v>22</v>
      </c>
      <c r="D484" s="9" t="n">
        <v>2</v>
      </c>
      <c r="E484" s="41" t="inlineStr">
        <is>
          <t>1:59.05</t>
        </is>
      </c>
      <c r="F484" s="35">
        <f>IFERROR(__xludf.DUMMYFUNCTION("IF(
  REGEXMATCH(E484, "":""),
  60*VALUE(INDEX(SPLIT(E484, "":""),1,1)) + VALUE(INDEX(SPLIT(E484, "":""),1,2)),
  VALUE(E484)
)"),119.05)</f>
        <v/>
      </c>
      <c r="G484" s="215">
        <f>C470</f>
        <v/>
      </c>
      <c r="H484" s="215">
        <f>C479</f>
        <v/>
      </c>
      <c r="I484" s="215">
        <f>C484</f>
        <v/>
      </c>
      <c r="J484" s="215">
        <f>C487</f>
        <v/>
      </c>
      <c r="K484" s="43">
        <f>IFS(H484=21,1,I484=21,2,J484=21,3,and(H484=20,I484=22),1.5, and(I484=20,J484=22),2.5,H484&gt;21,0.5)</f>
        <v/>
      </c>
      <c r="L484" s="43">
        <f t="array" ref="L484">INDEX('Podium Target Times'!$C:$C, MATCH(A484&amp;B484, 'Podium Target Times'!$A:$A&amp;'Podium Target Times'!$B:$B, 0))
</f>
        <v/>
      </c>
      <c r="M484" s="64">
        <f>IFS(K484=0.5,L484,K484=1,L484, K484=1.5, L484, K484=2,L487, K484=2.5, M486+(F485-F486), K484=3,  M486+(F485-F486))</f>
        <v/>
      </c>
      <c r="N484" s="43">
        <f>IF(M484&lt;60, TEXT(M484, "0.00"), TEXT(M484/(24*60*60), "M:SS.00"))</f>
        <v/>
      </c>
      <c r="O484" s="14">
        <f>IFERROR(__xludf.DUMMYFUNCTION("LET(
  gen,$A484, ev,$B484, t,$N484,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P484" s="65" t="n"/>
      <c r="Q484" s="65" t="n"/>
      <c r="R484" s="69" t="n"/>
      <c r="S484" s="65" t="n"/>
      <c r="T484" s="69" t="n"/>
      <c r="U484" s="58" t="n"/>
      <c r="V484" s="69" t="n"/>
      <c r="W484" s="65" t="n"/>
      <c r="X484" s="65" t="n"/>
      <c r="Y484" s="65" t="n"/>
    </row>
    <row r="485">
      <c r="A485" s="17" t="inlineStr">
        <is>
          <t>M</t>
        </is>
      </c>
      <c r="B485" s="18" t="inlineStr">
        <is>
          <t>200 IM</t>
        </is>
      </c>
      <c r="C485" s="18" t="n">
        <v>22</v>
      </c>
      <c r="D485" s="18" t="n">
        <v>3</v>
      </c>
      <c r="E485" s="46" t="inlineStr">
        <is>
          <t>1:59.24</t>
        </is>
      </c>
      <c r="F485" s="21">
        <f>IFERROR(__xludf.DUMMYFUNCTION("IF(
  REGEXMATCH(E485, "":""),
  60*VALUE(INDEX(SPLIT(E485, "":""),1,1)) + VALUE(INDEX(SPLIT(E485, "":""),1,2)),
  VALUE(E485)
)"),119.24000000000001)</f>
        <v/>
      </c>
      <c r="G485" s="211">
        <f>C470</f>
        <v/>
      </c>
      <c r="H485" s="211">
        <f>C479</f>
        <v/>
      </c>
      <c r="I485" s="211">
        <f>C484</f>
        <v/>
      </c>
      <c r="J485" s="211">
        <f>C487</f>
        <v/>
      </c>
      <c r="K485" s="60">
        <f>IFS(H485=21,1,I485=21,2,J485=21,3,and(H485=20,I485=22),1.5, and(I485=20,J485=22),2.5,H485&gt;21,0.5)</f>
        <v/>
      </c>
      <c r="L485" s="60">
        <f t="array" ref="L485">INDEX('Podium Target Times'!$C:$C, MATCH(A485&amp;B485, 'Podium Target Times'!$A:$A&amp;'Podium Target Times'!$B:$B, 0))
</f>
        <v/>
      </c>
      <c r="M485" s="66">
        <f>IFS(K485=0.5,L485,K485=1,L485, K485=1.5, L485, K485=2, L487, K485=2.5, M486+(F485-F486), K485=3, M486+(F485-F486))</f>
        <v/>
      </c>
      <c r="N485" s="60">
        <f>IF(M485&lt;60, TEXT(M485, "0.00"), TEXT(M485/(24*60*60), "M:SS.00"))</f>
        <v/>
      </c>
      <c r="O485" s="25">
        <f>IFERROR(__xludf.DUMMYFUNCTION("LET(
  gen,$A485, ev,$B485, t,$N485,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P485" s="65" t="n"/>
      <c r="Q485" s="65" t="n"/>
      <c r="R485" s="69" t="n"/>
      <c r="S485" s="65" t="n"/>
      <c r="T485" s="69" t="n"/>
      <c r="U485" s="58" t="n"/>
      <c r="V485" s="69" t="n"/>
      <c r="W485" s="65" t="n"/>
      <c r="X485" s="65" t="n"/>
      <c r="Y485" s="65" t="n"/>
    </row>
    <row r="486">
      <c r="A486" s="8" t="inlineStr">
        <is>
          <t>M</t>
        </is>
      </c>
      <c r="B486" s="9" t="inlineStr">
        <is>
          <t>200 IM</t>
        </is>
      </c>
      <c r="C486" s="9" t="n">
        <v>23</v>
      </c>
      <c r="D486" s="9" t="n">
        <v>3</v>
      </c>
      <c r="E486" s="41" t="inlineStr">
        <is>
          <t>1:59.05</t>
        </is>
      </c>
      <c r="F486" s="35">
        <f>IFERROR(__xludf.DUMMYFUNCTION("IF(
  REGEXMATCH(E486, "":""),
  60*VALUE(INDEX(SPLIT(E486, "":""),1,1)) + VALUE(INDEX(SPLIT(E486, "":""),1,2)),
  VALUE(E486)
)"),119.05)</f>
        <v/>
      </c>
      <c r="G486" s="215">
        <f>C470</f>
        <v/>
      </c>
      <c r="H486" s="215">
        <f>C479</f>
        <v/>
      </c>
      <c r="I486" s="215">
        <f>C484</f>
        <v/>
      </c>
      <c r="J486" s="215">
        <f>C487</f>
        <v/>
      </c>
      <c r="K486" s="43">
        <f>IFS(H486=21,1,I486=21,2,J486=21,3,and(H486=20,I486=22),1.5, and(I486=20,J486=22),2.5,H486&gt;21,0.5)</f>
        <v/>
      </c>
      <c r="L486" s="43">
        <f t="array" ref="L486">INDEX('Podium Target Times'!$C:$C, MATCH(A486&amp;B486, 'Podium Target Times'!$A:$A&amp;'Podium Target Times'!$B:$B, 0))
</f>
        <v/>
      </c>
      <c r="M486" s="64">
        <f>IFS(K486=0.5,L486,K486=1,L486, K486=1.5, L486, K486=2, L487, K486=2.5, L487, K486=3, M487+(F486-F487))</f>
        <v/>
      </c>
      <c r="N486" s="43">
        <f>IF(M486&lt;60, TEXT(M486, "0.00"), TEXT(M486/(24*60*60), "M:SS.00"))</f>
        <v/>
      </c>
      <c r="O486" s="14">
        <f>IFERROR(__xludf.DUMMYFUNCTION("LET(
  gen,$A486, ev,$B486, t,$N486,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P486" s="65" t="n"/>
      <c r="Q486" s="65" t="n"/>
      <c r="R486" s="69" t="n"/>
      <c r="S486" s="65" t="n"/>
      <c r="T486" s="69" t="n"/>
      <c r="U486" s="58" t="n"/>
      <c r="V486" s="69" t="n"/>
      <c r="W486" s="65" t="n"/>
      <c r="X486" s="65" t="n"/>
      <c r="Y486" s="65" t="n"/>
    </row>
    <row r="487">
      <c r="A487" s="17" t="inlineStr">
        <is>
          <t>M</t>
        </is>
      </c>
      <c r="B487" s="18" t="inlineStr">
        <is>
          <t>200 IM</t>
        </is>
      </c>
      <c r="C487" s="18" t="n">
        <v>24</v>
      </c>
      <c r="D487" s="18" t="n">
        <v>3</v>
      </c>
      <c r="E487" s="46" t="inlineStr">
        <is>
          <t>1:59.05</t>
        </is>
      </c>
      <c r="F487" s="21">
        <f>IFERROR(__xludf.DUMMYFUNCTION("IF(
  REGEXMATCH(E487, "":""),
  60*VALUE(INDEX(SPLIT(E487, "":""),1,1)) + VALUE(INDEX(SPLIT(E487, "":""),1,2)),
  VALUE(E487)
)"),119.05)</f>
        <v/>
      </c>
      <c r="G487" s="211">
        <f>C470</f>
        <v/>
      </c>
      <c r="H487" s="211">
        <f>C479</f>
        <v/>
      </c>
      <c r="I487" s="211">
        <f>C484</f>
        <v/>
      </c>
      <c r="J487" s="211">
        <f>C487</f>
        <v/>
      </c>
      <c r="K487" s="60">
        <f>IFS(H487=21,1,I487=21,2,J487=21,3,and(H487=20,I487=22),1.5, and(I487=20,J487=22),2.5,H487&gt;21,0.5)</f>
        <v/>
      </c>
      <c r="L487" s="60">
        <f t="array" ref="L487">INDEX('Podium Target Times'!$C:$C, MATCH(A487&amp;B487, 'Podium Target Times'!$A:$A&amp;'Podium Target Times'!$B:$B, 0))
</f>
        <v/>
      </c>
      <c r="M487" s="66">
        <f>IFS(K487=0.5,L487,K487=1,L487, K487=1.5, L487, K487=2, L487, K487=2.5, L487, K487=3, L487)</f>
        <v/>
      </c>
      <c r="N487" s="60">
        <f>IF(M487&lt;60, TEXT(M487, "0.00"), TEXT(M487/(24*60*60), "M:SS.00"))</f>
        <v/>
      </c>
      <c r="O487" s="25">
        <f>IFERROR(__xludf.DUMMYFUNCTION("LET(
  gen,$A487, ev,$B487, t,$N487,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)"),807.0)</f>
        <v/>
      </c>
      <c r="P487" s="65" t="n"/>
      <c r="Q487" s="65" t="n"/>
      <c r="R487" s="69" t="n"/>
      <c r="S487" s="65" t="n"/>
      <c r="T487" s="69" t="n"/>
      <c r="U487" s="58" t="n"/>
      <c r="V487" s="69" t="n"/>
      <c r="W487" s="65" t="n"/>
      <c r="X487" s="65" t="n"/>
      <c r="Y487" s="65" t="n"/>
    </row>
    <row r="488">
      <c r="A488" s="8" t="inlineStr">
        <is>
          <t>M</t>
        </is>
      </c>
      <c r="B488" s="9" t="inlineStr">
        <is>
          <t>400 Free</t>
        </is>
      </c>
      <c r="C488" s="9" t="n">
        <v>15</v>
      </c>
      <c r="D488" s="9" t="n">
        <v>1</v>
      </c>
      <c r="E488" s="41" t="inlineStr">
        <is>
          <t>4:08.91</t>
        </is>
      </c>
      <c r="F488" s="35">
        <f>IFERROR(__xludf.DUMMYFUNCTION("IF(
  REGEXMATCH(E488, "":""),
  60*VALUE(INDEX(SPLIT(E488, "":""),1,1)) + VALUE(INDEX(SPLIT(E488, "":""),1,2)),
  VALUE(E488)
)"),248.91)</f>
        <v/>
      </c>
      <c r="G488" s="43">
        <f>C488</f>
        <v/>
      </c>
      <c r="H488" s="43">
        <f>C497</f>
        <v/>
      </c>
      <c r="I488" s="43">
        <f>C502</f>
        <v/>
      </c>
      <c r="J488" s="43">
        <f>C505</f>
        <v/>
      </c>
      <c r="K488" s="43">
        <f>IFS(H488=21,1,I488=21,2,J488=21,3,and(H488=20,I488=22),1.5, and(I488=20,J488=22),2.5,H488&gt;21,0.5)</f>
        <v/>
      </c>
      <c r="L488" s="43">
        <f t="array" ref="L488">INDEX('Podium Target Times'!$C:$C, MATCH(A488&amp;B488, 'Podium Target Times'!$A:$A&amp;'Podium Target Times'!$B:$B, 0))
</f>
        <v/>
      </c>
      <c r="M488" s="64">
        <f>IFS(K488=0.5,M489+(F488-F489),K488=1,M489+(F488-F489), K488=1.5, M489+(F488-F489), K488=2, M489+(F488-F489), K488=2.5, M489+(F488-F489), K488=3, M489+(F488-F489))</f>
        <v/>
      </c>
      <c r="N488" s="43">
        <f>IF(M488&lt;60, TEXT(M488, "0.00"), TEXT(M488/(24*60*60), "M:SS.00"))</f>
        <v/>
      </c>
      <c r="O488" s="14">
        <f>IFERROR(__xludf.DUMMYFUNCTION("LET(
  gen,$A488, ev,$B488, t,$N488,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)"),625.0)</f>
        <v/>
      </c>
      <c r="P488" s="65" t="n"/>
      <c r="Q488" s="65" t="n"/>
      <c r="R488" s="69">
        <f>A488</f>
        <v/>
      </c>
      <c r="S488" s="65">
        <f>B488</f>
        <v/>
      </c>
      <c r="T488" s="69">
        <f>C488</f>
        <v/>
      </c>
      <c r="U488" s="58">
        <f>N488</f>
        <v/>
      </c>
      <c r="V488" s="69">
        <f>O488</f>
        <v/>
      </c>
      <c r="W488" s="65" t="n"/>
      <c r="X488" s="65" t="n"/>
      <c r="Y488" s="65" t="n"/>
    </row>
    <row r="489">
      <c r="A489" s="17" t="inlineStr">
        <is>
          <t>M</t>
        </is>
      </c>
      <c r="B489" s="18" t="inlineStr">
        <is>
          <t>400 Free</t>
        </is>
      </c>
      <c r="C489" s="18" t="n">
        <v>16</v>
      </c>
      <c r="D489" s="18" t="n">
        <v>1</v>
      </c>
      <c r="E489" s="46" t="inlineStr">
        <is>
          <t>4:00.79</t>
        </is>
      </c>
      <c r="F489" s="21">
        <f>IFERROR(__xludf.DUMMYFUNCTION("IF(
  REGEXMATCH(E489, "":""),
  60*VALUE(INDEX(SPLIT(E489, "":""),1,1)) + VALUE(INDEX(SPLIT(E489, "":""),1,2)),
  VALUE(E489)
)"),240.79)</f>
        <v/>
      </c>
      <c r="G489" s="211">
        <f>C488</f>
        <v/>
      </c>
      <c r="H489" s="211">
        <f>C497</f>
        <v/>
      </c>
      <c r="I489" s="211">
        <f>C502</f>
        <v/>
      </c>
      <c r="J489" s="211">
        <f>C505</f>
        <v/>
      </c>
      <c r="K489" s="60">
        <f>IFS(H489=21,1,I489=21,2,J489=21,3,and(H489=20,I489=22),1.5, and(I489=20,J489=22),2.5,H489&gt;21,0.5)</f>
        <v/>
      </c>
      <c r="L489" s="60">
        <f t="array" ref="L489">INDEX('Podium Target Times'!$C:$C, MATCH(A489&amp;B489, 'Podium Target Times'!$A:$A&amp;'Podium Target Times'!$B:$B, 0))
</f>
        <v/>
      </c>
      <c r="M489" s="66">
        <f>IFS(K489=0.5,M490+(F489-F491),K489=1,M490+(F489-F491), K489=1.5, M491+(F490-F492), K489=2, M491+(F490-F492), K489=2.5, M491+(F490-F492), K489=3, M491+(F490-F492))</f>
        <v/>
      </c>
      <c r="N489" s="60">
        <f>IF(M489&lt;60, TEXT(M489, "0.00"), TEXT(M489/(24*60*60), "M:SS.00"))</f>
        <v/>
      </c>
      <c r="O489" s="25">
        <f>IFERROR(__xludf.DUMMYFUNCTION("LET(
  gen,$A489, ev,$B489, t,$N489,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)"),688.0)</f>
        <v/>
      </c>
      <c r="P489" s="65" t="n"/>
      <c r="Q489" s="65" t="n"/>
      <c r="R489" s="69">
        <f>A489</f>
        <v/>
      </c>
      <c r="S489" s="65">
        <f>B489</f>
        <v/>
      </c>
      <c r="T489" s="69">
        <f>C489</f>
        <v/>
      </c>
      <c r="U489" s="58">
        <f>N489</f>
        <v/>
      </c>
      <c r="V489" s="69">
        <f>O489</f>
        <v/>
      </c>
      <c r="W489" s="65" t="n"/>
      <c r="X489" s="65" t="n"/>
      <c r="Y489" s="65" t="n"/>
    </row>
    <row r="490">
      <c r="A490" s="8" t="inlineStr">
        <is>
          <t>M</t>
        </is>
      </c>
      <c r="B490" s="9" t="inlineStr">
        <is>
          <t>400 Free</t>
        </is>
      </c>
      <c r="C490" s="9" t="n">
        <v>16</v>
      </c>
      <c r="D490" s="9" t="n">
        <v>2</v>
      </c>
      <c r="E490" s="41" t="inlineStr">
        <is>
          <t>4:03.63</t>
        </is>
      </c>
      <c r="F490" s="35">
        <f>IFERROR(__xludf.DUMMYFUNCTION("IF(
  REGEXMATCH(E490, "":""),
  60*VALUE(INDEX(SPLIT(E490, "":""),1,1)) + VALUE(INDEX(SPLIT(E490, "":""),1,2)),
  VALUE(E490)
)"),243.63)</f>
        <v/>
      </c>
      <c r="G490" s="215">
        <f>C488</f>
        <v/>
      </c>
      <c r="H490" s="215">
        <f>C497</f>
        <v/>
      </c>
      <c r="I490" s="215">
        <f>C502</f>
        <v/>
      </c>
      <c r="J490" s="215">
        <f>C505</f>
        <v/>
      </c>
      <c r="K490" s="43">
        <f>IFS(H490=21,1,I490=21,2,J490=21,3,and(H490=20,I490=22),1.5, and(I490=20,J490=22),2.5,H490&gt;21,0.5)</f>
        <v/>
      </c>
      <c r="L490" s="43">
        <f t="array" ref="L490">INDEX('Podium Target Times'!$C:$C, MATCH(A490&amp;B490, 'Podium Target Times'!$A:$A&amp;'Podium Target Times'!$B:$B, 0))
</f>
        <v/>
      </c>
      <c r="M490" s="64">
        <f>IFS(K490=0.5,M491+(F490-F493),K490=1,M491+(F490-F493), K490=1.5, M491+(F490-F492), K490=2, M491+(F490-F492), K490=2.5, M491+(F490-F492), K490=3, M491+(F490-F492))</f>
        <v/>
      </c>
      <c r="N490" s="43">
        <f>IF(M490&lt;60, TEXT(M490, "0.00"), TEXT(M490/(24*60*60), "M:SS.00"))</f>
        <v/>
      </c>
      <c r="O490" s="14">
        <f>IFERROR(__xludf.DUMMYFUNCTION("LET(
  gen,$A490, ev,$B490, t,$N490,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)"),688.0)</f>
        <v/>
      </c>
      <c r="P490" s="65" t="n"/>
      <c r="Q490" s="65" t="n"/>
      <c r="R490" s="69">
        <f>A491</f>
        <v/>
      </c>
      <c r="S490" s="65">
        <f>B491</f>
        <v/>
      </c>
      <c r="T490" s="69">
        <f>C491</f>
        <v/>
      </c>
      <c r="U490" s="58">
        <f>N491</f>
        <v/>
      </c>
      <c r="V490" s="69">
        <f>O491</f>
        <v/>
      </c>
      <c r="W490" s="65" t="n"/>
      <c r="X490" s="65" t="n"/>
      <c r="Y490" s="65" t="n"/>
    </row>
    <row r="491">
      <c r="A491" s="17" t="inlineStr">
        <is>
          <t>M</t>
        </is>
      </c>
      <c r="B491" s="18" t="inlineStr">
        <is>
          <t>400 Free</t>
        </is>
      </c>
      <c r="C491" s="18" t="n">
        <v>17</v>
      </c>
      <c r="D491" s="18" t="n">
        <v>1</v>
      </c>
      <c r="E491" s="46" t="inlineStr">
        <is>
          <t>3:54.84</t>
        </is>
      </c>
      <c r="F491" s="21">
        <f>IFERROR(__xludf.DUMMYFUNCTION("IF(
  REGEXMATCH(E491, "":""),
  60*VALUE(INDEX(SPLIT(E491, "":""),1,1)) + VALUE(INDEX(SPLIT(E491, "":""),1,2)),
  VALUE(E491)
)"),234.84)</f>
        <v/>
      </c>
      <c r="G491" s="211">
        <f>C488</f>
        <v/>
      </c>
      <c r="H491" s="211">
        <f>C497</f>
        <v/>
      </c>
      <c r="I491" s="211">
        <f>C502</f>
        <v/>
      </c>
      <c r="J491" s="211">
        <f>C505</f>
        <v/>
      </c>
      <c r="K491" s="60">
        <f>IFS(H491=21,1,I491=21,2,J491=21,3,and(H491=20,I491=22),1.5, and(I491=20,J491=22),2.5,H491&gt;21,0.5)</f>
        <v/>
      </c>
      <c r="L491" s="60">
        <f t="array" ref="L491">INDEX('Podium Target Times'!$C:$C, MATCH(A491&amp;B491, 'Podium Target Times'!$A:$A&amp;'Podium Target Times'!$B:$B, 0))
</f>
        <v/>
      </c>
      <c r="M491" s="66">
        <f>IFS(K491=0.5,M492+(F491-F494),K491=1,M492+(F491-F494), K491=1.5, M494+(F492-F495), K491=2, M494+(F492-F495), K491=2.5, M494+(F493-F496), K491=3, M494+(F493-F496))</f>
        <v/>
      </c>
      <c r="N491" s="60">
        <f>IF(M491&lt;60, TEXT(M491, "0.00"), TEXT(M491/(24*60*60), "M:SS.00"))</f>
        <v/>
      </c>
      <c r="O491" s="25">
        <f>IFERROR(__xludf.DUMMYFUNCTION("LET(
  gen,$A491, ev,$B491, t,$N491,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P491" s="65" t="n"/>
      <c r="Q491" s="65" t="n"/>
      <c r="R491" s="69">
        <f>A494</f>
        <v/>
      </c>
      <c r="S491" s="65">
        <f>B494</f>
        <v/>
      </c>
      <c r="T491" s="69">
        <f>C494</f>
        <v/>
      </c>
      <c r="U491" s="58">
        <f>N494</f>
        <v/>
      </c>
      <c r="V491" s="69">
        <f>O494</f>
        <v/>
      </c>
      <c r="W491" s="65" t="n"/>
      <c r="X491" s="65" t="n"/>
      <c r="Y491" s="65" t="n"/>
    </row>
    <row r="492">
      <c r="A492" s="8" t="inlineStr">
        <is>
          <t>M</t>
        </is>
      </c>
      <c r="B492" s="9" t="inlineStr">
        <is>
          <t>400 Free</t>
        </is>
      </c>
      <c r="C492" s="9" t="n">
        <v>17</v>
      </c>
      <c r="D492" s="9" t="n">
        <v>2</v>
      </c>
      <c r="E492" s="41" t="inlineStr">
        <is>
          <t>3:57.61</t>
        </is>
      </c>
      <c r="F492" s="35">
        <f>IFERROR(__xludf.DUMMYFUNCTION("IF(
  REGEXMATCH(E492, "":""),
  60*VALUE(INDEX(SPLIT(E492, "":""),1,1)) + VALUE(INDEX(SPLIT(E492, "":""),1,2)),
  VALUE(E492)
)"),237.61)</f>
        <v/>
      </c>
      <c r="G492" s="215">
        <f>C488</f>
        <v/>
      </c>
      <c r="H492" s="215">
        <f>C497</f>
        <v/>
      </c>
      <c r="I492" s="215">
        <f>C502</f>
        <v/>
      </c>
      <c r="J492" s="215">
        <f>C505</f>
        <v/>
      </c>
      <c r="K492" s="43">
        <f>IFS(H492=21,1,I492=21,2,J492=21,3,and(H492=20,I492=22),1.5, and(I492=20,J492=22),2.5,H492&gt;21,0.5)</f>
        <v/>
      </c>
      <c r="L492" s="43">
        <f t="array" ref="L492">INDEX('Podium Target Times'!$C:$C, MATCH(A492&amp;B492, 'Podium Target Times'!$A:$A&amp;'Podium Target Times'!$B:$B, 0))
</f>
        <v/>
      </c>
      <c r="M492" s="64">
        <f>IFS(K492=0.5,M493+(F491-F494),K492=1,M493+(F491-F494), K492=1.5, M494+(F492-F495), K492=2, M494+(F492-F495), K492=2.5, M494+(F493-F496), K492=3, M494+(F493-F496))</f>
        <v/>
      </c>
      <c r="N492" s="43">
        <f>IF(M492&lt;60, TEXT(M492, "0.00"), TEXT(M492/(24*60*60), "M:SS.00"))</f>
        <v/>
      </c>
      <c r="O492" s="14">
        <f>IFERROR(__xludf.DUMMYFUNCTION("LET(
  gen,$A492, ev,$B492, t,$N492,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P492" s="65" t="n"/>
      <c r="Q492" s="65" t="n"/>
      <c r="R492" s="69">
        <f>A497</f>
        <v/>
      </c>
      <c r="S492" s="65">
        <f>B497</f>
        <v/>
      </c>
      <c r="T492" s="69">
        <f>C497</f>
        <v/>
      </c>
      <c r="U492" s="58">
        <f>N497</f>
        <v/>
      </c>
      <c r="V492" s="69">
        <f>O497</f>
        <v/>
      </c>
      <c r="W492" s="65" t="n"/>
      <c r="X492" s="65" t="n"/>
      <c r="Y492" s="65" t="n"/>
    </row>
    <row r="493">
      <c r="A493" s="17" t="inlineStr">
        <is>
          <t>M</t>
        </is>
      </c>
      <c r="B493" s="18" t="inlineStr">
        <is>
          <t>400 Free</t>
        </is>
      </c>
      <c r="C493" s="18" t="n">
        <v>17</v>
      </c>
      <c r="D493" s="18" t="n">
        <v>3</v>
      </c>
      <c r="E493" s="46" t="inlineStr">
        <is>
          <t>3:58.24</t>
        </is>
      </c>
      <c r="F493" s="21">
        <f>IFERROR(__xludf.DUMMYFUNCTION("IF(
  REGEXMATCH(E493, "":""),
  60*VALUE(INDEX(SPLIT(E493, "":""),1,1)) + VALUE(INDEX(SPLIT(E493, "":""),1,2)),
  VALUE(E493)
)"),238.24)</f>
        <v/>
      </c>
      <c r="G493" s="211">
        <f>C488</f>
        <v/>
      </c>
      <c r="H493" s="211">
        <f>C497</f>
        <v/>
      </c>
      <c r="I493" s="211">
        <f>C502</f>
        <v/>
      </c>
      <c r="J493" s="211">
        <f>C505</f>
        <v/>
      </c>
      <c r="K493" s="60">
        <f>IFS(H493=21,1,I493=21,2,J493=21,3,and(H493=20,I493=22),1.5, and(I493=20,J493=22),2.5,H493&gt;21,0.5)</f>
        <v/>
      </c>
      <c r="L493" s="60">
        <f t="array" ref="L493">INDEX('Podium Target Times'!$C:$C, MATCH(A493&amp;B493, 'Podium Target Times'!$A:$A&amp;'Podium Target Times'!$B:$B, 0))
</f>
        <v/>
      </c>
      <c r="M493" s="66">
        <f>IFS(K493=0.5,M494+(F491-F494),K493=1,M494+(F491-F494), K493=1.5, M494+(F492-F495), K493=2, M494+(F492-F495), K493=2.5, M494+(F493-F496), K493=3, M494+(F493-F496))</f>
        <v/>
      </c>
      <c r="N493" s="60">
        <f>IF(M493&lt;60, TEXT(M493, "0.00"), TEXT(M493/(24*60*60), "M:SS.00"))</f>
        <v/>
      </c>
      <c r="O493" s="25">
        <f>IFERROR(__xludf.DUMMYFUNCTION("LET(
  gen,$A493, ev,$B493, t,$N493,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)"),740.0)</f>
        <v/>
      </c>
      <c r="P493" s="65" t="n"/>
      <c r="Q493" s="65" t="n"/>
      <c r="R493" s="69">
        <f>A500</f>
        <v/>
      </c>
      <c r="S493" s="65">
        <f>B500</f>
        <v/>
      </c>
      <c r="T493" s="69">
        <f>C500</f>
        <v/>
      </c>
      <c r="U493" s="58">
        <f>N500</f>
        <v/>
      </c>
      <c r="V493" s="69">
        <f>O500</f>
        <v/>
      </c>
      <c r="W493" s="65" t="n"/>
      <c r="X493" s="65" t="n"/>
      <c r="Y493" s="65" t="n"/>
    </row>
    <row r="494">
      <c r="A494" s="8" t="inlineStr">
        <is>
          <t>M</t>
        </is>
      </c>
      <c r="B494" s="9" t="inlineStr">
        <is>
          <t>400 Free</t>
        </is>
      </c>
      <c r="C494" s="9" t="n">
        <v>18</v>
      </c>
      <c r="D494" s="9" t="n">
        <v>1</v>
      </c>
      <c r="E494" s="41" t="inlineStr">
        <is>
          <t>3:50.84</t>
        </is>
      </c>
      <c r="F494" s="35">
        <f>IFERROR(__xludf.DUMMYFUNCTION("IF(
  REGEXMATCH(E494, "":""),
  60*VALUE(INDEX(SPLIT(E494, "":""),1,1)) + VALUE(INDEX(SPLIT(E494, "":""),1,2)),
  VALUE(E494)
)"),230.84)</f>
        <v/>
      </c>
      <c r="G494" s="215">
        <f>C488</f>
        <v/>
      </c>
      <c r="H494" s="215">
        <f>C497</f>
        <v/>
      </c>
      <c r="I494" s="215">
        <f>C502</f>
        <v/>
      </c>
      <c r="J494" s="215">
        <f>C505</f>
        <v/>
      </c>
      <c r="K494" s="43">
        <f>IFS(H494=21,1,I494=21,2,J494=21,3,and(H494=20,I494=22),1.5, and(I494=20,J494=22),2.5,H494&gt;21,0.5)</f>
        <v/>
      </c>
      <c r="L494" s="43">
        <f t="array" ref="L494">INDEX('Podium Target Times'!$C:$C, MATCH(A494&amp;B494, 'Podium Target Times'!$A:$A&amp;'Podium Target Times'!$B:$B, 0))
</f>
        <v/>
      </c>
      <c r="M494" s="64">
        <f>IFS(K494=0.5,L494,K494=1,U492+(F494-F497), K494=1.5, M497+(F495-F498), K494=2, M497+(F495-F498), K494=2.5, M497+(F496-F499), K494=3, M497+(F496-F499))</f>
        <v/>
      </c>
      <c r="N494" s="43">
        <f>IF(M494&lt;60, TEXT(M494, "0.00"), TEXT(M494/(24*60*60), "M:SS.00"))</f>
        <v/>
      </c>
      <c r="O494" s="14">
        <f>IFERROR(__xludf.DUMMYFUNCTION("LET(
  gen,$A494, ev,$B494, t,$N494,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
      </c>
      <c r="P494" s="65" t="n"/>
      <c r="Q494" s="65" t="n"/>
      <c r="R494" s="69">
        <f>A502</f>
        <v/>
      </c>
      <c r="S494" s="65">
        <f>B502</f>
        <v/>
      </c>
      <c r="T494" s="69">
        <f>C502</f>
        <v/>
      </c>
      <c r="U494" s="58">
        <f>N502</f>
        <v/>
      </c>
      <c r="V494" s="69">
        <f>O502</f>
        <v/>
      </c>
      <c r="W494" s="65" t="n"/>
      <c r="X494" s="65" t="n"/>
      <c r="Y494" s="65" t="n"/>
    </row>
    <row r="495">
      <c r="A495" s="17" t="inlineStr">
        <is>
          <t>M</t>
        </is>
      </c>
      <c r="B495" s="18" t="inlineStr">
        <is>
          <t>400 Free</t>
        </is>
      </c>
      <c r="C495" s="18" t="n">
        <v>18</v>
      </c>
      <c r="D495" s="18" t="n">
        <v>2</v>
      </c>
      <c r="E495" s="46" t="inlineStr">
        <is>
          <t>3:53.56</t>
        </is>
      </c>
      <c r="F495" s="21">
        <f>IFERROR(__xludf.DUMMYFUNCTION("IF(
  REGEXMATCH(E495, "":""),
  60*VALUE(INDEX(SPLIT(E495, "":""),1,1)) + VALUE(INDEX(SPLIT(E495, "":""),1,2)),
  VALUE(E495)
)"),233.56)</f>
        <v/>
      </c>
      <c r="G495" s="211">
        <f>C488</f>
        <v/>
      </c>
      <c r="H495" s="211">
        <f>C497</f>
        <v/>
      </c>
      <c r="I495" s="211">
        <f>C502</f>
        <v/>
      </c>
      <c r="J495" s="211">
        <f>C505</f>
        <v/>
      </c>
      <c r="K495" s="60">
        <f>IFS(H495=21,1,I495=21,2,J495=21,3,and(H495=20,I495=22),1.5, and(I495=20,J495=22),2.5,H495&gt;21,0.5)</f>
        <v/>
      </c>
      <c r="L495" s="60">
        <f t="array" ref="L495">INDEX('Podium Target Times'!$C:$C, MATCH(A495&amp;B495, 'Podium Target Times'!$A:$A&amp;'Podium Target Times'!$B:$B, 0))
</f>
        <v/>
      </c>
      <c r="M495" s="66">
        <f>IFS(K495=0.5,L495,K495=1,U492+(F494-F497), K495=1.5, M497+(F495-F498), K495=2, M497+(F495-F498), K495=2.5, M497+(F496-F499), K495=3, M497+(F496-F499))</f>
        <v/>
      </c>
      <c r="N495" s="60">
        <f>IF(M495&lt;60, TEXT(M495, "0.00"), TEXT(M495/(24*60*60), "M:SS.00"))</f>
        <v/>
      </c>
      <c r="O495" s="25">
        <f>IFERROR(__xludf.DUMMYFUNCTION("LET(
  gen,$A495, ev,$B495, t,$N495,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
      </c>
      <c r="P495" s="65" t="n"/>
      <c r="Q495" s="65" t="n"/>
      <c r="R495" s="69" t="n"/>
      <c r="S495" s="65" t="n"/>
      <c r="T495" s="69" t="n"/>
      <c r="U495" s="58" t="n"/>
      <c r="V495" s="69" t="n"/>
      <c r="W495" s="65" t="n"/>
      <c r="X495" s="65" t="n"/>
      <c r="Y495" s="65" t="n"/>
    </row>
    <row r="496">
      <c r="A496" s="8" t="inlineStr">
        <is>
          <t>M</t>
        </is>
      </c>
      <c r="B496" s="9" t="inlineStr">
        <is>
          <t>400 Free</t>
        </is>
      </c>
      <c r="C496" s="9" t="n">
        <v>18</v>
      </c>
      <c r="D496" s="9" t="n">
        <v>3</v>
      </c>
      <c r="E496" s="41" t="inlineStr">
        <is>
          <t>3:54.18</t>
        </is>
      </c>
      <c r="F496" s="35">
        <f>IFERROR(__xludf.DUMMYFUNCTION("IF(
  REGEXMATCH(E496, "":""),
  60*VALUE(INDEX(SPLIT(E496, "":""),1,1)) + VALUE(INDEX(SPLIT(E496, "":""),1,2)),
  VALUE(E496)
)"),234.18)</f>
        <v/>
      </c>
      <c r="G496" s="215">
        <f>C488</f>
        <v/>
      </c>
      <c r="H496" s="215">
        <f>C497</f>
        <v/>
      </c>
      <c r="I496" s="215">
        <f>C502</f>
        <v/>
      </c>
      <c r="J496" s="215">
        <f>C505</f>
        <v/>
      </c>
      <c r="K496" s="43">
        <f>IFS(H496=21,1,I496=21,2,J496=21,3,and(H496=20,I496=22),1.5, and(I496=20,J496=22),2.5,H496&gt;21,0.5)</f>
        <v/>
      </c>
      <c r="L496" s="43">
        <f t="array" ref="L496">INDEX('Podium Target Times'!$C:$C, MATCH(A496&amp;B496, 'Podium Target Times'!$A:$A&amp;'Podium Target Times'!$B:$B, 0))
</f>
        <v/>
      </c>
      <c r="M496" s="64">
        <f>IFS(K496=0.5,L496,K496=1,U492+(F494-F497), K496=1.5, M497+(F495-F498), K496=2, M497+(F495-F498), K496=2.5, M497+(F496-F499), K496=3, M497+(F496-F499))</f>
        <v/>
      </c>
      <c r="N496" s="43">
        <f>IF(M496&lt;60, TEXT(M496, "0.00"), TEXT(M496/(24*60*60), "M:SS.00"))</f>
        <v/>
      </c>
      <c r="O496" s="14">
        <f>IFERROR(__xludf.DUMMYFUNCTION("LET(
  gen,$A496, ev,$B496, t,$N496,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)"),778.0)</f>
        <v/>
      </c>
      <c r="P496" s="65" t="n"/>
      <c r="Q496" s="65" t="n"/>
      <c r="R496" s="69" t="n"/>
      <c r="S496" s="65" t="n"/>
      <c r="T496" s="69" t="n"/>
      <c r="U496" s="58" t="n"/>
      <c r="V496" s="69" t="n"/>
      <c r="W496" s="65" t="n"/>
      <c r="X496" s="65" t="n"/>
      <c r="Y496" s="65" t="n"/>
    </row>
    <row r="497">
      <c r="A497" s="17" t="inlineStr">
        <is>
          <t>M</t>
        </is>
      </c>
      <c r="B497" s="18" t="inlineStr">
        <is>
          <t>400 Free</t>
        </is>
      </c>
      <c r="C497" s="18" t="n">
        <v>19</v>
      </c>
      <c r="D497" s="18" t="n">
        <v>1</v>
      </c>
      <c r="E497" s="46" t="inlineStr">
        <is>
          <t>3:48.15</t>
        </is>
      </c>
      <c r="F497" s="21">
        <f>IFERROR(__xludf.DUMMYFUNCTION("IF(
  REGEXMATCH(E497, "":""),
  60*VALUE(INDEX(SPLIT(E497, "":""),1,1)) + VALUE(INDEX(SPLIT(E497, "":""),1,2)),
  VALUE(E497)
)"),228.15)</f>
        <v/>
      </c>
      <c r="G497" s="211">
        <f>C488</f>
        <v/>
      </c>
      <c r="H497" s="211">
        <f>C497</f>
        <v/>
      </c>
      <c r="I497" s="211">
        <f>C502</f>
        <v/>
      </c>
      <c r="J497" s="211">
        <f>C505</f>
        <v/>
      </c>
      <c r="K497" s="60">
        <f>IFS(H497=21,1,I497=21,2,J497=21,3,and(H497=20,I497=22),1.5, and(I497=20,J497=22),2.5,H497&gt;21,0.5)</f>
        <v/>
      </c>
      <c r="L497" s="60">
        <f t="array" ref="L497">INDEX('Podium Target Times'!$C:$C, MATCH(A497&amp;B497, 'Podium Target Times'!$A:$A&amp;'Podium Target Times'!$B:$B, 0))
</f>
        <v/>
      </c>
      <c r="M497" s="66">
        <f>IFS(K497=0.5,L497,K497=1,L497, K497=1.5, M500+(F498-F500), K497=2, M500+(F498-F500), K497=2.5, M500+(F499-F501), K497=3, M500+(F499-F501))</f>
        <v/>
      </c>
      <c r="N497" s="60">
        <f>IF(M497&lt;60, TEXT(M497, "0.00"), TEXT(M497/(24*60*60), "M:SS.00"))</f>
        <v/>
      </c>
      <c r="O497" s="25">
        <f>IFERROR(__xludf.DUMMYFUNCTION("LET(
  gen,$A497, ev,$B497, t,$N497,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
      </c>
      <c r="P497" s="65" t="n"/>
      <c r="Q497" s="65" t="n"/>
      <c r="R497" s="69" t="n"/>
      <c r="S497" s="65" t="n"/>
      <c r="T497" s="69" t="n"/>
      <c r="U497" s="58" t="n"/>
      <c r="V497" s="69" t="n"/>
      <c r="W497" s="65" t="n"/>
      <c r="X497" s="65" t="n"/>
      <c r="Y497" s="65" t="n"/>
    </row>
    <row r="498">
      <c r="A498" s="8" t="inlineStr">
        <is>
          <t>M</t>
        </is>
      </c>
      <c r="B498" s="9" t="inlineStr">
        <is>
          <t>400 Free</t>
        </is>
      </c>
      <c r="C498" s="9" t="n">
        <v>19</v>
      </c>
      <c r="D498" s="9" t="n">
        <v>2</v>
      </c>
      <c r="E498" s="41" t="inlineStr">
        <is>
          <t>3:50.84</t>
        </is>
      </c>
      <c r="F498" s="35">
        <f>IFERROR(__xludf.DUMMYFUNCTION("IF(
  REGEXMATCH(E498, "":""),
  60*VALUE(INDEX(SPLIT(E498, "":""),1,1)) + VALUE(INDEX(SPLIT(E498, "":""),1,2)),
  VALUE(E498)
)"),230.84)</f>
        <v/>
      </c>
      <c r="G498" s="215">
        <f>C488</f>
        <v/>
      </c>
      <c r="H498" s="215">
        <f>C497</f>
        <v/>
      </c>
      <c r="I498" s="215">
        <f>C502</f>
        <v/>
      </c>
      <c r="J498" s="215">
        <f>C505</f>
        <v/>
      </c>
      <c r="K498" s="43">
        <f>IFS(H498=21,1,I498=21,2,J498=21,3,and(H498=20,I498=22),1.5, and(I498=20,J498=22),2.5,H498&gt;21,0.5)</f>
        <v/>
      </c>
      <c r="L498" s="43">
        <f t="array" ref="L498">INDEX('Podium Target Times'!$C:$C, MATCH(A498&amp;B498, 'Podium Target Times'!$A:$A&amp;'Podium Target Times'!$B:$B, 0))
</f>
        <v/>
      </c>
      <c r="M498" s="64">
        <f>IFS(K498=0.5,L498,K498=1,L498, K498=1.5, M500+(F498-F500), K498=2, M500+(F498-F500), K498=2.5, M500+(F499-F501), K498=3, M500+(F499-F501))</f>
        <v/>
      </c>
      <c r="N498" s="43">
        <f>IF(M498&lt;60, TEXT(M498, "0.00"), TEXT(M498/(24*60*60), "M:SS.00"))</f>
        <v/>
      </c>
      <c r="O498" s="14">
        <f>IFERROR(__xludf.DUMMYFUNCTION("LET(
  gen,$A498, ev,$B498, t,$N498,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
      </c>
      <c r="P498" s="65" t="n"/>
      <c r="Q498" s="65" t="n"/>
      <c r="R498" s="69" t="n"/>
      <c r="S498" s="65" t="n"/>
      <c r="T498" s="69" t="n"/>
      <c r="U498" s="58" t="n"/>
      <c r="V498" s="69" t="n"/>
      <c r="W498" s="65" t="n"/>
      <c r="X498" s="65" t="n"/>
      <c r="Y498" s="65" t="n"/>
    </row>
    <row r="499">
      <c r="A499" s="17" t="inlineStr">
        <is>
          <t>M</t>
        </is>
      </c>
      <c r="B499" s="18" t="inlineStr">
        <is>
          <t>400 Free</t>
        </is>
      </c>
      <c r="C499" s="18" t="n">
        <v>19</v>
      </c>
      <c r="D499" s="18" t="n">
        <v>3</v>
      </c>
      <c r="E499" s="46" t="inlineStr">
        <is>
          <t>3:51.45</t>
        </is>
      </c>
      <c r="F499" s="21">
        <f>IFERROR(__xludf.DUMMYFUNCTION("IF(
  REGEXMATCH(E499, "":""),
  60*VALUE(INDEX(SPLIT(E499, "":""),1,1)) + VALUE(INDEX(SPLIT(E499, "":""),1,2)),
  VALUE(E499)
)"),231.45)</f>
        <v/>
      </c>
      <c r="G499" s="211">
        <f>C488</f>
        <v/>
      </c>
      <c r="H499" s="211">
        <f>C497</f>
        <v/>
      </c>
      <c r="I499" s="211">
        <f>C502</f>
        <v/>
      </c>
      <c r="J499" s="211">
        <f>C505</f>
        <v/>
      </c>
      <c r="K499" s="60">
        <f>IFS(H499=21,1,I499=21,2,J499=21,3,and(H499=20,I499=22),1.5, and(I499=20,J499=22),2.5,H499&gt;21,0.5)</f>
        <v/>
      </c>
      <c r="L499" s="60">
        <f t="array" ref="L499">INDEX('Podium Target Times'!$C:$C, MATCH(A499&amp;B499, 'Podium Target Times'!$A:$A&amp;'Podium Target Times'!$B:$B, 0))
</f>
        <v/>
      </c>
      <c r="M499" s="66">
        <f>IFS(K499=0.5,L499,K499=1,L499, K499=1.5, M500+(F498-F500), K499=2, M500+(F498-F500), K499=2.5, M500+(F499-F501), K499=3, M500+(F499-F501))</f>
        <v/>
      </c>
      <c r="N499" s="60">
        <f>IF(M499&lt;60, TEXT(M499, "0.00"), TEXT(M499/(24*60*60), "M:SS.00"))</f>
        <v/>
      </c>
      <c r="O499" s="25">
        <f>IFERROR(__xludf.DUMMYFUNCTION("LET(
  gen,$A499, ev,$B499, t,$N499,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)"),806.0)</f>
        <v/>
      </c>
      <c r="P499" s="65" t="n"/>
      <c r="Q499" s="65" t="n"/>
      <c r="R499" s="69" t="n"/>
      <c r="S499" s="65" t="n"/>
      <c r="T499" s="69" t="n"/>
      <c r="U499" s="58" t="n"/>
      <c r="V499" s="69" t="n"/>
      <c r="W499" s="65" t="n"/>
      <c r="X499" s="65" t="n"/>
      <c r="Y499" s="65" t="n"/>
    </row>
    <row r="500">
      <c r="A500" s="8" t="inlineStr">
        <is>
          <t>M</t>
        </is>
      </c>
      <c r="B500" s="9" t="inlineStr">
        <is>
          <t>400 Free</t>
        </is>
      </c>
      <c r="C500" s="9" t="n">
        <v>20</v>
      </c>
      <c r="D500" s="9" t="n">
        <v>2</v>
      </c>
      <c r="E500" s="41" t="inlineStr">
        <is>
          <t>3:49.11</t>
        </is>
      </c>
      <c r="F500" s="35">
        <f>IFERROR(__xludf.DUMMYFUNCTION("IF(
  REGEXMATCH(E500, "":""),
  60*VALUE(INDEX(SPLIT(E500, "":""),1,1)) + VALUE(INDEX(SPLIT(E500, "":""),1,2)),
  VALUE(E500)
)"),229.11)</f>
        <v/>
      </c>
      <c r="G500" s="215">
        <f>C488</f>
        <v/>
      </c>
      <c r="H500" s="215">
        <f>C497</f>
        <v/>
      </c>
      <c r="I500" s="215">
        <f>C502</f>
        <v/>
      </c>
      <c r="J500" s="215">
        <f>C505</f>
        <v/>
      </c>
      <c r="K500" s="43">
        <f>IFS(H500=21,1,I500=21,2,J500=21,3,and(H500=20,I500=22),1.5, and(I500=20,J500=22),2.5,H500&gt;21,0.5)</f>
        <v/>
      </c>
      <c r="L500" s="43">
        <f t="array" ref="L500">INDEX('Podium Target Times'!$C:$C, MATCH(A500&amp;B500, 'Podium Target Times'!$A:$A&amp;'Podium Target Times'!$B:$B, 0))
</f>
        <v/>
      </c>
      <c r="M500" s="64">
        <f>IFS(K500=0.5,L500,K500=1,L500, K500=1.5, L500, K500=2, M502+(F500-F502), K500=2.5, M502+(F501-F503), K500=3, M502+(F501-F503))</f>
        <v/>
      </c>
      <c r="N500" s="43">
        <f>IF(M500&lt;60, TEXT(M500, "0.00"), TEXT(M500/(24*60*60), "M:SS.00"))</f>
        <v/>
      </c>
      <c r="O500" s="14">
        <f>IFERROR(__xludf.DUMMYFUNCTION("LET(
  gen,$A500, ev,$B500, t,$N500,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)"),823.0)</f>
        <v/>
      </c>
      <c r="P500" s="65" t="n"/>
      <c r="Q500" s="65" t="n"/>
      <c r="R500" s="69" t="n"/>
      <c r="S500" s="65" t="n"/>
      <c r="T500" s="69" t="n"/>
      <c r="U500" s="58" t="n"/>
      <c r="V500" s="69" t="n"/>
      <c r="W500" s="65" t="n"/>
      <c r="X500" s="65" t="n"/>
      <c r="Y500" s="65" t="n"/>
    </row>
    <row r="501">
      <c r="A501" s="17" t="inlineStr">
        <is>
          <t>M</t>
        </is>
      </c>
      <c r="B501" s="18" t="inlineStr">
        <is>
          <t>400 Free</t>
        </is>
      </c>
      <c r="C501" s="18" t="n">
        <v>20</v>
      </c>
      <c r="D501" s="18" t="n">
        <v>3</v>
      </c>
      <c r="E501" s="46" t="inlineStr">
        <is>
          <t>3:49.72</t>
        </is>
      </c>
      <c r="F501" s="21">
        <f>IFERROR(__xludf.DUMMYFUNCTION("IF(
  REGEXMATCH(E501, "":""),
  60*VALUE(INDEX(SPLIT(E501, "":""),1,1)) + VALUE(INDEX(SPLIT(E501, "":""),1,2)),
  VALUE(E501)
)"),229.72)</f>
        <v/>
      </c>
      <c r="G501" s="211">
        <f>C488</f>
        <v/>
      </c>
      <c r="H501" s="211">
        <f>C497</f>
        <v/>
      </c>
      <c r="I501" s="211">
        <f>C502</f>
        <v/>
      </c>
      <c r="J501" s="211">
        <f>C505</f>
        <v/>
      </c>
      <c r="K501" s="60">
        <f>IFS(H501=21,1,I501=21,2,J501=21,3,and(H501=20,I501=22),1.5, and(I501=20,J501=22),2.5,H501&gt;21,0.5)</f>
        <v/>
      </c>
      <c r="L501" s="60">
        <f t="array" ref="L501">INDEX('Podium Target Times'!$C:$C, MATCH(A501&amp;B501, 'Podium Target Times'!$A:$A&amp;'Podium Target Times'!$B:$B, 0))
</f>
        <v/>
      </c>
      <c r="M501" s="66">
        <f>IFS(K501=0.5,L501,K501=1,L501, K501=1.5, L501, K501=2, M502+(F500-F502), K501=2.5, M502+(F501-F503), K501=3, M502+(F501-F503))</f>
        <v/>
      </c>
      <c r="N501" s="60">
        <f>IF(M501&lt;60, TEXT(M501, "0.00"), TEXT(M501/(24*60*60), "M:SS.00"))</f>
        <v/>
      </c>
      <c r="O501" s="25">
        <f>IFERROR(__xludf.DUMMYFUNCTION("LET(
  gen,$A501, ev,$B501, t,$N501,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)"),823.0)</f>
        <v/>
      </c>
      <c r="P501" s="65" t="n"/>
      <c r="Q501" s="65" t="n"/>
      <c r="R501" s="69" t="n"/>
      <c r="S501" s="65" t="n"/>
      <c r="T501" s="69" t="n"/>
      <c r="U501" s="58" t="n"/>
      <c r="V501" s="69" t="n"/>
      <c r="W501" s="65" t="n"/>
      <c r="X501" s="65" t="n"/>
      <c r="Y501" s="65" t="n"/>
    </row>
    <row r="502">
      <c r="A502" s="8" t="inlineStr">
        <is>
          <t>M</t>
        </is>
      </c>
      <c r="B502" s="9" t="inlineStr">
        <is>
          <t>400 Free</t>
        </is>
      </c>
      <c r="C502" s="9" t="n">
        <v>21</v>
      </c>
      <c r="D502" s="9" t="n">
        <v>2</v>
      </c>
      <c r="E502" s="41" t="inlineStr">
        <is>
          <t>3:48.15</t>
        </is>
      </c>
      <c r="F502" s="35">
        <f>IFERROR(__xludf.DUMMYFUNCTION("IF(
  REGEXMATCH(E502, "":""),
  60*VALUE(INDEX(SPLIT(E502, "":""),1,1)) + VALUE(INDEX(SPLIT(E502, "":""),1,2)),
  VALUE(E502)
)"),228.15)</f>
        <v/>
      </c>
      <c r="G502" s="215">
        <f>C488</f>
        <v/>
      </c>
      <c r="H502" s="215">
        <f>C497</f>
        <v/>
      </c>
      <c r="I502" s="215">
        <f>C502</f>
        <v/>
      </c>
      <c r="J502" s="215">
        <f>C505</f>
        <v/>
      </c>
      <c r="K502" s="43">
        <f>IFS(H502=21,1,I502=21,2,J502=21,3,and(H502=20,I502=22),1.5, and(I502=20,J502=22),2.5,H502&gt;21,0.5)</f>
        <v/>
      </c>
      <c r="L502" s="43">
        <f t="array" ref="L502">INDEX('Podium Target Times'!$C:$C, MATCH(A502&amp;B502, 'Podium Target Times'!$A:$A&amp;'Podium Target Times'!$B:$B, 0))
</f>
        <v/>
      </c>
      <c r="M502" s="64">
        <f>IFS(K502=0.5,L502,K502=1,L502, K502=1.5, L502, K502=2,L505, K502=2.5, M504+(F503-F504), K502=3,  M504+(F503-F504))</f>
        <v/>
      </c>
      <c r="N502" s="43">
        <f>IF(M502&lt;60, TEXT(M502, "0.00"), TEXT(M502/(24*60*60), "M:SS.00"))</f>
        <v/>
      </c>
      <c r="O502" s="14">
        <f>IFERROR(__xludf.DUMMYFUNCTION("LET(
  gen,$A502, ev,$B502, t,$N502,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
      </c>
      <c r="P502" s="65" t="n"/>
      <c r="Q502" s="65" t="n"/>
      <c r="R502" s="69" t="n"/>
      <c r="S502" s="65" t="n"/>
      <c r="T502" s="69" t="n"/>
      <c r="U502" s="58" t="n"/>
      <c r="V502" s="69" t="n"/>
      <c r="W502" s="65" t="n"/>
      <c r="X502" s="65" t="n"/>
      <c r="Y502" s="65" t="n"/>
    </row>
    <row r="503">
      <c r="A503" s="17" t="inlineStr">
        <is>
          <t>M</t>
        </is>
      </c>
      <c r="B503" s="18" t="inlineStr">
        <is>
          <t>400 Free</t>
        </is>
      </c>
      <c r="C503" s="18" t="n">
        <v>21</v>
      </c>
      <c r="D503" s="18" t="n">
        <v>3</v>
      </c>
      <c r="E503" s="46" t="inlineStr">
        <is>
          <t>3:48.75</t>
        </is>
      </c>
      <c r="F503" s="21">
        <f>IFERROR(__xludf.DUMMYFUNCTION("IF(
  REGEXMATCH(E503, "":""),
  60*VALUE(INDEX(SPLIT(E503, "":""),1,1)) + VALUE(INDEX(SPLIT(E503, "":""),1,2)),
  VALUE(E503)
)"),228.75)</f>
        <v/>
      </c>
      <c r="G503" s="211">
        <f>C488</f>
        <v/>
      </c>
      <c r="H503" s="211">
        <f>C497</f>
        <v/>
      </c>
      <c r="I503" s="211">
        <f>C502</f>
        <v/>
      </c>
      <c r="J503" s="211">
        <f>C505</f>
        <v/>
      </c>
      <c r="K503" s="60">
        <f>IFS(H503=21,1,I503=21,2,J503=21,3,and(H503=20,I503=22),1.5, and(I503=20,J503=22),2.5,H503&gt;21,0.5)</f>
        <v/>
      </c>
      <c r="L503" s="60">
        <f t="array" ref="L503">INDEX('Podium Target Times'!$C:$C, MATCH(A503&amp;B503, 'Podium Target Times'!$A:$A&amp;'Podium Target Times'!$B:$B, 0))
</f>
        <v/>
      </c>
      <c r="M503" s="66">
        <f>IFS(K503=0.5,L503,K503=1,L503, K503=1.5, L503, K503=2, L505, K503=2.5, M504+(F503-F504), K503=3, M504+(F503-F504))</f>
        <v/>
      </c>
      <c r="N503" s="60">
        <f>IF(M503&lt;60, TEXT(M503, "0.00"), TEXT(M503/(24*60*60), "M:SS.00"))</f>
        <v/>
      </c>
      <c r="O503" s="25">
        <f>IFERROR(__xludf.DUMMYFUNCTION("LET(
  gen,$A503, ev,$B503, t,$N503,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
      </c>
      <c r="P503" s="65" t="n"/>
      <c r="Q503" s="65" t="n"/>
      <c r="R503" s="69" t="n"/>
      <c r="S503" s="65" t="n"/>
      <c r="T503" s="69" t="n"/>
      <c r="U503" s="58" t="n"/>
      <c r="V503" s="69" t="n"/>
      <c r="W503" s="65" t="n"/>
      <c r="X503" s="65" t="n"/>
      <c r="Y503" s="65" t="n"/>
    </row>
    <row r="504">
      <c r="A504" s="8" t="inlineStr">
        <is>
          <t>M</t>
        </is>
      </c>
      <c r="B504" s="9" t="inlineStr">
        <is>
          <t>400 Free</t>
        </is>
      </c>
      <c r="C504" s="9" t="n">
        <v>22</v>
      </c>
      <c r="D504" s="9" t="n">
        <v>3</v>
      </c>
      <c r="E504" s="41" t="inlineStr">
        <is>
          <t>3:48.27</t>
        </is>
      </c>
      <c r="F504" s="35">
        <f>IFERROR(__xludf.DUMMYFUNCTION("IF(
  REGEXMATCH(E504, "":""),
  60*VALUE(INDEX(SPLIT(E504, "":""),1,1)) + VALUE(INDEX(SPLIT(E504, "":""),1,2)),
  VALUE(E504)
)"),228.27)</f>
        <v/>
      </c>
      <c r="G504" s="215">
        <f>C488</f>
        <v/>
      </c>
      <c r="H504" s="215">
        <f>C497</f>
        <v/>
      </c>
      <c r="I504" s="215">
        <f>C502</f>
        <v/>
      </c>
      <c r="J504" s="215">
        <f>C505</f>
        <v/>
      </c>
      <c r="K504" s="43">
        <f>IFS(H504=21,1,I504=21,2,J504=21,3,and(H504=20,I504=22),1.5, and(I504=20,J504=22),2.5,H504&gt;21,0.5)</f>
        <v/>
      </c>
      <c r="L504" s="43">
        <f t="array" ref="L504">INDEX('Podium Target Times'!$C:$C, MATCH(A504&amp;B504, 'Podium Target Times'!$A:$A&amp;'Podium Target Times'!$B:$B, 0))
</f>
        <v/>
      </c>
      <c r="M504" s="64">
        <f>IFS(K504=0.5,L504,K504=1,L504, K504=1.5, L504, K504=2, L505, K504=2.5, L505, K504=3, M505+(F504-F505))</f>
        <v/>
      </c>
      <c r="N504" s="43">
        <f>IF(M504&lt;60, TEXT(M504, "0.00"), TEXT(M504/(24*60*60), "M:SS.00"))</f>
        <v/>
      </c>
      <c r="O504" s="14">
        <f>IFERROR(__xludf.DUMMYFUNCTION("LET(
  gen,$A504, ev,$B504, t,$N504,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
      </c>
      <c r="P504" s="65" t="n"/>
      <c r="Q504" s="65" t="n"/>
      <c r="R504" s="69" t="n"/>
      <c r="S504" s="65" t="n"/>
      <c r="T504" s="69" t="n"/>
      <c r="U504" s="58" t="n"/>
      <c r="V504" s="69" t="n"/>
      <c r="W504" s="65" t="n"/>
      <c r="X504" s="65" t="n"/>
      <c r="Y504" s="65" t="n"/>
    </row>
    <row r="505">
      <c r="A505" s="17" t="inlineStr">
        <is>
          <t>M</t>
        </is>
      </c>
      <c r="B505" s="18" t="inlineStr">
        <is>
          <t>400 Free</t>
        </is>
      </c>
      <c r="C505" s="18" t="n">
        <v>23</v>
      </c>
      <c r="D505" s="18" t="n">
        <v>3</v>
      </c>
      <c r="E505" s="46" t="inlineStr">
        <is>
          <t>3:48.15</t>
        </is>
      </c>
      <c r="F505" s="21">
        <f>IFERROR(__xludf.DUMMYFUNCTION("IF(
  REGEXMATCH(E505, "":""),
  60*VALUE(INDEX(SPLIT(E505, "":""),1,1)) + VALUE(INDEX(SPLIT(E505, "":""),1,2)),
  VALUE(E505)
)"),228.15)</f>
        <v/>
      </c>
      <c r="G505" s="211">
        <f>C488</f>
        <v/>
      </c>
      <c r="H505" s="211">
        <f>C497</f>
        <v/>
      </c>
      <c r="I505" s="211">
        <f>C502</f>
        <v/>
      </c>
      <c r="J505" s="211">
        <f>C505</f>
        <v/>
      </c>
      <c r="K505" s="60">
        <f>IFS(H505=21,1,I505=21,2,J505=21,3,and(H505=20,I505=22),1.5, and(I505=20,J505=22),2.5,H505&gt;21,0.5)</f>
        <v/>
      </c>
      <c r="L505" s="60">
        <f t="array" ref="L505">INDEX('Podium Target Times'!$C:$C, MATCH(A505&amp;B505, 'Podium Target Times'!$A:$A&amp;'Podium Target Times'!$B:$B, 0))
</f>
        <v/>
      </c>
      <c r="M505" s="66">
        <f>IFS(K505=0.5,L505,K505=1,L505, K505=1.5, L505, K505=2, L505, K505=2.5, L505, K505=3, L505)</f>
        <v/>
      </c>
      <c r="N505" s="60">
        <f>IF(M505&lt;60, TEXT(M505, "0.00"), TEXT(M505/(24*60*60), "M:SS.00"))</f>
        <v/>
      </c>
      <c r="O505" s="25">
        <f>IFERROR(__xludf.DUMMYFUNCTION("LET(
  gen,$A505, ev,$B505, t,$N505,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)"),834.0)</f>
        <v/>
      </c>
      <c r="P505" s="65" t="n"/>
      <c r="Q505" s="65" t="n"/>
      <c r="R505" s="69" t="n"/>
      <c r="S505" s="65" t="n"/>
      <c r="T505" s="69" t="n"/>
      <c r="U505" s="58" t="n"/>
      <c r="V505" s="69" t="n"/>
      <c r="W505" s="65" t="n"/>
      <c r="X505" s="65" t="n"/>
      <c r="Y505" s="65" t="n"/>
    </row>
    <row r="506">
      <c r="A506" s="8" t="inlineStr">
        <is>
          <t>M</t>
        </is>
      </c>
      <c r="B506" s="9" t="inlineStr">
        <is>
          <t>400 IM</t>
        </is>
      </c>
      <c r="C506" s="9" t="n">
        <v>15</v>
      </c>
      <c r="D506" s="9" t="n">
        <v>1</v>
      </c>
      <c r="E506" s="41" t="inlineStr">
        <is>
          <t>4:38.79</t>
        </is>
      </c>
      <c r="F506" s="35">
        <f>IFERROR(__xludf.DUMMYFUNCTION("IF(
  REGEXMATCH(E506, "":""),
  60*VALUE(INDEX(SPLIT(E506, "":""),1,1)) + VALUE(INDEX(SPLIT(E506, "":""),1,2)),
  VALUE(E506)
)"),278.79)</f>
        <v/>
      </c>
      <c r="G506" s="43">
        <f>C506</f>
        <v/>
      </c>
      <c r="H506" s="43">
        <f>C515</f>
        <v/>
      </c>
      <c r="I506" s="43">
        <f>C520</f>
        <v/>
      </c>
      <c r="J506" s="43">
        <f>C523</f>
        <v/>
      </c>
      <c r="K506" s="43">
        <f>IFS(H506=21,1,I506=21,2,J506=21,3,and(H506=20,I506=22),1.5, and(I506=20,J506=22),2.5,H506&gt;21,0.5)</f>
        <v/>
      </c>
      <c r="L506" s="43">
        <f t="array" ref="L506">INDEX('Podium Target Times'!$C:$C, MATCH(A506&amp;B506, 'Podium Target Times'!$A:$A&amp;'Podium Target Times'!$B:$B, 0))
</f>
        <v/>
      </c>
      <c r="M506" s="64">
        <f>IFS(K506=0.5,M507+(F506-F507),K506=1,M507+(F506-F507), K506=1.5, M507+(F506-F507), K506=2, M507+(F506-F507), K506=2.5, M507+(F506-F507), K506=3, M507+(F506-F507))</f>
        <v/>
      </c>
      <c r="N506" s="43">
        <f>IF(M506&lt;60, TEXT(M506, "0.00"), TEXT(M506/(24*60*60), "M:SS.00"))</f>
        <v/>
      </c>
      <c r="O506" s="14">
        <f>IFERROR(__xludf.DUMMYFUNCTION("LET(
  gen,$A506, ev,$B506, t,$N506,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)"),595.0)</f>
        <v/>
      </c>
      <c r="P506" s="65" t="n"/>
      <c r="Q506" s="65" t="n"/>
      <c r="R506" s="69">
        <f>A506</f>
        <v/>
      </c>
      <c r="S506" s="65">
        <f>B506</f>
        <v/>
      </c>
      <c r="T506" s="69">
        <f>C506</f>
        <v/>
      </c>
      <c r="U506" s="58">
        <f>N506</f>
        <v/>
      </c>
      <c r="V506" s="69">
        <f>O506</f>
        <v/>
      </c>
      <c r="W506" s="65" t="n"/>
      <c r="X506" s="65" t="n"/>
      <c r="Y506" s="65" t="n"/>
    </row>
    <row r="507">
      <c r="A507" s="17" t="inlineStr">
        <is>
          <t>M</t>
        </is>
      </c>
      <c r="B507" s="18" t="inlineStr">
        <is>
          <t>400 IM</t>
        </is>
      </c>
      <c r="C507" s="18" t="n">
        <v>16</v>
      </c>
      <c r="D507" s="18" t="n">
        <v>1</v>
      </c>
      <c r="E507" s="46" t="inlineStr">
        <is>
          <t>4:30.33</t>
        </is>
      </c>
      <c r="F507" s="21">
        <f>IFERROR(__xludf.DUMMYFUNCTION("IF(
  REGEXMATCH(E507, "":""),
  60*VALUE(INDEX(SPLIT(E507, "":""),1,1)) + VALUE(INDEX(SPLIT(E507, "":""),1,2)),
  VALUE(E507)
)"),270.33)</f>
        <v/>
      </c>
      <c r="G507" s="211">
        <f>C506</f>
        <v/>
      </c>
      <c r="H507" s="211">
        <f>C515</f>
        <v/>
      </c>
      <c r="I507" s="211">
        <f>C520</f>
        <v/>
      </c>
      <c r="J507" s="211">
        <f>C523</f>
        <v/>
      </c>
      <c r="K507" s="60">
        <f>IFS(H507=21,1,I507=21,2,J507=21,3,and(H507=20,I507=22),1.5, and(I507=20,J507=22),2.5,H507&gt;21,0.5)</f>
        <v/>
      </c>
      <c r="L507" s="60">
        <f t="array" ref="L507">INDEX('Podium Target Times'!$C:$C, MATCH(A507&amp;B507, 'Podium Target Times'!$A:$A&amp;'Podium Target Times'!$B:$B, 0))
</f>
        <v/>
      </c>
      <c r="M507" s="66">
        <f>IFS(K507=0.5,M508+(F507-F509),K507=1,M508+(F507-F509), K507=1.5, M509+(F508-F510), K507=2, M509+(F508-F510), K507=2.5, M509+(F508-F510), K507=3, M509+(F508-F510))</f>
        <v/>
      </c>
      <c r="N507" s="60">
        <f>IF(M507&lt;60, TEXT(M507, "0.00"), TEXT(M507/(24*60*60), "M:SS.00"))</f>
        <v/>
      </c>
      <c r="O507" s="25">
        <f>IFERROR(__xludf.DUMMYFUNCTION("LET(
  gen,$A507, ev,$B507, t,$N507,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)"),651.0)</f>
        <v/>
      </c>
      <c r="P507" s="65" t="n"/>
      <c r="Q507" s="65" t="n"/>
      <c r="R507" s="69">
        <f>A507</f>
        <v/>
      </c>
      <c r="S507" s="65">
        <f>B507</f>
        <v/>
      </c>
      <c r="T507" s="69">
        <f>C507</f>
        <v/>
      </c>
      <c r="U507" s="58">
        <f>N507</f>
        <v/>
      </c>
      <c r="V507" s="69">
        <f>O507</f>
        <v/>
      </c>
      <c r="W507" s="65" t="n"/>
      <c r="X507" s="65" t="n"/>
      <c r="Y507" s="65" t="n"/>
    </row>
    <row r="508">
      <c r="A508" s="8" t="inlineStr">
        <is>
          <t>M</t>
        </is>
      </c>
      <c r="B508" s="9" t="inlineStr">
        <is>
          <t>400 IM</t>
        </is>
      </c>
      <c r="C508" s="9" t="n">
        <v>16</v>
      </c>
      <c r="D508" s="9" t="n">
        <v>2</v>
      </c>
      <c r="E508" s="41" t="inlineStr">
        <is>
          <t>4:34.00</t>
        </is>
      </c>
      <c r="F508" s="35">
        <f>IFERROR(__xludf.DUMMYFUNCTION("IF(
  REGEXMATCH(E508, "":""),
  60*VALUE(INDEX(SPLIT(E508, "":""),1,1)) + VALUE(INDEX(SPLIT(E508, "":""),1,2)),
  VALUE(E508)
)"),274.0)</f>
        <v/>
      </c>
      <c r="G508" s="215">
        <f>C506</f>
        <v/>
      </c>
      <c r="H508" s="215">
        <f>C515</f>
        <v/>
      </c>
      <c r="I508" s="215">
        <f>C520</f>
        <v/>
      </c>
      <c r="J508" s="215">
        <f>C523</f>
        <v/>
      </c>
      <c r="K508" s="43">
        <f>IFS(H508=21,1,I508=21,2,J508=21,3,and(H508=20,I508=22),1.5, and(I508=20,J508=22),2.5,H508&gt;21,0.5)</f>
        <v/>
      </c>
      <c r="L508" s="43">
        <f t="array" ref="L508">INDEX('Podium Target Times'!$C:$C, MATCH(A508&amp;B508, 'Podium Target Times'!$A:$A&amp;'Podium Target Times'!$B:$B, 0))
</f>
        <v/>
      </c>
      <c r="M508" s="64">
        <f>IFS(K508=0.5,M509+(F508-F511),K508=1,M509+(F508-F511), K508=1.5, M509+(F508-F510), K508=2, M509+(F508-F510), K508=2.5, M509+(F508-F510), K508=3, M509+(F508-F510))</f>
        <v/>
      </c>
      <c r="N508" s="43">
        <f>IF(M508&lt;60, TEXT(M508, "0.00"), TEXT(M508/(24*60*60), "M:SS.00"))</f>
        <v/>
      </c>
      <c r="O508" s="14">
        <f>IFERROR(__xludf.DUMMYFUNCTION("LET(
  gen,$A508, ev,$B508, t,$N508,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)"),651.0)</f>
        <v/>
      </c>
      <c r="P508" s="65" t="n"/>
      <c r="Q508" s="65" t="n"/>
      <c r="R508" s="69">
        <f>A509</f>
        <v/>
      </c>
      <c r="S508" s="65">
        <f>B509</f>
        <v/>
      </c>
      <c r="T508" s="69">
        <f>C509</f>
        <v/>
      </c>
      <c r="U508" s="58">
        <f>N509</f>
        <v/>
      </c>
      <c r="V508" s="69">
        <f>O509</f>
        <v/>
      </c>
      <c r="W508" s="65" t="n"/>
      <c r="X508" s="65" t="n"/>
      <c r="Y508" s="65" t="n"/>
    </row>
    <row r="509">
      <c r="A509" s="17" t="inlineStr">
        <is>
          <t>M</t>
        </is>
      </c>
      <c r="B509" s="18" t="inlineStr">
        <is>
          <t>400 IM</t>
        </is>
      </c>
      <c r="C509" s="18" t="n">
        <v>17</v>
      </c>
      <c r="D509" s="18" t="n">
        <v>1</v>
      </c>
      <c r="E509" s="46" t="inlineStr">
        <is>
          <t>4:24.32</t>
        </is>
      </c>
      <c r="F509" s="21">
        <f>IFERROR(__xludf.DUMMYFUNCTION("IF(
  REGEXMATCH(E509, "":""),
  60*VALUE(INDEX(SPLIT(E509, "":""),1,1)) + VALUE(INDEX(SPLIT(E509, "":""),1,2)),
  VALUE(E509)
)"),264.32)</f>
        <v/>
      </c>
      <c r="G509" s="211">
        <f>C506</f>
        <v/>
      </c>
      <c r="H509" s="211">
        <f>C515</f>
        <v/>
      </c>
      <c r="I509" s="211">
        <f>C520</f>
        <v/>
      </c>
      <c r="J509" s="211">
        <f>C523</f>
        <v/>
      </c>
      <c r="K509" s="60">
        <f>IFS(H509=21,1,I509=21,2,J509=21,3,and(H509=20,I509=22),1.5, and(I509=20,J509=22),2.5,H509&gt;21,0.5)</f>
        <v/>
      </c>
      <c r="L509" s="60">
        <f t="array" ref="L509">INDEX('Podium Target Times'!$C:$C, MATCH(A509&amp;B509, 'Podium Target Times'!$A:$A&amp;'Podium Target Times'!$B:$B, 0))
</f>
        <v/>
      </c>
      <c r="M509" s="66">
        <f>IFS(K509=0.5,M510+(F509-F512),K509=1,M510+(F509-F512), K509=1.5, M512+(F510-F513), K509=2, M512+(F510-F513), K509=2.5, M512+(F511-F514), K509=3, M512+(F511-F514))</f>
        <v/>
      </c>
      <c r="N509" s="60">
        <f>IF(M509&lt;60, TEXT(M509, "0.00"), TEXT(M509/(24*60*60), "M:SS.00"))</f>
        <v/>
      </c>
      <c r="O509" s="25">
        <f>IFERROR(__xludf.DUMMYFUNCTION("LET(
  gen,$A509, ev,$B509, t,$N509,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P509" s="65" t="n"/>
      <c r="Q509" s="65" t="n"/>
      <c r="R509" s="69">
        <f>A512</f>
        <v/>
      </c>
      <c r="S509" s="65">
        <f>B512</f>
        <v/>
      </c>
      <c r="T509" s="69">
        <f>C512</f>
        <v/>
      </c>
      <c r="U509" s="58">
        <f>N512</f>
        <v/>
      </c>
      <c r="V509" s="69">
        <f>O512</f>
        <v/>
      </c>
      <c r="W509" s="65" t="n"/>
      <c r="X509" s="65" t="n"/>
      <c r="Y509" s="65" t="n"/>
    </row>
    <row r="510">
      <c r="A510" s="8" t="inlineStr">
        <is>
          <t>M</t>
        </is>
      </c>
      <c r="B510" s="9" t="inlineStr">
        <is>
          <t>400 IM</t>
        </is>
      </c>
      <c r="C510" s="9" t="n">
        <v>17</v>
      </c>
      <c r="D510" s="9" t="n">
        <v>2</v>
      </c>
      <c r="E510" s="41" t="inlineStr">
        <is>
          <t>4:27.91</t>
        </is>
      </c>
      <c r="F510" s="35">
        <f>IFERROR(__xludf.DUMMYFUNCTION("IF(
  REGEXMATCH(E510, "":""),
  60*VALUE(INDEX(SPLIT(E510, "":""),1,1)) + VALUE(INDEX(SPLIT(E510, "":""),1,2)),
  VALUE(E510)
)"),267.91)</f>
        <v/>
      </c>
      <c r="G510" s="215">
        <f>C506</f>
        <v/>
      </c>
      <c r="H510" s="215">
        <f>C515</f>
        <v/>
      </c>
      <c r="I510" s="215">
        <f>C520</f>
        <v/>
      </c>
      <c r="J510" s="215">
        <f>C523</f>
        <v/>
      </c>
      <c r="K510" s="43">
        <f>IFS(H510=21,1,I510=21,2,J510=21,3,and(H510=20,I510=22),1.5, and(I510=20,J510=22),2.5,H510&gt;21,0.5)</f>
        <v/>
      </c>
      <c r="L510" s="43">
        <f t="array" ref="L510">INDEX('Podium Target Times'!$C:$C, MATCH(A510&amp;B510, 'Podium Target Times'!$A:$A&amp;'Podium Target Times'!$B:$B, 0))
</f>
        <v/>
      </c>
      <c r="M510" s="64">
        <f>IFS(K510=0.5,M511+(F509-F512),K510=1,M511+(F509-F512), K510=1.5, M512+(F510-F513), K510=2, M512+(F510-F513), K510=2.5, M512+(F511-F514), K510=3, M512+(F511-F514))</f>
        <v/>
      </c>
      <c r="N510" s="43">
        <f>IF(M510&lt;60, TEXT(M510, "0.00"), TEXT(M510/(24*60*60), "M:SS.00"))</f>
        <v/>
      </c>
      <c r="O510" s="14">
        <f>IFERROR(__xludf.DUMMYFUNCTION("LET(
  gen,$A510, ev,$B510, t,$N510,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P510" s="65" t="n"/>
      <c r="Q510" s="65" t="n"/>
      <c r="R510" s="69">
        <f>A515</f>
        <v/>
      </c>
      <c r="S510" s="65">
        <f>B515</f>
        <v/>
      </c>
      <c r="T510" s="69">
        <f>C515</f>
        <v/>
      </c>
      <c r="U510" s="58">
        <f>N515</f>
        <v/>
      </c>
      <c r="V510" s="69">
        <f>O515</f>
        <v/>
      </c>
      <c r="W510" s="65" t="n"/>
      <c r="X510" s="65" t="n"/>
      <c r="Y510" s="65" t="n"/>
    </row>
    <row r="511">
      <c r="A511" s="17" t="inlineStr">
        <is>
          <t>M</t>
        </is>
      </c>
      <c r="B511" s="18" t="inlineStr">
        <is>
          <t>400 IM</t>
        </is>
      </c>
      <c r="C511" s="18" t="n">
        <v>17</v>
      </c>
      <c r="D511" s="18" t="n">
        <v>3</v>
      </c>
      <c r="E511" s="46" t="inlineStr">
        <is>
          <t>4:28.61</t>
        </is>
      </c>
      <c r="F511" s="21">
        <f>IFERROR(__xludf.DUMMYFUNCTION("IF(
  REGEXMATCH(E511, "":""),
  60*VALUE(INDEX(SPLIT(E511, "":""),1,1)) + VALUE(INDEX(SPLIT(E511, "":""),1,2)),
  VALUE(E511)
)"),268.61)</f>
        <v/>
      </c>
      <c r="G511" s="211">
        <f>C506</f>
        <v/>
      </c>
      <c r="H511" s="211">
        <f>C515</f>
        <v/>
      </c>
      <c r="I511" s="211">
        <f>C520</f>
        <v/>
      </c>
      <c r="J511" s="211">
        <f>C523</f>
        <v/>
      </c>
      <c r="K511" s="60">
        <f>IFS(H511=21,1,I511=21,2,J511=21,3,and(H511=20,I511=22),1.5, and(I511=20,J511=22),2.5,H511&gt;21,0.5)</f>
        <v/>
      </c>
      <c r="L511" s="60">
        <f t="array" ref="L511">INDEX('Podium Target Times'!$C:$C, MATCH(A511&amp;B511, 'Podium Target Times'!$A:$A&amp;'Podium Target Times'!$B:$B, 0))
</f>
        <v/>
      </c>
      <c r="M511" s="66">
        <f>IFS(K511=0.5,M512+(F509-F512),K511=1,M512+(F509-F512), K511=1.5, M512+(F510-F513), K511=2, M512+(F510-F513), K511=2.5, M512+(F511-F514), K511=3, M512+(F511-F514))</f>
        <v/>
      </c>
      <c r="N511" s="60">
        <f>IF(M511&lt;60, TEXT(M511, "0.00"), TEXT(M511/(24*60*60), "M:SS.00"))</f>
        <v/>
      </c>
      <c r="O511" s="25">
        <f>IFERROR(__xludf.DUMMYFUNCTION("LET(
  gen,$A511, ev,$B511, t,$N511,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)"),695.0)</f>
        <v/>
      </c>
      <c r="P511" s="65" t="n"/>
      <c r="Q511" s="65" t="n"/>
      <c r="R511" s="69">
        <f>A518</f>
        <v/>
      </c>
      <c r="S511" s="65">
        <f>B518</f>
        <v/>
      </c>
      <c r="T511" s="69">
        <f>C518</f>
        <v/>
      </c>
      <c r="U511" s="58">
        <f>N518</f>
        <v/>
      </c>
      <c r="V511" s="69">
        <f>O518</f>
        <v/>
      </c>
      <c r="W511" s="65" t="n"/>
      <c r="X511" s="65" t="n"/>
      <c r="Y511" s="65" t="n"/>
    </row>
    <row r="512">
      <c r="A512" s="8" t="inlineStr">
        <is>
          <t>M</t>
        </is>
      </c>
      <c r="B512" s="9" t="inlineStr">
        <is>
          <t>400 IM</t>
        </is>
      </c>
      <c r="C512" s="9" t="n">
        <v>18</v>
      </c>
      <c r="D512" s="9" t="n">
        <v>1</v>
      </c>
      <c r="E512" s="41" t="inlineStr">
        <is>
          <t>4:20.41</t>
        </is>
      </c>
      <c r="F512" s="35">
        <f>IFERROR(__xludf.DUMMYFUNCTION("IF(
  REGEXMATCH(E512, "":""),
  60*VALUE(INDEX(SPLIT(E512, "":""),1,1)) + VALUE(INDEX(SPLIT(E512, "":""),1,2)),
  VALUE(E512)
)"),260.41)</f>
        <v/>
      </c>
      <c r="G512" s="215">
        <f>C506</f>
        <v/>
      </c>
      <c r="H512" s="215">
        <f>C515</f>
        <v/>
      </c>
      <c r="I512" s="215">
        <f>C520</f>
        <v/>
      </c>
      <c r="J512" s="215">
        <f>C523</f>
        <v/>
      </c>
      <c r="K512" s="43">
        <f>IFS(H512=21,1,I512=21,2,J512=21,3,and(H512=20,I512=22),1.5, and(I512=20,J512=22),2.5,H512&gt;21,0.5)</f>
        <v/>
      </c>
      <c r="L512" s="43">
        <f t="array" ref="L512">INDEX('Podium Target Times'!$C:$C, MATCH(A512&amp;B512, 'Podium Target Times'!$A:$A&amp;'Podium Target Times'!$B:$B, 0))
</f>
        <v/>
      </c>
      <c r="M512" s="64">
        <f>IFS(K512=0.5,L512,K512=1,U510+(F512-F515), K512=1.5, M515+(F513-F516), K512=2, M515+(F513-F516), K512=2.5, M515+(F514-F517), K512=3, M515+(F514-F517))</f>
        <v/>
      </c>
      <c r="N512" s="43">
        <f>IF(M512&lt;60, TEXT(M512, "0.00"), TEXT(M512/(24*60*60), "M:SS.00"))</f>
        <v/>
      </c>
      <c r="O512" s="14">
        <f>IFERROR(__xludf.DUMMYFUNCTION("LET(
  gen,$A512, ev,$B512, t,$N512,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
      </c>
      <c r="P512" s="65" t="n"/>
      <c r="Q512" s="65" t="n"/>
      <c r="R512" s="69">
        <f>A520</f>
        <v/>
      </c>
      <c r="S512" s="65">
        <f>B520</f>
        <v/>
      </c>
      <c r="T512" s="69">
        <f>C520</f>
        <v/>
      </c>
      <c r="U512" s="58">
        <f>N520</f>
        <v/>
      </c>
      <c r="V512" s="69">
        <f>O520</f>
        <v/>
      </c>
      <c r="W512" s="65" t="n"/>
      <c r="X512" s="65" t="n"/>
      <c r="Y512" s="65" t="n"/>
    </row>
    <row r="513">
      <c r="A513" s="17" t="inlineStr">
        <is>
          <t>M</t>
        </is>
      </c>
      <c r="B513" s="18" t="inlineStr">
        <is>
          <t>400 IM</t>
        </is>
      </c>
      <c r="C513" s="18" t="n">
        <v>18</v>
      </c>
      <c r="D513" s="18" t="n">
        <v>2</v>
      </c>
      <c r="E513" s="46" t="inlineStr">
        <is>
          <t>4:23.94</t>
        </is>
      </c>
      <c r="F513" s="21">
        <f>IFERROR(__xludf.DUMMYFUNCTION("IF(
  REGEXMATCH(E513, "":""),
  60*VALUE(INDEX(SPLIT(E513, "":""),1,1)) + VALUE(INDEX(SPLIT(E513, "":""),1,2)),
  VALUE(E513)
)"),263.94)</f>
        <v/>
      </c>
      <c r="G513" s="211">
        <f>C506</f>
        <v/>
      </c>
      <c r="H513" s="211">
        <f>C515</f>
        <v/>
      </c>
      <c r="I513" s="211">
        <f>C520</f>
        <v/>
      </c>
      <c r="J513" s="211">
        <f>C523</f>
        <v/>
      </c>
      <c r="K513" s="60">
        <f>IFS(H513=21,1,I513=21,2,J513=21,3,and(H513=20,I513=22),1.5, and(I513=20,J513=22),2.5,H513&gt;21,0.5)</f>
        <v/>
      </c>
      <c r="L513" s="60">
        <f t="array" ref="L513">INDEX('Podium Target Times'!$C:$C, MATCH(A513&amp;B513, 'Podium Target Times'!$A:$A&amp;'Podium Target Times'!$B:$B, 0))
</f>
        <v/>
      </c>
      <c r="M513" s="66">
        <f>IFS(K513=0.5,L513,K513=1,U510+(F512-F515), K513=1.5, M515+(F513-F516), K513=2, M515+(F513-F516), K513=2.5, M515+(F514-F517), K513=3, M515+(F514-F517))</f>
        <v/>
      </c>
      <c r="N513" s="60">
        <f>IF(M513&lt;60, TEXT(M513, "0.00"), TEXT(M513/(24*60*60), "M:SS.00"))</f>
        <v/>
      </c>
      <c r="O513" s="25">
        <f>IFERROR(__xludf.DUMMYFUNCTION("LET(
  gen,$A513, ev,$B513, t,$N513,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
      </c>
      <c r="P513" s="65" t="n"/>
      <c r="Q513" s="65" t="n"/>
      <c r="R513" s="69" t="n"/>
      <c r="S513" s="65" t="n"/>
      <c r="T513" s="69" t="n"/>
      <c r="U513" s="58" t="n"/>
      <c r="V513" s="69" t="n"/>
      <c r="W513" s="65" t="n"/>
      <c r="X513" s="65" t="n"/>
      <c r="Y513" s="65" t="n"/>
    </row>
    <row r="514">
      <c r="A514" s="8" t="inlineStr">
        <is>
          <t>M</t>
        </is>
      </c>
      <c r="B514" s="9" t="inlineStr">
        <is>
          <t>400 IM</t>
        </is>
      </c>
      <c r="C514" s="9" t="n">
        <v>18</v>
      </c>
      <c r="D514" s="9" t="n">
        <v>3</v>
      </c>
      <c r="E514" s="41" t="inlineStr">
        <is>
          <t>4:24.63</t>
        </is>
      </c>
      <c r="F514" s="35">
        <f>IFERROR(__xludf.DUMMYFUNCTION("IF(
  REGEXMATCH(E514, "":""),
  60*VALUE(INDEX(SPLIT(E514, "":""),1,1)) + VALUE(INDEX(SPLIT(E514, "":""),1,2)),
  VALUE(E514)
)"),264.63)</f>
        <v/>
      </c>
      <c r="G514" s="215">
        <f>C506</f>
        <v/>
      </c>
      <c r="H514" s="215">
        <f>C515</f>
        <v/>
      </c>
      <c r="I514" s="215">
        <f>C520</f>
        <v/>
      </c>
      <c r="J514" s="215">
        <f>C523</f>
        <v/>
      </c>
      <c r="K514" s="43">
        <f>IFS(H514=21,1,I514=21,2,J514=21,3,and(H514=20,I514=22),1.5, and(I514=20,J514=22),2.5,H514&gt;21,0.5)</f>
        <v/>
      </c>
      <c r="L514" s="43">
        <f t="array" ref="L514">INDEX('Podium Target Times'!$C:$C, MATCH(A514&amp;B514, 'Podium Target Times'!$A:$A&amp;'Podium Target Times'!$B:$B, 0))
</f>
        <v/>
      </c>
      <c r="M514" s="64">
        <f>IFS(K514=0.5,L514,K514=1,U510+(F512-F515), K514=1.5, M515+(F513-F516), K514=2, M515+(F513-F516), K514=2.5, M515+(F514-F517), K514=3, M515+(F514-F517))</f>
        <v/>
      </c>
      <c r="N514" s="43">
        <f>IF(M514&lt;60, TEXT(M514, "0.00"), TEXT(M514/(24*60*60), "M:SS.00"))</f>
        <v/>
      </c>
      <c r="O514" s="14">
        <f>IFERROR(__xludf.DUMMYFUNCTION("LET(
  gen,$A514, ev,$B514, t,$N514,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)"),726.0)</f>
        <v/>
      </c>
      <c r="P514" s="65" t="n"/>
      <c r="Q514" s="65" t="n"/>
      <c r="R514" s="69" t="n"/>
      <c r="S514" s="65" t="n"/>
      <c r="T514" s="69" t="n"/>
      <c r="U514" s="58" t="n"/>
      <c r="V514" s="69" t="n"/>
      <c r="W514" s="65" t="n"/>
      <c r="X514" s="65" t="n"/>
      <c r="Y514" s="65" t="n"/>
    </row>
    <row r="515">
      <c r="A515" s="17" t="inlineStr">
        <is>
          <t>M</t>
        </is>
      </c>
      <c r="B515" s="18" t="inlineStr">
        <is>
          <t>400 IM</t>
        </is>
      </c>
      <c r="C515" s="18" t="n">
        <v>19</v>
      </c>
      <c r="D515" s="18" t="n">
        <v>1</v>
      </c>
      <c r="E515" s="46" t="inlineStr">
        <is>
          <t>4:17.48</t>
        </is>
      </c>
      <c r="F515" s="21">
        <f>IFERROR(__xludf.DUMMYFUNCTION("IF(
  REGEXMATCH(E515, "":""),
  60*VALUE(INDEX(SPLIT(E515, "":""),1,1)) + VALUE(INDEX(SPLIT(E515, "":""),1,2)),
  VALUE(E515)
)"),257.48)</f>
        <v/>
      </c>
      <c r="G515" s="211">
        <f>C506</f>
        <v/>
      </c>
      <c r="H515" s="211">
        <f>C515</f>
        <v/>
      </c>
      <c r="I515" s="211">
        <f>C520</f>
        <v/>
      </c>
      <c r="J515" s="211">
        <f>C523</f>
        <v/>
      </c>
      <c r="K515" s="60">
        <f>IFS(H515=21,1,I515=21,2,J515=21,3,and(H515=20,I515=22),1.5, and(I515=20,J515=22),2.5,H515&gt;21,0.5)</f>
        <v/>
      </c>
      <c r="L515" s="60">
        <f t="array" ref="L515">INDEX('Podium Target Times'!$C:$C, MATCH(A515&amp;B515, 'Podium Target Times'!$A:$A&amp;'Podium Target Times'!$B:$B, 0))
</f>
        <v/>
      </c>
      <c r="M515" s="66">
        <f>IFS(K515=0.5,L515,K515=1,L515, K515=1.5, M518+(F516-F518), K515=2, M518+(F516-F518), K515=2.5, M518+(F517-F519), K515=3, M518+(F517-F519))</f>
        <v/>
      </c>
      <c r="N515" s="60">
        <f>IF(M515&lt;60, TEXT(M515, "0.00"), TEXT(M515/(24*60*60), "M:SS.00"))</f>
        <v/>
      </c>
      <c r="O515" s="25">
        <f>IFERROR(__xludf.DUMMYFUNCTION("LET(
  gen,$A515, ev,$B515, t,$N515,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P515" s="65" t="n"/>
      <c r="Q515" s="65" t="n"/>
      <c r="R515" s="69" t="n"/>
      <c r="S515" s="65" t="n"/>
      <c r="T515" s="69" t="n"/>
      <c r="U515" s="58" t="n"/>
      <c r="V515" s="69" t="n"/>
      <c r="W515" s="65" t="n"/>
      <c r="X515" s="65" t="n"/>
      <c r="Y515" s="65" t="n"/>
    </row>
    <row r="516">
      <c r="A516" s="8" t="inlineStr">
        <is>
          <t>M</t>
        </is>
      </c>
      <c r="B516" s="9" t="inlineStr">
        <is>
          <t>400 IM</t>
        </is>
      </c>
      <c r="C516" s="9" t="n">
        <v>19</v>
      </c>
      <c r="D516" s="9" t="n">
        <v>2</v>
      </c>
      <c r="E516" s="41" t="inlineStr">
        <is>
          <t>4:20.98</t>
        </is>
      </c>
      <c r="F516" s="35">
        <f>IFERROR(__xludf.DUMMYFUNCTION("IF(
  REGEXMATCH(E516, "":""),
  60*VALUE(INDEX(SPLIT(E516, "":""),1,1)) + VALUE(INDEX(SPLIT(E516, "":""),1,2)),
  VALUE(E516)
)"),260.98)</f>
        <v/>
      </c>
      <c r="G516" s="215">
        <f>C506</f>
        <v/>
      </c>
      <c r="H516" s="215">
        <f>C515</f>
        <v/>
      </c>
      <c r="I516" s="215">
        <f>C520</f>
        <v/>
      </c>
      <c r="J516" s="215">
        <f>C523</f>
        <v/>
      </c>
      <c r="K516" s="43">
        <f>IFS(H516=21,1,I516=21,2,J516=21,3,and(H516=20,I516=22),1.5, and(I516=20,J516=22),2.5,H516&gt;21,0.5)</f>
        <v/>
      </c>
      <c r="L516" s="43">
        <f t="array" ref="L516">INDEX('Podium Target Times'!$C:$C, MATCH(A516&amp;B516, 'Podium Target Times'!$A:$A&amp;'Podium Target Times'!$B:$B, 0))
</f>
        <v/>
      </c>
      <c r="M516" s="64">
        <f>IFS(K516=0.5,L516,K516=1,L516, K516=1.5, M518+(F516-F518), K516=2, M518+(F516-F518), K516=2.5, M518+(F517-F519), K516=3, M518+(F517-F519))</f>
        <v/>
      </c>
      <c r="N516" s="43">
        <f>IF(M516&lt;60, TEXT(M516, "0.00"), TEXT(M516/(24*60*60), "M:SS.00"))</f>
        <v/>
      </c>
      <c r="O516" s="14">
        <f>IFERROR(__xludf.DUMMYFUNCTION("LET(
  gen,$A516, ev,$B516, t,$N516,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P516" s="65" t="n"/>
      <c r="Q516" s="65" t="n"/>
      <c r="R516" s="69" t="n"/>
      <c r="S516" s="65" t="n"/>
      <c r="T516" s="69" t="n"/>
      <c r="U516" s="58" t="n"/>
      <c r="V516" s="69" t="n"/>
      <c r="W516" s="65" t="n"/>
      <c r="X516" s="65" t="n"/>
      <c r="Y516" s="65" t="n"/>
    </row>
    <row r="517">
      <c r="A517" s="17" t="inlineStr">
        <is>
          <t>M</t>
        </is>
      </c>
      <c r="B517" s="18" t="inlineStr">
        <is>
          <t>400 IM</t>
        </is>
      </c>
      <c r="C517" s="18" t="n">
        <v>19</v>
      </c>
      <c r="D517" s="18" t="n">
        <v>3</v>
      </c>
      <c r="E517" s="46" t="inlineStr">
        <is>
          <t>4:21.66</t>
        </is>
      </c>
      <c r="F517" s="21">
        <f>IFERROR(__xludf.DUMMYFUNCTION("IF(
  REGEXMATCH(E517, "":""),
  60*VALUE(INDEX(SPLIT(E517, "":""),1,1)) + VALUE(INDEX(SPLIT(E517, "":""),1,2)),
  VALUE(E517)
)"),261.66)</f>
        <v/>
      </c>
      <c r="G517" s="211">
        <f>C506</f>
        <v/>
      </c>
      <c r="H517" s="211">
        <f>C515</f>
        <v/>
      </c>
      <c r="I517" s="211">
        <f>C520</f>
        <v/>
      </c>
      <c r="J517" s="211">
        <f>C523</f>
        <v/>
      </c>
      <c r="K517" s="60">
        <f>IFS(H517=21,1,I517=21,2,J517=21,3,and(H517=20,I517=22),1.5, and(I517=20,J517=22),2.5,H517&gt;21,0.5)</f>
        <v/>
      </c>
      <c r="L517" s="60">
        <f t="array" ref="L517">INDEX('Podium Target Times'!$C:$C, MATCH(A517&amp;B517, 'Podium Target Times'!$A:$A&amp;'Podium Target Times'!$B:$B, 0))
</f>
        <v/>
      </c>
      <c r="M517" s="66">
        <f>IFS(K517=0.5,L517,K517=1,L517, K517=1.5, M518+(F516-F518), K517=2, M518+(F516-F518), K517=2.5, M518+(F517-F519), K517=3, M518+(F517-F519))</f>
        <v/>
      </c>
      <c r="N517" s="60">
        <f>IF(M517&lt;60, TEXT(M517, "0.00"), TEXT(M517/(24*60*60), "M:SS.00"))</f>
        <v/>
      </c>
      <c r="O517" s="25">
        <f>IFERROR(__xludf.DUMMYFUNCTION("LET(
  gen,$A517, ev,$B517, t,$N517,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)"),751.0)</f>
        <v/>
      </c>
      <c r="P517" s="65" t="n"/>
      <c r="Q517" s="65" t="n"/>
      <c r="R517" s="69" t="n"/>
      <c r="S517" s="65" t="n"/>
      <c r="T517" s="69" t="n"/>
      <c r="U517" s="58" t="n"/>
      <c r="V517" s="69" t="n"/>
      <c r="W517" s="65" t="n"/>
      <c r="X517" s="65" t="n"/>
      <c r="Y517" s="65" t="n"/>
    </row>
    <row r="518">
      <c r="A518" s="8" t="inlineStr">
        <is>
          <t>M</t>
        </is>
      </c>
      <c r="B518" s="9" t="inlineStr">
        <is>
          <t>400 IM</t>
        </is>
      </c>
      <c r="C518" s="9" t="n">
        <v>20</v>
      </c>
      <c r="D518" s="9" t="n">
        <v>2</v>
      </c>
      <c r="E518" s="41" t="inlineStr">
        <is>
          <t>4:18.85</t>
        </is>
      </c>
      <c r="F518" s="35">
        <f>IFERROR(__xludf.DUMMYFUNCTION("IF(
  REGEXMATCH(E518, "":""),
  60*VALUE(INDEX(SPLIT(E518, "":""),1,1)) + VALUE(INDEX(SPLIT(E518, "":""),1,2)),
  VALUE(E518)
)"),258.85)</f>
        <v/>
      </c>
      <c r="G518" s="215">
        <f>C506</f>
        <v/>
      </c>
      <c r="H518" s="215">
        <f>C515</f>
        <v/>
      </c>
      <c r="I518" s="215">
        <f>C520</f>
        <v/>
      </c>
      <c r="J518" s="215">
        <f>C523</f>
        <v/>
      </c>
      <c r="K518" s="43">
        <f>IFS(H518=21,1,I518=21,2,J518=21,3,and(H518=20,I518=22),1.5, and(I518=20,J518=22),2.5,H518&gt;21,0.5)</f>
        <v/>
      </c>
      <c r="L518" s="43">
        <f t="array" ref="L518">INDEX('Podium Target Times'!$C:$C, MATCH(A518&amp;B518, 'Podium Target Times'!$A:$A&amp;'Podium Target Times'!$B:$B, 0))
</f>
        <v/>
      </c>
      <c r="M518" s="64">
        <f>IFS(K518=0.5,L518,K518=1,L518, K518=1.5, L518, K518=2, M520+(F518-F520), K518=2.5, M520+(F519-F521), K518=3, M520+(F519-F521))</f>
        <v/>
      </c>
      <c r="N518" s="43">
        <f>IF(M518&lt;60, TEXT(M518, "0.00"), TEXT(M518/(24*60*60), "M:SS.00"))</f>
        <v/>
      </c>
      <c r="O518" s="14">
        <f>IFERROR(__xludf.DUMMYFUNCTION("LET(
  gen,$A518, ev,$B518, t,$N518,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P518" s="65" t="n"/>
      <c r="Q518" s="65" t="n"/>
      <c r="R518" s="69" t="n"/>
      <c r="S518" s="65" t="n"/>
      <c r="T518" s="69" t="n"/>
      <c r="U518" s="58" t="n"/>
      <c r="V518" s="69" t="n"/>
      <c r="W518" s="65" t="n"/>
      <c r="X518" s="65" t="n"/>
      <c r="Y518" s="65" t="n"/>
    </row>
    <row r="519">
      <c r="A519" s="17" t="inlineStr">
        <is>
          <t>M</t>
        </is>
      </c>
      <c r="B519" s="18" t="inlineStr">
        <is>
          <t>400 IM</t>
        </is>
      </c>
      <c r="C519" s="18" t="n">
        <v>20</v>
      </c>
      <c r="D519" s="18" t="n">
        <v>3</v>
      </c>
      <c r="E519" s="46" t="inlineStr">
        <is>
          <t>4:19.53</t>
        </is>
      </c>
      <c r="F519" s="21">
        <f>IFERROR(__xludf.DUMMYFUNCTION("IF(
  REGEXMATCH(E519, "":""),
  60*VALUE(INDEX(SPLIT(E519, "":""),1,1)) + VALUE(INDEX(SPLIT(E519, "":""),1,2)),
  VALUE(E519)
)"),259.53)</f>
        <v/>
      </c>
      <c r="G519" s="211">
        <f>C506</f>
        <v/>
      </c>
      <c r="H519" s="211">
        <f>C515</f>
        <v/>
      </c>
      <c r="I519" s="211">
        <f>C520</f>
        <v/>
      </c>
      <c r="J519" s="211">
        <f>C523</f>
        <v/>
      </c>
      <c r="K519" s="60">
        <f>IFS(H519=21,1,I519=21,2,J519=21,3,and(H519=20,I519=22),1.5, and(I519=20,J519=22),2.5,H519&gt;21,0.5)</f>
        <v/>
      </c>
      <c r="L519" s="60">
        <f t="array" ref="L519">INDEX('Podium Target Times'!$C:$C, MATCH(A519&amp;B519, 'Podium Target Times'!$A:$A&amp;'Podium Target Times'!$B:$B, 0))
</f>
        <v/>
      </c>
      <c r="M519" s="66">
        <f>IFS(K519=0.5,L519,K519=1,L519, K519=1.5, L519, K519=2, M520+(F518-F520), K519=2.5, M520+(F519-F521), K519=3, M520+(F519-F521))</f>
        <v/>
      </c>
      <c r="N519" s="60">
        <f>IF(M519&lt;60, TEXT(M519, "0.00"), TEXT(M519/(24*60*60), "M:SS.00"))</f>
        <v/>
      </c>
      <c r="O519" s="25">
        <f>IFERROR(__xludf.DUMMYFUNCTION("LET(
  gen,$A519, ev,$B519, t,$N519,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)"),769.0)</f>
        <v/>
      </c>
      <c r="P519" s="65" t="n"/>
      <c r="Q519" s="65" t="n"/>
      <c r="R519" s="69" t="n"/>
      <c r="S519" s="65" t="n"/>
      <c r="T519" s="69" t="n"/>
      <c r="U519" s="58" t="n"/>
      <c r="V519" s="69" t="n"/>
      <c r="W519" s="65" t="n"/>
      <c r="X519" s="65" t="n"/>
      <c r="Y519" s="65" t="n"/>
    </row>
    <row r="520">
      <c r="A520" s="8" t="inlineStr">
        <is>
          <t>M</t>
        </is>
      </c>
      <c r="B520" s="9" t="inlineStr">
        <is>
          <t>400 IM</t>
        </is>
      </c>
      <c r="C520" s="9" t="n">
        <v>21</v>
      </c>
      <c r="D520" s="9" t="n">
        <v>2</v>
      </c>
      <c r="E520" s="41" t="inlineStr">
        <is>
          <t>4:17.48</t>
        </is>
      </c>
      <c r="F520" s="35">
        <f>IFERROR(__xludf.DUMMYFUNCTION("IF(
  REGEXMATCH(E520, "":""),
  60*VALUE(INDEX(SPLIT(E520, "":""),1,1)) + VALUE(INDEX(SPLIT(E520, "":""),1,2)),
  VALUE(E520)
)"),257.48)</f>
        <v/>
      </c>
      <c r="G520" s="215">
        <f>C506</f>
        <v/>
      </c>
      <c r="H520" s="215">
        <f>C515</f>
        <v/>
      </c>
      <c r="I520" s="215">
        <f>C520</f>
        <v/>
      </c>
      <c r="J520" s="215">
        <f>C523</f>
        <v/>
      </c>
      <c r="K520" s="43">
        <f>IFS(H520=21,1,I520=21,2,J520=21,3,and(H520=20,I520=22),1.5, and(I520=20,J520=22),2.5,H520&gt;21,0.5)</f>
        <v/>
      </c>
      <c r="L520" s="43">
        <f t="array" ref="L520">INDEX('Podium Target Times'!$C:$C, MATCH(A520&amp;B520, 'Podium Target Times'!$A:$A&amp;'Podium Target Times'!$B:$B, 0))
</f>
        <v/>
      </c>
      <c r="M520" s="64">
        <f>IFS(K520=0.5,L520,K520=1,L520, K520=1.5, L520, K520=2,L523, K520=2.5, M522+(F521-F522), K520=3,  M522+(F521-F522))</f>
        <v/>
      </c>
      <c r="N520" s="43">
        <f>IF(M520&lt;60, TEXT(M520, "0.00"), TEXT(M520/(24*60*60), "M:SS.00"))</f>
        <v/>
      </c>
      <c r="O520" s="14">
        <f>IFERROR(__xludf.DUMMYFUNCTION("LET(
  gen,$A520, ev,$B520, t,$N520,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P520" s="65" t="n"/>
      <c r="Q520" s="65" t="n"/>
      <c r="R520" s="69" t="n"/>
      <c r="S520" s="65" t="n"/>
      <c r="T520" s="69" t="n"/>
      <c r="U520" s="58" t="n"/>
      <c r="V520" s="69" t="n"/>
      <c r="W520" s="65" t="n"/>
      <c r="X520" s="65" t="n"/>
      <c r="Y520" s="65" t="n"/>
    </row>
    <row r="521">
      <c r="A521" s="17" t="inlineStr">
        <is>
          <t>M</t>
        </is>
      </c>
      <c r="B521" s="18" t="inlineStr">
        <is>
          <t>400 IM</t>
        </is>
      </c>
      <c r="C521" s="18" t="n">
        <v>21</v>
      </c>
      <c r="D521" s="18" t="n">
        <v>3</v>
      </c>
      <c r="E521" s="46" t="inlineStr">
        <is>
          <t>4:18.15</t>
        </is>
      </c>
      <c r="F521" s="21">
        <f>IFERROR(__xludf.DUMMYFUNCTION("IF(
  REGEXMATCH(E521, "":""),
  60*VALUE(INDEX(SPLIT(E521, "":""),1,1)) + VALUE(INDEX(SPLIT(E521, "":""),1,2)),
  VALUE(E521)
)"),258.15)</f>
        <v/>
      </c>
      <c r="G521" s="211">
        <f>C506</f>
        <v/>
      </c>
      <c r="H521" s="211">
        <f>C515</f>
        <v/>
      </c>
      <c r="I521" s="211">
        <f>C520</f>
        <v/>
      </c>
      <c r="J521" s="211">
        <f>C523</f>
        <v/>
      </c>
      <c r="K521" s="60">
        <f>IFS(H521=21,1,I521=21,2,J521=21,3,and(H521=20,I521=22),1.5, and(I521=20,J521=22),2.5,H521&gt;21,0.5)</f>
        <v/>
      </c>
      <c r="L521" s="60">
        <f t="array" ref="L521">INDEX('Podium Target Times'!$C:$C, MATCH(A521&amp;B521, 'Podium Target Times'!$A:$A&amp;'Podium Target Times'!$B:$B, 0))
</f>
        <v/>
      </c>
      <c r="M521" s="66">
        <f>IFS(K521=0.5,L521,K521=1,L521, K521=1.5, L521, K521=2, L523, K521=2.5, M522+(F521-F522), K521=3, M522+(F521-F522))</f>
        <v/>
      </c>
      <c r="N521" s="60">
        <f>IF(M521&lt;60, TEXT(M521, "0.00"), TEXT(M521/(24*60*60), "M:SS.00"))</f>
        <v/>
      </c>
      <c r="O521" s="25">
        <f>IFERROR(__xludf.DUMMYFUNCTION("LET(
  gen,$A521, ev,$B521, t,$N521,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P521" s="65" t="n"/>
      <c r="Q521" s="65" t="n"/>
      <c r="R521" s="69" t="n"/>
      <c r="S521" s="65" t="n"/>
      <c r="T521" s="69" t="n"/>
      <c r="U521" s="58" t="n"/>
      <c r="V521" s="69" t="n"/>
      <c r="W521" s="65" t="n"/>
      <c r="X521" s="65" t="n"/>
      <c r="Y521" s="65" t="n"/>
    </row>
    <row r="522">
      <c r="A522" s="8" t="inlineStr">
        <is>
          <t>M</t>
        </is>
      </c>
      <c r="B522" s="9" t="inlineStr">
        <is>
          <t>400 IM</t>
        </is>
      </c>
      <c r="C522" s="9" t="n">
        <v>22</v>
      </c>
      <c r="D522" s="9" t="n">
        <v>3</v>
      </c>
      <c r="E522" s="41" t="inlineStr">
        <is>
          <t>4:17.46</t>
        </is>
      </c>
      <c r="F522" s="35">
        <f>IFERROR(__xludf.DUMMYFUNCTION("IF(
  REGEXMATCH(E522, "":""),
  60*VALUE(INDEX(SPLIT(E522, "":""),1,1)) + VALUE(INDEX(SPLIT(E522, "":""),1,2)),
  VALUE(E522)
)"),257.46)</f>
        <v/>
      </c>
      <c r="G522" s="215">
        <f>C506</f>
        <v/>
      </c>
      <c r="H522" s="215">
        <f>C515</f>
        <v/>
      </c>
      <c r="I522" s="215">
        <f>C520</f>
        <v/>
      </c>
      <c r="J522" s="215">
        <f>C523</f>
        <v/>
      </c>
      <c r="K522" s="43">
        <f>IFS(H522=21,1,I522=21,2,J522=21,3,and(H522=20,I522=22),1.5, and(I522=20,J522=22),2.5,H522&gt;21,0.5)</f>
        <v/>
      </c>
      <c r="L522" s="43">
        <f t="array" ref="L522">INDEX('Podium Target Times'!$C:$C, MATCH(A522&amp;B522, 'Podium Target Times'!$A:$A&amp;'Podium Target Times'!$B:$B, 0))
</f>
        <v/>
      </c>
      <c r="M522" s="64">
        <f>IFS(K522=0.5,L522,K522=1,L522, K522=1.5, L522, K522=2, L523, K522=2.5, L523, K522=3, M523+(F522-F523))</f>
        <v/>
      </c>
      <c r="N522" s="43">
        <f>IF(M522&lt;60, TEXT(M522, "0.00"), TEXT(M522/(24*60*60), "M:SS.00"))</f>
        <v/>
      </c>
      <c r="O522" s="14">
        <f>IFERROR(__xludf.DUMMYFUNCTION("LET(
  gen,$A522, ev,$B522, t,$N522,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P522" s="65" t="n"/>
      <c r="Q522" s="65" t="n"/>
      <c r="R522" s="69" t="n"/>
      <c r="S522" s="65" t="n"/>
      <c r="T522" s="69" t="n"/>
      <c r="U522" s="58" t="n"/>
      <c r="V522" s="69" t="n"/>
      <c r="W522" s="65" t="n"/>
      <c r="X522" s="65" t="n"/>
      <c r="Y522" s="65" t="n"/>
    </row>
    <row r="523">
      <c r="A523" s="17" t="inlineStr">
        <is>
          <t>M</t>
        </is>
      </c>
      <c r="B523" s="18" t="inlineStr">
        <is>
          <t>400 IM</t>
        </is>
      </c>
      <c r="C523" s="18" t="n">
        <v>23</v>
      </c>
      <c r="D523" s="18" t="n">
        <v>3</v>
      </c>
      <c r="E523" s="211" t="inlineStr">
        <is>
          <t>4:17.46</t>
        </is>
      </c>
      <c r="F523" s="21">
        <f>IFERROR(__xludf.DUMMYFUNCTION("IF(
  REGEXMATCH(E523, "":""),
  60*VALUE(INDEX(SPLIT(E523, "":""),1,1)) + VALUE(INDEX(SPLIT(E523, "":""),1,2)),
  VALUE(E523)
)"),257.46)</f>
        <v/>
      </c>
      <c r="G523" s="211">
        <f>C506</f>
        <v/>
      </c>
      <c r="H523" s="211">
        <f>C515</f>
        <v/>
      </c>
      <c r="I523" s="211">
        <f>C520</f>
        <v/>
      </c>
      <c r="J523" s="211">
        <f>C523</f>
        <v/>
      </c>
      <c r="K523" s="60">
        <f>IFS(H523=21,1,I523=21,2,J523=21,3,and(H523=20,I523=22),1.5, and(I523=20,J523=22),2.5,H523&gt;21,0.5)</f>
        <v/>
      </c>
      <c r="L523" s="60">
        <f t="array" ref="L523">INDEX('Podium Target Times'!$C:$C, MATCH(A523&amp;B523, 'Podium Target Times'!$A:$A&amp;'Podium Target Times'!$B:$B, 0))
</f>
        <v/>
      </c>
      <c r="M523" s="66">
        <f>IFS(K523=0.5,L523,K523=1,L523, K523=1.5, L523, K523=2, L523, K523=2.5, L523, K523=3, L523)</f>
        <v/>
      </c>
      <c r="N523" s="60">
        <f>IF(M523&lt;60, TEXT(M523, "0.00"), TEXT(M523/(24*60*60), "M:SS.00"))</f>
        <v/>
      </c>
      <c r="O523" s="25">
        <f>IFERROR(__xludf.DUMMYFUNCTION("LET(
  gen,$A523, ev,$B523, t,$N523,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)"),781.0)</f>
        <v/>
      </c>
      <c r="P523" s="65" t="n"/>
      <c r="Q523" s="65" t="n"/>
      <c r="R523" s="69" t="n"/>
      <c r="S523" s="65" t="n"/>
      <c r="T523" s="69" t="n"/>
      <c r="U523" s="58" t="n"/>
      <c r="V523" s="69" t="n"/>
      <c r="W523" s="65" t="n"/>
      <c r="X523" s="65" t="n"/>
      <c r="Y523" s="65" t="n"/>
    </row>
    <row r="524">
      <c r="A524" s="8" t="inlineStr">
        <is>
          <t>M</t>
        </is>
      </c>
      <c r="B524" s="9" t="inlineStr">
        <is>
          <t>50 Back</t>
        </is>
      </c>
      <c r="C524" s="9" t="n">
        <v>16</v>
      </c>
      <c r="D524" s="9" t="n">
        <v>1</v>
      </c>
      <c r="E524" s="41" t="inlineStr">
        <is>
          <t>27.26</t>
        </is>
      </c>
      <c r="F524" s="35">
        <f>IFERROR(__xludf.DUMMYFUNCTION("IF(
  REGEXMATCH(E524, "":""),
  60*VALUE(INDEX(SPLIT(E524, "":""),1,1)) + VALUE(INDEX(SPLIT(E524, "":""),1,2)),
  VALUE(E524)
)"),27.26)</f>
        <v/>
      </c>
      <c r="G524" s="43">
        <f>C524</f>
        <v/>
      </c>
      <c r="H524" s="43">
        <f>C533</f>
        <v/>
      </c>
      <c r="I524" s="43">
        <f>C538</f>
        <v/>
      </c>
      <c r="J524" s="43">
        <f>C541</f>
        <v/>
      </c>
      <c r="K524" s="43">
        <f>IFS(H524=21,1,I524=21,2,J524=21,3,and(H524=20,I524=22),1.5, and(I524=20,J524=22),2.5,H524&gt;21,0.5)</f>
        <v/>
      </c>
      <c r="L524" s="43">
        <f t="array" ref="L524">INDEX('Podium Target Times'!$C:$C, MATCH(A524&amp;B524, 'Podium Target Times'!$A:$A&amp;'Podium Target Times'!$B:$B, 0))
</f>
        <v/>
      </c>
      <c r="M524" s="64">
        <f>IFS(K524=0.5,M525+(F524-F525),K524=1,M525+(F524-F525), K524=1.5, M525+(F524-F525), K524=2, M525+(F524-F525), K524=2.5, M525+(F524-F525), K524=3, M525+(F524-F525))</f>
        <v/>
      </c>
      <c r="N524" s="43">
        <f>IF(M524&lt;60, TEXT(M524, "0.00"), TEXT(M524/(24*60*60), "M:SS.00"))</f>
        <v/>
      </c>
      <c r="O524" s="14">
        <f>IFERROR(__xludf.DUMMYFUNCTION("LET(
  gen,$A524, ev,$B524, t,$N524,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)"),598.0)</f>
        <v/>
      </c>
      <c r="P524" s="65" t="n"/>
      <c r="Q524" s="65" t="n"/>
      <c r="R524" s="69">
        <f>A524</f>
        <v/>
      </c>
      <c r="S524" s="65">
        <f>B524</f>
        <v/>
      </c>
      <c r="T524" s="69">
        <f>C524</f>
        <v/>
      </c>
      <c r="U524" s="58">
        <f>N524</f>
        <v/>
      </c>
      <c r="V524" s="69">
        <f>O524</f>
        <v/>
      </c>
      <c r="W524" s="65" t="n"/>
      <c r="X524" s="65" t="n"/>
      <c r="Y524" s="65" t="n"/>
    </row>
    <row r="525">
      <c r="A525" s="17" t="inlineStr">
        <is>
          <t>M</t>
        </is>
      </c>
      <c r="B525" s="18" t="inlineStr">
        <is>
          <t>50 Back</t>
        </is>
      </c>
      <c r="C525" s="18" t="n">
        <v>17</v>
      </c>
      <c r="D525" s="18" t="n">
        <v>1</v>
      </c>
      <c r="E525" s="211" t="inlineStr">
        <is>
          <t>26.47</t>
        </is>
      </c>
      <c r="F525" s="21">
        <f>IFERROR(__xludf.DUMMYFUNCTION("IF(
  REGEXMATCH(E525, "":""),
  60*VALUE(INDEX(SPLIT(E525, "":""),1,1)) + VALUE(INDEX(SPLIT(E525, "":""),1,2)),
  VALUE(E525)
)"),26.47)</f>
        <v/>
      </c>
      <c r="G525" s="211">
        <f>C524</f>
        <v/>
      </c>
      <c r="H525" s="211">
        <f>C533</f>
        <v/>
      </c>
      <c r="I525" s="211">
        <f>C538</f>
        <v/>
      </c>
      <c r="J525" s="211">
        <f>C541</f>
        <v/>
      </c>
      <c r="K525" s="60">
        <f>IFS(H525=21,1,I525=21,2,J525=21,3,and(H525=20,I525=22),1.5, and(I525=20,J525=22),2.5,H525&gt;21,0.5)</f>
        <v/>
      </c>
      <c r="L525" s="60">
        <f t="array" ref="L525">INDEX('Podium Target Times'!$C:$C, MATCH(A525&amp;B525, 'Podium Target Times'!$A:$A&amp;'Podium Target Times'!$B:$B, 0))
</f>
        <v/>
      </c>
      <c r="M525" s="66">
        <f>IFS(K525=0.5,M526+(F525-F527),K525=1,M526+(F525-F527), K525=1.5, M527+(F526-F528), K525=2, M527+(F526-F528), K525=2.5, M527+(F526-F528), K525=3, M527+(F526-F528))</f>
        <v/>
      </c>
      <c r="N525" s="60">
        <f>IF(M525&lt;60, TEXT(M525, "0.00"), TEXT(M525/(24*60*60), "M:SS.00"))</f>
        <v/>
      </c>
      <c r="O525" s="25">
        <f>IFERROR(__xludf.DUMMYFUNCTION("LET(
  gen,$A525, ev,$B525, t,$N525,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)"),652.0)</f>
        <v/>
      </c>
      <c r="P525" s="65" t="n"/>
      <c r="Q525" s="65" t="n"/>
      <c r="R525" s="69">
        <f>A525</f>
        <v/>
      </c>
      <c r="S525" s="65">
        <f>B525</f>
        <v/>
      </c>
      <c r="T525" s="69">
        <f>C525</f>
        <v/>
      </c>
      <c r="U525" s="58">
        <f>N525</f>
        <v/>
      </c>
      <c r="V525" s="69">
        <f>O525</f>
        <v/>
      </c>
      <c r="W525" s="65" t="n"/>
      <c r="X525" s="65" t="n"/>
      <c r="Y525" s="65" t="n"/>
    </row>
    <row r="526">
      <c r="A526" s="8" t="inlineStr">
        <is>
          <t>M</t>
        </is>
      </c>
      <c r="B526" s="9" t="inlineStr">
        <is>
          <t>50 Back</t>
        </is>
      </c>
      <c r="C526" s="9" t="n">
        <v>17</v>
      </c>
      <c r="D526" s="9" t="n">
        <v>2</v>
      </c>
      <c r="E526" s="215" t="inlineStr">
        <is>
          <t>26.73</t>
        </is>
      </c>
      <c r="F526" s="35">
        <f>IFERROR(__xludf.DUMMYFUNCTION("IF(
  REGEXMATCH(E526, "":""),
  60*VALUE(INDEX(SPLIT(E526, "":""),1,1)) + VALUE(INDEX(SPLIT(E526, "":""),1,2)),
  VALUE(E526)
)"),26.73)</f>
        <v/>
      </c>
      <c r="G526" s="215">
        <f>C524</f>
        <v/>
      </c>
      <c r="H526" s="215">
        <f>C533</f>
        <v/>
      </c>
      <c r="I526" s="215">
        <f>C538</f>
        <v/>
      </c>
      <c r="J526" s="215">
        <f>C541</f>
        <v/>
      </c>
      <c r="K526" s="43">
        <f>IFS(H526=21,1,I526=21,2,J526=21,3,and(H526=20,I526=22),1.5, and(I526=20,J526=22),2.5,H526&gt;21,0.5)</f>
        <v/>
      </c>
      <c r="L526" s="43">
        <f t="array" ref="L526">INDEX('Podium Target Times'!$C:$C, MATCH(A526&amp;B526, 'Podium Target Times'!$A:$A&amp;'Podium Target Times'!$B:$B, 0))
</f>
        <v/>
      </c>
      <c r="M526" s="64">
        <f>IFS(K526=0.5,M527+(F526-F529),K526=1,M527+(F526-F529), K526=1.5, M527+(F526-F528), K526=2, M527+(F526-F528), K526=2.5, M527+(F526-F528), K526=3, M527+(F526-F528))</f>
        <v/>
      </c>
      <c r="N526" s="43">
        <f>IF(M526&lt;60, TEXT(M526, "0.00"), TEXT(M526/(24*60*60), "M:SS.00"))</f>
        <v/>
      </c>
      <c r="O526" s="14">
        <f>IFERROR(__xludf.DUMMYFUNCTION("LET(
  gen,$A526, ev,$B526, t,$N526,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)"),652.0)</f>
        <v/>
      </c>
      <c r="P526" s="65" t="n"/>
      <c r="Q526" s="65" t="n"/>
      <c r="R526" s="69">
        <f>A527</f>
        <v/>
      </c>
      <c r="S526" s="65">
        <f>B527</f>
        <v/>
      </c>
      <c r="T526" s="69">
        <f>C527</f>
        <v/>
      </c>
      <c r="U526" s="58">
        <f>N527</f>
        <v/>
      </c>
      <c r="V526" s="69">
        <f>O527</f>
        <v/>
      </c>
      <c r="W526" s="65" t="n"/>
      <c r="X526" s="65" t="n"/>
      <c r="Y526" s="65" t="n"/>
    </row>
    <row r="527">
      <c r="A527" s="17" t="inlineStr">
        <is>
          <t>M</t>
        </is>
      </c>
      <c r="B527" s="18" t="inlineStr">
        <is>
          <t>50 Back</t>
        </is>
      </c>
      <c r="C527" s="18" t="n">
        <v>18</v>
      </c>
      <c r="D527" s="18" t="n">
        <v>1</v>
      </c>
      <c r="E527" s="491" t="inlineStr">
        <is>
          <t>25.85</t>
        </is>
      </c>
      <c r="F527" s="21">
        <f>IFERROR(__xludf.DUMMYFUNCTION("IF(
  REGEXMATCH(E527, "":""),
  60*VALUE(INDEX(SPLIT(E527, "":""),1,1)) + VALUE(INDEX(SPLIT(E527, "":""),1,2)),
  VALUE(E527)
)"),25.85)</f>
        <v/>
      </c>
      <c r="G527" s="211">
        <f>C524</f>
        <v/>
      </c>
      <c r="H527" s="211">
        <f>C533</f>
        <v/>
      </c>
      <c r="I527" s="211">
        <f>C538</f>
        <v/>
      </c>
      <c r="J527" s="211">
        <f>C541</f>
        <v/>
      </c>
      <c r="K527" s="60">
        <f>IFS(H527=21,1,I527=21,2,J527=21,3,and(H527=20,I527=22),1.5, and(I527=20,J527=22),2.5,H527&gt;21,0.5)</f>
        <v/>
      </c>
      <c r="L527" s="60">
        <f t="array" ref="L527">INDEX('Podium Target Times'!$C:$C, MATCH(A527&amp;B527, 'Podium Target Times'!$A:$A&amp;'Podium Target Times'!$B:$B, 0))
</f>
        <v/>
      </c>
      <c r="M527" s="66">
        <f>IFS(K527=0.5,M528+(F527-F530),K527=1,M528+(F527-F530), K527=1.5, M530+(F528-F531), K527=2, M530+(F528-F531), K527=2.5, M530+(F529-F532), K527=3, M530+(F529-F532))</f>
        <v/>
      </c>
      <c r="N527" s="60">
        <f>IF(M527&lt;60, TEXT(M527, "0.00"), TEXT(M527/(24*60*60), "M:SS.00"))</f>
        <v/>
      </c>
      <c r="O527" s="25">
        <f>IFERROR(__xludf.DUMMYFUNCTION("LET(
  gen,$A527, ev,$B527, t,$N527,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
      </c>
      <c r="P527" s="65" t="n"/>
      <c r="Q527" s="65" t="n"/>
      <c r="R527" s="69">
        <f>A530</f>
        <v/>
      </c>
      <c r="S527" s="65">
        <f>B530</f>
        <v/>
      </c>
      <c r="T527" s="69">
        <f>C530</f>
        <v/>
      </c>
      <c r="U527" s="58">
        <f>N530</f>
        <v/>
      </c>
      <c r="V527" s="69">
        <f>O530</f>
        <v/>
      </c>
      <c r="W527" s="65" t="n"/>
      <c r="X527" s="65" t="n"/>
      <c r="Y527" s="65" t="n"/>
    </row>
    <row r="528">
      <c r="A528" s="8" t="inlineStr">
        <is>
          <t>M</t>
        </is>
      </c>
      <c r="B528" s="9" t="inlineStr">
        <is>
          <t>50 Back</t>
        </is>
      </c>
      <c r="C528" s="9" t="n">
        <v>18</v>
      </c>
      <c r="D528" s="9" t="n">
        <v>2</v>
      </c>
      <c r="E528" s="41" t="inlineStr">
        <is>
          <t>26.10</t>
        </is>
      </c>
      <c r="F528" s="35">
        <f>IFERROR(__xludf.DUMMYFUNCTION("IF(
  REGEXMATCH(E528, "":""),
  60*VALUE(INDEX(SPLIT(E528, "":""),1,1)) + VALUE(INDEX(SPLIT(E528, "":""),1,2)),
  VALUE(E528)
)"),26.1)</f>
        <v/>
      </c>
      <c r="G528" s="215">
        <f>C524</f>
        <v/>
      </c>
      <c r="H528" s="215">
        <f>C533</f>
        <v/>
      </c>
      <c r="I528" s="215">
        <f>C538</f>
        <v/>
      </c>
      <c r="J528" s="215">
        <f>C541</f>
        <v/>
      </c>
      <c r="K528" s="43">
        <f>IFS(H528=21,1,I528=21,2,J528=21,3,and(H528=20,I528=22),1.5, and(I528=20,J528=22),2.5,H528&gt;21,0.5)</f>
        <v/>
      </c>
      <c r="L528" s="43">
        <f t="array" ref="L528">INDEX('Podium Target Times'!$C:$C, MATCH(A528&amp;B528, 'Podium Target Times'!$A:$A&amp;'Podium Target Times'!$B:$B, 0))
</f>
        <v/>
      </c>
      <c r="M528" s="64">
        <f>IFS(K528=0.5,M529+(F527-F530),K528=1,M529+(F527-F530), K528=1.5, M530+(F528-F531), K528=2, M530+(F528-F531), K528=2.5, M530+(F529-F532), K528=3, M530+(F529-F532))</f>
        <v/>
      </c>
      <c r="N528" s="43">
        <f>IF(M528&lt;60, TEXT(M528, "0.00"), TEXT(M528/(24*60*60), "M:SS.00"))</f>
        <v/>
      </c>
      <c r="O528" s="14">
        <f>IFERROR(__xludf.DUMMYFUNCTION("LET(
  gen,$A528, ev,$B528, t,$N528,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
      </c>
      <c r="P528" s="65" t="n"/>
      <c r="Q528" s="65" t="n"/>
      <c r="R528" s="69">
        <f>A533</f>
        <v/>
      </c>
      <c r="S528" s="65">
        <f>B533</f>
        <v/>
      </c>
      <c r="T528" s="69">
        <f>C533</f>
        <v/>
      </c>
      <c r="U528" s="58">
        <f>N533</f>
        <v/>
      </c>
      <c r="V528" s="69">
        <f>O533</f>
        <v/>
      </c>
      <c r="W528" s="65" t="n"/>
      <c r="X528" s="65" t="n"/>
      <c r="Y528" s="65" t="n"/>
    </row>
    <row r="529">
      <c r="A529" s="17" t="inlineStr">
        <is>
          <t>M</t>
        </is>
      </c>
      <c r="B529" s="18" t="inlineStr">
        <is>
          <t>50 Back</t>
        </is>
      </c>
      <c r="C529" s="18" t="n">
        <v>18</v>
      </c>
      <c r="D529" s="18" t="n">
        <v>3</v>
      </c>
      <c r="E529" s="46" t="inlineStr">
        <is>
          <t>26.15</t>
        </is>
      </c>
      <c r="F529" s="21">
        <f>IFERROR(__xludf.DUMMYFUNCTION("IF(
  REGEXMATCH(E529, "":""),
  60*VALUE(INDEX(SPLIT(E529, "":""),1,1)) + VALUE(INDEX(SPLIT(E529, "":""),1,2)),
  VALUE(E529)
)"),26.15)</f>
        <v/>
      </c>
      <c r="G529" s="211">
        <f>C524</f>
        <v/>
      </c>
      <c r="H529" s="211">
        <f>C533</f>
        <v/>
      </c>
      <c r="I529" s="211">
        <f>C538</f>
        <v/>
      </c>
      <c r="J529" s="211">
        <f>C541</f>
        <v/>
      </c>
      <c r="K529" s="60">
        <f>IFS(H529=21,1,I529=21,2,J529=21,3,and(H529=20,I529=22),1.5, and(I529=20,J529=22),2.5,H529&gt;21,0.5)</f>
        <v/>
      </c>
      <c r="L529" s="60">
        <f t="array" ref="L529">INDEX('Podium Target Times'!$C:$C, MATCH(A529&amp;B529, 'Podium Target Times'!$A:$A&amp;'Podium Target Times'!$B:$B, 0))
</f>
        <v/>
      </c>
      <c r="M529" s="66">
        <f>IFS(K529=0.5,M530+(F527-F530),K529=1,M530+(F527-F530), K529=1.5, M530+(F528-F531), K529=2, M530+(F528-F531), K529=2.5, M530+(F529-F532), K529=3, M530+(F529-F532))</f>
        <v/>
      </c>
      <c r="N529" s="60">
        <f>IF(M529&lt;60, TEXT(M529, "0.00"), TEXT(M529/(24*60*60), "M:SS.00"))</f>
        <v/>
      </c>
      <c r="O529" s="25">
        <f>IFERROR(__xludf.DUMMYFUNCTION("LET(
  gen,$A529, ev,$B529, t,$N529,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)"),700.0)</f>
        <v/>
      </c>
      <c r="P529" s="65" t="n"/>
      <c r="Q529" s="65" t="n"/>
      <c r="R529" s="69">
        <f>A536</f>
        <v/>
      </c>
      <c r="S529" s="65">
        <f>B536</f>
        <v/>
      </c>
      <c r="T529" s="69">
        <f>C536</f>
        <v/>
      </c>
      <c r="U529" s="58">
        <f>N536</f>
        <v/>
      </c>
      <c r="V529" s="69">
        <f>O536</f>
        <v/>
      </c>
      <c r="W529" s="65" t="n"/>
      <c r="X529" s="65" t="n"/>
      <c r="Y529" s="65" t="n"/>
    </row>
    <row r="530">
      <c r="A530" s="8" t="inlineStr">
        <is>
          <t>M</t>
        </is>
      </c>
      <c r="B530" s="9" t="inlineStr">
        <is>
          <t>50 Back</t>
        </is>
      </c>
      <c r="C530" s="9" t="n">
        <v>19</v>
      </c>
      <c r="D530" s="9" t="n">
        <v>1</v>
      </c>
      <c r="E530" s="41" t="inlineStr">
        <is>
          <t>25.40</t>
        </is>
      </c>
      <c r="F530" s="35">
        <f>IFERROR(__xludf.DUMMYFUNCTION("IF(
  REGEXMATCH(E530, "":""),
  60*VALUE(INDEX(SPLIT(E530, "":""),1,1)) + VALUE(INDEX(SPLIT(E530, "":""),1,2)),
  VALUE(E530)
)"),25.4)</f>
        <v/>
      </c>
      <c r="G530" s="215">
        <f>C524</f>
        <v/>
      </c>
      <c r="H530" s="215">
        <f>C533</f>
        <v/>
      </c>
      <c r="I530" s="215">
        <f>C538</f>
        <v/>
      </c>
      <c r="J530" s="215">
        <f>C541</f>
        <v/>
      </c>
      <c r="K530" s="43">
        <f>IFS(H530=21,1,I530=21,2,J530=21,3,and(H530=20,I530=22),1.5, and(I530=20,J530=22),2.5,H530&gt;21,0.5)</f>
        <v/>
      </c>
      <c r="L530" s="43">
        <f t="array" ref="L530">INDEX('Podium Target Times'!$C:$C, MATCH(A530&amp;B530, 'Podium Target Times'!$A:$A&amp;'Podium Target Times'!$B:$B, 0))
</f>
        <v/>
      </c>
      <c r="M530" s="64">
        <f>IFS(K530=0.5,L530,K530=1,U528+(F530-F533), K530=1.5, M533+(F531-F534), K530=2, M533+(F531-F534), K530=2.5, M533+(F532-F535), K530=3, M533+(F532-F535))</f>
        <v/>
      </c>
      <c r="N530" s="43">
        <f>IF(M530&lt;60, TEXT(M530, "0.00"), TEXT(M530/(24*60*60), "M:SS.00"))</f>
        <v/>
      </c>
      <c r="O530" s="14">
        <f>IFERROR(__xludf.DUMMYFUNCTION("LET(
  gen,$A530, ev,$B530, t,$N530,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530" s="65" t="n"/>
      <c r="Q530" s="65" t="n"/>
      <c r="R530" s="69" t="n"/>
      <c r="S530" s="65" t="n"/>
      <c r="T530" s="69" t="n"/>
      <c r="U530" s="58" t="n"/>
      <c r="V530" s="69" t="n"/>
      <c r="W530" s="65" t="n"/>
      <c r="X530" s="65" t="n"/>
      <c r="Y530" s="65" t="n"/>
    </row>
    <row r="531">
      <c r="A531" s="17" t="inlineStr">
        <is>
          <t>M</t>
        </is>
      </c>
      <c r="B531" s="18" t="inlineStr">
        <is>
          <t>50 Back</t>
        </is>
      </c>
      <c r="C531" s="18" t="n">
        <v>19</v>
      </c>
      <c r="D531" s="18" t="n">
        <v>2</v>
      </c>
      <c r="E531" s="46" t="inlineStr">
        <is>
          <t>25.64</t>
        </is>
      </c>
      <c r="F531" s="21">
        <f>IFERROR(__xludf.DUMMYFUNCTION("IF(
  REGEXMATCH(E531, "":""),
  60*VALUE(INDEX(SPLIT(E531, "":""),1,1)) + VALUE(INDEX(SPLIT(E531, "":""),1,2)),
  VALUE(E531)
)"),25.64)</f>
        <v/>
      </c>
      <c r="G531" s="211">
        <f>C524</f>
        <v/>
      </c>
      <c r="H531" s="211">
        <f>C533</f>
        <v/>
      </c>
      <c r="I531" s="211">
        <f>C538</f>
        <v/>
      </c>
      <c r="J531" s="211">
        <f>C541</f>
        <v/>
      </c>
      <c r="K531" s="60">
        <f>IFS(H531=21,1,I531=21,2,J531=21,3,and(H531=20,I531=22),1.5, and(I531=20,J531=22),2.5,H531&gt;21,0.5)</f>
        <v/>
      </c>
      <c r="L531" s="60">
        <f t="array" ref="L531">INDEX('Podium Target Times'!$C:$C, MATCH(A531&amp;B531, 'Podium Target Times'!$A:$A&amp;'Podium Target Times'!$B:$B, 0))
</f>
        <v/>
      </c>
      <c r="M531" s="66">
        <f>IFS(K531=0.5,L531,K531=1,U528+(F530-F533), K531=1.5, M533+(F531-F534), K531=2, M533+(F531-F534), K531=2.5, M533+(F532-F535), K531=3, M533+(F532-F535))</f>
        <v/>
      </c>
      <c r="N531" s="60">
        <f>IF(M531&lt;60, TEXT(M531, "0.00"), TEXT(M531/(24*60*60), "M:SS.00"))</f>
        <v/>
      </c>
      <c r="O531" s="25">
        <f>IFERROR(__xludf.DUMMYFUNCTION("LET(
  gen,$A531, ev,$B531, t,$N531,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531" s="65" t="n"/>
      <c r="Q531" s="65" t="n"/>
      <c r="R531" s="69" t="n"/>
      <c r="S531" s="65" t="n"/>
      <c r="T531" s="69" t="n"/>
      <c r="U531" s="58" t="n"/>
      <c r="V531" s="69" t="n"/>
      <c r="W531" s="65" t="n"/>
      <c r="X531" s="65" t="n"/>
      <c r="Y531" s="65" t="n"/>
    </row>
    <row r="532">
      <c r="A532" s="8" t="inlineStr">
        <is>
          <t>M</t>
        </is>
      </c>
      <c r="B532" s="9" t="inlineStr">
        <is>
          <t>50 Back</t>
        </is>
      </c>
      <c r="C532" s="9" t="n">
        <v>19</v>
      </c>
      <c r="D532" s="9" t="n">
        <v>3</v>
      </c>
      <c r="E532" s="41" t="inlineStr">
        <is>
          <t>25.69</t>
        </is>
      </c>
      <c r="F532" s="35">
        <f>IFERROR(__xludf.DUMMYFUNCTION("IF(
  REGEXMATCH(E532, "":""),
  60*VALUE(INDEX(SPLIT(E532, "":""),1,1)) + VALUE(INDEX(SPLIT(E532, "":""),1,2)),
  VALUE(E532)
)"),25.69)</f>
        <v/>
      </c>
      <c r="G532" s="215">
        <f>C524</f>
        <v/>
      </c>
      <c r="H532" s="215">
        <f>C533</f>
        <v/>
      </c>
      <c r="I532" s="215">
        <f>C538</f>
        <v/>
      </c>
      <c r="J532" s="215">
        <f>C541</f>
        <v/>
      </c>
      <c r="K532" s="43">
        <f>IFS(H532=21,1,I532=21,2,J532=21,3,and(H532=20,I532=22),1.5, and(I532=20,J532=22),2.5,H532&gt;21,0.5)</f>
        <v/>
      </c>
      <c r="L532" s="43">
        <f t="array" ref="L532">INDEX('Podium Target Times'!$C:$C, MATCH(A532&amp;B532, 'Podium Target Times'!$A:$A&amp;'Podium Target Times'!$B:$B, 0))
</f>
        <v/>
      </c>
      <c r="M532" s="64">
        <f>IFS(K532=0.5,L532,K532=1,U528+(F530-F533), K532=1.5, M533+(F531-F534), K532=2, M533+(F531-F534), K532=2.5, M533+(F532-F535), K532=3, M533+(F532-F535))</f>
        <v/>
      </c>
      <c r="N532" s="43">
        <f>IF(M532&lt;60, TEXT(M532, "0.00"), TEXT(M532/(24*60*60), "M:SS.00"))</f>
        <v/>
      </c>
      <c r="O532" s="14">
        <f>IFERROR(__xludf.DUMMYFUNCTION("LET(
  gen,$A532, ev,$B532, t,$N532,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)"),737.0)</f>
        <v/>
      </c>
      <c r="P532" s="65" t="n"/>
      <c r="Q532" s="65" t="n"/>
      <c r="R532" s="69" t="n"/>
      <c r="S532" s="65" t="n"/>
      <c r="T532" s="69" t="n"/>
      <c r="U532" s="58" t="n"/>
      <c r="V532" s="69" t="n"/>
      <c r="W532" s="65" t="n"/>
      <c r="X532" s="65" t="n"/>
      <c r="Y532" s="65" t="n"/>
    </row>
    <row r="533">
      <c r="A533" s="17" t="inlineStr">
        <is>
          <t>M</t>
        </is>
      </c>
      <c r="B533" s="18" t="inlineStr">
        <is>
          <t>50 Back</t>
        </is>
      </c>
      <c r="C533" s="18" t="n">
        <v>20</v>
      </c>
      <c r="D533" s="18" t="n">
        <v>1</v>
      </c>
      <c r="E533" s="46" t="inlineStr">
        <is>
          <t>25.11</t>
        </is>
      </c>
      <c r="F533" s="21">
        <f>IFERROR(__xludf.DUMMYFUNCTION("IF(
  REGEXMATCH(E533, "":""),
  60*VALUE(INDEX(SPLIT(E533, "":""),1,1)) + VALUE(INDEX(SPLIT(E533, "":""),1,2)),
  VALUE(E533)
)"),25.11)</f>
        <v/>
      </c>
      <c r="G533" s="211">
        <f>C524</f>
        <v/>
      </c>
      <c r="H533" s="211">
        <f>C533</f>
        <v/>
      </c>
      <c r="I533" s="211">
        <f>C538</f>
        <v/>
      </c>
      <c r="J533" s="211">
        <f>C541</f>
        <v/>
      </c>
      <c r="K533" s="60">
        <f>IFS(H533=21,1,I533=21,2,J533=21,3,and(H533=20,I533=22),1.5, and(I533=20,J533=22),2.5,H533&gt;21,0.5)</f>
        <v/>
      </c>
      <c r="L533" s="60">
        <f t="array" ref="L533">INDEX('Podium Target Times'!$C:$C, MATCH(A533&amp;B533, 'Podium Target Times'!$A:$A&amp;'Podium Target Times'!$B:$B, 0))
</f>
        <v/>
      </c>
      <c r="M533" s="66">
        <f>IFS(K533=0.5,L533,K533=1,L533, K533=1.5, M536+(F534-F536), K533=2, M536+(F534-F536), K533=2.5, M536+(F535-F537), K533=3, M536+(F535-F537))</f>
        <v/>
      </c>
      <c r="N533" s="60">
        <f>IF(M533&lt;60, TEXT(M533, "0.00"), TEXT(M533/(24*60*60), "M:SS.00"))</f>
        <v/>
      </c>
      <c r="O533" s="25">
        <f>IFERROR(__xludf.DUMMYFUNCTION("LET(
  gen,$A533, ev,$B533, t,$N533,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533" s="65" t="n"/>
      <c r="Q533" s="65" t="n"/>
      <c r="R533" s="69" t="n"/>
      <c r="S533" s="65" t="n"/>
      <c r="T533" s="69" t="n"/>
      <c r="U533" s="58" t="n"/>
      <c r="V533" s="69" t="n"/>
      <c r="W533" s="65" t="n"/>
      <c r="X533" s="65" t="n"/>
      <c r="Y533" s="65" t="n"/>
    </row>
    <row r="534">
      <c r="A534" s="8" t="inlineStr">
        <is>
          <t>M</t>
        </is>
      </c>
      <c r="B534" s="9" t="inlineStr">
        <is>
          <t>50 Back</t>
        </is>
      </c>
      <c r="C534" s="9" t="n">
        <v>20</v>
      </c>
      <c r="D534" s="9" t="n">
        <v>2</v>
      </c>
      <c r="E534" s="41" t="inlineStr">
        <is>
          <t>25.35</t>
        </is>
      </c>
      <c r="F534" s="35">
        <f>IFERROR(__xludf.DUMMYFUNCTION("IF(
  REGEXMATCH(E534, "":""),
  60*VALUE(INDEX(SPLIT(E534, "":""),1,1)) + VALUE(INDEX(SPLIT(E534, "":""),1,2)),
  VALUE(E534)
)"),25.35)</f>
        <v/>
      </c>
      <c r="G534" s="215">
        <f>C524</f>
        <v/>
      </c>
      <c r="H534" s="215">
        <f>C533</f>
        <v/>
      </c>
      <c r="I534" s="215">
        <f>C538</f>
        <v/>
      </c>
      <c r="J534" s="215">
        <f>C541</f>
        <v/>
      </c>
      <c r="K534" s="43">
        <f>IFS(H534=21,1,I534=21,2,J534=21,3,and(H534=20,I534=22),1.5, and(I534=20,J534=22),2.5,H534&gt;21,0.5)</f>
        <v/>
      </c>
      <c r="L534" s="43">
        <f t="array" ref="L534">INDEX('Podium Target Times'!$C:$C, MATCH(A534&amp;B534, 'Podium Target Times'!$A:$A&amp;'Podium Target Times'!$B:$B, 0))
</f>
        <v/>
      </c>
      <c r="M534" s="64">
        <f>IFS(K534=0.5,L534,K534=1,L534, K534=1.5, M536+(F534-F536), K534=2, M536+(F534-F536), K534=2.5, M536+(F535-F537), K534=3, M536+(F535-F537))</f>
        <v/>
      </c>
      <c r="N534" s="43">
        <f>IF(M534&lt;60, TEXT(M534, "0.00"), TEXT(M534/(24*60*60), "M:SS.00"))</f>
        <v/>
      </c>
      <c r="O534" s="14">
        <f>IFERROR(__xludf.DUMMYFUNCTION("LET(
  gen,$A534, ev,$B534, t,$N534,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534" s="65" t="n"/>
      <c r="Q534" s="65" t="n"/>
      <c r="R534" s="69" t="n"/>
      <c r="S534" s="65" t="n"/>
      <c r="T534" s="69" t="n"/>
      <c r="U534" s="58" t="n"/>
      <c r="V534" s="69" t="n"/>
      <c r="W534" s="65" t="n"/>
      <c r="X534" s="65" t="n"/>
      <c r="Y534" s="65" t="n"/>
    </row>
    <row r="535">
      <c r="A535" s="17" t="inlineStr">
        <is>
          <t>M</t>
        </is>
      </c>
      <c r="B535" s="18" t="inlineStr">
        <is>
          <t>50 Back</t>
        </is>
      </c>
      <c r="C535" s="18" t="n">
        <v>20</v>
      </c>
      <c r="D535" s="18" t="n">
        <v>3</v>
      </c>
      <c r="E535" s="46" t="inlineStr">
        <is>
          <t>25.40</t>
        </is>
      </c>
      <c r="F535" s="21">
        <f>IFERROR(__xludf.DUMMYFUNCTION("IF(
  REGEXMATCH(E535, "":""),
  60*VALUE(INDEX(SPLIT(E535, "":""),1,1)) + VALUE(INDEX(SPLIT(E535, "":""),1,2)),
  VALUE(E535)
)"),25.4)</f>
        <v/>
      </c>
      <c r="G535" s="211">
        <f>C524</f>
        <v/>
      </c>
      <c r="H535" s="211">
        <f>C533</f>
        <v/>
      </c>
      <c r="I535" s="211">
        <f>C538</f>
        <v/>
      </c>
      <c r="J535" s="211">
        <f>C541</f>
        <v/>
      </c>
      <c r="K535" s="60">
        <f>IFS(H535=21,1,I535=21,2,J535=21,3,and(H535=20,I535=22),1.5, and(I535=20,J535=22),2.5,H535&gt;21,0.5)</f>
        <v/>
      </c>
      <c r="L535" s="60">
        <f t="array" ref="L535">INDEX('Podium Target Times'!$C:$C, MATCH(A535&amp;B535, 'Podium Target Times'!$A:$A&amp;'Podium Target Times'!$B:$B, 0))
</f>
        <v/>
      </c>
      <c r="M535" s="66">
        <f>IFS(K535=0.5,L535,K535=1,L535, K535=1.5, M536+(F534-F536), K535=2, M536+(F534-F536), K535=2.5, M536+(F535-F537), K535=3, M536+(F535-F537))</f>
        <v/>
      </c>
      <c r="N535" s="60">
        <f>IF(M535&lt;60, TEXT(M535, "0.00"), TEXT(M535/(24*60*60), "M:SS.00"))</f>
        <v/>
      </c>
      <c r="O535" s="25">
        <f>IFERROR(__xludf.DUMMYFUNCTION("LET(
  gen,$A535, ev,$B535, t,$N535,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)"),763.0)</f>
        <v/>
      </c>
      <c r="P535" s="65" t="n"/>
      <c r="Q535" s="65" t="n"/>
      <c r="R535" s="69" t="n"/>
      <c r="S535" s="65" t="n"/>
      <c r="T535" s="69" t="n"/>
      <c r="U535" s="58" t="n"/>
      <c r="V535" s="69" t="n"/>
      <c r="W535" s="65" t="n"/>
      <c r="X535" s="65" t="n"/>
      <c r="Y535" s="65" t="n"/>
    </row>
    <row r="536">
      <c r="A536" s="8" t="inlineStr">
        <is>
          <t>M</t>
        </is>
      </c>
      <c r="B536" s="9" t="inlineStr">
        <is>
          <t>50 Back</t>
        </is>
      </c>
      <c r="C536" s="9" t="n">
        <v>21</v>
      </c>
      <c r="D536" s="9" t="n">
        <v>2</v>
      </c>
      <c r="E536" s="41" t="inlineStr">
        <is>
          <t>25.19</t>
        </is>
      </c>
      <c r="F536" s="35">
        <f>IFERROR(__xludf.DUMMYFUNCTION("IF(
  REGEXMATCH(E536, "":""),
  60*VALUE(INDEX(SPLIT(E536, "":""),1,1)) + VALUE(INDEX(SPLIT(E536, "":""),1,2)),
  VALUE(E536)
)"),25.19)</f>
        <v/>
      </c>
      <c r="G536" s="215">
        <f>C524</f>
        <v/>
      </c>
      <c r="H536" s="215">
        <f>C533</f>
        <v/>
      </c>
      <c r="I536" s="215">
        <f>C538</f>
        <v/>
      </c>
      <c r="J536" s="215">
        <f>C541</f>
        <v/>
      </c>
      <c r="K536" s="43">
        <f>IFS(H536=21,1,I536=21,2,J536=21,3,and(H536=20,I536=22),1.5, and(I536=20,J536=22),2.5,H536&gt;21,0.5)</f>
        <v/>
      </c>
      <c r="L536" s="43">
        <f t="array" ref="L536">INDEX('Podium Target Times'!$C:$C, MATCH(A536&amp;B536, 'Podium Target Times'!$A:$A&amp;'Podium Target Times'!$B:$B, 0))
</f>
        <v/>
      </c>
      <c r="M536" s="64">
        <f>IFS(K536=0.5,L536,K536=1,L536, K536=1.5, L536, K536=2, M538+(F536-F538), K536=2.5, M538+(F537-F539), K536=3, M538+(F537-F539))</f>
        <v/>
      </c>
      <c r="N536" s="43">
        <f>IF(M536&lt;60, TEXT(M536, "0.00"), TEXT(M536/(24*60*60), "M:SS.00"))</f>
        <v/>
      </c>
      <c r="O536" s="14">
        <f>IFERROR(__xludf.DUMMYFUNCTION("LET(
  gen,$A536, ev,$B536, t,$N536,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536" s="65" t="n"/>
      <c r="Q536" s="65" t="n"/>
      <c r="R536" s="69" t="n"/>
      <c r="S536" s="65" t="n"/>
      <c r="T536" s="69" t="n"/>
      <c r="U536" s="58" t="n"/>
      <c r="V536" s="69" t="n"/>
      <c r="W536" s="65" t="n"/>
      <c r="X536" s="65" t="n"/>
      <c r="Y536" s="65" t="n"/>
    </row>
    <row r="537">
      <c r="A537" s="17" t="inlineStr">
        <is>
          <t>M</t>
        </is>
      </c>
      <c r="B537" s="18" t="inlineStr">
        <is>
          <t>50 Back</t>
        </is>
      </c>
      <c r="C537" s="18" t="n">
        <v>21</v>
      </c>
      <c r="D537" s="18" t="n">
        <v>3</v>
      </c>
      <c r="E537" s="46" t="inlineStr">
        <is>
          <t>25.24</t>
        </is>
      </c>
      <c r="F537" s="21">
        <f>IFERROR(__xludf.DUMMYFUNCTION("IF(
  REGEXMATCH(E537, "":""),
  60*VALUE(INDEX(SPLIT(E537, "":""),1,1)) + VALUE(INDEX(SPLIT(E537, "":""),1,2)),
  VALUE(E537)
)"),25.24)</f>
        <v/>
      </c>
      <c r="G537" s="211">
        <f>C524</f>
        <v/>
      </c>
      <c r="H537" s="211">
        <f>C533</f>
        <v/>
      </c>
      <c r="I537" s="211">
        <f>C538</f>
        <v/>
      </c>
      <c r="J537" s="211">
        <f>C541</f>
        <v/>
      </c>
      <c r="K537" s="60">
        <f>IFS(H537=21,1,I537=21,2,J537=21,3,and(H537=20,I537=22),1.5, and(I537=20,J537=22),2.5,H537&gt;21,0.5)</f>
        <v/>
      </c>
      <c r="L537" s="60">
        <f t="array" ref="L537">INDEX('Podium Target Times'!$C:$C, MATCH(A537&amp;B537, 'Podium Target Times'!$A:$A&amp;'Podium Target Times'!$B:$B, 0))
</f>
        <v/>
      </c>
      <c r="M537" s="66">
        <f>IFS(K537=0.5,L537,K537=1,L537, K537=1.5, L537, K537=2, M538+(F536-F538), K537=2.5, M538+(F537-F539), K537=3, M538+(F537-F539))</f>
        <v/>
      </c>
      <c r="N537" s="60">
        <f>IF(M537&lt;60, TEXT(M537, "0.00"), TEXT(M537/(24*60*60), "M:SS.00"))</f>
        <v/>
      </c>
      <c r="O537" s="25">
        <f>IFERROR(__xludf.DUMMYFUNCTION("LET(
  gen,$A537, ev,$B537, t,$N537,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537" s="65" t="n"/>
      <c r="Q537" s="65" t="n"/>
      <c r="R537" s="69" t="n"/>
      <c r="S537" s="65" t="n"/>
      <c r="T537" s="69" t="n"/>
      <c r="U537" s="58" t="n"/>
      <c r="V537" s="69" t="n"/>
      <c r="W537" s="65" t="n"/>
      <c r="X537" s="65" t="n"/>
      <c r="Y537" s="65" t="n"/>
    </row>
    <row r="538">
      <c r="A538" s="8" t="inlineStr">
        <is>
          <t>M</t>
        </is>
      </c>
      <c r="B538" s="9" t="inlineStr">
        <is>
          <t>50 Back</t>
        </is>
      </c>
      <c r="C538" s="9" t="n">
        <v>22</v>
      </c>
      <c r="D538" s="9" t="n">
        <v>2</v>
      </c>
      <c r="E538" s="41" t="inlineStr">
        <is>
          <t>25.11</t>
        </is>
      </c>
      <c r="F538" s="35">
        <f>IFERROR(__xludf.DUMMYFUNCTION("IF(
  REGEXMATCH(E538, "":""),
  60*VALUE(INDEX(SPLIT(E538, "":""),1,1)) + VALUE(INDEX(SPLIT(E538, "":""),1,2)),
  VALUE(E538)
)"),25.11)</f>
        <v/>
      </c>
      <c r="G538" s="215">
        <f>C524</f>
        <v/>
      </c>
      <c r="H538" s="215">
        <f>C533</f>
        <v/>
      </c>
      <c r="I538" s="215">
        <f>C538</f>
        <v/>
      </c>
      <c r="J538" s="215">
        <f>C541</f>
        <v/>
      </c>
      <c r="K538" s="43">
        <f>IFS(H538=21,1,I538=21,2,J538=21,3,and(H538=20,I538=22),1.5, and(I538=20,J538=22),2.5,H538&gt;21,0.5)</f>
        <v/>
      </c>
      <c r="L538" s="43">
        <f t="array" ref="L538">INDEX('Podium Target Times'!$C:$C, MATCH(A538&amp;B538, 'Podium Target Times'!$A:$A&amp;'Podium Target Times'!$B:$B, 0))
</f>
        <v/>
      </c>
      <c r="M538" s="64">
        <f>IFS(K538=0.5,L538,K538=1,L538, K538=1.5, L538, K538=2,L541, K538=2.5, M540+(F539-F540), K538=3,  M540+(F539-F540))</f>
        <v/>
      </c>
      <c r="N538" s="43">
        <f>IF(M538&lt;60, TEXT(M538, "0.00"), TEXT(M538/(24*60*60), "M:SS.00"))</f>
        <v/>
      </c>
      <c r="O538" s="14">
        <f>IFERROR(__xludf.DUMMYFUNCTION("LET(
  gen,$A538, ev,$B538, t,$N538,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538" s="65" t="n"/>
      <c r="Q538" s="65" t="n"/>
      <c r="R538" s="69" t="n"/>
      <c r="S538" s="65" t="n"/>
      <c r="T538" s="69" t="n"/>
      <c r="U538" s="58" t="n"/>
      <c r="V538" s="69" t="n"/>
      <c r="W538" s="65" t="n"/>
      <c r="X538" s="65" t="n"/>
      <c r="Y538" s="65" t="n"/>
    </row>
    <row r="539">
      <c r="A539" s="17" t="inlineStr">
        <is>
          <t>M</t>
        </is>
      </c>
      <c r="B539" s="18" t="inlineStr">
        <is>
          <t>50 Back</t>
        </is>
      </c>
      <c r="C539" s="18" t="n">
        <v>22</v>
      </c>
      <c r="D539" s="18" t="n">
        <v>3</v>
      </c>
      <c r="E539" s="46" t="inlineStr">
        <is>
          <t>25.15</t>
        </is>
      </c>
      <c r="F539" s="21">
        <f>IFERROR(__xludf.DUMMYFUNCTION("IF(
  REGEXMATCH(E539, "":""),
  60*VALUE(INDEX(SPLIT(E539, "":""),1,1)) + VALUE(INDEX(SPLIT(E539, "":""),1,2)),
  VALUE(E539)
)"),25.15)</f>
        <v/>
      </c>
      <c r="G539" s="211">
        <f>C524</f>
        <v/>
      </c>
      <c r="H539" s="211">
        <f>C533</f>
        <v/>
      </c>
      <c r="I539" s="211">
        <f>C538</f>
        <v/>
      </c>
      <c r="J539" s="211">
        <f>C541</f>
        <v/>
      </c>
      <c r="K539" s="60">
        <f>IFS(H539=21,1,I539=21,2,J539=21,3,and(H539=20,I539=22),1.5, and(I539=20,J539=22),2.5,H539&gt;21,0.5)</f>
        <v/>
      </c>
      <c r="L539" s="60">
        <f t="array" ref="L539">INDEX('Podium Target Times'!$C:$C, MATCH(A539&amp;B539, 'Podium Target Times'!$A:$A&amp;'Podium Target Times'!$B:$B, 0))
</f>
        <v/>
      </c>
      <c r="M539" s="66">
        <f>IFS(K539=0.5,L539,K539=1,L539, K539=1.5, L539, K539=2, L541, K539=2.5, M540+(F539-F540), K539=3, M540+(F539-F540))</f>
        <v/>
      </c>
      <c r="N539" s="60">
        <f>IF(M539&lt;60, TEXT(M539, "0.00"), TEXT(M539/(24*60*60), "M:SS.00"))</f>
        <v/>
      </c>
      <c r="O539" s="25">
        <f>IFERROR(__xludf.DUMMYFUNCTION("LET(
  gen,$A539, ev,$B539, t,$N539,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539" s="65" t="n"/>
      <c r="Q539" s="65" t="n"/>
      <c r="R539" s="69" t="n"/>
      <c r="S539" s="65" t="n"/>
      <c r="T539" s="69" t="n"/>
      <c r="U539" s="58" t="n"/>
      <c r="V539" s="69" t="n"/>
      <c r="W539" s="65" t="n"/>
      <c r="X539" s="65" t="n"/>
      <c r="Y539" s="65" t="n"/>
    </row>
    <row r="540">
      <c r="A540" s="8" t="inlineStr">
        <is>
          <t>M</t>
        </is>
      </c>
      <c r="B540" s="9" t="inlineStr">
        <is>
          <t>50 Back</t>
        </is>
      </c>
      <c r="C540" s="9" t="n">
        <v>23</v>
      </c>
      <c r="D540" s="9" t="n">
        <v>3</v>
      </c>
      <c r="E540" s="41" t="inlineStr">
        <is>
          <t>25.12</t>
        </is>
      </c>
      <c r="F540" s="35">
        <f>IFERROR(__xludf.DUMMYFUNCTION("IF(
  REGEXMATCH(E540, "":""),
  60*VALUE(INDEX(SPLIT(E540, "":""),1,1)) + VALUE(INDEX(SPLIT(E540, "":""),1,2)),
  VALUE(E540)
)"),25.12)</f>
        <v/>
      </c>
      <c r="G540" s="215">
        <f>C524</f>
        <v/>
      </c>
      <c r="H540" s="215">
        <f>C533</f>
        <v/>
      </c>
      <c r="I540" s="215">
        <f>C538</f>
        <v/>
      </c>
      <c r="J540" s="215">
        <f>C541</f>
        <v/>
      </c>
      <c r="K540" s="43">
        <f>IFS(H540=21,1,I540=21,2,J540=21,3,and(H540=20,I540=22),1.5, and(I540=20,J540=22),2.5,H540&gt;21,0.5)</f>
        <v/>
      </c>
      <c r="L540" s="43">
        <f t="array" ref="L540">INDEX('Podium Target Times'!$C:$C, MATCH(A540&amp;B540, 'Podium Target Times'!$A:$A&amp;'Podium Target Times'!$B:$B, 0))
</f>
        <v/>
      </c>
      <c r="M540" s="64">
        <f>IFS(K540=0.5,L540,K540=1,L540, K540=1.5, L540, K540=2, L541, K540=2.5, L541, K540=3, M541+(F540-F541))</f>
        <v/>
      </c>
      <c r="N540" s="43">
        <f>IF(M540&lt;60, TEXT(M540, "0.00"), TEXT(M540/(24*60*60), "M:SS.00"))</f>
        <v/>
      </c>
      <c r="O540" s="14">
        <f>IFERROR(__xludf.DUMMYFUNCTION("LET(
  gen,$A540, ev,$B540, t,$N540,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540" s="65" t="n"/>
      <c r="Q540" s="65" t="n"/>
      <c r="R540" s="69" t="n"/>
      <c r="S540" s="65" t="n"/>
      <c r="T540" s="69" t="n"/>
      <c r="U540" s="58" t="n"/>
      <c r="V540" s="69" t="n"/>
      <c r="W540" s="65" t="n"/>
      <c r="X540" s="65" t="n"/>
      <c r="Y540" s="65" t="n"/>
    </row>
    <row r="541">
      <c r="A541" s="17" t="inlineStr">
        <is>
          <t>M</t>
        </is>
      </c>
      <c r="B541" s="18" t="inlineStr">
        <is>
          <t>50 Back</t>
        </is>
      </c>
      <c r="C541" s="18" t="n">
        <v>24</v>
      </c>
      <c r="D541" s="18" t="n">
        <v>3</v>
      </c>
      <c r="E541" s="46" t="inlineStr">
        <is>
          <t>25.11</t>
        </is>
      </c>
      <c r="F541" s="21">
        <f>IFERROR(__xludf.DUMMYFUNCTION("IF(
  REGEXMATCH(E541, "":""),
  60*VALUE(INDEX(SPLIT(E541, "":""),1,1)) + VALUE(INDEX(SPLIT(E541, "":""),1,2)),
  VALUE(E541)
)"),25.11)</f>
        <v/>
      </c>
      <c r="G541" s="211">
        <f>C524</f>
        <v/>
      </c>
      <c r="H541" s="211">
        <f>C533</f>
        <v/>
      </c>
      <c r="I541" s="211">
        <f>C538</f>
        <v/>
      </c>
      <c r="J541" s="211">
        <f>C541</f>
        <v/>
      </c>
      <c r="K541" s="60">
        <f>IFS(H541=21,1,I541=21,2,J541=21,3,and(H541=20,I541=22),1.5, and(I541=20,J541=22),2.5,H541&gt;21,0.5)</f>
        <v/>
      </c>
      <c r="L541" s="60">
        <f t="array" ref="L541">INDEX('Podium Target Times'!$C:$C, MATCH(A541&amp;B541, 'Podium Target Times'!$A:$A&amp;'Podium Target Times'!$B:$B, 0))
</f>
        <v/>
      </c>
      <c r="M541" s="66">
        <f>IFS(K541=0.5,L541,K541=1,L541, K541=1.5, L541, K541=2, L541, K541=2.5, L541, K541=3, L541)</f>
        <v/>
      </c>
      <c r="N541" s="60">
        <f>IF(M541&lt;60, TEXT(M541, "0.00"), TEXT(M541/(24*60*60), "M:SS.00"))</f>
        <v/>
      </c>
      <c r="O541" s="25">
        <f>IFERROR(__xludf.DUMMYFUNCTION("LET(
  gen,$A541, ev,$B541, t,$N541,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)"),777.0)</f>
        <v/>
      </c>
      <c r="P541" s="65" t="n"/>
      <c r="Q541" s="65" t="n"/>
      <c r="R541" s="69" t="n"/>
      <c r="S541" s="65" t="n"/>
      <c r="T541" s="69" t="n"/>
      <c r="U541" s="58" t="n"/>
      <c r="V541" s="69" t="n"/>
      <c r="W541" s="65" t="n"/>
      <c r="X541" s="65" t="n"/>
      <c r="Y541" s="65" t="n"/>
    </row>
    <row r="542">
      <c r="A542" s="8" t="inlineStr">
        <is>
          <t>M</t>
        </is>
      </c>
      <c r="B542" s="9" t="inlineStr">
        <is>
          <t>50 Breast</t>
        </is>
      </c>
      <c r="C542" s="9" t="n">
        <v>18</v>
      </c>
      <c r="D542" s="9" t="n">
        <v>1</v>
      </c>
      <c r="E542" s="41" t="inlineStr">
        <is>
          <t>28.68</t>
        </is>
      </c>
      <c r="F542" s="35">
        <f>IFERROR(__xludf.DUMMYFUNCTION("IF(
  REGEXMATCH(E542, "":""),
  60*VALUE(INDEX(SPLIT(E542, "":""),1,1)) + VALUE(INDEX(SPLIT(E542, "":""),1,2)),
  VALUE(E542)
)"),28.68)</f>
        <v/>
      </c>
      <c r="G542" s="43">
        <f>C542</f>
        <v/>
      </c>
      <c r="H542" s="43">
        <f>C551</f>
        <v/>
      </c>
      <c r="I542" s="43">
        <f>C556</f>
        <v/>
      </c>
      <c r="J542" s="43">
        <f>C559</f>
        <v/>
      </c>
      <c r="K542" s="43">
        <f>IFS(H542=21,1,I542=21,2,J542=21,3,and(H542=20,I542=22),1.5, and(I542=20,J542=22),2.5,H542&gt;21,0.5)</f>
        <v/>
      </c>
      <c r="L542" s="43">
        <f t="array" ref="L542">INDEX('Podium Target Times'!$C:$C, MATCH(A542&amp;B542, 'Podium Target Times'!$A:$A&amp;'Podium Target Times'!$B:$B, 0))
</f>
        <v/>
      </c>
      <c r="M542" s="64">
        <f>IFS(K542=0.5,M543+(F542-F543),K542=1,M543+(F542-F543), K542=1.5, M543+(F542-F543), K542=2, M543+(F542-F543), K542=2.5, M543+(F542-F543), K542=3, M543+(F542-F543))</f>
        <v/>
      </c>
      <c r="N542" s="43">
        <f>IF(M542&lt;60, TEXT(M542, "0.00"), TEXT(M542/(24*60*60), "M:SS.00"))</f>
        <v/>
      </c>
      <c r="O542" s="14">
        <f>IFERROR(__xludf.DUMMYFUNCTION("LET(
  gen,$A542, ev,$B542, t,$N542,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)"),646.0)</f>
        <v/>
      </c>
      <c r="P542" s="65" t="n"/>
      <c r="Q542" s="65" t="n"/>
      <c r="R542" s="69">
        <f>A542</f>
        <v/>
      </c>
      <c r="S542" s="65">
        <f>B542</f>
        <v/>
      </c>
      <c r="T542" s="69">
        <f>C542</f>
        <v/>
      </c>
      <c r="U542" s="58">
        <f>N542</f>
        <v/>
      </c>
      <c r="V542" s="69">
        <f>O542</f>
        <v/>
      </c>
      <c r="W542" s="65" t="n"/>
      <c r="X542" s="65" t="n"/>
      <c r="Y542" s="65" t="n"/>
    </row>
    <row r="543">
      <c r="A543" s="17" t="inlineStr">
        <is>
          <t>M</t>
        </is>
      </c>
      <c r="B543" s="18" t="inlineStr">
        <is>
          <t>50 Breast</t>
        </is>
      </c>
      <c r="C543" s="18" t="n">
        <v>19</v>
      </c>
      <c r="D543" s="18" t="n">
        <v>1</v>
      </c>
      <c r="E543" s="46" t="inlineStr">
        <is>
          <t>28.17</t>
        </is>
      </c>
      <c r="F543" s="21">
        <f>IFERROR(__xludf.DUMMYFUNCTION("IF(
  REGEXMATCH(E543, "":""),
  60*VALUE(INDEX(SPLIT(E543, "":""),1,1)) + VALUE(INDEX(SPLIT(E543, "":""),1,2)),
  VALUE(E543)
)"),28.17)</f>
        <v/>
      </c>
      <c r="G543" s="211">
        <f>C542</f>
        <v/>
      </c>
      <c r="H543" s="211">
        <f>C551</f>
        <v/>
      </c>
      <c r="I543" s="211">
        <f>C556</f>
        <v/>
      </c>
      <c r="J543" s="211">
        <f>C559</f>
        <v/>
      </c>
      <c r="K543" s="60">
        <f>IFS(H543=21,1,I543=21,2,J543=21,3,and(H543=20,I543=22),1.5, and(I543=20,J543=22),2.5,H543&gt;21,0.5)</f>
        <v/>
      </c>
      <c r="L543" s="60">
        <f t="array" ref="L543">INDEX('Podium Target Times'!$C:$C, MATCH(A543&amp;B543, 'Podium Target Times'!$A:$A&amp;'Podium Target Times'!$B:$B, 0))
</f>
        <v/>
      </c>
      <c r="M543" s="66">
        <f>IFS(K543=0.5,M544+(F543-F545),K543=1,M544+(F543-F545), K543=1.5, M545+(F544-F546), K543=2, M545+(F544-F546), K543=2.5, M545+(F544-F546), K543=3, M545+(F544-F546))</f>
        <v/>
      </c>
      <c r="N543" s="60">
        <f>IF(M543&lt;60, TEXT(M543, "0.00"), TEXT(M543/(24*60*60), "M:SS.00"))</f>
        <v/>
      </c>
      <c r="O543" s="25">
        <f>IFERROR(__xludf.DUMMYFUNCTION("LET(
  gen,$A543, ev,$B543, t,$N543,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)"),680.0)</f>
        <v/>
      </c>
      <c r="P543" s="65" t="n"/>
      <c r="Q543" s="65" t="n"/>
      <c r="R543" s="69">
        <f>A543</f>
        <v/>
      </c>
      <c r="S543" s="65">
        <f>B543</f>
        <v/>
      </c>
      <c r="T543" s="69">
        <f>C543</f>
        <v/>
      </c>
      <c r="U543" s="58">
        <f>N543</f>
        <v/>
      </c>
      <c r="V543" s="69">
        <f>O543</f>
        <v/>
      </c>
      <c r="W543" s="65" t="n"/>
      <c r="X543" s="65" t="n"/>
      <c r="Y543" s="65" t="n"/>
    </row>
    <row r="544">
      <c r="A544" s="8" t="inlineStr">
        <is>
          <t>M</t>
        </is>
      </c>
      <c r="B544" s="9" t="inlineStr">
        <is>
          <t>50 Breast</t>
        </is>
      </c>
      <c r="C544" s="9" t="n">
        <v>19</v>
      </c>
      <c r="D544" s="9" t="n">
        <v>2</v>
      </c>
      <c r="E544" s="41" t="inlineStr">
        <is>
          <t>28.40</t>
        </is>
      </c>
      <c r="F544" s="35">
        <f>IFERROR(__xludf.DUMMYFUNCTION("IF(
  REGEXMATCH(E544, "":""),
  60*VALUE(INDEX(SPLIT(E544, "":""),1,1)) + VALUE(INDEX(SPLIT(E544, "":""),1,2)),
  VALUE(E544)
)"),28.4)</f>
        <v/>
      </c>
      <c r="G544" s="215">
        <f>C542</f>
        <v/>
      </c>
      <c r="H544" s="215">
        <f>C551</f>
        <v/>
      </c>
      <c r="I544" s="215">
        <f>C556</f>
        <v/>
      </c>
      <c r="J544" s="215">
        <f>C559</f>
        <v/>
      </c>
      <c r="K544" s="43">
        <f>IFS(H544=21,1,I544=21,2,J544=21,3,and(H544=20,I544=22),1.5, and(I544=20,J544=22),2.5,H544&gt;21,0.5)</f>
        <v/>
      </c>
      <c r="L544" s="43">
        <f t="array" ref="L544">INDEX('Podium Target Times'!$C:$C, MATCH(A544&amp;B544, 'Podium Target Times'!$A:$A&amp;'Podium Target Times'!$B:$B, 0))
</f>
        <v/>
      </c>
      <c r="M544" s="64">
        <f>IFS(K544=0.5,M545+(F544-F547),K544=1,M545+(F544-F547), K544=1.5, M545+(F544-F546), K544=2, M545+(F544-F546), K544=2.5, M545+(F544-F546), K544=3, M545+(F544-F546))</f>
        <v/>
      </c>
      <c r="N544" s="43">
        <f>IF(M544&lt;60, TEXT(M544, "0.00"), TEXT(M544/(24*60*60), "M:SS.00"))</f>
        <v/>
      </c>
      <c r="O544" s="14">
        <f>IFERROR(__xludf.DUMMYFUNCTION("LET(
  gen,$A544, ev,$B544, t,$N544,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)"),707.0)</f>
        <v/>
      </c>
      <c r="P544" s="65" t="n"/>
      <c r="Q544" s="65" t="n"/>
      <c r="R544" s="69">
        <f>A545</f>
        <v/>
      </c>
      <c r="S544" s="65">
        <f>B545</f>
        <v/>
      </c>
      <c r="T544" s="69">
        <f>C545</f>
        <v/>
      </c>
      <c r="U544" s="58">
        <f>N545</f>
        <v/>
      </c>
      <c r="V544" s="69">
        <f>O545</f>
        <v/>
      </c>
      <c r="W544" s="65" t="n"/>
      <c r="X544" s="65" t="n"/>
      <c r="Y544" s="65" t="n"/>
    </row>
    <row r="545">
      <c r="A545" s="17" t="inlineStr">
        <is>
          <t>M</t>
        </is>
      </c>
      <c r="B545" s="18" t="inlineStr">
        <is>
          <t>50 Breast</t>
        </is>
      </c>
      <c r="C545" s="18" t="n">
        <v>20</v>
      </c>
      <c r="D545" s="18" t="n">
        <v>1</v>
      </c>
      <c r="E545" s="46" t="inlineStr">
        <is>
          <t>27.79</t>
        </is>
      </c>
      <c r="F545" s="21">
        <f>IFERROR(__xludf.DUMMYFUNCTION("IF(
  REGEXMATCH(E545, "":""),
  60*VALUE(INDEX(SPLIT(E545, "":""),1,1)) + VALUE(INDEX(SPLIT(E545, "":""),1,2)),
  VALUE(E545)
)"),27.79)</f>
        <v/>
      </c>
      <c r="G545" s="211">
        <f>C542</f>
        <v/>
      </c>
      <c r="H545" s="211">
        <f>C551</f>
        <v/>
      </c>
      <c r="I545" s="211">
        <f>C556</f>
        <v/>
      </c>
      <c r="J545" s="211">
        <f>C559</f>
        <v/>
      </c>
      <c r="K545" s="60">
        <f>IFS(H545=21,1,I545=21,2,J545=21,3,and(H545=20,I545=22),1.5, and(I545=20,J545=22),2.5,H545&gt;21,0.5)</f>
        <v/>
      </c>
      <c r="L545" s="60">
        <f t="array" ref="L545">INDEX('Podium Target Times'!$C:$C, MATCH(A545&amp;B545, 'Podium Target Times'!$A:$A&amp;'Podium Target Times'!$B:$B, 0))
</f>
        <v/>
      </c>
      <c r="M545" s="66">
        <f>IFS(K545=0.5,M546+(F545-F548),K545=1,M546+(F545-F548), K545=1.5, M548+(F546-F549), K545=2, M548+(F546-F549), K545=2.5, M548+(F547-F550), K545=3, M548+(F547-F550))</f>
        <v/>
      </c>
      <c r="N545" s="60">
        <f>IF(M545&lt;60, TEXT(M545, "0.00"), TEXT(M545/(24*60*60), "M:SS.00"))</f>
        <v/>
      </c>
      <c r="O545" s="25">
        <f>IFERROR(__xludf.DUMMYFUNCTION("LET(
  gen,$A545, ev,$B545, t,$N545,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)"),732.0)</f>
        <v/>
      </c>
      <c r="P545" s="65" t="n"/>
      <c r="Q545" s="65" t="n"/>
      <c r="R545" s="69">
        <f>A548</f>
        <v/>
      </c>
      <c r="S545" s="65">
        <f>B548</f>
        <v/>
      </c>
      <c r="T545" s="69">
        <f>C548</f>
        <v/>
      </c>
      <c r="U545" s="58">
        <f>N548</f>
        <v/>
      </c>
      <c r="V545" s="69">
        <f>O548</f>
        <v/>
      </c>
      <c r="W545" s="65" t="n"/>
      <c r="X545" s="65" t="n"/>
      <c r="Y545" s="65" t="n"/>
    </row>
    <row r="546">
      <c r="A546" s="8" t="inlineStr">
        <is>
          <t>M</t>
        </is>
      </c>
      <c r="B546" s="9" t="inlineStr">
        <is>
          <t>50 Breast</t>
        </is>
      </c>
      <c r="C546" s="9" t="n">
        <v>20</v>
      </c>
      <c r="D546" s="9" t="n">
        <v>2</v>
      </c>
      <c r="E546" s="41" t="inlineStr">
        <is>
          <t>28.01</t>
        </is>
      </c>
      <c r="F546" s="35">
        <f>IFERROR(__xludf.DUMMYFUNCTION("IF(
  REGEXMATCH(E546, "":""),
  60*VALUE(INDEX(SPLIT(E546, "":""),1,1)) + VALUE(INDEX(SPLIT(E546, "":""),1,2)),
  VALUE(E546)
)"),28.01)</f>
        <v/>
      </c>
      <c r="G546" s="215">
        <f>C542</f>
        <v/>
      </c>
      <c r="H546" s="215">
        <f>C551</f>
        <v/>
      </c>
      <c r="I546" s="215">
        <f>C556</f>
        <v/>
      </c>
      <c r="J546" s="215">
        <f>C559</f>
        <v/>
      </c>
      <c r="K546" s="43">
        <f>IFS(H546=21,1,I546=21,2,J546=21,3,and(H546=20,I546=22),1.5, and(I546=20,J546=22),2.5,H546&gt;21,0.5)</f>
        <v/>
      </c>
      <c r="L546" s="43">
        <f t="array" ref="L546">INDEX('Podium Target Times'!$C:$C, MATCH(A546&amp;B546, 'Podium Target Times'!$A:$A&amp;'Podium Target Times'!$B:$B, 0))
</f>
        <v/>
      </c>
      <c r="M546" s="64">
        <f>IFS(K546=0.5,M547+(F545-F548),K546=1,M547+(F545-F548), K546=1.5, M548+(F546-F549), K546=2, M548+(F546-F549), K546=2.5, M548+(F547-F550), K546=3, M548+(F547-F550))</f>
        <v/>
      </c>
      <c r="N546" s="43">
        <f>IF(M546&lt;60, TEXT(M546, "0.00"), TEXT(M546/(24*60*60), "M:SS.00"))</f>
        <v/>
      </c>
      <c r="O546" s="14">
        <f>IFERROR(__xludf.DUMMYFUNCTION("LET(
  gen,$A546, ev,$B546, t,$N546,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)"),752.0)</f>
        <v/>
      </c>
      <c r="P546" s="65" t="n"/>
      <c r="Q546" s="65" t="n"/>
      <c r="R546" s="69" t="n"/>
      <c r="S546" s="65" t="n"/>
      <c r="T546" s="69" t="n"/>
      <c r="U546" s="58" t="n"/>
      <c r="V546" s="69" t="n"/>
      <c r="W546" s="65" t="n"/>
      <c r="X546" s="65" t="n"/>
      <c r="Y546" s="65" t="n"/>
    </row>
    <row r="547">
      <c r="A547" s="17" t="inlineStr">
        <is>
          <t>M</t>
        </is>
      </c>
      <c r="B547" s="18" t="inlineStr">
        <is>
          <t>50 Breast</t>
        </is>
      </c>
      <c r="C547" s="18" t="n">
        <v>20</v>
      </c>
      <c r="D547" s="18" t="n">
        <v>3</v>
      </c>
      <c r="E547" s="46" t="inlineStr">
        <is>
          <t>28.07</t>
        </is>
      </c>
      <c r="F547" s="21">
        <f>IFERROR(__xludf.DUMMYFUNCTION("IF(
  REGEXMATCH(E547, "":""),
  60*VALUE(INDEX(SPLIT(E547, "":""),1,1)) + VALUE(INDEX(SPLIT(E547, "":""),1,2)),
  VALUE(E547)
)"),28.07)</f>
        <v/>
      </c>
      <c r="G547" s="211">
        <f>C542</f>
        <v/>
      </c>
      <c r="H547" s="211">
        <f>C551</f>
        <v/>
      </c>
      <c r="I547" s="211">
        <f>C556</f>
        <v/>
      </c>
      <c r="J547" s="211">
        <f>C559</f>
        <v/>
      </c>
      <c r="K547" s="60">
        <f>IFS(H547=21,1,I547=21,2,J547=21,3,and(H547=20,I547=22),1.5, and(I547=20,J547=22),2.5,H547&gt;21,0.5)</f>
        <v/>
      </c>
      <c r="L547" s="60">
        <f t="array" ref="L547">INDEX('Podium Target Times'!$C:$C, MATCH(A547&amp;B547, 'Podium Target Times'!$A:$A&amp;'Podium Target Times'!$B:$B, 0))
</f>
        <v/>
      </c>
      <c r="M547" s="66">
        <f>IFS(K547=0.5,M548+(F545-F548),K547=1,M548+(F545-F548), K547=1.5, M548+(F546-F549), K547=2, M548+(F546-F549), K547=2.5, M548+(F547-F550), K547=3, M548+(F547-F550))</f>
        <v/>
      </c>
      <c r="N547" s="60">
        <f>IF(M547&lt;60, TEXT(M547, "0.00"), TEXT(M547/(24*60*60), "M:SS.00"))</f>
        <v/>
      </c>
      <c r="O547" s="25">
        <f>IFERROR(__xludf.DUMMYFUNCTION("LET(
  gen,$A547, ev,$B547, t,$N547,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)"),773.0)</f>
        <v/>
      </c>
      <c r="P547" s="65" t="n"/>
      <c r="Q547" s="65" t="n"/>
      <c r="R547" s="69" t="n"/>
      <c r="S547" s="65" t="n"/>
      <c r="T547" s="69" t="n"/>
      <c r="U547" s="58" t="n"/>
      <c r="V547" s="69" t="n"/>
      <c r="W547" s="65" t="n"/>
      <c r="X547" s="65" t="n"/>
      <c r="Y547" s="65" t="n"/>
    </row>
    <row r="548">
      <c r="A548" s="8" t="inlineStr">
        <is>
          <t>M</t>
        </is>
      </c>
      <c r="B548" s="9" t="inlineStr">
        <is>
          <t>50 Breast</t>
        </is>
      </c>
      <c r="C548" s="9" t="n">
        <v>21</v>
      </c>
      <c r="D548" s="9" t="n">
        <v>1</v>
      </c>
      <c r="E548" s="41" t="inlineStr">
        <is>
          <t>27.53</t>
        </is>
      </c>
      <c r="F548" s="35">
        <f>IFERROR(__xludf.DUMMYFUNCTION("IF(
  REGEXMATCH(E548, "":""),
  60*VALUE(INDEX(SPLIT(E548, "":""),1,1)) + VALUE(INDEX(SPLIT(E548, "":""),1,2)),
  VALUE(E548)
)"),27.53)</f>
        <v/>
      </c>
      <c r="G548" s="215">
        <f>C542</f>
        <v/>
      </c>
      <c r="H548" s="215">
        <f>C551</f>
        <v/>
      </c>
      <c r="I548" s="215">
        <f>C556</f>
        <v/>
      </c>
      <c r="J548" s="215">
        <f>C559</f>
        <v/>
      </c>
      <c r="K548" s="43">
        <f>IFS(H548=21,1,I548=21,2,J548=21,3,and(H548=20,I548=22),1.5, and(I548=20,J548=22),2.5,H548&gt;21,0.5)</f>
        <v/>
      </c>
      <c r="L548" s="43">
        <f t="array" ref="L548">INDEX('Podium Target Times'!$C:$C, MATCH(A548&amp;B548, 'Podium Target Times'!$A:$A&amp;'Podium Target Times'!$B:$B, 0))
</f>
        <v/>
      </c>
      <c r="M548" s="64">
        <f>IFS(K548=0.5,L548,K548=1,U546+(F548-F551), K548=1.5, M551+(F549-F552), K548=2, M551+(F549-F552), K548=2.5, M551+(F550-F553), K548=3, M551+(F550-F553))</f>
        <v/>
      </c>
      <c r="N548" s="43">
        <f>IF(M548&lt;60, TEXT(M548, "0.00"), TEXT(M548/(24*60*60), "M:SS.00"))</f>
        <v/>
      </c>
      <c r="O548" s="14">
        <f>IFERROR(__xludf.DUMMYFUNCTION("LET(
  gen,$A548, ev,$B548, t,$N548,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48" s="65" t="n"/>
      <c r="Q548" s="65" t="n"/>
      <c r="R548" s="69" t="n"/>
      <c r="S548" s="65" t="n"/>
      <c r="T548" s="69" t="n"/>
      <c r="U548" s="58" t="n"/>
      <c r="V548" s="69" t="n"/>
      <c r="W548" s="65" t="n"/>
      <c r="X548" s="65" t="n"/>
      <c r="Y548" s="65" t="n"/>
    </row>
    <row r="549">
      <c r="A549" s="17" t="inlineStr">
        <is>
          <t>M</t>
        </is>
      </c>
      <c r="B549" s="18" t="inlineStr">
        <is>
          <t>50 Breast</t>
        </is>
      </c>
      <c r="C549" s="18" t="n">
        <v>21</v>
      </c>
      <c r="D549" s="18" t="n">
        <v>2</v>
      </c>
      <c r="E549" s="46" t="inlineStr">
        <is>
          <t>27.75</t>
        </is>
      </c>
      <c r="F549" s="21">
        <f>IFERROR(__xludf.DUMMYFUNCTION("IF(
  REGEXMATCH(E549, "":""),
  60*VALUE(INDEX(SPLIT(E549, "":""),1,1)) + VALUE(INDEX(SPLIT(E549, "":""),1,2)),
  VALUE(E549)
)"),27.75)</f>
        <v/>
      </c>
      <c r="G549" s="211">
        <f>C542</f>
        <v/>
      </c>
      <c r="H549" s="211">
        <f>C551</f>
        <v/>
      </c>
      <c r="I549" s="211">
        <f>C556</f>
        <v/>
      </c>
      <c r="J549" s="211">
        <f>C559</f>
        <v/>
      </c>
      <c r="K549" s="60">
        <f>IFS(H549=21,1,I549=21,2,J549=21,3,and(H549=20,I549=22),1.5, and(I549=20,J549=22),2.5,H549&gt;21,0.5)</f>
        <v/>
      </c>
      <c r="L549" s="60">
        <f t="array" ref="L549">INDEX('Podium Target Times'!$C:$C, MATCH(A549&amp;B549, 'Podium Target Times'!$A:$A&amp;'Podium Target Times'!$B:$B, 0))
</f>
        <v/>
      </c>
      <c r="M549" s="66">
        <f>IFS(K549=0.5,L549,K549=1,U546+(F548-F551), K549=1.5, M551+(F549-F552), K549=2, M551+(F549-F552), K549=2.5, M551+(F550-F553), K549=3, M551+(F550-F553))</f>
        <v/>
      </c>
      <c r="N549" s="60">
        <f>IF(M549&lt;60, TEXT(M549, "0.00"), TEXT(M549/(24*60*60), "M:SS.00"))</f>
        <v/>
      </c>
      <c r="O549" s="25">
        <f>IFERROR(__xludf.DUMMYFUNCTION("LET(
  gen,$A549, ev,$B549, t,$N549,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49" s="65" t="n"/>
      <c r="Q549" s="65" t="n"/>
      <c r="R549" s="69" t="n"/>
      <c r="S549" s="65" t="n"/>
      <c r="T549" s="69" t="n"/>
      <c r="U549" s="58" t="n"/>
      <c r="V549" s="69" t="n"/>
      <c r="W549" s="65" t="n"/>
      <c r="X549" s="65" t="n"/>
      <c r="Y549" s="65" t="n"/>
    </row>
    <row r="550">
      <c r="A550" s="8" t="inlineStr">
        <is>
          <t>M</t>
        </is>
      </c>
      <c r="B550" s="9" t="inlineStr">
        <is>
          <t>50 Breast</t>
        </is>
      </c>
      <c r="C550" s="9" t="n">
        <v>21</v>
      </c>
      <c r="D550" s="9" t="n">
        <v>3</v>
      </c>
      <c r="E550" s="41" t="inlineStr">
        <is>
          <t>27.81</t>
        </is>
      </c>
      <c r="F550" s="35">
        <f>IFERROR(__xludf.DUMMYFUNCTION("IF(
  REGEXMATCH(E550, "":""),
  60*VALUE(INDEX(SPLIT(E550, "":""),1,1)) + VALUE(INDEX(SPLIT(E550, "":""),1,2)),
  VALUE(E550)
)"),27.81)</f>
        <v/>
      </c>
      <c r="G550" s="215">
        <f>C542</f>
        <v/>
      </c>
      <c r="H550" s="215">
        <f>C551</f>
        <v/>
      </c>
      <c r="I550" s="215">
        <f>C556</f>
        <v/>
      </c>
      <c r="J550" s="215">
        <f>C559</f>
        <v/>
      </c>
      <c r="K550" s="43">
        <f>IFS(H550=21,1,I550=21,2,J550=21,3,and(H550=20,I550=22),1.5, and(I550=20,J550=22),2.5,H550&gt;21,0.5)</f>
        <v/>
      </c>
      <c r="L550" s="43">
        <f t="array" ref="L550">INDEX('Podium Target Times'!$C:$C, MATCH(A550&amp;B550, 'Podium Target Times'!$A:$A&amp;'Podium Target Times'!$B:$B, 0))
</f>
        <v/>
      </c>
      <c r="M550" s="64">
        <f>IFS(K550=0.5,L550,K550=1,U546+(F548-F551), K550=1.5, M551+(F549-F552), K550=2, M551+(F549-F552), K550=2.5, M551+(F550-F553), K550=3, M551+(F550-F553))</f>
        <v/>
      </c>
      <c r="N550" s="43">
        <f>IF(M550&lt;60, TEXT(M550, "0.00"), TEXT(M550/(24*60*60), "M:SS.00"))</f>
        <v/>
      </c>
      <c r="O550" s="14">
        <f>IFERROR(__xludf.DUMMYFUNCTION("LET(
  gen,$A550, ev,$B550, t,$N550,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50" s="65" t="n"/>
      <c r="Q550" s="65" t="n"/>
      <c r="R550" s="69" t="n"/>
      <c r="S550" s="65" t="n"/>
      <c r="T550" s="69" t="n"/>
      <c r="U550" s="58" t="n"/>
      <c r="V550" s="69" t="n"/>
      <c r="W550" s="65" t="n"/>
      <c r="X550" s="65" t="n"/>
      <c r="Y550" s="65" t="n"/>
    </row>
    <row r="551">
      <c r="A551" s="17" t="inlineStr">
        <is>
          <t>M</t>
        </is>
      </c>
      <c r="B551" s="18" t="inlineStr">
        <is>
          <t>50 Breast</t>
        </is>
      </c>
      <c r="C551" s="18" t="n">
        <v>22</v>
      </c>
      <c r="D551" s="18" t="n">
        <v>1</v>
      </c>
      <c r="E551" s="46" t="inlineStr">
        <is>
          <t>27.33</t>
        </is>
      </c>
      <c r="F551" s="21">
        <f>IFERROR(__xludf.DUMMYFUNCTION("IF(
  REGEXMATCH(E551, "":""),
  60*VALUE(INDEX(SPLIT(E551, "":""),1,1)) + VALUE(INDEX(SPLIT(E551, "":""),1,2)),
  VALUE(E551)
)"),27.33)</f>
        <v/>
      </c>
      <c r="G551" s="211">
        <f>C542</f>
        <v/>
      </c>
      <c r="H551" s="211">
        <f>C551</f>
        <v/>
      </c>
      <c r="I551" s="211">
        <f>C556</f>
        <v/>
      </c>
      <c r="J551" s="211">
        <f>C559</f>
        <v/>
      </c>
      <c r="K551" s="60">
        <f>IFS(H551=21,1,I551=21,2,J551=21,3,and(H551=20,I551=22),1.5, and(I551=20,J551=22),2.5,H551&gt;21,0.5)</f>
        <v/>
      </c>
      <c r="L551" s="60">
        <f t="array" ref="L551">INDEX('Podium Target Times'!$C:$C, MATCH(A551&amp;B551, 'Podium Target Times'!$A:$A&amp;'Podium Target Times'!$B:$B, 0))
</f>
        <v/>
      </c>
      <c r="M551" s="66">
        <f>IFS(K551=0.5,L551,K551=1,L551, K551=1.5, M554+(F552-F554), K551=2, M554+(F552-F554), K551=2.5, M554+(F553-F555), K551=3, M554+(F553-F555))</f>
        <v/>
      </c>
      <c r="N551" s="60">
        <f>IF(M551&lt;60, TEXT(M551, "0.00"), TEXT(M551/(24*60*60), "M:SS.00"))</f>
        <v/>
      </c>
      <c r="O551" s="25">
        <f>IFERROR(__xludf.DUMMYFUNCTION("LET(
  gen,$A551, ev,$B551, t,$N551,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51" s="65" t="n"/>
      <c r="Q551" s="65" t="n"/>
      <c r="R551" s="69" t="n"/>
      <c r="S551" s="65" t="n"/>
      <c r="T551" s="69" t="n"/>
      <c r="U551" s="58" t="n"/>
      <c r="V551" s="69" t="n"/>
      <c r="W551" s="65" t="n"/>
      <c r="X551" s="65" t="n"/>
      <c r="Y551" s="65" t="n"/>
    </row>
    <row r="552">
      <c r="A552" s="8" t="inlineStr">
        <is>
          <t>M</t>
        </is>
      </c>
      <c r="B552" s="9" t="inlineStr">
        <is>
          <t>50 Breast</t>
        </is>
      </c>
      <c r="C552" s="9" t="n">
        <v>22</v>
      </c>
      <c r="D552" s="9" t="n">
        <v>2</v>
      </c>
      <c r="E552" s="483" t="inlineStr">
        <is>
          <t>27.55</t>
        </is>
      </c>
      <c r="F552" s="35">
        <f>IFERROR(__xludf.DUMMYFUNCTION("IF(
  REGEXMATCH(E552, "":""),
  60*VALUE(INDEX(SPLIT(E552, "":""),1,1)) + VALUE(INDEX(SPLIT(E552, "":""),1,2)),
  VALUE(E552)
)"),27.55)</f>
        <v/>
      </c>
      <c r="G552" s="215">
        <f>C542</f>
        <v/>
      </c>
      <c r="H552" s="215">
        <f>C551</f>
        <v/>
      </c>
      <c r="I552" s="215">
        <f>C556</f>
        <v/>
      </c>
      <c r="J552" s="215">
        <f>C559</f>
        <v/>
      </c>
      <c r="K552" s="43">
        <f>IFS(H552=21,1,I552=21,2,J552=21,3,and(H552=20,I552=22),1.5, and(I552=20,J552=22),2.5,H552&gt;21,0.5)</f>
        <v/>
      </c>
      <c r="L552" s="43">
        <f t="array" ref="L552">INDEX('Podium Target Times'!$C:$C, MATCH(A552&amp;B552, 'Podium Target Times'!$A:$A&amp;'Podium Target Times'!$B:$B, 0))
</f>
        <v/>
      </c>
      <c r="M552" s="64">
        <f>IFS(K552=0.5,L552,K552=1,L552, K552=1.5, M554+(F552-F554), K552=2, M554+(F552-F554), K552=2.5, M554+(F553-F555), K552=3, M554+(F553-F555))</f>
        <v/>
      </c>
      <c r="N552" s="43">
        <f>IF(M552&lt;60, TEXT(M552, "0.00"), TEXT(M552/(24*60*60), "M:SS.00"))</f>
        <v/>
      </c>
      <c r="O552" s="14">
        <f>IFERROR(__xludf.DUMMYFUNCTION("LET(
  gen,$A552, ev,$B552, t,$N552,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52" s="65" t="n"/>
      <c r="Q552" s="65" t="n"/>
      <c r="R552" s="69" t="n"/>
      <c r="S552" s="65" t="n"/>
      <c r="T552" s="69" t="n"/>
      <c r="U552" s="58" t="n"/>
      <c r="V552" s="69" t="n"/>
      <c r="W552" s="65" t="n"/>
      <c r="X552" s="65" t="n"/>
      <c r="Y552" s="65" t="n"/>
    </row>
    <row r="553">
      <c r="A553" s="17" t="inlineStr">
        <is>
          <t>M</t>
        </is>
      </c>
      <c r="B553" s="18" t="inlineStr">
        <is>
          <t>50 Breast</t>
        </is>
      </c>
      <c r="C553" s="18" t="n">
        <v>22</v>
      </c>
      <c r="D553" s="18" t="n">
        <v>3</v>
      </c>
      <c r="E553" s="46" t="inlineStr">
        <is>
          <t>27.61</t>
        </is>
      </c>
      <c r="F553" s="21">
        <f>IFERROR(__xludf.DUMMYFUNCTION("IF(
  REGEXMATCH(E553, "":""),
  60*VALUE(INDEX(SPLIT(E553, "":""),1,1)) + VALUE(INDEX(SPLIT(E553, "":""),1,2)),
  VALUE(E553)
)"),27.61)</f>
        <v/>
      </c>
      <c r="G553" s="211">
        <f>C542</f>
        <v/>
      </c>
      <c r="H553" s="211">
        <f>C551</f>
        <v/>
      </c>
      <c r="I553" s="211">
        <f>C556</f>
        <v/>
      </c>
      <c r="J553" s="211">
        <f>C559</f>
        <v/>
      </c>
      <c r="K553" s="60">
        <f>IFS(H553=21,1,I553=21,2,J553=21,3,and(H553=20,I553=22),1.5, and(I553=20,J553=22),2.5,H553&gt;21,0.5)</f>
        <v/>
      </c>
      <c r="L553" s="60">
        <f t="array" ref="L553">INDEX('Podium Target Times'!$C:$C, MATCH(A553&amp;B553, 'Podium Target Times'!$A:$A&amp;'Podium Target Times'!$B:$B, 0))
</f>
        <v/>
      </c>
      <c r="M553" s="66">
        <f>IFS(K553=0.5,L553,K553=1,L553, K553=1.5, M554+(F552-F554), K553=2, M554+(F552-F554), K553=2.5, M554+(F553-F555), K553=3, M554+(F553-F555))</f>
        <v/>
      </c>
      <c r="N553" s="60">
        <f>IF(M553&lt;60, TEXT(M553, "0.00"), TEXT(M553/(24*60*60), "M:SS.00"))</f>
        <v/>
      </c>
      <c r="O553" s="25">
        <f>IFERROR(__xludf.DUMMYFUNCTION("LET(
  gen,$A553, ev,$B553, t,$N553,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53" s="65" t="n"/>
      <c r="Q553" s="65" t="n"/>
      <c r="R553" s="69" t="n"/>
      <c r="S553" s="65" t="n"/>
      <c r="T553" s="69" t="n"/>
      <c r="U553" s="58" t="n"/>
      <c r="V553" s="69" t="n"/>
      <c r="W553" s="65" t="n"/>
      <c r="X553" s="65" t="n"/>
      <c r="Y553" s="65" t="n"/>
    </row>
    <row r="554">
      <c r="A554" s="8" t="inlineStr">
        <is>
          <t>M</t>
        </is>
      </c>
      <c r="B554" s="9" t="inlineStr">
        <is>
          <t>50 Breast</t>
        </is>
      </c>
      <c r="C554" s="9" t="n">
        <v>23</v>
      </c>
      <c r="D554" s="9" t="n">
        <v>2</v>
      </c>
      <c r="E554" s="41" t="inlineStr">
        <is>
          <t>27.41</t>
        </is>
      </c>
      <c r="F554" s="35">
        <f>IFERROR(__xludf.DUMMYFUNCTION("IF(
  REGEXMATCH(E554, "":""),
  60*VALUE(INDEX(SPLIT(E554, "":""),1,1)) + VALUE(INDEX(SPLIT(E554, "":""),1,2)),
  VALUE(E554)
)"),27.41)</f>
        <v/>
      </c>
      <c r="G554" s="215">
        <f>C542</f>
        <v/>
      </c>
      <c r="H554" s="215">
        <f>C551</f>
        <v/>
      </c>
      <c r="I554" s="215">
        <f>C556</f>
        <v/>
      </c>
      <c r="J554" s="215">
        <f>C559</f>
        <v/>
      </c>
      <c r="K554" s="43">
        <f>IFS(H554=21,1,I554=21,2,J554=21,3,and(H554=20,I554=22),1.5, and(I554=20,J554=22),2.5,H554&gt;21,0.5)</f>
        <v/>
      </c>
      <c r="L554" s="43">
        <f t="array" ref="L554">INDEX('Podium Target Times'!$C:$C, MATCH(A554&amp;B554, 'Podium Target Times'!$A:$A&amp;'Podium Target Times'!$B:$B, 0))
</f>
        <v/>
      </c>
      <c r="M554" s="64">
        <f>IFS(K554=0.5,L554,K554=1,L554, K554=1.5, L554, K554=2, M556+(F554-F556), K554=2.5, M556+(F555-F557), K554=3, M556+(F555-F557))</f>
        <v/>
      </c>
      <c r="N554" s="43">
        <f>IF(M554&lt;60, TEXT(M554, "0.00"), TEXT(M554/(24*60*60), "M:SS.00"))</f>
        <v/>
      </c>
      <c r="O554" s="14">
        <f>IFERROR(__xludf.DUMMYFUNCTION("LET(
  gen,$A554, ev,$B554, t,$N554,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54" s="65" t="n"/>
      <c r="Q554" s="65" t="n"/>
      <c r="R554" s="69" t="n"/>
      <c r="S554" s="65" t="n"/>
      <c r="T554" s="69" t="n"/>
      <c r="U554" s="58" t="n"/>
      <c r="V554" s="69" t="n"/>
      <c r="W554" s="65" t="n"/>
      <c r="X554" s="65" t="n"/>
      <c r="Y554" s="65" t="n"/>
    </row>
    <row r="555">
      <c r="A555" s="17" t="inlineStr">
        <is>
          <t>M</t>
        </is>
      </c>
      <c r="B555" s="18" t="inlineStr">
        <is>
          <t>50 Breast</t>
        </is>
      </c>
      <c r="C555" s="18" t="n">
        <v>23</v>
      </c>
      <c r="D555" s="18" t="n">
        <v>3</v>
      </c>
      <c r="E555" s="46" t="inlineStr">
        <is>
          <t>27.47</t>
        </is>
      </c>
      <c r="F555" s="21">
        <f>IFERROR(__xludf.DUMMYFUNCTION("IF(
  REGEXMATCH(E555, "":""),
  60*VALUE(INDEX(SPLIT(E555, "":""),1,1)) + VALUE(INDEX(SPLIT(E555, "":""),1,2)),
  VALUE(E555)
)"),27.47)</f>
        <v/>
      </c>
      <c r="G555" s="211">
        <f>C542</f>
        <v/>
      </c>
      <c r="H555" s="211">
        <f>C551</f>
        <v/>
      </c>
      <c r="I555" s="211">
        <f>C556</f>
        <v/>
      </c>
      <c r="J555" s="211">
        <f>C559</f>
        <v/>
      </c>
      <c r="K555" s="60">
        <f>IFS(H555=21,1,I555=21,2,J555=21,3,and(H555=20,I555=22),1.5, and(I555=20,J555=22),2.5,H555&gt;21,0.5)</f>
        <v/>
      </c>
      <c r="L555" s="60">
        <f t="array" ref="L555">INDEX('Podium Target Times'!$C:$C, MATCH(A555&amp;B555, 'Podium Target Times'!$A:$A&amp;'Podium Target Times'!$B:$B, 0))
</f>
        <v/>
      </c>
      <c r="M555" s="66">
        <f>IFS(K555=0.5,L555,K555=1,L555, K555=1.5, L555, K555=2, M556+(F554-F556), K555=2.5, M556+(F555-F557), K555=3, M556+(F555-F557))</f>
        <v/>
      </c>
      <c r="N555" s="60">
        <f>IF(M555&lt;60, TEXT(M555, "0.00"), TEXT(M555/(24*60*60), "M:SS.00"))</f>
        <v/>
      </c>
      <c r="O555" s="25">
        <f>IFERROR(__xludf.DUMMYFUNCTION("LET(
  gen,$A555, ev,$B555, t,$N555,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55" s="65" t="n"/>
      <c r="Q555" s="65" t="n"/>
      <c r="R555" s="69" t="n"/>
      <c r="S555" s="65" t="n"/>
      <c r="T555" s="69" t="n"/>
      <c r="U555" s="58" t="n"/>
      <c r="V555" s="69" t="n"/>
      <c r="W555" s="65" t="n"/>
      <c r="X555" s="65" t="n"/>
      <c r="Y555" s="65" t="n"/>
    </row>
    <row r="556">
      <c r="A556" s="8" t="inlineStr">
        <is>
          <t>M</t>
        </is>
      </c>
      <c r="B556" s="9" t="inlineStr">
        <is>
          <t>50 Breast</t>
        </is>
      </c>
      <c r="C556" s="9" t="n">
        <v>24</v>
      </c>
      <c r="D556" s="9" t="n">
        <v>2</v>
      </c>
      <c r="E556" s="41" t="inlineStr">
        <is>
          <t>27.33</t>
        </is>
      </c>
      <c r="F556" s="35">
        <f>IFERROR(__xludf.DUMMYFUNCTION("IF(
  REGEXMATCH(E556, "":""),
  60*VALUE(INDEX(SPLIT(E556, "":""),1,1)) + VALUE(INDEX(SPLIT(E556, "":""),1,2)),
  VALUE(E556)
)"),27.33)</f>
        <v/>
      </c>
      <c r="G556" s="215">
        <f>C542</f>
        <v/>
      </c>
      <c r="H556" s="215">
        <f>C551</f>
        <v/>
      </c>
      <c r="I556" s="215">
        <f>C556</f>
        <v/>
      </c>
      <c r="J556" s="215">
        <f>C559</f>
        <v/>
      </c>
      <c r="K556" s="43">
        <f>IFS(H556=21,1,I556=21,2,J556=21,3,and(H556=20,I556=22),1.5, and(I556=20,J556=22),2.5,H556&gt;21,0.5)</f>
        <v/>
      </c>
      <c r="L556" s="43">
        <f t="array" ref="L556">INDEX('Podium Target Times'!$C:$C, MATCH(A556&amp;B556, 'Podium Target Times'!$A:$A&amp;'Podium Target Times'!$B:$B, 0))
</f>
        <v/>
      </c>
      <c r="M556" s="64">
        <f>IFS(K556=0.5,L556,K556=1,L556, K556=1.5, L556, K556=2,L559, K556=2.5, M558+(F557-F558), K556=3,  M558+(F557-F558))</f>
        <v/>
      </c>
      <c r="N556" s="43">
        <f>IF(M556&lt;60, TEXT(M556, "0.00"), TEXT(M556/(24*60*60), "M:SS.00"))</f>
        <v/>
      </c>
      <c r="O556" s="14">
        <f>IFERROR(__xludf.DUMMYFUNCTION("LET(
  gen,$A556, ev,$B556, t,$N556,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56" s="65" t="n"/>
      <c r="Q556" s="65" t="n"/>
      <c r="R556" s="69" t="n"/>
      <c r="S556" s="65" t="n"/>
      <c r="T556" s="69" t="n"/>
      <c r="U556" s="58" t="n"/>
      <c r="V556" s="69" t="n"/>
      <c r="W556" s="65" t="n"/>
      <c r="X556" s="65" t="n"/>
      <c r="Y556" s="65" t="n"/>
    </row>
    <row r="557">
      <c r="A557" s="17" t="inlineStr">
        <is>
          <t>M</t>
        </is>
      </c>
      <c r="B557" s="18" t="inlineStr">
        <is>
          <t>50 Breast</t>
        </is>
      </c>
      <c r="C557" s="18" t="n">
        <v>24</v>
      </c>
      <c r="D557" s="18" t="n">
        <v>3</v>
      </c>
      <c r="E557" s="46" t="inlineStr">
        <is>
          <t>27.38</t>
        </is>
      </c>
      <c r="F557" s="21">
        <f>IFERROR(__xludf.DUMMYFUNCTION("IF(
  REGEXMATCH(E557, "":""),
  60*VALUE(INDEX(SPLIT(E557, "":""),1,1)) + VALUE(INDEX(SPLIT(E557, "":""),1,2)),
  VALUE(E557)
)"),27.38)</f>
        <v/>
      </c>
      <c r="G557" s="211">
        <f>C542</f>
        <v/>
      </c>
      <c r="H557" s="211">
        <f>C551</f>
        <v/>
      </c>
      <c r="I557" s="211">
        <f>C556</f>
        <v/>
      </c>
      <c r="J557" s="211">
        <f>C559</f>
        <v/>
      </c>
      <c r="K557" s="60">
        <f>IFS(H557=21,1,I557=21,2,J557=21,3,and(H557=20,I557=22),1.5, and(I557=20,J557=22),2.5,H557&gt;21,0.5)</f>
        <v/>
      </c>
      <c r="L557" s="60">
        <f t="array" ref="L557">INDEX('Podium Target Times'!$C:$C, MATCH(A557&amp;B557, 'Podium Target Times'!$A:$A&amp;'Podium Target Times'!$B:$B, 0))
</f>
        <v/>
      </c>
      <c r="M557" s="66">
        <f>IFS(K557=0.5,L557,K557=1,L557, K557=1.5, L557, K557=2, L559, K557=2.5, M558+(F557-F558), K557=3, M558+(F557-F558))</f>
        <v/>
      </c>
      <c r="N557" s="60">
        <f>IF(M557&lt;60, TEXT(M557, "0.00"), TEXT(M557/(24*60*60), "M:SS.00"))</f>
        <v/>
      </c>
      <c r="O557" s="25">
        <f>IFERROR(__xludf.DUMMYFUNCTION("LET(
  gen,$A557, ev,$B557, t,$N557,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57" s="65" t="n"/>
      <c r="Q557" s="65" t="n"/>
      <c r="R557" s="69" t="n"/>
      <c r="S557" s="65" t="n"/>
      <c r="T557" s="69" t="n"/>
      <c r="U557" s="58" t="n"/>
      <c r="V557" s="69" t="n"/>
      <c r="W557" s="65" t="n"/>
      <c r="X557" s="65" t="n"/>
      <c r="Y557" s="65" t="n"/>
    </row>
    <row r="558">
      <c r="A558" s="8" t="inlineStr">
        <is>
          <t>M</t>
        </is>
      </c>
      <c r="B558" s="9" t="inlineStr">
        <is>
          <t>50 Breast</t>
        </is>
      </c>
      <c r="C558" s="9" t="n">
        <v>25</v>
      </c>
      <c r="D558" s="9" t="n">
        <v>3</v>
      </c>
      <c r="E558" s="483" t="inlineStr">
        <is>
          <t>27.34</t>
        </is>
      </c>
      <c r="F558" s="35">
        <f>IFERROR(__xludf.DUMMYFUNCTION("IF(
  REGEXMATCH(E558, "":""),
  60*VALUE(INDEX(SPLIT(E558, "":""),1,1)) + VALUE(INDEX(SPLIT(E558, "":""),1,2)),
  VALUE(E558)
)"),27.34)</f>
        <v/>
      </c>
      <c r="G558" s="215">
        <f>C542</f>
        <v/>
      </c>
      <c r="H558" s="215">
        <f>C551</f>
        <v/>
      </c>
      <c r="I558" s="215">
        <f>C556</f>
        <v/>
      </c>
      <c r="J558" s="215">
        <f>C559</f>
        <v/>
      </c>
      <c r="K558" s="43">
        <f>IFS(H558=21,1,I558=21,2,J558=21,3,and(H558=20,I558=22),1.5, and(I558=20,J558=22),2.5,H558&gt;21,0.5)</f>
        <v/>
      </c>
      <c r="L558" s="43">
        <f t="array" ref="L558">INDEX('Podium Target Times'!$C:$C, MATCH(A558&amp;B558, 'Podium Target Times'!$A:$A&amp;'Podium Target Times'!$B:$B, 0))
</f>
        <v/>
      </c>
      <c r="M558" s="64">
        <f>IFS(K558=0.5,L558,K558=1,L558, K558=1.5, L558, K558=2, L559, K558=2.5, L559, K558=3, M559+(F558-F559))</f>
        <v/>
      </c>
      <c r="N558" s="43">
        <f>IF(M558&lt;60, TEXT(M558, "0.00"), TEXT(M558/(24*60*60), "M:SS.00"))</f>
        <v/>
      </c>
      <c r="O558" s="14">
        <f>IFERROR(__xludf.DUMMYFUNCTION("LET(
  gen,$A558, ev,$B558, t,$N558,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58" s="65" t="n"/>
      <c r="Q558" s="65" t="n"/>
      <c r="R558" s="69" t="n"/>
      <c r="S558" s="65" t="n"/>
      <c r="T558" s="69" t="n"/>
      <c r="U558" s="58" t="n"/>
      <c r="V558" s="69" t="n"/>
      <c r="W558" s="65" t="n"/>
      <c r="X558" s="65" t="n"/>
      <c r="Y558" s="65" t="n"/>
    </row>
    <row r="559">
      <c r="A559" s="17" t="inlineStr">
        <is>
          <t>M</t>
        </is>
      </c>
      <c r="B559" s="18" t="inlineStr">
        <is>
          <t>50 Breast</t>
        </is>
      </c>
      <c r="C559" s="18" t="n">
        <v>26</v>
      </c>
      <c r="D559" s="18" t="n">
        <v>3</v>
      </c>
      <c r="E559" s="491" t="inlineStr">
        <is>
          <t>27.33</t>
        </is>
      </c>
      <c r="F559" s="21">
        <f>IFERROR(__xludf.DUMMYFUNCTION("IF(
  REGEXMATCH(E559, "":""),
  60*VALUE(INDEX(SPLIT(E559, "":""),1,1)) + VALUE(INDEX(SPLIT(E559, "":""),1,2)),
  VALUE(E559)
)"),27.33)</f>
        <v/>
      </c>
      <c r="G559" s="211">
        <f>C542</f>
        <v/>
      </c>
      <c r="H559" s="211">
        <f>C551</f>
        <v/>
      </c>
      <c r="I559" s="211">
        <f>C556</f>
        <v/>
      </c>
      <c r="J559" s="211">
        <f>C559</f>
        <v/>
      </c>
      <c r="K559" s="60">
        <f>IFS(H559=21,1,I559=21,2,J559=21,3,and(H559=20,I559=22),1.5, and(I559=20,J559=22),2.5,H559&gt;21,0.5)</f>
        <v/>
      </c>
      <c r="L559" s="60">
        <f t="array" ref="L559">INDEX('Podium Target Times'!$C:$C, MATCH(A559&amp;B559, 'Podium Target Times'!$A:$A&amp;'Podium Target Times'!$B:$B, 0))
</f>
        <v/>
      </c>
      <c r="M559" s="66">
        <f>IFS(K559=0.5,L559,K559=1,L559, K559=1.5, L559, K559=2, L559, K559=2.5, L559, K559=3, L559)</f>
        <v/>
      </c>
      <c r="N559" s="60">
        <f>IF(M559&lt;60, TEXT(M559, "0.00"), TEXT(M559/(24*60*60), "M:SS.00"))</f>
        <v/>
      </c>
      <c r="O559" s="25">
        <f>IFERROR(__xludf.DUMMYFUNCTION("LET(
  gen,$A559, ev,$B559, t,$N559,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)"),795.0)</f>
        <v/>
      </c>
      <c r="P559" s="65" t="n"/>
      <c r="Q559" s="65" t="n"/>
      <c r="R559" s="69" t="n"/>
      <c r="S559" s="65" t="n"/>
      <c r="T559" s="69" t="n"/>
      <c r="U559" s="58" t="n"/>
      <c r="V559" s="69" t="n"/>
      <c r="W559" s="65" t="n"/>
      <c r="X559" s="65" t="n"/>
      <c r="Y559" s="65" t="n"/>
    </row>
    <row r="560">
      <c r="A560" s="8" t="inlineStr">
        <is>
          <t>M</t>
        </is>
      </c>
      <c r="B560" s="9" t="inlineStr">
        <is>
          <t>50 Fly</t>
        </is>
      </c>
      <c r="C560" s="9" t="n">
        <v>17</v>
      </c>
      <c r="D560" s="9" t="n">
        <v>1</v>
      </c>
      <c r="E560" s="41" t="inlineStr">
        <is>
          <t>24.61</t>
        </is>
      </c>
      <c r="F560" s="35">
        <f>IFERROR(__xludf.DUMMYFUNCTION("IF(
  REGEXMATCH(E560, "":""),
  60*VALUE(INDEX(SPLIT(E560, "":""),1,1)) + VALUE(INDEX(SPLIT(E560, "":""),1,2)),
  VALUE(E560)
)"),24.61)</f>
        <v/>
      </c>
      <c r="G560" s="43">
        <f>C560</f>
        <v/>
      </c>
      <c r="H560" s="43">
        <f>C569</f>
        <v/>
      </c>
      <c r="I560" s="43">
        <f>C574</f>
        <v/>
      </c>
      <c r="J560" s="43">
        <f>C577</f>
        <v/>
      </c>
      <c r="K560" s="43">
        <f>IFS(H560=21,1,I560=21,2,J560=21,3,and(H560=20,I560=22),1.5, and(I560=20,J560=22),2.5,H560&gt;21,0.5)</f>
        <v/>
      </c>
      <c r="L560" s="43">
        <f t="array" ref="L560">INDEX('Podium Target Times'!$C:$C, MATCH(A560&amp;B560, 'Podium Target Times'!$A:$A&amp;'Podium Target Times'!$B:$B, 0))
</f>
        <v/>
      </c>
      <c r="M560" s="64">
        <f>IFS(K560=0.5,M561+(F560-F561),K560=1,M561+(F560-F561), K560=1.5, M561+(F560-F561), K560=2, M561+(F560-F561), K560=2.5, M561+(F560-F561), K560=3, M561+(F560-F561))</f>
        <v/>
      </c>
      <c r="N560" s="43">
        <f>IF(M560&lt;60, TEXT(M560, "0.00"), TEXT(M560/(24*60*60), "M:SS.00"))</f>
        <v/>
      </c>
      <c r="O560" s="14">
        <f>IFERROR(__xludf.DUMMYFUNCTION("LET(
  gen,$A560, ev,$B560, t,$N560,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)"),637.0)</f>
        <v/>
      </c>
      <c r="P560" s="65" t="n"/>
      <c r="Q560" s="65" t="n"/>
      <c r="R560" s="69">
        <f>A560</f>
        <v/>
      </c>
      <c r="S560" s="65">
        <f>B560</f>
        <v/>
      </c>
      <c r="T560" s="69">
        <f>C560</f>
        <v/>
      </c>
      <c r="U560" s="58">
        <f>N560</f>
        <v/>
      </c>
      <c r="V560" s="69">
        <f>O560</f>
        <v/>
      </c>
      <c r="W560" s="65" t="n"/>
      <c r="X560" s="65" t="n"/>
      <c r="Y560" s="65" t="n"/>
    </row>
    <row r="561">
      <c r="A561" s="17" t="inlineStr">
        <is>
          <t>M</t>
        </is>
      </c>
      <c r="B561" s="18" t="inlineStr">
        <is>
          <t>50 Fly</t>
        </is>
      </c>
      <c r="C561" s="18" t="n">
        <v>18</v>
      </c>
      <c r="D561" s="18" t="n">
        <v>1</v>
      </c>
      <c r="E561" s="46" t="inlineStr">
        <is>
          <t>24.10</t>
        </is>
      </c>
      <c r="F561" s="21">
        <f>IFERROR(__xludf.DUMMYFUNCTION("IF(
  REGEXMATCH(E561, "":""),
  60*VALUE(INDEX(SPLIT(E561, "":""),1,1)) + VALUE(INDEX(SPLIT(E561, "":""),1,2)),
  VALUE(E561)
)"),24.1)</f>
        <v/>
      </c>
      <c r="G561" s="211">
        <f>C560</f>
        <v/>
      </c>
      <c r="H561" s="211">
        <f>C569</f>
        <v/>
      </c>
      <c r="I561" s="211">
        <f>C574</f>
        <v/>
      </c>
      <c r="J561" s="211">
        <f>C577</f>
        <v/>
      </c>
      <c r="K561" s="60">
        <f>IFS(H561=21,1,I561=21,2,J561=21,3,and(H561=20,I561=22),1.5, and(I561=20,J561=22),2.5,H561&gt;21,0.5)</f>
        <v/>
      </c>
      <c r="L561" s="60">
        <f t="array" ref="L561">INDEX('Podium Target Times'!$C:$C, MATCH(A561&amp;B561, 'Podium Target Times'!$A:$A&amp;'Podium Target Times'!$B:$B, 0))
</f>
        <v/>
      </c>
      <c r="M561" s="66">
        <f>IFS(K561=0.5,M562+(F561-F563),K561=1,M562+(F561-F563), K561=1.5, M563+(F562-F564), K561=2, M563+(F562-F564), K561=2.5, M563+(F562-F564), K561=3, M563+(F562-F564))</f>
        <v/>
      </c>
      <c r="N561" s="60">
        <f>IF(M561&lt;60, TEXT(M561, "0.00"), TEXT(M561/(24*60*60), "M:SS.00"))</f>
        <v/>
      </c>
      <c r="O561" s="25">
        <f>IFERROR(__xludf.DUMMYFUNCTION("LET(
  gen,$A561, ev,$B561, t,$N561,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)"),677.0)</f>
        <v/>
      </c>
      <c r="P561" s="65" t="n"/>
      <c r="Q561" s="65" t="n"/>
      <c r="R561" s="69">
        <f>A561</f>
        <v/>
      </c>
      <c r="S561" s="65">
        <f>B561</f>
        <v/>
      </c>
      <c r="T561" s="69">
        <f>C561</f>
        <v/>
      </c>
      <c r="U561" s="58">
        <f>N561</f>
        <v/>
      </c>
      <c r="V561" s="69">
        <f>O561</f>
        <v/>
      </c>
      <c r="W561" s="65" t="n"/>
      <c r="X561" s="65" t="n"/>
      <c r="Y561" s="65" t="n"/>
    </row>
    <row r="562">
      <c r="A562" s="8" t="inlineStr">
        <is>
          <t>M</t>
        </is>
      </c>
      <c r="B562" s="9" t="inlineStr">
        <is>
          <t>50 Fly</t>
        </is>
      </c>
      <c r="C562" s="9" t="n">
        <v>18</v>
      </c>
      <c r="D562" s="9" t="n">
        <v>2</v>
      </c>
      <c r="E562" s="41" t="inlineStr">
        <is>
          <t>24.31</t>
        </is>
      </c>
      <c r="F562" s="35">
        <f>IFERROR(__xludf.DUMMYFUNCTION("IF(
  REGEXMATCH(E562, "":""),
  60*VALUE(INDEX(SPLIT(E562, "":""),1,1)) + VALUE(INDEX(SPLIT(E562, "":""),1,2)),
  VALUE(E562)
)"),24.31)</f>
        <v/>
      </c>
      <c r="G562" s="215">
        <f>C560</f>
        <v/>
      </c>
      <c r="H562" s="215">
        <f>C569</f>
        <v/>
      </c>
      <c r="I562" s="215">
        <f>C574</f>
        <v/>
      </c>
      <c r="J562" s="215">
        <f>C577</f>
        <v/>
      </c>
      <c r="K562" s="43">
        <f>IFS(H562=21,1,I562=21,2,J562=21,3,and(H562=20,I562=22),1.5, and(I562=20,J562=22),2.5,H562&gt;21,0.5)</f>
        <v/>
      </c>
      <c r="L562" s="43">
        <f t="array" ref="L562">INDEX('Podium Target Times'!$C:$C, MATCH(A562&amp;B562, 'Podium Target Times'!$A:$A&amp;'Podium Target Times'!$B:$B, 0))
</f>
        <v/>
      </c>
      <c r="M562" s="64">
        <f>IFS(K562=0.5,M563+(F562-F565),K562=1,M563+(F562-F565), K562=1.5, M563+(F562-F564), K562=2, M563+(F562-F564), K562=2.5, M563+(F562-F564), K562=3, M563+(F562-F564))</f>
        <v/>
      </c>
      <c r="N562" s="43">
        <f>IF(M562&lt;60, TEXT(M562, "0.00"), TEXT(M562/(24*60*60), "M:SS.00"))</f>
        <v/>
      </c>
      <c r="O562" s="14">
        <f>IFERROR(__xludf.DUMMYFUNCTION("LET(
  gen,$A562, ev,$B562, t,$N562,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)"),706.0)</f>
        <v/>
      </c>
      <c r="P562" s="65" t="n"/>
      <c r="Q562" s="65" t="n"/>
      <c r="R562" s="69">
        <f>A563</f>
        <v/>
      </c>
      <c r="S562" s="65">
        <f>B563</f>
        <v/>
      </c>
      <c r="T562" s="69">
        <f>C563</f>
        <v/>
      </c>
      <c r="U562" s="58">
        <f>N563</f>
        <v/>
      </c>
      <c r="V562" s="69">
        <f>O563</f>
        <v/>
      </c>
      <c r="W562" s="65" t="n"/>
      <c r="X562" s="65" t="n"/>
      <c r="Y562" s="65" t="n"/>
    </row>
    <row r="563">
      <c r="A563" s="17" t="inlineStr">
        <is>
          <t>M</t>
        </is>
      </c>
      <c r="B563" s="18" t="inlineStr">
        <is>
          <t>50 Fly</t>
        </is>
      </c>
      <c r="C563" s="18" t="n">
        <v>19</v>
      </c>
      <c r="D563" s="18" t="n">
        <v>1</v>
      </c>
      <c r="E563" s="46" t="inlineStr">
        <is>
          <t>23.75</t>
        </is>
      </c>
      <c r="F563" s="21">
        <f>IFERROR(__xludf.DUMMYFUNCTION("IF(
  REGEXMATCH(E563, "":""),
  60*VALUE(INDEX(SPLIT(E563, "":""),1,1)) + VALUE(INDEX(SPLIT(E563, "":""),1,2)),
  VALUE(E563)
)"),23.75)</f>
        <v/>
      </c>
      <c r="G563" s="211">
        <f>C560</f>
        <v/>
      </c>
      <c r="H563" s="211">
        <f>C569</f>
        <v/>
      </c>
      <c r="I563" s="211">
        <f>C574</f>
        <v/>
      </c>
      <c r="J563" s="211">
        <f>C577</f>
        <v/>
      </c>
      <c r="K563" s="60">
        <f>IFS(H563=21,1,I563=21,2,J563=21,3,and(H563=20,I563=22),1.5, and(I563=20,J563=22),2.5,H563&gt;21,0.5)</f>
        <v/>
      </c>
      <c r="L563" s="60">
        <f t="array" ref="L563">INDEX('Podium Target Times'!$C:$C, MATCH(A563&amp;B563, 'Podium Target Times'!$A:$A&amp;'Podium Target Times'!$B:$B, 0))
</f>
        <v/>
      </c>
      <c r="M563" s="66">
        <f>IFS(K563=0.5,M564+(F563-F566),K563=1,M564+(F563-F566), K563=1.5, M566+(F564-F567), K563=2, M566+(F564-F567), K563=2.5, M566+(F565-F568), K563=3, M566+(F565-F568))</f>
        <v/>
      </c>
      <c r="N563" s="60">
        <f>IF(M563&lt;60, TEXT(M563, "0.00"), TEXT(M563/(24*60*60), "M:SS.00"))</f>
        <v/>
      </c>
      <c r="O563" s="25">
        <f>IFERROR(__xludf.DUMMYFUNCTION("LET(
  gen,$A563, ev,$B563, t,$N563,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)"),729.0)</f>
        <v/>
      </c>
      <c r="P563" s="65" t="n"/>
      <c r="Q563" s="65" t="n"/>
      <c r="R563" s="69">
        <f>A566</f>
        <v/>
      </c>
      <c r="S563" s="65">
        <f>B566</f>
        <v/>
      </c>
      <c r="T563" s="69">
        <f>C566</f>
        <v/>
      </c>
      <c r="U563" s="58">
        <f>N566</f>
        <v/>
      </c>
      <c r="V563" s="69">
        <f>O566</f>
        <v/>
      </c>
      <c r="W563" s="65" t="n"/>
      <c r="X563" s="65" t="n"/>
      <c r="Y563" s="65" t="n"/>
    </row>
    <row r="564">
      <c r="A564" s="8" t="inlineStr">
        <is>
          <t>M</t>
        </is>
      </c>
      <c r="B564" s="9" t="inlineStr">
        <is>
          <t>50 Fly</t>
        </is>
      </c>
      <c r="C564" s="9" t="n">
        <v>19</v>
      </c>
      <c r="D564" s="9" t="n">
        <v>2</v>
      </c>
      <c r="E564" s="41" t="inlineStr">
        <is>
          <t>23.96</t>
        </is>
      </c>
      <c r="F564" s="35">
        <f>IFERROR(__xludf.DUMMYFUNCTION("IF(
  REGEXMATCH(E564, "":""),
  60*VALUE(INDEX(SPLIT(E564, "":""),1,1)) + VALUE(INDEX(SPLIT(E564, "":""),1,2)),
  VALUE(E564)
)"),23.96)</f>
        <v/>
      </c>
      <c r="G564" s="215">
        <f>C560</f>
        <v/>
      </c>
      <c r="H564" s="215">
        <f>C569</f>
        <v/>
      </c>
      <c r="I564" s="215">
        <f>C574</f>
        <v/>
      </c>
      <c r="J564" s="215">
        <f>C577</f>
        <v/>
      </c>
      <c r="K564" s="43">
        <f>IFS(H564=21,1,I564=21,2,J564=21,3,and(H564=20,I564=22),1.5, and(I564=20,J564=22),2.5,H564&gt;21,0.5)</f>
        <v/>
      </c>
      <c r="L564" s="43">
        <f t="array" ref="L564">INDEX('Podium Target Times'!$C:$C, MATCH(A564&amp;B564, 'Podium Target Times'!$A:$A&amp;'Podium Target Times'!$B:$B, 0))
</f>
        <v/>
      </c>
      <c r="M564" s="64">
        <f>IFS(K564=0.5,M565+(F563-F566),K564=1,M565+(F563-F566), K564=1.5, M566+(F564-F567), K564=2, M566+(F564-F567), K564=2.5, M566+(F565-F568), K564=3, M566+(F565-F568))</f>
        <v/>
      </c>
      <c r="N564" s="43">
        <f>IF(M564&lt;60, TEXT(M564, "0.00"), TEXT(M564/(24*60*60), "M:SS.00"))</f>
        <v/>
      </c>
      <c r="O564" s="14">
        <f>IFERROR(__xludf.DUMMYFUNCTION("LET(
  gen,$A564, ev,$B564, t,$N564,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
      </c>
      <c r="P564" s="65" t="n"/>
      <c r="Q564" s="65" t="n"/>
      <c r="R564" s="69">
        <f>A569</f>
        <v/>
      </c>
      <c r="S564" s="65">
        <f>B569</f>
        <v/>
      </c>
      <c r="T564" s="69">
        <f>C569</f>
        <v/>
      </c>
      <c r="U564" s="58">
        <f>N569</f>
        <v/>
      </c>
      <c r="V564" s="69">
        <f>O569</f>
        <v/>
      </c>
      <c r="W564" s="65" t="n"/>
      <c r="X564" s="65" t="n"/>
      <c r="Y564" s="65" t="n"/>
    </row>
    <row r="565">
      <c r="A565" s="17" t="inlineStr">
        <is>
          <t>M</t>
        </is>
      </c>
      <c r="B565" s="18" t="inlineStr">
        <is>
          <t>50 Fly</t>
        </is>
      </c>
      <c r="C565" s="18" t="n">
        <v>19</v>
      </c>
      <c r="D565" s="18" t="n">
        <v>3</v>
      </c>
      <c r="E565" s="46" t="inlineStr">
        <is>
          <t>24.04</t>
        </is>
      </c>
      <c r="F565" s="21">
        <f>IFERROR(__xludf.DUMMYFUNCTION("IF(
  REGEXMATCH(E565, "":""),
  60*VALUE(INDEX(SPLIT(E565, "":""),1,1)) + VALUE(INDEX(SPLIT(E565, "":""),1,2)),
  VALUE(E565)
)"),24.04)</f>
        <v/>
      </c>
      <c r="G565" s="211">
        <f>C560</f>
        <v/>
      </c>
      <c r="H565" s="211">
        <f>C569</f>
        <v/>
      </c>
      <c r="I565" s="211">
        <f>C574</f>
        <v/>
      </c>
      <c r="J565" s="211">
        <f>C577</f>
        <v/>
      </c>
      <c r="K565" s="60">
        <f>IFS(H565=21,1,I565=21,2,J565=21,3,and(H565=20,I565=22),1.5, and(I565=20,J565=22),2.5,H565&gt;21,0.5)</f>
        <v/>
      </c>
      <c r="L565" s="60">
        <f t="array" ref="L565">INDEX('Podium Target Times'!$C:$C, MATCH(A565&amp;B565, 'Podium Target Times'!$A:$A&amp;'Podium Target Times'!$B:$B, 0))
</f>
        <v/>
      </c>
      <c r="M565" s="66">
        <f>IFS(K565=0.5,M566+(F563-F566),K565=1,M566+(F563-F566), K565=1.5, M566+(F564-F567), K565=2, M566+(F564-F567), K565=2.5, M566+(F565-F568), K565=3, M566+(F565-F568))</f>
        <v/>
      </c>
      <c r="N565" s="60">
        <f>IF(M565&lt;60, TEXT(M565, "0.00"), TEXT(M565/(24*60*60), "M:SS.00"))</f>
        <v/>
      </c>
      <c r="O565" s="25">
        <f>IFERROR(__xludf.DUMMYFUNCTION("LET(
  gen,$A565, ev,$B565, t,$N565,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)"),771.0)</f>
        <v/>
      </c>
      <c r="P565" s="65" t="n"/>
      <c r="Q565" s="65" t="n"/>
      <c r="R565" s="69" t="n"/>
      <c r="S565" s="65" t="n"/>
      <c r="T565" s="69" t="n"/>
      <c r="U565" s="58" t="n"/>
      <c r="V565" s="69" t="n"/>
      <c r="W565" s="65" t="n"/>
      <c r="X565" s="65" t="n"/>
      <c r="Y565" s="65" t="n"/>
    </row>
    <row r="566">
      <c r="A566" s="8" t="inlineStr">
        <is>
          <t>M</t>
        </is>
      </c>
      <c r="B566" s="9" t="inlineStr">
        <is>
          <t>50 Fly</t>
        </is>
      </c>
      <c r="C566" s="9" t="n">
        <v>20</v>
      </c>
      <c r="D566" s="9" t="n">
        <v>1</v>
      </c>
      <c r="E566" s="41" t="inlineStr">
        <is>
          <t>23.52</t>
        </is>
      </c>
      <c r="F566" s="35">
        <f>IFERROR(__xludf.DUMMYFUNCTION("IF(
  REGEXMATCH(E566, "":""),
  60*VALUE(INDEX(SPLIT(E566, "":""),1,1)) + VALUE(INDEX(SPLIT(E566, "":""),1,2)),
  VALUE(E566)
)"),23.52)</f>
        <v/>
      </c>
      <c r="G566" s="215">
        <f>C560</f>
        <v/>
      </c>
      <c r="H566" s="215">
        <f>C569</f>
        <v/>
      </c>
      <c r="I566" s="215">
        <f>C574</f>
        <v/>
      </c>
      <c r="J566" s="215">
        <f>C577</f>
        <v/>
      </c>
      <c r="K566" s="43">
        <f>IFS(H566=21,1,I566=21,2,J566=21,3,and(H566=20,I566=22),1.5, and(I566=20,J566=22),2.5,H566&gt;21,0.5)</f>
        <v/>
      </c>
      <c r="L566" s="43">
        <f t="array" ref="L566">INDEX('Podium Target Times'!$C:$C, MATCH(A566&amp;B566, 'Podium Target Times'!$A:$A&amp;'Podium Target Times'!$B:$B, 0))
</f>
        <v/>
      </c>
      <c r="M566" s="64">
        <f>IFS(K566=0.5,L566,K566=1,U564+(F566-F569), K566=1.5, M569+(F567-F570), K566=2, M569+(F567-F570), K566=2.5, M569+(F568-F571), K566=3, M569+(F568-F571))</f>
        <v/>
      </c>
      <c r="N566" s="43">
        <f>IF(M566&lt;60, TEXT(M566, "0.00"), TEXT(M566/(24*60*60), "M:SS.00"))</f>
        <v/>
      </c>
      <c r="O566" s="14">
        <f>IFERROR(__xludf.DUMMYFUNCTION("LET(
  gen,$A566, ev,$B566, t,$N566,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P566" s="65" t="n"/>
      <c r="Q566" s="65" t="n"/>
      <c r="R566" s="69" t="n"/>
      <c r="S566" s="65" t="n"/>
      <c r="T566" s="69" t="n"/>
      <c r="U566" s="58" t="n"/>
      <c r="V566" s="69" t="n"/>
      <c r="W566" s="65" t="n"/>
      <c r="X566" s="65" t="n"/>
      <c r="Y566" s="65" t="n"/>
    </row>
    <row r="567">
      <c r="A567" s="17" t="inlineStr">
        <is>
          <t>M</t>
        </is>
      </c>
      <c r="B567" s="18" t="inlineStr">
        <is>
          <t>50 Fly</t>
        </is>
      </c>
      <c r="C567" s="18" t="n">
        <v>20</v>
      </c>
      <c r="D567" s="18" t="n">
        <v>2</v>
      </c>
      <c r="E567" s="46" t="inlineStr">
        <is>
          <t>23.73</t>
        </is>
      </c>
      <c r="F567" s="21">
        <f>IFERROR(__xludf.DUMMYFUNCTION("IF(
  REGEXMATCH(E567, "":""),
  60*VALUE(INDEX(SPLIT(E567, "":""),1,1)) + VALUE(INDEX(SPLIT(E567, "":""),1,2)),
  VALUE(E567)
)"),23.73)</f>
        <v/>
      </c>
      <c r="G567" s="211">
        <f>C560</f>
        <v/>
      </c>
      <c r="H567" s="211">
        <f>C569</f>
        <v/>
      </c>
      <c r="I567" s="211">
        <f>C574</f>
        <v/>
      </c>
      <c r="J567" s="211">
        <f>C577</f>
        <v/>
      </c>
      <c r="K567" s="60">
        <f>IFS(H567=21,1,I567=21,2,J567=21,3,and(H567=20,I567=22),1.5, and(I567=20,J567=22),2.5,H567&gt;21,0.5)</f>
        <v/>
      </c>
      <c r="L567" s="60">
        <f t="array" ref="L567">INDEX('Podium Target Times'!$C:$C, MATCH(A567&amp;B567, 'Podium Target Times'!$A:$A&amp;'Podium Target Times'!$B:$B, 0))
</f>
        <v/>
      </c>
      <c r="M567" s="66">
        <f>IFS(K567=0.5,L567,K567=1,U564+(F566-F569), K567=1.5, M569+(F567-F570), K567=2, M569+(F567-F570), K567=2.5, M569+(F568-F571), K567=3, M569+(F568-F571))</f>
        <v/>
      </c>
      <c r="N567" s="60">
        <f>IF(M567&lt;60, TEXT(M567, "0.00"), TEXT(M567/(24*60*60), "M:SS.00"))</f>
        <v/>
      </c>
      <c r="O567" s="25">
        <f>IFERROR(__xludf.DUMMYFUNCTION("LET(
  gen,$A567, ev,$B567, t,$N567,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P567" s="65" t="n"/>
      <c r="Q567" s="65" t="n"/>
      <c r="R567" s="69" t="n"/>
      <c r="S567" s="65" t="n"/>
      <c r="T567" s="69" t="n"/>
      <c r="U567" s="58" t="n"/>
      <c r="V567" s="69" t="n"/>
      <c r="W567" s="65" t="n"/>
      <c r="X567" s="65" t="n"/>
      <c r="Y567" s="65" t="n"/>
    </row>
    <row r="568">
      <c r="A568" s="8" t="inlineStr">
        <is>
          <t>M</t>
        </is>
      </c>
      <c r="B568" s="9" t="inlineStr">
        <is>
          <t>50 Fly</t>
        </is>
      </c>
      <c r="C568" s="9" t="n">
        <v>20</v>
      </c>
      <c r="D568" s="9" t="n">
        <v>3</v>
      </c>
      <c r="E568" s="41" t="inlineStr">
        <is>
          <t>23.81</t>
        </is>
      </c>
      <c r="F568" s="35">
        <f>IFERROR(__xludf.DUMMYFUNCTION("IF(
  REGEXMATCH(E568, "":""),
  60*VALUE(INDEX(SPLIT(E568, "":""),1,1)) + VALUE(INDEX(SPLIT(E568, "":""),1,2)),
  VALUE(E568)
)"),23.81)</f>
        <v/>
      </c>
      <c r="G568" s="215">
        <f>C560</f>
        <v/>
      </c>
      <c r="H568" s="215">
        <f>C569</f>
        <v/>
      </c>
      <c r="I568" s="215">
        <f>C574</f>
        <v/>
      </c>
      <c r="J568" s="215">
        <f>C577</f>
        <v/>
      </c>
      <c r="K568" s="43">
        <f>IFS(H568=21,1,I568=21,2,J568=21,3,and(H568=20,I568=22),1.5, and(I568=20,J568=22),2.5,H568&gt;21,0.5)</f>
        <v/>
      </c>
      <c r="L568" s="43">
        <f t="array" ref="L568">INDEX('Podium Target Times'!$C:$C, MATCH(A568&amp;B568, 'Podium Target Times'!$A:$A&amp;'Podium Target Times'!$B:$B, 0))
</f>
        <v/>
      </c>
      <c r="M568" s="64">
        <f>IFS(K568=0.5,L568,K568=1,U564+(F566-F569), K568=1.5, M569+(F567-F570), K568=2, M569+(F567-F570), K568=2.5, M569+(F568-F571), K568=3, M569+(F568-F571))</f>
        <v/>
      </c>
      <c r="N568" s="43">
        <f>IF(M568&lt;60, TEXT(M568, "0.00"), TEXT(M568/(24*60*60), "M:SS.00"))</f>
        <v/>
      </c>
      <c r="O568" s="14">
        <f>IFERROR(__xludf.DUMMYFUNCTION("LET(
  gen,$A568, ev,$B568, t,$N568,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)"),793.0)</f>
        <v/>
      </c>
      <c r="P568" s="65" t="n"/>
      <c r="Q568" s="65" t="n"/>
      <c r="R568" s="69" t="n"/>
      <c r="S568" s="65" t="n"/>
      <c r="T568" s="69" t="n"/>
      <c r="U568" s="58" t="n"/>
      <c r="V568" s="69" t="n"/>
      <c r="W568" s="65" t="n"/>
      <c r="X568" s="65" t="n"/>
      <c r="Y568" s="65" t="n"/>
    </row>
    <row r="569">
      <c r="A569" s="17" t="inlineStr">
        <is>
          <t>M</t>
        </is>
      </c>
      <c r="B569" s="18" t="inlineStr">
        <is>
          <t>50 Fly</t>
        </is>
      </c>
      <c r="C569" s="18" t="n">
        <v>21</v>
      </c>
      <c r="D569" s="18" t="n">
        <v>1</v>
      </c>
      <c r="E569" s="46" t="inlineStr">
        <is>
          <t>23.36</t>
        </is>
      </c>
      <c r="F569" s="21">
        <f>IFERROR(__xludf.DUMMYFUNCTION("IF(
  REGEXMATCH(E569, "":""),
  60*VALUE(INDEX(SPLIT(E569, "":""),1,1)) + VALUE(INDEX(SPLIT(E569, "":""),1,2)),
  VALUE(E569)
)"),23.36)</f>
        <v/>
      </c>
      <c r="G569" s="211">
        <f>C560</f>
        <v/>
      </c>
      <c r="H569" s="211">
        <f>C569</f>
        <v/>
      </c>
      <c r="I569" s="211">
        <f>C574</f>
        <v/>
      </c>
      <c r="J569" s="211">
        <f>C577</f>
        <v/>
      </c>
      <c r="K569" s="60">
        <f>IFS(H569=21,1,I569=21,2,J569=21,3,and(H569=20,I569=22),1.5, and(I569=20,J569=22),2.5,H569&gt;21,0.5)</f>
        <v/>
      </c>
      <c r="L569" s="60">
        <f t="array" ref="L569">INDEX('Podium Target Times'!$C:$C, MATCH(A569&amp;B569, 'Podium Target Times'!$A:$A&amp;'Podium Target Times'!$B:$B, 0))
</f>
        <v/>
      </c>
      <c r="M569" s="66">
        <f>IFS(K569=0.5,L569,K569=1,L569, K569=1.5, M572+(F570-F572), K569=2, M572+(F570-F572), K569=2.5, M572+(F571-F573), K569=3, M572+(F571-F573))</f>
        <v/>
      </c>
      <c r="N569" s="60">
        <f>IF(M569&lt;60, TEXT(M569, "0.00"), TEXT(M569/(24*60*60), "M:SS.00"))</f>
        <v/>
      </c>
      <c r="O569" s="25">
        <f>IFERROR(__xludf.DUMMYFUNCTION("LET(
  gen,$A569, ev,$B569, t,$N569,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569" s="65" t="n"/>
      <c r="Q569" s="65" t="n"/>
      <c r="R569" s="69" t="n"/>
      <c r="S569" s="65" t="n"/>
      <c r="T569" s="69" t="n"/>
      <c r="U569" s="58" t="n"/>
      <c r="V569" s="69" t="n"/>
      <c r="W569" s="65" t="n"/>
      <c r="X569" s="65" t="n"/>
      <c r="Y569" s="65" t="n"/>
    </row>
    <row r="570">
      <c r="A570" s="8" t="inlineStr">
        <is>
          <t>M</t>
        </is>
      </c>
      <c r="B570" s="9" t="inlineStr">
        <is>
          <t>50 Fly</t>
        </is>
      </c>
      <c r="C570" s="9" t="n">
        <v>21</v>
      </c>
      <c r="D570" s="9" t="n">
        <v>2</v>
      </c>
      <c r="E570" s="41" t="inlineStr">
        <is>
          <t>23.57</t>
        </is>
      </c>
      <c r="F570" s="35">
        <f>IFERROR(__xludf.DUMMYFUNCTION("IF(
  REGEXMATCH(E570, "":""),
  60*VALUE(INDEX(SPLIT(E570, "":""),1,1)) + VALUE(INDEX(SPLIT(E570, "":""),1,2)),
  VALUE(E570)
)"),23.57)</f>
        <v/>
      </c>
      <c r="G570" s="215">
        <f>C560</f>
        <v/>
      </c>
      <c r="H570" s="215">
        <f>C569</f>
        <v/>
      </c>
      <c r="I570" s="215">
        <f>C574</f>
        <v/>
      </c>
      <c r="J570" s="215">
        <f>C577</f>
        <v/>
      </c>
      <c r="K570" s="43">
        <f>IFS(H570=21,1,I570=21,2,J570=21,3,and(H570=20,I570=22),1.5, and(I570=20,J570=22),2.5,H570&gt;21,0.5)</f>
        <v/>
      </c>
      <c r="L570" s="43">
        <f t="array" ref="L570">INDEX('Podium Target Times'!$C:$C, MATCH(A570&amp;B570, 'Podium Target Times'!$A:$A&amp;'Podium Target Times'!$B:$B, 0))
</f>
        <v/>
      </c>
      <c r="M570" s="64">
        <f>IFS(K570=0.5,L570,K570=1,L570, K570=1.5, M572+(F570-F572), K570=2, M572+(F570-F572), K570=2.5, M572+(F571-F573), K570=3, M572+(F571-F573))</f>
        <v/>
      </c>
      <c r="N570" s="43">
        <f>IF(M570&lt;60, TEXT(M570, "0.00"), TEXT(M570/(24*60*60), "M:SS.00"))</f>
        <v/>
      </c>
      <c r="O570" s="14">
        <f>IFERROR(__xludf.DUMMYFUNCTION("LET(
  gen,$A570, ev,$B570, t,$N570,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570" s="65" t="n"/>
      <c r="Q570" s="65" t="n"/>
      <c r="R570" s="69" t="n"/>
      <c r="S570" s="65" t="n"/>
      <c r="T570" s="69" t="n"/>
      <c r="U570" s="58" t="n"/>
      <c r="V570" s="69" t="n"/>
      <c r="W570" s="65" t="n"/>
      <c r="X570" s="65" t="n"/>
      <c r="Y570" s="65" t="n"/>
    </row>
    <row r="571">
      <c r="A571" s="17" t="inlineStr">
        <is>
          <t>M</t>
        </is>
      </c>
      <c r="B571" s="18" t="inlineStr">
        <is>
          <t>50 Fly</t>
        </is>
      </c>
      <c r="C571" s="18" t="n">
        <v>21</v>
      </c>
      <c r="D571" s="18" t="n">
        <v>3</v>
      </c>
      <c r="E571" s="46" t="inlineStr">
        <is>
          <t>23.64</t>
        </is>
      </c>
      <c r="F571" s="21">
        <f>IFERROR(__xludf.DUMMYFUNCTION("IF(
  REGEXMATCH(E571, "":""),
  60*VALUE(INDEX(SPLIT(E571, "":""),1,1)) + VALUE(INDEX(SPLIT(E571, "":""),1,2)),
  VALUE(E571)
)"),23.64)</f>
        <v/>
      </c>
      <c r="G571" s="211">
        <f>C560</f>
        <v/>
      </c>
      <c r="H571" s="211">
        <f>C569</f>
        <v/>
      </c>
      <c r="I571" s="211">
        <f>C574</f>
        <v/>
      </c>
      <c r="J571" s="211">
        <f>C577</f>
        <v/>
      </c>
      <c r="K571" s="60">
        <f>IFS(H571=21,1,I571=21,2,J571=21,3,and(H571=20,I571=22),1.5, and(I571=20,J571=22),2.5,H571&gt;21,0.5)</f>
        <v/>
      </c>
      <c r="L571" s="60">
        <f t="array" ref="L571">INDEX('Podium Target Times'!$C:$C, MATCH(A571&amp;B571, 'Podium Target Times'!$A:$A&amp;'Podium Target Times'!$B:$B, 0))
</f>
        <v/>
      </c>
      <c r="M571" s="66">
        <f>IFS(K571=0.5,L571,K571=1,L571, K571=1.5, M572+(F570-F572), K571=2, M572+(F570-F572), K571=2.5, M572+(F571-F573), K571=3, M572+(F571-F573))</f>
        <v/>
      </c>
      <c r="N571" s="60">
        <f>IF(M571&lt;60, TEXT(M571, "0.00"), TEXT(M571/(24*60*60), "M:SS.00"))</f>
        <v/>
      </c>
      <c r="O571" s="25">
        <f>IFERROR(__xludf.DUMMYFUNCTION("LET(
  gen,$A571, ev,$B571, t,$N571,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571" s="65" t="n"/>
      <c r="Q571" s="65" t="n"/>
      <c r="R571" s="69" t="n"/>
      <c r="S571" s="65" t="n"/>
      <c r="T571" s="69" t="n"/>
      <c r="U571" s="58" t="n"/>
      <c r="V571" s="69" t="n"/>
      <c r="W571" s="65" t="n"/>
      <c r="X571" s="65" t="n"/>
      <c r="Y571" s="65" t="n"/>
    </row>
    <row r="572">
      <c r="A572" s="8" t="inlineStr">
        <is>
          <t>M</t>
        </is>
      </c>
      <c r="B572" s="9" t="inlineStr">
        <is>
          <t>50 Fly</t>
        </is>
      </c>
      <c r="C572" s="9" t="n">
        <v>22</v>
      </c>
      <c r="D572" s="9" t="n">
        <v>2</v>
      </c>
      <c r="E572" s="41" t="inlineStr">
        <is>
          <t>23.45</t>
        </is>
      </c>
      <c r="F572" s="35">
        <f>IFERROR(__xludf.DUMMYFUNCTION("IF(
  REGEXMATCH(E572, "":""),
  60*VALUE(INDEX(SPLIT(E572, "":""),1,1)) + VALUE(INDEX(SPLIT(E572, "":""),1,2)),
  VALUE(E572)
)"),23.45)</f>
        <v/>
      </c>
      <c r="G572" s="215">
        <f>C560</f>
        <v/>
      </c>
      <c r="H572" s="215">
        <f>C569</f>
        <v/>
      </c>
      <c r="I572" s="215">
        <f>C574</f>
        <v/>
      </c>
      <c r="J572" s="215">
        <f>C577</f>
        <v/>
      </c>
      <c r="K572" s="43">
        <f>IFS(H572=21,1,I572=21,2,J572=21,3,and(H572=20,I572=22),1.5, and(I572=20,J572=22),2.5,H572&gt;21,0.5)</f>
        <v/>
      </c>
      <c r="L572" s="43">
        <f t="array" ref="L572">INDEX('Podium Target Times'!$C:$C, MATCH(A572&amp;B572, 'Podium Target Times'!$A:$A&amp;'Podium Target Times'!$B:$B, 0))
</f>
        <v/>
      </c>
      <c r="M572" s="64">
        <f>IFS(K572=0.5,L572,K572=1,L572, K572=1.5, L572, K572=2, M574+(F572-F574), K572=2.5, M574+(F573-F575), K572=3, M574+(F573-F575))</f>
        <v/>
      </c>
      <c r="N572" s="43">
        <f>IF(M572&lt;60, TEXT(M572, "0.00"), TEXT(M572/(24*60*60), "M:SS.00"))</f>
        <v/>
      </c>
      <c r="O572" s="14">
        <f>IFERROR(__xludf.DUMMYFUNCTION("LET(
  gen,$A572, ev,$B572, t,$N572,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572" s="65" t="n"/>
      <c r="Q572" s="65" t="n"/>
      <c r="R572" s="69" t="n"/>
      <c r="S572" s="65" t="n"/>
      <c r="T572" s="69" t="n"/>
      <c r="U572" s="58" t="n"/>
      <c r="V572" s="69" t="n"/>
      <c r="W572" s="65" t="n"/>
      <c r="X572" s="65" t="n"/>
      <c r="Y572" s="65" t="n"/>
    </row>
    <row r="573">
      <c r="A573" s="17" t="inlineStr">
        <is>
          <t>M</t>
        </is>
      </c>
      <c r="B573" s="18" t="inlineStr">
        <is>
          <t>50 Fly</t>
        </is>
      </c>
      <c r="C573" s="18" t="n">
        <v>22</v>
      </c>
      <c r="D573" s="18" t="n">
        <v>3</v>
      </c>
      <c r="E573" s="46" t="inlineStr">
        <is>
          <t>23.52</t>
        </is>
      </c>
      <c r="F573" s="21">
        <f>IFERROR(__xludf.DUMMYFUNCTION("IF(
  REGEXMATCH(E573, "":""),
  60*VALUE(INDEX(SPLIT(E573, "":""),1,1)) + VALUE(INDEX(SPLIT(E573, "":""),1,2)),
  VALUE(E573)
)"),23.52)</f>
        <v/>
      </c>
      <c r="G573" s="211">
        <f>C560</f>
        <v/>
      </c>
      <c r="H573" s="211">
        <f>C569</f>
        <v/>
      </c>
      <c r="I573" s="211">
        <f>C574</f>
        <v/>
      </c>
      <c r="J573" s="211">
        <f>C577</f>
        <v/>
      </c>
      <c r="K573" s="60">
        <f>IFS(H573=21,1,I573=21,2,J573=21,3,and(H573=20,I573=22),1.5, and(I573=20,J573=22),2.5,H573&gt;21,0.5)</f>
        <v/>
      </c>
      <c r="L573" s="60">
        <f t="array" ref="L573">INDEX('Podium Target Times'!$C:$C, MATCH(A573&amp;B573, 'Podium Target Times'!$A:$A&amp;'Podium Target Times'!$B:$B, 0))
</f>
        <v/>
      </c>
      <c r="M573" s="66">
        <f>IFS(K573=0.5,L573,K573=1,L573, K573=1.5, L573, K573=2, M574+(F572-F574), K573=2.5, M574+(F573-F575), K573=3, M574+(F573-F575))</f>
        <v/>
      </c>
      <c r="N573" s="60">
        <f>IF(M573&lt;60, TEXT(M573, "0.00"), TEXT(M573/(24*60*60), "M:SS.00"))</f>
        <v/>
      </c>
      <c r="O573" s="25">
        <f>IFERROR(__xludf.DUMMYFUNCTION("LET(
  gen,$A573, ev,$B573, t,$N573,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573" s="65" t="n"/>
      <c r="Q573" s="65" t="n"/>
      <c r="R573" s="69" t="n"/>
      <c r="S573" s="65" t="n"/>
      <c r="T573" s="69" t="n"/>
      <c r="U573" s="58" t="n"/>
      <c r="V573" s="69" t="n"/>
      <c r="W573" s="65" t="n"/>
      <c r="X573" s="65" t="n"/>
      <c r="Y573" s="65" t="n"/>
    </row>
    <row r="574">
      <c r="A574" s="8" t="inlineStr">
        <is>
          <t>M</t>
        </is>
      </c>
      <c r="B574" s="9" t="inlineStr">
        <is>
          <t>50 Fly</t>
        </is>
      </c>
      <c r="C574" s="9" t="n">
        <v>23</v>
      </c>
      <c r="D574" s="9" t="n">
        <v>2</v>
      </c>
      <c r="E574" s="41" t="inlineStr">
        <is>
          <t>23.36</t>
        </is>
      </c>
      <c r="F574" s="35">
        <f>IFERROR(__xludf.DUMMYFUNCTION("IF(
  REGEXMATCH(E574, "":""),
  60*VALUE(INDEX(SPLIT(E574, "":""),1,1)) + VALUE(INDEX(SPLIT(E574, "":""),1,2)),
  VALUE(E574)
)"),23.36)</f>
        <v/>
      </c>
      <c r="G574" s="215">
        <f>C560</f>
        <v/>
      </c>
      <c r="H574" s="215">
        <f>C569</f>
        <v/>
      </c>
      <c r="I574" s="215">
        <f>C574</f>
        <v/>
      </c>
      <c r="J574" s="215">
        <f>C577</f>
        <v/>
      </c>
      <c r="K574" s="43">
        <f>IFS(H574=21,1,I574=21,2,J574=21,3,and(H574=20,I574=22),1.5, and(I574=20,J574=22),2.5,H574&gt;21,0.5)</f>
        <v/>
      </c>
      <c r="L574" s="43">
        <f t="array" ref="L574">INDEX('Podium Target Times'!$C:$C, MATCH(A574&amp;B574, 'Podium Target Times'!$A:$A&amp;'Podium Target Times'!$B:$B, 0))
</f>
        <v/>
      </c>
      <c r="M574" s="64">
        <f>IFS(K574=0.5,L574,K574=1,L574, K574=1.5, L574, K574=2,L577, K574=2.5, M576+(F575-F576), K574=3,  M576+(F575-F576))</f>
        <v/>
      </c>
      <c r="N574" s="43">
        <f>IF(M574&lt;60, TEXT(M574, "0.00"), TEXT(M574/(24*60*60), "M:SS.00"))</f>
        <v/>
      </c>
      <c r="O574" s="14">
        <f>IFERROR(__xludf.DUMMYFUNCTION("LET(
  gen,$A574, ev,$B574, t,$N574,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574" s="65" t="n"/>
      <c r="Q574" s="65" t="n"/>
      <c r="R574" s="69" t="n"/>
      <c r="S574" s="65" t="n"/>
      <c r="T574" s="69" t="n"/>
      <c r="U574" s="58" t="n"/>
      <c r="V574" s="69" t="n"/>
      <c r="W574" s="65" t="n"/>
      <c r="X574" s="65" t="n"/>
      <c r="Y574" s="65" t="n"/>
    </row>
    <row r="575">
      <c r="A575" s="17" t="inlineStr">
        <is>
          <t>M</t>
        </is>
      </c>
      <c r="B575" s="18" t="inlineStr">
        <is>
          <t>50 Fly</t>
        </is>
      </c>
      <c r="C575" s="18" t="n">
        <v>23</v>
      </c>
      <c r="D575" s="18" t="n">
        <v>3</v>
      </c>
      <c r="E575" s="46" t="inlineStr">
        <is>
          <t>23.43</t>
        </is>
      </c>
      <c r="F575" s="21">
        <f>IFERROR(__xludf.DUMMYFUNCTION("IF(
  REGEXMATCH(E575, "":""),
  60*VALUE(INDEX(SPLIT(E575, "":""),1,1)) + VALUE(INDEX(SPLIT(E575, "":""),1,2)),
  VALUE(E575)
)"),23.43)</f>
        <v/>
      </c>
      <c r="G575" s="211">
        <f>C560</f>
        <v/>
      </c>
      <c r="H575" s="211">
        <f>C569</f>
        <v/>
      </c>
      <c r="I575" s="211">
        <f>C574</f>
        <v/>
      </c>
      <c r="J575" s="211">
        <f>C577</f>
        <v/>
      </c>
      <c r="K575" s="60">
        <f>IFS(H575=21,1,I575=21,2,J575=21,3,and(H575=20,I575=22),1.5, and(I575=20,J575=22),2.5,H575&gt;21,0.5)</f>
        <v/>
      </c>
      <c r="L575" s="60">
        <f t="array" ref="L575">INDEX('Podium Target Times'!$C:$C, MATCH(A575&amp;B575, 'Podium Target Times'!$A:$A&amp;'Podium Target Times'!$B:$B, 0))
</f>
        <v/>
      </c>
      <c r="M575" s="66">
        <f>IFS(K575=0.5,L575,K575=1,L575, K575=1.5, L575, K575=2, L577, K575=2.5, M576+(F575-F576), K575=3, M576+(F575-F576))</f>
        <v/>
      </c>
      <c r="N575" s="60">
        <f>IF(M575&lt;60, TEXT(M575, "0.00"), TEXT(M575/(24*60*60), "M:SS.00"))</f>
        <v/>
      </c>
      <c r="O575" s="25">
        <f>IFERROR(__xludf.DUMMYFUNCTION("LET(
  gen,$A575, ev,$B575, t,$N575,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575" s="65" t="n"/>
      <c r="Q575" s="65" t="n"/>
      <c r="R575" s="69" t="n"/>
      <c r="S575" s="65" t="n"/>
      <c r="T575" s="69" t="n"/>
      <c r="U575" s="58" t="n"/>
      <c r="V575" s="69" t="n"/>
      <c r="W575" s="65" t="n"/>
      <c r="X575" s="65" t="n"/>
      <c r="Y575" s="65" t="n"/>
    </row>
    <row r="576">
      <c r="A576" s="8" t="inlineStr">
        <is>
          <t>M</t>
        </is>
      </c>
      <c r="B576" s="9" t="inlineStr">
        <is>
          <t>50 Fly</t>
        </is>
      </c>
      <c r="C576" s="9" t="n">
        <v>24</v>
      </c>
      <c r="D576" s="9" t="n">
        <v>3</v>
      </c>
      <c r="E576" s="41" t="inlineStr">
        <is>
          <t>23.38</t>
        </is>
      </c>
      <c r="F576" s="35">
        <f>IFERROR(__xludf.DUMMYFUNCTION("IF(
  REGEXMATCH(E576, "":""),
  60*VALUE(INDEX(SPLIT(E576, "":""),1,1)) + VALUE(INDEX(SPLIT(E576, "":""),1,2)),
  VALUE(E576)
)"),23.38)</f>
        <v/>
      </c>
      <c r="G576" s="215">
        <f>C560</f>
        <v/>
      </c>
      <c r="H576" s="215">
        <f>C569</f>
        <v/>
      </c>
      <c r="I576" s="215">
        <f>C574</f>
        <v/>
      </c>
      <c r="J576" s="215">
        <f>C577</f>
        <v/>
      </c>
      <c r="K576" s="43">
        <f>IFS(H576=21,1,I576=21,2,J576=21,3,and(H576=20,I576=22),1.5, and(I576=20,J576=22),2.5,H576&gt;21,0.5)</f>
        <v/>
      </c>
      <c r="L576" s="43">
        <f t="array" ref="L576">INDEX('Podium Target Times'!$C:$C, MATCH(A576&amp;B576, 'Podium Target Times'!$A:$A&amp;'Podium Target Times'!$B:$B, 0))
</f>
        <v/>
      </c>
      <c r="M576" s="64">
        <f>IFS(K576=0.5,L576,K576=1,L576, K576=1.5, L576, K576=2, L577, K576=2.5, L577, K576=3, M577+(F576-F577))</f>
        <v/>
      </c>
      <c r="N576" s="43">
        <f>IF(M576&lt;60, TEXT(M576, "0.00"), TEXT(M576/(24*60*60), "M:SS.00"))</f>
        <v/>
      </c>
      <c r="O576" s="14">
        <f>IFERROR(__xludf.DUMMYFUNCTION("LET(
  gen,$A576, ev,$B576, t,$N576,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576" s="65" t="n"/>
      <c r="Q576" s="65" t="n"/>
      <c r="R576" s="69" t="n"/>
      <c r="S576" s="65" t="n"/>
      <c r="T576" s="69" t="n"/>
      <c r="U576" s="58" t="n"/>
      <c r="V576" s="69" t="n"/>
      <c r="W576" s="65" t="n"/>
      <c r="X576" s="65" t="n"/>
      <c r="Y576" s="65" t="n"/>
    </row>
    <row r="577">
      <c r="A577" s="17" t="inlineStr">
        <is>
          <t>M</t>
        </is>
      </c>
      <c r="B577" s="18" t="inlineStr">
        <is>
          <t>50 Fly</t>
        </is>
      </c>
      <c r="C577" s="18" t="n">
        <v>25</v>
      </c>
      <c r="D577" s="18" t="n">
        <v>3</v>
      </c>
      <c r="E577" s="46" t="inlineStr">
        <is>
          <t>23.36</t>
        </is>
      </c>
      <c r="F577" s="21">
        <f>IFERROR(__xludf.DUMMYFUNCTION("IF(
  REGEXMATCH(E577, "":""),
  60*VALUE(INDEX(SPLIT(E577, "":""),1,1)) + VALUE(INDEX(SPLIT(E577, "":""),1,2)),
  VALUE(E577)
)"),23.36)</f>
        <v/>
      </c>
      <c r="G577" s="211">
        <f>C560</f>
        <v/>
      </c>
      <c r="H577" s="211">
        <f>C569</f>
        <v/>
      </c>
      <c r="I577" s="211">
        <f>C574</f>
        <v/>
      </c>
      <c r="J577" s="211">
        <f>C577</f>
        <v/>
      </c>
      <c r="K577" s="60">
        <f>IFS(H577=21,1,I577=21,2,J577=21,3,and(H577=20,I577=22),1.5, and(I577=20,J577=22),2.5,H577&gt;21,0.5)</f>
        <v/>
      </c>
      <c r="L577" s="60">
        <f t="array" ref="L577">INDEX('Podium Target Times'!$C:$C, MATCH(A577&amp;B577, 'Podium Target Times'!$A:$A&amp;'Podium Target Times'!$B:$B, 0))
</f>
        <v/>
      </c>
      <c r="M577" s="66">
        <f>IFS(K577=0.5,L577,K577=1,L577, K577=1.5, L577, K577=2, L577, K577=2.5, L577, K577=3, L577)</f>
        <v/>
      </c>
      <c r="N577" s="60">
        <f>IF(M577&lt;60, TEXT(M577, "0.00"), TEXT(M577/(24*60*60), "M:SS.00"))</f>
        <v/>
      </c>
      <c r="O577" s="25">
        <f>IFERROR(__xludf.DUMMYFUNCTION("LET(
  gen,$A577, ev,$B577, t,$N577,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)"),810.0)</f>
        <v/>
      </c>
      <c r="P577" s="65" t="n"/>
      <c r="Q577" s="65" t="n"/>
      <c r="R577" s="69" t="n"/>
      <c r="S577" s="65" t="n"/>
      <c r="T577" s="69" t="n"/>
      <c r="U577" s="58" t="n"/>
      <c r="V577" s="69" t="n"/>
      <c r="W577" s="65" t="n"/>
      <c r="X577" s="65" t="n"/>
      <c r="Y577" s="65" t="n"/>
    </row>
    <row r="578">
      <c r="A578" s="8" t="inlineStr">
        <is>
          <t>M</t>
        </is>
      </c>
      <c r="B578" s="9" t="inlineStr">
        <is>
          <t>50 Free</t>
        </is>
      </c>
      <c r="C578" s="9" t="n">
        <v>17</v>
      </c>
      <c r="D578" s="9" t="n">
        <v>1</v>
      </c>
      <c r="E578" s="41" t="inlineStr">
        <is>
          <t>23.44</t>
        </is>
      </c>
      <c r="F578" s="35">
        <f>IFERROR(__xludf.DUMMYFUNCTION("IF(
  REGEXMATCH(E578, "":""),
  60*VALUE(INDEX(SPLIT(E578, "":""),1,1)) + VALUE(INDEX(SPLIT(E578, "":""),1,2)),
  VALUE(E578)
)"),23.44)</f>
        <v/>
      </c>
      <c r="G578" s="43">
        <f>C578</f>
        <v/>
      </c>
      <c r="H578" s="43">
        <f>C587</f>
        <v/>
      </c>
      <c r="I578" s="43">
        <f>C592</f>
        <v/>
      </c>
      <c r="J578" s="43">
        <f>C595</f>
        <v/>
      </c>
      <c r="K578" s="43">
        <f>IFS(H578=21,1,I578=21,2,J578=21,3,and(H578=20,I578=22),1.5, and(I578=20,J578=22),2.5,H578&gt;21,0.5)</f>
        <v/>
      </c>
      <c r="L578" s="43">
        <f t="array" ref="L578">INDEX('Podium Target Times'!$C:$C, MATCH(A578&amp;B578, 'Podium Target Times'!$A:$A&amp;'Podium Target Times'!$B:$B, 0))
</f>
        <v/>
      </c>
      <c r="M578" s="64">
        <f>IFS(K578=0.5,M579+(F578-F579),K578=1,M579+(F578-F579), K578=1.5, M579+(F578-F579), K578=2, M579+(F578-F579), K578=2.5, M579+(F578-F579), K578=3, M579+(F578-F579))</f>
        <v/>
      </c>
      <c r="N578" s="43">
        <f>IF(M578&lt;60, TEXT(M578, "0.00"), TEXT(M578/(24*60*60), "M:SS.00"))</f>
        <v/>
      </c>
      <c r="O578" s="14">
        <f>IFERROR(__xludf.DUMMYFUNCTION("LET(
  gen,$A578, ev,$B578, t,$N578,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)"),575.0)</f>
        <v/>
      </c>
      <c r="P578" s="65" t="n"/>
      <c r="Q578" s="65" t="n"/>
      <c r="R578" s="69">
        <f>A578</f>
        <v/>
      </c>
      <c r="S578" s="65">
        <f>B578</f>
        <v/>
      </c>
      <c r="T578" s="69">
        <f>C578</f>
        <v/>
      </c>
      <c r="U578" s="58">
        <f>N578</f>
        <v/>
      </c>
      <c r="V578" s="69">
        <f>O578</f>
        <v/>
      </c>
      <c r="W578" s="65" t="n"/>
      <c r="X578" s="65" t="n"/>
      <c r="Y578" s="65" t="n"/>
    </row>
    <row r="579">
      <c r="A579" s="17" t="inlineStr">
        <is>
          <t>M</t>
        </is>
      </c>
      <c r="B579" s="18" t="inlineStr">
        <is>
          <t>50 Free</t>
        </is>
      </c>
      <c r="C579" s="18" t="n">
        <v>18</v>
      </c>
      <c r="D579" s="18" t="n">
        <v>1</v>
      </c>
      <c r="E579" s="46" t="inlineStr">
        <is>
          <t>22.91</t>
        </is>
      </c>
      <c r="F579" s="21">
        <f>IFERROR(__xludf.DUMMYFUNCTION("IF(
  REGEXMATCH(E579, "":""),
  60*VALUE(INDEX(SPLIT(E579, "":""),1,1)) + VALUE(INDEX(SPLIT(E579, "":""),1,2)),
  VALUE(E579)
)"),22.91)</f>
        <v/>
      </c>
      <c r="G579" s="211">
        <f>C578</f>
        <v/>
      </c>
      <c r="H579" s="211">
        <f>C587</f>
        <v/>
      </c>
      <c r="I579" s="211">
        <f>C592</f>
        <v/>
      </c>
      <c r="J579" s="211">
        <f>C595</f>
        <v/>
      </c>
      <c r="K579" s="60">
        <f>IFS(H579=21,1,I579=21,2,J579=21,3,and(H579=20,I579=22),1.5, and(I579=20,J579=22),2.5,H579&gt;21,0.5)</f>
        <v/>
      </c>
      <c r="L579" s="60">
        <f t="array" ref="L579">INDEX('Podium Target Times'!$C:$C, MATCH(A579&amp;B579, 'Podium Target Times'!$A:$A&amp;'Podium Target Times'!$B:$B, 0))
</f>
        <v/>
      </c>
      <c r="M579" s="66">
        <f>IFS(K579=0.5,M580+(F579-F581),K579=1,M580+(F579-F581), K579=1.5, M581+(F580-F582), K579=2, M581+(F580-F582), K579=2.5, M581+(F580-F582), K579=3, M581+(F580-F582))</f>
        <v/>
      </c>
      <c r="N579" s="60">
        <f>IF(M579&lt;60, TEXT(M579, "0.00"), TEXT(M579/(24*60*60), "M:SS.00"))</f>
        <v/>
      </c>
      <c r="O579" s="25">
        <f>IFERROR(__xludf.DUMMYFUNCTION("LET(
  gen,$A579, ev,$B579, t,$N579,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)"),613.0)</f>
        <v/>
      </c>
      <c r="P579" s="65" t="n"/>
      <c r="Q579" s="65" t="n"/>
      <c r="R579" s="69">
        <f>A579</f>
        <v/>
      </c>
      <c r="S579" s="65">
        <f>B579</f>
        <v/>
      </c>
      <c r="T579" s="69">
        <f>C579</f>
        <v/>
      </c>
      <c r="U579" s="58">
        <f>N579</f>
        <v/>
      </c>
      <c r="V579" s="69">
        <f>O579</f>
        <v/>
      </c>
      <c r="W579" s="65" t="n"/>
      <c r="X579" s="65" t="n"/>
      <c r="Y579" s="65" t="n"/>
    </row>
    <row r="580">
      <c r="A580" s="8" t="inlineStr">
        <is>
          <t>M</t>
        </is>
      </c>
      <c r="B580" s="9" t="inlineStr">
        <is>
          <t>50 Free</t>
        </is>
      </c>
      <c r="C580" s="9" t="n">
        <v>18</v>
      </c>
      <c r="D580" s="9" t="n">
        <v>2</v>
      </c>
      <c r="E580" s="41" t="inlineStr">
        <is>
          <t>23.09</t>
        </is>
      </c>
      <c r="F580" s="35">
        <f>IFERROR(__xludf.DUMMYFUNCTION("IF(
  REGEXMATCH(E580, "":""),
  60*VALUE(INDEX(SPLIT(E580, "":""),1,1)) + VALUE(INDEX(SPLIT(E580, "":""),1,2)),
  VALUE(E580)
)"),23.09)</f>
        <v/>
      </c>
      <c r="G580" s="215">
        <f>C578</f>
        <v/>
      </c>
      <c r="H580" s="215">
        <f>C587</f>
        <v/>
      </c>
      <c r="I580" s="215">
        <f>C592</f>
        <v/>
      </c>
      <c r="J580" s="215">
        <f>C595</f>
        <v/>
      </c>
      <c r="K580" s="43">
        <f>IFS(H580=21,1,I580=21,2,J580=21,3,and(H580=20,I580=22),1.5, and(I580=20,J580=22),2.5,H580&gt;21,0.5)</f>
        <v/>
      </c>
      <c r="L580" s="43">
        <f t="array" ref="L580">INDEX('Podium Target Times'!$C:$C, MATCH(A580&amp;B580, 'Podium Target Times'!$A:$A&amp;'Podium Target Times'!$B:$B, 0))
</f>
        <v/>
      </c>
      <c r="M580" s="64">
        <f>IFS(K580=0.5,M581+(F580-F583),K580=1,M581+(F580-F583), K580=1.5, M581+(F580-F582), K580=2, M581+(F580-F582), K580=2.5, M581+(F580-F582), K580=3, M581+(F580-F582))</f>
        <v/>
      </c>
      <c r="N580" s="43">
        <f>IF(M580&lt;60, TEXT(M580, "0.00"), TEXT(M580/(24*60*60), "M:SS.00"))</f>
        <v/>
      </c>
      <c r="O580" s="14">
        <f>IFERROR(__xludf.DUMMYFUNCTION("LET(
  gen,$A580, ev,$B580, t,$N580,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)"),643.0)</f>
        <v/>
      </c>
      <c r="P580" s="65" t="n"/>
      <c r="Q580" s="65" t="n"/>
      <c r="R580" s="69">
        <f>A581</f>
        <v/>
      </c>
      <c r="S580" s="65">
        <f>B581</f>
        <v/>
      </c>
      <c r="T580" s="69">
        <f>C581</f>
        <v/>
      </c>
      <c r="U580" s="58">
        <f>N581</f>
        <v/>
      </c>
      <c r="V580" s="69">
        <f>O581</f>
        <v/>
      </c>
      <c r="W580" s="65" t="n"/>
      <c r="X580" s="65" t="n"/>
      <c r="Y580" s="65" t="n"/>
    </row>
    <row r="581">
      <c r="A581" s="17" t="inlineStr">
        <is>
          <t>M</t>
        </is>
      </c>
      <c r="B581" s="18" t="inlineStr">
        <is>
          <t>50 Free</t>
        </is>
      </c>
      <c r="C581" s="18" t="n">
        <v>19</v>
      </c>
      <c r="D581" s="18" t="n">
        <v>1</v>
      </c>
      <c r="E581" s="46" t="inlineStr">
        <is>
          <t>22.52</t>
        </is>
      </c>
      <c r="F581" s="21">
        <f>IFERROR(__xludf.DUMMYFUNCTION("IF(
  REGEXMATCH(E581, "":""),
  60*VALUE(INDEX(SPLIT(E581, "":""),1,1)) + VALUE(INDEX(SPLIT(E581, "":""),1,2)),
  VALUE(E581)
)"),22.52)</f>
        <v/>
      </c>
      <c r="G581" s="211">
        <f>C578</f>
        <v/>
      </c>
      <c r="H581" s="211">
        <f>C587</f>
        <v/>
      </c>
      <c r="I581" s="211">
        <f>C592</f>
        <v/>
      </c>
      <c r="J581" s="211">
        <f>C595</f>
        <v/>
      </c>
      <c r="K581" s="60">
        <f>IFS(H581=21,1,I581=21,2,J581=21,3,and(H581=20,I581=22),1.5, and(I581=20,J581=22),2.5,H581&gt;21,0.5)</f>
        <v/>
      </c>
      <c r="L581" s="60">
        <f t="array" ref="L581">INDEX('Podium Target Times'!$C:$C, MATCH(A581&amp;B581, 'Podium Target Times'!$A:$A&amp;'Podium Target Times'!$B:$B, 0))
</f>
        <v/>
      </c>
      <c r="M581" s="66">
        <f>IFS(K581=0.5,M582+(F581-F584),K581=1,M582+(F581-F584), K581=1.5, M584+(F582-F585), K581=2, M584+(F582-F585), K581=2.5, M584+(F583-F586), K581=3, M584+(F583-F586))</f>
        <v/>
      </c>
      <c r="N581" s="60">
        <f>IF(M581&lt;60, TEXT(M581, "0.00"), TEXT(M581/(24*60*60), "M:SS.00"))</f>
        <v/>
      </c>
      <c r="O581" s="25">
        <f>IFERROR(__xludf.DUMMYFUNCTION("LET(
  gen,$A581, ev,$B581, t,$N581,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)"),672.0)</f>
        <v/>
      </c>
      <c r="P581" s="65" t="n"/>
      <c r="Q581" s="65" t="n"/>
      <c r="R581" s="69">
        <f>A584</f>
        <v/>
      </c>
      <c r="S581" s="65">
        <f>B584</f>
        <v/>
      </c>
      <c r="T581" s="69">
        <f>C584</f>
        <v/>
      </c>
      <c r="U581" s="58">
        <f>N584</f>
        <v/>
      </c>
      <c r="V581" s="69">
        <f>O584</f>
        <v/>
      </c>
      <c r="W581" s="65" t="n"/>
      <c r="X581" s="65" t="n"/>
      <c r="Y581" s="65" t="n"/>
    </row>
    <row r="582">
      <c r="A582" s="8" t="inlineStr">
        <is>
          <t>M</t>
        </is>
      </c>
      <c r="B582" s="9" t="inlineStr">
        <is>
          <t>50 Free</t>
        </is>
      </c>
      <c r="C582" s="9" t="n">
        <v>19</v>
      </c>
      <c r="D582" s="9" t="n">
        <v>2</v>
      </c>
      <c r="E582" s="41" t="inlineStr">
        <is>
          <t>22.69</t>
        </is>
      </c>
      <c r="F582" s="35">
        <f>IFERROR(__xludf.DUMMYFUNCTION("IF(
  REGEXMATCH(E582, "":""),
  60*VALUE(INDEX(SPLIT(E582, "":""),1,1)) + VALUE(INDEX(SPLIT(E582, "":""),1,2)),
  VALUE(E582)
)"),22.69)</f>
        <v/>
      </c>
      <c r="G582" s="215">
        <f>C578</f>
        <v/>
      </c>
      <c r="H582" s="215">
        <f>C587</f>
        <v/>
      </c>
      <c r="I582" s="215">
        <f>C592</f>
        <v/>
      </c>
      <c r="J582" s="215">
        <f>C595</f>
        <v/>
      </c>
      <c r="K582" s="43">
        <f>IFS(H582=21,1,I582=21,2,J582=21,3,and(H582=20,I582=22),1.5, and(I582=20,J582=22),2.5,H582&gt;21,0.5)</f>
        <v/>
      </c>
      <c r="L582" s="43">
        <f t="array" ref="L582">INDEX('Podium Target Times'!$C:$C, MATCH(A582&amp;B582, 'Podium Target Times'!$A:$A&amp;'Podium Target Times'!$B:$B, 0))
</f>
        <v/>
      </c>
      <c r="M582" s="64">
        <f>IFS(K582=0.5,M583+(F581-F584),K582=1,M583+(F581-F584), K582=1.5, M584+(F582-F585), K582=2, M584+(F582-F585), K582=2.5, M584+(F583-F586), K582=3, M584+(F583-F586))</f>
        <v/>
      </c>
      <c r="N582" s="43">
        <f>IF(M582&lt;60, TEXT(M582, "0.00"), TEXT(M582/(24*60*60), "M:SS.00"))</f>
        <v/>
      </c>
      <c r="O582" s="14">
        <f>IFERROR(__xludf.DUMMYFUNCTION("LET(
  gen,$A582, ev,$B582, t,$N582,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)"),696.0)</f>
        <v/>
      </c>
      <c r="P582" s="65" t="n"/>
      <c r="Q582" s="65" t="n"/>
      <c r="R582" s="69">
        <f>A587</f>
        <v/>
      </c>
      <c r="S582" s="65">
        <f>B587</f>
        <v/>
      </c>
      <c r="T582" s="69">
        <f>C587</f>
        <v/>
      </c>
      <c r="U582" s="58">
        <f>N587</f>
        <v/>
      </c>
      <c r="V582" s="69">
        <f>O587</f>
        <v/>
      </c>
      <c r="W582" s="65" t="n"/>
      <c r="X582" s="65" t="n"/>
      <c r="Y582" s="65" t="n"/>
    </row>
    <row r="583">
      <c r="A583" s="17" t="inlineStr">
        <is>
          <t>M</t>
        </is>
      </c>
      <c r="B583" s="18" t="inlineStr">
        <is>
          <t>50 Free</t>
        </is>
      </c>
      <c r="C583" s="18" t="n">
        <v>19</v>
      </c>
      <c r="D583" s="18" t="n">
        <v>3</v>
      </c>
      <c r="E583" s="46" t="inlineStr">
        <is>
          <t>22.74</t>
        </is>
      </c>
      <c r="F583" s="21">
        <f>IFERROR(__xludf.DUMMYFUNCTION("IF(
  REGEXMATCH(E583, "":""),
  60*VALUE(INDEX(SPLIT(E583, "":""),1,1)) + VALUE(INDEX(SPLIT(E583, "":""),1,2)),
  VALUE(E583)
)"),22.74)</f>
        <v/>
      </c>
      <c r="G583" s="211">
        <f>C578</f>
        <v/>
      </c>
      <c r="H583" s="211">
        <f>C587</f>
        <v/>
      </c>
      <c r="I583" s="211">
        <f>C592</f>
        <v/>
      </c>
      <c r="J583" s="211">
        <f>C595</f>
        <v/>
      </c>
      <c r="K583" s="60">
        <f>IFS(H583=21,1,I583=21,2,J583=21,3,and(H583=20,I583=22),1.5, and(I583=20,J583=22),2.5,H583&gt;21,0.5)</f>
        <v/>
      </c>
      <c r="L583" s="60">
        <f t="array" ref="L583">INDEX('Podium Target Times'!$C:$C, MATCH(A583&amp;B583, 'Podium Target Times'!$A:$A&amp;'Podium Target Times'!$B:$B, 0))
</f>
        <v/>
      </c>
      <c r="M583" s="66">
        <f>IFS(K583=0.5,M584+(F581-F584),K583=1,M584+(F581-F584), K583=1.5, M584+(F582-F585), K583=2, M584+(F582-F585), K583=2.5, M584+(F583-F586), K583=3, M584+(F583-F586))</f>
        <v/>
      </c>
      <c r="N583" s="60">
        <f>IF(M583&lt;60, TEXT(M583, "0.00"), TEXT(M583/(24*60*60), "M:SS.00"))</f>
        <v/>
      </c>
      <c r="O583" s="25">
        <f>IFERROR(__xludf.DUMMYFUNCTION("LET(
  gen,$A583, ev,$B583, t,$N583,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)"),721.0)</f>
        <v/>
      </c>
      <c r="P583" s="65" t="n"/>
      <c r="Q583" s="65" t="n"/>
      <c r="R583" s="69" t="n"/>
      <c r="S583" s="65" t="n"/>
      <c r="T583" s="69" t="n"/>
      <c r="U583" s="58" t="n"/>
      <c r="V583" s="69" t="n"/>
      <c r="W583" s="65" t="n"/>
      <c r="X583" s="65" t="n"/>
      <c r="Y583" s="65" t="n"/>
    </row>
    <row r="584">
      <c r="A584" s="8" t="inlineStr">
        <is>
          <t>M</t>
        </is>
      </c>
      <c r="B584" s="9" t="inlineStr">
        <is>
          <t>50 Free</t>
        </is>
      </c>
      <c r="C584" s="9" t="n">
        <v>20</v>
      </c>
      <c r="D584" s="9" t="n">
        <v>1</v>
      </c>
      <c r="E584" s="41" t="inlineStr">
        <is>
          <t>22.24</t>
        </is>
      </c>
      <c r="F584" s="35">
        <f>IFERROR(__xludf.DUMMYFUNCTION("IF(
  REGEXMATCH(E584, "":""),
  60*VALUE(INDEX(SPLIT(E584, "":""),1,1)) + VALUE(INDEX(SPLIT(E584, "":""),1,2)),
  VALUE(E584)
)"),22.24)</f>
        <v/>
      </c>
      <c r="G584" s="215">
        <f>C578</f>
        <v/>
      </c>
      <c r="H584" s="215">
        <f>C587</f>
        <v/>
      </c>
      <c r="I584" s="215">
        <f>C592</f>
        <v/>
      </c>
      <c r="J584" s="215">
        <f>C595</f>
        <v/>
      </c>
      <c r="K584" s="43">
        <f>IFS(H584=21,1,I584=21,2,J584=21,3,and(H584=20,I584=22),1.5, and(I584=20,J584=22),2.5,H584&gt;21,0.5)</f>
        <v/>
      </c>
      <c r="L584" s="43">
        <f t="array" ref="L584">INDEX('Podium Target Times'!$C:$C, MATCH(A584&amp;B584, 'Podium Target Times'!$A:$A&amp;'Podium Target Times'!$B:$B, 0))
</f>
        <v/>
      </c>
      <c r="M584" s="64">
        <f>IFS(K584=0.5,L584,K584=1,U582+(F584-F587), K584=1.5, M587+(F585-F588), K584=2, M587+(F585-F588), K584=2.5, M587+(F586-F589), K584=3, M587+(F586-F589))</f>
        <v/>
      </c>
      <c r="N584" s="43">
        <f>IF(M584&lt;60, TEXT(M584, "0.00"), TEXT(M584/(24*60*60), "M:SS.00"))</f>
        <v/>
      </c>
      <c r="O584" s="14">
        <f>IFERROR(__xludf.DUMMYFUNCTION("LET(
  gen,$A584, ev,$B584, t,$N584,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584" s="65" t="n"/>
      <c r="Q584" s="65" t="n"/>
      <c r="R584" s="69" t="n"/>
      <c r="S584" s="65" t="n"/>
      <c r="T584" s="69" t="n"/>
      <c r="U584" s="58" t="n"/>
      <c r="V584" s="69" t="n"/>
      <c r="W584" s="65" t="n"/>
      <c r="X584" s="65" t="n"/>
      <c r="Y584" s="65" t="n"/>
    </row>
    <row r="585">
      <c r="A585" s="17" t="inlineStr">
        <is>
          <t>M</t>
        </is>
      </c>
      <c r="B585" s="18" t="inlineStr">
        <is>
          <t>50 Free</t>
        </is>
      </c>
      <c r="C585" s="18" t="n">
        <v>20</v>
      </c>
      <c r="D585" s="18" t="n">
        <v>2</v>
      </c>
      <c r="E585" s="46" t="inlineStr">
        <is>
          <t>22.41</t>
        </is>
      </c>
      <c r="F585" s="21">
        <f>IFERROR(__xludf.DUMMYFUNCTION("IF(
  REGEXMATCH(E585, "":""),
  60*VALUE(INDEX(SPLIT(E585, "":""),1,1)) + VALUE(INDEX(SPLIT(E585, "":""),1,2)),
  VALUE(E585)
)"),22.41)</f>
        <v/>
      </c>
      <c r="G585" s="211">
        <f>C578</f>
        <v/>
      </c>
      <c r="H585" s="211">
        <f>C587</f>
        <v/>
      </c>
      <c r="I585" s="211">
        <f>C592</f>
        <v/>
      </c>
      <c r="J585" s="211">
        <f>C595</f>
        <v/>
      </c>
      <c r="K585" s="60">
        <f>IFS(H585=21,1,I585=21,2,J585=21,3,and(H585=20,I585=22),1.5, and(I585=20,J585=22),2.5,H585&gt;21,0.5)</f>
        <v/>
      </c>
      <c r="L585" s="60">
        <f t="array" ref="L585">INDEX('Podium Target Times'!$C:$C, MATCH(A585&amp;B585, 'Podium Target Times'!$A:$A&amp;'Podium Target Times'!$B:$B, 0))
</f>
        <v/>
      </c>
      <c r="M585" s="66">
        <f>IFS(K585=0.5,L585,K585=1,U582+(F584-F587), K585=1.5, M587+(F585-F588), K585=2, M587+(F585-F588), K585=2.5, M587+(F586-F589), K585=3, M587+(F586-F589))</f>
        <v/>
      </c>
      <c r="N585" s="60">
        <f>IF(M585&lt;60, TEXT(M585, "0.00"), TEXT(M585/(24*60*60), "M:SS.00"))</f>
        <v/>
      </c>
      <c r="O585" s="25">
        <f>IFERROR(__xludf.DUMMYFUNCTION("LET(
  gen,$A585, ev,$B585, t,$N585,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585" s="65" t="n"/>
      <c r="Q585" s="65" t="n"/>
      <c r="R585" s="69" t="n"/>
      <c r="S585" s="65" t="n"/>
      <c r="T585" s="69" t="n"/>
      <c r="U585" s="58" t="n"/>
      <c r="V585" s="69" t="n"/>
      <c r="W585" s="65" t="n"/>
      <c r="X585" s="65" t="n"/>
      <c r="Y585" s="65" t="n"/>
    </row>
    <row r="586">
      <c r="A586" s="8" t="inlineStr">
        <is>
          <t>M</t>
        </is>
      </c>
      <c r="B586" s="9" t="inlineStr">
        <is>
          <t>50 Free</t>
        </is>
      </c>
      <c r="C586" s="9" t="n">
        <v>20</v>
      </c>
      <c r="D586" s="9" t="n">
        <v>3</v>
      </c>
      <c r="E586" s="41" t="inlineStr">
        <is>
          <t>22.46</t>
        </is>
      </c>
      <c r="F586" s="35">
        <f>IFERROR(__xludf.DUMMYFUNCTION("IF(
  REGEXMATCH(E586, "":""),
  60*VALUE(INDEX(SPLIT(E586, "":""),1,1)) + VALUE(INDEX(SPLIT(E586, "":""),1,2)),
  VALUE(E586)
)"),22.46)</f>
        <v/>
      </c>
      <c r="G586" s="215">
        <f>C578</f>
        <v/>
      </c>
      <c r="H586" s="215">
        <f>C587</f>
        <v/>
      </c>
      <c r="I586" s="215">
        <f>C592</f>
        <v/>
      </c>
      <c r="J586" s="215">
        <f>C595</f>
        <v/>
      </c>
      <c r="K586" s="43">
        <f>IFS(H586=21,1,I586=21,2,J586=21,3,and(H586=20,I586=22),1.5, and(I586=20,J586=22),2.5,H586&gt;21,0.5)</f>
        <v/>
      </c>
      <c r="L586" s="43">
        <f t="array" ref="L586">INDEX('Podium Target Times'!$C:$C, MATCH(A586&amp;B586, 'Podium Target Times'!$A:$A&amp;'Podium Target Times'!$B:$B, 0))
</f>
        <v/>
      </c>
      <c r="M586" s="64">
        <f>IFS(K586=0.5,L586,K586=1,U582+(F584-F587), K586=1.5, M587+(F585-F588), K586=2, M587+(F585-F588), K586=2.5, M587+(F586-F589), K586=3, M587+(F586-F589))</f>
        <v/>
      </c>
      <c r="N586" s="43">
        <f>IF(M586&lt;60, TEXT(M586, "0.00"), TEXT(M586/(24*60*60), "M:SS.00"))</f>
        <v/>
      </c>
      <c r="O586" s="14">
        <f>IFERROR(__xludf.DUMMYFUNCTION("LET(
  gen,$A586, ev,$B586, t,$N586,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)"),748.0)</f>
        <v/>
      </c>
      <c r="P586" s="65" t="n"/>
      <c r="Q586" s="65" t="n"/>
      <c r="R586" s="69" t="n"/>
      <c r="S586" s="65" t="n"/>
      <c r="T586" s="69" t="n"/>
      <c r="U586" s="58" t="n"/>
      <c r="V586" s="69" t="n"/>
      <c r="W586" s="65" t="n"/>
      <c r="X586" s="65" t="n"/>
      <c r="Y586" s="65" t="n"/>
    </row>
    <row r="587">
      <c r="A587" s="17" t="inlineStr">
        <is>
          <t>M</t>
        </is>
      </c>
      <c r="B587" s="18" t="inlineStr">
        <is>
          <t>50 Free</t>
        </is>
      </c>
      <c r="C587" s="18" t="n">
        <v>21</v>
      </c>
      <c r="D587" s="18" t="n">
        <v>1</v>
      </c>
      <c r="E587" s="46" t="inlineStr">
        <is>
          <t>22.05</t>
        </is>
      </c>
      <c r="F587" s="21">
        <f>IFERROR(__xludf.DUMMYFUNCTION("IF(
  REGEXMATCH(E587, "":""),
  60*VALUE(INDEX(SPLIT(E587, "":""),1,1)) + VALUE(INDEX(SPLIT(E587, "":""),1,2)),
  VALUE(E587)
)"),22.05)</f>
        <v/>
      </c>
      <c r="G587" s="211">
        <f>C578</f>
        <v/>
      </c>
      <c r="H587" s="211">
        <f>C587</f>
        <v/>
      </c>
      <c r="I587" s="211">
        <f>C592</f>
        <v/>
      </c>
      <c r="J587" s="211">
        <f>C595</f>
        <v/>
      </c>
      <c r="K587" s="60">
        <f>IFS(H587=21,1,I587=21,2,J587=21,3,and(H587=20,I587=22),1.5, and(I587=20,J587=22),2.5,H587&gt;21,0.5)</f>
        <v/>
      </c>
      <c r="L587" s="60">
        <f t="array" ref="L587">INDEX('Podium Target Times'!$C:$C, MATCH(A587&amp;B587, 'Podium Target Times'!$A:$A&amp;'Podium Target Times'!$B:$B, 0))
</f>
        <v/>
      </c>
      <c r="M587" s="66">
        <f>IFS(K587=0.5,L587,K587=1,L587, K587=1.5, M590+(F588-F590), K587=2, M590+(F588-F590), K587=2.5, M590+(F589-F591), K587=3, M590+(F589-F591))</f>
        <v/>
      </c>
      <c r="N587" s="60">
        <f>IF(M587&lt;60, TEXT(M587, "0.00"), TEXT(M587/(24*60*60), "M:SS.00"))</f>
        <v/>
      </c>
      <c r="O587" s="25">
        <f>IFERROR(__xludf.DUMMYFUNCTION("LET(
  gen,$A587, ev,$B587, t,$N587,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587" s="65" t="n"/>
      <c r="Q587" s="65" t="n"/>
      <c r="R587" s="69" t="n"/>
      <c r="S587" s="65" t="n"/>
      <c r="T587" s="69" t="n"/>
      <c r="U587" s="58" t="n"/>
      <c r="V587" s="69" t="n"/>
      <c r="W587" s="65" t="n"/>
      <c r="X587" s="65" t="n"/>
      <c r="Y587" s="65" t="n"/>
    </row>
    <row r="588">
      <c r="A588" s="8" t="inlineStr">
        <is>
          <t>M</t>
        </is>
      </c>
      <c r="B588" s="9" t="inlineStr">
        <is>
          <t>50 Free</t>
        </is>
      </c>
      <c r="C588" s="9" t="n">
        <v>21</v>
      </c>
      <c r="D588" s="9" t="n">
        <v>2</v>
      </c>
      <c r="E588" s="41" t="inlineStr">
        <is>
          <t>22.22</t>
        </is>
      </c>
      <c r="F588" s="35">
        <f>IFERROR(__xludf.DUMMYFUNCTION("IF(
  REGEXMATCH(E588, "":""),
  60*VALUE(INDEX(SPLIT(E588, "":""),1,1)) + VALUE(INDEX(SPLIT(E588, "":""),1,2)),
  VALUE(E588)
)"),22.22)</f>
        <v/>
      </c>
      <c r="G588" s="215">
        <f>C578</f>
        <v/>
      </c>
      <c r="H588" s="215">
        <f>C587</f>
        <v/>
      </c>
      <c r="I588" s="215">
        <f>C592</f>
        <v/>
      </c>
      <c r="J588" s="215">
        <f>C595</f>
        <v/>
      </c>
      <c r="K588" s="43">
        <f>IFS(H588=21,1,I588=21,2,J588=21,3,and(H588=20,I588=22),1.5, and(I588=20,J588=22),2.5,H588&gt;21,0.5)</f>
        <v/>
      </c>
      <c r="L588" s="43">
        <f t="array" ref="L588">INDEX('Podium Target Times'!$C:$C, MATCH(A588&amp;B588, 'Podium Target Times'!$A:$A&amp;'Podium Target Times'!$B:$B, 0))
</f>
        <v/>
      </c>
      <c r="M588" s="64">
        <f>IFS(K588=0.5,L588,K588=1,L588, K588=1.5, M590+(F588-F590), K588=2, M590+(F588-F590), K588=2.5, M590+(F589-F591), K588=3, M590+(F589-F591))</f>
        <v/>
      </c>
      <c r="N588" s="43">
        <f>IF(M588&lt;60, TEXT(M588, "0.00"), TEXT(M588/(24*60*60), "M:SS.00"))</f>
        <v/>
      </c>
      <c r="O588" s="14">
        <f>IFERROR(__xludf.DUMMYFUNCTION("LET(
  gen,$A588, ev,$B588, t,$N588,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588" s="65" t="n"/>
      <c r="Q588" s="65" t="n"/>
      <c r="R588" s="69" t="n"/>
      <c r="S588" s="65" t="n"/>
      <c r="T588" s="69" t="n"/>
      <c r="U588" s="58" t="n"/>
      <c r="V588" s="69" t="n"/>
      <c r="W588" s="65" t="n"/>
      <c r="X588" s="65" t="n"/>
      <c r="Y588" s="65" t="n"/>
    </row>
    <row r="589">
      <c r="A589" s="17" t="inlineStr">
        <is>
          <t>M</t>
        </is>
      </c>
      <c r="B589" s="18" t="inlineStr">
        <is>
          <t>50 Free</t>
        </is>
      </c>
      <c r="C589" s="18" t="n">
        <v>21</v>
      </c>
      <c r="D589" s="18" t="n">
        <v>3</v>
      </c>
      <c r="E589" s="46" t="inlineStr">
        <is>
          <t>22.27</t>
        </is>
      </c>
      <c r="F589" s="21">
        <f>IFERROR(__xludf.DUMMYFUNCTION("IF(
  REGEXMATCH(E589, "":""),
  60*VALUE(INDEX(SPLIT(E589, "":""),1,1)) + VALUE(INDEX(SPLIT(E589, "":""),1,2)),
  VALUE(E589)
)"),22.27)</f>
        <v/>
      </c>
      <c r="G589" s="211">
        <f>C578</f>
        <v/>
      </c>
      <c r="H589" s="211">
        <f>C587</f>
        <v/>
      </c>
      <c r="I589" s="211">
        <f>C592</f>
        <v/>
      </c>
      <c r="J589" s="211">
        <f>C595</f>
        <v/>
      </c>
      <c r="K589" s="60">
        <f>IFS(H589=21,1,I589=21,2,J589=21,3,and(H589=20,I589=22),1.5, and(I589=20,J589=22),2.5,H589&gt;21,0.5)</f>
        <v/>
      </c>
      <c r="L589" s="60">
        <f t="array" ref="L589">INDEX('Podium Target Times'!$C:$C, MATCH(A589&amp;B589, 'Podium Target Times'!$A:$A&amp;'Podium Target Times'!$B:$B, 0))
</f>
        <v/>
      </c>
      <c r="M589" s="66">
        <f>IFS(K589=0.5,L589,K589=1,L589, K589=1.5, M590+(F588-F590), K589=2, M590+(F588-F590), K589=2.5, M590+(F589-F591), K589=3, M590+(F589-F591))</f>
        <v/>
      </c>
      <c r="N589" s="60">
        <f>IF(M589&lt;60, TEXT(M589, "0.00"), TEXT(M589/(24*60*60), "M:SS.00"))</f>
        <v/>
      </c>
      <c r="O589" s="25">
        <f>IFERROR(__xludf.DUMMYFUNCTION("LET(
  gen,$A589, ev,$B589, t,$N589,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589" s="65" t="n"/>
      <c r="Q589" s="65" t="n"/>
      <c r="R589" s="69" t="n"/>
      <c r="S589" s="65" t="n"/>
      <c r="T589" s="69" t="n"/>
      <c r="U589" s="58" t="n"/>
      <c r="V589" s="69" t="n"/>
      <c r="W589" s="65" t="n"/>
      <c r="X589" s="65" t="n"/>
      <c r="Y589" s="65" t="n"/>
    </row>
    <row r="590">
      <c r="A590" s="8" t="inlineStr">
        <is>
          <t>M</t>
        </is>
      </c>
      <c r="B590" s="9" t="inlineStr">
        <is>
          <t>50 Free</t>
        </is>
      </c>
      <c r="C590" s="9" t="n">
        <v>22</v>
      </c>
      <c r="D590" s="9" t="n">
        <v>2</v>
      </c>
      <c r="E590" s="41" t="inlineStr">
        <is>
          <t>22.11</t>
        </is>
      </c>
      <c r="F590" s="35">
        <f>IFERROR(__xludf.DUMMYFUNCTION("IF(
  REGEXMATCH(E590, "":""),
  60*VALUE(INDEX(SPLIT(E590, "":""),1,1)) + VALUE(INDEX(SPLIT(E590, "":""),1,2)),
  VALUE(E590)
)"),22.11)</f>
        <v/>
      </c>
      <c r="G590" s="215">
        <f>C578</f>
        <v/>
      </c>
      <c r="H590" s="215">
        <f>C587</f>
        <v/>
      </c>
      <c r="I590" s="215">
        <f>C592</f>
        <v/>
      </c>
      <c r="J590" s="215">
        <f>C595</f>
        <v/>
      </c>
      <c r="K590" s="43">
        <f>IFS(H590=21,1,I590=21,2,J590=21,3,and(H590=20,I590=22),1.5, and(I590=20,J590=22),2.5,H590&gt;21,0.5)</f>
        <v/>
      </c>
      <c r="L590" s="43">
        <f t="array" ref="L590">INDEX('Podium Target Times'!$C:$C, MATCH(A590&amp;B590, 'Podium Target Times'!$A:$A&amp;'Podium Target Times'!$B:$B, 0))
</f>
        <v/>
      </c>
      <c r="M590" s="64">
        <f>IFS(K590=0.5,L590,K590=1,L590, K590=1.5, L590, K590=2, M592+(F590-F592), K590=2.5, M592+(F591-F593), K590=3, M592+(F591-F593))</f>
        <v/>
      </c>
      <c r="N590" s="43">
        <f>IF(M590&lt;60, TEXT(M590, "0.00"), TEXT(M590/(24*60*60), "M:SS.00"))</f>
        <v/>
      </c>
      <c r="O590" s="14">
        <f>IFERROR(__xludf.DUMMYFUNCTION("LET(
  gen,$A590, ev,$B590, t,$N590,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590" s="65" t="n"/>
      <c r="Q590" s="65" t="n"/>
      <c r="R590" s="69" t="n"/>
      <c r="S590" s="65" t="n"/>
      <c r="T590" s="69" t="n"/>
      <c r="U590" s="58" t="n"/>
      <c r="V590" s="69" t="n"/>
      <c r="W590" s="65" t="n"/>
      <c r="X590" s="65" t="n"/>
      <c r="Y590" s="65" t="n"/>
    </row>
    <row r="591">
      <c r="A591" s="17" t="inlineStr">
        <is>
          <t>M</t>
        </is>
      </c>
      <c r="B591" s="18" t="inlineStr">
        <is>
          <t>50 Free</t>
        </is>
      </c>
      <c r="C591" s="18" t="n">
        <v>22</v>
      </c>
      <c r="D591" s="18" t="n">
        <v>3</v>
      </c>
      <c r="E591" s="46" t="inlineStr">
        <is>
          <t>22.15</t>
        </is>
      </c>
      <c r="F591" s="21">
        <f>IFERROR(__xludf.DUMMYFUNCTION("IF(
  REGEXMATCH(E591, "":""),
  60*VALUE(INDEX(SPLIT(E591, "":""),1,1)) + VALUE(INDEX(SPLIT(E591, "":""),1,2)),
  VALUE(E591)
)"),22.15)</f>
        <v/>
      </c>
      <c r="G591" s="211">
        <f>C578</f>
        <v/>
      </c>
      <c r="H591" s="211">
        <f>C587</f>
        <v/>
      </c>
      <c r="I591" s="211">
        <f>C592</f>
        <v/>
      </c>
      <c r="J591" s="211">
        <f>C595</f>
        <v/>
      </c>
      <c r="K591" s="60">
        <f>IFS(H591=21,1,I591=21,2,J591=21,3,and(H591=20,I591=22),1.5, and(I591=20,J591=22),2.5,H591&gt;21,0.5)</f>
        <v/>
      </c>
      <c r="L591" s="60">
        <f t="array" ref="L591">INDEX('Podium Target Times'!$C:$C, MATCH(A591&amp;B591, 'Podium Target Times'!$A:$A&amp;'Podium Target Times'!$B:$B, 0))
</f>
        <v/>
      </c>
      <c r="M591" s="66">
        <f>IFS(K591=0.5,L591,K591=1,L591, K591=1.5, L591, K591=2, M592+(F590-F592), K591=2.5, M592+(F591-F593), K591=3, M592+(F591-F593))</f>
        <v/>
      </c>
      <c r="N591" s="60">
        <f>IF(M591&lt;60, TEXT(M591, "0.00"), TEXT(M591/(24*60*60), "M:SS.00"))</f>
        <v/>
      </c>
      <c r="O591" s="25">
        <f>IFERROR(__xludf.DUMMYFUNCTION("LET(
  gen,$A591, ev,$B591, t,$N591,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591" s="65" t="n"/>
      <c r="Q591" s="65" t="n"/>
      <c r="R591" s="69" t="n"/>
      <c r="S591" s="65" t="n"/>
      <c r="T591" s="69" t="n"/>
      <c r="U591" s="58" t="n"/>
      <c r="V591" s="69" t="n"/>
      <c r="W591" s="65" t="n"/>
      <c r="X591" s="65" t="n"/>
      <c r="Y591" s="65" t="n"/>
    </row>
    <row r="592">
      <c r="A592" s="8" t="inlineStr">
        <is>
          <t>M</t>
        </is>
      </c>
      <c r="B592" s="9" t="inlineStr">
        <is>
          <t>50 Free</t>
        </is>
      </c>
      <c r="C592" s="9" t="n">
        <v>23</v>
      </c>
      <c r="D592" s="9" t="n">
        <v>2</v>
      </c>
      <c r="E592" s="41" t="inlineStr">
        <is>
          <t>22.05</t>
        </is>
      </c>
      <c r="F592" s="35">
        <f>IFERROR(__xludf.DUMMYFUNCTION("IF(
  REGEXMATCH(E592, "":""),
  60*VALUE(INDEX(SPLIT(E592, "":""),1,1)) + VALUE(INDEX(SPLIT(E592, "":""),1,2)),
  VALUE(E592)
)"),22.05)</f>
        <v/>
      </c>
      <c r="G592" s="215">
        <f>C578</f>
        <v/>
      </c>
      <c r="H592" s="215">
        <f>C587</f>
        <v/>
      </c>
      <c r="I592" s="215">
        <f>C592</f>
        <v/>
      </c>
      <c r="J592" s="215">
        <f>C595</f>
        <v/>
      </c>
      <c r="K592" s="43">
        <f>IFS(H592=21,1,I592=21,2,J592=21,3,and(H592=20,I592=22),1.5, and(I592=20,J592=22),2.5,H592&gt;21,0.5)</f>
        <v/>
      </c>
      <c r="L592" s="43">
        <f t="array" ref="L592">INDEX('Podium Target Times'!$C:$C, MATCH(A592&amp;B592, 'Podium Target Times'!$A:$A&amp;'Podium Target Times'!$B:$B, 0))
</f>
        <v/>
      </c>
      <c r="M592" s="64">
        <f>IFS(K592=0.5,L592,K592=1,L592, K592=1.5, L592, K592=2,L595, K592=2.5, M594+(F593-F594), K592=3,  M594+(F593-F594))</f>
        <v/>
      </c>
      <c r="N592" s="43">
        <f>IF(M592&lt;60, TEXT(M592, "0.00"), TEXT(M592/(24*60*60), "M:SS.00"))</f>
        <v/>
      </c>
      <c r="O592" s="14">
        <f>IFERROR(__xludf.DUMMYFUNCTION("LET(
  gen,$A592, ev,$B592, t,$N592,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592" s="65" t="n"/>
      <c r="Q592" s="65" t="n"/>
      <c r="R592" s="69" t="n"/>
      <c r="S592" s="65" t="n"/>
      <c r="T592" s="69" t="n"/>
      <c r="U592" s="58" t="n"/>
      <c r="V592" s="69" t="n"/>
      <c r="W592" s="65" t="n"/>
      <c r="X592" s="65" t="n"/>
      <c r="Y592" s="65" t="n"/>
    </row>
    <row r="593">
      <c r="A593" s="17" t="inlineStr">
        <is>
          <t>M</t>
        </is>
      </c>
      <c r="B593" s="18" t="inlineStr">
        <is>
          <t>50 Free</t>
        </is>
      </c>
      <c r="C593" s="18" t="n">
        <v>23</v>
      </c>
      <c r="D593" s="18" t="n">
        <v>3</v>
      </c>
      <c r="E593" s="46" t="inlineStr">
        <is>
          <t>22.09</t>
        </is>
      </c>
      <c r="F593" s="21">
        <f>IFERROR(__xludf.DUMMYFUNCTION("IF(
  REGEXMATCH(E593, "":""),
  60*VALUE(INDEX(SPLIT(E593, "":""),1,1)) + VALUE(INDEX(SPLIT(E593, "":""),1,2)),
  VALUE(E593)
)"),22.09)</f>
        <v/>
      </c>
      <c r="G593" s="211">
        <f>C578</f>
        <v/>
      </c>
      <c r="H593" s="211">
        <f>C587</f>
        <v/>
      </c>
      <c r="I593" s="211">
        <f>C592</f>
        <v/>
      </c>
      <c r="J593" s="211">
        <f>C595</f>
        <v/>
      </c>
      <c r="K593" s="60">
        <f>IFS(H593=21,1,I593=21,2,J593=21,3,and(H593=20,I593=22),1.5, and(I593=20,J593=22),2.5,H593&gt;21,0.5)</f>
        <v/>
      </c>
      <c r="L593" s="60">
        <f t="array" ref="L593">INDEX('Podium Target Times'!$C:$C, MATCH(A593&amp;B593, 'Podium Target Times'!$A:$A&amp;'Podium Target Times'!$B:$B, 0))
</f>
        <v/>
      </c>
      <c r="M593" s="66">
        <f>IFS(K593=0.5,L593,K593=1,L593, K593=1.5, L593, K593=2, L595, K593=2.5, M594+(F593-F594), K593=3, M594+(F593-F594))</f>
        <v/>
      </c>
      <c r="N593" s="60">
        <f>IF(M593&lt;60, TEXT(M593, "0.00"), TEXT(M593/(24*60*60), "M:SS.00"))</f>
        <v/>
      </c>
      <c r="O593" s="25">
        <f>IFERROR(__xludf.DUMMYFUNCTION("LET(
  gen,$A593, ev,$B593, t,$N593,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593" s="65" t="n"/>
      <c r="Q593" s="65" t="n"/>
      <c r="R593" s="69" t="n"/>
      <c r="S593" s="65" t="n"/>
      <c r="T593" s="69" t="n"/>
      <c r="U593" s="58" t="n"/>
      <c r="V593" s="69" t="n"/>
      <c r="W593" s="65" t="n"/>
      <c r="X593" s="65" t="n"/>
      <c r="Y593" s="65" t="n"/>
    </row>
    <row r="594">
      <c r="A594" s="8" t="inlineStr">
        <is>
          <t>M</t>
        </is>
      </c>
      <c r="B594" s="9" t="inlineStr">
        <is>
          <t>50 Free</t>
        </is>
      </c>
      <c r="C594" s="9" t="n">
        <v>24</v>
      </c>
      <c r="D594" s="9" t="n">
        <v>3</v>
      </c>
      <c r="E594" s="41" t="inlineStr">
        <is>
          <t>22.06</t>
        </is>
      </c>
      <c r="F594" s="35">
        <f>IFERROR(__xludf.DUMMYFUNCTION("IF(
  REGEXMATCH(E594, "":""),
  60*VALUE(INDEX(SPLIT(E594, "":""),1,1)) + VALUE(INDEX(SPLIT(E594, "":""),1,2)),
  VALUE(E594)
)"),22.06)</f>
        <v/>
      </c>
      <c r="G594" s="215">
        <f>C578</f>
        <v/>
      </c>
      <c r="H594" s="215">
        <f>C587</f>
        <v/>
      </c>
      <c r="I594" s="215">
        <f>C592</f>
        <v/>
      </c>
      <c r="J594" s="215">
        <f>C595</f>
        <v/>
      </c>
      <c r="K594" s="43">
        <f>IFS(H594=21,1,I594=21,2,J594=21,3,and(H594=20,I594=22),1.5, and(I594=20,J594=22),2.5,H594&gt;21,0.5)</f>
        <v/>
      </c>
      <c r="L594" s="43">
        <f t="array" ref="L594">INDEX('Podium Target Times'!$C:$C, MATCH(A594&amp;B594, 'Podium Target Times'!$A:$A&amp;'Podium Target Times'!$B:$B, 0))
</f>
        <v/>
      </c>
      <c r="M594" s="64">
        <f>IFS(K594=0.5,L594,K594=1,L594, K594=1.5, L594, K594=2, L595, K594=2.5, L595, K594=3, M595+(F594-F595))</f>
        <v/>
      </c>
      <c r="N594" s="43">
        <f>IF(M594&lt;60, TEXT(M594, "0.00"), TEXT(M594/(24*60*60), "M:SS.00"))</f>
        <v/>
      </c>
      <c r="O594" s="14">
        <f>IFERROR(__xludf.DUMMYFUNCTION("LET(
  gen,$A594, ev,$B594, t,$N594,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594" s="65" t="n"/>
      <c r="Q594" s="65" t="n"/>
      <c r="R594" s="69" t="n"/>
      <c r="S594" s="65" t="n"/>
      <c r="T594" s="69" t="n"/>
      <c r="U594" s="58" t="n"/>
      <c r="V594" s="69" t="n"/>
      <c r="W594" s="65" t="n"/>
      <c r="X594" s="65" t="n"/>
      <c r="Y594" s="65" t="n"/>
    </row>
    <row r="595">
      <c r="A595" s="17" t="inlineStr">
        <is>
          <t>M</t>
        </is>
      </c>
      <c r="B595" s="18" t="inlineStr">
        <is>
          <t>50 Free</t>
        </is>
      </c>
      <c r="C595" s="18" t="n">
        <v>25</v>
      </c>
      <c r="D595" s="18" t="n">
        <v>3</v>
      </c>
      <c r="E595" s="46" t="inlineStr">
        <is>
          <t>22.05</t>
        </is>
      </c>
      <c r="F595" s="21">
        <f>IFERROR(__xludf.DUMMYFUNCTION("IF(
  REGEXMATCH(E595, "":""),
  60*VALUE(INDEX(SPLIT(E595, "":""),1,1)) + VALUE(INDEX(SPLIT(E595, "":""),1,2)),
  VALUE(E595)
)"),22.05)</f>
        <v/>
      </c>
      <c r="G595" s="211">
        <f>C578</f>
        <v/>
      </c>
      <c r="H595" s="211">
        <f>C587</f>
        <v/>
      </c>
      <c r="I595" s="211">
        <f>C592</f>
        <v/>
      </c>
      <c r="J595" s="211">
        <f>C595</f>
        <v/>
      </c>
      <c r="K595" s="60">
        <f>IFS(H595=21,1,I595=21,2,J595=21,3,and(H595=20,I595=22),1.5, and(I595=20,J595=22),2.5,H595&gt;21,0.5)</f>
        <v/>
      </c>
      <c r="L595" s="60">
        <f t="array" ref="L595">INDEX('Podium Target Times'!$C:$C, MATCH(A595&amp;B595, 'Podium Target Times'!$A:$A&amp;'Podium Target Times'!$B:$B, 0))
</f>
        <v/>
      </c>
      <c r="M595" s="66">
        <f>IFS(K595=0.5,L595,K595=1,L595, K595=1.5, L595, K595=2, L595, K595=2.5, L595, K595=3, L595)</f>
        <v/>
      </c>
      <c r="N595" s="60">
        <f>IF(M595&lt;60, TEXT(M595, "0.00"), TEXT(M595/(24*60*60), "M:SS.00"))</f>
        <v/>
      </c>
      <c r="O595" s="25">
        <f>IFERROR(__xludf.DUMMYFUNCTION("LET(
  gen,$A595, ev,$B595, t,$N595,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)"),767.0)</f>
        <v/>
      </c>
      <c r="P595" s="65" t="n"/>
      <c r="Q595" s="65" t="n"/>
      <c r="R595" s="69" t="n"/>
      <c r="S595" s="65" t="n"/>
      <c r="T595" s="69" t="n"/>
      <c r="U595" s="58" t="n"/>
      <c r="V595" s="69" t="n"/>
      <c r="W595" s="65" t="n"/>
      <c r="X595" s="65" t="n"/>
      <c r="Y595" s="65" t="n"/>
    </row>
    <row r="596">
      <c r="A596" s="8" t="inlineStr">
        <is>
          <t>M</t>
        </is>
      </c>
      <c r="B596" s="9" t="inlineStr">
        <is>
          <t>800 Free</t>
        </is>
      </c>
      <c r="C596" s="9" t="n">
        <v>15</v>
      </c>
      <c r="D596" s="9" t="n">
        <v>1</v>
      </c>
      <c r="E596" s="41" t="inlineStr">
        <is>
          <t>8:31.10</t>
        </is>
      </c>
      <c r="F596" s="35">
        <f>IFERROR(__xludf.DUMMYFUNCTION("IF(
  REGEXMATCH(E596, "":""),
  60*VALUE(INDEX(SPLIT(E596, "":""),1,1)) + VALUE(INDEX(SPLIT(E596, "":""),1,2)),
  VALUE(E596)
)"),511.1)</f>
        <v/>
      </c>
      <c r="G596" s="43">
        <f>C596</f>
        <v/>
      </c>
      <c r="H596" s="43">
        <f>C605</f>
        <v/>
      </c>
      <c r="I596" s="43">
        <f>C610</f>
        <v/>
      </c>
      <c r="J596" s="43">
        <f>C613</f>
        <v/>
      </c>
      <c r="K596" s="43">
        <f>IFS(H596=21,1,I596=21,2,J596=21,3,and(H596=20,I596=22),1.5, and(I596=20,J596=22),2.5,H596&gt;21,0.5)</f>
        <v/>
      </c>
      <c r="L596" s="43">
        <f t="array" ref="L596">INDEX('Podium Target Times'!$C:$C, MATCH(A596&amp;B596, 'Podium Target Times'!$A:$A&amp;'Podium Target Times'!$B:$B, 0))
</f>
        <v/>
      </c>
      <c r="M596" s="64">
        <f>IFS(K596=0.5,M597+(F596-F597),K596=1,M597+(F596-F597), K596=1.5, M597+(F596-F597), K596=2, M597+(F596-F597), K596=2.5, M597+(F596-F597), K596=3, M597+(F596-F597))</f>
        <v/>
      </c>
      <c r="N596" s="43">
        <f>IF(M596&lt;60, TEXT(M596, "0.00"), TEXT(M596/(24*60*60), "M:SS.00"))</f>
        <v/>
      </c>
      <c r="O596" s="14">
        <f>IFERROR(__xludf.DUMMYFUNCTION("LET(
  gen,$A596, ev,$B596, t,$N596,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)"),604.0)</f>
        <v/>
      </c>
      <c r="P596" s="65" t="n"/>
      <c r="Q596" s="65" t="n"/>
      <c r="R596" s="69" t="n"/>
      <c r="S596" s="65" t="n"/>
      <c r="T596" s="69" t="n"/>
      <c r="U596" s="58" t="n"/>
      <c r="V596" s="69" t="n"/>
      <c r="W596" s="65" t="n"/>
      <c r="X596" s="65" t="n"/>
      <c r="Y596" s="65" t="n"/>
    </row>
    <row r="597">
      <c r="A597" s="17" t="inlineStr">
        <is>
          <t>M</t>
        </is>
      </c>
      <c r="B597" s="18" t="inlineStr">
        <is>
          <t>800 Free</t>
        </is>
      </c>
      <c r="C597" s="18" t="n">
        <v>16</v>
      </c>
      <c r="D597" s="18" t="n">
        <v>1</v>
      </c>
      <c r="E597" s="46" t="inlineStr">
        <is>
          <t>8:14.62</t>
        </is>
      </c>
      <c r="F597" s="21">
        <f>IFERROR(__xludf.DUMMYFUNCTION("IF(
  REGEXMATCH(E597, "":""),
  60*VALUE(INDEX(SPLIT(E597, "":""),1,1)) + VALUE(INDEX(SPLIT(E597, "":""),1,2)),
  VALUE(E597)
)"),494.62)</f>
        <v/>
      </c>
      <c r="G597" s="211">
        <f>C596</f>
        <v/>
      </c>
      <c r="H597" s="211">
        <f>C605</f>
        <v/>
      </c>
      <c r="I597" s="211">
        <f>C610</f>
        <v/>
      </c>
      <c r="J597" s="211">
        <f>C613</f>
        <v/>
      </c>
      <c r="K597" s="60">
        <f>IFS(H597=21,1,I597=21,2,J597=21,3,and(H597=20,I597=22),1.5, and(I597=20,J597=22),2.5,H597&gt;21,0.5)</f>
        <v/>
      </c>
      <c r="L597" s="60">
        <f t="array" ref="L597">INDEX('Podium Target Times'!$C:$C, MATCH(A597&amp;B597, 'Podium Target Times'!$A:$A&amp;'Podium Target Times'!$B:$B, 0))
</f>
        <v/>
      </c>
      <c r="M597" s="66">
        <f>IFS(K597=0.5,M598+(F597-F599),K597=1,M598+(F597-F599), K597=1.5, M599+(F598-F600), K597=2, M599+(F598-F600), K597=2.5, M599+(F598-F600), K597=3, M599+(F598-F600))</f>
        <v/>
      </c>
      <c r="N597" s="60">
        <f>IF(M597&lt;60, TEXT(M597, "0.00"), TEXT(M597/(24*60*60), "M:SS.00"))</f>
        <v/>
      </c>
      <c r="O597" s="25">
        <f>IFERROR(__xludf.DUMMYFUNCTION("LET(
  gen,$A597, ev,$B597, t,$N597,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)"),664.0)</f>
        <v/>
      </c>
      <c r="P597" s="65" t="n"/>
      <c r="Q597" s="65" t="n"/>
      <c r="R597" s="69" t="n"/>
      <c r="S597" s="65" t="n"/>
      <c r="T597" s="69" t="n"/>
      <c r="U597" s="58" t="n"/>
      <c r="V597" s="69" t="n"/>
      <c r="W597" s="65" t="n"/>
      <c r="X597" s="65" t="n"/>
      <c r="Y597" s="65" t="n"/>
    </row>
    <row r="598">
      <c r="A598" s="8" t="inlineStr">
        <is>
          <t>M</t>
        </is>
      </c>
      <c r="B598" s="9" t="inlineStr">
        <is>
          <t>800 Free</t>
        </is>
      </c>
      <c r="C598" s="9" t="n">
        <v>16</v>
      </c>
      <c r="D598" s="9" t="n">
        <v>2</v>
      </c>
      <c r="E598" s="41" t="inlineStr">
        <is>
          <t>8:20.18</t>
        </is>
      </c>
      <c r="F598" s="35">
        <f>IFERROR(__xludf.DUMMYFUNCTION("IF(
  REGEXMATCH(E598, "":""),
  60*VALUE(INDEX(SPLIT(E598, "":""),1,1)) + VALUE(INDEX(SPLIT(E598, "":""),1,2)),
  VALUE(E598)
)"),500.18)</f>
        <v/>
      </c>
      <c r="G598" s="215">
        <f>C596</f>
        <v/>
      </c>
      <c r="H598" s="215">
        <f>C605</f>
        <v/>
      </c>
      <c r="I598" s="215">
        <f>C610</f>
        <v/>
      </c>
      <c r="J598" s="215">
        <f>C613</f>
        <v/>
      </c>
      <c r="K598" s="43">
        <f>IFS(H598=21,1,I598=21,2,J598=21,3,and(H598=20,I598=22),1.5, and(I598=20,J598=22),2.5,H598&gt;21,0.5)</f>
        <v/>
      </c>
      <c r="L598" s="43">
        <f t="array" ref="L598">INDEX('Podium Target Times'!$C:$C, MATCH(A598&amp;B598, 'Podium Target Times'!$A:$A&amp;'Podium Target Times'!$B:$B, 0))
</f>
        <v/>
      </c>
      <c r="M598" s="64">
        <f>IFS(K598=0.5,M599+(F598-F601),K598=1,M599+(F598-F601), K598=1.5, M599+(F598-F600), K598=2, M599+(F598-F600), K598=2.5, M599+(F598-F600), K598=3, M599+(F598-F600))</f>
        <v/>
      </c>
      <c r="N598" s="43">
        <f>IF(M598&lt;60, TEXT(M598, "0.00"), TEXT(M598/(24*60*60), "M:SS.00"))</f>
        <v/>
      </c>
      <c r="O598" s="14">
        <f>IFERROR(__xludf.DUMMYFUNCTION("LET(
  gen,$A598, ev,$B598, t,$N598,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)"),664.0)</f>
        <v/>
      </c>
      <c r="P598" s="65" t="n"/>
      <c r="Q598" s="65" t="n"/>
      <c r="R598" s="69" t="n"/>
      <c r="S598" s="65" t="n"/>
      <c r="T598" s="69" t="n"/>
      <c r="U598" s="58" t="n"/>
      <c r="V598" s="69" t="n"/>
      <c r="W598" s="65" t="n"/>
      <c r="X598" s="65" t="n"/>
      <c r="Y598" s="65" t="n"/>
    </row>
    <row r="599">
      <c r="A599" s="17" t="inlineStr">
        <is>
          <t>M</t>
        </is>
      </c>
      <c r="B599" s="18" t="inlineStr">
        <is>
          <t>800 Free</t>
        </is>
      </c>
      <c r="C599" s="18" t="n">
        <v>17</v>
      </c>
      <c r="D599" s="18" t="n">
        <v>1</v>
      </c>
      <c r="E599" s="46" t="inlineStr">
        <is>
          <t>8:02.43</t>
        </is>
      </c>
      <c r="F599" s="21">
        <f>IFERROR(__xludf.DUMMYFUNCTION("IF(
  REGEXMATCH(E599, "":""),
  60*VALUE(INDEX(SPLIT(E599, "":""),1,1)) + VALUE(INDEX(SPLIT(E599, "":""),1,2)),
  VALUE(E599)
)"),482.43)</f>
        <v/>
      </c>
      <c r="G599" s="211">
        <f>C596</f>
        <v/>
      </c>
      <c r="H599" s="211">
        <f>C605</f>
        <v/>
      </c>
      <c r="I599" s="211">
        <f>C610</f>
        <v/>
      </c>
      <c r="J599" s="211">
        <f>C613</f>
        <v/>
      </c>
      <c r="K599" s="60">
        <f>IFS(H599=21,1,I599=21,2,J599=21,3,and(H599=20,I599=22),1.5, and(I599=20,J599=22),2.5,H599&gt;21,0.5)</f>
        <v/>
      </c>
      <c r="L599" s="60">
        <f t="array" ref="L599">INDEX('Podium Target Times'!$C:$C, MATCH(A599&amp;B599, 'Podium Target Times'!$A:$A&amp;'Podium Target Times'!$B:$B, 0))
</f>
        <v/>
      </c>
      <c r="M599" s="66">
        <f>IFS(K599=0.5,M600+(F599-F602),K599=1,M600+(F599-F602), K599=1.5, M602+(F600-F603), K599=2, M602+(F600-F603), K599=2.5, M602+(F601-F604), K599=3, M602+(F601-F604))</f>
        <v/>
      </c>
      <c r="N599" s="60">
        <f>IF(M599&lt;60, TEXT(M599, "0.00"), TEXT(M599/(24*60*60), "M:SS.00"))</f>
        <v/>
      </c>
      <c r="O599" s="25">
        <f>IFERROR(__xludf.DUMMYFUNCTION("LET(
  gen,$A599, ev,$B599, t,$N599,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
      </c>
      <c r="P599" s="65" t="n"/>
      <c r="Q599" s="65" t="n"/>
      <c r="R599" s="69" t="n"/>
      <c r="S599" s="65" t="n"/>
      <c r="T599" s="69" t="n"/>
      <c r="U599" s="58" t="n"/>
      <c r="V599" s="69" t="n"/>
      <c r="W599" s="65" t="n"/>
      <c r="X599" s="65" t="n"/>
      <c r="Y599" s="65" t="n"/>
    </row>
    <row r="600">
      <c r="A600" s="8" t="inlineStr">
        <is>
          <t>M</t>
        </is>
      </c>
      <c r="B600" s="9" t="inlineStr">
        <is>
          <t>800 Free</t>
        </is>
      </c>
      <c r="C600" s="9" t="n">
        <v>17</v>
      </c>
      <c r="D600" s="9" t="n">
        <v>2</v>
      </c>
      <c r="E600" s="41" t="inlineStr">
        <is>
          <t>8:07.85</t>
        </is>
      </c>
      <c r="F600" s="35">
        <f>IFERROR(__xludf.DUMMYFUNCTION("IF(
  REGEXMATCH(E600, "":""),
  60*VALUE(INDEX(SPLIT(E600, "":""),1,1)) + VALUE(INDEX(SPLIT(E600, "":""),1,2)),
  VALUE(E600)
)"),487.85)</f>
        <v/>
      </c>
      <c r="G600" s="215">
        <f>C596</f>
        <v/>
      </c>
      <c r="H600" s="215">
        <f>C605</f>
        <v/>
      </c>
      <c r="I600" s="215">
        <f>C610</f>
        <v/>
      </c>
      <c r="J600" s="215">
        <f>C613</f>
        <v/>
      </c>
      <c r="K600" s="43">
        <f>IFS(H600=21,1,I600=21,2,J600=21,3,and(H600=20,I600=22),1.5, and(I600=20,J600=22),2.5,H600&gt;21,0.5)</f>
        <v/>
      </c>
      <c r="L600" s="43">
        <f t="array" ref="L600">INDEX('Podium Target Times'!$C:$C, MATCH(A600&amp;B600, 'Podium Target Times'!$A:$A&amp;'Podium Target Times'!$B:$B, 0))
</f>
        <v/>
      </c>
      <c r="M600" s="64">
        <f>IFS(K600=0.5,M601+(F599-F602),K600=1,M601+(F599-F602), K600=1.5, M602+(F600-F603), K600=2, M602+(F600-F603), K600=2.5, M602+(F601-F604), K600=3, M602+(F601-F604))</f>
        <v/>
      </c>
      <c r="N600" s="43">
        <f>IF(M600&lt;60, TEXT(M600, "0.00"), TEXT(M600/(24*60*60), "M:SS.00"))</f>
        <v/>
      </c>
      <c r="O600" s="14">
        <f>IFERROR(__xludf.DUMMYFUNCTION("LET(
  gen,$A600, ev,$B600, t,$N600,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
      </c>
      <c r="P600" s="65" t="n"/>
      <c r="Q600" s="65" t="n"/>
      <c r="R600" s="69" t="n"/>
      <c r="S600" s="65" t="n"/>
      <c r="T600" s="69" t="n"/>
      <c r="U600" s="58" t="n"/>
      <c r="V600" s="69" t="n"/>
      <c r="W600" s="65" t="n"/>
      <c r="X600" s="65" t="n"/>
      <c r="Y600" s="65" t="n"/>
    </row>
    <row r="601">
      <c r="A601" s="17" t="inlineStr">
        <is>
          <t>M</t>
        </is>
      </c>
      <c r="B601" s="18" t="inlineStr">
        <is>
          <t>800 Free</t>
        </is>
      </c>
      <c r="C601" s="18" t="n">
        <v>17</v>
      </c>
      <c r="D601" s="18" t="n">
        <v>3</v>
      </c>
      <c r="E601" s="46" t="inlineStr">
        <is>
          <t>8:09.69</t>
        </is>
      </c>
      <c r="F601" s="21">
        <f>IFERROR(__xludf.DUMMYFUNCTION("IF(
  REGEXMATCH(E601, "":""),
  60*VALUE(INDEX(SPLIT(E601, "":""),1,1)) + VALUE(INDEX(SPLIT(E601, "":""),1,2)),
  VALUE(E601)
)"),489.69)</f>
        <v/>
      </c>
      <c r="G601" s="211">
        <f>C596</f>
        <v/>
      </c>
      <c r="H601" s="211">
        <f>C605</f>
        <v/>
      </c>
      <c r="I601" s="211">
        <f>C610</f>
        <v/>
      </c>
      <c r="J601" s="211">
        <f>C613</f>
        <v/>
      </c>
      <c r="K601" s="60">
        <f>IFS(H601=21,1,I601=21,2,J601=21,3,and(H601=20,I601=22),1.5, and(I601=20,J601=22),2.5,H601&gt;21,0.5)</f>
        <v/>
      </c>
      <c r="L601" s="60">
        <f t="array" ref="L601">INDEX('Podium Target Times'!$C:$C, MATCH(A601&amp;B601, 'Podium Target Times'!$A:$A&amp;'Podium Target Times'!$B:$B, 0))
</f>
        <v/>
      </c>
      <c r="M601" s="66">
        <f>IFS(K601=0.5,M602+(F599-F602),K601=1,M602+(F599-F602), K601=1.5, M602+(F600-F603), K601=2, M602+(F600-F603), K601=2.5, M602+(F601-F604), K601=3, M602+(F601-F604))</f>
        <v/>
      </c>
      <c r="N601" s="60">
        <f>IF(M601&lt;60, TEXT(M601, "0.00"), TEXT(M601/(24*60*60), "M:SS.00"))</f>
        <v/>
      </c>
      <c r="O601" s="25">
        <f>IFERROR(__xludf.DUMMYFUNCTION("LET(
  gen,$A601, ev,$B601, t,$N601,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)"),713.0)</f>
        <v/>
      </c>
      <c r="P601" s="65" t="n"/>
      <c r="Q601" s="65" t="n"/>
      <c r="R601" s="69" t="n"/>
      <c r="S601" s="65" t="n"/>
      <c r="T601" s="69" t="n"/>
      <c r="U601" s="58" t="n"/>
      <c r="V601" s="69" t="n"/>
      <c r="W601" s="65" t="n"/>
      <c r="X601" s="65" t="n"/>
      <c r="Y601" s="65" t="n"/>
    </row>
    <row r="602">
      <c r="A602" s="8" t="inlineStr">
        <is>
          <t>M</t>
        </is>
      </c>
      <c r="B602" s="9" t="inlineStr">
        <is>
          <t>800 Free</t>
        </is>
      </c>
      <c r="C602" s="9" t="n">
        <v>18</v>
      </c>
      <c r="D602" s="9" t="n">
        <v>1</v>
      </c>
      <c r="E602" s="41" t="inlineStr">
        <is>
          <t>7:54.03</t>
        </is>
      </c>
      <c r="F602" s="35">
        <f>IFERROR(__xludf.DUMMYFUNCTION("IF(
  REGEXMATCH(E602, "":""),
  60*VALUE(INDEX(SPLIT(E602, "":""),1,1)) + VALUE(INDEX(SPLIT(E602, "":""),1,2)),
  VALUE(E602)
)"),474.03)</f>
        <v/>
      </c>
      <c r="G602" s="215">
        <f>C596</f>
        <v/>
      </c>
      <c r="H602" s="215">
        <f>C605</f>
        <v/>
      </c>
      <c r="I602" s="215">
        <f>C610</f>
        <v/>
      </c>
      <c r="J602" s="215">
        <f>C613</f>
        <v/>
      </c>
      <c r="K602" s="43">
        <f>IFS(H602=21,1,I602=21,2,J602=21,3,and(H602=20,I602=22),1.5, and(I602=20,J602=22),2.5,H602&gt;21,0.5)</f>
        <v/>
      </c>
      <c r="L602" s="43">
        <f t="array" ref="L602">INDEX('Podium Target Times'!$C:$C, MATCH(A602&amp;B602, 'Podium Target Times'!$A:$A&amp;'Podium Target Times'!$B:$B, 0))
</f>
        <v/>
      </c>
      <c r="M602" s="64">
        <f>IFS(K602=0.5,L602,K602=1,U600+(F602-F605), K602=1.5, M605+(F603-F606), K602=2, M605+(F603-F606), K602=2.5, M605+(F604-F607), K602=3, M605+(F604-F607))</f>
        <v/>
      </c>
      <c r="N602" s="43">
        <f>IF(M602&lt;60, TEXT(M602, "0.00"), TEXT(M602/(24*60*60), "M:SS.00"))</f>
        <v/>
      </c>
      <c r="O602" s="14">
        <f>IFERROR(__xludf.DUMMYFUNCTION("LET(
  gen,$A602, ev,$B602, t,$N602,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
      </c>
      <c r="P602" s="65" t="n"/>
      <c r="Q602" s="65" t="n"/>
      <c r="R602" s="69" t="n"/>
      <c r="S602" s="65" t="n"/>
      <c r="T602" s="69" t="n"/>
      <c r="U602" s="58" t="n"/>
      <c r="V602" s="69" t="n"/>
      <c r="W602" s="65" t="n"/>
      <c r="X602" s="65" t="n"/>
      <c r="Y602" s="65" t="n"/>
    </row>
    <row r="603">
      <c r="A603" s="17" t="inlineStr">
        <is>
          <t>M</t>
        </is>
      </c>
      <c r="B603" s="18" t="inlineStr">
        <is>
          <t>800 Free</t>
        </is>
      </c>
      <c r="C603" s="18" t="n">
        <v>18</v>
      </c>
      <c r="D603" s="18" t="n">
        <v>2</v>
      </c>
      <c r="E603" s="46" t="inlineStr">
        <is>
          <t>7:59.36</t>
        </is>
      </c>
      <c r="F603" s="21">
        <f>IFERROR(__xludf.DUMMYFUNCTION("IF(
  REGEXMATCH(E603, "":""),
  60*VALUE(INDEX(SPLIT(E603, "":""),1,1)) + VALUE(INDEX(SPLIT(E603, "":""),1,2)),
  VALUE(E603)
)"),479.36)</f>
        <v/>
      </c>
      <c r="G603" s="211">
        <f>C596</f>
        <v/>
      </c>
      <c r="H603" s="211">
        <f>C605</f>
        <v/>
      </c>
      <c r="I603" s="211">
        <f>C610</f>
        <v/>
      </c>
      <c r="J603" s="211">
        <f>C613</f>
        <v/>
      </c>
      <c r="K603" s="60">
        <f>IFS(H603=21,1,I603=21,2,J603=21,3,and(H603=20,I603=22),1.5, and(I603=20,J603=22),2.5,H603&gt;21,0.5)</f>
        <v/>
      </c>
      <c r="L603" s="60">
        <f t="array" ref="L603">INDEX('Podium Target Times'!$C:$C, MATCH(A603&amp;B603, 'Podium Target Times'!$A:$A&amp;'Podium Target Times'!$B:$B, 0))
</f>
        <v/>
      </c>
      <c r="M603" s="66">
        <f>IFS(K603=0.5,L603,K603=1,U600+(F602-F605), K603=1.5, M605+(F603-F606), K603=2, M605+(F603-F606), K603=2.5, M605+(F604-F607), K603=3, M605+(F604-F607))</f>
        <v/>
      </c>
      <c r="N603" s="60">
        <f>IF(M603&lt;60, TEXT(M603, "0.00"), TEXT(M603/(24*60*60), "M:SS.00"))</f>
        <v/>
      </c>
      <c r="O603" s="25">
        <f>IFERROR(__xludf.DUMMYFUNCTION("LET(
  gen,$A603, ev,$B603, t,$N603,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
      </c>
      <c r="P603" s="65" t="n"/>
      <c r="Q603" s="65" t="n"/>
      <c r="R603" s="69" t="n"/>
      <c r="S603" s="65" t="n"/>
      <c r="T603" s="69" t="n"/>
      <c r="U603" s="58" t="n"/>
      <c r="V603" s="69" t="n"/>
      <c r="W603" s="65" t="n"/>
      <c r="X603" s="65" t="n"/>
      <c r="Y603" s="65" t="n"/>
    </row>
    <row r="604">
      <c r="A604" s="8" t="inlineStr">
        <is>
          <t>M</t>
        </is>
      </c>
      <c r="B604" s="9" t="inlineStr">
        <is>
          <t>800 Free</t>
        </is>
      </c>
      <c r="C604" s="9" t="n">
        <v>18</v>
      </c>
      <c r="D604" s="9" t="n">
        <v>3</v>
      </c>
      <c r="E604" s="41" t="inlineStr">
        <is>
          <t>8:01.16</t>
        </is>
      </c>
      <c r="F604" s="35">
        <f>IFERROR(__xludf.DUMMYFUNCTION("IF(
  REGEXMATCH(E604, "":""),
  60*VALUE(INDEX(SPLIT(E604, "":""),1,1)) + VALUE(INDEX(SPLIT(E604, "":""),1,2)),
  VALUE(E604)
)"),481.16)</f>
        <v/>
      </c>
      <c r="G604" s="215">
        <f>C596</f>
        <v/>
      </c>
      <c r="H604" s="215">
        <f>C605</f>
        <v/>
      </c>
      <c r="I604" s="215">
        <f>C610</f>
        <v/>
      </c>
      <c r="J604" s="215">
        <f>C613</f>
        <v/>
      </c>
      <c r="K604" s="43">
        <f>IFS(H604=21,1,I604=21,2,J604=21,3,and(H604=20,I604=22),1.5, and(I604=20,J604=22),2.5,H604&gt;21,0.5)</f>
        <v/>
      </c>
      <c r="L604" s="43">
        <f t="array" ref="L604">INDEX('Podium Target Times'!$C:$C, MATCH(A604&amp;B604, 'Podium Target Times'!$A:$A&amp;'Podium Target Times'!$B:$B, 0))
</f>
        <v/>
      </c>
      <c r="M604" s="64">
        <f>IFS(K604=0.5,L604,K604=1,U600+(F602-F605), K604=1.5, M605+(F603-F606), K604=2, M605+(F603-F606), K604=2.5, M605+(F604-F607), K604=3, M605+(F604-F607))</f>
        <v/>
      </c>
      <c r="N604" s="43">
        <f>IF(M604&lt;60, TEXT(M604, "0.00"), TEXT(M604/(24*60*60), "M:SS.00"))</f>
        <v/>
      </c>
      <c r="O604" s="14">
        <f>IFERROR(__xludf.DUMMYFUNCTION("LET(
  gen,$A604, ev,$B604, t,$N604,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)"),750.0)</f>
        <v/>
      </c>
      <c r="P604" s="65" t="n"/>
      <c r="Q604" s="65" t="n"/>
      <c r="R604" s="69" t="n"/>
      <c r="S604" s="65" t="n"/>
      <c r="T604" s="69" t="n"/>
      <c r="U604" s="58" t="n"/>
      <c r="V604" s="69" t="n"/>
      <c r="W604" s="65" t="n"/>
      <c r="X604" s="65" t="n"/>
      <c r="Y604" s="65" t="n"/>
    </row>
    <row r="605">
      <c r="A605" s="17" t="inlineStr">
        <is>
          <t>M</t>
        </is>
      </c>
      <c r="B605" s="18" t="inlineStr">
        <is>
          <t>800 Free</t>
        </is>
      </c>
      <c r="C605" s="18" t="n">
        <v>19</v>
      </c>
      <c r="D605" s="18" t="n">
        <v>1</v>
      </c>
      <c r="E605" s="46" t="inlineStr">
        <is>
          <t>7:48.66</t>
        </is>
      </c>
      <c r="F605" s="21">
        <f>IFERROR(__xludf.DUMMYFUNCTION("IF(
  REGEXMATCH(E605, "":""),
  60*VALUE(INDEX(SPLIT(E605, "":""),1,1)) + VALUE(INDEX(SPLIT(E605, "":""),1,2)),
  VALUE(E605)
)"),468.65999999999997)</f>
        <v/>
      </c>
      <c r="G605" s="211">
        <f>C596</f>
        <v/>
      </c>
      <c r="H605" s="211">
        <f>C605</f>
        <v/>
      </c>
      <c r="I605" s="211">
        <f>C610</f>
        <v/>
      </c>
      <c r="J605" s="211">
        <f>C613</f>
        <v/>
      </c>
      <c r="K605" s="60">
        <f>IFS(H605=21,1,I605=21,2,J605=21,3,and(H605=20,I605=22),1.5, and(I605=20,J605=22),2.5,H605&gt;21,0.5)</f>
        <v/>
      </c>
      <c r="L605" s="60">
        <f t="array" ref="L605">INDEX('Podium Target Times'!$C:$C, MATCH(A605&amp;B605, 'Podium Target Times'!$A:$A&amp;'Podium Target Times'!$B:$B, 0))
</f>
        <v/>
      </c>
      <c r="M605" s="66">
        <f>IFS(K605=0.5,L605,K605=1,L605, K605=1.5, M608+(F606-F608), K605=2, M608+(F606-F608), K605=2.5, M608+(F607-F609), K605=3, M608+(F607-F609))</f>
        <v/>
      </c>
      <c r="N605" s="60">
        <f>IF(M605&lt;60, TEXT(M605, "0.00"), TEXT(M605/(24*60*60), "M:SS.00"))</f>
        <v/>
      </c>
      <c r="O605" s="25">
        <f>IFERROR(__xludf.DUMMYFUNCTION("LET(
  gen,$A605, ev,$B605, t,$N605,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
      </c>
      <c r="P605" s="65" t="n"/>
      <c r="Q605" s="65" t="n"/>
      <c r="R605" s="69" t="n"/>
      <c r="S605" s="65" t="n"/>
      <c r="T605" s="69" t="n"/>
      <c r="U605" s="58" t="n"/>
      <c r="V605" s="69" t="n"/>
      <c r="W605" s="65" t="n"/>
      <c r="X605" s="65" t="n"/>
      <c r="Y605" s="65" t="n"/>
    </row>
    <row r="606">
      <c r="A606" s="8" t="inlineStr">
        <is>
          <t>M</t>
        </is>
      </c>
      <c r="B606" s="9" t="inlineStr">
        <is>
          <t>800 Free</t>
        </is>
      </c>
      <c r="C606" s="9" t="n">
        <v>19</v>
      </c>
      <c r="D606" s="9" t="n">
        <v>2</v>
      </c>
      <c r="E606" s="41" t="inlineStr">
        <is>
          <t>7:53.93</t>
        </is>
      </c>
      <c r="F606" s="35">
        <f>IFERROR(__xludf.DUMMYFUNCTION("IF(
  REGEXMATCH(E606, "":""),
  60*VALUE(INDEX(SPLIT(E606, "":""),1,1)) + VALUE(INDEX(SPLIT(E606, "":""),1,2)),
  VALUE(E606)
)"),473.93)</f>
        <v/>
      </c>
      <c r="G606" s="215">
        <f>C596</f>
        <v/>
      </c>
      <c r="H606" s="215">
        <f>C605</f>
        <v/>
      </c>
      <c r="I606" s="215">
        <f>C610</f>
        <v/>
      </c>
      <c r="J606" s="215">
        <f>C613</f>
        <v/>
      </c>
      <c r="K606" s="43">
        <f>IFS(H606=21,1,I606=21,2,J606=21,3,and(H606=20,I606=22),1.5, and(I606=20,J606=22),2.5,H606&gt;21,0.5)</f>
        <v/>
      </c>
      <c r="L606" s="43">
        <f t="array" ref="L606">INDEX('Podium Target Times'!$C:$C, MATCH(A606&amp;B606, 'Podium Target Times'!$A:$A&amp;'Podium Target Times'!$B:$B, 0))
</f>
        <v/>
      </c>
      <c r="M606" s="64">
        <f>IFS(K606=0.5,L606,K606=1,L606, K606=1.5, M608+(F606-F608), K606=2, M608+(F606-F608), K606=2.5, M608+(F607-F609), K606=3, M608+(F607-F609))</f>
        <v/>
      </c>
      <c r="N606" s="43">
        <f>IF(M606&lt;60, TEXT(M606, "0.00"), TEXT(M606/(24*60*60), "M:SS.00"))</f>
        <v/>
      </c>
      <c r="O606" s="14">
        <f>IFERROR(__xludf.DUMMYFUNCTION("LET(
  gen,$A606, ev,$B606, t,$N606,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
      </c>
      <c r="P606" s="65" t="n"/>
      <c r="Q606" s="65" t="n"/>
      <c r="R606" s="69" t="n"/>
      <c r="S606" s="65" t="n"/>
      <c r="T606" s="69" t="n"/>
      <c r="U606" s="58" t="n"/>
      <c r="V606" s="69" t="n"/>
      <c r="W606" s="65" t="n"/>
      <c r="X606" s="65" t="n"/>
      <c r="Y606" s="65" t="n"/>
    </row>
    <row r="607">
      <c r="A607" s="17" t="inlineStr">
        <is>
          <t>M</t>
        </is>
      </c>
      <c r="B607" s="18" t="inlineStr">
        <is>
          <t>800 Free</t>
        </is>
      </c>
      <c r="C607" s="18" t="n">
        <v>19</v>
      </c>
      <c r="D607" s="18" t="n">
        <v>3</v>
      </c>
      <c r="E607" s="46" t="inlineStr">
        <is>
          <t>7:55.71</t>
        </is>
      </c>
      <c r="F607" s="21">
        <f>IFERROR(__xludf.DUMMYFUNCTION("IF(
  REGEXMATCH(E607, "":""),
  60*VALUE(INDEX(SPLIT(E607, "":""),1,1)) + VALUE(INDEX(SPLIT(E607, "":""),1,2)),
  VALUE(E607)
)"),475.71)</f>
        <v/>
      </c>
      <c r="G607" s="211">
        <f>C596</f>
        <v/>
      </c>
      <c r="H607" s="211">
        <f>C605</f>
        <v/>
      </c>
      <c r="I607" s="211">
        <f>C610</f>
        <v/>
      </c>
      <c r="J607" s="211">
        <f>C613</f>
        <v/>
      </c>
      <c r="K607" s="60">
        <f>IFS(H607=21,1,I607=21,2,J607=21,3,and(H607=20,I607=22),1.5, and(I607=20,J607=22),2.5,H607&gt;21,0.5)</f>
        <v/>
      </c>
      <c r="L607" s="60">
        <f t="array" ref="L607">INDEX('Podium Target Times'!$C:$C, MATCH(A607&amp;B607, 'Podium Target Times'!$A:$A&amp;'Podium Target Times'!$B:$B, 0))
</f>
        <v/>
      </c>
      <c r="M607" s="66">
        <f>IFS(K607=0.5,L607,K607=1,L607, K607=1.5, M608+(F606-F608), K607=2, M608+(F606-F608), K607=2.5, M608+(F607-F609), K607=3, M608+(F607-F609))</f>
        <v/>
      </c>
      <c r="N607" s="60">
        <f>IF(M607&lt;60, TEXT(M607, "0.00"), TEXT(M607/(24*60*60), "M:SS.00"))</f>
        <v/>
      </c>
      <c r="O607" s="25">
        <f>IFERROR(__xludf.DUMMYFUNCTION("LET(
  gen,$A607, ev,$B607, t,$N607,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)"),776.0)</f>
        <v/>
      </c>
      <c r="P607" s="65" t="n"/>
      <c r="Q607" s="65" t="n"/>
      <c r="R607" s="69" t="n"/>
      <c r="S607" s="65" t="n"/>
      <c r="T607" s="69" t="n"/>
      <c r="U607" s="58" t="n"/>
      <c r="V607" s="69" t="n"/>
      <c r="W607" s="65" t="n"/>
      <c r="X607" s="65" t="n"/>
      <c r="Y607" s="65" t="n"/>
    </row>
    <row r="608">
      <c r="A608" s="8" t="inlineStr">
        <is>
          <t>M</t>
        </is>
      </c>
      <c r="B608" s="9" t="inlineStr">
        <is>
          <t>800 Free</t>
        </is>
      </c>
      <c r="C608" s="9" t="n">
        <v>20</v>
      </c>
      <c r="D608" s="9" t="n">
        <v>2</v>
      </c>
      <c r="E608" s="41" t="inlineStr">
        <is>
          <t>7:50.66</t>
        </is>
      </c>
      <c r="F608" s="35">
        <f>IFERROR(__xludf.DUMMYFUNCTION("IF(
  REGEXMATCH(E608, "":""),
  60*VALUE(INDEX(SPLIT(E608, "":""),1,1)) + VALUE(INDEX(SPLIT(E608, "":""),1,2)),
  VALUE(E608)
)"),470.65999999999997)</f>
        <v/>
      </c>
      <c r="G608" s="215">
        <f>C596</f>
        <v/>
      </c>
      <c r="H608" s="215">
        <f>C605</f>
        <v/>
      </c>
      <c r="I608" s="215">
        <f>C610</f>
        <v/>
      </c>
      <c r="J608" s="215">
        <f>C613</f>
        <v/>
      </c>
      <c r="K608" s="43">
        <f>IFS(H608=21,1,I608=21,2,J608=21,3,and(H608=20,I608=22),1.5, and(I608=20,J608=22),2.5,H608&gt;21,0.5)</f>
        <v/>
      </c>
      <c r="L608" s="43">
        <f t="array" ref="L608">INDEX('Podium Target Times'!$C:$C, MATCH(A608&amp;B608, 'Podium Target Times'!$A:$A&amp;'Podium Target Times'!$B:$B, 0))
</f>
        <v/>
      </c>
      <c r="M608" s="64">
        <f>IFS(K608=0.5,L608,K608=1,L608, K608=1.5, L608, K608=2, M610+(F608-F610), K608=2.5, M610+(F609-F611), K608=3, M610+(F609-F611))</f>
        <v/>
      </c>
      <c r="N608" s="43">
        <f>IF(M608&lt;60, TEXT(M608, "0.00"), TEXT(M608/(24*60*60), "M:SS.00"))</f>
        <v/>
      </c>
      <c r="O608" s="14">
        <f>IFERROR(__xludf.DUMMYFUNCTION("LET(
  gen,$A608, ev,$B608, t,$N608,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)"),791.0)</f>
        <v/>
      </c>
      <c r="P608" s="65" t="n"/>
      <c r="Q608" s="65" t="n"/>
      <c r="R608" s="69" t="n"/>
      <c r="S608" s="65" t="n"/>
      <c r="T608" s="69" t="n"/>
      <c r="U608" s="58" t="n"/>
      <c r="V608" s="69" t="n"/>
      <c r="W608" s="65" t="n"/>
      <c r="X608" s="65" t="n"/>
      <c r="Y608" s="65" t="n"/>
    </row>
    <row r="609">
      <c r="A609" s="17" t="inlineStr">
        <is>
          <t>M</t>
        </is>
      </c>
      <c r="B609" s="18" t="inlineStr">
        <is>
          <t>800 Free</t>
        </is>
      </c>
      <c r="C609" s="18" t="n">
        <v>20</v>
      </c>
      <c r="D609" s="18" t="n">
        <v>3</v>
      </c>
      <c r="E609" s="46" t="inlineStr">
        <is>
          <t>7:52.43</t>
        </is>
      </c>
      <c r="F609" s="21">
        <f>IFERROR(__xludf.DUMMYFUNCTION("IF(
  REGEXMATCH(E609, "":""),
  60*VALUE(INDEX(SPLIT(E609, "":""),1,1)) + VALUE(INDEX(SPLIT(E609, "":""),1,2)),
  VALUE(E609)
)"),472.43)</f>
        <v/>
      </c>
      <c r="G609" s="211">
        <f>C596</f>
        <v/>
      </c>
      <c r="H609" s="211">
        <f>C605</f>
        <v/>
      </c>
      <c r="I609" s="211">
        <f>C610</f>
        <v/>
      </c>
      <c r="J609" s="211">
        <f>C613</f>
        <v/>
      </c>
      <c r="K609" s="60">
        <f>IFS(H609=21,1,I609=21,2,J609=21,3,and(H609=20,I609=22),1.5, and(I609=20,J609=22),2.5,H609&gt;21,0.5)</f>
        <v/>
      </c>
      <c r="L609" s="60">
        <f t="array" ref="L609">INDEX('Podium Target Times'!$C:$C, MATCH(A609&amp;B609, 'Podium Target Times'!$A:$A&amp;'Podium Target Times'!$B:$B, 0))
</f>
        <v/>
      </c>
      <c r="M609" s="66">
        <f>IFS(K609=0.5,L609,K609=1,L609, K609=1.5, L609, K609=2, M610+(F608-F610), K609=2.5, M610+(F609-F611), K609=3, M610+(F609-F611))</f>
        <v/>
      </c>
      <c r="N609" s="60">
        <f>IF(M609&lt;60, TEXT(M609, "0.00"), TEXT(M609/(24*60*60), "M:SS.00"))</f>
        <v/>
      </c>
      <c r="O609" s="25">
        <f>IFERROR(__xludf.DUMMYFUNCTION("LET(
  gen,$A609, ev,$B609, t,$N609,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)"),791.0)</f>
        <v/>
      </c>
      <c r="P609" s="65" t="n"/>
      <c r="Q609" s="65" t="n"/>
      <c r="R609" s="69" t="n"/>
      <c r="S609" s="65" t="n"/>
      <c r="T609" s="69" t="n"/>
      <c r="U609" s="58" t="n"/>
      <c r="V609" s="69" t="n"/>
      <c r="W609" s="65" t="n"/>
      <c r="X609" s="65" t="n"/>
      <c r="Y609" s="65" t="n"/>
    </row>
    <row r="610">
      <c r="A610" s="8" t="inlineStr">
        <is>
          <t>M</t>
        </is>
      </c>
      <c r="B610" s="9" t="inlineStr">
        <is>
          <t>800 Free</t>
        </is>
      </c>
      <c r="C610" s="9" t="n">
        <v>21</v>
      </c>
      <c r="D610" s="9" t="n">
        <v>2</v>
      </c>
      <c r="E610" s="41" t="inlineStr">
        <is>
          <t>7:48.66</t>
        </is>
      </c>
      <c r="F610" s="35">
        <f>IFERROR(__xludf.DUMMYFUNCTION("IF(
  REGEXMATCH(E610, "":""),
  60*VALUE(INDEX(SPLIT(E610, "":""),1,1)) + VALUE(INDEX(SPLIT(E610, "":""),1,2)),
  VALUE(E610)
)"),468.65999999999997)</f>
        <v/>
      </c>
      <c r="G610" s="215">
        <f>C596</f>
        <v/>
      </c>
      <c r="H610" s="215">
        <f>C605</f>
        <v/>
      </c>
      <c r="I610" s="215">
        <f>C610</f>
        <v/>
      </c>
      <c r="J610" s="215">
        <f>C613</f>
        <v/>
      </c>
      <c r="K610" s="43">
        <f>IFS(H610=21,1,I610=21,2,J610=21,3,and(H610=20,I610=22),1.5, and(I610=20,J610=22),2.5,H610&gt;21,0.5)</f>
        <v/>
      </c>
      <c r="L610" s="43">
        <f t="array" ref="L610">INDEX('Podium Target Times'!$C:$C, MATCH(A610&amp;B610, 'Podium Target Times'!$A:$A&amp;'Podium Target Times'!$B:$B, 0))
</f>
        <v/>
      </c>
      <c r="M610" s="64">
        <f>IFS(K610=0.5,L610,K610=1,L610, K610=1.5, L610, K610=2,L613, K610=2.5, M612+(F611-F612), K610=3,  M612+(F611-F612))</f>
        <v/>
      </c>
      <c r="N610" s="43">
        <f>IF(M610&lt;60, TEXT(M610, "0.00"), TEXT(M610/(24*60*60), "M:SS.00"))</f>
        <v/>
      </c>
      <c r="O610" s="14">
        <f>IFERROR(__xludf.DUMMYFUNCTION("LET(
  gen,$A610, ev,$B610, t,$N610,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
      </c>
      <c r="P610" s="65" t="n"/>
      <c r="Q610" s="65" t="n"/>
      <c r="R610" s="69" t="n"/>
      <c r="S610" s="65" t="n"/>
      <c r="T610" s="69" t="n"/>
      <c r="U610" s="58" t="n"/>
      <c r="V610" s="69" t="n"/>
      <c r="W610" s="65" t="n"/>
      <c r="X610" s="65" t="n"/>
      <c r="Y610" s="65" t="n"/>
    </row>
    <row r="611">
      <c r="A611" s="17" t="inlineStr">
        <is>
          <t>M</t>
        </is>
      </c>
      <c r="B611" s="18" t="inlineStr">
        <is>
          <t>800 Free</t>
        </is>
      </c>
      <c r="C611" s="18" t="n">
        <v>21</v>
      </c>
      <c r="D611" s="18" t="n">
        <v>3</v>
      </c>
      <c r="E611" s="46" t="inlineStr">
        <is>
          <t>7:50.42</t>
        </is>
      </c>
      <c r="F611" s="21">
        <f>IFERROR(__xludf.DUMMYFUNCTION("IF(
  REGEXMATCH(E611, "":""),
  60*VALUE(INDEX(SPLIT(E611, "":""),1,1)) + VALUE(INDEX(SPLIT(E611, "":""),1,2)),
  VALUE(E611)
)"),470.42)</f>
        <v/>
      </c>
      <c r="G611" s="211">
        <f>C596</f>
        <v/>
      </c>
      <c r="H611" s="211">
        <f>C605</f>
        <v/>
      </c>
      <c r="I611" s="211">
        <f>C610</f>
        <v/>
      </c>
      <c r="J611" s="211">
        <f>C613</f>
        <v/>
      </c>
      <c r="K611" s="60">
        <f>IFS(H611=21,1,I611=21,2,J611=21,3,and(H611=20,I611=22),1.5, and(I611=20,J611=22),2.5,H611&gt;21,0.5)</f>
        <v/>
      </c>
      <c r="L611" s="60">
        <f t="array" ref="L611">INDEX('Podium Target Times'!$C:$C, MATCH(A611&amp;B611, 'Podium Target Times'!$A:$A&amp;'Podium Target Times'!$B:$B, 0))
</f>
        <v/>
      </c>
      <c r="M611" s="66">
        <f>IFS(K611=0.5,L611,K611=1,L611, K611=1.5, L611, K611=2, L613, K611=2.5, M612+(F611-F612), K611=3, M612+(F611-F612))</f>
        <v/>
      </c>
      <c r="N611" s="60">
        <f>IF(M611&lt;60, TEXT(M611, "0.00"), TEXT(M611/(24*60*60), "M:SS.00"))</f>
        <v/>
      </c>
      <c r="O611" s="25">
        <f>IFERROR(__xludf.DUMMYFUNCTION("LET(
  gen,$A611, ev,$B611, t,$N611,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
      </c>
      <c r="P611" s="65" t="n"/>
      <c r="Q611" s="65" t="n"/>
      <c r="R611" s="69" t="n"/>
      <c r="S611" s="65" t="n"/>
      <c r="T611" s="69" t="n"/>
      <c r="U611" s="58" t="n"/>
      <c r="V611" s="69" t="n"/>
      <c r="W611" s="65" t="n"/>
      <c r="X611" s="65" t="n"/>
      <c r="Y611" s="65" t="n"/>
    </row>
    <row r="612">
      <c r="A612" s="8" t="inlineStr">
        <is>
          <t>M</t>
        </is>
      </c>
      <c r="B612" s="9" t="inlineStr">
        <is>
          <t>800 Free</t>
        </is>
      </c>
      <c r="C612" s="9" t="n">
        <v>22</v>
      </c>
      <c r="D612" s="9" t="n">
        <v>3</v>
      </c>
      <c r="E612" s="41" t="inlineStr">
        <is>
          <t>7:49.18</t>
        </is>
      </c>
      <c r="F612" s="35">
        <f>IFERROR(__xludf.DUMMYFUNCTION("IF(
  REGEXMATCH(E612, "":""),
  60*VALUE(INDEX(SPLIT(E612, "":""),1,1)) + VALUE(INDEX(SPLIT(E612, "":""),1,2)),
  VALUE(E612)
)"),469.18)</f>
        <v/>
      </c>
      <c r="G612" s="215">
        <f>C596</f>
        <v/>
      </c>
      <c r="H612" s="215">
        <f>C605</f>
        <v/>
      </c>
      <c r="I612" s="215">
        <f>C610</f>
        <v/>
      </c>
      <c r="J612" s="215">
        <f>C613</f>
        <v/>
      </c>
      <c r="K612" s="43">
        <f>IFS(H612=21,1,I612=21,2,J612=21,3,and(H612=20,I612=22),1.5, and(I612=20,J612=22),2.5,H612&gt;21,0.5)</f>
        <v/>
      </c>
      <c r="L612" s="43">
        <f t="array" ref="L612">INDEX('Podium Target Times'!$C:$C, MATCH(A612&amp;B612, 'Podium Target Times'!$A:$A&amp;'Podium Target Times'!$B:$B, 0))
</f>
        <v/>
      </c>
      <c r="M612" s="64">
        <f>IFS(K612=0.5,L612,K612=1,L612, K612=1.5, L612, K612=2, L613, K612=2.5, L613, K612=3, M613+(F612-F613))</f>
        <v/>
      </c>
      <c r="N612" s="43">
        <f>IF(M612&lt;60, TEXT(M612, "0.00"), TEXT(M612/(24*60*60), "M:SS.00"))</f>
        <v/>
      </c>
      <c r="O612" s="14">
        <f>IFERROR(__xludf.DUMMYFUNCTION("LET(
  gen,$A612, ev,$B612, t,$N612,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
      </c>
      <c r="P612" s="65" t="n"/>
      <c r="Q612" s="65" t="n"/>
      <c r="R612" s="69" t="n"/>
      <c r="S612" s="65" t="n"/>
      <c r="T612" s="69" t="n"/>
      <c r="U612" s="58" t="n"/>
      <c r="V612" s="69" t="n"/>
      <c r="W612" s="65" t="n"/>
      <c r="X612" s="65" t="n"/>
      <c r="Y612" s="65" t="n"/>
    </row>
    <row r="613">
      <c r="A613" s="49" t="inlineStr">
        <is>
          <t>M</t>
        </is>
      </c>
      <c r="B613" s="50" t="inlineStr">
        <is>
          <t>800 Free</t>
        </is>
      </c>
      <c r="C613" s="50" t="n">
        <v>23</v>
      </c>
      <c r="D613" s="50" t="n">
        <v>3</v>
      </c>
      <c r="E613" s="51" t="inlineStr">
        <is>
          <t>7:48.66</t>
        </is>
      </c>
      <c r="F613" s="53">
        <f>IFERROR(__xludf.DUMMYFUNCTION("IF(
  REGEXMATCH(E613, "":""),
  60*VALUE(INDEX(SPLIT(E613, "":""),1,1)) + VALUE(INDEX(SPLIT(E613, "":""),1,2)),
  VALUE(E613)
)"),468.65999999999997)</f>
        <v/>
      </c>
      <c r="G613" s="755">
        <f>C596</f>
        <v/>
      </c>
      <c r="H613" s="755">
        <f>C605</f>
        <v/>
      </c>
      <c r="I613" s="755">
        <f>C610</f>
        <v/>
      </c>
      <c r="J613" s="755">
        <f>C613</f>
        <v/>
      </c>
      <c r="K613" s="55">
        <f>IFS(H613=21,1,I613=21,2,J613=21,3,and(H613=20,I613=22),1.5, and(I613=20,J613=22),2.5,H613&gt;21,0.5)</f>
        <v/>
      </c>
      <c r="L613" s="55">
        <f t="array" ref="L613">INDEX('Podium Target Times'!$C:$C, MATCH(A613&amp;B613, 'Podium Target Times'!$A:$A&amp;'Podium Target Times'!$B:$B, 0))
</f>
        <v/>
      </c>
      <c r="M613" s="66">
        <f>IFS(K613=0.5,L613,K613=1,L613, K613=1.5, L613, K613=2, L613, K613=2.5, L613, K613=3, L613)</f>
        <v/>
      </c>
      <c r="N613" s="55">
        <f>IF(M613&lt;60, TEXT(M613, "0.00"), TEXT(M613/(24*60*60), "M:SS.00"))</f>
        <v/>
      </c>
      <c r="O613" s="56">
        <f>IFERROR(__xludf.DUMMYFUNCTION("LET(
  gen,$A613, ev,$B613, t,$N613,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)"),801.0)</f>
        <v/>
      </c>
      <c r="P613" s="65" t="n"/>
      <c r="Q613" s="65" t="n"/>
      <c r="R613" s="69" t="n"/>
      <c r="S613" s="65" t="n"/>
      <c r="T613" s="69" t="n"/>
      <c r="U613" s="58" t="n"/>
      <c r="V613" s="69" t="n"/>
      <c r="W613" s="65" t="n"/>
      <c r="X613" s="65" t="n"/>
      <c r="Y613" s="65" t="n"/>
    </row>
    <row r="614">
      <c r="F614" s="78" t="n"/>
      <c r="M614" s="78" t="n"/>
    </row>
    <row r="615">
      <c r="F615" s="78" t="n"/>
      <c r="M615" s="78" t="n"/>
    </row>
    <row r="616">
      <c r="F616" s="78" t="n"/>
      <c r="M616" s="78" t="n"/>
    </row>
    <row r="617">
      <c r="F617" s="78" t="n"/>
      <c r="M617" s="78" t="n"/>
    </row>
    <row r="618">
      <c r="F618" s="78" t="n"/>
      <c r="M618" s="78" t="n"/>
    </row>
    <row r="619">
      <c r="F619" s="78" t="n"/>
      <c r="M619" s="78" t="n"/>
    </row>
    <row r="620">
      <c r="F620" s="78" t="n"/>
      <c r="M620" s="78" t="n"/>
    </row>
    <row r="621">
      <c r="F621" s="78" t="n"/>
      <c r="M621" s="78" t="n"/>
    </row>
    <row r="622">
      <c r="F622" s="78" t="n"/>
      <c r="M622" s="78" t="n"/>
    </row>
    <row r="623">
      <c r="F623" s="78" t="n"/>
      <c r="M623" s="78" t="n"/>
    </row>
    <row r="624">
      <c r="F624" s="78" t="n"/>
      <c r="M624" s="78" t="n"/>
    </row>
    <row r="625">
      <c r="F625" s="78" t="n"/>
      <c r="M625" s="78" t="n"/>
    </row>
    <row r="626">
      <c r="F626" s="78" t="n"/>
      <c r="M626" s="78" t="n"/>
    </row>
    <row r="627">
      <c r="F627" s="78" t="n"/>
      <c r="M627" s="78" t="n"/>
    </row>
    <row r="628">
      <c r="F628" s="78" t="n"/>
      <c r="M628" s="78" t="n"/>
    </row>
    <row r="629">
      <c r="F629" s="78" t="n"/>
      <c r="M629" s="78" t="n"/>
    </row>
    <row r="630">
      <c r="F630" s="78" t="n"/>
      <c r="M630" s="78" t="n"/>
    </row>
    <row r="631">
      <c r="F631" s="78" t="n"/>
      <c r="M631" s="78" t="n"/>
    </row>
    <row r="632">
      <c r="F632" s="78" t="n"/>
      <c r="M632" s="78" t="n"/>
    </row>
    <row r="633">
      <c r="F633" s="78" t="n"/>
      <c r="M633" s="78" t="n"/>
    </row>
    <row r="634">
      <c r="F634" s="78" t="n"/>
      <c r="M634" s="78" t="n"/>
    </row>
    <row r="635">
      <c r="F635" s="78" t="n"/>
      <c r="M635" s="78" t="n"/>
    </row>
    <row r="636">
      <c r="F636" s="78" t="n"/>
      <c r="M636" s="78" t="n"/>
    </row>
    <row r="637">
      <c r="F637" s="78" t="n"/>
      <c r="M637" s="78" t="n"/>
    </row>
    <row r="638">
      <c r="F638" s="78" t="n"/>
      <c r="M638" s="78" t="n"/>
    </row>
    <row r="639">
      <c r="F639" s="78" t="n"/>
      <c r="M639" s="78" t="n"/>
    </row>
    <row r="640">
      <c r="F640" s="78" t="n"/>
      <c r="M640" s="78" t="n"/>
    </row>
    <row r="641">
      <c r="F641" s="78" t="n"/>
      <c r="M641" s="78" t="n"/>
    </row>
    <row r="642">
      <c r="F642" s="78" t="n"/>
      <c r="M642" s="78" t="n"/>
    </row>
    <row r="643">
      <c r="F643" s="78" t="n"/>
      <c r="M643" s="78" t="n"/>
    </row>
    <row r="644">
      <c r="F644" s="78" t="n"/>
      <c r="M644" s="78" t="n"/>
    </row>
    <row r="645">
      <c r="F645" s="78" t="n"/>
      <c r="M645" s="78" t="n"/>
    </row>
    <row r="646">
      <c r="F646" s="78" t="n"/>
      <c r="M646" s="78" t="n"/>
    </row>
    <row r="647">
      <c r="F647" s="78" t="n"/>
      <c r="M647" s="78" t="n"/>
    </row>
    <row r="648">
      <c r="F648" s="78" t="n"/>
      <c r="M648" s="78" t="n"/>
    </row>
    <row r="649">
      <c r="F649" s="78" t="n"/>
      <c r="M649" s="78" t="n"/>
    </row>
    <row r="650">
      <c r="F650" s="78" t="n"/>
      <c r="M650" s="78" t="n"/>
    </row>
    <row r="651">
      <c r="F651" s="78" t="n"/>
      <c r="M651" s="78" t="n"/>
    </row>
    <row r="652">
      <c r="F652" s="78" t="n"/>
      <c r="M652" s="78" t="n"/>
    </row>
    <row r="653">
      <c r="F653" s="78" t="n"/>
      <c r="M653" s="78" t="n"/>
    </row>
    <row r="654">
      <c r="F654" s="78" t="n"/>
      <c r="M654" s="78" t="n"/>
    </row>
    <row r="655">
      <c r="F655" s="78" t="n"/>
      <c r="M655" s="78" t="n"/>
    </row>
    <row r="656">
      <c r="F656" s="78" t="n"/>
      <c r="M656" s="78" t="n"/>
    </row>
    <row r="657">
      <c r="F657" s="78" t="n"/>
      <c r="M657" s="78" t="n"/>
    </row>
    <row r="658">
      <c r="F658" s="78" t="n"/>
      <c r="M658" s="78" t="n"/>
    </row>
    <row r="659">
      <c r="F659" s="78" t="n"/>
      <c r="M659" s="78" t="n"/>
    </row>
    <row r="660">
      <c r="F660" s="78" t="n"/>
      <c r="M660" s="78" t="n"/>
    </row>
    <row r="661">
      <c r="F661" s="78" t="n"/>
      <c r="M661" s="78" t="n"/>
    </row>
    <row r="662">
      <c r="F662" s="78" t="n"/>
      <c r="M662" s="78" t="n"/>
    </row>
    <row r="663">
      <c r="F663" s="78" t="n"/>
      <c r="M663" s="78" t="n"/>
    </row>
    <row r="664">
      <c r="F664" s="78" t="n"/>
      <c r="M664" s="78" t="n"/>
    </row>
    <row r="665">
      <c r="F665" s="78" t="n"/>
      <c r="M665" s="78" t="n"/>
    </row>
    <row r="666">
      <c r="F666" s="78" t="n"/>
      <c r="M666" s="78" t="n"/>
    </row>
    <row r="667">
      <c r="F667" s="78" t="n"/>
      <c r="M667" s="78" t="n"/>
    </row>
    <row r="668">
      <c r="F668" s="78" t="n"/>
      <c r="M668" s="78" t="n"/>
    </row>
    <row r="669">
      <c r="F669" s="78" t="n"/>
      <c r="M669" s="78" t="n"/>
    </row>
    <row r="670">
      <c r="F670" s="78" t="n"/>
      <c r="M670" s="78" t="n"/>
    </row>
    <row r="671">
      <c r="F671" s="78" t="n"/>
      <c r="M671" s="78" t="n"/>
    </row>
    <row r="672">
      <c r="F672" s="78" t="n"/>
      <c r="M672" s="78" t="n"/>
    </row>
    <row r="673">
      <c r="F673" s="78" t="n"/>
      <c r="M673" s="78" t="n"/>
    </row>
    <row r="674">
      <c r="F674" s="78" t="n"/>
      <c r="M674" s="78" t="n"/>
    </row>
    <row r="675">
      <c r="F675" s="78" t="n"/>
      <c r="M675" s="78" t="n"/>
    </row>
    <row r="676">
      <c r="F676" s="78" t="n"/>
      <c r="M676" s="78" t="n"/>
    </row>
    <row r="677">
      <c r="F677" s="78" t="n"/>
      <c r="M677" s="78" t="n"/>
    </row>
    <row r="678">
      <c r="F678" s="78" t="n"/>
      <c r="M678" s="78" t="n"/>
    </row>
    <row r="679">
      <c r="F679" s="78" t="n"/>
      <c r="M679" s="78" t="n"/>
    </row>
    <row r="680">
      <c r="F680" s="78" t="n"/>
      <c r="M680" s="78" t="n"/>
    </row>
    <row r="681">
      <c r="F681" s="78" t="n"/>
      <c r="M681" s="78" t="n"/>
    </row>
    <row r="682">
      <c r="F682" s="78" t="n"/>
      <c r="M682" s="78" t="n"/>
    </row>
    <row r="683">
      <c r="F683" s="78" t="n"/>
      <c r="M683" s="78" t="n"/>
    </row>
    <row r="684">
      <c r="F684" s="78" t="n"/>
      <c r="M684" s="78" t="n"/>
    </row>
    <row r="685">
      <c r="F685" s="78" t="n"/>
      <c r="M685" s="78" t="n"/>
    </row>
    <row r="686">
      <c r="F686" s="78" t="n"/>
      <c r="M686" s="78" t="n"/>
    </row>
    <row r="687">
      <c r="F687" s="78" t="n"/>
      <c r="M687" s="78" t="n"/>
    </row>
    <row r="688">
      <c r="F688" s="78" t="n"/>
      <c r="M688" s="78" t="n"/>
    </row>
    <row r="689">
      <c r="F689" s="78" t="n"/>
      <c r="M689" s="78" t="n"/>
    </row>
    <row r="690">
      <c r="F690" s="78" t="n"/>
      <c r="M690" s="78" t="n"/>
    </row>
    <row r="691">
      <c r="F691" s="78" t="n"/>
      <c r="M691" s="78" t="n"/>
    </row>
    <row r="692">
      <c r="F692" s="78" t="n"/>
      <c r="M692" s="78" t="n"/>
    </row>
    <row r="693">
      <c r="F693" s="78" t="n"/>
      <c r="M693" s="78" t="n"/>
    </row>
    <row r="694">
      <c r="F694" s="78" t="n"/>
      <c r="M694" s="78" t="n"/>
    </row>
    <row r="695">
      <c r="F695" s="78" t="n"/>
      <c r="M695" s="78" t="n"/>
    </row>
    <row r="696">
      <c r="F696" s="78" t="n"/>
      <c r="M696" s="78" t="n"/>
    </row>
    <row r="697">
      <c r="F697" s="78" t="n"/>
      <c r="M697" s="78" t="n"/>
    </row>
    <row r="698">
      <c r="F698" s="78" t="n"/>
      <c r="M698" s="78" t="n"/>
    </row>
    <row r="699">
      <c r="F699" s="78" t="n"/>
      <c r="M699" s="78" t="n"/>
    </row>
    <row r="700">
      <c r="F700" s="78" t="n"/>
      <c r="M700" s="78" t="n"/>
    </row>
    <row r="701">
      <c r="F701" s="78" t="n"/>
      <c r="M701" s="78" t="n"/>
    </row>
    <row r="702">
      <c r="F702" s="78" t="n"/>
      <c r="M702" s="78" t="n"/>
    </row>
    <row r="703">
      <c r="F703" s="78" t="n"/>
      <c r="M703" s="78" t="n"/>
    </row>
    <row r="704">
      <c r="F704" s="78" t="n"/>
      <c r="M704" s="78" t="n"/>
    </row>
    <row r="705">
      <c r="F705" s="78" t="n"/>
      <c r="M705" s="78" t="n"/>
    </row>
    <row r="706">
      <c r="F706" s="78" t="n"/>
      <c r="M706" s="78" t="n"/>
    </row>
    <row r="707">
      <c r="F707" s="78" t="n"/>
      <c r="M707" s="78" t="n"/>
    </row>
    <row r="708">
      <c r="F708" s="78" t="n"/>
      <c r="M708" s="78" t="n"/>
    </row>
    <row r="709">
      <c r="F709" s="78" t="n"/>
      <c r="M709" s="78" t="n"/>
    </row>
    <row r="710">
      <c r="F710" s="78" t="n"/>
      <c r="M710" s="78" t="n"/>
    </row>
    <row r="711">
      <c r="F711" s="78" t="n"/>
      <c r="M711" s="78" t="n"/>
    </row>
    <row r="712">
      <c r="F712" s="78" t="n"/>
      <c r="M712" s="78" t="n"/>
    </row>
    <row r="713">
      <c r="F713" s="78" t="n"/>
      <c r="M713" s="78" t="n"/>
    </row>
    <row r="714">
      <c r="F714" s="78" t="n"/>
      <c r="M714" s="78" t="n"/>
    </row>
    <row r="715">
      <c r="F715" s="78" t="n"/>
      <c r="M715" s="78" t="n"/>
    </row>
    <row r="716">
      <c r="F716" s="78" t="n"/>
      <c r="M716" s="78" t="n"/>
    </row>
    <row r="717">
      <c r="F717" s="78" t="n"/>
      <c r="M717" s="78" t="n"/>
    </row>
    <row r="718">
      <c r="F718" s="78" t="n"/>
      <c r="M718" s="78" t="n"/>
    </row>
    <row r="719">
      <c r="F719" s="78" t="n"/>
      <c r="M719" s="78" t="n"/>
    </row>
    <row r="720">
      <c r="F720" s="78" t="n"/>
      <c r="M720" s="78" t="n"/>
    </row>
    <row r="721">
      <c r="F721" s="78" t="n"/>
      <c r="M721" s="78" t="n"/>
    </row>
    <row r="722">
      <c r="F722" s="78" t="n"/>
      <c r="M722" s="78" t="n"/>
    </row>
    <row r="723">
      <c r="F723" s="78" t="n"/>
      <c r="M723" s="78" t="n"/>
    </row>
  </sheetData>
  <mergeCells count="1">
    <mergeCell ref="R1:V1"/>
  </mergeCells>
  <dataValidations count="2">
    <dataValidation sqref="F2:F613 M2:M613" showDropDown="1" showInputMessage="0" showErrorMessage="0" allowBlank="1" type="custom">
      <formula1>AND(ISNUMBER(F2),(NOT(OR(NOT(ISERROR(DATEVALUE(F2))), AND(ISNUMBER(F2), LEFT(CELL("format", F2))="D")))))</formula1>
    </dataValidation>
    <dataValidation sqref="E2:E613" showDropDown="1" showInputMessage="0" showErrorMessage="0" allowBlank="1"/>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AS1022"/>
  <sheetViews>
    <sheetView workbookViewId="0">
      <pane ySplit="1" topLeftCell="A2" activePane="bottomLeft" state="frozen"/>
      <selection pane="bottomLeft" activeCell="B3" sqref="B3"/>
    </sheetView>
  </sheetViews>
  <sheetFormatPr baseColWidth="8" defaultColWidth="12.63" defaultRowHeight="15.75" customHeight="1"/>
  <cols>
    <col width="10.88" customWidth="1" style="763" min="1" max="1"/>
    <col width="9.630000000000001" customWidth="1" style="763" min="2" max="2"/>
    <col width="8.380000000000001" customWidth="1" style="763" min="3" max="3"/>
    <col width="9.630000000000001" customWidth="1" style="763" min="4" max="4"/>
    <col width="9.25" customWidth="1" style="763" min="5" max="5"/>
    <col width="7.63" customWidth="1" style="763" min="6" max="7"/>
    <col width="11" customWidth="1" style="763" min="8" max="8"/>
    <col width="10.25" customWidth="1" style="763" min="9" max="9"/>
    <col width="11.25" customWidth="1" style="763" min="10" max="10"/>
    <col width="11" customWidth="1" style="763" min="11" max="11"/>
    <col width="8.5" customWidth="1" style="763" min="12" max="12"/>
    <col width="11.5" customWidth="1" style="763" min="13" max="13"/>
    <col width="10.25" customWidth="1" style="763" min="14" max="14"/>
    <col width="11.5" customWidth="1" style="763" min="15" max="16"/>
    <col width="8.5" customWidth="1" style="763" min="17" max="19"/>
  </cols>
  <sheetData>
    <row r="1">
      <c r="A1" s="79" t="inlineStr">
        <is>
          <t>Gender</t>
        </is>
      </c>
      <c r="B1" s="80" t="inlineStr">
        <is>
          <t>Event</t>
        </is>
      </c>
      <c r="C1" s="80" t="inlineStr">
        <is>
          <t>Age</t>
        </is>
      </c>
      <c r="D1" s="80" t="inlineStr">
        <is>
          <t>Track</t>
        </is>
      </c>
      <c r="E1" s="81" t="inlineStr">
        <is>
          <t>Time</t>
        </is>
      </c>
      <c r="F1" s="89" t="n"/>
      <c r="G1" s="89" t="n"/>
      <c r="H1" s="83" t="inlineStr">
        <is>
          <t>Gender</t>
        </is>
      </c>
      <c r="I1" s="84" t="inlineStr">
        <is>
          <t>Event</t>
        </is>
      </c>
      <c r="J1" s="84" t="inlineStr">
        <is>
          <t>Canada T1 End</t>
        </is>
      </c>
      <c r="K1" s="85" t="inlineStr">
        <is>
          <t>Canada T3 End</t>
        </is>
      </c>
      <c r="L1" s="89" t="n"/>
      <c r="M1" s="83" t="inlineStr">
        <is>
          <t>Gender</t>
        </is>
      </c>
      <c r="N1" s="84" t="inlineStr">
        <is>
          <t>Event</t>
        </is>
      </c>
      <c r="O1" s="84" t="inlineStr">
        <is>
          <t>Canada T1 End</t>
        </is>
      </c>
      <c r="P1" s="85" t="inlineStr">
        <is>
          <t>Canada T3 End</t>
        </is>
      </c>
      <c r="Q1" s="89" t="n"/>
      <c r="R1" s="86" t="inlineStr">
        <is>
          <t>Gender</t>
        </is>
      </c>
      <c r="S1" s="87" t="inlineStr">
        <is>
          <t>Event</t>
        </is>
      </c>
      <c r="T1" s="269" t="inlineStr">
        <is>
          <t>Medal Age</t>
        </is>
      </c>
      <c r="U1" s="89" t="n"/>
      <c r="V1" s="86" t="inlineStr">
        <is>
          <t>Gender</t>
        </is>
      </c>
      <c r="W1" s="87" t="inlineStr">
        <is>
          <t>Event</t>
        </is>
      </c>
      <c r="X1" s="90" t="inlineStr">
        <is>
          <t>World Top 10 Age Avg</t>
        </is>
      </c>
      <c r="Y1" s="89" t="n"/>
      <c r="Z1" s="89" t="n"/>
      <c r="AA1" s="89" t="n"/>
      <c r="AB1" s="89" t="n"/>
      <c r="AC1" s="89" t="n"/>
      <c r="AD1" s="89" t="n"/>
      <c r="AE1" s="89" t="n"/>
      <c r="AF1" s="89" t="n"/>
      <c r="AG1" s="89" t="n"/>
      <c r="AH1" s="89" t="n"/>
      <c r="AI1" s="89" t="n"/>
      <c r="AJ1" s="89" t="n"/>
      <c r="AK1" s="89" t="n"/>
      <c r="AL1" s="89" t="n"/>
      <c r="AM1" s="89" t="n"/>
      <c r="AN1" s="89" t="n"/>
      <c r="AO1" s="89" t="n"/>
      <c r="AP1" s="89" t="n"/>
      <c r="AQ1" s="89" t="n"/>
      <c r="AR1" s="89" t="n"/>
      <c r="AS1" s="89" t="n"/>
    </row>
    <row r="2">
      <c r="A2" s="420" t="inlineStr">
        <is>
          <t>F</t>
        </is>
      </c>
      <c r="B2" s="593" t="inlineStr">
        <is>
          <t>50 Free</t>
        </is>
      </c>
      <c r="C2" s="593" t="n">
        <v>16</v>
      </c>
      <c r="D2" s="593" t="n">
        <v>1</v>
      </c>
      <c r="E2" s="426" t="n">
        <v>25.66</v>
      </c>
      <c r="F2" s="692" t="n"/>
      <c r="G2" s="692" t="n"/>
      <c r="H2" s="420" t="inlineStr">
        <is>
          <t>F</t>
        </is>
      </c>
      <c r="I2" s="590" t="inlineStr">
        <is>
          <t>100 Back</t>
        </is>
      </c>
      <c r="J2" s="590" t="n">
        <v>17</v>
      </c>
      <c r="K2" s="512" t="n">
        <v>21</v>
      </c>
      <c r="L2" s="89" t="n"/>
      <c r="M2" s="692" t="inlineStr">
        <is>
          <t>M</t>
        </is>
      </c>
      <c r="N2" s="689" t="inlineStr">
        <is>
          <t>100 Free</t>
        </is>
      </c>
      <c r="O2" s="689" t="n">
        <v>19</v>
      </c>
      <c r="P2" s="689" t="n">
        <v>23</v>
      </c>
      <c r="Q2" s="692" t="n"/>
      <c r="R2" s="98" t="inlineStr">
        <is>
          <t>F</t>
        </is>
      </c>
      <c r="S2" s="590" t="inlineStr">
        <is>
          <t>800 Free</t>
        </is>
      </c>
      <c r="T2" s="102" t="n">
        <v>18</v>
      </c>
      <c r="U2" s="692" t="n"/>
      <c r="V2" s="98" t="inlineStr">
        <is>
          <t>M</t>
        </is>
      </c>
      <c r="W2" s="590" t="inlineStr">
        <is>
          <t>50 Free</t>
        </is>
      </c>
      <c r="X2" s="102" t="n">
        <v>26.15</v>
      </c>
      <c r="Y2" s="692" t="n"/>
      <c r="Z2" s="692" t="n"/>
      <c r="AA2" s="692" t="n"/>
      <c r="AB2" s="692" t="n"/>
      <c r="AC2" s="692" t="n"/>
      <c r="AD2" s="692" t="n"/>
      <c r="AE2" s="692" t="n"/>
      <c r="AF2" s="692" t="n"/>
      <c r="AG2" s="692" t="n"/>
      <c r="AH2" s="692" t="n"/>
      <c r="AI2" s="692" t="n"/>
      <c r="AJ2" s="692" t="n"/>
      <c r="AK2" s="692" t="n"/>
      <c r="AL2" s="692" t="n"/>
      <c r="AM2" s="692" t="n"/>
      <c r="AN2" s="692" t="n"/>
      <c r="AO2" s="692" t="n"/>
      <c r="AP2" s="692" t="n"/>
      <c r="AQ2" s="692" t="n"/>
      <c r="AR2" s="692" t="n"/>
      <c r="AS2" s="692" t="n"/>
    </row>
    <row r="3">
      <c r="A3" s="427" t="inlineStr">
        <is>
          <t>F</t>
        </is>
      </c>
      <c r="B3" s="616" t="inlineStr">
        <is>
          <t>50 Free</t>
        </is>
      </c>
      <c r="C3" s="616" t="n">
        <v>17</v>
      </c>
      <c r="D3" s="616" t="n">
        <v>1</v>
      </c>
      <c r="E3" s="105" t="n">
        <v>25.4</v>
      </c>
      <c r="F3" s="692" t="n"/>
      <c r="G3" s="692" t="n"/>
      <c r="H3" s="427" t="inlineStr">
        <is>
          <t>F</t>
        </is>
      </c>
      <c r="I3" s="613" t="inlineStr">
        <is>
          <t>200 Back</t>
        </is>
      </c>
      <c r="J3" s="613" t="n">
        <v>17</v>
      </c>
      <c r="K3" s="513" t="n">
        <v>21</v>
      </c>
      <c r="L3" s="692" t="n"/>
      <c r="M3" s="692" t="inlineStr">
        <is>
          <t>M</t>
        </is>
      </c>
      <c r="N3" s="689" t="inlineStr">
        <is>
          <t>1500 Free</t>
        </is>
      </c>
      <c r="O3" s="689" t="n">
        <v>19</v>
      </c>
      <c r="P3" s="689" t="n">
        <v>23</v>
      </c>
      <c r="Q3" s="692" t="n"/>
      <c r="R3" s="108" t="inlineStr">
        <is>
          <t>F</t>
        </is>
      </c>
      <c r="S3" s="613" t="inlineStr">
        <is>
          <t>400 IM</t>
        </is>
      </c>
      <c r="T3" s="111" t="n">
        <v>18.44</v>
      </c>
      <c r="U3" s="692" t="n"/>
      <c r="V3" s="108" t="inlineStr">
        <is>
          <t>F</t>
        </is>
      </c>
      <c r="W3" s="613" t="inlineStr">
        <is>
          <t>50 Free</t>
        </is>
      </c>
      <c r="X3" s="111" t="n">
        <v>24.05</v>
      </c>
      <c r="Y3" s="692" t="n"/>
      <c r="Z3" s="692" t="n"/>
      <c r="AA3" s="692" t="n"/>
      <c r="AB3" s="692" t="n"/>
      <c r="AC3" s="692" t="n"/>
      <c r="AD3" s="692" t="n"/>
      <c r="AE3" s="692" t="n"/>
      <c r="AF3" s="692" t="n"/>
      <c r="AG3" s="692" t="n"/>
      <c r="AH3" s="692" t="n"/>
      <c r="AI3" s="692" t="n"/>
      <c r="AJ3" s="692" t="n"/>
      <c r="AK3" s="692" t="n"/>
      <c r="AL3" s="692" t="n"/>
      <c r="AM3" s="692" t="n"/>
      <c r="AN3" s="692" t="n"/>
      <c r="AO3" s="692" t="n"/>
      <c r="AP3" s="692" t="n"/>
      <c r="AQ3" s="692" t="n"/>
      <c r="AR3" s="692" t="n"/>
      <c r="AS3" s="692" t="n"/>
    </row>
    <row r="4">
      <c r="A4" s="420" t="inlineStr">
        <is>
          <t>F</t>
        </is>
      </c>
      <c r="B4" s="593" t="inlineStr">
        <is>
          <t>50 Free</t>
        </is>
      </c>
      <c r="C4" s="593" t="n">
        <v>18</v>
      </c>
      <c r="D4" s="593" t="n">
        <v>1</v>
      </c>
      <c r="E4" s="128" t="inlineStr">
        <is>
          <t>25.20</t>
        </is>
      </c>
      <c r="F4" s="692" t="n"/>
      <c r="G4" s="692" t="n"/>
      <c r="H4" s="420" t="inlineStr">
        <is>
          <t>F</t>
        </is>
      </c>
      <c r="I4" s="590" t="inlineStr">
        <is>
          <t>400 IM</t>
        </is>
      </c>
      <c r="J4" s="590" t="n">
        <v>17</v>
      </c>
      <c r="K4" s="512" t="n">
        <v>21</v>
      </c>
      <c r="L4" s="692" t="n"/>
      <c r="M4" s="692" t="inlineStr">
        <is>
          <t>M</t>
        </is>
      </c>
      <c r="N4" s="689" t="inlineStr">
        <is>
          <t>200 Back</t>
        </is>
      </c>
      <c r="O4" s="689" t="n">
        <v>19</v>
      </c>
      <c r="P4" s="689" t="n">
        <v>23</v>
      </c>
      <c r="Q4" s="692" t="n"/>
      <c r="R4" s="98" t="inlineStr">
        <is>
          <t>F</t>
        </is>
      </c>
      <c r="S4" s="590" t="inlineStr">
        <is>
          <t>50 Back</t>
        </is>
      </c>
      <c r="T4" s="102" t="n">
        <v>20.33</v>
      </c>
      <c r="U4" s="692" t="n"/>
      <c r="V4" s="98" t="inlineStr">
        <is>
          <t>M</t>
        </is>
      </c>
      <c r="W4" s="590" t="inlineStr">
        <is>
          <t>100 Free</t>
        </is>
      </c>
      <c r="X4" s="102" t="n">
        <v>22.65</v>
      </c>
      <c r="Y4" s="692" t="n"/>
      <c r="Z4" s="692" t="n"/>
      <c r="AA4" s="692" t="n"/>
      <c r="AB4" s="692" t="n"/>
      <c r="AC4" s="692" t="n"/>
      <c r="AD4" s="692" t="n"/>
      <c r="AE4" s="692" t="n"/>
      <c r="AF4" s="692" t="n"/>
      <c r="AG4" s="692" t="n"/>
      <c r="AH4" s="692" t="n"/>
      <c r="AI4" s="692" t="n"/>
      <c r="AJ4" s="692" t="n"/>
      <c r="AK4" s="692" t="n"/>
      <c r="AL4" s="692" t="n"/>
      <c r="AM4" s="692" t="n"/>
      <c r="AN4" s="692" t="n"/>
      <c r="AO4" s="692" t="n"/>
      <c r="AP4" s="692" t="n"/>
      <c r="AQ4" s="692" t="n"/>
      <c r="AR4" s="692" t="n"/>
      <c r="AS4" s="692" t="n"/>
    </row>
    <row r="5">
      <c r="A5" s="427" t="inlineStr">
        <is>
          <t>F</t>
        </is>
      </c>
      <c r="B5" s="616" t="inlineStr">
        <is>
          <t>50 Free</t>
        </is>
      </c>
      <c r="C5" s="616" t="n">
        <v>19</v>
      </c>
      <c r="D5" s="616" t="n">
        <v>1</v>
      </c>
      <c r="E5" s="113" t="inlineStr">
        <is>
          <t>25.02</t>
        </is>
      </c>
      <c r="F5" s="692" t="n"/>
      <c r="G5" s="692" t="n"/>
      <c r="H5" s="427" t="inlineStr">
        <is>
          <t>F</t>
        </is>
      </c>
      <c r="I5" s="613" t="inlineStr">
        <is>
          <t>1500 Free</t>
        </is>
      </c>
      <c r="J5" s="613" t="n">
        <v>18</v>
      </c>
      <c r="K5" s="513" t="n">
        <v>22</v>
      </c>
      <c r="L5" s="692" t="n"/>
      <c r="M5" s="692" t="inlineStr">
        <is>
          <t>M</t>
        </is>
      </c>
      <c r="N5" s="689" t="inlineStr">
        <is>
          <t>200 Breast</t>
        </is>
      </c>
      <c r="O5" s="689" t="n">
        <v>19</v>
      </c>
      <c r="P5" s="689" t="n">
        <v>23</v>
      </c>
      <c r="Q5" s="692" t="n"/>
      <c r="R5" s="108" t="inlineStr">
        <is>
          <t>F</t>
        </is>
      </c>
      <c r="S5" s="613" t="inlineStr">
        <is>
          <t>200 IM</t>
        </is>
      </c>
      <c r="T5" s="111" t="n">
        <v>20.56</v>
      </c>
      <c r="U5" s="692" t="n"/>
      <c r="V5" s="108" t="inlineStr">
        <is>
          <t>F</t>
        </is>
      </c>
      <c r="W5" s="613" t="inlineStr">
        <is>
          <t>100 Free</t>
        </is>
      </c>
      <c r="X5" s="111" t="n">
        <v>23.85</v>
      </c>
      <c r="Y5" s="692" t="n"/>
      <c r="Z5" s="692" t="n"/>
      <c r="AA5" s="692" t="n"/>
      <c r="AB5" s="692" t="n"/>
      <c r="AC5" s="692" t="n"/>
      <c r="AD5" s="692" t="n"/>
      <c r="AE5" s="692" t="n"/>
      <c r="AF5" s="692" t="n"/>
      <c r="AG5" s="692" t="n"/>
      <c r="AH5" s="692" t="n"/>
      <c r="AI5" s="692" t="n"/>
      <c r="AJ5" s="692" t="n"/>
      <c r="AK5" s="692" t="n"/>
      <c r="AL5" s="692" t="n"/>
      <c r="AM5" s="692" t="n"/>
      <c r="AN5" s="692" t="n"/>
      <c r="AO5" s="692" t="n"/>
      <c r="AP5" s="692" t="n"/>
      <c r="AQ5" s="692" t="n"/>
      <c r="AR5" s="692" t="n"/>
      <c r="AS5" s="692" t="n"/>
    </row>
    <row r="6">
      <c r="A6" s="420" t="inlineStr">
        <is>
          <t>F</t>
        </is>
      </c>
      <c r="B6" s="593" t="inlineStr">
        <is>
          <t>50 Free</t>
        </is>
      </c>
      <c r="C6" s="593" t="n">
        <v>20</v>
      </c>
      <c r="D6" s="593" t="n">
        <v>1</v>
      </c>
      <c r="E6" s="128" t="inlineStr">
        <is>
          <t>24.86</t>
        </is>
      </c>
      <c r="F6" s="692" t="n"/>
      <c r="G6" s="692" t="n"/>
      <c r="H6" s="420" t="inlineStr">
        <is>
          <t>F</t>
        </is>
      </c>
      <c r="I6" s="590" t="inlineStr">
        <is>
          <t>200 Fly</t>
        </is>
      </c>
      <c r="J6" s="590" t="n">
        <v>18</v>
      </c>
      <c r="K6" s="512" t="n">
        <v>22</v>
      </c>
      <c r="L6" s="692" t="n"/>
      <c r="M6" s="692" t="inlineStr">
        <is>
          <t>M</t>
        </is>
      </c>
      <c r="N6" s="689" t="inlineStr">
        <is>
          <t>200 Fly</t>
        </is>
      </c>
      <c r="O6" s="689" t="n">
        <v>19</v>
      </c>
      <c r="P6" s="689" t="n">
        <v>23</v>
      </c>
      <c r="Q6" s="692" t="n"/>
      <c r="R6" s="98" t="inlineStr">
        <is>
          <t>F</t>
        </is>
      </c>
      <c r="S6" s="590" t="inlineStr">
        <is>
          <t>400 Free</t>
        </is>
      </c>
      <c r="T6" s="102" t="n">
        <v>21.11</v>
      </c>
      <c r="U6" s="692" t="n"/>
      <c r="V6" s="98" t="inlineStr">
        <is>
          <t>M</t>
        </is>
      </c>
      <c r="W6" s="590" t="inlineStr">
        <is>
          <t>200 Free</t>
        </is>
      </c>
      <c r="X6" s="102" t="n">
        <v>22.45</v>
      </c>
      <c r="Y6" s="692" t="n"/>
      <c r="Z6" s="692" t="n"/>
      <c r="AA6" s="692" t="n"/>
      <c r="AB6" s="692" t="n"/>
      <c r="AC6" s="692" t="n"/>
      <c r="AD6" s="692" t="n"/>
      <c r="AE6" s="692" t="n"/>
      <c r="AF6" s="692" t="n"/>
      <c r="AG6" s="692" t="n"/>
      <c r="AH6" s="692" t="n"/>
      <c r="AI6" s="692" t="n"/>
      <c r="AJ6" s="692" t="n"/>
      <c r="AK6" s="692" t="n"/>
      <c r="AL6" s="692" t="n"/>
      <c r="AM6" s="692" t="n"/>
      <c r="AN6" s="692" t="n"/>
      <c r="AO6" s="692" t="n"/>
      <c r="AP6" s="692" t="n"/>
      <c r="AQ6" s="692" t="n"/>
      <c r="AR6" s="692" t="n"/>
      <c r="AS6" s="692" t="n"/>
    </row>
    <row r="7">
      <c r="A7" s="427" t="inlineStr">
        <is>
          <t>F</t>
        </is>
      </c>
      <c r="B7" s="616" t="inlineStr">
        <is>
          <t>100 Free</t>
        </is>
      </c>
      <c r="C7" s="616" t="n">
        <v>15</v>
      </c>
      <c r="D7" s="616" t="n">
        <v>1</v>
      </c>
      <c r="E7" s="433" t="n">
        <v>56.85</v>
      </c>
      <c r="F7" s="692" t="n"/>
      <c r="G7" s="692" t="n"/>
      <c r="H7" s="427" t="inlineStr">
        <is>
          <t>F</t>
        </is>
      </c>
      <c r="I7" s="613" t="inlineStr">
        <is>
          <t>200 Free</t>
        </is>
      </c>
      <c r="J7" s="613" t="n">
        <v>18</v>
      </c>
      <c r="K7" s="513" t="n">
        <v>22</v>
      </c>
      <c r="L7" s="692" t="n"/>
      <c r="M7" s="692" t="inlineStr">
        <is>
          <t>M</t>
        </is>
      </c>
      <c r="N7" s="689" t="inlineStr">
        <is>
          <t>200 Free</t>
        </is>
      </c>
      <c r="O7" s="689" t="n">
        <v>19</v>
      </c>
      <c r="P7" s="689" t="n">
        <v>23</v>
      </c>
      <c r="Q7" s="692" t="n"/>
      <c r="R7" s="108" t="inlineStr">
        <is>
          <t>F</t>
        </is>
      </c>
      <c r="S7" s="613" t="inlineStr">
        <is>
          <t>100 Breast</t>
        </is>
      </c>
      <c r="T7" s="111" t="n">
        <v>21.33</v>
      </c>
      <c r="U7" s="692" t="n"/>
      <c r="V7" s="108" t="inlineStr">
        <is>
          <t>F</t>
        </is>
      </c>
      <c r="W7" s="613" t="inlineStr">
        <is>
          <t>200 Free</t>
        </is>
      </c>
      <c r="X7" s="111" t="n">
        <v>23.15</v>
      </c>
      <c r="Y7" s="692" t="n"/>
      <c r="Z7" s="692" t="n"/>
      <c r="AA7" s="692" t="n"/>
      <c r="AB7" s="692" t="n"/>
      <c r="AC7" s="692" t="n"/>
      <c r="AD7" s="692" t="n"/>
      <c r="AE7" s="692" t="n"/>
      <c r="AF7" s="692" t="n"/>
      <c r="AG7" s="692" t="n"/>
      <c r="AH7" s="692" t="n"/>
      <c r="AI7" s="692" t="n"/>
      <c r="AJ7" s="692" t="n"/>
      <c r="AK7" s="692" t="n"/>
      <c r="AL7" s="692" t="n"/>
      <c r="AM7" s="692" t="n"/>
      <c r="AN7" s="692" t="n"/>
      <c r="AO7" s="692" t="n"/>
      <c r="AP7" s="692" t="n"/>
      <c r="AQ7" s="692" t="n"/>
      <c r="AR7" s="692" t="n"/>
      <c r="AS7" s="692" t="n"/>
    </row>
    <row r="8">
      <c r="A8" s="420" t="inlineStr">
        <is>
          <t>F</t>
        </is>
      </c>
      <c r="B8" s="593" t="inlineStr">
        <is>
          <t>100 Free</t>
        </is>
      </c>
      <c r="C8" s="593" t="n">
        <v>16</v>
      </c>
      <c r="D8" s="593" t="n">
        <v>1</v>
      </c>
      <c r="E8" s="426" t="n">
        <v>55.76</v>
      </c>
      <c r="F8" s="692" t="n"/>
      <c r="G8" s="692" t="n"/>
      <c r="H8" s="420" t="inlineStr">
        <is>
          <t>F</t>
        </is>
      </c>
      <c r="I8" s="590" t="inlineStr">
        <is>
          <t>400 Free</t>
        </is>
      </c>
      <c r="J8" s="590" t="n">
        <v>18</v>
      </c>
      <c r="K8" s="512" t="n">
        <v>22</v>
      </c>
      <c r="L8" s="692" t="n"/>
      <c r="M8" s="692" t="inlineStr">
        <is>
          <t>M</t>
        </is>
      </c>
      <c r="N8" s="689" t="inlineStr">
        <is>
          <t>400 Free</t>
        </is>
      </c>
      <c r="O8" s="689" t="n">
        <v>19</v>
      </c>
      <c r="P8" s="689" t="n">
        <v>23</v>
      </c>
      <c r="Q8" s="692" t="n"/>
      <c r="R8" s="98" t="inlineStr">
        <is>
          <t>F</t>
        </is>
      </c>
      <c r="S8" s="590" t="inlineStr">
        <is>
          <t>100 Back</t>
        </is>
      </c>
      <c r="T8" s="102" t="n">
        <v>21.67</v>
      </c>
      <c r="U8" s="692" t="n"/>
      <c r="V8" s="98" t="inlineStr">
        <is>
          <t>M</t>
        </is>
      </c>
      <c r="W8" s="590" t="inlineStr">
        <is>
          <t>400 Free</t>
        </is>
      </c>
      <c r="X8" s="102" t="n">
        <v>23.05</v>
      </c>
      <c r="Y8" s="692" t="n"/>
      <c r="Z8" s="692" t="n"/>
      <c r="AA8" s="692" t="n"/>
      <c r="AB8" s="692" t="n"/>
      <c r="AC8" s="692" t="n"/>
      <c r="AD8" s="692" t="n"/>
      <c r="AE8" s="692" t="n"/>
      <c r="AF8" s="692" t="n"/>
      <c r="AG8" s="692" t="n"/>
      <c r="AH8" s="692" t="n"/>
      <c r="AI8" s="692" t="n"/>
      <c r="AJ8" s="692" t="n"/>
      <c r="AK8" s="692" t="n"/>
      <c r="AL8" s="692" t="n"/>
      <c r="AM8" s="692" t="n"/>
      <c r="AN8" s="692" t="n"/>
      <c r="AO8" s="692" t="n"/>
      <c r="AP8" s="692" t="n"/>
      <c r="AQ8" s="692" t="n"/>
      <c r="AR8" s="692" t="n"/>
      <c r="AS8" s="692" t="n"/>
    </row>
    <row r="9">
      <c r="A9" s="427" t="inlineStr">
        <is>
          <t>F</t>
        </is>
      </c>
      <c r="B9" s="616" t="inlineStr">
        <is>
          <t>100 Free</t>
        </is>
      </c>
      <c r="C9" s="616" t="n">
        <v>17</v>
      </c>
      <c r="D9" s="616" t="n">
        <v>1</v>
      </c>
      <c r="E9" s="433" t="inlineStr">
        <is>
          <t>55.07</t>
        </is>
      </c>
      <c r="F9" s="692" t="n"/>
      <c r="G9" s="692" t="n"/>
      <c r="H9" s="427" t="inlineStr">
        <is>
          <t>F</t>
        </is>
      </c>
      <c r="I9" s="613" t="inlineStr">
        <is>
          <t>800 Free</t>
        </is>
      </c>
      <c r="J9" s="613" t="n">
        <v>18</v>
      </c>
      <c r="K9" s="513" t="n">
        <v>22</v>
      </c>
      <c r="L9" s="692" t="n"/>
      <c r="M9" s="692" t="inlineStr">
        <is>
          <t>M</t>
        </is>
      </c>
      <c r="N9" s="689" t="inlineStr">
        <is>
          <t>400 IM</t>
        </is>
      </c>
      <c r="O9" s="689" t="n">
        <v>19</v>
      </c>
      <c r="P9" s="689" t="n">
        <v>23</v>
      </c>
      <c r="Q9" s="692" t="n"/>
      <c r="R9" s="108" t="inlineStr">
        <is>
          <t>F</t>
        </is>
      </c>
      <c r="S9" s="613" t="inlineStr">
        <is>
          <t>200 Free</t>
        </is>
      </c>
      <c r="T9" s="111" t="n">
        <v>21.78</v>
      </c>
      <c r="U9" s="692" t="n"/>
      <c r="V9" s="108" t="inlineStr">
        <is>
          <t>F</t>
        </is>
      </c>
      <c r="W9" s="613" t="inlineStr">
        <is>
          <t>400 Free</t>
        </is>
      </c>
      <c r="X9" s="111" t="n">
        <v>22.35</v>
      </c>
      <c r="Y9" s="692" t="n"/>
      <c r="Z9" s="692" t="n"/>
      <c r="AA9" s="692" t="n"/>
      <c r="AB9" s="692" t="n"/>
      <c r="AC9" s="692" t="n"/>
      <c r="AD9" s="692" t="n"/>
      <c r="AE9" s="692" t="n"/>
      <c r="AF9" s="692" t="n"/>
      <c r="AG9" s="692" t="n"/>
      <c r="AH9" s="692" t="n"/>
      <c r="AI9" s="692" t="n"/>
      <c r="AJ9" s="692" t="n"/>
      <c r="AK9" s="692" t="n"/>
      <c r="AL9" s="692" t="n"/>
      <c r="AM9" s="692" t="n"/>
      <c r="AN9" s="692" t="n"/>
      <c r="AO9" s="692" t="n"/>
      <c r="AP9" s="692" t="n"/>
      <c r="AQ9" s="692" t="n"/>
      <c r="AR9" s="692" t="n"/>
      <c r="AS9" s="692" t="n"/>
    </row>
    <row r="10">
      <c r="A10" s="420" t="inlineStr">
        <is>
          <t>F</t>
        </is>
      </c>
      <c r="B10" s="593" t="inlineStr">
        <is>
          <t>100 Free</t>
        </is>
      </c>
      <c r="C10" s="593" t="n">
        <v>18</v>
      </c>
      <c r="D10" s="593" t="n">
        <v>1</v>
      </c>
      <c r="E10" s="116" t="inlineStr">
        <is>
          <t>54.62</t>
        </is>
      </c>
      <c r="F10" s="692" t="n"/>
      <c r="G10" s="692" t="n"/>
      <c r="H10" s="420" t="inlineStr">
        <is>
          <t>F</t>
        </is>
      </c>
      <c r="I10" s="590" t="inlineStr">
        <is>
          <t>100 Breast</t>
        </is>
      </c>
      <c r="J10" s="590" t="n">
        <v>19</v>
      </c>
      <c r="K10" s="512" t="n">
        <v>23</v>
      </c>
      <c r="L10" s="692" t="n"/>
      <c r="M10" s="692" t="inlineStr">
        <is>
          <t>M</t>
        </is>
      </c>
      <c r="N10" s="689" t="inlineStr">
        <is>
          <t>800 Free</t>
        </is>
      </c>
      <c r="O10" s="689" t="n">
        <v>19</v>
      </c>
      <c r="P10" s="689" t="n">
        <v>23</v>
      </c>
      <c r="Q10" s="692" t="n"/>
      <c r="R10" s="98" t="inlineStr">
        <is>
          <t>F</t>
        </is>
      </c>
      <c r="S10" s="590" t="inlineStr">
        <is>
          <t>200 Breast</t>
        </is>
      </c>
      <c r="T10" s="102" t="n">
        <v>22.33</v>
      </c>
      <c r="U10" s="692" t="n"/>
      <c r="V10" s="98" t="inlineStr">
        <is>
          <t>M</t>
        </is>
      </c>
      <c r="W10" s="590" t="inlineStr">
        <is>
          <t>800 Free</t>
        </is>
      </c>
      <c r="X10" s="102" t="n">
        <v>24.35</v>
      </c>
      <c r="Y10" s="692" t="n"/>
      <c r="Z10" s="692" t="n"/>
      <c r="AA10" s="692" t="n"/>
      <c r="AB10" s="692" t="n"/>
      <c r="AC10" s="692" t="n"/>
      <c r="AD10" s="692" t="n"/>
      <c r="AE10" s="692" t="n"/>
      <c r="AF10" s="692" t="n"/>
      <c r="AG10" s="692" t="n"/>
      <c r="AH10" s="692" t="n"/>
      <c r="AI10" s="692" t="n"/>
      <c r="AJ10" s="692" t="n"/>
      <c r="AK10" s="692" t="n"/>
      <c r="AL10" s="692" t="n"/>
      <c r="AM10" s="692" t="n"/>
      <c r="AN10" s="692" t="n"/>
      <c r="AO10" s="692" t="n"/>
      <c r="AP10" s="692" t="n"/>
      <c r="AQ10" s="692" t="n"/>
      <c r="AR10" s="692" t="n"/>
      <c r="AS10" s="692" t="n"/>
    </row>
    <row r="11">
      <c r="A11" s="427" t="inlineStr">
        <is>
          <t>F</t>
        </is>
      </c>
      <c r="B11" s="616" t="inlineStr">
        <is>
          <t>100 Free</t>
        </is>
      </c>
      <c r="C11" s="616" t="n">
        <v>19</v>
      </c>
      <c r="D11" s="616" t="n">
        <v>1</v>
      </c>
      <c r="E11" s="127" t="inlineStr">
        <is>
          <t>54.25</t>
        </is>
      </c>
      <c r="F11" s="692" t="n"/>
      <c r="G11" s="692" t="n"/>
      <c r="H11" s="427" t="inlineStr">
        <is>
          <t>F</t>
        </is>
      </c>
      <c r="I11" s="613" t="inlineStr">
        <is>
          <t>100 Fly</t>
        </is>
      </c>
      <c r="J11" s="613" t="n">
        <v>19</v>
      </c>
      <c r="K11" s="513" t="n">
        <v>23</v>
      </c>
      <c r="L11" s="692" t="n"/>
      <c r="M11" s="692" t="inlineStr">
        <is>
          <t>M</t>
        </is>
      </c>
      <c r="N11" s="689" t="inlineStr">
        <is>
          <t>100 Back</t>
        </is>
      </c>
      <c r="O11" s="689" t="n">
        <v>20</v>
      </c>
      <c r="P11" s="689" t="n">
        <v>24</v>
      </c>
      <c r="Q11" s="692" t="n"/>
      <c r="R11" s="108" t="inlineStr">
        <is>
          <t>F</t>
        </is>
      </c>
      <c r="S11" s="613" t="inlineStr">
        <is>
          <t>200 Back</t>
        </is>
      </c>
      <c r="T11" s="111" t="n">
        <v>22.44</v>
      </c>
      <c r="U11" s="692" t="n"/>
      <c r="V11" s="108" t="inlineStr">
        <is>
          <t>F</t>
        </is>
      </c>
      <c r="W11" s="613" t="inlineStr">
        <is>
          <t>800 Free</t>
        </is>
      </c>
      <c r="X11" s="111" t="n">
        <v>22.75</v>
      </c>
      <c r="Y11" s="692" t="n"/>
      <c r="Z11" s="692" t="n"/>
      <c r="AA11" s="692" t="n"/>
      <c r="AB11" s="692" t="n"/>
      <c r="AC11" s="692" t="n"/>
      <c r="AD11" s="692" t="n"/>
      <c r="AE11" s="692" t="n"/>
      <c r="AF11" s="692" t="n"/>
      <c r="AG11" s="692" t="n"/>
      <c r="AH11" s="692" t="n"/>
      <c r="AI11" s="692" t="n"/>
      <c r="AJ11" s="692" t="n"/>
      <c r="AK11" s="692" t="n"/>
      <c r="AL11" s="692" t="n"/>
      <c r="AM11" s="692" t="n"/>
      <c r="AN11" s="692" t="n"/>
      <c r="AO11" s="692" t="n"/>
      <c r="AP11" s="692" t="n"/>
      <c r="AQ11" s="692" t="n"/>
      <c r="AR11" s="692" t="n"/>
      <c r="AS11" s="692" t="n"/>
    </row>
    <row r="12">
      <c r="A12" s="420" t="inlineStr">
        <is>
          <t>F</t>
        </is>
      </c>
      <c r="B12" s="593" t="inlineStr">
        <is>
          <t>200 Free</t>
        </is>
      </c>
      <c r="C12" s="593" t="n">
        <v>14</v>
      </c>
      <c r="D12" s="593" t="n">
        <v>1</v>
      </c>
      <c r="E12" s="426" t="inlineStr">
        <is>
          <t>2:06.51</t>
        </is>
      </c>
      <c r="F12" s="692" t="n"/>
      <c r="G12" s="692" t="n"/>
      <c r="H12" s="420" t="inlineStr">
        <is>
          <t>F</t>
        </is>
      </c>
      <c r="I12" s="590" t="inlineStr">
        <is>
          <t>100 Free</t>
        </is>
      </c>
      <c r="J12" s="590" t="n">
        <v>19</v>
      </c>
      <c r="K12" s="512" t="n">
        <v>23</v>
      </c>
      <c r="L12" s="692" t="n"/>
      <c r="M12" s="692" t="inlineStr">
        <is>
          <t>M</t>
        </is>
      </c>
      <c r="N12" s="689" t="inlineStr">
        <is>
          <t>100 Breast</t>
        </is>
      </c>
      <c r="O12" s="689" t="n">
        <v>20</v>
      </c>
      <c r="P12" s="689" t="n">
        <v>24</v>
      </c>
      <c r="Q12" s="692" t="n"/>
      <c r="R12" s="98" t="inlineStr">
        <is>
          <t>F</t>
        </is>
      </c>
      <c r="S12" s="590" t="inlineStr">
        <is>
          <t>200 Fly</t>
        </is>
      </c>
      <c r="T12" s="102" t="n">
        <v>23</v>
      </c>
      <c r="U12" s="692" t="n"/>
      <c r="V12" s="98" t="inlineStr">
        <is>
          <t>M</t>
        </is>
      </c>
      <c r="W12" s="590" t="inlineStr">
        <is>
          <t>1500 Free</t>
        </is>
      </c>
      <c r="X12" s="102" t="n">
        <v>24.75</v>
      </c>
      <c r="Y12" s="692" t="n"/>
      <c r="Z12" s="692" t="n"/>
      <c r="AA12" s="692" t="n"/>
      <c r="AB12" s="692" t="n"/>
      <c r="AC12" s="692" t="n"/>
      <c r="AD12" s="692" t="n"/>
      <c r="AE12" s="692" t="n"/>
      <c r="AF12" s="692" t="n"/>
      <c r="AG12" s="692" t="n"/>
      <c r="AH12" s="692" t="n"/>
      <c r="AI12" s="692" t="n"/>
      <c r="AJ12" s="692" t="n"/>
      <c r="AK12" s="692" t="n"/>
      <c r="AL12" s="692" t="n"/>
      <c r="AM12" s="692" t="n"/>
      <c r="AN12" s="692" t="n"/>
      <c r="AO12" s="692" t="n"/>
      <c r="AP12" s="692" t="n"/>
      <c r="AQ12" s="692" t="n"/>
      <c r="AR12" s="692" t="n"/>
      <c r="AS12" s="692" t="n"/>
    </row>
    <row r="13">
      <c r="A13" s="427" t="inlineStr">
        <is>
          <t>F</t>
        </is>
      </c>
      <c r="B13" s="616" t="inlineStr">
        <is>
          <t>200 Free</t>
        </is>
      </c>
      <c r="C13" s="616" t="n">
        <v>15</v>
      </c>
      <c r="D13" s="616" t="n">
        <v>1</v>
      </c>
      <c r="E13" s="433" t="inlineStr">
        <is>
          <t>2:02.98</t>
        </is>
      </c>
      <c r="F13" s="692" t="n"/>
      <c r="G13" s="692" t="n"/>
      <c r="H13" s="427" t="inlineStr">
        <is>
          <t>F</t>
        </is>
      </c>
      <c r="I13" s="613" t="inlineStr">
        <is>
          <t>200 Breast</t>
        </is>
      </c>
      <c r="J13" s="613" t="n">
        <v>19</v>
      </c>
      <c r="K13" s="513" t="n">
        <v>23</v>
      </c>
      <c r="L13" s="692" t="n"/>
      <c r="M13" s="692" t="inlineStr">
        <is>
          <t>M</t>
        </is>
      </c>
      <c r="N13" s="689" t="inlineStr">
        <is>
          <t>100 Fly</t>
        </is>
      </c>
      <c r="O13" s="689" t="n">
        <v>20</v>
      </c>
      <c r="P13" s="689" t="n">
        <v>24</v>
      </c>
      <c r="Q13" s="692" t="n"/>
      <c r="R13" s="108" t="inlineStr">
        <is>
          <t>F</t>
        </is>
      </c>
      <c r="S13" s="613" t="inlineStr">
        <is>
          <t>50 Breast</t>
        </is>
      </c>
      <c r="T13" s="111" t="n">
        <v>23</v>
      </c>
      <c r="U13" s="692" t="n"/>
      <c r="V13" s="108" t="inlineStr">
        <is>
          <t>F</t>
        </is>
      </c>
      <c r="W13" s="613" t="inlineStr">
        <is>
          <t>1500 Free</t>
        </is>
      </c>
      <c r="X13" s="111" t="n">
        <v>23.75</v>
      </c>
      <c r="Y13" s="692" t="n"/>
      <c r="Z13" s="692" t="n"/>
      <c r="AA13" s="692" t="n"/>
      <c r="AB13" s="692" t="n"/>
      <c r="AC13" s="692" t="n"/>
      <c r="AD13" s="692" t="n"/>
      <c r="AE13" s="692" t="n"/>
      <c r="AF13" s="692" t="n"/>
      <c r="AG13" s="692" t="n"/>
      <c r="AH13" s="692" t="n"/>
      <c r="AI13" s="692" t="n"/>
      <c r="AJ13" s="692" t="n"/>
      <c r="AK13" s="692" t="n"/>
      <c r="AL13" s="692" t="n"/>
      <c r="AM13" s="692" t="n"/>
      <c r="AN13" s="692" t="n"/>
      <c r="AO13" s="692" t="n"/>
      <c r="AP13" s="692" t="n"/>
      <c r="AQ13" s="692" t="n"/>
      <c r="AR13" s="692" t="n"/>
      <c r="AS13" s="692" t="n"/>
    </row>
    <row r="14">
      <c r="A14" s="420" t="inlineStr">
        <is>
          <t>F</t>
        </is>
      </c>
      <c r="B14" s="593" t="inlineStr">
        <is>
          <t>200 Free</t>
        </is>
      </c>
      <c r="C14" s="593" t="n">
        <v>16</v>
      </c>
      <c r="D14" s="593" t="n">
        <v>1</v>
      </c>
      <c r="E14" s="128" t="inlineStr">
        <is>
          <t>2:00.67</t>
        </is>
      </c>
      <c r="F14" s="692" t="n"/>
      <c r="G14" s="692" t="n"/>
      <c r="H14" s="420" t="inlineStr">
        <is>
          <t>F</t>
        </is>
      </c>
      <c r="I14" s="590" t="inlineStr">
        <is>
          <t>200 IM</t>
        </is>
      </c>
      <c r="J14" s="590" t="n">
        <v>19</v>
      </c>
      <c r="K14" s="512" t="n">
        <v>23</v>
      </c>
      <c r="L14" s="692" t="n"/>
      <c r="M14" s="692" t="inlineStr">
        <is>
          <t>M</t>
        </is>
      </c>
      <c r="N14" s="689" t="inlineStr">
        <is>
          <t>200 IM</t>
        </is>
      </c>
      <c r="O14" s="689" t="n">
        <v>20</v>
      </c>
      <c r="P14" s="689" t="n">
        <v>24</v>
      </c>
      <c r="Q14" s="692" t="n"/>
      <c r="R14" s="98" t="inlineStr">
        <is>
          <t>F</t>
        </is>
      </c>
      <c r="S14" s="590" t="inlineStr">
        <is>
          <t>100 Free</t>
        </is>
      </c>
      <c r="T14" s="102" t="n">
        <v>24.89</v>
      </c>
      <c r="U14" s="692" t="n"/>
      <c r="V14" s="98" t="inlineStr">
        <is>
          <t>M</t>
        </is>
      </c>
      <c r="W14" s="590" t="inlineStr">
        <is>
          <t>50 Fly</t>
        </is>
      </c>
      <c r="X14" s="102" t="n">
        <v>27.65</v>
      </c>
      <c r="Y14" s="692" t="n"/>
      <c r="Z14" s="692" t="n"/>
      <c r="AA14" s="692" t="n"/>
      <c r="AB14" s="692" t="n"/>
      <c r="AC14" s="692" t="n"/>
      <c r="AD14" s="692" t="n"/>
      <c r="AE14" s="692" t="n"/>
      <c r="AF14" s="692" t="n"/>
      <c r="AG14" s="692" t="n"/>
      <c r="AH14" s="692" t="n"/>
      <c r="AI14" s="692" t="n"/>
      <c r="AJ14" s="692" t="n"/>
      <c r="AK14" s="692" t="n"/>
      <c r="AL14" s="692" t="n"/>
      <c r="AM14" s="692" t="n"/>
      <c r="AN14" s="692" t="n"/>
      <c r="AO14" s="692" t="n"/>
      <c r="AP14" s="692" t="n"/>
      <c r="AQ14" s="692" t="n"/>
      <c r="AR14" s="692" t="n"/>
      <c r="AS14" s="692" t="n"/>
    </row>
    <row r="15">
      <c r="A15" s="427" t="inlineStr">
        <is>
          <t>F</t>
        </is>
      </c>
      <c r="B15" s="616" t="inlineStr">
        <is>
          <t>200 Free</t>
        </is>
      </c>
      <c r="C15" s="616" t="n">
        <v>17</v>
      </c>
      <c r="D15" s="616" t="n">
        <v>1</v>
      </c>
      <c r="E15" s="433" t="inlineStr">
        <is>
          <t>1:59.20</t>
        </is>
      </c>
      <c r="F15" s="692" t="n"/>
      <c r="G15" s="692" t="n"/>
      <c r="H15" s="427" t="inlineStr">
        <is>
          <t>F</t>
        </is>
      </c>
      <c r="I15" s="613" t="inlineStr">
        <is>
          <t>50 Back</t>
        </is>
      </c>
      <c r="J15" s="613" t="n">
        <v>19</v>
      </c>
      <c r="K15" s="513" t="n">
        <v>23</v>
      </c>
      <c r="L15" s="692" t="n"/>
      <c r="M15" s="692" t="inlineStr">
        <is>
          <t>M</t>
        </is>
      </c>
      <c r="N15" s="689" t="inlineStr">
        <is>
          <t>50 Back</t>
        </is>
      </c>
      <c r="O15" s="689" t="n">
        <v>20</v>
      </c>
      <c r="P15" s="689" t="n">
        <v>24</v>
      </c>
      <c r="Q15" s="692" t="n"/>
      <c r="R15" s="108" t="inlineStr">
        <is>
          <t>F</t>
        </is>
      </c>
      <c r="S15" s="613" t="inlineStr">
        <is>
          <t>50 Fly</t>
        </is>
      </c>
      <c r="T15" s="111" t="n">
        <v>27.89</v>
      </c>
      <c r="U15" s="692" t="n"/>
      <c r="V15" s="108" t="inlineStr">
        <is>
          <t>F</t>
        </is>
      </c>
      <c r="W15" s="613" t="inlineStr">
        <is>
          <t>50 Fly</t>
        </is>
      </c>
      <c r="X15" s="111" t="n">
        <v>24.65</v>
      </c>
      <c r="Y15" s="692" t="n"/>
      <c r="Z15" s="692" t="n"/>
      <c r="AA15" s="692" t="n"/>
      <c r="AB15" s="692" t="n"/>
      <c r="AC15" s="692" t="n"/>
      <c r="AD15" s="692" t="n"/>
      <c r="AE15" s="692" t="n"/>
      <c r="AF15" s="692" t="n"/>
      <c r="AG15" s="692" t="n"/>
      <c r="AH15" s="692" t="n"/>
      <c r="AI15" s="692" t="n"/>
      <c r="AJ15" s="692" t="n"/>
      <c r="AK15" s="692" t="n"/>
      <c r="AL15" s="692" t="n"/>
      <c r="AM15" s="692" t="n"/>
      <c r="AN15" s="692" t="n"/>
      <c r="AO15" s="692" t="n"/>
      <c r="AP15" s="692" t="n"/>
      <c r="AQ15" s="692" t="n"/>
      <c r="AR15" s="692" t="n"/>
      <c r="AS15" s="692" t="n"/>
    </row>
    <row r="16">
      <c r="A16" s="420" t="inlineStr">
        <is>
          <t>F</t>
        </is>
      </c>
      <c r="B16" s="593" t="inlineStr">
        <is>
          <t>200 Free</t>
        </is>
      </c>
      <c r="C16" s="593" t="n">
        <v>18</v>
      </c>
      <c r="D16" s="593" t="n">
        <v>1</v>
      </c>
      <c r="E16" s="128" t="inlineStr">
        <is>
          <t>1:58.23</t>
        </is>
      </c>
      <c r="F16" s="692" t="n"/>
      <c r="G16" s="692" t="n"/>
      <c r="H16" s="420" t="inlineStr">
        <is>
          <t>F</t>
        </is>
      </c>
      <c r="I16" s="590" t="inlineStr">
        <is>
          <t>50 Breast</t>
        </is>
      </c>
      <c r="J16" s="590" t="n">
        <v>20</v>
      </c>
      <c r="K16" s="512" t="n">
        <v>24</v>
      </c>
      <c r="L16" s="692" t="n"/>
      <c r="M16" s="692" t="inlineStr">
        <is>
          <t>M</t>
        </is>
      </c>
      <c r="N16" s="689" t="inlineStr">
        <is>
          <t>50 Fly</t>
        </is>
      </c>
      <c r="O16" s="689" t="n">
        <v>21</v>
      </c>
      <c r="P16" s="689" t="n">
        <v>25</v>
      </c>
      <c r="Q16" s="692" t="n"/>
      <c r="R16" s="98" t="inlineStr">
        <is>
          <t>F</t>
        </is>
      </c>
      <c r="S16" s="590" t="inlineStr">
        <is>
          <t>50 Free</t>
        </is>
      </c>
      <c r="T16" s="102" t="n">
        <v>27.89</v>
      </c>
      <c r="U16" s="692" t="n"/>
      <c r="V16" s="98" t="inlineStr">
        <is>
          <t>M</t>
        </is>
      </c>
      <c r="W16" s="590" t="inlineStr">
        <is>
          <t>100 Fly</t>
        </is>
      </c>
      <c r="X16" s="102" t="n">
        <v>23.55</v>
      </c>
      <c r="Y16" s="692" t="n"/>
      <c r="Z16" s="692" t="n"/>
      <c r="AA16" s="692" t="n"/>
      <c r="AB16" s="692" t="n"/>
      <c r="AC16" s="692" t="n"/>
      <c r="AD16" s="692" t="n"/>
      <c r="AE16" s="692" t="n"/>
      <c r="AF16" s="692" t="n"/>
      <c r="AG16" s="692" t="n"/>
      <c r="AH16" s="692" t="n"/>
      <c r="AI16" s="692" t="n"/>
      <c r="AJ16" s="692" t="n"/>
      <c r="AK16" s="692" t="n"/>
      <c r="AL16" s="692" t="n"/>
      <c r="AM16" s="692" t="n"/>
      <c r="AN16" s="692" t="n"/>
      <c r="AO16" s="692" t="n"/>
      <c r="AP16" s="692" t="n"/>
      <c r="AQ16" s="692" t="n"/>
      <c r="AR16" s="692" t="n"/>
      <c r="AS16" s="692" t="n"/>
    </row>
    <row r="17">
      <c r="A17" s="427" t="inlineStr">
        <is>
          <t>F</t>
        </is>
      </c>
      <c r="B17" s="616" t="inlineStr">
        <is>
          <t>400 Free</t>
        </is>
      </c>
      <c r="C17" s="616" t="n">
        <v>14</v>
      </c>
      <c r="D17" s="616" t="n">
        <v>1</v>
      </c>
      <c r="E17" s="433" t="inlineStr">
        <is>
          <t>4:25.42</t>
        </is>
      </c>
      <c r="F17" s="692" t="n"/>
      <c r="G17" s="692" t="n"/>
      <c r="H17" s="427" t="inlineStr">
        <is>
          <t>F</t>
        </is>
      </c>
      <c r="I17" s="613" t="inlineStr">
        <is>
          <t>50 Free</t>
        </is>
      </c>
      <c r="J17" s="613" t="n">
        <v>20</v>
      </c>
      <c r="K17" s="513" t="n">
        <v>24</v>
      </c>
      <c r="L17" s="692" t="n"/>
      <c r="M17" s="692" t="inlineStr">
        <is>
          <t>M</t>
        </is>
      </c>
      <c r="N17" s="689" t="inlineStr">
        <is>
          <t>50 Free</t>
        </is>
      </c>
      <c r="O17" s="689" t="n">
        <v>21</v>
      </c>
      <c r="P17" s="689" t="n">
        <v>25</v>
      </c>
      <c r="Q17" s="692" t="n"/>
      <c r="R17" s="108" t="inlineStr">
        <is>
          <t>F</t>
        </is>
      </c>
      <c r="S17" s="613" t="inlineStr">
        <is>
          <t>100 Fly</t>
        </is>
      </c>
      <c r="T17" s="111" t="n">
        <v>28.33</v>
      </c>
      <c r="U17" s="692" t="n"/>
      <c r="V17" s="108" t="inlineStr">
        <is>
          <t>F</t>
        </is>
      </c>
      <c r="W17" s="613" t="inlineStr">
        <is>
          <t>100 Fly</t>
        </is>
      </c>
      <c r="X17" s="111" t="n">
        <v>24.45</v>
      </c>
      <c r="Y17" s="692" t="n"/>
      <c r="Z17" s="692" t="n"/>
      <c r="AA17" s="692" t="n"/>
      <c r="AB17" s="692" t="n"/>
      <c r="AC17" s="692" t="n"/>
      <c r="AD17" s="692" t="n"/>
      <c r="AE17" s="692" t="n"/>
      <c r="AF17" s="692" t="n"/>
      <c r="AG17" s="692" t="n"/>
      <c r="AH17" s="692" t="n"/>
      <c r="AI17" s="692" t="n"/>
      <c r="AJ17" s="692" t="n"/>
      <c r="AK17" s="692" t="n"/>
      <c r="AL17" s="692" t="n"/>
      <c r="AM17" s="692" t="n"/>
      <c r="AN17" s="692" t="n"/>
      <c r="AO17" s="692" t="n"/>
      <c r="AP17" s="692" t="n"/>
      <c r="AQ17" s="692" t="n"/>
      <c r="AR17" s="692" t="n"/>
      <c r="AS17" s="692" t="n"/>
    </row>
    <row r="18">
      <c r="A18" s="420" t="inlineStr">
        <is>
          <t>F</t>
        </is>
      </c>
      <c r="B18" s="593" t="inlineStr">
        <is>
          <t>400 Free</t>
        </is>
      </c>
      <c r="C18" s="593" t="n">
        <v>15</v>
      </c>
      <c r="D18" s="593" t="n">
        <v>1</v>
      </c>
      <c r="E18" s="426" t="inlineStr">
        <is>
          <t>4:18.86</t>
        </is>
      </c>
      <c r="F18" s="692" t="n"/>
      <c r="G18" s="692" t="n"/>
      <c r="H18" s="420" t="inlineStr">
        <is>
          <t>F</t>
        </is>
      </c>
      <c r="I18" s="590" t="inlineStr">
        <is>
          <t>50 Fly</t>
        </is>
      </c>
      <c r="J18" s="590" t="n">
        <v>21</v>
      </c>
      <c r="K18" s="512" t="n">
        <v>25</v>
      </c>
      <c r="L18" s="692" t="n"/>
      <c r="M18" s="692" t="inlineStr">
        <is>
          <t>M</t>
        </is>
      </c>
      <c r="N18" s="689" t="inlineStr">
        <is>
          <t>50 Breast</t>
        </is>
      </c>
      <c r="O18" s="689" t="n">
        <v>22</v>
      </c>
      <c r="P18" s="689" t="n">
        <v>26</v>
      </c>
      <c r="Q18" s="692" t="n"/>
      <c r="R18" s="98" t="inlineStr">
        <is>
          <t>M</t>
        </is>
      </c>
      <c r="S18" s="590" t="inlineStr">
        <is>
          <t>400 IM</t>
        </is>
      </c>
      <c r="T18" s="102" t="n">
        <v>19</v>
      </c>
      <c r="U18" s="692" t="n"/>
      <c r="V18" s="98" t="inlineStr">
        <is>
          <t>M</t>
        </is>
      </c>
      <c r="W18" s="590" t="inlineStr">
        <is>
          <t>200 Fly</t>
        </is>
      </c>
      <c r="X18" s="102" t="n">
        <v>22.55</v>
      </c>
      <c r="Y18" s="692" t="n"/>
      <c r="Z18" s="692" t="n"/>
      <c r="AA18" s="692" t="n"/>
      <c r="AB18" s="692" t="n"/>
      <c r="AC18" s="692" t="n"/>
      <c r="AD18" s="692" t="n"/>
      <c r="AE18" s="692" t="n"/>
      <c r="AF18" s="692" t="n"/>
      <c r="AG18" s="692" t="n"/>
      <c r="AH18" s="692" t="n"/>
      <c r="AI18" s="692" t="n"/>
      <c r="AJ18" s="692" t="n"/>
      <c r="AK18" s="692" t="n"/>
      <c r="AL18" s="692" t="n"/>
      <c r="AM18" s="692" t="n"/>
      <c r="AN18" s="692" t="n"/>
      <c r="AO18" s="692" t="n"/>
      <c r="AP18" s="692" t="n"/>
      <c r="AQ18" s="692" t="n"/>
      <c r="AR18" s="692" t="n"/>
      <c r="AS18" s="692" t="n"/>
    </row>
    <row r="19">
      <c r="A19" s="427" t="inlineStr">
        <is>
          <t>F</t>
        </is>
      </c>
      <c r="B19" s="616" t="inlineStr">
        <is>
          <t>400 Free</t>
        </is>
      </c>
      <c r="C19" s="616" t="n">
        <v>16</v>
      </c>
      <c r="D19" s="616" t="n">
        <v>1</v>
      </c>
      <c r="E19" s="113" t="inlineStr">
        <is>
          <t>4:14.48</t>
        </is>
      </c>
      <c r="F19" s="692" t="n"/>
      <c r="G19" s="692" t="n"/>
      <c r="L19" s="692" t="n"/>
      <c r="M19" s="692" t="n"/>
      <c r="N19" s="692" t="n"/>
      <c r="O19" s="692" t="n"/>
      <c r="P19" s="692" t="n"/>
      <c r="Q19" s="692" t="n"/>
      <c r="R19" s="108" t="inlineStr">
        <is>
          <t>M</t>
        </is>
      </c>
      <c r="S19" s="613" t="inlineStr">
        <is>
          <t>200 Back</t>
        </is>
      </c>
      <c r="T19" s="111" t="n">
        <v>19.67</v>
      </c>
      <c r="U19" s="692" t="n"/>
      <c r="V19" s="108" t="inlineStr">
        <is>
          <t>F</t>
        </is>
      </c>
      <c r="W19" s="613" t="inlineStr">
        <is>
          <t>200 Fly</t>
        </is>
      </c>
      <c r="X19" s="111" t="n">
        <v>22.05</v>
      </c>
      <c r="Y19" s="692" t="n"/>
      <c r="Z19" s="692" t="n"/>
      <c r="AA19" s="692" t="n"/>
      <c r="AB19" s="692" t="n"/>
      <c r="AC19" s="692" t="n"/>
      <c r="AD19" s="692" t="n"/>
      <c r="AE19" s="692" t="n"/>
      <c r="AF19" s="692" t="n"/>
      <c r="AG19" s="692" t="n"/>
      <c r="AH19" s="692" t="n"/>
      <c r="AI19" s="692" t="n"/>
      <c r="AJ19" s="692" t="n"/>
      <c r="AK19" s="692" t="n"/>
      <c r="AL19" s="692" t="n"/>
      <c r="AM19" s="692" t="n"/>
      <c r="AN19" s="692" t="n"/>
      <c r="AO19" s="692" t="n"/>
      <c r="AP19" s="692" t="n"/>
      <c r="AQ19" s="692" t="n"/>
      <c r="AR19" s="692" t="n"/>
      <c r="AS19" s="692" t="n"/>
    </row>
    <row r="20">
      <c r="A20" s="420" t="inlineStr">
        <is>
          <t>F</t>
        </is>
      </c>
      <c r="B20" s="593" t="inlineStr">
        <is>
          <t>400 Free</t>
        </is>
      </c>
      <c r="C20" s="593" t="n">
        <v>17</v>
      </c>
      <c r="D20" s="593" t="n">
        <v>1</v>
      </c>
      <c r="E20" s="128" t="inlineStr">
        <is>
          <t>4:11.78</t>
        </is>
      </c>
      <c r="F20" s="692" t="n"/>
      <c r="G20" s="692" t="n"/>
      <c r="L20" s="692" t="n"/>
      <c r="M20" s="692" t="n"/>
      <c r="N20" s="692" t="n"/>
      <c r="O20" s="692" t="n"/>
      <c r="P20" s="692" t="n"/>
      <c r="Q20" s="692" t="n"/>
      <c r="R20" s="98" t="inlineStr">
        <is>
          <t>M</t>
        </is>
      </c>
      <c r="S20" s="590" t="inlineStr">
        <is>
          <t>1500 Free</t>
        </is>
      </c>
      <c r="T20" s="102" t="n">
        <v>20.22</v>
      </c>
      <c r="U20" s="692" t="n"/>
      <c r="V20" s="98" t="inlineStr">
        <is>
          <t>M</t>
        </is>
      </c>
      <c r="W20" s="590" t="inlineStr">
        <is>
          <t>50 Back</t>
        </is>
      </c>
      <c r="X20" s="102" t="n">
        <v>22.35</v>
      </c>
      <c r="Y20" s="692" t="n"/>
      <c r="Z20" s="692" t="n"/>
      <c r="AA20" s="692" t="n"/>
      <c r="AB20" s="692" t="n"/>
      <c r="AC20" s="692" t="n"/>
      <c r="AD20" s="692" t="n"/>
      <c r="AE20" s="692" t="n"/>
      <c r="AF20" s="692" t="n"/>
      <c r="AG20" s="692" t="n"/>
      <c r="AH20" s="692" t="n"/>
      <c r="AI20" s="692" t="n"/>
      <c r="AJ20" s="692" t="n"/>
      <c r="AK20" s="692" t="n"/>
      <c r="AL20" s="692" t="n"/>
      <c r="AM20" s="692" t="n"/>
      <c r="AN20" s="692" t="n"/>
      <c r="AO20" s="692" t="n"/>
      <c r="AP20" s="692" t="n"/>
      <c r="AQ20" s="692" t="n"/>
      <c r="AR20" s="692" t="n"/>
      <c r="AS20" s="692" t="n"/>
    </row>
    <row r="21">
      <c r="A21" s="427" t="inlineStr">
        <is>
          <t>F</t>
        </is>
      </c>
      <c r="B21" s="616" t="inlineStr">
        <is>
          <t>400 Free</t>
        </is>
      </c>
      <c r="C21" s="616" t="n">
        <v>18</v>
      </c>
      <c r="D21" s="616" t="n">
        <v>1</v>
      </c>
      <c r="E21" s="113" t="inlineStr">
        <is>
          <t>4:10.23</t>
        </is>
      </c>
      <c r="F21" s="692" t="n"/>
      <c r="G21" s="692" t="n"/>
      <c r="L21" s="692" t="n"/>
      <c r="M21" s="692" t="n"/>
      <c r="N21" s="692" t="n"/>
      <c r="O21" s="692" t="n"/>
      <c r="P21" s="692" t="n"/>
      <c r="Q21" s="692" t="n"/>
      <c r="R21" s="108" t="inlineStr">
        <is>
          <t>M</t>
        </is>
      </c>
      <c r="S21" s="613" t="inlineStr">
        <is>
          <t>200 IM</t>
        </is>
      </c>
      <c r="T21" s="111" t="n">
        <v>20.44</v>
      </c>
      <c r="U21" s="692" t="n"/>
      <c r="V21" s="108" t="inlineStr">
        <is>
          <t>F</t>
        </is>
      </c>
      <c r="W21" s="613" t="inlineStr">
        <is>
          <t>50 Back</t>
        </is>
      </c>
      <c r="X21" s="111" t="n">
        <v>23.85</v>
      </c>
      <c r="Y21" s="692" t="n"/>
      <c r="Z21" s="692" t="n"/>
      <c r="AA21" s="692" t="n"/>
      <c r="AB21" s="692" t="n"/>
      <c r="AC21" s="692" t="n"/>
      <c r="AD21" s="692" t="n"/>
      <c r="AE21" s="692" t="n"/>
      <c r="AF21" s="692" t="n"/>
      <c r="AG21" s="692" t="n"/>
      <c r="AH21" s="692" t="n"/>
      <c r="AI21" s="692" t="n"/>
      <c r="AJ21" s="692" t="n"/>
      <c r="AK21" s="692" t="n"/>
      <c r="AL21" s="692" t="n"/>
      <c r="AM21" s="692" t="n"/>
      <c r="AN21" s="692" t="n"/>
      <c r="AO21" s="692" t="n"/>
      <c r="AP21" s="692" t="n"/>
      <c r="AQ21" s="692" t="n"/>
      <c r="AR21" s="692" t="n"/>
      <c r="AS21" s="692" t="n"/>
    </row>
    <row r="22">
      <c r="A22" s="420" t="inlineStr">
        <is>
          <t>F</t>
        </is>
      </c>
      <c r="B22" s="593" t="inlineStr">
        <is>
          <t>800 Free</t>
        </is>
      </c>
      <c r="C22" s="593" t="n">
        <v>14</v>
      </c>
      <c r="D22" s="593" t="n">
        <v>1</v>
      </c>
      <c r="E22" s="426" t="inlineStr">
        <is>
          <t>9:04.09</t>
        </is>
      </c>
      <c r="F22" s="692" t="n"/>
      <c r="G22" s="692" t="n"/>
      <c r="L22" s="692" t="n"/>
      <c r="M22" s="692" t="n"/>
      <c r="N22" s="692" t="n"/>
      <c r="O22" s="692" t="n"/>
      <c r="P22" s="692" t="n"/>
      <c r="Q22" s="692" t="n"/>
      <c r="R22" s="98" t="inlineStr">
        <is>
          <t>M</t>
        </is>
      </c>
      <c r="S22" s="590" t="inlineStr">
        <is>
          <t>200 Breast</t>
        </is>
      </c>
      <c r="T22" s="102" t="n">
        <v>21</v>
      </c>
      <c r="U22" s="692" t="n"/>
      <c r="V22" s="98" t="inlineStr">
        <is>
          <t>M</t>
        </is>
      </c>
      <c r="W22" s="590" t="inlineStr">
        <is>
          <t>100 Back</t>
        </is>
      </c>
      <c r="X22" s="102" t="n">
        <v>24.15</v>
      </c>
      <c r="Y22" s="692" t="n"/>
      <c r="Z22" s="692" t="n"/>
      <c r="AA22" s="692" t="n"/>
      <c r="AB22" s="692" t="n"/>
      <c r="AC22" s="692" t="n"/>
      <c r="AD22" s="692" t="n"/>
      <c r="AE22" s="692" t="n"/>
      <c r="AF22" s="692" t="n"/>
      <c r="AG22" s="692" t="n"/>
      <c r="AH22" s="692" t="n"/>
      <c r="AI22" s="692" t="n"/>
      <c r="AJ22" s="692" t="n"/>
      <c r="AK22" s="692" t="n"/>
      <c r="AL22" s="692" t="n"/>
      <c r="AM22" s="692" t="n"/>
      <c r="AN22" s="692" t="n"/>
      <c r="AO22" s="692" t="n"/>
      <c r="AP22" s="692" t="n"/>
      <c r="AQ22" s="692" t="n"/>
      <c r="AR22" s="692" t="n"/>
      <c r="AS22" s="692" t="n"/>
    </row>
    <row r="23">
      <c r="A23" s="427" t="inlineStr">
        <is>
          <t>F</t>
        </is>
      </c>
      <c r="B23" s="616" t="inlineStr">
        <is>
          <t>800 Free</t>
        </is>
      </c>
      <c r="C23" s="616" t="n">
        <v>15</v>
      </c>
      <c r="D23" s="616" t="n">
        <v>1</v>
      </c>
      <c r="E23" s="433" t="inlineStr">
        <is>
          <t>8:51.31</t>
        </is>
      </c>
      <c r="F23" s="692" t="n"/>
      <c r="G23" s="692" t="n"/>
      <c r="L23" s="692" t="n"/>
      <c r="M23" s="692" t="n"/>
      <c r="N23" s="692" t="n"/>
      <c r="O23" s="692" t="n"/>
      <c r="P23" s="692" t="n"/>
      <c r="Q23" s="692" t="n"/>
      <c r="R23" s="108" t="inlineStr">
        <is>
          <t>M</t>
        </is>
      </c>
      <c r="S23" s="613" t="inlineStr">
        <is>
          <t>400 Free</t>
        </is>
      </c>
      <c r="T23" s="111" t="n">
        <v>21.11</v>
      </c>
      <c r="U23" s="692" t="n"/>
      <c r="V23" s="108" t="inlineStr">
        <is>
          <t>F</t>
        </is>
      </c>
      <c r="W23" s="613" t="inlineStr">
        <is>
          <t>100 Back</t>
        </is>
      </c>
      <c r="X23" s="111" t="n">
        <v>22.65</v>
      </c>
      <c r="Y23" s="692" t="n"/>
      <c r="Z23" s="692" t="n"/>
      <c r="AA23" s="692" t="n"/>
      <c r="AB23" s="692" t="n"/>
      <c r="AC23" s="692" t="n"/>
      <c r="AD23" s="692" t="n"/>
      <c r="AE23" s="692" t="n"/>
      <c r="AF23" s="692" t="n"/>
      <c r="AG23" s="692" t="n"/>
      <c r="AH23" s="692" t="n"/>
      <c r="AI23" s="692" t="n"/>
      <c r="AJ23" s="692" t="n"/>
      <c r="AK23" s="692" t="n"/>
      <c r="AL23" s="692" t="n"/>
      <c r="AM23" s="692" t="n"/>
      <c r="AN23" s="692" t="n"/>
      <c r="AO23" s="692" t="n"/>
      <c r="AP23" s="692" t="n"/>
      <c r="AQ23" s="692" t="n"/>
      <c r="AR23" s="692" t="n"/>
      <c r="AS23" s="692" t="n"/>
    </row>
    <row r="24">
      <c r="A24" s="420" t="inlineStr">
        <is>
          <t>F</t>
        </is>
      </c>
      <c r="B24" s="593" t="inlineStr">
        <is>
          <t>800 Free</t>
        </is>
      </c>
      <c r="C24" s="593" t="n">
        <v>16</v>
      </c>
      <c r="D24" s="593" t="n">
        <v>1</v>
      </c>
      <c r="E24" s="426" t="inlineStr">
        <is>
          <t>8:42.92</t>
        </is>
      </c>
      <c r="F24" s="692" t="n"/>
      <c r="G24" s="692" t="n"/>
      <c r="L24" s="692" t="n"/>
      <c r="M24" s="692" t="n"/>
      <c r="N24" s="692" t="n"/>
      <c r="O24" s="692" t="n"/>
      <c r="P24" s="692" t="n"/>
      <c r="Q24" s="692" t="n"/>
      <c r="R24" s="98" t="inlineStr">
        <is>
          <t>M</t>
        </is>
      </c>
      <c r="S24" s="590" t="inlineStr">
        <is>
          <t>200 Fly</t>
        </is>
      </c>
      <c r="T24" s="102" t="n">
        <v>21.89</v>
      </c>
      <c r="U24" s="692" t="n"/>
      <c r="V24" s="98" t="inlineStr">
        <is>
          <t>M</t>
        </is>
      </c>
      <c r="W24" s="590" t="inlineStr">
        <is>
          <t>200 Back</t>
        </is>
      </c>
      <c r="X24" s="102" t="n">
        <v>23.05</v>
      </c>
      <c r="Y24" s="692" t="n"/>
      <c r="Z24" s="692" t="n"/>
      <c r="AA24" s="692" t="n"/>
      <c r="AB24" s="692" t="n"/>
      <c r="AC24" s="692" t="n"/>
      <c r="AD24" s="692" t="n"/>
      <c r="AE24" s="692" t="n"/>
      <c r="AF24" s="692" t="n"/>
      <c r="AG24" s="692" t="n"/>
      <c r="AH24" s="692" t="n"/>
      <c r="AI24" s="692" t="n"/>
      <c r="AJ24" s="692" t="n"/>
      <c r="AK24" s="692" t="n"/>
      <c r="AL24" s="692" t="n"/>
      <c r="AM24" s="692" t="n"/>
      <c r="AN24" s="692" t="n"/>
      <c r="AO24" s="692" t="n"/>
      <c r="AP24" s="692" t="n"/>
      <c r="AQ24" s="692" t="n"/>
      <c r="AR24" s="692" t="n"/>
      <c r="AS24" s="692" t="n"/>
    </row>
    <row r="25">
      <c r="A25" s="427" t="inlineStr">
        <is>
          <t>F</t>
        </is>
      </c>
      <c r="B25" s="616" t="inlineStr">
        <is>
          <t>800 Free</t>
        </is>
      </c>
      <c r="C25" s="616" t="n">
        <v>17</v>
      </c>
      <c r="D25" s="616" t="n">
        <v>1</v>
      </c>
      <c r="E25" s="433" t="inlineStr">
        <is>
          <t>8:37.81</t>
        </is>
      </c>
      <c r="F25" s="692" t="n"/>
      <c r="G25" s="692" t="n"/>
      <c r="L25" s="692" t="n"/>
      <c r="M25" s="692" t="n"/>
      <c r="N25" s="692" t="n"/>
      <c r="O25" s="692" t="n"/>
      <c r="P25" s="692" t="n"/>
      <c r="Q25" s="692" t="n"/>
      <c r="R25" s="108" t="inlineStr">
        <is>
          <t>M</t>
        </is>
      </c>
      <c r="S25" s="613" t="inlineStr">
        <is>
          <t>100 Breast</t>
        </is>
      </c>
      <c r="T25" s="111" t="n">
        <v>22.11</v>
      </c>
      <c r="U25" s="692" t="n"/>
      <c r="V25" s="108" t="inlineStr">
        <is>
          <t>F</t>
        </is>
      </c>
      <c r="W25" s="613" t="inlineStr">
        <is>
          <t>200 Back</t>
        </is>
      </c>
      <c r="X25" s="111" t="n">
        <v>22.35</v>
      </c>
      <c r="Y25" s="692" t="n"/>
      <c r="Z25" s="692" t="n"/>
      <c r="AA25" s="692" t="n"/>
      <c r="AB25" s="692" t="n"/>
      <c r="AC25" s="692" t="n"/>
      <c r="AD25" s="692" t="n"/>
      <c r="AE25" s="692" t="n"/>
      <c r="AF25" s="692" t="n"/>
      <c r="AG25" s="692" t="n"/>
      <c r="AH25" s="692" t="n"/>
      <c r="AI25" s="692" t="n"/>
      <c r="AJ25" s="692" t="n"/>
      <c r="AK25" s="692" t="n"/>
      <c r="AL25" s="692" t="n"/>
      <c r="AM25" s="692" t="n"/>
      <c r="AN25" s="692" t="n"/>
      <c r="AO25" s="692" t="n"/>
      <c r="AP25" s="692" t="n"/>
      <c r="AQ25" s="692" t="n"/>
      <c r="AR25" s="692" t="n"/>
      <c r="AS25" s="692" t="n"/>
    </row>
    <row r="26">
      <c r="A26" s="420" t="inlineStr">
        <is>
          <t>F</t>
        </is>
      </c>
      <c r="B26" s="593" t="inlineStr">
        <is>
          <t>800 Free</t>
        </is>
      </c>
      <c r="C26" s="593" t="n">
        <v>18</v>
      </c>
      <c r="D26" s="593" t="n">
        <v>1</v>
      </c>
      <c r="E26" s="128" t="inlineStr">
        <is>
          <t>8:34.62</t>
        </is>
      </c>
      <c r="F26" s="692" t="n"/>
      <c r="G26" s="692" t="n"/>
      <c r="L26" s="692" t="n"/>
      <c r="M26" s="692" t="n"/>
      <c r="N26" s="692" t="n"/>
      <c r="O26" s="692" t="n"/>
      <c r="P26" s="692" t="n"/>
      <c r="Q26" s="692" t="n"/>
      <c r="R26" s="98" t="inlineStr">
        <is>
          <t>M</t>
        </is>
      </c>
      <c r="S26" s="590" t="inlineStr">
        <is>
          <t>50 Free</t>
        </is>
      </c>
      <c r="T26" s="102" t="n">
        <v>22.11</v>
      </c>
      <c r="U26" s="692" t="n"/>
      <c r="V26" s="98" t="inlineStr">
        <is>
          <t>M</t>
        </is>
      </c>
      <c r="W26" s="590" t="inlineStr">
        <is>
          <t>50 Breast</t>
        </is>
      </c>
      <c r="X26" s="102" t="n">
        <v>28.35</v>
      </c>
      <c r="Y26" s="692" t="n"/>
      <c r="Z26" s="692" t="n"/>
      <c r="AA26" s="692" t="n"/>
      <c r="AB26" s="692" t="n"/>
      <c r="AC26" s="692" t="n"/>
      <c r="AD26" s="692" t="n"/>
      <c r="AE26" s="692" t="n"/>
      <c r="AF26" s="692" t="n"/>
      <c r="AG26" s="692" t="n"/>
      <c r="AH26" s="692" t="n"/>
      <c r="AI26" s="692" t="n"/>
      <c r="AJ26" s="692" t="n"/>
      <c r="AK26" s="692" t="n"/>
      <c r="AL26" s="692" t="n"/>
      <c r="AM26" s="692" t="n"/>
      <c r="AN26" s="692" t="n"/>
      <c r="AO26" s="692" t="n"/>
      <c r="AP26" s="692" t="n"/>
      <c r="AQ26" s="692" t="n"/>
      <c r="AR26" s="692" t="n"/>
      <c r="AS26" s="692" t="n"/>
    </row>
    <row r="27">
      <c r="A27" s="427" t="inlineStr">
        <is>
          <t>F</t>
        </is>
      </c>
      <c r="B27" s="616" t="inlineStr">
        <is>
          <t>1500 Free</t>
        </is>
      </c>
      <c r="C27" s="616" t="n">
        <v>14</v>
      </c>
      <c r="D27" s="616" t="n">
        <v>1</v>
      </c>
      <c r="E27" s="433" t="inlineStr">
        <is>
          <t>17:12.17</t>
        </is>
      </c>
      <c r="F27" s="692" t="n"/>
      <c r="G27" s="692" t="n"/>
      <c r="L27" s="692" t="n"/>
      <c r="M27" s="692" t="n"/>
      <c r="N27" s="692" t="n"/>
      <c r="O27" s="692" t="n"/>
      <c r="P27" s="692" t="n"/>
      <c r="Q27" s="692" t="n"/>
      <c r="R27" s="108" t="inlineStr">
        <is>
          <t>M</t>
        </is>
      </c>
      <c r="S27" s="613" t="inlineStr">
        <is>
          <t>50 Breast</t>
        </is>
      </c>
      <c r="T27" s="111" t="n">
        <v>22.44</v>
      </c>
      <c r="U27" s="692" t="n"/>
      <c r="V27" s="108" t="inlineStr">
        <is>
          <t>F</t>
        </is>
      </c>
      <c r="W27" s="613" t="inlineStr">
        <is>
          <t>50 Breast</t>
        </is>
      </c>
      <c r="X27" s="111" t="n">
        <v>22.15</v>
      </c>
      <c r="Y27" s="692" t="n"/>
      <c r="Z27" s="692" t="n"/>
      <c r="AA27" s="692" t="n"/>
      <c r="AB27" s="692" t="n"/>
      <c r="AC27" s="692" t="n"/>
      <c r="AD27" s="692" t="n"/>
      <c r="AE27" s="692" t="n"/>
      <c r="AF27" s="692" t="n"/>
      <c r="AG27" s="692" t="n"/>
      <c r="AH27" s="692" t="n"/>
      <c r="AI27" s="692" t="n"/>
      <c r="AJ27" s="692" t="n"/>
      <c r="AK27" s="692" t="n"/>
      <c r="AL27" s="692" t="n"/>
      <c r="AM27" s="692" t="n"/>
      <c r="AN27" s="692" t="n"/>
      <c r="AO27" s="692" t="n"/>
      <c r="AP27" s="692" t="n"/>
      <c r="AQ27" s="692" t="n"/>
      <c r="AR27" s="692" t="n"/>
      <c r="AS27" s="692" t="n"/>
    </row>
    <row r="28">
      <c r="A28" s="420" t="inlineStr">
        <is>
          <t>F</t>
        </is>
      </c>
      <c r="B28" s="593" t="inlineStr">
        <is>
          <t>1500 Free</t>
        </is>
      </c>
      <c r="C28" s="593" t="n">
        <v>15</v>
      </c>
      <c r="D28" s="593" t="n">
        <v>1</v>
      </c>
      <c r="E28" s="426" t="inlineStr">
        <is>
          <t>16:52.17</t>
        </is>
      </c>
      <c r="F28" s="692" t="n"/>
      <c r="G28" s="692" t="n"/>
      <c r="L28" s="692" t="n"/>
      <c r="M28" s="692" t="n"/>
      <c r="N28" s="692" t="n"/>
      <c r="O28" s="692" t="n"/>
      <c r="P28" s="692" t="n"/>
      <c r="Q28" s="692" t="n"/>
      <c r="R28" s="98" t="inlineStr">
        <is>
          <t>M</t>
        </is>
      </c>
      <c r="S28" s="590" t="inlineStr">
        <is>
          <t>200 Free</t>
        </is>
      </c>
      <c r="T28" s="102" t="n">
        <v>23</v>
      </c>
      <c r="U28" s="692" t="n"/>
      <c r="V28" s="98" t="inlineStr">
        <is>
          <t>M</t>
        </is>
      </c>
      <c r="W28" s="590" t="inlineStr">
        <is>
          <t>100 Breast</t>
        </is>
      </c>
      <c r="X28" s="102" t="n">
        <v>26.35</v>
      </c>
      <c r="Y28" s="692" t="n"/>
      <c r="Z28" s="692" t="n"/>
      <c r="AA28" s="692" t="n"/>
      <c r="AB28" s="692" t="n"/>
      <c r="AC28" s="692" t="n"/>
      <c r="AD28" s="692" t="n"/>
      <c r="AE28" s="692" t="n"/>
      <c r="AF28" s="692" t="n"/>
      <c r="AG28" s="692" t="n"/>
      <c r="AH28" s="692" t="n"/>
      <c r="AI28" s="692" t="n"/>
      <c r="AJ28" s="692" t="n"/>
      <c r="AK28" s="692" t="n"/>
      <c r="AL28" s="692" t="n"/>
      <c r="AM28" s="692" t="n"/>
      <c r="AN28" s="692" t="n"/>
      <c r="AO28" s="692" t="n"/>
      <c r="AP28" s="692" t="n"/>
      <c r="AQ28" s="692" t="n"/>
      <c r="AR28" s="692" t="n"/>
      <c r="AS28" s="692" t="n"/>
    </row>
    <row r="29">
      <c r="A29" s="427" t="inlineStr">
        <is>
          <t>F</t>
        </is>
      </c>
      <c r="B29" s="616" t="inlineStr">
        <is>
          <t>1500 Free</t>
        </is>
      </c>
      <c r="C29" s="616" t="n">
        <v>16</v>
      </c>
      <c r="D29" s="616" t="n">
        <v>1</v>
      </c>
      <c r="E29" s="113" t="inlineStr">
        <is>
          <t>16:38.19</t>
        </is>
      </c>
      <c r="F29" s="692" t="n"/>
      <c r="G29" s="692" t="n"/>
      <c r="L29" s="692" t="n"/>
      <c r="M29" s="692" t="n"/>
      <c r="N29" s="692" t="n"/>
      <c r="O29" s="692" t="n"/>
      <c r="P29" s="692" t="n"/>
      <c r="Q29" s="692" t="n"/>
      <c r="R29" s="108" t="inlineStr">
        <is>
          <t>M</t>
        </is>
      </c>
      <c r="S29" s="613" t="inlineStr">
        <is>
          <t>100 Free</t>
        </is>
      </c>
      <c r="T29" s="111" t="n">
        <v>23.11</v>
      </c>
      <c r="U29" s="692" t="n"/>
      <c r="V29" s="108" t="inlineStr">
        <is>
          <t>F</t>
        </is>
      </c>
      <c r="W29" s="613" t="inlineStr">
        <is>
          <t>100 Breast</t>
        </is>
      </c>
      <c r="X29" s="111" t="n">
        <v>24.35</v>
      </c>
      <c r="Y29" s="692" t="n"/>
      <c r="Z29" s="692" t="n"/>
      <c r="AA29" s="692" t="n"/>
      <c r="AB29" s="692" t="n"/>
      <c r="AC29" s="692" t="n"/>
      <c r="AD29" s="692" t="n"/>
      <c r="AE29" s="692" t="n"/>
      <c r="AF29" s="692" t="n"/>
      <c r="AG29" s="692" t="n"/>
      <c r="AH29" s="692" t="n"/>
      <c r="AI29" s="692" t="n"/>
      <c r="AJ29" s="692" t="n"/>
      <c r="AK29" s="692" t="n"/>
      <c r="AL29" s="692" t="n"/>
      <c r="AM29" s="692" t="n"/>
      <c r="AN29" s="692" t="n"/>
      <c r="AO29" s="692" t="n"/>
      <c r="AP29" s="692" t="n"/>
      <c r="AQ29" s="692" t="n"/>
      <c r="AR29" s="692" t="n"/>
      <c r="AS29" s="692" t="n"/>
    </row>
    <row r="30">
      <c r="A30" s="420" t="inlineStr">
        <is>
          <t>F</t>
        </is>
      </c>
      <c r="B30" s="593" t="inlineStr">
        <is>
          <t>1500 Free</t>
        </is>
      </c>
      <c r="C30" s="593" t="n">
        <v>17</v>
      </c>
      <c r="D30" s="593" t="n">
        <v>1</v>
      </c>
      <c r="E30" s="426" t="inlineStr">
        <is>
          <t>16:29.65</t>
        </is>
      </c>
      <c r="F30" s="692" t="n"/>
      <c r="G30" s="692" t="n"/>
      <c r="L30" s="692" t="n"/>
      <c r="M30" s="692" t="n"/>
      <c r="N30" s="692" t="n"/>
      <c r="O30" s="692" t="n"/>
      <c r="P30" s="692" t="n"/>
      <c r="Q30" s="692" t="n"/>
      <c r="R30" s="98" t="inlineStr">
        <is>
          <t>M</t>
        </is>
      </c>
      <c r="S30" s="590" t="inlineStr">
        <is>
          <t>100 Back</t>
        </is>
      </c>
      <c r="T30" s="102" t="n">
        <v>24.78</v>
      </c>
      <c r="U30" s="692" t="n"/>
      <c r="V30" s="98" t="inlineStr">
        <is>
          <t>M</t>
        </is>
      </c>
      <c r="W30" s="590" t="inlineStr">
        <is>
          <t>200 Breast</t>
        </is>
      </c>
      <c r="X30" s="102" t="n">
        <v>25.55</v>
      </c>
      <c r="Y30" s="692" t="n"/>
      <c r="Z30" s="692" t="n"/>
      <c r="AA30" s="692" t="n"/>
      <c r="AB30" s="692" t="n"/>
      <c r="AC30" s="692" t="n"/>
      <c r="AD30" s="692" t="n"/>
      <c r="AE30" s="692" t="n"/>
      <c r="AF30" s="692" t="n"/>
      <c r="AG30" s="692" t="n"/>
      <c r="AH30" s="692" t="n"/>
      <c r="AI30" s="692" t="n"/>
      <c r="AJ30" s="692" t="n"/>
      <c r="AK30" s="692" t="n"/>
      <c r="AL30" s="692" t="n"/>
      <c r="AM30" s="692" t="n"/>
      <c r="AN30" s="692" t="n"/>
      <c r="AO30" s="692" t="n"/>
      <c r="AP30" s="692" t="n"/>
      <c r="AQ30" s="692" t="n"/>
      <c r="AR30" s="692" t="n"/>
      <c r="AS30" s="692" t="n"/>
    </row>
    <row r="31">
      <c r="A31" s="427" t="inlineStr">
        <is>
          <t>F</t>
        </is>
      </c>
      <c r="B31" s="616" t="inlineStr">
        <is>
          <t>1500 Free</t>
        </is>
      </c>
      <c r="C31" s="616" t="n">
        <v>18</v>
      </c>
      <c r="D31" s="616" t="n">
        <v>1</v>
      </c>
      <c r="E31" s="127" t="inlineStr">
        <is>
          <t>16:24.56</t>
        </is>
      </c>
      <c r="F31" s="692" t="n"/>
      <c r="G31" s="692" t="n"/>
      <c r="L31" s="692" t="n"/>
      <c r="M31" s="692" t="n"/>
      <c r="N31" s="692" t="n"/>
      <c r="O31" s="692" t="n"/>
      <c r="P31" s="692" t="n"/>
      <c r="Q31" s="692" t="n"/>
      <c r="R31" s="108" t="inlineStr">
        <is>
          <t>M</t>
        </is>
      </c>
      <c r="S31" s="613" t="inlineStr">
        <is>
          <t>50 Fly</t>
        </is>
      </c>
      <c r="T31" s="111" t="n">
        <v>25.11</v>
      </c>
      <c r="U31" s="692" t="n"/>
      <c r="V31" s="108" t="inlineStr">
        <is>
          <t>F</t>
        </is>
      </c>
      <c r="W31" s="613" t="inlineStr">
        <is>
          <t>200 Breast</t>
        </is>
      </c>
      <c r="X31" s="111" t="n">
        <v>25.25</v>
      </c>
      <c r="Y31" s="692" t="n"/>
      <c r="Z31" s="692" t="n"/>
      <c r="AA31" s="692" t="n"/>
      <c r="AB31" s="692" t="n"/>
      <c r="AC31" s="692" t="n"/>
      <c r="AD31" s="692" t="n"/>
      <c r="AE31" s="692" t="n"/>
      <c r="AF31" s="692" t="n"/>
      <c r="AG31" s="692" t="n"/>
      <c r="AH31" s="692" t="n"/>
      <c r="AI31" s="692" t="n"/>
      <c r="AJ31" s="692" t="n"/>
      <c r="AK31" s="692" t="n"/>
      <c r="AL31" s="692" t="n"/>
      <c r="AM31" s="692" t="n"/>
      <c r="AN31" s="692" t="n"/>
      <c r="AO31" s="692" t="n"/>
      <c r="AP31" s="692" t="n"/>
      <c r="AQ31" s="692" t="n"/>
      <c r="AR31" s="692" t="n"/>
      <c r="AS31" s="692" t="n"/>
    </row>
    <row r="32">
      <c r="A32" s="420" t="inlineStr">
        <is>
          <t>F</t>
        </is>
      </c>
      <c r="B32" s="593" t="inlineStr">
        <is>
          <t>50 Back</t>
        </is>
      </c>
      <c r="C32" s="593" t="n">
        <v>15</v>
      </c>
      <c r="D32" s="593" t="n">
        <v>1</v>
      </c>
      <c r="E32" s="128" t="inlineStr">
        <is>
          <t>29.29</t>
        </is>
      </c>
      <c r="F32" s="692" t="n"/>
      <c r="G32" s="692" t="n"/>
      <c r="L32" s="692" t="n"/>
      <c r="M32" s="692" t="n"/>
      <c r="N32" s="692" t="n"/>
      <c r="O32" s="692" t="n"/>
      <c r="P32" s="692" t="n"/>
      <c r="Q32" s="692" t="n"/>
      <c r="R32" s="98" t="inlineStr">
        <is>
          <t>M</t>
        </is>
      </c>
      <c r="S32" s="590" t="inlineStr">
        <is>
          <t>100 Fly</t>
        </is>
      </c>
      <c r="T32" s="102" t="n">
        <v>25.56</v>
      </c>
      <c r="U32" s="692" t="n"/>
      <c r="V32" s="98" t="inlineStr">
        <is>
          <t>M</t>
        </is>
      </c>
      <c r="W32" s="590" t="inlineStr">
        <is>
          <t>200 IM</t>
        </is>
      </c>
      <c r="X32" s="102" t="n">
        <v>23.35</v>
      </c>
      <c r="Y32" s="692" t="n"/>
      <c r="Z32" s="692" t="n"/>
      <c r="AA32" s="692" t="n"/>
      <c r="AB32" s="692" t="n"/>
      <c r="AC32" s="692" t="n"/>
      <c r="AD32" s="692" t="n"/>
      <c r="AE32" s="692" t="n"/>
      <c r="AF32" s="692" t="n"/>
      <c r="AG32" s="692" t="n"/>
      <c r="AH32" s="692" t="n"/>
      <c r="AI32" s="692" t="n"/>
      <c r="AJ32" s="692" t="n"/>
      <c r="AK32" s="692" t="n"/>
      <c r="AL32" s="692" t="n"/>
      <c r="AM32" s="692" t="n"/>
      <c r="AN32" s="692" t="n"/>
      <c r="AO32" s="692" t="n"/>
      <c r="AP32" s="692" t="n"/>
      <c r="AQ32" s="692" t="n"/>
      <c r="AR32" s="692" t="n"/>
      <c r="AS32" s="692" t="n"/>
    </row>
    <row r="33">
      <c r="A33" s="427" t="inlineStr">
        <is>
          <t>F</t>
        </is>
      </c>
      <c r="B33" s="616" t="inlineStr">
        <is>
          <t>50 Back</t>
        </is>
      </c>
      <c r="C33" s="616" t="n">
        <v>16</v>
      </c>
      <c r="D33" s="616" t="n">
        <v>1</v>
      </c>
      <c r="E33" s="127" t="inlineStr">
        <is>
          <t>28.78</t>
        </is>
      </c>
      <c r="F33" s="692" t="n"/>
      <c r="G33" s="692" t="n"/>
      <c r="L33" s="692" t="n"/>
      <c r="M33" s="692" t="n"/>
      <c r="N33" s="692" t="n"/>
      <c r="O33" s="692" t="n"/>
      <c r="P33" s="692" t="n"/>
      <c r="Q33" s="692" t="n"/>
      <c r="R33" s="119" t="inlineStr">
        <is>
          <t>M</t>
        </is>
      </c>
      <c r="S33" s="122" t="inlineStr">
        <is>
          <t>50 Back</t>
        </is>
      </c>
      <c r="T33" s="123" t="n">
        <v>26.33</v>
      </c>
      <c r="U33" s="692" t="n"/>
      <c r="V33" s="108" t="inlineStr">
        <is>
          <t>F</t>
        </is>
      </c>
      <c r="W33" s="613" t="inlineStr">
        <is>
          <t>200 IM</t>
        </is>
      </c>
      <c r="X33" s="111" t="n">
        <v>22.75</v>
      </c>
      <c r="Y33" s="692" t="n"/>
      <c r="Z33" s="692" t="n"/>
      <c r="AA33" s="692" t="n"/>
      <c r="AB33" s="692" t="n"/>
      <c r="AC33" s="692" t="n"/>
      <c r="AD33" s="692" t="n"/>
      <c r="AE33" s="692" t="n"/>
      <c r="AF33" s="692" t="n"/>
      <c r="AG33" s="692" t="n"/>
      <c r="AH33" s="692" t="n"/>
      <c r="AI33" s="692" t="n"/>
      <c r="AJ33" s="692" t="n"/>
      <c r="AK33" s="692" t="n"/>
      <c r="AL33" s="692" t="n"/>
      <c r="AM33" s="692" t="n"/>
      <c r="AN33" s="692" t="n"/>
      <c r="AO33" s="692" t="n"/>
      <c r="AP33" s="692" t="n"/>
      <c r="AQ33" s="692" t="n"/>
      <c r="AR33" s="692" t="n"/>
      <c r="AS33" s="692" t="n"/>
    </row>
    <row r="34">
      <c r="A34" s="420" t="inlineStr">
        <is>
          <t>F</t>
        </is>
      </c>
      <c r="B34" s="593" t="inlineStr">
        <is>
          <t>50 Back</t>
        </is>
      </c>
      <c r="C34" s="593" t="n">
        <v>17</v>
      </c>
      <c r="D34" s="593" t="n">
        <v>1</v>
      </c>
      <c r="E34" s="128" t="inlineStr">
        <is>
          <t>28.52</t>
        </is>
      </c>
      <c r="F34" s="692" t="n"/>
      <c r="G34" s="692" t="n"/>
      <c r="L34" s="692" t="n"/>
      <c r="M34" s="692" t="n"/>
      <c r="N34" s="692" t="n"/>
      <c r="O34" s="692" t="n"/>
      <c r="P34" s="692" t="n"/>
      <c r="Q34" s="692" t="n"/>
      <c r="R34" s="692" t="n"/>
      <c r="S34" s="692" t="n"/>
      <c r="T34" s="692" t="n"/>
      <c r="U34" s="692" t="n"/>
      <c r="V34" s="98" t="inlineStr">
        <is>
          <t>M</t>
        </is>
      </c>
      <c r="W34" s="590" t="inlineStr">
        <is>
          <t>400 IM</t>
        </is>
      </c>
      <c r="X34" s="102">
        <f>23.3+0.55</f>
        <v/>
      </c>
      <c r="Y34" s="692" t="n"/>
      <c r="Z34" s="692" t="n"/>
      <c r="AA34" s="692" t="n"/>
      <c r="AB34" s="692" t="n"/>
      <c r="AC34" s="692" t="n"/>
      <c r="AD34" s="692" t="n"/>
      <c r="AE34" s="692" t="n"/>
      <c r="AF34" s="692" t="n"/>
      <c r="AG34" s="692" t="n"/>
      <c r="AH34" s="692" t="n"/>
      <c r="AI34" s="692" t="n"/>
      <c r="AJ34" s="692" t="n"/>
      <c r="AK34" s="692" t="n"/>
      <c r="AL34" s="692" t="n"/>
      <c r="AM34" s="692" t="n"/>
      <c r="AN34" s="692" t="n"/>
      <c r="AO34" s="692" t="n"/>
      <c r="AP34" s="692" t="n"/>
      <c r="AQ34" s="692" t="n"/>
      <c r="AR34" s="692" t="n"/>
      <c r="AS34" s="692" t="n"/>
    </row>
    <row r="35">
      <c r="A35" s="427" t="inlineStr">
        <is>
          <t>F</t>
        </is>
      </c>
      <c r="B35" s="616" t="inlineStr">
        <is>
          <t>50 Back</t>
        </is>
      </c>
      <c r="C35" s="616" t="n">
        <v>18</v>
      </c>
      <c r="D35" s="616" t="n">
        <v>1</v>
      </c>
      <c r="E35" s="127" t="inlineStr">
        <is>
          <t>28.36</t>
        </is>
      </c>
      <c r="F35" s="692" t="n"/>
      <c r="G35" s="692" t="n"/>
      <c r="L35" s="692" t="n"/>
      <c r="M35" s="692" t="n"/>
      <c r="N35" s="692" t="n"/>
      <c r="O35" s="692" t="n"/>
      <c r="P35" s="692" t="n"/>
      <c r="Q35" s="692" t="n"/>
      <c r="R35" s="692" t="n"/>
      <c r="S35" s="692" t="n"/>
      <c r="T35" s="692" t="n"/>
      <c r="U35" s="692" t="n"/>
      <c r="V35" s="119" t="inlineStr">
        <is>
          <t>F</t>
        </is>
      </c>
      <c r="W35" s="122" t="inlineStr">
        <is>
          <t>400 IM</t>
        </is>
      </c>
      <c r="X35" s="123">
        <f>22.3+0.95</f>
        <v/>
      </c>
      <c r="Y35" s="692" t="n"/>
      <c r="Z35" s="692" t="n"/>
      <c r="AA35" s="692" t="n"/>
      <c r="AB35" s="692" t="n"/>
      <c r="AC35" s="692" t="n"/>
      <c r="AD35" s="692" t="n"/>
      <c r="AE35" s="692" t="n"/>
      <c r="AF35" s="692" t="n"/>
      <c r="AG35" s="692" t="n"/>
      <c r="AH35" s="692" t="n"/>
      <c r="AI35" s="692" t="n"/>
      <c r="AJ35" s="692" t="n"/>
      <c r="AK35" s="692" t="n"/>
      <c r="AL35" s="692" t="n"/>
      <c r="AM35" s="692" t="n"/>
      <c r="AN35" s="692" t="n"/>
      <c r="AO35" s="692" t="n"/>
      <c r="AP35" s="692" t="n"/>
      <c r="AQ35" s="692" t="n"/>
      <c r="AR35" s="692" t="n"/>
      <c r="AS35" s="692" t="n"/>
    </row>
    <row r="36">
      <c r="A36" s="420" t="inlineStr">
        <is>
          <t>F</t>
        </is>
      </c>
      <c r="B36" s="593" t="inlineStr">
        <is>
          <t>50 Back</t>
        </is>
      </c>
      <c r="C36" s="593" t="n">
        <v>19</v>
      </c>
      <c r="D36" s="593" t="n">
        <v>1</v>
      </c>
      <c r="E36" s="128" t="n">
        <v>28.22</v>
      </c>
      <c r="F36" s="692" t="n"/>
      <c r="G36" s="692" t="n"/>
      <c r="H36" s="692" t="n"/>
      <c r="I36" s="692" t="n"/>
      <c r="J36" s="692" t="n"/>
      <c r="K36" s="692" t="n"/>
      <c r="L36" s="692" t="n"/>
      <c r="M36" s="692" t="n"/>
      <c r="N36" s="692" t="n"/>
      <c r="O36" s="692" t="n"/>
      <c r="P36" s="692" t="n"/>
      <c r="Q36" s="692" t="n"/>
      <c r="R36" s="692" t="n"/>
      <c r="S36" s="692" t="n"/>
      <c r="T36" s="692" t="n"/>
      <c r="U36" s="692" t="n"/>
      <c r="V36" s="692" t="n"/>
      <c r="W36" s="692" t="n"/>
      <c r="X36" s="692" t="n"/>
      <c r="Y36" s="692" t="n"/>
      <c r="Z36" s="692" t="n"/>
      <c r="AA36" s="692" t="n"/>
      <c r="AB36" s="692" t="n"/>
      <c r="AC36" s="692" t="n"/>
      <c r="AD36" s="692" t="n"/>
      <c r="AE36" s="692" t="n"/>
      <c r="AF36" s="692" t="n"/>
      <c r="AG36" s="692" t="n"/>
      <c r="AH36" s="692" t="n"/>
      <c r="AI36" s="692" t="n"/>
      <c r="AJ36" s="692" t="n"/>
      <c r="AK36" s="692" t="n"/>
      <c r="AL36" s="692" t="n"/>
      <c r="AM36" s="692" t="n"/>
      <c r="AN36" s="692" t="n"/>
      <c r="AO36" s="692" t="n"/>
      <c r="AP36" s="692" t="n"/>
      <c r="AQ36" s="692" t="n"/>
      <c r="AR36" s="692" t="n"/>
      <c r="AS36" s="692" t="n"/>
    </row>
    <row r="37">
      <c r="A37" s="427" t="inlineStr">
        <is>
          <t>F</t>
        </is>
      </c>
      <c r="B37" s="616" t="inlineStr">
        <is>
          <t>100 Back</t>
        </is>
      </c>
      <c r="C37" s="616" t="n">
        <v>13</v>
      </c>
      <c r="D37" s="616" t="n">
        <v>1</v>
      </c>
      <c r="E37" s="127" t="inlineStr">
        <is>
          <t>1:05.85</t>
        </is>
      </c>
      <c r="F37" s="692" t="n"/>
      <c r="G37" s="692" t="n"/>
      <c r="H37" s="692" t="n"/>
      <c r="I37" s="692" t="n"/>
      <c r="J37" s="692" t="n"/>
      <c r="K37" s="692" t="n"/>
      <c r="L37" s="692" t="n"/>
      <c r="M37" s="692" t="n"/>
      <c r="N37" s="692" t="n"/>
      <c r="O37" s="692" t="n"/>
      <c r="P37" s="692" t="n"/>
      <c r="Q37" s="692" t="n"/>
      <c r="R37" s="692" t="n"/>
      <c r="S37" s="692" t="n"/>
      <c r="T37" s="692" t="n"/>
      <c r="U37" s="692" t="n"/>
      <c r="V37" s="692" t="n"/>
      <c r="W37" s="692" t="n"/>
      <c r="X37" s="692" t="n"/>
      <c r="Y37" s="692" t="n"/>
      <c r="Z37" s="692" t="n"/>
      <c r="AA37" s="692" t="n"/>
      <c r="AB37" s="692" t="n"/>
      <c r="AC37" s="692" t="n"/>
      <c r="AD37" s="692" t="n"/>
      <c r="AE37" s="692" t="n"/>
      <c r="AF37" s="692" t="n"/>
      <c r="AG37" s="692" t="n"/>
      <c r="AH37" s="692" t="n"/>
      <c r="AI37" s="692" t="n"/>
      <c r="AJ37" s="692" t="n"/>
      <c r="AK37" s="692" t="n"/>
      <c r="AL37" s="692" t="n"/>
      <c r="AM37" s="692" t="n"/>
      <c r="AN37" s="692" t="n"/>
      <c r="AO37" s="692" t="n"/>
      <c r="AP37" s="692" t="n"/>
      <c r="AQ37" s="692" t="n"/>
      <c r="AR37" s="692" t="n"/>
      <c r="AS37" s="692" t="n"/>
    </row>
    <row r="38">
      <c r="A38" s="420" t="inlineStr">
        <is>
          <t>F</t>
        </is>
      </c>
      <c r="B38" s="593" t="inlineStr">
        <is>
          <t>100 Back</t>
        </is>
      </c>
      <c r="C38" s="593" t="n">
        <v>14</v>
      </c>
      <c r="D38" s="593" t="n">
        <v>1</v>
      </c>
      <c r="E38" s="128" t="inlineStr">
        <is>
          <t>1:03.87</t>
        </is>
      </c>
      <c r="F38" s="692" t="n"/>
      <c r="G38" s="692" t="n"/>
      <c r="H38" s="692" t="n"/>
      <c r="I38" s="692" t="n"/>
      <c r="J38" s="692" t="n"/>
      <c r="K38" s="692" t="n"/>
      <c r="L38" s="692" t="n"/>
      <c r="M38" s="692" t="n"/>
      <c r="N38" s="692" t="n"/>
      <c r="O38" s="692" t="n"/>
      <c r="P38" s="692" t="n"/>
      <c r="Q38" s="692" t="n"/>
      <c r="R38" s="692" t="n"/>
      <c r="S38" s="692" t="n"/>
      <c r="T38" s="692" t="n"/>
      <c r="U38" s="692" t="n"/>
      <c r="V38" s="692" t="n"/>
      <c r="W38" s="692" t="n"/>
      <c r="X38" s="692" t="n"/>
      <c r="Y38" s="692" t="n"/>
      <c r="Z38" s="692" t="n"/>
      <c r="AA38" s="692" t="n"/>
      <c r="AB38" s="692" t="n"/>
      <c r="AC38" s="692" t="n"/>
      <c r="AD38" s="692" t="n"/>
      <c r="AE38" s="692" t="n"/>
      <c r="AF38" s="692" t="n"/>
      <c r="AG38" s="692" t="n"/>
      <c r="AH38" s="692" t="n"/>
      <c r="AI38" s="692" t="n"/>
      <c r="AJ38" s="692" t="n"/>
      <c r="AK38" s="692" t="n"/>
      <c r="AL38" s="692" t="n"/>
      <c r="AM38" s="692" t="n"/>
      <c r="AN38" s="692" t="n"/>
      <c r="AO38" s="692" t="n"/>
      <c r="AP38" s="692" t="n"/>
      <c r="AQ38" s="692" t="n"/>
      <c r="AR38" s="692" t="n"/>
      <c r="AS38" s="692" t="n"/>
    </row>
    <row r="39">
      <c r="A39" s="427" t="inlineStr">
        <is>
          <t>F</t>
        </is>
      </c>
      <c r="B39" s="616" t="inlineStr">
        <is>
          <t>100 Back</t>
        </is>
      </c>
      <c r="C39" s="616" t="n">
        <v>15</v>
      </c>
      <c r="D39" s="616" t="n">
        <v>1</v>
      </c>
      <c r="E39" s="127" t="inlineStr">
        <is>
          <t>1:02.34</t>
        </is>
      </c>
      <c r="F39" s="692" t="n"/>
      <c r="G39" s="692" t="n"/>
      <c r="H39" s="692" t="n"/>
      <c r="I39" s="692" t="n"/>
      <c r="J39" s="692" t="n"/>
      <c r="K39" s="692" t="n"/>
      <c r="L39" s="692" t="n"/>
      <c r="M39" s="692" t="n"/>
      <c r="N39" s="692" t="n"/>
      <c r="O39" s="692" t="n"/>
      <c r="P39" s="692" t="n"/>
      <c r="Q39" s="692" t="n"/>
      <c r="R39" s="692" t="n"/>
      <c r="S39" s="692" t="n"/>
      <c r="T39" s="692" t="n"/>
      <c r="U39" s="692" t="n"/>
      <c r="V39" s="692" t="n"/>
      <c r="W39" s="692" t="n"/>
      <c r="X39" s="692" t="n"/>
      <c r="Y39" s="692" t="n"/>
      <c r="Z39" s="692" t="n"/>
      <c r="AA39" s="692" t="n"/>
      <c r="AB39" s="692" t="n"/>
      <c r="AC39" s="692" t="n"/>
      <c r="AD39" s="692" t="n"/>
      <c r="AE39" s="692" t="n"/>
      <c r="AF39" s="692" t="n"/>
      <c r="AG39" s="692" t="n"/>
      <c r="AH39" s="692" t="n"/>
      <c r="AI39" s="692" t="n"/>
      <c r="AJ39" s="692" t="n"/>
      <c r="AK39" s="692" t="n"/>
      <c r="AL39" s="692" t="n"/>
      <c r="AM39" s="692" t="n"/>
      <c r="AN39" s="692" t="n"/>
      <c r="AO39" s="692" t="n"/>
      <c r="AP39" s="692" t="n"/>
      <c r="AQ39" s="692" t="n"/>
      <c r="AR39" s="692" t="n"/>
      <c r="AS39" s="692" t="n"/>
    </row>
    <row r="40">
      <c r="A40" s="420" t="inlineStr">
        <is>
          <t>F</t>
        </is>
      </c>
      <c r="B40" s="593" t="inlineStr">
        <is>
          <t>100 Back</t>
        </is>
      </c>
      <c r="C40" s="593" t="n">
        <v>16</v>
      </c>
      <c r="D40" s="593" t="n">
        <v>1</v>
      </c>
      <c r="E40" s="128" t="inlineStr">
        <is>
          <t>1:01.22</t>
        </is>
      </c>
      <c r="F40" s="692" t="n"/>
      <c r="G40" s="692" t="n"/>
      <c r="H40" s="692" t="n"/>
      <c r="I40" s="692" t="n"/>
      <c r="J40" s="692" t="n"/>
      <c r="K40" s="692" t="n"/>
      <c r="L40" s="692" t="n"/>
      <c r="M40" s="692" t="n"/>
      <c r="N40" s="692" t="n"/>
      <c r="O40" s="692" t="n"/>
      <c r="P40" s="692" t="n"/>
      <c r="Q40" s="692" t="n"/>
      <c r="R40" s="692" t="n"/>
      <c r="S40" s="692" t="n"/>
      <c r="T40" s="692" t="n"/>
      <c r="U40" s="692" t="n"/>
      <c r="V40" s="692" t="n"/>
      <c r="W40" s="692" t="n"/>
      <c r="X40" s="692" t="n"/>
      <c r="Y40" s="692" t="n"/>
      <c r="Z40" s="692" t="n"/>
      <c r="AA40" s="692" t="n"/>
      <c r="AB40" s="692" t="n"/>
      <c r="AC40" s="692" t="n"/>
      <c r="AD40" s="692" t="n"/>
      <c r="AE40" s="692" t="n"/>
      <c r="AF40" s="692" t="n"/>
      <c r="AG40" s="692" t="n"/>
      <c r="AH40" s="692" t="n"/>
      <c r="AI40" s="692" t="n"/>
      <c r="AJ40" s="692" t="n"/>
      <c r="AK40" s="692" t="n"/>
      <c r="AL40" s="692" t="n"/>
      <c r="AM40" s="692" t="n"/>
      <c r="AN40" s="692" t="n"/>
      <c r="AO40" s="692" t="n"/>
      <c r="AP40" s="692" t="n"/>
      <c r="AQ40" s="692" t="n"/>
      <c r="AR40" s="692" t="n"/>
      <c r="AS40" s="692" t="n"/>
    </row>
    <row r="41">
      <c r="A41" s="427" t="inlineStr">
        <is>
          <t>F</t>
        </is>
      </c>
      <c r="B41" s="616" t="inlineStr">
        <is>
          <t>100 Back</t>
        </is>
      </c>
      <c r="C41" s="616" t="n">
        <v>17</v>
      </c>
      <c r="D41" s="616" t="n">
        <v>1</v>
      </c>
      <c r="E41" s="127" t="inlineStr">
        <is>
          <t>1:00.46</t>
        </is>
      </c>
      <c r="F41" s="125" t="n"/>
      <c r="G41" s="692" t="n"/>
      <c r="H41" s="692" t="n"/>
      <c r="I41" s="692" t="n"/>
      <c r="J41" s="692" t="n"/>
      <c r="K41" s="692" t="n"/>
      <c r="L41" s="692" t="n"/>
      <c r="M41" s="692" t="n"/>
      <c r="N41" s="692" t="n"/>
      <c r="O41" s="692" t="n"/>
      <c r="P41" s="692" t="n"/>
      <c r="Q41" s="692" t="n"/>
      <c r="R41" s="692" t="n"/>
      <c r="S41" s="692" t="n"/>
      <c r="T41" s="692" t="n"/>
      <c r="U41" s="692" t="n"/>
      <c r="V41" s="692" t="n"/>
      <c r="W41" s="692" t="n"/>
      <c r="X41" s="692" t="n"/>
      <c r="Y41" s="692" t="n"/>
      <c r="Z41" s="692" t="n"/>
      <c r="AA41" s="692" t="n"/>
      <c r="AB41" s="692" t="n"/>
      <c r="AC41" s="692" t="n"/>
      <c r="AD41" s="692" t="n"/>
      <c r="AE41" s="692" t="n"/>
      <c r="AF41" s="692" t="n"/>
      <c r="AG41" s="692" t="n"/>
      <c r="AH41" s="692" t="n"/>
      <c r="AI41" s="692" t="n"/>
      <c r="AJ41" s="692" t="n"/>
      <c r="AK41" s="692" t="n"/>
      <c r="AL41" s="692" t="n"/>
      <c r="AM41" s="692" t="n"/>
      <c r="AN41" s="692" t="n"/>
      <c r="AO41" s="692" t="n"/>
      <c r="AP41" s="692" t="n"/>
      <c r="AQ41" s="692" t="n"/>
      <c r="AR41" s="692" t="n"/>
      <c r="AS41" s="692" t="n"/>
    </row>
    <row r="42">
      <c r="A42" s="420" t="inlineStr">
        <is>
          <t>F</t>
        </is>
      </c>
      <c r="B42" s="593" t="inlineStr">
        <is>
          <t>200 Back</t>
        </is>
      </c>
      <c r="C42" s="593" t="n">
        <v>13</v>
      </c>
      <c r="D42" s="593" t="n">
        <v>1</v>
      </c>
      <c r="E42" s="128" t="inlineStr">
        <is>
          <t>2:23.84</t>
        </is>
      </c>
      <c r="F42" s="692" t="n"/>
      <c r="G42" s="692" t="n"/>
      <c r="H42" s="692" t="n"/>
      <c r="I42" s="692" t="n"/>
      <c r="J42" s="692" t="n"/>
      <c r="K42" s="692" t="n"/>
      <c r="L42" s="692" t="n"/>
      <c r="M42" s="692" t="n"/>
      <c r="N42" s="692" t="n"/>
      <c r="O42" s="692" t="n"/>
      <c r="P42" s="692" t="n"/>
      <c r="Q42" s="692" t="n"/>
      <c r="R42" s="692" t="n"/>
      <c r="S42" s="692" t="n"/>
      <c r="T42" s="692" t="n"/>
      <c r="U42" s="692" t="n"/>
      <c r="Y42" s="692" t="n"/>
      <c r="Z42" s="692" t="n"/>
      <c r="AA42" s="692" t="n"/>
      <c r="AB42" s="692" t="n"/>
      <c r="AC42" s="692" t="n"/>
      <c r="AD42" s="692" t="n"/>
      <c r="AE42" s="692" t="n"/>
      <c r="AF42" s="692" t="n"/>
      <c r="AG42" s="692" t="n"/>
      <c r="AH42" s="692" t="n"/>
      <c r="AI42" s="692" t="n"/>
      <c r="AJ42" s="692" t="n"/>
      <c r="AK42" s="692" t="n"/>
      <c r="AL42" s="692" t="n"/>
      <c r="AM42" s="692" t="n"/>
      <c r="AN42" s="692" t="n"/>
      <c r="AO42" s="692" t="n"/>
      <c r="AP42" s="692" t="n"/>
      <c r="AQ42" s="692" t="n"/>
      <c r="AR42" s="692" t="n"/>
      <c r="AS42" s="692" t="n"/>
    </row>
    <row r="43">
      <c r="A43" s="427" t="inlineStr">
        <is>
          <t>F</t>
        </is>
      </c>
      <c r="B43" s="616" t="inlineStr">
        <is>
          <t>200 Back</t>
        </is>
      </c>
      <c r="C43" s="616" t="n">
        <v>14</v>
      </c>
      <c r="D43" s="616" t="n">
        <v>1</v>
      </c>
      <c r="E43" s="127" t="inlineStr">
        <is>
          <t>2:18.64</t>
        </is>
      </c>
      <c r="F43" s="692" t="n"/>
      <c r="G43" s="692" t="n"/>
      <c r="H43" s="692" t="n"/>
      <c r="I43" s="692" t="n"/>
      <c r="J43" s="692" t="n"/>
      <c r="K43" s="692" t="n"/>
      <c r="L43" s="692" t="n"/>
      <c r="M43" s="692" t="n"/>
      <c r="N43" s="692" t="n"/>
      <c r="O43" s="692" t="n"/>
      <c r="P43" s="692" t="n"/>
      <c r="Q43" s="692" t="n"/>
      <c r="U43" s="692" t="n"/>
      <c r="Y43" s="692" t="n"/>
      <c r="Z43" s="692" t="n"/>
      <c r="AA43" s="692" t="n"/>
      <c r="AB43" s="692" t="n"/>
      <c r="AC43" s="692" t="n"/>
      <c r="AD43" s="692" t="n"/>
      <c r="AE43" s="692" t="n"/>
      <c r="AF43" s="692" t="n"/>
      <c r="AG43" s="692" t="n"/>
      <c r="AH43" s="692" t="n"/>
      <c r="AI43" s="692" t="n"/>
      <c r="AJ43" s="692" t="n"/>
      <c r="AK43" s="692" t="n"/>
      <c r="AL43" s="692" t="n"/>
      <c r="AM43" s="692" t="n"/>
      <c r="AN43" s="692" t="n"/>
      <c r="AO43" s="692" t="n"/>
      <c r="AP43" s="692" t="n"/>
      <c r="AQ43" s="692" t="n"/>
      <c r="AR43" s="692" t="n"/>
      <c r="AS43" s="692" t="n"/>
    </row>
    <row r="44">
      <c r="A44" s="420" t="inlineStr">
        <is>
          <t>F</t>
        </is>
      </c>
      <c r="B44" s="593" t="inlineStr">
        <is>
          <t>200 Back</t>
        </is>
      </c>
      <c r="C44" s="593" t="n">
        <v>15</v>
      </c>
      <c r="D44" s="593" t="n">
        <v>1</v>
      </c>
      <c r="E44" s="128" t="inlineStr">
        <is>
          <t>2:14.97</t>
        </is>
      </c>
      <c r="F44" s="692" t="n"/>
      <c r="G44" s="692" t="n"/>
      <c r="H44" s="692" t="n"/>
      <c r="L44" s="692" t="n"/>
      <c r="Y44" s="692" t="n"/>
      <c r="Z44" s="692" t="n"/>
      <c r="AA44" s="692" t="n"/>
      <c r="AB44" s="692" t="n"/>
      <c r="AC44" s="692" t="n"/>
      <c r="AD44" s="692" t="n"/>
      <c r="AE44" s="692" t="n"/>
      <c r="AF44" s="692" t="n"/>
      <c r="AG44" s="692" t="n"/>
      <c r="AH44" s="692" t="n"/>
      <c r="AI44" s="692" t="n"/>
      <c r="AJ44" s="692" t="n"/>
      <c r="AK44" s="692" t="n"/>
      <c r="AL44" s="692" t="n"/>
      <c r="AM44" s="692" t="n"/>
      <c r="AN44" s="692" t="n"/>
      <c r="AO44" s="692" t="n"/>
      <c r="AP44" s="692" t="n"/>
      <c r="AQ44" s="692" t="n"/>
      <c r="AR44" s="692" t="n"/>
      <c r="AS44" s="692" t="n"/>
    </row>
    <row r="45">
      <c r="A45" s="427" t="inlineStr">
        <is>
          <t>F</t>
        </is>
      </c>
      <c r="B45" s="616" t="inlineStr">
        <is>
          <t>200 Back</t>
        </is>
      </c>
      <c r="C45" s="616" t="n">
        <v>16</v>
      </c>
      <c r="D45" s="616" t="n">
        <v>1</v>
      </c>
      <c r="E45" s="127" t="inlineStr">
        <is>
          <t>2:12.63</t>
        </is>
      </c>
      <c r="F45" s="692" t="n"/>
      <c r="G45" s="692" t="n"/>
      <c r="H45" s="692" t="n"/>
      <c r="Y45" s="692" t="n"/>
      <c r="Z45" s="692" t="n"/>
      <c r="AA45" s="692" t="n"/>
      <c r="AB45" s="692" t="n"/>
      <c r="AC45" s="692" t="n"/>
      <c r="AD45" s="692" t="n"/>
      <c r="AE45" s="692" t="n"/>
      <c r="AF45" s="692" t="n"/>
      <c r="AG45" s="692" t="n"/>
      <c r="AH45" s="692" t="n"/>
      <c r="AI45" s="692" t="n"/>
      <c r="AJ45" s="692" t="n"/>
      <c r="AK45" s="692" t="n"/>
      <c r="AL45" s="692" t="n"/>
      <c r="AM45" s="692" t="n"/>
      <c r="AN45" s="692" t="n"/>
      <c r="AO45" s="692" t="n"/>
      <c r="AP45" s="692" t="n"/>
      <c r="AQ45" s="692" t="n"/>
      <c r="AR45" s="692" t="n"/>
      <c r="AS45" s="692" t="n"/>
    </row>
    <row r="46">
      <c r="A46" s="420" t="inlineStr">
        <is>
          <t>F</t>
        </is>
      </c>
      <c r="B46" s="593" t="inlineStr">
        <is>
          <t>200 Back</t>
        </is>
      </c>
      <c r="C46" s="593" t="n">
        <v>17</v>
      </c>
      <c r="D46" s="593" t="n">
        <v>1</v>
      </c>
      <c r="E46" s="128" t="inlineStr">
        <is>
          <t>2:11.08</t>
        </is>
      </c>
      <c r="F46" s="692" t="n"/>
      <c r="G46" s="692" t="n"/>
      <c r="H46" s="692" t="n"/>
      <c r="Y46" s="692" t="n"/>
      <c r="Z46" s="692" t="n"/>
      <c r="AA46" s="692" t="n"/>
      <c r="AB46" s="692" t="n"/>
      <c r="AC46" s="692" t="n"/>
      <c r="AD46" s="692" t="n"/>
      <c r="AE46" s="692" t="n"/>
      <c r="AF46" s="692" t="n"/>
      <c r="AG46" s="692" t="n"/>
      <c r="AH46" s="692" t="n"/>
      <c r="AI46" s="692" t="n"/>
      <c r="AJ46" s="692" t="n"/>
      <c r="AK46" s="692" t="n"/>
      <c r="AL46" s="692" t="n"/>
      <c r="AM46" s="692" t="n"/>
      <c r="AN46" s="692" t="n"/>
      <c r="AO46" s="692" t="n"/>
      <c r="AP46" s="692" t="n"/>
      <c r="AQ46" s="692" t="n"/>
      <c r="AR46" s="692" t="n"/>
      <c r="AS46" s="692" t="n"/>
    </row>
    <row r="47">
      <c r="A47" s="427" t="inlineStr">
        <is>
          <t>F</t>
        </is>
      </c>
      <c r="B47" s="616" t="inlineStr">
        <is>
          <t>50 Breast</t>
        </is>
      </c>
      <c r="C47" s="616" t="n">
        <v>16</v>
      </c>
      <c r="D47" s="616" t="n">
        <v>1</v>
      </c>
      <c r="E47" s="127" t="inlineStr">
        <is>
          <t>31.56</t>
        </is>
      </c>
      <c r="F47" s="692" t="n"/>
      <c r="G47" s="692" t="n"/>
      <c r="H47" s="692" t="n"/>
      <c r="Y47" s="692" t="n"/>
      <c r="Z47" s="692" t="n"/>
      <c r="AA47" s="692" t="n"/>
      <c r="AB47" s="692" t="n"/>
      <c r="AC47" s="692" t="n"/>
      <c r="AD47" s="692" t="n"/>
      <c r="AE47" s="692" t="n"/>
      <c r="AF47" s="692" t="n"/>
      <c r="AG47" s="692" t="n"/>
      <c r="AH47" s="692" t="n"/>
      <c r="AI47" s="692" t="n"/>
      <c r="AJ47" s="692" t="n"/>
      <c r="AK47" s="692" t="n"/>
      <c r="AL47" s="692" t="n"/>
      <c r="AM47" s="692" t="n"/>
      <c r="AN47" s="692" t="n"/>
      <c r="AO47" s="692" t="n"/>
      <c r="AP47" s="692" t="n"/>
      <c r="AQ47" s="692" t="n"/>
      <c r="AR47" s="692" t="n"/>
      <c r="AS47" s="692" t="n"/>
    </row>
    <row r="48">
      <c r="A48" s="420" t="inlineStr">
        <is>
          <t>F</t>
        </is>
      </c>
      <c r="B48" s="593" t="inlineStr">
        <is>
          <t>50 Breast</t>
        </is>
      </c>
      <c r="C48" s="593" t="n">
        <v>17</v>
      </c>
      <c r="D48" s="593" t="n">
        <v>1</v>
      </c>
      <c r="E48" s="128" t="inlineStr">
        <is>
          <t>31.20</t>
        </is>
      </c>
      <c r="F48" s="692" t="n"/>
      <c r="G48" s="692" t="n"/>
      <c r="H48" s="692" t="n"/>
      <c r="Y48" s="692" t="n"/>
      <c r="Z48" s="692" t="n"/>
      <c r="AA48" s="692" t="n"/>
      <c r="AB48" s="692" t="n"/>
      <c r="AC48" s="692" t="n"/>
      <c r="AD48" s="692" t="n"/>
      <c r="AE48" s="692" t="n"/>
      <c r="AF48" s="692" t="n"/>
      <c r="AG48" s="692" t="n"/>
      <c r="AH48" s="692" t="n"/>
      <c r="AI48" s="692" t="n"/>
      <c r="AJ48" s="692" t="n"/>
      <c r="AK48" s="692" t="n"/>
      <c r="AL48" s="692" t="n"/>
      <c r="AM48" s="692" t="n"/>
      <c r="AN48" s="692" t="n"/>
      <c r="AO48" s="692" t="n"/>
      <c r="AP48" s="692" t="n"/>
      <c r="AQ48" s="692" t="n"/>
      <c r="AR48" s="692" t="n"/>
      <c r="AS48" s="692" t="n"/>
    </row>
    <row r="49">
      <c r="A49" s="427" t="inlineStr">
        <is>
          <t>F</t>
        </is>
      </c>
      <c r="B49" s="616" t="inlineStr">
        <is>
          <t>50 Breast</t>
        </is>
      </c>
      <c r="C49" s="616" t="n">
        <v>18</v>
      </c>
      <c r="D49" s="616" t="n">
        <v>1</v>
      </c>
      <c r="E49" s="127" t="inlineStr">
        <is>
          <t>31.00</t>
        </is>
      </c>
      <c r="F49" s="692" t="n"/>
      <c r="G49" s="692" t="n"/>
      <c r="H49" s="692" t="n"/>
      <c r="Y49" s="158" t="n"/>
      <c r="Z49" s="158" t="n"/>
      <c r="AA49" s="692" t="n"/>
      <c r="AB49" s="692" t="n"/>
      <c r="AC49" s="692" t="n"/>
      <c r="AD49" s="692" t="n"/>
      <c r="AE49" s="692" t="n"/>
      <c r="AF49" s="692" t="n"/>
      <c r="AG49" s="692" t="n"/>
      <c r="AH49" s="692" t="n"/>
      <c r="AI49" s="692" t="n"/>
      <c r="AJ49" s="692" t="n"/>
      <c r="AK49" s="692" t="n"/>
      <c r="AL49" s="692" t="n"/>
      <c r="AM49" s="692" t="n"/>
      <c r="AN49" s="692" t="n"/>
      <c r="AO49" s="692" t="n"/>
      <c r="AP49" s="692" t="n"/>
      <c r="AQ49" s="692" t="n"/>
      <c r="AR49" s="692" t="n"/>
      <c r="AS49" s="692" t="n"/>
    </row>
    <row r="50">
      <c r="A50" s="420" t="inlineStr">
        <is>
          <t>F</t>
        </is>
      </c>
      <c r="B50" s="593" t="inlineStr">
        <is>
          <t>50 Breast</t>
        </is>
      </c>
      <c r="C50" s="593" t="n">
        <v>19</v>
      </c>
      <c r="D50" s="593" t="n">
        <v>1</v>
      </c>
      <c r="E50" s="128" t="n">
        <v>30.86</v>
      </c>
      <c r="F50" s="692" t="n"/>
      <c r="G50" s="692" t="n"/>
      <c r="H50" s="692" t="n"/>
      <c r="Y50" s="692" t="n"/>
      <c r="Z50" s="692" t="n"/>
      <c r="AA50" s="692" t="n"/>
      <c r="AB50" s="692" t="n"/>
      <c r="AC50" s="692" t="n"/>
      <c r="AD50" s="692" t="n"/>
      <c r="AE50" s="692" t="n"/>
      <c r="AF50" s="692" t="n"/>
      <c r="AG50" s="692" t="n"/>
      <c r="AH50" s="692" t="n"/>
      <c r="AI50" s="692" t="n"/>
      <c r="AJ50" s="692" t="n"/>
      <c r="AK50" s="692" t="n"/>
      <c r="AL50" s="692" t="n"/>
      <c r="AM50" s="692" t="n"/>
      <c r="AN50" s="692" t="n"/>
      <c r="AO50" s="692" t="n"/>
      <c r="AP50" s="692" t="n"/>
      <c r="AQ50" s="692" t="n"/>
      <c r="AR50" s="692" t="n"/>
      <c r="AS50" s="692" t="n"/>
    </row>
    <row r="51">
      <c r="A51" s="427" t="inlineStr">
        <is>
          <t>F</t>
        </is>
      </c>
      <c r="B51" s="616" t="inlineStr">
        <is>
          <t>50 Breast</t>
        </is>
      </c>
      <c r="C51" s="616" t="n">
        <v>20</v>
      </c>
      <c r="D51" s="616" t="n">
        <v>1</v>
      </c>
      <c r="E51" s="127" t="inlineStr">
        <is>
          <t>30.75</t>
        </is>
      </c>
      <c r="F51" s="692" t="n"/>
      <c r="G51" s="692" t="n"/>
      <c r="H51" s="692" t="n"/>
      <c r="Y51" s="692" t="n"/>
      <c r="Z51" s="692" t="n"/>
      <c r="AA51" s="692" t="n"/>
      <c r="AB51" s="692" t="n"/>
      <c r="AC51" s="692" t="n"/>
      <c r="AD51" s="692" t="n"/>
      <c r="AE51" s="692" t="n"/>
      <c r="AF51" s="692" t="n"/>
      <c r="AG51" s="692" t="n"/>
      <c r="AH51" s="692" t="n"/>
      <c r="AI51" s="692" t="n"/>
      <c r="AJ51" s="692" t="n"/>
      <c r="AK51" s="692" t="n"/>
      <c r="AL51" s="692" t="n"/>
      <c r="AM51" s="692" t="n"/>
      <c r="AN51" s="692" t="n"/>
      <c r="AO51" s="692" t="n"/>
      <c r="AP51" s="692" t="n"/>
      <c r="AQ51" s="692" t="n"/>
      <c r="AR51" s="692" t="n"/>
      <c r="AS51" s="692" t="n"/>
    </row>
    <row r="52">
      <c r="A52" s="420" t="inlineStr">
        <is>
          <t>F</t>
        </is>
      </c>
      <c r="B52" s="593" t="inlineStr">
        <is>
          <t>100 Breast</t>
        </is>
      </c>
      <c r="C52" s="593" t="n">
        <v>15</v>
      </c>
      <c r="D52" s="593" t="n">
        <v>1</v>
      </c>
      <c r="E52" s="128" t="inlineStr">
        <is>
          <t>1:09.68</t>
        </is>
      </c>
      <c r="F52" s="692" t="n"/>
      <c r="G52" s="692" t="n"/>
      <c r="H52" s="692" t="n"/>
      <c r="Y52" s="692" t="n"/>
      <c r="Z52" s="692" t="n"/>
      <c r="AA52" s="692" t="n"/>
      <c r="AB52" s="692" t="n"/>
      <c r="AC52" s="692" t="n"/>
      <c r="AD52" s="692" t="n"/>
      <c r="AE52" s="692" t="n"/>
      <c r="AF52" s="692" t="n"/>
      <c r="AG52" s="692" t="n"/>
      <c r="AH52" s="692" t="n"/>
      <c r="AI52" s="692" t="n"/>
      <c r="AJ52" s="692" t="n"/>
      <c r="AK52" s="692" t="n"/>
      <c r="AL52" s="692" t="n"/>
      <c r="AM52" s="692" t="n"/>
      <c r="AN52" s="692" t="n"/>
      <c r="AO52" s="692" t="n"/>
      <c r="AP52" s="692" t="n"/>
      <c r="AQ52" s="692" t="n"/>
      <c r="AR52" s="692" t="n"/>
      <c r="AS52" s="692" t="n"/>
    </row>
    <row r="53">
      <c r="A53" s="427" t="inlineStr">
        <is>
          <t>F</t>
        </is>
      </c>
      <c r="B53" s="616" t="inlineStr">
        <is>
          <t>100 Breast</t>
        </is>
      </c>
      <c r="C53" s="616" t="n">
        <v>16</v>
      </c>
      <c r="D53" s="616" t="n">
        <v>1</v>
      </c>
      <c r="E53" s="127" t="inlineStr">
        <is>
          <t>1:08.45</t>
        </is>
      </c>
      <c r="F53" s="692" t="n"/>
      <c r="G53" s="692" t="n"/>
      <c r="H53" s="692" t="n"/>
      <c r="Y53" s="158" t="n"/>
      <c r="Z53" s="158" t="n"/>
      <c r="AA53" s="158" t="n"/>
      <c r="AB53" s="158" t="n"/>
      <c r="AC53" s="158" t="n"/>
      <c r="AD53" s="692" t="n"/>
      <c r="AE53" s="692" t="n"/>
      <c r="AF53" s="692" t="n"/>
      <c r="AG53" s="692" t="n"/>
      <c r="AH53" s="692" t="n"/>
      <c r="AI53" s="692" t="n"/>
      <c r="AJ53" s="692" t="n"/>
      <c r="AK53" s="692" t="n"/>
      <c r="AL53" s="692" t="n"/>
      <c r="AM53" s="692" t="n"/>
      <c r="AN53" s="692" t="n"/>
      <c r="AO53" s="692" t="n"/>
      <c r="AP53" s="692" t="n"/>
      <c r="AQ53" s="692" t="n"/>
      <c r="AR53" s="692" t="n"/>
      <c r="AS53" s="692" t="n"/>
    </row>
    <row r="54">
      <c r="A54" s="420" t="inlineStr">
        <is>
          <t>F</t>
        </is>
      </c>
      <c r="B54" s="593" t="inlineStr">
        <is>
          <t>100 Breast</t>
        </is>
      </c>
      <c r="C54" s="593" t="n">
        <v>17</v>
      </c>
      <c r="D54" s="593" t="n">
        <v>1</v>
      </c>
      <c r="E54" s="128" t="inlineStr">
        <is>
          <t>1:07.71</t>
        </is>
      </c>
      <c r="F54" s="692" t="n"/>
      <c r="G54" s="692" t="n"/>
      <c r="H54" s="692" t="n"/>
      <c r="Y54" s="158" t="n"/>
      <c r="Z54" s="692" t="n"/>
      <c r="AA54" s="692" t="n"/>
      <c r="AB54" s="692" t="n"/>
      <c r="AC54" s="692" t="n"/>
      <c r="AD54" s="692" t="n"/>
      <c r="AE54" s="692" t="n"/>
      <c r="AF54" s="692" t="n"/>
      <c r="AG54" s="692" t="n"/>
      <c r="AH54" s="692" t="n"/>
      <c r="AI54" s="692" t="n"/>
      <c r="AJ54" s="692" t="n"/>
      <c r="AK54" s="692" t="n"/>
      <c r="AL54" s="692" t="n"/>
      <c r="AM54" s="692" t="n"/>
      <c r="AN54" s="692" t="n"/>
      <c r="AO54" s="692" t="n"/>
      <c r="AP54" s="692" t="n"/>
      <c r="AQ54" s="692" t="n"/>
      <c r="AR54" s="692" t="n"/>
      <c r="AS54" s="692" t="n"/>
    </row>
    <row r="55">
      <c r="A55" s="427" t="inlineStr">
        <is>
          <t>F</t>
        </is>
      </c>
      <c r="B55" s="616" t="inlineStr">
        <is>
          <t>100 Breast</t>
        </is>
      </c>
      <c r="C55" s="616" t="n">
        <v>18</v>
      </c>
      <c r="D55" s="616" t="n">
        <v>1</v>
      </c>
      <c r="E55" s="127" t="inlineStr">
        <is>
          <t>1:07.24</t>
        </is>
      </c>
      <c r="F55" s="692" t="n"/>
      <c r="G55" s="692" t="n"/>
      <c r="H55" s="692" t="n"/>
      <c r="Y55" s="158" t="n"/>
      <c r="Z55" s="158" t="n"/>
      <c r="AA55" s="158" t="n"/>
      <c r="AB55" s="158" t="n"/>
      <c r="AC55" s="158" t="n"/>
      <c r="AD55" s="158" t="n"/>
      <c r="AE55" s="158" t="n"/>
      <c r="AF55" s="158" t="n"/>
      <c r="AG55" s="158" t="n"/>
      <c r="AH55" s="158" t="n"/>
      <c r="AI55" s="158" t="n"/>
      <c r="AJ55" s="158" t="n"/>
      <c r="AK55" s="158" t="n"/>
      <c r="AL55" s="158" t="n"/>
      <c r="AM55" s="158" t="n"/>
      <c r="AN55" s="158" t="n"/>
      <c r="AO55" s="158" t="n"/>
      <c r="AP55" s="158" t="n"/>
      <c r="AQ55" s="158" t="n"/>
      <c r="AR55" s="158" t="n"/>
      <c r="AS55" s="158" t="n"/>
    </row>
    <row r="56">
      <c r="A56" s="420" t="inlineStr">
        <is>
          <t>F</t>
        </is>
      </c>
      <c r="B56" s="593" t="inlineStr">
        <is>
          <t>100 Breast</t>
        </is>
      </c>
      <c r="C56" s="593" t="n">
        <v>19</v>
      </c>
      <c r="D56" s="593" t="n">
        <v>1</v>
      </c>
      <c r="E56" s="128" t="inlineStr">
        <is>
          <t>1:06.87</t>
        </is>
      </c>
      <c r="F56" s="692" t="n"/>
      <c r="G56" s="692" t="n"/>
      <c r="H56" s="692" t="n"/>
      <c r="Y56" s="158" t="n"/>
      <c r="Z56" s="158" t="n"/>
      <c r="AA56" s="158" t="n"/>
      <c r="AB56" s="158" t="n"/>
      <c r="AC56" s="158" t="n"/>
      <c r="AD56" s="158" t="n"/>
      <c r="AE56" s="158" t="n"/>
      <c r="AF56" s="158" t="n"/>
      <c r="AG56" s="158" t="n"/>
      <c r="AH56" s="158" t="n"/>
      <c r="AI56" s="158" t="n"/>
      <c r="AJ56" s="158" t="n"/>
      <c r="AK56" s="158" t="n"/>
      <c r="AL56" s="158" t="n"/>
      <c r="AM56" s="158" t="n"/>
      <c r="AN56" s="158" t="n"/>
      <c r="AO56" s="158" t="n"/>
      <c r="AP56" s="158" t="n"/>
      <c r="AQ56" s="158" t="n"/>
      <c r="AR56" s="158" t="n"/>
      <c r="AS56" s="158" t="n"/>
    </row>
    <row r="57">
      <c r="A57" s="427" t="inlineStr">
        <is>
          <t>F</t>
        </is>
      </c>
      <c r="B57" s="616" t="inlineStr">
        <is>
          <t>200 Breast</t>
        </is>
      </c>
      <c r="C57" s="616" t="n">
        <v>15</v>
      </c>
      <c r="D57" s="616" t="n">
        <v>1</v>
      </c>
      <c r="E57" s="127" t="inlineStr">
        <is>
          <t>2:31.21</t>
        </is>
      </c>
      <c r="F57" s="692" t="n"/>
      <c r="G57" s="692" t="n"/>
      <c r="H57" s="692" t="n"/>
      <c r="Y57" s="692" t="n"/>
      <c r="Z57" s="692" t="n"/>
      <c r="AA57" s="692" t="n"/>
      <c r="AB57" s="692" t="n"/>
      <c r="AC57" s="692" t="n"/>
      <c r="AD57" s="692" t="n"/>
      <c r="AE57" s="692" t="n"/>
      <c r="AF57" s="692" t="n"/>
      <c r="AG57" s="692" t="n"/>
      <c r="AH57" s="692" t="n"/>
      <c r="AI57" s="692" t="n"/>
      <c r="AJ57" s="692" t="n"/>
      <c r="AK57" s="692" t="n"/>
      <c r="AL57" s="692" t="n"/>
      <c r="AM57" s="692" t="n"/>
      <c r="AN57" s="692" t="n"/>
      <c r="AO57" s="692" t="n"/>
      <c r="AP57" s="692" t="n"/>
      <c r="AQ57" s="692" t="n"/>
      <c r="AR57" s="692" t="n"/>
      <c r="AS57" s="692" t="n"/>
    </row>
    <row r="58">
      <c r="A58" s="420" t="inlineStr">
        <is>
          <t>F</t>
        </is>
      </c>
      <c r="B58" s="593" t="inlineStr">
        <is>
          <t>200 Breast</t>
        </is>
      </c>
      <c r="C58" s="593" t="n">
        <v>16</v>
      </c>
      <c r="D58" s="593" t="n">
        <v>1</v>
      </c>
      <c r="E58" s="128" t="inlineStr">
        <is>
          <t>2:28.85</t>
        </is>
      </c>
      <c r="F58" s="692" t="n"/>
      <c r="G58" s="692" t="n"/>
      <c r="H58" s="692" t="n"/>
      <c r="Y58" s="692" t="n"/>
      <c r="Z58" s="692" t="n"/>
      <c r="AA58" s="692" t="n"/>
      <c r="AB58" s="692" t="n"/>
      <c r="AC58" s="692" t="n"/>
      <c r="AD58" s="692" t="n"/>
      <c r="AE58" s="692" t="n"/>
      <c r="AF58" s="692" t="n"/>
      <c r="AG58" s="692" t="n"/>
      <c r="AH58" s="692" t="n"/>
      <c r="AI58" s="692" t="n"/>
      <c r="AJ58" s="692" t="n"/>
      <c r="AK58" s="692" t="n"/>
      <c r="AL58" s="692" t="n"/>
      <c r="AM58" s="692" t="n"/>
      <c r="AN58" s="692" t="n"/>
      <c r="AO58" s="692" t="n"/>
      <c r="AP58" s="692" t="n"/>
      <c r="AQ58" s="692" t="n"/>
      <c r="AR58" s="692" t="n"/>
      <c r="AS58" s="692" t="n"/>
    </row>
    <row r="59">
      <c r="A59" s="427" t="inlineStr">
        <is>
          <t>F</t>
        </is>
      </c>
      <c r="B59" s="616" t="inlineStr">
        <is>
          <t>200 Breast</t>
        </is>
      </c>
      <c r="C59" s="616" t="n">
        <v>17</v>
      </c>
      <c r="D59" s="616" t="n">
        <v>1</v>
      </c>
      <c r="E59" s="127" t="inlineStr">
        <is>
          <t>2:27.43</t>
        </is>
      </c>
      <c r="F59" s="692" t="n"/>
      <c r="G59" s="692" t="n"/>
      <c r="H59" s="692" t="n"/>
      <c r="AF59" s="692" t="n"/>
      <c r="AG59" s="692" t="n"/>
      <c r="AH59" s="692" t="n"/>
      <c r="AI59" s="692" t="n"/>
      <c r="AJ59" s="692" t="n"/>
      <c r="AK59" s="692" t="n"/>
      <c r="AL59" s="692" t="n"/>
      <c r="AM59" s="692" t="n"/>
      <c r="AN59" s="692" t="n"/>
      <c r="AO59" s="692" t="n"/>
      <c r="AP59" s="692" t="n"/>
      <c r="AQ59" s="692" t="n"/>
      <c r="AR59" s="692" t="n"/>
      <c r="AS59" s="692" t="n"/>
    </row>
    <row r="60">
      <c r="A60" s="420" t="inlineStr">
        <is>
          <t>F</t>
        </is>
      </c>
      <c r="B60" s="593" t="inlineStr">
        <is>
          <t>200 Breast</t>
        </is>
      </c>
      <c r="C60" s="593" t="n">
        <v>18</v>
      </c>
      <c r="D60" s="593" t="n">
        <v>1</v>
      </c>
      <c r="E60" s="128" t="inlineStr">
        <is>
          <t>2:26.60</t>
        </is>
      </c>
      <c r="F60" s="692" t="n"/>
      <c r="G60" s="692" t="n"/>
      <c r="H60" s="692" t="n"/>
      <c r="AF60" s="692" t="n"/>
      <c r="AG60" s="692" t="n"/>
      <c r="AH60" s="692" t="n"/>
      <c r="AI60" s="692" t="n"/>
      <c r="AJ60" s="692" t="n"/>
      <c r="AK60" s="692" t="n"/>
      <c r="AL60" s="692" t="n"/>
      <c r="AM60" s="692" t="n"/>
      <c r="AN60" s="692" t="n"/>
      <c r="AO60" s="692" t="n"/>
      <c r="AP60" s="692" t="n"/>
      <c r="AQ60" s="692" t="n"/>
      <c r="AR60" s="692" t="n"/>
      <c r="AS60" s="692" t="n"/>
    </row>
    <row r="61">
      <c r="A61" s="427" t="inlineStr">
        <is>
          <t>F</t>
        </is>
      </c>
      <c r="B61" s="616" t="inlineStr">
        <is>
          <t>200 Breast</t>
        </is>
      </c>
      <c r="C61" s="616" t="n">
        <v>19</v>
      </c>
      <c r="D61" s="616" t="n">
        <v>1</v>
      </c>
      <c r="E61" s="127" t="inlineStr">
        <is>
          <t>2:25.91</t>
        </is>
      </c>
      <c r="F61" s="692" t="n"/>
      <c r="G61" s="692" t="n"/>
      <c r="H61" s="692" t="n"/>
      <c r="AF61" s="692" t="n"/>
      <c r="AG61" s="692" t="n"/>
      <c r="AH61" s="692" t="n"/>
      <c r="AI61" s="692" t="n"/>
      <c r="AJ61" s="692" t="n"/>
      <c r="AK61" s="692" t="n"/>
      <c r="AL61" s="692" t="n"/>
      <c r="AM61" s="692" t="n"/>
      <c r="AN61" s="692" t="n"/>
      <c r="AO61" s="692" t="n"/>
      <c r="AP61" s="692" t="n"/>
      <c r="AQ61" s="692" t="n"/>
      <c r="AR61" s="692" t="n"/>
      <c r="AS61" s="692" t="n"/>
    </row>
    <row r="62">
      <c r="A62" s="420" t="inlineStr">
        <is>
          <t>F</t>
        </is>
      </c>
      <c r="B62" s="593" t="inlineStr">
        <is>
          <t>50 Fly</t>
        </is>
      </c>
      <c r="C62" s="593" t="n">
        <v>17</v>
      </c>
      <c r="D62" s="593" t="n">
        <v>1</v>
      </c>
      <c r="E62" s="426" t="n">
        <v>26.98</v>
      </c>
      <c r="F62" s="692" t="n"/>
      <c r="G62" s="692" t="n"/>
      <c r="H62" s="692" t="n"/>
      <c r="AF62" s="692" t="n"/>
      <c r="AG62" s="692" t="n"/>
      <c r="AH62" s="692" t="n"/>
      <c r="AI62" s="692" t="n"/>
      <c r="AJ62" s="692" t="n"/>
      <c r="AK62" s="692" t="n"/>
      <c r="AL62" s="692" t="n"/>
      <c r="AM62" s="692" t="n"/>
      <c r="AN62" s="692" t="n"/>
      <c r="AO62" s="692" t="n"/>
      <c r="AP62" s="692" t="n"/>
      <c r="AQ62" s="692" t="n"/>
      <c r="AR62" s="692" t="n"/>
      <c r="AS62" s="692" t="n"/>
    </row>
    <row r="63">
      <c r="A63" s="427" t="inlineStr">
        <is>
          <t>F</t>
        </is>
      </c>
      <c r="B63" s="616" t="inlineStr">
        <is>
          <t>50 Fly</t>
        </is>
      </c>
      <c r="C63" s="616" t="n">
        <v>18</v>
      </c>
      <c r="D63" s="616" t="n">
        <v>1</v>
      </c>
      <c r="E63" s="127" t="inlineStr">
        <is>
          <t>26.71</t>
        </is>
      </c>
      <c r="F63" s="692" t="n"/>
      <c r="G63" s="692" t="n"/>
      <c r="H63" s="692" t="n"/>
      <c r="AF63" s="692" t="n"/>
      <c r="AG63" s="692" t="n"/>
      <c r="AH63" s="692" t="n"/>
      <c r="AI63" s="692" t="n"/>
      <c r="AJ63" s="692" t="n"/>
      <c r="AK63" s="692" t="n"/>
      <c r="AL63" s="692" t="n"/>
      <c r="AM63" s="692" t="n"/>
      <c r="AN63" s="692" t="n"/>
      <c r="AO63" s="692" t="n"/>
      <c r="AP63" s="692" t="n"/>
      <c r="AQ63" s="692" t="n"/>
      <c r="AR63" s="692" t="n"/>
      <c r="AS63" s="692" t="n"/>
    </row>
    <row r="64">
      <c r="A64" s="420" t="inlineStr">
        <is>
          <t>F</t>
        </is>
      </c>
      <c r="B64" s="593" t="inlineStr">
        <is>
          <t>50 Fly</t>
        </is>
      </c>
      <c r="C64" s="593" t="n">
        <v>19</v>
      </c>
      <c r="D64" s="593" t="n">
        <v>1</v>
      </c>
      <c r="E64" s="128" t="inlineStr">
        <is>
          <t>26.50</t>
        </is>
      </c>
      <c r="F64" s="692" t="n"/>
      <c r="G64" s="692" t="n"/>
      <c r="H64" s="692" t="n"/>
      <c r="AF64" s="692" t="n"/>
      <c r="AG64" s="692" t="n"/>
      <c r="AH64" s="692" t="n"/>
      <c r="AI64" s="692" t="n"/>
      <c r="AJ64" s="692" t="n"/>
      <c r="AK64" s="692" t="n"/>
      <c r="AL64" s="692" t="n"/>
      <c r="AM64" s="692" t="n"/>
      <c r="AN64" s="692" t="n"/>
      <c r="AO64" s="692" t="n"/>
      <c r="AP64" s="692" t="n"/>
      <c r="AQ64" s="692" t="n"/>
      <c r="AR64" s="692" t="n"/>
      <c r="AS64" s="692" t="n"/>
    </row>
    <row r="65">
      <c r="A65" s="427" t="inlineStr">
        <is>
          <t>F</t>
        </is>
      </c>
      <c r="B65" s="616" t="inlineStr">
        <is>
          <t>50 Fly</t>
        </is>
      </c>
      <c r="C65" s="616" t="n">
        <v>20</v>
      </c>
      <c r="D65" s="616" t="n">
        <v>1</v>
      </c>
      <c r="E65" s="127" t="inlineStr">
        <is>
          <t>26.34</t>
        </is>
      </c>
      <c r="F65" s="692" t="n"/>
      <c r="G65" s="692" t="n"/>
      <c r="H65" s="692" t="n"/>
      <c r="AF65" s="692" t="n"/>
      <c r="AG65" s="692" t="n"/>
      <c r="AH65" s="692" t="n"/>
      <c r="AI65" s="692" t="n"/>
      <c r="AJ65" s="692" t="n"/>
      <c r="AK65" s="692" t="n"/>
      <c r="AL65" s="692" t="n"/>
      <c r="AM65" s="692" t="n"/>
      <c r="AN65" s="692" t="n"/>
      <c r="AO65" s="692" t="n"/>
      <c r="AP65" s="692" t="n"/>
      <c r="AQ65" s="692" t="n"/>
      <c r="AR65" s="692" t="n"/>
      <c r="AS65" s="692" t="n"/>
    </row>
    <row r="66">
      <c r="A66" s="420" t="inlineStr">
        <is>
          <t>F</t>
        </is>
      </c>
      <c r="B66" s="593" t="inlineStr">
        <is>
          <t>50 Fly</t>
        </is>
      </c>
      <c r="C66" s="593" t="n">
        <v>21</v>
      </c>
      <c r="D66" s="593" t="n">
        <v>1</v>
      </c>
      <c r="E66" s="128" t="inlineStr">
        <is>
          <t>26.23</t>
        </is>
      </c>
      <c r="F66" s="692" t="n"/>
      <c r="G66" s="692" t="n"/>
      <c r="H66" s="692" t="n"/>
      <c r="AF66" s="692" t="n"/>
      <c r="AG66" s="692" t="n"/>
      <c r="AH66" s="692" t="n"/>
      <c r="AI66" s="692" t="n"/>
      <c r="AJ66" s="692" t="n"/>
      <c r="AK66" s="692" t="n"/>
      <c r="AL66" s="692" t="n"/>
      <c r="AM66" s="692" t="n"/>
      <c r="AN66" s="692" t="n"/>
      <c r="AO66" s="692" t="n"/>
      <c r="AP66" s="692" t="n"/>
      <c r="AQ66" s="692" t="n"/>
      <c r="AR66" s="692" t="n"/>
      <c r="AS66" s="692" t="n"/>
    </row>
    <row r="67">
      <c r="A67" s="427" t="inlineStr">
        <is>
          <t>F</t>
        </is>
      </c>
      <c r="B67" s="616" t="inlineStr">
        <is>
          <t>100 Fly</t>
        </is>
      </c>
      <c r="C67" s="616" t="n">
        <v>15</v>
      </c>
      <c r="D67" s="221" t="n">
        <v>1</v>
      </c>
      <c r="E67" s="127" t="inlineStr">
        <is>
          <t>1:01.67</t>
        </is>
      </c>
      <c r="F67" s="692" t="n"/>
      <c r="G67" s="692" t="n"/>
      <c r="H67" s="692" t="n"/>
      <c r="AF67" s="692" t="n"/>
      <c r="AG67" s="692" t="n"/>
      <c r="AH67" s="692" t="n"/>
      <c r="AI67" s="692" t="n"/>
      <c r="AJ67" s="692" t="n"/>
      <c r="AK67" s="692" t="n"/>
      <c r="AL67" s="692" t="n"/>
      <c r="AM67" s="692" t="n"/>
      <c r="AN67" s="692" t="n"/>
      <c r="AO67" s="692" t="n"/>
      <c r="AP67" s="692" t="n"/>
      <c r="AQ67" s="692" t="n"/>
      <c r="AR67" s="692" t="n"/>
      <c r="AS67" s="692" t="n"/>
    </row>
    <row r="68">
      <c r="A68" s="420" t="inlineStr">
        <is>
          <t>F</t>
        </is>
      </c>
      <c r="B68" s="593" t="inlineStr">
        <is>
          <t>100 Fly</t>
        </is>
      </c>
      <c r="C68" s="593" t="n">
        <v>16</v>
      </c>
      <c r="D68" s="219" t="n">
        <v>1</v>
      </c>
      <c r="E68" s="128" t="inlineStr">
        <is>
          <t>1:00.43</t>
        </is>
      </c>
      <c r="F68" s="692" t="n"/>
      <c r="G68" s="692" t="n"/>
      <c r="H68" s="692" t="n"/>
      <c r="AF68" s="692" t="n"/>
      <c r="AG68" s="692" t="n"/>
      <c r="AH68" s="692" t="n"/>
      <c r="AI68" s="692" t="n"/>
      <c r="AJ68" s="692" t="n"/>
      <c r="AK68" s="692" t="n"/>
      <c r="AL68" s="692" t="n"/>
      <c r="AM68" s="692" t="n"/>
      <c r="AN68" s="692" t="n"/>
      <c r="AO68" s="692" t="n"/>
      <c r="AP68" s="692" t="n"/>
      <c r="AQ68" s="692" t="n"/>
      <c r="AR68" s="692" t="n"/>
      <c r="AS68" s="692" t="n"/>
    </row>
    <row r="69">
      <c r="A69" s="427" t="inlineStr">
        <is>
          <t>F</t>
        </is>
      </c>
      <c r="B69" s="616" t="inlineStr">
        <is>
          <t>100 Fly</t>
        </is>
      </c>
      <c r="C69" s="616" t="n">
        <v>17</v>
      </c>
      <c r="D69" s="221" t="n">
        <v>1</v>
      </c>
      <c r="E69" s="127" t="inlineStr">
        <is>
          <t>59.56</t>
        </is>
      </c>
      <c r="F69" s="692" t="n"/>
      <c r="G69" s="692" t="n"/>
      <c r="H69" s="692" t="n"/>
      <c r="AF69" s="692" t="n"/>
      <c r="AG69" s="692" t="n"/>
      <c r="AH69" s="692" t="n"/>
      <c r="AI69" s="692" t="n"/>
      <c r="AJ69" s="692" t="n"/>
      <c r="AK69" s="692" t="n"/>
      <c r="AL69" s="692" t="n"/>
      <c r="AM69" s="692" t="n"/>
      <c r="AN69" s="692" t="n"/>
      <c r="AO69" s="692" t="n"/>
      <c r="AP69" s="692" t="n"/>
      <c r="AQ69" s="692" t="n"/>
      <c r="AR69" s="692" t="n"/>
      <c r="AS69" s="692" t="n"/>
    </row>
    <row r="70">
      <c r="A70" s="420" t="inlineStr">
        <is>
          <t>F</t>
        </is>
      </c>
      <c r="B70" s="593" t="inlineStr">
        <is>
          <t>100 Fly</t>
        </is>
      </c>
      <c r="C70" s="593" t="n">
        <v>18</v>
      </c>
      <c r="D70" s="219" t="n">
        <v>1</v>
      </c>
      <c r="E70" s="128" t="inlineStr">
        <is>
          <t>59.57</t>
        </is>
      </c>
      <c r="F70" s="692" t="n"/>
      <c r="G70" s="692" t="n"/>
      <c r="H70" s="692" t="n"/>
      <c r="AF70" s="692" t="n"/>
      <c r="AG70" s="692" t="n"/>
      <c r="AH70" s="692" t="n"/>
      <c r="AI70" s="692" t="n"/>
      <c r="AJ70" s="692" t="n"/>
      <c r="AK70" s="692" t="n"/>
      <c r="AL70" s="692" t="n"/>
      <c r="AM70" s="692" t="n"/>
      <c r="AN70" s="692" t="n"/>
      <c r="AO70" s="692" t="n"/>
      <c r="AP70" s="692" t="n"/>
      <c r="AQ70" s="692" t="n"/>
      <c r="AR70" s="692" t="n"/>
      <c r="AS70" s="692" t="n"/>
    </row>
    <row r="71">
      <c r="A71" s="427" t="inlineStr">
        <is>
          <t>F</t>
        </is>
      </c>
      <c r="B71" s="616" t="inlineStr">
        <is>
          <t>100 Fly</t>
        </is>
      </c>
      <c r="C71" s="616" t="n">
        <v>19</v>
      </c>
      <c r="D71" s="221" t="n">
        <v>1</v>
      </c>
      <c r="E71" s="127" t="inlineStr">
        <is>
          <t>58.33</t>
        </is>
      </c>
      <c r="F71" s="692" t="n"/>
      <c r="G71" s="692" t="n"/>
      <c r="H71" s="692" t="n"/>
      <c r="AF71" s="692" t="n"/>
      <c r="AG71" s="692" t="n"/>
      <c r="AH71" s="692" t="n"/>
      <c r="AI71" s="692" t="n"/>
      <c r="AJ71" s="692" t="n"/>
      <c r="AK71" s="692" t="n"/>
      <c r="AL71" s="692" t="n"/>
      <c r="AM71" s="692" t="n"/>
      <c r="AN71" s="692" t="n"/>
      <c r="AO71" s="692" t="n"/>
      <c r="AP71" s="692" t="n"/>
      <c r="AQ71" s="692" t="n"/>
      <c r="AR71" s="692" t="n"/>
      <c r="AS71" s="692" t="n"/>
    </row>
    <row r="72">
      <c r="A72" s="420" t="inlineStr">
        <is>
          <t>F</t>
        </is>
      </c>
      <c r="B72" s="593" t="inlineStr">
        <is>
          <t>200 Fly</t>
        </is>
      </c>
      <c r="C72" s="593" t="n">
        <v>14</v>
      </c>
      <c r="D72" s="219" t="n">
        <v>1</v>
      </c>
      <c r="E72" s="128" t="inlineStr">
        <is>
          <t>2:18.48</t>
        </is>
      </c>
      <c r="F72" s="692" t="n"/>
      <c r="G72" s="692" t="n"/>
      <c r="H72" s="692" t="n"/>
      <c r="AF72" s="692" t="n"/>
      <c r="AG72" s="692" t="n"/>
      <c r="AH72" s="692" t="n"/>
      <c r="AI72" s="692" t="n"/>
      <c r="AJ72" s="692" t="n"/>
      <c r="AK72" s="692" t="n"/>
      <c r="AL72" s="692" t="n"/>
      <c r="AM72" s="692" t="n"/>
      <c r="AN72" s="692" t="n"/>
      <c r="AO72" s="692" t="n"/>
      <c r="AP72" s="692" t="n"/>
      <c r="AQ72" s="692" t="n"/>
      <c r="AR72" s="692" t="n"/>
      <c r="AS72" s="692" t="n"/>
    </row>
    <row r="73">
      <c r="A73" s="427" t="inlineStr">
        <is>
          <t>F</t>
        </is>
      </c>
      <c r="B73" s="616" t="inlineStr">
        <is>
          <t>200 Fly</t>
        </is>
      </c>
      <c r="C73" s="616" t="n">
        <v>15</v>
      </c>
      <c r="D73" s="221" t="n">
        <v>1</v>
      </c>
      <c r="E73" s="127" t="inlineStr">
        <is>
          <t>2:14.47</t>
        </is>
      </c>
      <c r="F73" s="692" t="n"/>
      <c r="G73" s="692" t="n"/>
      <c r="H73" s="692" t="n"/>
      <c r="AF73" s="692" t="n"/>
      <c r="AG73" s="692" t="n"/>
      <c r="AH73" s="692" t="n"/>
      <c r="AI73" s="692" t="n"/>
      <c r="AJ73" s="692" t="n"/>
      <c r="AK73" s="692" t="n"/>
      <c r="AL73" s="692" t="n"/>
      <c r="AM73" s="692" t="n"/>
      <c r="AN73" s="692" t="n"/>
      <c r="AO73" s="692" t="n"/>
      <c r="AP73" s="692" t="n"/>
      <c r="AQ73" s="692" t="n"/>
      <c r="AR73" s="692" t="n"/>
      <c r="AS73" s="692" t="n"/>
    </row>
    <row r="74">
      <c r="A74" s="420" t="inlineStr">
        <is>
          <t>F</t>
        </is>
      </c>
      <c r="B74" s="593" t="inlineStr">
        <is>
          <t>200 Fly</t>
        </is>
      </c>
      <c r="C74" s="593" t="n">
        <v>16</v>
      </c>
      <c r="D74" s="219" t="n">
        <v>1</v>
      </c>
      <c r="E74" s="128" t="inlineStr">
        <is>
          <t>2:11.84</t>
        </is>
      </c>
      <c r="F74" s="692" t="n"/>
      <c r="G74" s="692" t="n"/>
      <c r="H74" s="692" t="n"/>
      <c r="AF74" s="692" t="n"/>
      <c r="AG74" s="692" t="n"/>
      <c r="AH74" s="692" t="n"/>
      <c r="AI74" s="692" t="n"/>
      <c r="AJ74" s="692" t="n"/>
      <c r="AK74" s="692" t="n"/>
      <c r="AL74" s="692" t="n"/>
      <c r="AM74" s="692" t="n"/>
      <c r="AN74" s="692" t="n"/>
      <c r="AO74" s="692" t="n"/>
      <c r="AP74" s="692" t="n"/>
      <c r="AQ74" s="692" t="n"/>
      <c r="AR74" s="692" t="n"/>
      <c r="AS74" s="692" t="n"/>
    </row>
    <row r="75">
      <c r="A75" s="427" t="inlineStr">
        <is>
          <t>F</t>
        </is>
      </c>
      <c r="B75" s="616" t="inlineStr">
        <is>
          <t>200 Fly</t>
        </is>
      </c>
      <c r="C75" s="616" t="n">
        <v>17</v>
      </c>
      <c r="D75" s="616" t="n">
        <v>1</v>
      </c>
      <c r="E75" s="127" t="inlineStr">
        <is>
          <t>2:10.18</t>
        </is>
      </c>
      <c r="F75" s="692" t="n"/>
      <c r="G75" s="692" t="n"/>
      <c r="H75" s="692" t="n"/>
      <c r="AF75" s="692" t="n"/>
      <c r="AG75" s="692" t="n"/>
      <c r="AH75" s="692" t="n"/>
      <c r="AI75" s="692" t="n"/>
      <c r="AJ75" s="692" t="n"/>
      <c r="AK75" s="692" t="n"/>
      <c r="AL75" s="692" t="n"/>
      <c r="AM75" s="692" t="n"/>
      <c r="AN75" s="692" t="n"/>
      <c r="AO75" s="692" t="n"/>
      <c r="AP75" s="692" t="n"/>
      <c r="AQ75" s="692" t="n"/>
      <c r="AR75" s="692" t="n"/>
      <c r="AS75" s="692" t="n"/>
    </row>
    <row r="76">
      <c r="A76" s="420" t="inlineStr">
        <is>
          <t>F</t>
        </is>
      </c>
      <c r="B76" s="593" t="inlineStr">
        <is>
          <t>200 Fly</t>
        </is>
      </c>
      <c r="C76" s="593" t="n">
        <v>18</v>
      </c>
      <c r="D76" s="593" t="n">
        <v>1</v>
      </c>
      <c r="E76" s="128" t="inlineStr">
        <is>
          <t>2:09.21</t>
        </is>
      </c>
      <c r="F76" s="692" t="n"/>
      <c r="G76" s="692" t="n"/>
      <c r="H76" s="692" t="n"/>
      <c r="AF76" s="692" t="n"/>
      <c r="AG76" s="692" t="n"/>
      <c r="AH76" s="692" t="n"/>
      <c r="AI76" s="692" t="n"/>
      <c r="AJ76" s="692" t="n"/>
      <c r="AK76" s="692" t="n"/>
      <c r="AL76" s="692" t="n"/>
      <c r="AM76" s="692" t="n"/>
      <c r="AN76" s="692" t="n"/>
      <c r="AO76" s="692" t="n"/>
      <c r="AP76" s="692" t="n"/>
      <c r="AQ76" s="692" t="n"/>
      <c r="AR76" s="692" t="n"/>
      <c r="AS76" s="692" t="n"/>
    </row>
    <row r="77">
      <c r="A77" s="427" t="inlineStr">
        <is>
          <t>F</t>
        </is>
      </c>
      <c r="B77" s="616" t="inlineStr">
        <is>
          <t>200 IM</t>
        </is>
      </c>
      <c r="C77" s="616" t="n">
        <v>15</v>
      </c>
      <c r="D77" s="616" t="n">
        <v>1</v>
      </c>
      <c r="E77" s="127" t="inlineStr">
        <is>
          <t>2:18.51</t>
        </is>
      </c>
      <c r="F77" s="692" t="n"/>
      <c r="G77" s="692" t="n"/>
      <c r="H77" s="692" t="n"/>
      <c r="AF77" s="692" t="n"/>
      <c r="AG77" s="692" t="n"/>
      <c r="AH77" s="692" t="n"/>
      <c r="AI77" s="692" t="n"/>
      <c r="AJ77" s="692" t="n"/>
      <c r="AK77" s="692" t="n"/>
      <c r="AL77" s="692" t="n"/>
      <c r="AM77" s="692" t="n"/>
      <c r="AN77" s="692" t="n"/>
      <c r="AO77" s="692" t="n"/>
      <c r="AP77" s="692" t="n"/>
      <c r="AQ77" s="692" t="n"/>
      <c r="AR77" s="692" t="n"/>
      <c r="AS77" s="692" t="n"/>
    </row>
    <row r="78">
      <c r="A78" s="420" t="inlineStr">
        <is>
          <t>F</t>
        </is>
      </c>
      <c r="B78" s="593" t="inlineStr">
        <is>
          <t>200 IM</t>
        </is>
      </c>
      <c r="C78" s="593" t="n">
        <v>16</v>
      </c>
      <c r="D78" s="593" t="n">
        <v>1</v>
      </c>
      <c r="E78" s="128" t="inlineStr">
        <is>
          <t>2:15.93</t>
        </is>
      </c>
      <c r="F78" s="692" t="n"/>
      <c r="G78" s="692" t="n"/>
      <c r="H78" s="692" t="n"/>
      <c r="AF78" s="692" t="n"/>
      <c r="AG78" s="692" t="n"/>
      <c r="AH78" s="692" t="n"/>
      <c r="AI78" s="692" t="n"/>
      <c r="AJ78" s="692" t="n"/>
      <c r="AK78" s="692" t="n"/>
      <c r="AL78" s="692" t="n"/>
      <c r="AM78" s="692" t="n"/>
      <c r="AN78" s="692" t="n"/>
      <c r="AO78" s="692" t="n"/>
      <c r="AP78" s="692" t="n"/>
      <c r="AQ78" s="692" t="n"/>
      <c r="AR78" s="692" t="n"/>
      <c r="AS78" s="692" t="n"/>
    </row>
    <row r="79">
      <c r="A79" s="427" t="inlineStr">
        <is>
          <t>F</t>
        </is>
      </c>
      <c r="B79" s="616" t="inlineStr">
        <is>
          <t>200 IM</t>
        </is>
      </c>
      <c r="C79" s="616" t="n">
        <v>17</v>
      </c>
      <c r="D79" s="616" t="n">
        <v>1</v>
      </c>
      <c r="E79" s="127" t="inlineStr">
        <is>
          <t>2:14.41</t>
        </is>
      </c>
      <c r="F79" s="692" t="n"/>
      <c r="G79" s="692" t="n"/>
      <c r="H79" s="692" t="n"/>
      <c r="AF79" s="158" t="n"/>
      <c r="AG79" s="158" t="n"/>
      <c r="AH79" s="158" t="n"/>
      <c r="AI79" s="158" t="n"/>
      <c r="AJ79" s="158" t="n"/>
      <c r="AK79" s="158" t="n"/>
      <c r="AL79" s="692" t="n"/>
      <c r="AM79" s="692" t="n"/>
      <c r="AN79" s="692" t="n"/>
      <c r="AO79" s="692" t="n"/>
      <c r="AP79" s="692" t="n"/>
      <c r="AQ79" s="692" t="n"/>
      <c r="AR79" s="692" t="n"/>
      <c r="AS79" s="692" t="n"/>
    </row>
    <row r="80">
      <c r="A80" s="420" t="inlineStr">
        <is>
          <t>F</t>
        </is>
      </c>
      <c r="B80" s="593" t="inlineStr">
        <is>
          <t>200 IM</t>
        </is>
      </c>
      <c r="C80" s="593" t="n">
        <v>18</v>
      </c>
      <c r="D80" s="593" t="n">
        <v>1</v>
      </c>
      <c r="E80" s="128" t="inlineStr">
        <is>
          <t>2:13.47</t>
        </is>
      </c>
      <c r="F80" s="692" t="n"/>
      <c r="G80" s="692" t="n"/>
      <c r="H80" s="692" t="n"/>
      <c r="AF80" s="692" t="n"/>
      <c r="AG80" s="692" t="n"/>
      <c r="AH80" s="692" t="n"/>
      <c r="AI80" s="692" t="n"/>
      <c r="AJ80" s="158" t="n"/>
      <c r="AK80" s="158" t="n"/>
      <c r="AL80" s="692" t="n"/>
      <c r="AM80" s="692" t="n"/>
      <c r="AN80" s="692" t="n"/>
      <c r="AO80" s="692" t="n"/>
      <c r="AP80" s="692" t="n"/>
      <c r="AQ80" s="692" t="n"/>
      <c r="AR80" s="692" t="n"/>
      <c r="AS80" s="692" t="n"/>
    </row>
    <row r="81">
      <c r="A81" s="427" t="inlineStr">
        <is>
          <t>F</t>
        </is>
      </c>
      <c r="B81" s="616" t="inlineStr">
        <is>
          <t>200 IM</t>
        </is>
      </c>
      <c r="C81" s="616" t="n">
        <v>19</v>
      </c>
      <c r="D81" s="616" t="n">
        <v>1</v>
      </c>
      <c r="E81" s="127" t="inlineStr">
        <is>
          <t>2:13.77</t>
        </is>
      </c>
      <c r="F81" s="692" t="n"/>
      <c r="G81" s="692" t="n"/>
      <c r="H81" s="692" t="n"/>
      <c r="AF81" s="692" t="n"/>
      <c r="AG81" s="692" t="n"/>
      <c r="AH81" s="692" t="n"/>
      <c r="AI81" s="692" t="n"/>
      <c r="AJ81" s="692" t="n"/>
      <c r="AK81" s="158" t="n"/>
      <c r="AL81" s="692" t="n"/>
      <c r="AM81" s="692" t="n"/>
      <c r="AN81" s="692" t="n"/>
      <c r="AO81" s="692" t="n"/>
      <c r="AP81" s="692" t="n"/>
      <c r="AQ81" s="692" t="n"/>
      <c r="AR81" s="692" t="n"/>
      <c r="AS81" s="692" t="n"/>
    </row>
    <row r="82">
      <c r="A82" s="420" t="inlineStr">
        <is>
          <t>F</t>
        </is>
      </c>
      <c r="B82" s="593" t="inlineStr">
        <is>
          <t>400 IM</t>
        </is>
      </c>
      <c r="C82" s="593" t="n">
        <v>13</v>
      </c>
      <c r="D82" s="593" t="n">
        <v>1</v>
      </c>
      <c r="E82" s="426" t="inlineStr">
        <is>
          <t>5:09.36</t>
        </is>
      </c>
      <c r="F82" s="692" t="n"/>
      <c r="G82" s="692" t="n"/>
      <c r="H82" s="692" t="n"/>
      <c r="AF82" s="692" t="n"/>
      <c r="AG82" s="692" t="n"/>
      <c r="AH82" s="692" t="n"/>
      <c r="AI82" s="692" t="n"/>
      <c r="AJ82" s="692" t="n"/>
      <c r="AK82" s="692" t="n"/>
      <c r="AL82" s="692" t="n"/>
      <c r="AM82" s="692" t="n"/>
      <c r="AN82" s="692" t="n"/>
      <c r="AO82" s="692" t="n"/>
      <c r="AP82" s="692" t="n"/>
      <c r="AQ82" s="692" t="n"/>
      <c r="AR82" s="692" t="n"/>
      <c r="AS82" s="692" t="n"/>
    </row>
    <row r="83">
      <c r="A83" s="427" t="inlineStr">
        <is>
          <t>F</t>
        </is>
      </c>
      <c r="B83" s="616" t="inlineStr">
        <is>
          <t>400 IM</t>
        </is>
      </c>
      <c r="C83" s="616" t="n">
        <v>14</v>
      </c>
      <c r="D83" s="616" t="n">
        <v>1</v>
      </c>
      <c r="E83" s="433" t="inlineStr">
        <is>
          <t>4:58.88</t>
        </is>
      </c>
      <c r="F83" s="692" t="n"/>
      <c r="G83" s="692" t="n"/>
      <c r="H83" s="692" t="n"/>
      <c r="AF83" s="692" t="n"/>
      <c r="AG83" s="692" t="n"/>
      <c r="AH83" s="158" t="n"/>
      <c r="AI83" s="158" t="n"/>
      <c r="AJ83" s="158" t="n"/>
      <c r="AK83" s="158" t="n"/>
      <c r="AL83" s="692" t="n"/>
      <c r="AM83" s="692" t="n"/>
      <c r="AN83" s="692" t="n"/>
      <c r="AO83" s="692" t="n"/>
      <c r="AP83" s="692" t="n"/>
      <c r="AQ83" s="692" t="n"/>
      <c r="AR83" s="692" t="n"/>
      <c r="AS83" s="692" t="n"/>
    </row>
    <row r="84">
      <c r="A84" s="420" t="inlineStr">
        <is>
          <t>F</t>
        </is>
      </c>
      <c r="B84" s="593" t="inlineStr">
        <is>
          <t>400 IM</t>
        </is>
      </c>
      <c r="C84" s="593" t="n">
        <v>15</v>
      </c>
      <c r="D84" s="593" t="n">
        <v>1</v>
      </c>
      <c r="E84" s="128" t="inlineStr">
        <is>
          <t>4:51.23</t>
        </is>
      </c>
      <c r="F84" s="692" t="n"/>
      <c r="G84" s="692" t="n"/>
      <c r="H84" s="692" t="n"/>
      <c r="AF84" s="692" t="n"/>
      <c r="AG84" s="692" t="n"/>
      <c r="AH84" s="692" t="n"/>
      <c r="AI84" s="692" t="n"/>
      <c r="AJ84" s="158" t="n"/>
      <c r="AK84" s="158" t="n"/>
      <c r="AL84" s="158" t="n"/>
      <c r="AM84" s="158" t="n"/>
      <c r="AN84" s="158" t="n"/>
      <c r="AO84" s="692" t="n"/>
      <c r="AP84" s="692" t="n"/>
      <c r="AQ84" s="692" t="n"/>
      <c r="AR84" s="692" t="n"/>
      <c r="AS84" s="692" t="n"/>
    </row>
    <row r="85">
      <c r="A85" s="427" t="inlineStr">
        <is>
          <t>F</t>
        </is>
      </c>
      <c r="B85" s="616" t="inlineStr">
        <is>
          <t>400 IM</t>
        </is>
      </c>
      <c r="C85" s="616" t="n">
        <v>16</v>
      </c>
      <c r="D85" s="616" t="n">
        <v>1</v>
      </c>
      <c r="E85" s="127" t="inlineStr">
        <is>
          <t>4:46.20</t>
        </is>
      </c>
      <c r="F85" s="692" t="n"/>
      <c r="G85" s="692" t="n"/>
      <c r="H85" s="692" t="n"/>
      <c r="AF85" s="158" t="n"/>
      <c r="AG85" s="158" t="n"/>
      <c r="AH85" s="158" t="n"/>
      <c r="AI85" s="158" t="n"/>
      <c r="AJ85" s="158" t="n"/>
      <c r="AK85" s="158" t="n"/>
      <c r="AL85" s="158" t="n"/>
      <c r="AM85" s="158" t="n"/>
      <c r="AN85" s="158" t="n"/>
      <c r="AO85" s="158" t="n"/>
      <c r="AP85" s="158" t="n"/>
      <c r="AQ85" s="158" t="n"/>
      <c r="AR85" s="158" t="n"/>
      <c r="AS85" s="158" t="n"/>
    </row>
    <row r="86">
      <c r="A86" s="420" t="inlineStr">
        <is>
          <t>F</t>
        </is>
      </c>
      <c r="B86" s="593" t="inlineStr">
        <is>
          <t>400 IM</t>
        </is>
      </c>
      <c r="C86" s="593" t="n">
        <v>17</v>
      </c>
      <c r="D86" s="219" t="n">
        <v>1</v>
      </c>
      <c r="E86" s="128" t="inlineStr">
        <is>
          <t>4:43.06</t>
        </is>
      </c>
      <c r="F86" s="692" t="n"/>
      <c r="G86" s="692" t="n"/>
      <c r="H86" s="692" t="n"/>
      <c r="AF86" s="158" t="n"/>
      <c r="AG86" s="158" t="n"/>
      <c r="AH86" s="158" t="n"/>
      <c r="AI86" s="158" t="n"/>
      <c r="AJ86" s="158" t="n"/>
      <c r="AK86" s="158" t="n"/>
      <c r="AL86" s="692" t="n"/>
      <c r="AM86" s="692" t="n"/>
      <c r="AN86" s="692" t="n"/>
      <c r="AO86" s="692" t="n"/>
      <c r="AP86" s="692" t="n"/>
      <c r="AQ86" s="692" t="n"/>
      <c r="AR86" s="692" t="n"/>
      <c r="AS86" s="692" t="n"/>
    </row>
    <row r="87">
      <c r="A87" s="427" t="inlineStr">
        <is>
          <t>M</t>
        </is>
      </c>
      <c r="B87" s="616" t="inlineStr">
        <is>
          <t>50 Free</t>
        </is>
      </c>
      <c r="C87" s="616" t="n">
        <v>17</v>
      </c>
      <c r="D87" s="616" t="n">
        <v>1</v>
      </c>
      <c r="E87" s="127" t="inlineStr">
        <is>
          <t>23.44</t>
        </is>
      </c>
      <c r="F87" s="692" t="n"/>
      <c r="G87" s="692" t="n"/>
      <c r="H87" s="692" t="n"/>
      <c r="AF87" s="158" t="n"/>
      <c r="AG87" s="158" t="n"/>
      <c r="AH87" s="158" t="n"/>
      <c r="AI87" s="158" t="n"/>
      <c r="AJ87" s="158" t="n"/>
      <c r="AK87" s="158" t="n"/>
      <c r="AL87" s="692" t="n"/>
      <c r="AM87" s="692" t="n"/>
      <c r="AN87" s="692" t="n"/>
      <c r="AO87" s="692" t="n"/>
      <c r="AP87" s="692" t="n"/>
      <c r="AQ87" s="692" t="n"/>
      <c r="AR87" s="692" t="n"/>
      <c r="AS87" s="692" t="n"/>
    </row>
    <row r="88">
      <c r="A88" s="420" t="inlineStr">
        <is>
          <t>M</t>
        </is>
      </c>
      <c r="B88" s="593" t="inlineStr">
        <is>
          <t>50 Free</t>
        </is>
      </c>
      <c r="C88" s="593" t="n">
        <v>18</v>
      </c>
      <c r="D88" s="593" t="n">
        <v>1</v>
      </c>
      <c r="E88" s="128" t="inlineStr">
        <is>
          <t>22.91</t>
        </is>
      </c>
      <c r="F88" s="692" t="n"/>
      <c r="G88" s="692" t="n"/>
      <c r="H88" s="692" t="n"/>
      <c r="AF88" s="158" t="n"/>
      <c r="AG88" s="158" t="n"/>
      <c r="AH88" s="158" t="n"/>
      <c r="AI88" s="158" t="n"/>
      <c r="AJ88" s="158" t="n"/>
      <c r="AK88" s="158" t="n"/>
      <c r="AL88" s="692" t="n"/>
      <c r="AM88" s="692" t="n"/>
      <c r="AN88" s="692" t="n"/>
      <c r="AO88" s="692" t="n"/>
      <c r="AP88" s="692" t="n"/>
      <c r="AQ88" s="692" t="n"/>
      <c r="AR88" s="692" t="n"/>
      <c r="AS88" s="692" t="n"/>
    </row>
    <row r="89">
      <c r="A89" s="427" t="inlineStr">
        <is>
          <t>M</t>
        </is>
      </c>
      <c r="B89" s="616" t="inlineStr">
        <is>
          <t>50 Free</t>
        </is>
      </c>
      <c r="C89" s="616" t="n">
        <v>19</v>
      </c>
      <c r="D89" s="616" t="n">
        <v>1</v>
      </c>
      <c r="E89" s="127" t="inlineStr">
        <is>
          <t>22.52</t>
        </is>
      </c>
      <c r="F89" s="692" t="n"/>
      <c r="G89" s="692" t="n"/>
      <c r="H89" s="692" t="n"/>
      <c r="AF89" s="158" t="n"/>
      <c r="AG89" s="158" t="n"/>
      <c r="AH89" s="158" t="n"/>
      <c r="AI89" s="158" t="n"/>
      <c r="AJ89" s="158" t="n"/>
      <c r="AK89" s="158" t="n"/>
      <c r="AL89" s="692" t="n"/>
      <c r="AM89" s="692" t="n"/>
      <c r="AN89" s="692" t="n"/>
      <c r="AO89" s="692" t="n"/>
      <c r="AP89" s="692" t="n"/>
      <c r="AQ89" s="692" t="n"/>
      <c r="AR89" s="692" t="n"/>
      <c r="AS89" s="692" t="n"/>
    </row>
    <row r="90">
      <c r="A90" s="420" t="inlineStr">
        <is>
          <t>M</t>
        </is>
      </c>
      <c r="B90" s="593" t="inlineStr">
        <is>
          <t>50 Free</t>
        </is>
      </c>
      <c r="C90" s="593" t="n">
        <v>20</v>
      </c>
      <c r="D90" s="593" t="n">
        <v>1</v>
      </c>
      <c r="E90" s="128" t="inlineStr">
        <is>
          <t>22.24</t>
        </is>
      </c>
      <c r="F90" s="692" t="n"/>
      <c r="G90" s="692" t="n"/>
      <c r="H90" s="692" t="n"/>
      <c r="AF90" s="158" t="n"/>
      <c r="AG90" s="158" t="n"/>
      <c r="AH90" s="158" t="n"/>
      <c r="AI90" s="158" t="n"/>
      <c r="AJ90" s="158" t="n"/>
      <c r="AK90" s="158" t="n"/>
      <c r="AL90" s="158" t="n"/>
      <c r="AM90" s="158" t="n"/>
      <c r="AN90" s="158" t="n"/>
      <c r="AO90" s="158" t="n"/>
      <c r="AP90" s="158" t="n"/>
      <c r="AQ90" s="158" t="n"/>
      <c r="AR90" s="158" t="n"/>
      <c r="AS90" s="158" t="n"/>
    </row>
    <row r="91">
      <c r="A91" s="427" t="inlineStr">
        <is>
          <t>M</t>
        </is>
      </c>
      <c r="B91" s="616" t="inlineStr">
        <is>
          <t>50 Free</t>
        </is>
      </c>
      <c r="C91" s="616" t="n">
        <v>21</v>
      </c>
      <c r="D91" s="616" t="n">
        <v>1</v>
      </c>
      <c r="E91" s="127" t="inlineStr">
        <is>
          <t>22.05</t>
        </is>
      </c>
      <c r="F91" s="692" t="n"/>
      <c r="G91" s="692" t="n"/>
      <c r="H91" s="692" t="n"/>
      <c r="AF91" s="692" t="n"/>
      <c r="AG91" s="692" t="n"/>
      <c r="AH91" s="692" t="n"/>
      <c r="AI91" s="692" t="n"/>
      <c r="AJ91" s="692" t="n"/>
      <c r="AK91" s="692" t="n"/>
      <c r="AL91" s="692" t="n"/>
      <c r="AM91" s="692" t="n"/>
      <c r="AN91" s="692" t="n"/>
      <c r="AO91" s="692" t="n"/>
      <c r="AP91" s="692" t="n"/>
      <c r="AQ91" s="692" t="n"/>
      <c r="AR91" s="692" t="n"/>
      <c r="AS91" s="692" t="n"/>
    </row>
    <row r="92">
      <c r="A92" s="420" t="inlineStr">
        <is>
          <t>M</t>
        </is>
      </c>
      <c r="B92" s="593" t="inlineStr">
        <is>
          <t>100 Free</t>
        </is>
      </c>
      <c r="C92" s="593" t="n">
        <v>15</v>
      </c>
      <c r="D92" s="593" t="n">
        <v>1</v>
      </c>
      <c r="E92" s="128" t="inlineStr">
        <is>
          <t>53.28</t>
        </is>
      </c>
      <c r="F92" s="692" t="n"/>
      <c r="G92" s="692" t="n"/>
      <c r="H92" s="692" t="n"/>
      <c r="AF92" s="692" t="n"/>
      <c r="AG92" s="692" t="n"/>
      <c r="AH92" s="692" t="n"/>
      <c r="AI92" s="692" t="n"/>
      <c r="AJ92" s="692" t="n"/>
      <c r="AK92" s="692" t="n"/>
      <c r="AL92" s="692" t="n"/>
      <c r="AM92" s="692" t="n"/>
      <c r="AN92" s="692" t="n"/>
      <c r="AO92" s="692" t="n"/>
      <c r="AP92" s="692" t="n"/>
      <c r="AQ92" s="692" t="n"/>
      <c r="AR92" s="692" t="n"/>
      <c r="AS92" s="692" t="n"/>
    </row>
    <row r="93">
      <c r="A93" s="427" t="inlineStr">
        <is>
          <t>M</t>
        </is>
      </c>
      <c r="B93" s="616" t="inlineStr">
        <is>
          <t>100 Free</t>
        </is>
      </c>
      <c r="C93" s="616" t="n">
        <v>16</v>
      </c>
      <c r="D93" s="616" t="n">
        <v>1</v>
      </c>
      <c r="E93" s="127" t="inlineStr">
        <is>
          <t>51.48</t>
        </is>
      </c>
      <c r="F93" s="692" t="n"/>
      <c r="G93" s="692" t="n"/>
      <c r="H93" s="692" t="n"/>
      <c r="AF93" s="692" t="n"/>
      <c r="AG93" s="692" t="n"/>
      <c r="AH93" s="692" t="n"/>
      <c r="AI93" s="692" t="n"/>
      <c r="AJ93" s="692" t="n"/>
      <c r="AK93" s="692" t="n"/>
      <c r="AL93" s="692" t="n"/>
      <c r="AM93" s="692" t="n"/>
      <c r="AN93" s="692" t="n"/>
      <c r="AO93" s="692" t="n"/>
      <c r="AP93" s="692" t="n"/>
      <c r="AQ93" s="692" t="n"/>
      <c r="AR93" s="692" t="n"/>
      <c r="AS93" s="692" t="n"/>
    </row>
    <row r="94">
      <c r="A94" s="420" t="inlineStr">
        <is>
          <t>M</t>
        </is>
      </c>
      <c r="B94" s="593" t="inlineStr">
        <is>
          <t>100 Free</t>
        </is>
      </c>
      <c r="C94" s="593" t="n">
        <v>17</v>
      </c>
      <c r="D94" s="593" t="n">
        <v>1</v>
      </c>
      <c r="E94" s="128" t="inlineStr">
        <is>
          <t>50.09</t>
        </is>
      </c>
      <c r="F94" s="692" t="n"/>
      <c r="G94" s="692" t="n"/>
      <c r="H94" s="692" t="n"/>
      <c r="AF94" s="692" t="n"/>
      <c r="AG94" s="692" t="n"/>
      <c r="AH94" s="692" t="n"/>
      <c r="AI94" s="692" t="n"/>
      <c r="AJ94" s="692" t="n"/>
      <c r="AK94" s="692" t="n"/>
      <c r="AL94" s="692" t="n"/>
      <c r="AM94" s="692" t="n"/>
      <c r="AN94" s="692" t="n"/>
      <c r="AO94" s="692" t="n"/>
      <c r="AP94" s="692" t="n"/>
      <c r="AQ94" s="692" t="n"/>
      <c r="AR94" s="692" t="n"/>
      <c r="AS94" s="692" t="n"/>
    </row>
    <row r="95">
      <c r="A95" s="427" t="inlineStr">
        <is>
          <t>M</t>
        </is>
      </c>
      <c r="B95" s="616" t="inlineStr">
        <is>
          <t>100 Free</t>
        </is>
      </c>
      <c r="C95" s="616" t="n">
        <v>18</v>
      </c>
      <c r="D95" s="616" t="n">
        <v>1</v>
      </c>
      <c r="E95" s="127" t="inlineStr">
        <is>
          <t>49.07</t>
        </is>
      </c>
      <c r="F95" s="692" t="n"/>
      <c r="G95" s="692" t="n"/>
      <c r="H95" s="692" t="n"/>
      <c r="AF95" s="692" t="n"/>
      <c r="AG95" s="692" t="n"/>
      <c r="AH95" s="692" t="n"/>
      <c r="AI95" s="692" t="n"/>
      <c r="AJ95" s="692" t="n"/>
      <c r="AK95" s="692" t="n"/>
      <c r="AL95" s="692" t="n"/>
      <c r="AM95" s="692" t="n"/>
      <c r="AN95" s="692" t="n"/>
      <c r="AO95" s="692" t="n"/>
      <c r="AP95" s="692" t="n"/>
      <c r="AQ95" s="692" t="n"/>
      <c r="AR95" s="692" t="n"/>
      <c r="AS95" s="692" t="n"/>
    </row>
    <row r="96">
      <c r="A96" s="420" t="inlineStr">
        <is>
          <t>M</t>
        </is>
      </c>
      <c r="B96" s="593" t="inlineStr">
        <is>
          <t>100 Free</t>
        </is>
      </c>
      <c r="C96" s="593" t="n">
        <v>19</v>
      </c>
      <c r="D96" s="593" t="n">
        <v>1</v>
      </c>
      <c r="E96" s="128" t="inlineStr">
        <is>
          <t>48.34</t>
        </is>
      </c>
      <c r="F96" s="692" t="n"/>
      <c r="G96" s="692" t="n"/>
      <c r="H96" s="692" t="n"/>
      <c r="AF96" s="692" t="n"/>
      <c r="AG96" s="692" t="n"/>
      <c r="AH96" s="692" t="n"/>
      <c r="AI96" s="692" t="n"/>
      <c r="AJ96" s="692" t="n"/>
      <c r="AK96" s="692" t="n"/>
      <c r="AL96" s="692" t="n"/>
      <c r="AM96" s="692" t="n"/>
      <c r="AN96" s="692" t="n"/>
      <c r="AO96" s="692" t="n"/>
      <c r="AP96" s="692" t="n"/>
      <c r="AQ96" s="692" t="n"/>
      <c r="AR96" s="692" t="n"/>
      <c r="AS96" s="692" t="n"/>
    </row>
    <row r="97">
      <c r="A97" s="427" t="inlineStr">
        <is>
          <t>M</t>
        </is>
      </c>
      <c r="B97" s="616" t="inlineStr">
        <is>
          <t>200 Free</t>
        </is>
      </c>
      <c r="C97" s="616" t="n">
        <v>15</v>
      </c>
      <c r="D97" s="616" t="n">
        <v>1</v>
      </c>
      <c r="E97" s="127" t="inlineStr">
        <is>
          <t>1:56.62</t>
        </is>
      </c>
      <c r="F97" s="692" t="n"/>
      <c r="G97" s="692" t="n"/>
      <c r="H97" s="692" t="n"/>
      <c r="AF97" s="692" t="n"/>
      <c r="AG97" s="692" t="n"/>
      <c r="AH97" s="692" t="n"/>
      <c r="AI97" s="692" t="n"/>
      <c r="AJ97" s="692" t="n"/>
      <c r="AK97" s="692" t="n"/>
      <c r="AL97" s="692" t="n"/>
      <c r="AM97" s="692" t="n"/>
      <c r="AN97" s="692" t="n"/>
      <c r="AO97" s="692" t="n"/>
      <c r="AP97" s="692" t="n"/>
      <c r="AQ97" s="692" t="n"/>
      <c r="AR97" s="692" t="n"/>
      <c r="AS97" s="692" t="n"/>
    </row>
    <row r="98">
      <c r="A98" s="420" t="inlineStr">
        <is>
          <t>M</t>
        </is>
      </c>
      <c r="B98" s="593" t="inlineStr">
        <is>
          <t>200 Free</t>
        </is>
      </c>
      <c r="C98" s="593" t="n">
        <v>16</v>
      </c>
      <c r="D98" s="593" t="n">
        <v>1</v>
      </c>
      <c r="E98" s="128" t="inlineStr">
        <is>
          <t>1:52.75</t>
        </is>
      </c>
      <c r="F98" s="692" t="n"/>
      <c r="G98" s="692" t="n"/>
      <c r="H98" s="692" t="n"/>
      <c r="AF98" s="692" t="n"/>
      <c r="AG98" s="692" t="n"/>
      <c r="AH98" s="692" t="n"/>
      <c r="AI98" s="692" t="n"/>
      <c r="AJ98" s="692" t="n"/>
      <c r="AK98" s="692" t="n"/>
      <c r="AL98" s="692" t="n"/>
      <c r="AM98" s="692" t="n"/>
      <c r="AN98" s="692" t="n"/>
      <c r="AO98" s="692" t="n"/>
      <c r="AP98" s="692" t="n"/>
      <c r="AQ98" s="692" t="n"/>
      <c r="AR98" s="692" t="n"/>
      <c r="AS98" s="692" t="n"/>
    </row>
    <row r="99">
      <c r="A99" s="427" t="inlineStr">
        <is>
          <t>M</t>
        </is>
      </c>
      <c r="B99" s="616" t="inlineStr">
        <is>
          <t>200 Free</t>
        </is>
      </c>
      <c r="C99" s="616" t="n">
        <v>17</v>
      </c>
      <c r="D99" s="616" t="n">
        <v>1</v>
      </c>
      <c r="E99" s="127" t="inlineStr">
        <is>
          <t>1:49.93</t>
        </is>
      </c>
      <c r="F99" s="692" t="n"/>
      <c r="G99" s="692" t="n"/>
      <c r="H99" s="692" t="n"/>
      <c r="AF99" s="692" t="n"/>
      <c r="AG99" s="692" t="n"/>
      <c r="AH99" s="692" t="n"/>
      <c r="AI99" s="692" t="n"/>
      <c r="AJ99" s="692" t="n"/>
      <c r="AK99" s="692" t="n"/>
      <c r="AL99" s="692" t="n"/>
      <c r="AM99" s="692" t="n"/>
      <c r="AN99" s="692" t="n"/>
      <c r="AO99" s="692" t="n"/>
      <c r="AP99" s="692" t="n"/>
      <c r="AQ99" s="158" t="n"/>
      <c r="AR99" s="158" t="n"/>
      <c r="AS99" s="158" t="n"/>
    </row>
    <row r="100">
      <c r="A100" s="420" t="inlineStr">
        <is>
          <t>M</t>
        </is>
      </c>
      <c r="B100" s="593" t="inlineStr">
        <is>
          <t>200 Free</t>
        </is>
      </c>
      <c r="C100" s="593" t="n">
        <v>18</v>
      </c>
      <c r="D100" s="593" t="n">
        <v>1</v>
      </c>
      <c r="E100" s="128" t="inlineStr">
        <is>
          <t>1:48.02</t>
        </is>
      </c>
      <c r="F100" s="692" t="n"/>
      <c r="G100" s="692" t="n"/>
      <c r="H100" s="692" t="n"/>
      <c r="AF100" s="158" t="n"/>
      <c r="AG100" s="158" t="n"/>
      <c r="AH100" s="158" t="n"/>
      <c r="AI100" s="158" t="n"/>
      <c r="AJ100" s="158" t="n"/>
      <c r="AK100" s="158" t="n"/>
      <c r="AL100" s="158" t="n"/>
      <c r="AM100" s="158" t="n"/>
      <c r="AN100" s="158" t="n"/>
      <c r="AO100" s="158" t="n"/>
      <c r="AP100" s="158" t="n"/>
      <c r="AQ100" s="158" t="n"/>
      <c r="AR100" s="158" t="n"/>
      <c r="AS100" s="158" t="n"/>
    </row>
    <row r="101">
      <c r="A101" s="427" t="inlineStr">
        <is>
          <t>M</t>
        </is>
      </c>
      <c r="B101" s="616" t="inlineStr">
        <is>
          <t>200 Free</t>
        </is>
      </c>
      <c r="C101" s="616" t="n">
        <v>19</v>
      </c>
      <c r="D101" s="616" t="n">
        <v>1</v>
      </c>
      <c r="E101" s="127" t="inlineStr">
        <is>
          <t>1:46.70</t>
        </is>
      </c>
      <c r="F101" s="692" t="n"/>
      <c r="G101" s="692" t="n"/>
      <c r="H101" s="692" t="n"/>
      <c r="AF101" s="692" t="n"/>
      <c r="AG101" s="692" t="n"/>
      <c r="AH101" s="692" t="n"/>
      <c r="AI101" s="692" t="n"/>
      <c r="AJ101" s="692" t="n"/>
      <c r="AK101" s="692" t="n"/>
      <c r="AL101" s="692" t="n"/>
      <c r="AM101" s="692" t="n"/>
      <c r="AN101" s="158" t="n"/>
      <c r="AO101" s="158" t="n"/>
      <c r="AP101" s="692" t="n"/>
      <c r="AQ101" s="692" t="n"/>
      <c r="AR101" s="692" t="n"/>
      <c r="AS101" s="692" t="n"/>
    </row>
    <row r="102">
      <c r="A102" s="420" t="inlineStr">
        <is>
          <t>M</t>
        </is>
      </c>
      <c r="B102" s="593" t="inlineStr">
        <is>
          <t>400 Free</t>
        </is>
      </c>
      <c r="C102" s="593" t="n">
        <v>15</v>
      </c>
      <c r="D102" s="593" t="n">
        <v>1</v>
      </c>
      <c r="E102" s="128" t="inlineStr">
        <is>
          <t>4:08.91</t>
        </is>
      </c>
      <c r="F102" s="692" t="n"/>
      <c r="G102" s="692" t="n"/>
      <c r="H102" s="692" t="n"/>
      <c r="AF102" s="158" t="n"/>
      <c r="AG102" s="158" t="n"/>
      <c r="AH102" s="158" t="n"/>
      <c r="AI102" s="158" t="n"/>
      <c r="AJ102" s="158" t="n"/>
      <c r="AK102" s="158" t="n"/>
      <c r="AL102" s="158" t="n"/>
      <c r="AM102" s="158" t="n"/>
      <c r="AN102" s="158" t="n"/>
      <c r="AO102" s="158" t="n"/>
      <c r="AP102" s="158" t="n"/>
      <c r="AQ102" s="158" t="n"/>
      <c r="AR102" s="158" t="n"/>
      <c r="AS102" s="692" t="n"/>
    </row>
    <row r="103">
      <c r="A103" s="427" t="inlineStr">
        <is>
          <t>M</t>
        </is>
      </c>
      <c r="B103" s="616" t="inlineStr">
        <is>
          <t>400 Free</t>
        </is>
      </c>
      <c r="C103" s="616" t="n">
        <v>16</v>
      </c>
      <c r="D103" s="616" t="n">
        <v>1</v>
      </c>
      <c r="E103" s="127" t="inlineStr">
        <is>
          <t>4:00.79</t>
        </is>
      </c>
      <c r="F103" s="692" t="n"/>
      <c r="G103" s="692" t="n"/>
      <c r="H103" s="692" t="n"/>
      <c r="AF103" s="692" t="n"/>
      <c r="AG103" s="692" t="n"/>
      <c r="AH103" s="692" t="n"/>
      <c r="AI103" s="692" t="n"/>
      <c r="AJ103" s="692" t="n"/>
      <c r="AK103" s="692" t="n"/>
      <c r="AL103" s="158" t="n"/>
      <c r="AM103" s="158" t="n"/>
      <c r="AN103" s="692" t="n"/>
      <c r="AO103" s="692" t="n"/>
      <c r="AP103" s="692" t="n"/>
      <c r="AQ103" s="692" t="n"/>
      <c r="AR103" s="692" t="n"/>
      <c r="AS103" s="692" t="n"/>
    </row>
    <row r="104">
      <c r="A104" s="420" t="inlineStr">
        <is>
          <t>M</t>
        </is>
      </c>
      <c r="B104" s="593" t="inlineStr">
        <is>
          <t>400 Free</t>
        </is>
      </c>
      <c r="C104" s="593" t="n">
        <v>17</v>
      </c>
      <c r="D104" s="593" t="n">
        <v>1</v>
      </c>
      <c r="E104" s="128" t="inlineStr">
        <is>
          <t>3:54.84</t>
        </is>
      </c>
      <c r="F104" s="692" t="n"/>
      <c r="G104" s="692" t="n"/>
      <c r="H104" s="692" t="n"/>
    </row>
    <row r="105">
      <c r="A105" s="427" t="inlineStr">
        <is>
          <t>M</t>
        </is>
      </c>
      <c r="B105" s="616" t="inlineStr">
        <is>
          <t>400 Free</t>
        </is>
      </c>
      <c r="C105" s="616" t="n">
        <v>18</v>
      </c>
      <c r="D105" s="616" t="n">
        <v>1</v>
      </c>
      <c r="E105" s="127" t="inlineStr">
        <is>
          <t>3:50.84</t>
        </is>
      </c>
      <c r="F105" s="692" t="n"/>
      <c r="G105" s="692" t="n"/>
      <c r="H105" s="692" t="n"/>
    </row>
    <row r="106">
      <c r="A106" s="420" t="inlineStr">
        <is>
          <t>M</t>
        </is>
      </c>
      <c r="B106" s="593" t="inlineStr">
        <is>
          <t>400 Free</t>
        </is>
      </c>
      <c r="C106" s="593" t="n">
        <v>19</v>
      </c>
      <c r="D106" s="593" t="n">
        <v>1</v>
      </c>
      <c r="E106" s="128" t="inlineStr">
        <is>
          <t>3:48.15</t>
        </is>
      </c>
      <c r="F106" s="692" t="n"/>
      <c r="G106" s="692" t="n"/>
      <c r="H106" s="692" t="n"/>
    </row>
    <row r="107">
      <c r="A107" s="427" t="inlineStr">
        <is>
          <t>M</t>
        </is>
      </c>
      <c r="B107" s="616" t="inlineStr">
        <is>
          <t>800 Free</t>
        </is>
      </c>
      <c r="C107" s="616" t="n">
        <v>15</v>
      </c>
      <c r="D107" s="616" t="n">
        <v>1</v>
      </c>
      <c r="E107" s="127" t="inlineStr">
        <is>
          <t>8:31.10</t>
        </is>
      </c>
      <c r="F107" s="692" t="n"/>
      <c r="G107" s="692" t="n"/>
      <c r="H107" s="692" t="n"/>
    </row>
    <row r="108">
      <c r="A108" s="420" t="inlineStr">
        <is>
          <t>M</t>
        </is>
      </c>
      <c r="B108" s="593" t="inlineStr">
        <is>
          <t>800 Free</t>
        </is>
      </c>
      <c r="C108" s="593" t="n">
        <v>16</v>
      </c>
      <c r="D108" s="593" t="n">
        <v>1</v>
      </c>
      <c r="E108" s="128" t="inlineStr">
        <is>
          <t>8:14.62</t>
        </is>
      </c>
      <c r="F108" s="692" t="n"/>
      <c r="G108" s="692" t="n"/>
      <c r="H108" s="692" t="n"/>
    </row>
    <row r="109">
      <c r="A109" s="427" t="inlineStr">
        <is>
          <t>M</t>
        </is>
      </c>
      <c r="B109" s="616" t="inlineStr">
        <is>
          <t>800 Free</t>
        </is>
      </c>
      <c r="C109" s="616" t="n">
        <v>17</v>
      </c>
      <c r="D109" s="616" t="n">
        <v>1</v>
      </c>
      <c r="E109" s="127" t="inlineStr">
        <is>
          <t>8:02.43</t>
        </is>
      </c>
      <c r="F109" s="692" t="n"/>
      <c r="G109" s="692" t="n"/>
      <c r="H109" s="692" t="n"/>
    </row>
    <row r="110">
      <c r="A110" s="420" t="inlineStr">
        <is>
          <t>M</t>
        </is>
      </c>
      <c r="B110" s="593" t="inlineStr">
        <is>
          <t>800 Free</t>
        </is>
      </c>
      <c r="C110" s="593" t="n">
        <v>18</v>
      </c>
      <c r="D110" s="593" t="n">
        <v>1</v>
      </c>
      <c r="E110" s="128" t="inlineStr">
        <is>
          <t>7:54.03</t>
        </is>
      </c>
      <c r="F110" s="692" t="n"/>
      <c r="G110" s="692" t="n"/>
      <c r="H110" s="692" t="n"/>
    </row>
    <row r="111">
      <c r="A111" s="427" t="inlineStr">
        <is>
          <t>M</t>
        </is>
      </c>
      <c r="B111" s="616" t="inlineStr">
        <is>
          <t>800 Free</t>
        </is>
      </c>
      <c r="C111" s="616" t="n">
        <v>19</v>
      </c>
      <c r="D111" s="616" t="n">
        <v>1</v>
      </c>
      <c r="E111" s="127" t="inlineStr">
        <is>
          <t>7:48.66</t>
        </is>
      </c>
      <c r="F111" s="692" t="n"/>
      <c r="G111" s="692" t="n"/>
      <c r="H111" s="692" t="n"/>
    </row>
    <row r="112">
      <c r="A112" s="420" t="inlineStr">
        <is>
          <t>M</t>
        </is>
      </c>
      <c r="B112" s="593" t="inlineStr">
        <is>
          <t>1500 Free</t>
        </is>
      </c>
      <c r="C112" s="593" t="n">
        <v>15</v>
      </c>
      <c r="D112" s="593" t="n">
        <v>1</v>
      </c>
      <c r="E112" s="128" t="inlineStr">
        <is>
          <t>16:17.69</t>
        </is>
      </c>
      <c r="F112" s="692" t="n"/>
      <c r="G112" s="692" t="n"/>
      <c r="H112" s="692" t="n"/>
    </row>
    <row r="113">
      <c r="A113" s="427" t="inlineStr">
        <is>
          <t>M</t>
        </is>
      </c>
      <c r="B113" s="616" t="inlineStr">
        <is>
          <t>1500 Free</t>
        </is>
      </c>
      <c r="C113" s="616" t="n">
        <v>16</v>
      </c>
      <c r="D113" s="616" t="n">
        <v>1</v>
      </c>
      <c r="E113" s="127" t="inlineStr">
        <is>
          <t>15:46.32</t>
        </is>
      </c>
      <c r="F113" s="692" t="n"/>
      <c r="G113" s="692" t="n"/>
      <c r="H113" s="692" t="n"/>
    </row>
    <row r="114">
      <c r="A114" s="420" t="inlineStr">
        <is>
          <t>M</t>
        </is>
      </c>
      <c r="B114" s="593" t="inlineStr">
        <is>
          <t>1500 Free</t>
        </is>
      </c>
      <c r="C114" s="593" t="n">
        <v>17</v>
      </c>
      <c r="D114" s="593" t="n">
        <v>1</v>
      </c>
      <c r="E114" s="128" t="inlineStr">
        <is>
          <t>15:24.14</t>
        </is>
      </c>
      <c r="F114" s="692" t="n"/>
      <c r="G114" s="692" t="n"/>
      <c r="H114" s="692" t="n"/>
    </row>
    <row r="115">
      <c r="A115" s="427" t="inlineStr">
        <is>
          <t>M</t>
        </is>
      </c>
      <c r="B115" s="616" t="inlineStr">
        <is>
          <t>1500 Free</t>
        </is>
      </c>
      <c r="C115" s="616" t="n">
        <v>18</v>
      </c>
      <c r="D115" s="616" t="n">
        <v>1</v>
      </c>
      <c r="E115" s="127" t="inlineStr">
        <is>
          <t>15:10.35</t>
        </is>
      </c>
      <c r="F115" s="692" t="n"/>
      <c r="G115" s="692" t="n"/>
      <c r="H115" s="692" t="n"/>
    </row>
    <row r="116">
      <c r="A116" s="420" t="inlineStr">
        <is>
          <t>M</t>
        </is>
      </c>
      <c r="B116" s="593" t="inlineStr">
        <is>
          <t>1500 Free</t>
        </is>
      </c>
      <c r="C116" s="593" t="n">
        <v>19</v>
      </c>
      <c r="D116" s="593" t="n">
        <v>1</v>
      </c>
      <c r="E116" s="128" t="inlineStr">
        <is>
          <t>15:01.89</t>
        </is>
      </c>
      <c r="F116" s="692" t="n"/>
      <c r="G116" s="692" t="n"/>
      <c r="H116" s="692" t="n"/>
    </row>
    <row r="117">
      <c r="A117" s="427" t="inlineStr">
        <is>
          <t>M</t>
        </is>
      </c>
      <c r="B117" s="616" t="inlineStr">
        <is>
          <t>50 Back</t>
        </is>
      </c>
      <c r="C117" s="616" t="n">
        <v>16</v>
      </c>
      <c r="D117" s="616" t="n">
        <v>1</v>
      </c>
      <c r="E117" s="127" t="inlineStr">
        <is>
          <t>27.26</t>
        </is>
      </c>
      <c r="F117" s="692" t="n"/>
      <c r="G117" s="692" t="n"/>
      <c r="H117" s="692" t="n"/>
    </row>
    <row r="118">
      <c r="A118" s="420" t="inlineStr">
        <is>
          <t>M</t>
        </is>
      </c>
      <c r="B118" s="593" t="inlineStr">
        <is>
          <t>50 Back</t>
        </is>
      </c>
      <c r="C118" s="593" t="n">
        <v>17</v>
      </c>
      <c r="D118" s="593" t="n">
        <v>1</v>
      </c>
      <c r="E118" s="128" t="inlineStr">
        <is>
          <t>26.47</t>
        </is>
      </c>
      <c r="F118" s="692" t="n"/>
      <c r="G118" s="692" t="n"/>
      <c r="H118" s="692" t="n"/>
    </row>
    <row r="119">
      <c r="A119" s="427" t="inlineStr">
        <is>
          <t>M</t>
        </is>
      </c>
      <c r="B119" s="616" t="inlineStr">
        <is>
          <t>50 Back</t>
        </is>
      </c>
      <c r="C119" s="616" t="n">
        <v>18</v>
      </c>
      <c r="D119" s="616" t="n">
        <v>1</v>
      </c>
      <c r="E119" s="433" t="n">
        <v>25.85</v>
      </c>
      <c r="F119" s="692" t="n"/>
      <c r="G119" s="692" t="n"/>
      <c r="H119" s="692" t="n"/>
    </row>
    <row r="120">
      <c r="A120" s="420" t="inlineStr">
        <is>
          <t>M</t>
        </is>
      </c>
      <c r="B120" s="593" t="inlineStr">
        <is>
          <t>50 Back</t>
        </is>
      </c>
      <c r="C120" s="593" t="n">
        <v>19</v>
      </c>
      <c r="D120" s="593" t="n">
        <v>1</v>
      </c>
      <c r="E120" s="128" t="inlineStr">
        <is>
          <t>25.40</t>
        </is>
      </c>
      <c r="F120" s="692" t="n"/>
      <c r="G120" s="692" t="n"/>
      <c r="H120" s="692" t="n"/>
    </row>
    <row r="121">
      <c r="A121" s="427" t="inlineStr">
        <is>
          <t>M</t>
        </is>
      </c>
      <c r="B121" s="616" t="inlineStr">
        <is>
          <t>50 Back</t>
        </is>
      </c>
      <c r="C121" s="616" t="n">
        <v>20</v>
      </c>
      <c r="D121" s="616" t="n">
        <v>1</v>
      </c>
      <c r="E121" s="127" t="inlineStr">
        <is>
          <t>25.11</t>
        </is>
      </c>
      <c r="F121" s="692" t="n"/>
      <c r="G121" s="692" t="n"/>
      <c r="H121" s="692" t="n"/>
      <c r="V121" s="158" t="n"/>
      <c r="W121" s="158" t="n"/>
      <c r="X121" s="158" t="n"/>
    </row>
    <row r="122">
      <c r="A122" s="420" t="inlineStr">
        <is>
          <t>M</t>
        </is>
      </c>
      <c r="B122" s="593" t="inlineStr">
        <is>
          <t>100 Back</t>
        </is>
      </c>
      <c r="C122" s="593" t="n">
        <v>16</v>
      </c>
      <c r="D122" s="593" t="n">
        <v>1</v>
      </c>
      <c r="E122" s="128" t="inlineStr">
        <is>
          <t>57.82</t>
        </is>
      </c>
      <c r="F122" s="692" t="n"/>
      <c r="G122" s="692" t="n"/>
      <c r="H122" s="692" t="n"/>
      <c r="T122" s="158" t="n"/>
      <c r="V122" s="692" t="n"/>
      <c r="W122" s="692" t="n"/>
      <c r="X122" s="692" t="n"/>
      <c r="AD122" s="692" t="n"/>
      <c r="AE122" s="692" t="n"/>
      <c r="AF122" s="692" t="n"/>
    </row>
    <row r="123">
      <c r="A123" s="427" t="inlineStr">
        <is>
          <t>M</t>
        </is>
      </c>
      <c r="B123" s="616" t="inlineStr">
        <is>
          <t>100 Back</t>
        </is>
      </c>
      <c r="C123" s="616" t="n">
        <v>17</v>
      </c>
      <c r="D123" s="616" t="n">
        <v>1</v>
      </c>
      <c r="E123" s="127" t="inlineStr">
        <is>
          <t>56.23</t>
        </is>
      </c>
      <c r="F123" s="692" t="n"/>
      <c r="G123" s="692" t="n"/>
      <c r="H123" s="692" t="n"/>
      <c r="T123" s="692" t="n"/>
      <c r="U123" s="158" t="n"/>
      <c r="V123" s="692" t="n"/>
      <c r="W123" s="692" t="n"/>
      <c r="X123" s="692" t="n"/>
      <c r="Y123" s="158" t="n"/>
      <c r="Z123" s="158" t="n"/>
      <c r="AA123" s="692" t="n"/>
      <c r="AB123" s="692" t="n"/>
      <c r="AC123" s="692" t="n"/>
      <c r="AD123" s="692" t="n"/>
      <c r="AE123" s="692" t="n"/>
      <c r="AF123" s="692" t="n"/>
      <c r="AG123" s="692" t="n"/>
      <c r="AH123" s="692" t="n"/>
    </row>
    <row r="124">
      <c r="A124" s="420" t="inlineStr">
        <is>
          <t>M</t>
        </is>
      </c>
      <c r="B124" s="593" t="inlineStr">
        <is>
          <t>100 Back</t>
        </is>
      </c>
      <c r="C124" s="593" t="n">
        <v>18</v>
      </c>
      <c r="D124" s="593" t="n">
        <v>1</v>
      </c>
      <c r="E124" s="128" t="inlineStr">
        <is>
          <t>55.17</t>
        </is>
      </c>
      <c r="F124" s="692" t="n"/>
      <c r="G124" s="692" t="n"/>
      <c r="H124" s="692" t="n"/>
      <c r="T124" s="692" t="n"/>
      <c r="U124" s="692" t="n"/>
      <c r="V124" s="692" t="n"/>
      <c r="W124" s="692" t="n"/>
      <c r="X124" s="692" t="n"/>
      <c r="Y124" s="692" t="n"/>
      <c r="Z124" s="692" t="n"/>
      <c r="AA124" s="692" t="n"/>
      <c r="AB124" s="692" t="n"/>
      <c r="AC124" s="692" t="n"/>
      <c r="AD124" s="692" t="n"/>
      <c r="AE124" s="692" t="n"/>
      <c r="AF124" s="692" t="n"/>
      <c r="AG124" s="692" t="n"/>
      <c r="AH124" s="692" t="n"/>
    </row>
    <row r="125">
      <c r="A125" s="427" t="inlineStr">
        <is>
          <t>M</t>
        </is>
      </c>
      <c r="B125" s="616" t="inlineStr">
        <is>
          <t>100 Back</t>
        </is>
      </c>
      <c r="C125" s="616" t="n">
        <v>19</v>
      </c>
      <c r="D125" s="616" t="n">
        <v>1</v>
      </c>
      <c r="E125" s="127" t="inlineStr">
        <is>
          <t>54.43</t>
        </is>
      </c>
      <c r="F125" s="692" t="n"/>
      <c r="G125" s="692" t="n"/>
      <c r="H125" s="692" t="n"/>
      <c r="T125" s="692" t="n"/>
      <c r="U125" s="692" t="n"/>
      <c r="V125" s="692" t="n"/>
      <c r="W125" s="692" t="n"/>
      <c r="X125" s="692" t="n"/>
      <c r="Y125" s="692" t="n"/>
      <c r="Z125" s="692" t="n"/>
      <c r="AA125" s="692" t="n"/>
      <c r="AB125" s="692" t="n"/>
      <c r="AC125" s="692" t="n"/>
      <c r="AD125" s="692" t="n"/>
      <c r="AE125" s="692" t="n"/>
      <c r="AF125" s="692" t="n"/>
      <c r="AG125" s="692" t="n"/>
      <c r="AH125" s="692" t="n"/>
    </row>
    <row r="126">
      <c r="A126" s="420" t="inlineStr">
        <is>
          <t>M</t>
        </is>
      </c>
      <c r="B126" s="593" t="inlineStr">
        <is>
          <t>100 Back</t>
        </is>
      </c>
      <c r="C126" s="593" t="n">
        <v>20</v>
      </c>
      <c r="D126" s="593" t="n">
        <v>1</v>
      </c>
      <c r="E126" s="128" t="inlineStr">
        <is>
          <t>53.94</t>
        </is>
      </c>
      <c r="F126" s="692" t="n"/>
      <c r="G126" s="692" t="n"/>
      <c r="H126" s="692" t="n"/>
      <c r="T126" s="692" t="n"/>
      <c r="U126" s="692" t="n"/>
      <c r="V126" s="692" t="n"/>
      <c r="W126" s="692" t="n"/>
      <c r="X126" s="692" t="n"/>
      <c r="Y126" s="692" t="n"/>
      <c r="Z126" s="692" t="n"/>
      <c r="AA126" s="692" t="n"/>
      <c r="AB126" s="692" t="n"/>
      <c r="AC126" s="692" t="n"/>
      <c r="AD126" s="692" t="n"/>
      <c r="AE126" s="692" t="n"/>
      <c r="AF126" s="692" t="n"/>
      <c r="AG126" s="692" t="n"/>
      <c r="AH126" s="692" t="n"/>
    </row>
    <row r="127">
      <c r="A127" s="427" t="inlineStr">
        <is>
          <t>M</t>
        </is>
      </c>
      <c r="B127" s="616" t="inlineStr">
        <is>
          <t>200 Back</t>
        </is>
      </c>
      <c r="C127" s="616" t="n">
        <v>15</v>
      </c>
      <c r="D127" s="616" t="n">
        <v>1</v>
      </c>
      <c r="E127" s="127" t="inlineStr">
        <is>
          <t>2:07.63</t>
        </is>
      </c>
      <c r="F127" s="692" t="n"/>
      <c r="G127" s="692" t="n"/>
      <c r="H127" s="692" t="n"/>
      <c r="T127" s="692" t="n"/>
      <c r="U127" s="692" t="n"/>
      <c r="V127" s="692" t="n"/>
      <c r="W127" s="692" t="n"/>
      <c r="X127" s="692" t="n"/>
      <c r="Y127" s="692" t="n"/>
      <c r="Z127" s="692" t="n"/>
      <c r="AA127" s="692" t="n"/>
      <c r="AB127" s="692" t="n"/>
      <c r="AC127" s="692" t="n"/>
      <c r="AD127" s="692" t="n"/>
      <c r="AE127" s="692" t="n"/>
      <c r="AF127" s="692" t="n"/>
      <c r="AG127" s="692" t="n"/>
      <c r="AH127" s="692" t="n"/>
    </row>
    <row r="128">
      <c r="A128" s="420" t="inlineStr">
        <is>
          <t>M</t>
        </is>
      </c>
      <c r="B128" s="593" t="inlineStr">
        <is>
          <t>200 Back</t>
        </is>
      </c>
      <c r="C128" s="593" t="n">
        <v>16</v>
      </c>
      <c r="D128" s="593" t="n">
        <v>1</v>
      </c>
      <c r="E128" s="128" t="inlineStr">
        <is>
          <t>2:03.66</t>
        </is>
      </c>
      <c r="F128" s="692" t="n"/>
      <c r="G128" s="692" t="n"/>
      <c r="H128" s="692" t="n"/>
      <c r="T128" s="692" t="n"/>
      <c r="U128" s="692" t="n"/>
      <c r="V128" s="692" t="n"/>
      <c r="W128" s="692" t="n"/>
      <c r="X128" s="692" t="n"/>
      <c r="Y128" s="692" t="n"/>
      <c r="Z128" s="692" t="n"/>
      <c r="AA128" s="692" t="n"/>
      <c r="AB128" s="692" t="n"/>
      <c r="AC128" s="692" t="n"/>
      <c r="AD128" s="692" t="n"/>
      <c r="AE128" s="692" t="n"/>
      <c r="AF128" s="692" t="n"/>
      <c r="AG128" s="692" t="n"/>
      <c r="AH128" s="692" t="n"/>
    </row>
    <row r="129">
      <c r="A129" s="427" t="inlineStr">
        <is>
          <t>M</t>
        </is>
      </c>
      <c r="B129" s="616" t="inlineStr">
        <is>
          <t>200 Back</t>
        </is>
      </c>
      <c r="C129" s="616" t="n">
        <v>17</v>
      </c>
      <c r="D129" s="616" t="n">
        <v>1</v>
      </c>
      <c r="E129" s="127" t="inlineStr">
        <is>
          <t>2:00.86</t>
        </is>
      </c>
      <c r="F129" s="692" t="n"/>
      <c r="G129" s="692" t="n"/>
      <c r="H129" s="692" t="n"/>
      <c r="T129" s="692" t="n"/>
      <c r="U129" s="692" t="n"/>
      <c r="V129" s="692" t="n"/>
      <c r="W129" s="692" t="n"/>
      <c r="X129" s="692" t="n"/>
      <c r="Y129" s="692" t="n"/>
      <c r="Z129" s="692" t="n"/>
      <c r="AA129" s="692" t="n"/>
      <c r="AB129" s="692" t="n"/>
      <c r="AC129" s="692" t="n"/>
      <c r="AD129" s="692" t="n"/>
      <c r="AE129" s="692" t="n"/>
      <c r="AF129" s="692" t="n"/>
      <c r="AG129" s="692" t="n"/>
      <c r="AH129" s="692" t="n"/>
    </row>
    <row r="130">
      <c r="A130" s="420" t="inlineStr">
        <is>
          <t>M</t>
        </is>
      </c>
      <c r="B130" s="593" t="inlineStr">
        <is>
          <t>200 Back</t>
        </is>
      </c>
      <c r="C130" s="593" t="n">
        <v>18</v>
      </c>
      <c r="D130" s="593" t="n">
        <v>1</v>
      </c>
      <c r="E130" s="128" t="inlineStr">
        <is>
          <t>1:59.15</t>
        </is>
      </c>
      <c r="F130" s="692" t="n"/>
      <c r="G130" s="692" t="n"/>
      <c r="H130" s="692" t="n"/>
      <c r="T130" s="692" t="n"/>
      <c r="U130" s="692" t="n"/>
      <c r="V130" s="692" t="n"/>
      <c r="W130" s="692" t="n"/>
      <c r="X130" s="692" t="n"/>
      <c r="Y130" s="692" t="n"/>
      <c r="Z130" s="692" t="n"/>
      <c r="AA130" s="692" t="n"/>
      <c r="AB130" s="692" t="n"/>
      <c r="AC130" s="692" t="n"/>
      <c r="AD130" s="692" t="n"/>
      <c r="AE130" s="692" t="n"/>
      <c r="AF130" s="692" t="n"/>
      <c r="AG130" s="692" t="n"/>
      <c r="AH130" s="692" t="n"/>
    </row>
    <row r="131">
      <c r="A131" s="427" t="inlineStr">
        <is>
          <t>M</t>
        </is>
      </c>
      <c r="B131" s="616" t="inlineStr">
        <is>
          <t>200 Back</t>
        </is>
      </c>
      <c r="C131" s="616" t="n">
        <v>19</v>
      </c>
      <c r="D131" s="616" t="n">
        <v>1</v>
      </c>
      <c r="E131" s="127" t="inlineStr">
        <is>
          <t>1:58.07</t>
        </is>
      </c>
      <c r="F131" s="692" t="n"/>
      <c r="G131" s="692" t="n"/>
      <c r="H131" s="692" t="n"/>
      <c r="T131" s="692" t="n"/>
      <c r="U131" s="692" t="n"/>
      <c r="V131" s="692" t="n"/>
      <c r="W131" s="692" t="n"/>
      <c r="X131" s="692" t="n"/>
      <c r="Y131" s="692" t="n"/>
      <c r="Z131" s="692" t="n"/>
      <c r="AA131" s="692" t="n"/>
      <c r="AB131" s="692" t="n"/>
      <c r="AC131" s="692" t="n"/>
      <c r="AD131" s="692" t="n"/>
      <c r="AE131" s="692" t="n"/>
      <c r="AF131" s="692" t="n"/>
      <c r="AG131" s="692" t="n"/>
      <c r="AH131" s="692" t="n"/>
    </row>
    <row r="132">
      <c r="A132" s="420" t="inlineStr">
        <is>
          <t>M</t>
        </is>
      </c>
      <c r="B132" s="593" t="inlineStr">
        <is>
          <t>50 Breast</t>
        </is>
      </c>
      <c r="C132" s="593" t="n">
        <v>18</v>
      </c>
      <c r="D132" s="593" t="n">
        <v>1</v>
      </c>
      <c r="E132" s="128" t="inlineStr">
        <is>
          <t>28.68</t>
        </is>
      </c>
      <c r="F132" s="692" t="n"/>
      <c r="G132" s="692" t="n"/>
      <c r="H132" s="692" t="n"/>
      <c r="T132" s="692" t="n"/>
      <c r="U132" s="692" t="n"/>
      <c r="V132" s="692" t="n"/>
      <c r="W132" s="692" t="n"/>
      <c r="X132" s="692" t="n"/>
      <c r="Y132" s="692" t="n"/>
      <c r="Z132" s="692" t="n"/>
      <c r="AA132" s="692" t="n"/>
      <c r="AB132" s="692" t="n"/>
      <c r="AC132" s="692" t="n"/>
      <c r="AD132" s="692" t="n"/>
      <c r="AE132" s="692" t="n"/>
      <c r="AF132" s="692" t="n"/>
      <c r="AG132" s="692" t="n"/>
      <c r="AH132" s="692" t="n"/>
    </row>
    <row r="133">
      <c r="A133" s="427" t="inlineStr">
        <is>
          <t>M</t>
        </is>
      </c>
      <c r="B133" s="616" t="inlineStr">
        <is>
          <t>50 Breast</t>
        </is>
      </c>
      <c r="C133" s="616" t="n">
        <v>19</v>
      </c>
      <c r="D133" s="616" t="n">
        <v>1</v>
      </c>
      <c r="E133" s="127" t="inlineStr">
        <is>
          <t>28.17</t>
        </is>
      </c>
      <c r="F133" s="692" t="n"/>
      <c r="G133" s="692" t="n"/>
      <c r="H133" s="692" t="n"/>
      <c r="T133" s="692" t="n"/>
      <c r="U133" s="692" t="n"/>
      <c r="V133" s="692" t="n"/>
      <c r="W133" s="692" t="n"/>
      <c r="X133" s="692" t="n"/>
      <c r="Y133" s="692" t="n"/>
      <c r="Z133" s="692" t="n"/>
      <c r="AA133" s="692" t="n"/>
      <c r="AB133" s="692" t="n"/>
      <c r="AC133" s="692" t="n"/>
      <c r="AD133" s="692" t="n"/>
      <c r="AE133" s="692" t="n"/>
      <c r="AF133" s="692" t="n"/>
      <c r="AG133" s="692" t="n"/>
      <c r="AH133" s="692" t="n"/>
    </row>
    <row r="134">
      <c r="A134" s="420" t="inlineStr">
        <is>
          <t>M</t>
        </is>
      </c>
      <c r="B134" s="593" t="inlineStr">
        <is>
          <t>50 Breast</t>
        </is>
      </c>
      <c r="C134" s="593" t="n">
        <v>20</v>
      </c>
      <c r="D134" s="593" t="n">
        <v>1</v>
      </c>
      <c r="E134" s="128" t="inlineStr">
        <is>
          <t>27.79</t>
        </is>
      </c>
      <c r="F134" s="692" t="n"/>
      <c r="G134" s="692" t="n"/>
      <c r="H134" s="692" t="n"/>
      <c r="T134" s="692" t="n"/>
      <c r="U134" s="692" t="n"/>
      <c r="V134" s="692" t="n"/>
      <c r="W134" s="692" t="n"/>
      <c r="X134" s="692" t="n"/>
      <c r="Y134" s="692" t="n"/>
      <c r="Z134" s="692" t="n"/>
      <c r="AA134" s="692" t="n"/>
      <c r="AB134" s="692" t="n"/>
      <c r="AC134" s="692" t="n"/>
      <c r="AD134" s="692" t="n"/>
      <c r="AE134" s="692" t="n"/>
      <c r="AF134" s="692" t="n"/>
      <c r="AG134" s="692" t="n"/>
      <c r="AH134" s="692" t="n"/>
    </row>
    <row r="135">
      <c r="A135" s="427" t="inlineStr">
        <is>
          <t>M</t>
        </is>
      </c>
      <c r="B135" s="616" t="inlineStr">
        <is>
          <t>50 Breast</t>
        </is>
      </c>
      <c r="C135" s="616" t="n">
        <v>21</v>
      </c>
      <c r="D135" s="616" t="n">
        <v>1</v>
      </c>
      <c r="E135" s="127" t="inlineStr">
        <is>
          <t>27.53</t>
        </is>
      </c>
      <c r="F135" s="692" t="n"/>
      <c r="G135" s="692" t="n"/>
      <c r="H135" s="692" t="n"/>
      <c r="T135" s="692" t="n"/>
      <c r="U135" s="692" t="n"/>
      <c r="V135" s="692" t="n"/>
      <c r="W135" s="692" t="n"/>
      <c r="X135" s="692" t="n"/>
      <c r="Y135" s="692" t="n"/>
      <c r="Z135" s="692" t="n"/>
      <c r="AA135" s="692" t="n"/>
      <c r="AB135" s="692" t="n"/>
      <c r="AC135" s="692" t="n"/>
      <c r="AD135" s="692" t="n"/>
      <c r="AE135" s="692" t="n"/>
      <c r="AF135" s="692" t="n"/>
      <c r="AG135" s="692" t="n"/>
      <c r="AH135" s="692" t="n"/>
    </row>
    <row r="136">
      <c r="A136" s="420" t="inlineStr">
        <is>
          <t>M</t>
        </is>
      </c>
      <c r="B136" s="593" t="inlineStr">
        <is>
          <t>50 Breast</t>
        </is>
      </c>
      <c r="C136" s="593" t="n">
        <v>22</v>
      </c>
      <c r="D136" s="593" t="n">
        <v>1</v>
      </c>
      <c r="E136" s="128" t="n">
        <v>27.33</v>
      </c>
      <c r="F136" s="692" t="n"/>
      <c r="G136" s="692" t="n"/>
      <c r="H136" s="692" t="n"/>
      <c r="R136" s="692" t="n"/>
      <c r="S136" s="692" t="n"/>
      <c r="T136" s="692" t="n"/>
      <c r="U136" s="692" t="n"/>
      <c r="V136" s="692" t="n"/>
      <c r="W136" s="692" t="n"/>
      <c r="X136" s="692" t="n"/>
      <c r="Y136" s="692" t="n"/>
      <c r="Z136" s="692" t="n"/>
      <c r="AA136" s="692" t="n"/>
      <c r="AB136" s="692" t="n"/>
      <c r="AC136" s="692" t="n"/>
      <c r="AD136" s="692" t="n"/>
      <c r="AE136" s="692" t="n"/>
      <c r="AF136" s="692" t="n"/>
      <c r="AG136" s="692" t="n"/>
      <c r="AH136" s="692" t="n"/>
    </row>
    <row r="137">
      <c r="A137" s="427" t="inlineStr">
        <is>
          <t>M</t>
        </is>
      </c>
      <c r="B137" s="616" t="inlineStr">
        <is>
          <t>100 Breast</t>
        </is>
      </c>
      <c r="C137" s="616" t="n">
        <v>16</v>
      </c>
      <c r="D137" s="616" t="n">
        <v>1</v>
      </c>
      <c r="E137" s="127" t="inlineStr">
        <is>
          <t>1:04.06</t>
        </is>
      </c>
      <c r="F137" s="692" t="n"/>
      <c r="G137" s="692" t="n"/>
      <c r="H137" s="692" t="n"/>
      <c r="I137" s="692" t="n"/>
      <c r="J137" s="692" t="n"/>
      <c r="K137" s="692" t="n"/>
      <c r="M137" s="692" t="n"/>
      <c r="N137" s="692" t="n"/>
      <c r="O137" s="692" t="n"/>
      <c r="P137" s="692" t="n"/>
      <c r="Q137" s="692" t="n"/>
      <c r="R137" s="692" t="n"/>
      <c r="S137" s="692" t="n"/>
      <c r="T137" s="692" t="n"/>
      <c r="U137" s="692" t="n"/>
      <c r="V137" s="692" t="n"/>
      <c r="W137" s="692" t="n"/>
      <c r="X137" s="692" t="n"/>
      <c r="Y137" s="692" t="n"/>
      <c r="Z137" s="692" t="n"/>
      <c r="AA137" s="692" t="n"/>
      <c r="AB137" s="692" t="n"/>
      <c r="AC137" s="692" t="n"/>
      <c r="AD137" s="692" t="n"/>
      <c r="AE137" s="692" t="n"/>
      <c r="AF137" s="692" t="n"/>
      <c r="AG137" s="692" t="n"/>
      <c r="AH137" s="692" t="n"/>
      <c r="AI137" s="692" t="n"/>
      <c r="AJ137" s="692" t="n"/>
      <c r="AK137" s="692" t="n"/>
      <c r="AL137" s="692" t="n"/>
      <c r="AM137" s="692" t="n"/>
      <c r="AN137" s="692" t="n"/>
      <c r="AO137" s="692" t="n"/>
      <c r="AP137" s="692" t="n"/>
      <c r="AQ137" s="692" t="n"/>
      <c r="AR137" s="692" t="n"/>
      <c r="AS137" s="692" t="n"/>
    </row>
    <row r="138">
      <c r="A138" s="420" t="inlineStr">
        <is>
          <t>M</t>
        </is>
      </c>
      <c r="B138" s="593" t="inlineStr">
        <is>
          <t>100 Breast</t>
        </is>
      </c>
      <c r="C138" s="593" t="n">
        <v>17</v>
      </c>
      <c r="D138" s="593" t="n">
        <v>1</v>
      </c>
      <c r="E138" s="128" t="inlineStr">
        <is>
          <t>1:02.45</t>
        </is>
      </c>
      <c r="F138" s="692" t="n"/>
      <c r="G138" s="692" t="n"/>
      <c r="H138" s="692" t="n"/>
      <c r="I138" s="692" t="n"/>
      <c r="J138" s="692" t="n"/>
      <c r="K138" s="692" t="n"/>
      <c r="L138" s="692" t="n"/>
      <c r="M138" s="692" t="n"/>
      <c r="N138" s="692" t="n"/>
      <c r="O138" s="692" t="n"/>
      <c r="P138" s="692" t="n"/>
      <c r="Q138" s="692" t="n"/>
      <c r="R138" s="692" t="n"/>
      <c r="S138" s="692" t="n"/>
      <c r="T138" s="692" t="n"/>
      <c r="U138" s="692" t="n"/>
      <c r="V138" s="692" t="n"/>
      <c r="W138" s="692" t="n"/>
      <c r="X138" s="692" t="n"/>
      <c r="Y138" s="692" t="n"/>
      <c r="Z138" s="692" t="n"/>
      <c r="AA138" s="692" t="n"/>
      <c r="AB138" s="692" t="n"/>
      <c r="AC138" s="692" t="n"/>
      <c r="AD138" s="692" t="n"/>
      <c r="AE138" s="692" t="n"/>
      <c r="AF138" s="692" t="n"/>
      <c r="AG138" s="692" t="n"/>
      <c r="AH138" s="692" t="n"/>
      <c r="AI138" s="692" t="n"/>
      <c r="AJ138" s="692" t="n"/>
      <c r="AK138" s="692" t="n"/>
      <c r="AL138" s="692" t="n"/>
      <c r="AM138" s="692" t="n"/>
      <c r="AN138" s="692" t="n"/>
      <c r="AO138" s="692" t="n"/>
      <c r="AP138" s="692" t="n"/>
      <c r="AQ138" s="692" t="n"/>
      <c r="AR138" s="692" t="n"/>
      <c r="AS138" s="692" t="n"/>
    </row>
    <row r="139">
      <c r="A139" s="427" t="inlineStr">
        <is>
          <t>M</t>
        </is>
      </c>
      <c r="B139" s="616" t="inlineStr">
        <is>
          <t>100 Breast</t>
        </is>
      </c>
      <c r="C139" s="616" t="n">
        <v>18</v>
      </c>
      <c r="D139" s="616" t="n">
        <v>1</v>
      </c>
      <c r="E139" s="127" t="inlineStr">
        <is>
          <t>1:01.25</t>
        </is>
      </c>
      <c r="F139" s="692" t="n"/>
      <c r="G139" s="692" t="n"/>
      <c r="H139" s="692" t="n"/>
      <c r="I139" s="692" t="n"/>
      <c r="J139" s="692" t="n"/>
      <c r="K139" s="692" t="n"/>
      <c r="L139" s="692" t="n"/>
      <c r="M139" s="692" t="n"/>
      <c r="N139" s="692" t="n"/>
      <c r="O139" s="692" t="n"/>
      <c r="P139" s="692" t="n"/>
      <c r="Q139" s="692" t="n"/>
      <c r="R139" s="692" t="n"/>
      <c r="S139" s="692" t="n"/>
      <c r="T139" s="692" t="n"/>
      <c r="U139" s="692" t="n"/>
      <c r="V139" s="692" t="n"/>
      <c r="W139" s="692" t="n"/>
      <c r="X139" s="692" t="n"/>
      <c r="Y139" s="692" t="n"/>
      <c r="Z139" s="692" t="n"/>
      <c r="AA139" s="692" t="n"/>
      <c r="AB139" s="692" t="n"/>
      <c r="AC139" s="692" t="n"/>
      <c r="AD139" s="692" t="n"/>
      <c r="AE139" s="692" t="n"/>
      <c r="AF139" s="692" t="n"/>
      <c r="AG139" s="692" t="n"/>
      <c r="AH139" s="692" t="n"/>
      <c r="AI139" s="692" t="n"/>
      <c r="AJ139" s="692" t="n"/>
      <c r="AK139" s="692" t="n"/>
      <c r="AL139" s="692" t="n"/>
      <c r="AM139" s="692" t="n"/>
      <c r="AN139" s="692" t="n"/>
      <c r="AO139" s="692" t="n"/>
      <c r="AP139" s="692" t="n"/>
      <c r="AQ139" s="692" t="n"/>
      <c r="AR139" s="692" t="n"/>
      <c r="AS139" s="692" t="n"/>
    </row>
    <row r="140">
      <c r="A140" s="420" t="inlineStr">
        <is>
          <t>M</t>
        </is>
      </c>
      <c r="B140" s="593" t="inlineStr">
        <is>
          <t>100 Breast</t>
        </is>
      </c>
      <c r="C140" s="593" t="n">
        <v>19</v>
      </c>
      <c r="D140" s="593" t="n">
        <v>1</v>
      </c>
      <c r="E140" s="128" t="inlineStr">
        <is>
          <t>1:00.37</t>
        </is>
      </c>
      <c r="F140" s="692" t="n"/>
      <c r="G140" s="692" t="n"/>
      <c r="H140" s="692" t="n"/>
      <c r="I140" s="692" t="n"/>
      <c r="J140" s="692" t="n"/>
      <c r="K140" s="692" t="n"/>
      <c r="L140" s="692" t="n"/>
      <c r="M140" s="692" t="n"/>
      <c r="N140" s="692" t="n"/>
      <c r="O140" s="692" t="n"/>
      <c r="P140" s="692" t="n"/>
      <c r="Q140" s="692" t="n"/>
      <c r="R140" s="692" t="n"/>
      <c r="S140" s="692" t="n"/>
      <c r="T140" s="692" t="n"/>
      <c r="U140" s="692" t="n"/>
      <c r="V140" s="692" t="n"/>
      <c r="W140" s="692" t="n"/>
      <c r="X140" s="692" t="n"/>
      <c r="Y140" s="692" t="n"/>
      <c r="Z140" s="692" t="n"/>
      <c r="AA140" s="692" t="n"/>
      <c r="AB140" s="692" t="n"/>
      <c r="AC140" s="692" t="n"/>
      <c r="AD140" s="692" t="n"/>
      <c r="AE140" s="692" t="n"/>
      <c r="AF140" s="692" t="n"/>
      <c r="AG140" s="692" t="n"/>
      <c r="AH140" s="692" t="n"/>
      <c r="AI140" s="692" t="n"/>
      <c r="AJ140" s="692" t="n"/>
      <c r="AK140" s="692" t="n"/>
      <c r="AL140" s="692" t="n"/>
      <c r="AM140" s="692" t="n"/>
      <c r="AN140" s="692" t="n"/>
      <c r="AO140" s="692" t="n"/>
      <c r="AP140" s="692" t="n"/>
      <c r="AQ140" s="692" t="n"/>
      <c r="AR140" s="692" t="n"/>
      <c r="AS140" s="692" t="n"/>
    </row>
    <row r="141">
      <c r="A141" s="427" t="inlineStr">
        <is>
          <t>M</t>
        </is>
      </c>
      <c r="B141" s="616" t="inlineStr">
        <is>
          <t>100 Breast</t>
        </is>
      </c>
      <c r="C141" s="616" t="n">
        <v>20</v>
      </c>
      <c r="D141" s="616" t="n">
        <v>1</v>
      </c>
      <c r="E141" s="127" t="inlineStr">
        <is>
          <t>59.75</t>
        </is>
      </c>
      <c r="F141" s="692" t="n"/>
      <c r="G141" s="692" t="n"/>
      <c r="H141" s="692" t="n"/>
      <c r="I141" s="692" t="n"/>
      <c r="J141" s="692" t="n"/>
      <c r="K141" s="692" t="n"/>
      <c r="L141" s="692" t="n"/>
      <c r="M141" s="692" t="n"/>
      <c r="N141" s="692" t="n"/>
      <c r="O141" s="692" t="n"/>
      <c r="P141" s="692" t="n"/>
      <c r="Q141" s="692" t="n"/>
      <c r="R141" s="692" t="n"/>
      <c r="S141" s="692" t="n"/>
      <c r="T141" s="692" t="n"/>
      <c r="U141" s="692" t="n"/>
      <c r="V141" s="692" t="n"/>
      <c r="W141" s="692" t="n"/>
      <c r="X141" s="692" t="n"/>
      <c r="Y141" s="692" t="n"/>
      <c r="Z141" s="692" t="n"/>
      <c r="AA141" s="692" t="n"/>
      <c r="AB141" s="692" t="n"/>
      <c r="AC141" s="692" t="n"/>
      <c r="AD141" s="692" t="n"/>
      <c r="AE141" s="692" t="n"/>
      <c r="AF141" s="692" t="n"/>
      <c r="AG141" s="692" t="n"/>
      <c r="AH141" s="692" t="n"/>
      <c r="AI141" s="692" t="n"/>
      <c r="AJ141" s="692" t="n"/>
      <c r="AK141" s="692" t="n"/>
      <c r="AL141" s="692" t="n"/>
      <c r="AM141" s="692" t="n"/>
      <c r="AN141" s="692" t="n"/>
      <c r="AO141" s="692" t="n"/>
      <c r="AP141" s="692" t="n"/>
      <c r="AQ141" s="692" t="n"/>
      <c r="AR141" s="692" t="n"/>
      <c r="AS141" s="692" t="n"/>
    </row>
    <row r="142">
      <c r="A142" s="420" t="inlineStr">
        <is>
          <t>M</t>
        </is>
      </c>
      <c r="B142" s="593" t="inlineStr">
        <is>
          <t>200 Breast</t>
        </is>
      </c>
      <c r="C142" s="593" t="n">
        <v>15</v>
      </c>
      <c r="D142" s="593" t="n">
        <v>1</v>
      </c>
      <c r="E142" s="128" t="inlineStr">
        <is>
          <t>2:23.31</t>
        </is>
      </c>
      <c r="F142" s="692" t="n"/>
      <c r="G142" s="692" t="n"/>
      <c r="H142" s="692" t="n"/>
      <c r="I142" s="692" t="n"/>
      <c r="J142" s="692" t="n"/>
      <c r="K142" s="692" t="n"/>
      <c r="L142" s="692" t="n"/>
      <c r="M142" s="692" t="n"/>
      <c r="N142" s="692" t="n"/>
      <c r="O142" s="692" t="n"/>
      <c r="P142" s="692" t="n"/>
      <c r="Q142" s="692" t="n"/>
      <c r="R142" s="692" t="n"/>
      <c r="S142" s="692" t="n"/>
      <c r="T142" s="692" t="n"/>
      <c r="U142" s="692" t="n"/>
      <c r="V142" s="692" t="n"/>
      <c r="W142" s="692" t="n"/>
      <c r="X142" s="692" t="n"/>
      <c r="Y142" s="692" t="n"/>
      <c r="Z142" s="692" t="n"/>
      <c r="AA142" s="692" t="n"/>
      <c r="AB142" s="692" t="n"/>
      <c r="AC142" s="692" t="n"/>
      <c r="AD142" s="692" t="n"/>
      <c r="AE142" s="692" t="n"/>
      <c r="AF142" s="692" t="n"/>
      <c r="AG142" s="692" t="n"/>
      <c r="AH142" s="692" t="n"/>
      <c r="AI142" s="692" t="n"/>
      <c r="AJ142" s="692" t="n"/>
      <c r="AK142" s="692" t="n"/>
      <c r="AL142" s="692" t="n"/>
      <c r="AM142" s="692" t="n"/>
      <c r="AN142" s="692" t="n"/>
      <c r="AO142" s="692" t="n"/>
      <c r="AP142" s="692" t="n"/>
      <c r="AQ142" s="692" t="n"/>
      <c r="AR142" s="692" t="n"/>
      <c r="AS142" s="692" t="n"/>
    </row>
    <row r="143">
      <c r="A143" s="427" t="inlineStr">
        <is>
          <t>M</t>
        </is>
      </c>
      <c r="B143" s="616" t="inlineStr">
        <is>
          <t>200 Breast</t>
        </is>
      </c>
      <c r="C143" s="616" t="n">
        <v>16</v>
      </c>
      <c r="D143" s="616" t="n">
        <v>1</v>
      </c>
      <c r="E143" s="127" t="inlineStr">
        <is>
          <t>2:18.55</t>
        </is>
      </c>
      <c r="F143" s="692" t="n"/>
      <c r="G143" s="692" t="n"/>
      <c r="H143" s="692" t="n"/>
      <c r="I143" s="692" t="n"/>
      <c r="J143" s="692" t="n"/>
      <c r="K143" s="692" t="n"/>
      <c r="L143" s="692" t="n"/>
      <c r="M143" s="692" t="n"/>
      <c r="N143" s="692" t="n"/>
      <c r="O143" s="692" t="n"/>
      <c r="P143" s="692" t="n"/>
      <c r="Q143" s="692" t="n"/>
      <c r="R143" s="692" t="n"/>
      <c r="S143" s="692" t="n"/>
      <c r="T143" s="692" t="n"/>
      <c r="U143" s="692" t="n"/>
      <c r="V143" s="692" t="n"/>
      <c r="W143" s="692" t="n"/>
      <c r="X143" s="692" t="n"/>
      <c r="Y143" s="692" t="n"/>
      <c r="Z143" s="692" t="n"/>
      <c r="AA143" s="692" t="n"/>
      <c r="AB143" s="692" t="n"/>
      <c r="AC143" s="692" t="n"/>
      <c r="AD143" s="692" t="n"/>
      <c r="AE143" s="692" t="n"/>
      <c r="AF143" s="692" t="n"/>
      <c r="AG143" s="692" t="n"/>
      <c r="AH143" s="692" t="n"/>
      <c r="AI143" s="692" t="n"/>
      <c r="AJ143" s="692" t="n"/>
      <c r="AK143" s="692" t="n"/>
      <c r="AL143" s="692" t="n"/>
      <c r="AM143" s="692" t="n"/>
      <c r="AN143" s="692" t="n"/>
      <c r="AO143" s="692" t="n"/>
      <c r="AP143" s="692" t="n"/>
      <c r="AQ143" s="692" t="n"/>
      <c r="AR143" s="692" t="n"/>
      <c r="AS143" s="692" t="n"/>
    </row>
    <row r="144">
      <c r="A144" s="420" t="inlineStr">
        <is>
          <t>M</t>
        </is>
      </c>
      <c r="B144" s="593" t="inlineStr">
        <is>
          <t>200 Breast</t>
        </is>
      </c>
      <c r="C144" s="593" t="n">
        <v>17</v>
      </c>
      <c r="D144" s="593" t="n">
        <v>1</v>
      </c>
      <c r="E144" s="128" t="inlineStr">
        <is>
          <t>2:14.89</t>
        </is>
      </c>
      <c r="F144" s="692" t="n"/>
      <c r="G144" s="692" t="n"/>
      <c r="H144" s="692" t="n"/>
      <c r="I144" s="692" t="n"/>
      <c r="J144" s="692" t="n"/>
      <c r="K144" s="692" t="n"/>
      <c r="L144" s="692" t="n"/>
      <c r="M144" s="692" t="n"/>
      <c r="N144" s="692" t="n"/>
      <c r="O144" s="692" t="n"/>
      <c r="P144" s="692" t="n"/>
      <c r="Q144" s="692" t="n"/>
      <c r="R144" s="692" t="n"/>
      <c r="S144" s="692" t="n"/>
      <c r="T144" s="692" t="n"/>
      <c r="U144" s="692" t="n"/>
      <c r="V144" s="692" t="n"/>
      <c r="W144" s="692" t="n"/>
      <c r="X144" s="692" t="n"/>
      <c r="Y144" s="692" t="n"/>
      <c r="Z144" s="692" t="n"/>
      <c r="AA144" s="692" t="n"/>
      <c r="AB144" s="692" t="n"/>
      <c r="AC144" s="692" t="n"/>
      <c r="AD144" s="692" t="n"/>
      <c r="AE144" s="692" t="n"/>
      <c r="AF144" s="692" t="n"/>
      <c r="AG144" s="692" t="n"/>
      <c r="AH144" s="692" t="n"/>
      <c r="AI144" s="692" t="n"/>
      <c r="AJ144" s="692" t="n"/>
      <c r="AK144" s="692" t="n"/>
      <c r="AL144" s="692" t="n"/>
      <c r="AM144" s="692" t="n"/>
      <c r="AN144" s="692" t="n"/>
      <c r="AO144" s="692" t="n"/>
      <c r="AP144" s="692" t="n"/>
      <c r="AQ144" s="692" t="n"/>
      <c r="AR144" s="692" t="n"/>
      <c r="AS144" s="692" t="n"/>
    </row>
    <row r="145">
      <c r="A145" s="427" t="inlineStr">
        <is>
          <t>M</t>
        </is>
      </c>
      <c r="B145" s="616" t="inlineStr">
        <is>
          <t>200 Breast</t>
        </is>
      </c>
      <c r="C145" s="616" t="n">
        <v>18</v>
      </c>
      <c r="D145" s="616" t="n">
        <v>1</v>
      </c>
      <c r="E145" s="127" t="inlineStr">
        <is>
          <t>2:12.22</t>
        </is>
      </c>
      <c r="F145" s="692" t="n"/>
      <c r="G145" s="692" t="n"/>
      <c r="H145" s="692" t="n"/>
      <c r="I145" s="692" t="n"/>
      <c r="J145" s="692" t="n"/>
      <c r="K145" s="692" t="n"/>
      <c r="L145" s="692" t="n"/>
      <c r="M145" s="692" t="n"/>
      <c r="N145" s="692" t="n"/>
      <c r="O145" s="692" t="n"/>
      <c r="P145" s="692" t="n"/>
      <c r="Q145" s="692" t="n"/>
      <c r="R145" s="692" t="n"/>
      <c r="S145" s="692" t="n"/>
      <c r="T145" s="692" t="n"/>
      <c r="U145" s="692" t="n"/>
      <c r="V145" s="692" t="n"/>
      <c r="W145" s="692" t="n"/>
      <c r="X145" s="692" t="n"/>
      <c r="Y145" s="692" t="n"/>
      <c r="Z145" s="692" t="n"/>
      <c r="AA145" s="692" t="n"/>
      <c r="AB145" s="692" t="n"/>
      <c r="AC145" s="692" t="n"/>
      <c r="AD145" s="692" t="n"/>
      <c r="AE145" s="692" t="n"/>
      <c r="AF145" s="692" t="n"/>
      <c r="AG145" s="692" t="n"/>
      <c r="AH145" s="692" t="n"/>
      <c r="AI145" s="692" t="n"/>
      <c r="AJ145" s="692" t="n"/>
      <c r="AK145" s="692" t="n"/>
      <c r="AL145" s="692" t="n"/>
      <c r="AM145" s="692" t="n"/>
      <c r="AN145" s="692" t="n"/>
      <c r="AO145" s="692" t="n"/>
      <c r="AP145" s="692" t="n"/>
      <c r="AQ145" s="692" t="n"/>
      <c r="AR145" s="692" t="n"/>
      <c r="AS145" s="692" t="n"/>
    </row>
    <row r="146">
      <c r="A146" s="420" t="inlineStr">
        <is>
          <t>M</t>
        </is>
      </c>
      <c r="B146" s="593" t="inlineStr">
        <is>
          <t>200 Breast</t>
        </is>
      </c>
      <c r="C146" s="593" t="n">
        <v>19</v>
      </c>
      <c r="D146" s="593" t="n">
        <v>1</v>
      </c>
      <c r="E146" s="128" t="inlineStr">
        <is>
          <t>2:10.32</t>
        </is>
      </c>
      <c r="F146" s="692" t="n"/>
      <c r="G146" s="692" t="n"/>
      <c r="H146" s="692" t="n"/>
      <c r="I146" s="692" t="n"/>
      <c r="J146" s="692" t="n"/>
      <c r="K146" s="692" t="n"/>
      <c r="L146" s="692" t="n"/>
      <c r="M146" s="692" t="n"/>
      <c r="N146" s="692" t="n"/>
      <c r="O146" s="692" t="n"/>
      <c r="P146" s="692" t="n"/>
      <c r="Q146" s="692" t="n"/>
      <c r="R146" s="692" t="n"/>
      <c r="S146" s="692" t="n"/>
      <c r="T146" s="692" t="n"/>
      <c r="U146" s="692" t="n"/>
      <c r="V146" s="692" t="n"/>
      <c r="W146" s="692" t="n"/>
      <c r="X146" s="692" t="n"/>
      <c r="Y146" s="692" t="n"/>
      <c r="Z146" s="692" t="n"/>
      <c r="AA146" s="692" t="n"/>
      <c r="AB146" s="692" t="n"/>
      <c r="AC146" s="692" t="n"/>
      <c r="AD146" s="692" t="n"/>
      <c r="AE146" s="692" t="n"/>
      <c r="AF146" s="692" t="n"/>
      <c r="AG146" s="692" t="n"/>
      <c r="AH146" s="692" t="n"/>
      <c r="AI146" s="692" t="n"/>
      <c r="AJ146" s="692" t="n"/>
      <c r="AK146" s="692" t="n"/>
      <c r="AL146" s="692" t="n"/>
      <c r="AM146" s="692" t="n"/>
      <c r="AN146" s="692" t="n"/>
      <c r="AO146" s="692" t="n"/>
      <c r="AP146" s="692" t="n"/>
      <c r="AQ146" s="692" t="n"/>
      <c r="AR146" s="692" t="n"/>
      <c r="AS146" s="692" t="n"/>
    </row>
    <row r="147">
      <c r="A147" s="427" t="inlineStr">
        <is>
          <t>M</t>
        </is>
      </c>
      <c r="B147" s="616" t="inlineStr">
        <is>
          <t>50 Fly</t>
        </is>
      </c>
      <c r="C147" s="616" t="n">
        <v>17</v>
      </c>
      <c r="D147" s="616" t="n">
        <v>1</v>
      </c>
      <c r="E147" s="127" t="inlineStr">
        <is>
          <t>24.61</t>
        </is>
      </c>
      <c r="F147" s="692" t="n"/>
      <c r="G147" s="692" t="n"/>
      <c r="H147" s="692" t="n"/>
      <c r="I147" s="692" t="n"/>
      <c r="J147" s="692" t="n"/>
      <c r="K147" s="692" t="n"/>
      <c r="L147" s="692" t="n"/>
      <c r="M147" s="692" t="n"/>
      <c r="N147" s="692" t="n"/>
      <c r="O147" s="692" t="n"/>
      <c r="P147" s="692" t="n"/>
      <c r="Q147" s="692" t="n"/>
      <c r="R147" s="692" t="n"/>
      <c r="S147" s="692" t="n"/>
      <c r="T147" s="692" t="n"/>
      <c r="U147" s="692" t="n"/>
      <c r="V147" s="692" t="n"/>
      <c r="W147" s="692" t="n"/>
      <c r="X147" s="692" t="n"/>
      <c r="Y147" s="692" t="n"/>
      <c r="Z147" s="692" t="n"/>
      <c r="AA147" s="692" t="n"/>
      <c r="AB147" s="692" t="n"/>
      <c r="AC147" s="692" t="n"/>
      <c r="AD147" s="692" t="n"/>
      <c r="AE147" s="692" t="n"/>
      <c r="AF147" s="692" t="n"/>
      <c r="AG147" s="692" t="n"/>
      <c r="AH147" s="692" t="n"/>
      <c r="AI147" s="692" t="n"/>
      <c r="AJ147" s="692" t="n"/>
      <c r="AK147" s="692" t="n"/>
      <c r="AL147" s="692" t="n"/>
      <c r="AM147" s="692" t="n"/>
      <c r="AN147" s="692" t="n"/>
      <c r="AO147" s="692" t="n"/>
      <c r="AP147" s="692" t="n"/>
      <c r="AQ147" s="692" t="n"/>
      <c r="AR147" s="692" t="n"/>
      <c r="AS147" s="692" t="n"/>
    </row>
    <row r="148">
      <c r="A148" s="420" t="inlineStr">
        <is>
          <t>M</t>
        </is>
      </c>
      <c r="B148" s="593" t="inlineStr">
        <is>
          <t>50 Fly</t>
        </is>
      </c>
      <c r="C148" s="593" t="n">
        <v>18</v>
      </c>
      <c r="D148" s="593" t="n">
        <v>1</v>
      </c>
      <c r="E148" s="128" t="inlineStr">
        <is>
          <t>24.10</t>
        </is>
      </c>
      <c r="F148" s="692" t="n"/>
      <c r="G148" s="692" t="n"/>
      <c r="H148" s="692" t="n"/>
      <c r="I148" s="692" t="n"/>
      <c r="J148" s="692" t="n"/>
      <c r="K148" s="692" t="n"/>
      <c r="L148" s="692" t="n"/>
      <c r="M148" s="692" t="n"/>
      <c r="N148" s="692" t="n"/>
      <c r="O148" s="692" t="n"/>
      <c r="P148" s="692" t="n"/>
      <c r="Q148" s="692" t="n"/>
      <c r="R148" s="692" t="n"/>
      <c r="S148" s="692" t="n"/>
      <c r="T148" s="692" t="n"/>
      <c r="U148" s="692" t="n"/>
      <c r="V148" s="692" t="n"/>
      <c r="W148" s="692" t="n"/>
      <c r="X148" s="692" t="n"/>
      <c r="Y148" s="692" t="n"/>
      <c r="Z148" s="692" t="n"/>
      <c r="AA148" s="692" t="n"/>
      <c r="AB148" s="692" t="n"/>
      <c r="AC148" s="692" t="n"/>
      <c r="AD148" s="692" t="n"/>
      <c r="AE148" s="692" t="n"/>
      <c r="AF148" s="692" t="n"/>
      <c r="AG148" s="692" t="n"/>
      <c r="AH148" s="692" t="n"/>
      <c r="AI148" s="692" t="n"/>
      <c r="AJ148" s="692" t="n"/>
      <c r="AK148" s="692" t="n"/>
      <c r="AL148" s="692" t="n"/>
      <c r="AM148" s="692" t="n"/>
      <c r="AN148" s="692" t="n"/>
      <c r="AO148" s="692" t="n"/>
      <c r="AP148" s="692" t="n"/>
      <c r="AQ148" s="692" t="n"/>
      <c r="AR148" s="692" t="n"/>
      <c r="AS148" s="692" t="n"/>
    </row>
    <row r="149">
      <c r="A149" s="427" t="inlineStr">
        <is>
          <t>M</t>
        </is>
      </c>
      <c r="B149" s="616" t="inlineStr">
        <is>
          <t>50 Fly</t>
        </is>
      </c>
      <c r="C149" s="616" t="n">
        <v>19</v>
      </c>
      <c r="D149" s="616" t="n">
        <v>1</v>
      </c>
      <c r="E149" s="127" t="inlineStr">
        <is>
          <t>23.75</t>
        </is>
      </c>
      <c r="F149" s="692" t="n"/>
      <c r="G149" s="692" t="n"/>
      <c r="H149" s="692" t="n"/>
      <c r="I149" s="692" t="n"/>
      <c r="J149" s="692" t="n"/>
      <c r="K149" s="692" t="n"/>
      <c r="L149" s="692" t="n"/>
      <c r="M149" s="692" t="n"/>
      <c r="N149" s="692" t="n"/>
      <c r="O149" s="692" t="n"/>
      <c r="P149" s="692" t="n"/>
      <c r="Q149" s="692" t="n"/>
      <c r="R149" s="692" t="n"/>
      <c r="S149" s="692" t="n"/>
      <c r="T149" s="692" t="n"/>
      <c r="U149" s="692" t="n"/>
      <c r="V149" s="692" t="n"/>
      <c r="W149" s="692" t="n"/>
      <c r="X149" s="692" t="n"/>
      <c r="Y149" s="692" t="n"/>
      <c r="Z149" s="692" t="n"/>
      <c r="AA149" s="692" t="n"/>
      <c r="AB149" s="692" t="n"/>
      <c r="AC149" s="692" t="n"/>
      <c r="AD149" s="692" t="n"/>
      <c r="AE149" s="692" t="n"/>
      <c r="AF149" s="692" t="n"/>
      <c r="AG149" s="692" t="n"/>
      <c r="AH149" s="692" t="n"/>
      <c r="AI149" s="692" t="n"/>
      <c r="AJ149" s="692" t="n"/>
      <c r="AK149" s="692" t="n"/>
      <c r="AL149" s="692" t="n"/>
      <c r="AM149" s="692" t="n"/>
      <c r="AN149" s="692" t="n"/>
      <c r="AO149" s="692" t="n"/>
      <c r="AP149" s="692" t="n"/>
      <c r="AQ149" s="692" t="n"/>
      <c r="AR149" s="692" t="n"/>
      <c r="AS149" s="692" t="n"/>
    </row>
    <row r="150">
      <c r="A150" s="420" t="inlineStr">
        <is>
          <t>M</t>
        </is>
      </c>
      <c r="B150" s="593" t="inlineStr">
        <is>
          <t>50 Fly</t>
        </is>
      </c>
      <c r="C150" s="593" t="n">
        <v>20</v>
      </c>
      <c r="D150" s="593" t="n">
        <v>1</v>
      </c>
      <c r="E150" s="128" t="inlineStr">
        <is>
          <t>23.52</t>
        </is>
      </c>
      <c r="F150" s="692" t="n"/>
      <c r="G150" s="692" t="n"/>
      <c r="H150" s="692" t="n"/>
      <c r="I150" s="692" t="n"/>
      <c r="J150" s="692" t="n"/>
      <c r="K150" s="692" t="n"/>
      <c r="L150" s="692" t="n"/>
      <c r="M150" s="692" t="n"/>
      <c r="N150" s="692" t="n"/>
      <c r="O150" s="692" t="n"/>
      <c r="P150" s="692" t="n"/>
      <c r="Q150" s="692" t="n"/>
      <c r="R150" s="692" t="n"/>
      <c r="S150" s="692" t="n"/>
      <c r="T150" s="692" t="n"/>
      <c r="U150" s="692" t="n"/>
      <c r="V150" s="692" t="n"/>
      <c r="W150" s="692" t="n"/>
      <c r="X150" s="692" t="n"/>
      <c r="Y150" s="692" t="n"/>
      <c r="Z150" s="692" t="n"/>
      <c r="AA150" s="692" t="n"/>
      <c r="AB150" s="692" t="n"/>
      <c r="AC150" s="692" t="n"/>
      <c r="AD150" s="692" t="n"/>
      <c r="AE150" s="692" t="n"/>
      <c r="AF150" s="692" t="n"/>
      <c r="AG150" s="692" t="n"/>
      <c r="AH150" s="692" t="n"/>
      <c r="AI150" s="692" t="n"/>
      <c r="AJ150" s="692" t="n"/>
      <c r="AK150" s="692" t="n"/>
      <c r="AL150" s="692" t="n"/>
      <c r="AM150" s="692" t="n"/>
      <c r="AN150" s="692" t="n"/>
      <c r="AO150" s="692" t="n"/>
      <c r="AP150" s="692" t="n"/>
      <c r="AQ150" s="692" t="n"/>
      <c r="AR150" s="692" t="n"/>
      <c r="AS150" s="692" t="n"/>
    </row>
    <row r="151">
      <c r="A151" s="427" t="inlineStr">
        <is>
          <t>M</t>
        </is>
      </c>
      <c r="B151" s="616" t="inlineStr">
        <is>
          <t>50 Fly</t>
        </is>
      </c>
      <c r="C151" s="616" t="n">
        <v>21</v>
      </c>
      <c r="D151" s="616" t="n">
        <v>1</v>
      </c>
      <c r="E151" s="127" t="inlineStr">
        <is>
          <t>23.36</t>
        </is>
      </c>
      <c r="F151" s="692" t="n"/>
      <c r="G151" s="692" t="n"/>
      <c r="H151" s="692" t="n"/>
      <c r="I151" s="692" t="n"/>
      <c r="J151" s="692" t="n"/>
      <c r="K151" s="692" t="n"/>
      <c r="L151" s="692" t="n"/>
      <c r="M151" s="692" t="n"/>
      <c r="N151" s="692" t="n"/>
      <c r="O151" s="692" t="n"/>
      <c r="P151" s="692" t="n"/>
      <c r="Q151" s="692" t="n"/>
      <c r="R151" s="692" t="n"/>
      <c r="S151" s="692" t="n"/>
      <c r="T151" s="692" t="n"/>
      <c r="U151" s="692" t="n"/>
      <c r="V151" s="692" t="n"/>
      <c r="W151" s="692" t="n"/>
      <c r="X151" s="692" t="n"/>
      <c r="Y151" s="692" t="n"/>
      <c r="Z151" s="692" t="n"/>
      <c r="AA151" s="692" t="n"/>
      <c r="AB151" s="692" t="n"/>
      <c r="AC151" s="692" t="n"/>
      <c r="AD151" s="692" t="n"/>
      <c r="AE151" s="692" t="n"/>
      <c r="AF151" s="692" t="n"/>
      <c r="AG151" s="692" t="n"/>
      <c r="AH151" s="692" t="n"/>
      <c r="AI151" s="692" t="n"/>
      <c r="AJ151" s="692" t="n"/>
      <c r="AK151" s="692" t="n"/>
      <c r="AL151" s="692" t="n"/>
      <c r="AM151" s="692" t="n"/>
      <c r="AN151" s="692" t="n"/>
      <c r="AO151" s="692" t="n"/>
      <c r="AP151" s="692" t="n"/>
      <c r="AQ151" s="692" t="n"/>
      <c r="AR151" s="692" t="n"/>
      <c r="AS151" s="692" t="n"/>
    </row>
    <row r="152">
      <c r="A152" s="420" t="inlineStr">
        <is>
          <t>M</t>
        </is>
      </c>
      <c r="B152" s="593" t="inlineStr">
        <is>
          <t>100 Fly</t>
        </is>
      </c>
      <c r="C152" s="593" t="n">
        <v>16</v>
      </c>
      <c r="D152" s="593" t="n">
        <v>1</v>
      </c>
      <c r="E152" s="426" t="n">
        <v>55.15</v>
      </c>
      <c r="F152" s="692" t="n"/>
      <c r="G152" s="692" t="n"/>
      <c r="H152" s="692" t="n"/>
      <c r="I152" s="692" t="n"/>
      <c r="J152" s="692" t="n"/>
      <c r="K152" s="692" t="n"/>
      <c r="L152" s="692" t="n"/>
      <c r="M152" s="692" t="n"/>
      <c r="N152" s="692" t="n"/>
      <c r="O152" s="692" t="n"/>
      <c r="P152" s="692" t="n"/>
      <c r="Q152" s="692" t="n"/>
      <c r="R152" s="692" t="n"/>
      <c r="S152" s="692" t="n"/>
      <c r="T152" s="692" t="n"/>
      <c r="U152" s="692" t="n"/>
      <c r="V152" s="692" t="n"/>
      <c r="W152" s="692" t="n"/>
      <c r="X152" s="692" t="n"/>
      <c r="Y152" s="692" t="n"/>
      <c r="Z152" s="692" t="n"/>
      <c r="AA152" s="692" t="n"/>
      <c r="AB152" s="692" t="n"/>
      <c r="AC152" s="692" t="n"/>
      <c r="AD152" s="692" t="n"/>
      <c r="AE152" s="692" t="n"/>
      <c r="AF152" s="692" t="n"/>
      <c r="AG152" s="692" t="n"/>
      <c r="AH152" s="692" t="n"/>
      <c r="AI152" s="692" t="n"/>
      <c r="AJ152" s="692" t="n"/>
      <c r="AK152" s="692" t="n"/>
      <c r="AL152" s="692" t="n"/>
      <c r="AM152" s="692" t="n"/>
      <c r="AN152" s="692" t="n"/>
      <c r="AO152" s="692" t="n"/>
      <c r="AP152" s="692" t="n"/>
      <c r="AQ152" s="692" t="n"/>
      <c r="AR152" s="692" t="n"/>
      <c r="AS152" s="692" t="n"/>
    </row>
    <row r="153">
      <c r="A153" s="427" t="inlineStr">
        <is>
          <t>M</t>
        </is>
      </c>
      <c r="B153" s="616" t="inlineStr">
        <is>
          <t>100 Fly</t>
        </is>
      </c>
      <c r="C153" s="616" t="n">
        <v>17</v>
      </c>
      <c r="D153" s="616" t="n">
        <v>1</v>
      </c>
      <c r="E153" s="127" t="inlineStr">
        <is>
          <t>53.75</t>
        </is>
      </c>
      <c r="F153" s="692" t="n"/>
      <c r="G153" s="692" t="n"/>
      <c r="H153" s="692" t="n"/>
      <c r="I153" s="692" t="n"/>
      <c r="J153" s="692" t="n"/>
      <c r="K153" s="692" t="n"/>
      <c r="L153" s="692" t="n"/>
      <c r="M153" s="692" t="n"/>
      <c r="N153" s="692" t="n"/>
      <c r="O153" s="692" t="n"/>
      <c r="P153" s="692" t="n"/>
      <c r="Q153" s="692" t="n"/>
      <c r="R153" s="692" t="n"/>
      <c r="S153" s="692" t="n"/>
      <c r="T153" s="692" t="n"/>
      <c r="U153" s="692" t="n"/>
      <c r="V153" s="692" t="n"/>
      <c r="W153" s="692" t="n"/>
      <c r="X153" s="692" t="n"/>
      <c r="Y153" s="692" t="n"/>
      <c r="Z153" s="692" t="n"/>
      <c r="AA153" s="692" t="n"/>
      <c r="AB153" s="692" t="n"/>
      <c r="AC153" s="692" t="n"/>
      <c r="AD153" s="692" t="n"/>
      <c r="AE153" s="692" t="n"/>
      <c r="AF153" s="692" t="n"/>
      <c r="AG153" s="692" t="n"/>
      <c r="AH153" s="692" t="n"/>
      <c r="AI153" s="692" t="n"/>
      <c r="AJ153" s="692" t="n"/>
      <c r="AK153" s="692" t="n"/>
      <c r="AL153" s="692" t="n"/>
      <c r="AM153" s="692" t="n"/>
      <c r="AN153" s="692" t="n"/>
      <c r="AO153" s="692" t="n"/>
      <c r="AP153" s="692" t="n"/>
      <c r="AQ153" s="692" t="n"/>
      <c r="AR153" s="692" t="n"/>
      <c r="AS153" s="692" t="n"/>
    </row>
    <row r="154">
      <c r="A154" s="420" t="inlineStr">
        <is>
          <t>M</t>
        </is>
      </c>
      <c r="B154" s="593" t="inlineStr">
        <is>
          <t>100 Fly</t>
        </is>
      </c>
      <c r="C154" s="593" t="n">
        <v>18</v>
      </c>
      <c r="D154" s="593" t="n">
        <v>1</v>
      </c>
      <c r="E154" s="128" t="inlineStr">
        <is>
          <t>52.83</t>
        </is>
      </c>
      <c r="F154" s="692" t="n"/>
      <c r="G154" s="692" t="n"/>
      <c r="H154" s="692" t="n"/>
      <c r="I154" s="692" t="n"/>
      <c r="J154" s="692" t="n"/>
      <c r="K154" s="692" t="n"/>
      <c r="L154" s="692" t="n"/>
      <c r="M154" s="692" t="n"/>
      <c r="N154" s="692" t="n"/>
      <c r="O154" s="692" t="n"/>
      <c r="P154" s="692" t="n"/>
      <c r="Q154" s="692" t="n"/>
      <c r="R154" s="692" t="n"/>
      <c r="S154" s="692" t="n"/>
      <c r="T154" s="692" t="n"/>
      <c r="U154" s="692" t="n"/>
      <c r="V154" s="692" t="n"/>
      <c r="W154" s="692" t="n"/>
      <c r="X154" s="692" t="n"/>
      <c r="Y154" s="692" t="n"/>
      <c r="Z154" s="692" t="n"/>
      <c r="AA154" s="692" t="n"/>
      <c r="AB154" s="692" t="n"/>
      <c r="AC154" s="692" t="n"/>
      <c r="AD154" s="692" t="n"/>
      <c r="AE154" s="692" t="n"/>
      <c r="AF154" s="692" t="n"/>
      <c r="AG154" s="692" t="n"/>
      <c r="AH154" s="692" t="n"/>
      <c r="AI154" s="692" t="n"/>
      <c r="AJ154" s="692" t="n"/>
      <c r="AK154" s="692" t="n"/>
      <c r="AL154" s="692" t="n"/>
      <c r="AM154" s="692" t="n"/>
      <c r="AN154" s="692" t="n"/>
      <c r="AO154" s="692" t="n"/>
      <c r="AP154" s="692" t="n"/>
      <c r="AQ154" s="692" t="n"/>
      <c r="AR154" s="692" t="n"/>
      <c r="AS154" s="692" t="n"/>
    </row>
    <row r="155">
      <c r="A155" s="427" t="inlineStr">
        <is>
          <t>M</t>
        </is>
      </c>
      <c r="B155" s="616" t="inlineStr">
        <is>
          <t>100 Fly</t>
        </is>
      </c>
      <c r="C155" s="616" t="n">
        <v>19</v>
      </c>
      <c r="D155" s="616" t="n">
        <v>1</v>
      </c>
      <c r="E155" s="127" t="inlineStr">
        <is>
          <t>52.22</t>
        </is>
      </c>
      <c r="F155" s="692" t="n"/>
      <c r="G155" s="692" t="n"/>
      <c r="H155" s="692" t="n"/>
      <c r="I155" s="692" t="n"/>
      <c r="J155" s="692" t="n"/>
      <c r="K155" s="692" t="n"/>
      <c r="L155" s="692" t="n"/>
      <c r="M155" s="692" t="n"/>
      <c r="N155" s="692" t="n"/>
      <c r="O155" s="692" t="n"/>
      <c r="P155" s="692" t="n"/>
      <c r="Q155" s="692" t="n"/>
      <c r="R155" s="692" t="n"/>
      <c r="S155" s="692" t="n"/>
      <c r="T155" s="692" t="n"/>
      <c r="U155" s="692" t="n"/>
      <c r="V155" s="692" t="n"/>
      <c r="W155" s="692" t="n"/>
      <c r="X155" s="692" t="n"/>
      <c r="Y155" s="692" t="n"/>
      <c r="Z155" s="692" t="n"/>
      <c r="AA155" s="692" t="n"/>
      <c r="AB155" s="692" t="n"/>
      <c r="AC155" s="692" t="n"/>
      <c r="AD155" s="692" t="n"/>
      <c r="AE155" s="692" t="n"/>
      <c r="AF155" s="692" t="n"/>
      <c r="AG155" s="692" t="n"/>
      <c r="AH155" s="692" t="n"/>
      <c r="AI155" s="692" t="n"/>
      <c r="AJ155" s="692" t="n"/>
      <c r="AK155" s="692" t="n"/>
      <c r="AL155" s="692" t="n"/>
      <c r="AM155" s="692" t="n"/>
      <c r="AN155" s="692" t="n"/>
      <c r="AO155" s="692" t="n"/>
      <c r="AP155" s="692" t="n"/>
      <c r="AQ155" s="692" t="n"/>
      <c r="AR155" s="692" t="n"/>
      <c r="AS155" s="692" t="n"/>
    </row>
    <row r="156">
      <c r="A156" s="420" t="inlineStr">
        <is>
          <t>M</t>
        </is>
      </c>
      <c r="B156" s="593" t="inlineStr">
        <is>
          <t>100 Fly</t>
        </is>
      </c>
      <c r="C156" s="593" t="n">
        <v>20</v>
      </c>
      <c r="D156" s="593" t="n">
        <v>1</v>
      </c>
      <c r="E156" s="128" t="inlineStr">
        <is>
          <t>51.77</t>
        </is>
      </c>
      <c r="F156" s="692" t="n"/>
      <c r="G156" s="692" t="n"/>
      <c r="H156" s="692" t="n"/>
      <c r="I156" s="692" t="n"/>
      <c r="J156" s="692" t="n"/>
      <c r="K156" s="692" t="n"/>
      <c r="L156" s="692" t="n"/>
      <c r="M156" s="692" t="n"/>
      <c r="N156" s="692" t="n"/>
      <c r="O156" s="692" t="n"/>
      <c r="P156" s="692" t="n"/>
      <c r="Q156" s="692" t="n"/>
      <c r="R156" s="692" t="n"/>
      <c r="S156" s="692" t="n"/>
      <c r="T156" s="692" t="n"/>
      <c r="U156" s="692" t="n"/>
      <c r="V156" s="692" t="n"/>
      <c r="W156" s="692" t="n"/>
      <c r="X156" s="692" t="n"/>
      <c r="Y156" s="692" t="n"/>
      <c r="Z156" s="692" t="n"/>
      <c r="AA156" s="692" t="n"/>
      <c r="AB156" s="692" t="n"/>
      <c r="AC156" s="692" t="n"/>
      <c r="AD156" s="692" t="n"/>
      <c r="AE156" s="692" t="n"/>
      <c r="AF156" s="692" t="n"/>
      <c r="AG156" s="692" t="n"/>
      <c r="AH156" s="692" t="n"/>
      <c r="AI156" s="692" t="n"/>
      <c r="AJ156" s="692" t="n"/>
      <c r="AK156" s="692" t="n"/>
      <c r="AL156" s="692" t="n"/>
      <c r="AM156" s="692" t="n"/>
      <c r="AN156" s="692" t="n"/>
      <c r="AO156" s="692" t="n"/>
      <c r="AP156" s="692" t="n"/>
      <c r="AQ156" s="692" t="n"/>
      <c r="AR156" s="692" t="n"/>
      <c r="AS156" s="692" t="n"/>
    </row>
    <row r="157">
      <c r="A157" s="427" t="inlineStr">
        <is>
          <t>M</t>
        </is>
      </c>
      <c r="B157" s="616" t="inlineStr">
        <is>
          <t>200 Fly</t>
        </is>
      </c>
      <c r="C157" s="616" t="n">
        <v>15</v>
      </c>
      <c r="D157" s="616" t="n">
        <v>1</v>
      </c>
      <c r="E157" s="433" t="inlineStr">
        <is>
          <t>2:07.69</t>
        </is>
      </c>
      <c r="F157" s="692" t="n"/>
      <c r="G157" s="692" t="n"/>
      <c r="H157" s="692" t="n"/>
      <c r="I157" s="692" t="n"/>
      <c r="J157" s="692" t="n"/>
      <c r="K157" s="692" t="n"/>
      <c r="L157" s="692" t="n"/>
      <c r="M157" s="692" t="n"/>
      <c r="N157" s="692" t="n"/>
      <c r="O157" s="692" t="n"/>
      <c r="P157" s="692" t="n"/>
      <c r="Q157" s="692" t="n"/>
      <c r="R157" s="692" t="n"/>
      <c r="S157" s="692" t="n"/>
      <c r="T157" s="692" t="n"/>
      <c r="U157" s="692" t="n"/>
      <c r="V157" s="692" t="n"/>
      <c r="W157" s="692" t="n"/>
      <c r="X157" s="692" t="n"/>
      <c r="Y157" s="692" t="n"/>
      <c r="Z157" s="692" t="n"/>
      <c r="AA157" s="692" t="n"/>
      <c r="AB157" s="692" t="n"/>
      <c r="AC157" s="692" t="n"/>
      <c r="AD157" s="692" t="n"/>
      <c r="AE157" s="692" t="n"/>
      <c r="AF157" s="692" t="n"/>
      <c r="AG157" s="692" t="n"/>
      <c r="AH157" s="692" t="n"/>
      <c r="AI157" s="692" t="n"/>
      <c r="AJ157" s="692" t="n"/>
      <c r="AK157" s="692" t="n"/>
      <c r="AL157" s="692" t="n"/>
      <c r="AM157" s="692" t="n"/>
      <c r="AN157" s="692" t="n"/>
      <c r="AO157" s="692" t="n"/>
      <c r="AP157" s="692" t="n"/>
      <c r="AQ157" s="692" t="n"/>
      <c r="AR157" s="692" t="n"/>
      <c r="AS157" s="692" t="n"/>
    </row>
    <row r="158">
      <c r="A158" s="420" t="inlineStr">
        <is>
          <t>M</t>
        </is>
      </c>
      <c r="B158" s="593" t="inlineStr">
        <is>
          <t>200 Fly</t>
        </is>
      </c>
      <c r="C158" s="593" t="n">
        <v>16</v>
      </c>
      <c r="D158" s="593" t="n">
        <v>1</v>
      </c>
      <c r="E158" s="426" t="inlineStr">
        <is>
          <t>2:03.12</t>
        </is>
      </c>
      <c r="F158" s="692" t="n"/>
      <c r="G158" s="692" t="n"/>
      <c r="H158" s="692" t="n"/>
      <c r="I158" s="692" t="n"/>
      <c r="J158" s="692" t="n"/>
      <c r="K158" s="692" t="n"/>
      <c r="L158" s="692" t="n"/>
      <c r="M158" s="692" t="n"/>
      <c r="N158" s="692" t="n"/>
      <c r="O158" s="692" t="n"/>
      <c r="P158" s="692" t="n"/>
      <c r="Q158" s="692" t="n"/>
      <c r="R158" s="692" t="n"/>
      <c r="S158" s="692" t="n"/>
      <c r="T158" s="692" t="n"/>
      <c r="U158" s="692" t="n"/>
      <c r="V158" s="692" t="n"/>
      <c r="W158" s="692" t="n"/>
      <c r="X158" s="692" t="n"/>
      <c r="Y158" s="692" t="n"/>
      <c r="Z158" s="692" t="n"/>
      <c r="AA158" s="692" t="n"/>
      <c r="AB158" s="692" t="n"/>
      <c r="AC158" s="692" t="n"/>
      <c r="AD158" s="692" t="n"/>
      <c r="AE158" s="692" t="n"/>
      <c r="AF158" s="692" t="n"/>
      <c r="AG158" s="692" t="n"/>
      <c r="AH158" s="692" t="n"/>
      <c r="AI158" s="692" t="n"/>
      <c r="AJ158" s="692" t="n"/>
      <c r="AK158" s="692" t="n"/>
      <c r="AL158" s="692" t="n"/>
      <c r="AM158" s="692" t="n"/>
      <c r="AN158" s="692" t="n"/>
      <c r="AO158" s="692" t="n"/>
      <c r="AP158" s="692" t="n"/>
      <c r="AQ158" s="692" t="n"/>
      <c r="AR158" s="692" t="n"/>
      <c r="AS158" s="692" t="n"/>
    </row>
    <row r="159">
      <c r="A159" s="427" t="inlineStr">
        <is>
          <t>M</t>
        </is>
      </c>
      <c r="B159" s="616" t="inlineStr">
        <is>
          <t>200 Fly</t>
        </is>
      </c>
      <c r="C159" s="616" t="n">
        <v>17</v>
      </c>
      <c r="D159" s="616" t="n">
        <v>1</v>
      </c>
      <c r="E159" s="127" t="inlineStr">
        <is>
          <t>1:59.88</t>
        </is>
      </c>
      <c r="F159" s="692" t="n"/>
      <c r="G159" s="692" t="n"/>
      <c r="H159" s="692" t="n"/>
      <c r="I159" s="692" t="n"/>
      <c r="J159" s="692" t="n"/>
      <c r="K159" s="692" t="n"/>
      <c r="L159" s="692" t="n"/>
      <c r="M159" s="692" t="n"/>
      <c r="N159" s="692" t="n"/>
      <c r="O159" s="692" t="n"/>
      <c r="P159" s="692" t="n"/>
      <c r="Q159" s="692" t="n"/>
      <c r="R159" s="692" t="n"/>
      <c r="S159" s="692" t="n"/>
      <c r="T159" s="692" t="n"/>
      <c r="U159" s="692" t="n"/>
      <c r="V159" s="692" t="n"/>
      <c r="W159" s="692" t="n"/>
      <c r="X159" s="692" t="n"/>
      <c r="Y159" s="692" t="n"/>
      <c r="Z159" s="692" t="n"/>
      <c r="AA159" s="692" t="n"/>
      <c r="AB159" s="692" t="n"/>
      <c r="AC159" s="692" t="n"/>
      <c r="AD159" s="692" t="n"/>
      <c r="AE159" s="692" t="n"/>
      <c r="AF159" s="692" t="n"/>
      <c r="AG159" s="692" t="n"/>
      <c r="AH159" s="692" t="n"/>
      <c r="AI159" s="692" t="n"/>
      <c r="AJ159" s="692" t="n"/>
      <c r="AK159" s="692" t="n"/>
      <c r="AL159" s="692" t="n"/>
      <c r="AM159" s="692" t="n"/>
      <c r="AN159" s="692" t="n"/>
      <c r="AO159" s="692" t="n"/>
      <c r="AP159" s="692" t="n"/>
      <c r="AQ159" s="692" t="n"/>
      <c r="AR159" s="692" t="n"/>
      <c r="AS159" s="692" t="n"/>
    </row>
    <row r="160">
      <c r="A160" s="420" t="inlineStr">
        <is>
          <t>M</t>
        </is>
      </c>
      <c r="B160" s="593" t="inlineStr">
        <is>
          <t>200 Fly</t>
        </is>
      </c>
      <c r="C160" s="593" t="n">
        <v>18</v>
      </c>
      <c r="D160" s="593" t="n">
        <v>1</v>
      </c>
      <c r="E160" s="128" t="inlineStr">
        <is>
          <t>1:57.84</t>
        </is>
      </c>
      <c r="F160" s="692" t="n"/>
      <c r="G160" s="692" t="n"/>
      <c r="H160" s="692" t="n"/>
      <c r="I160" s="692" t="n"/>
      <c r="J160" s="692" t="n"/>
      <c r="K160" s="692" t="n"/>
      <c r="L160" s="692" t="n"/>
      <c r="M160" s="692" t="n"/>
      <c r="N160" s="692" t="n"/>
      <c r="O160" s="692" t="n"/>
      <c r="P160" s="692" t="n"/>
      <c r="Q160" s="692" t="n"/>
      <c r="R160" s="692" t="n"/>
      <c r="S160" s="692" t="n"/>
      <c r="T160" s="692" t="n"/>
      <c r="U160" s="692" t="n"/>
      <c r="V160" s="692" t="n"/>
      <c r="W160" s="692" t="n"/>
      <c r="X160" s="692" t="n"/>
      <c r="Y160" s="692" t="n"/>
      <c r="Z160" s="692" t="n"/>
      <c r="AA160" s="692" t="n"/>
      <c r="AB160" s="692" t="n"/>
      <c r="AC160" s="692" t="n"/>
      <c r="AD160" s="692" t="n"/>
      <c r="AE160" s="692" t="n"/>
      <c r="AF160" s="692" t="n"/>
      <c r="AG160" s="692" t="n"/>
      <c r="AH160" s="692" t="n"/>
      <c r="AI160" s="692" t="n"/>
      <c r="AJ160" s="692" t="n"/>
      <c r="AK160" s="692" t="n"/>
      <c r="AL160" s="692" t="n"/>
      <c r="AM160" s="692" t="n"/>
      <c r="AN160" s="692" t="n"/>
      <c r="AO160" s="692" t="n"/>
      <c r="AP160" s="692" t="n"/>
      <c r="AQ160" s="692" t="n"/>
      <c r="AR160" s="692" t="n"/>
      <c r="AS160" s="692" t="n"/>
    </row>
    <row r="161">
      <c r="A161" s="427" t="inlineStr">
        <is>
          <t>M</t>
        </is>
      </c>
      <c r="B161" s="616" t="inlineStr">
        <is>
          <t>200 Fly</t>
        </is>
      </c>
      <c r="C161" s="616" t="n">
        <v>19</v>
      </c>
      <c r="D161" s="616" t="n">
        <v>1</v>
      </c>
      <c r="E161" s="127" t="inlineStr">
        <is>
          <t>1:56.51</t>
        </is>
      </c>
      <c r="F161" s="692" t="n"/>
      <c r="G161" s="692" t="n"/>
      <c r="H161" s="692" t="n"/>
      <c r="I161" s="692" t="n"/>
      <c r="J161" s="692" t="n"/>
      <c r="K161" s="692" t="n"/>
      <c r="L161" s="692" t="n"/>
      <c r="M161" s="692" t="n"/>
      <c r="N161" s="692" t="n"/>
      <c r="O161" s="692" t="n"/>
      <c r="P161" s="692" t="n"/>
      <c r="Q161" s="692" t="n"/>
      <c r="R161" s="692" t="n"/>
      <c r="S161" s="692" t="n"/>
      <c r="T161" s="692" t="n"/>
      <c r="U161" s="692" t="n"/>
      <c r="V161" s="692" t="n"/>
      <c r="W161" s="692" t="n"/>
      <c r="X161" s="692" t="n"/>
      <c r="Y161" s="692" t="n"/>
      <c r="Z161" s="692" t="n"/>
      <c r="AA161" s="692" t="n"/>
      <c r="AB161" s="692" t="n"/>
      <c r="AC161" s="692" t="n"/>
      <c r="AD161" s="692" t="n"/>
      <c r="AE161" s="692" t="n"/>
      <c r="AF161" s="692" t="n"/>
      <c r="AG161" s="692" t="n"/>
      <c r="AH161" s="692" t="n"/>
      <c r="AI161" s="692" t="n"/>
      <c r="AJ161" s="692" t="n"/>
      <c r="AK161" s="692" t="n"/>
      <c r="AL161" s="692" t="n"/>
      <c r="AM161" s="692" t="n"/>
      <c r="AN161" s="692" t="n"/>
      <c r="AO161" s="692" t="n"/>
      <c r="AP161" s="692" t="n"/>
      <c r="AQ161" s="692" t="n"/>
      <c r="AR161" s="692" t="n"/>
      <c r="AS161" s="692" t="n"/>
    </row>
    <row r="162">
      <c r="A162" s="420" t="inlineStr">
        <is>
          <t>M</t>
        </is>
      </c>
      <c r="B162" s="593" t="inlineStr">
        <is>
          <t>200 IM</t>
        </is>
      </c>
      <c r="C162" s="593" t="n">
        <v>16</v>
      </c>
      <c r="D162" s="593" t="n">
        <v>1</v>
      </c>
      <c r="E162" s="128" t="inlineStr">
        <is>
          <t>2:06.50</t>
        </is>
      </c>
      <c r="F162" s="692" t="n"/>
      <c r="G162" s="692" t="n"/>
      <c r="H162" s="692" t="n"/>
      <c r="I162" s="692" t="n"/>
      <c r="J162" s="692" t="n"/>
      <c r="K162" s="692" t="n"/>
      <c r="L162" s="692" t="n"/>
      <c r="M162" s="692" t="n"/>
      <c r="N162" s="692" t="n"/>
      <c r="O162" s="692" t="n"/>
      <c r="P162" s="692" t="n"/>
      <c r="Q162" s="692" t="n"/>
      <c r="R162" s="692" t="n"/>
      <c r="S162" s="692" t="n"/>
      <c r="T162" s="692" t="n"/>
      <c r="U162" s="692" t="n"/>
      <c r="V162" s="692" t="n"/>
      <c r="W162" s="692" t="n"/>
      <c r="X162" s="692" t="n"/>
      <c r="Y162" s="692" t="n"/>
      <c r="Z162" s="692" t="n"/>
      <c r="AA162" s="692" t="n"/>
      <c r="AB162" s="692" t="n"/>
      <c r="AC162" s="692" t="n"/>
      <c r="AD162" s="692" t="n"/>
      <c r="AE162" s="692" t="n"/>
      <c r="AF162" s="692" t="n"/>
      <c r="AG162" s="692" t="n"/>
      <c r="AH162" s="692" t="n"/>
      <c r="AI162" s="692" t="n"/>
      <c r="AJ162" s="692" t="n"/>
      <c r="AK162" s="692" t="n"/>
      <c r="AL162" s="692" t="n"/>
      <c r="AM162" s="692" t="n"/>
      <c r="AN162" s="692" t="n"/>
      <c r="AO162" s="692" t="n"/>
      <c r="AP162" s="692" t="n"/>
      <c r="AQ162" s="692" t="n"/>
      <c r="AR162" s="692" t="n"/>
      <c r="AS162" s="692" t="n"/>
    </row>
    <row r="163">
      <c r="A163" s="427" t="inlineStr">
        <is>
          <t>M</t>
        </is>
      </c>
      <c r="B163" s="616" t="inlineStr">
        <is>
          <t>200 IM</t>
        </is>
      </c>
      <c r="C163" s="616" t="n">
        <v>17</v>
      </c>
      <c r="D163" s="616" t="n">
        <v>1</v>
      </c>
      <c r="E163" s="127" t="inlineStr">
        <is>
          <t>2:03.32</t>
        </is>
      </c>
      <c r="F163" s="692" t="n"/>
      <c r="G163" s="692" t="n"/>
      <c r="H163" s="692" t="n"/>
      <c r="I163" s="692" t="n"/>
      <c r="J163" s="692" t="n"/>
      <c r="K163" s="692" t="n"/>
      <c r="L163" s="692" t="n"/>
      <c r="M163" s="692" t="n"/>
      <c r="N163" s="692" t="n"/>
      <c r="O163" s="692" t="n"/>
      <c r="P163" s="692" t="n"/>
      <c r="Q163" s="692" t="n"/>
      <c r="R163" s="692" t="n"/>
      <c r="S163" s="692" t="n"/>
      <c r="T163" s="692" t="n"/>
      <c r="U163" s="692" t="n"/>
      <c r="V163" s="692" t="n"/>
      <c r="W163" s="692" t="n"/>
      <c r="X163" s="692" t="n"/>
      <c r="Y163" s="692" t="n"/>
      <c r="Z163" s="692" t="n"/>
      <c r="AA163" s="692" t="n"/>
      <c r="AB163" s="692" t="n"/>
      <c r="AC163" s="692" t="n"/>
      <c r="AD163" s="692" t="n"/>
      <c r="AE163" s="692" t="n"/>
      <c r="AF163" s="692" t="n"/>
      <c r="AG163" s="692" t="n"/>
      <c r="AH163" s="692" t="n"/>
      <c r="AI163" s="692" t="n"/>
      <c r="AJ163" s="692" t="n"/>
      <c r="AK163" s="692" t="n"/>
      <c r="AL163" s="692" t="n"/>
      <c r="AM163" s="692" t="n"/>
      <c r="AN163" s="692" t="n"/>
      <c r="AO163" s="692" t="n"/>
      <c r="AP163" s="692" t="n"/>
      <c r="AQ163" s="692" t="n"/>
      <c r="AR163" s="692" t="n"/>
      <c r="AS163" s="692" t="n"/>
    </row>
    <row r="164">
      <c r="A164" s="420" t="inlineStr">
        <is>
          <t>M</t>
        </is>
      </c>
      <c r="B164" s="593" t="inlineStr">
        <is>
          <t>200 IM</t>
        </is>
      </c>
      <c r="C164" s="593" t="n">
        <v>18</v>
      </c>
      <c r="D164" s="593" t="n">
        <v>1</v>
      </c>
      <c r="E164" s="128" t="inlineStr">
        <is>
          <t>2:01.30</t>
        </is>
      </c>
      <c r="F164" s="692" t="n"/>
      <c r="G164" s="692" t="n"/>
      <c r="H164" s="692" t="n"/>
      <c r="I164" s="692" t="n"/>
      <c r="J164" s="692" t="n"/>
      <c r="K164" s="692" t="n"/>
      <c r="L164" s="692" t="n"/>
      <c r="M164" s="692" t="n"/>
      <c r="N164" s="692" t="n"/>
      <c r="O164" s="692" t="n"/>
      <c r="P164" s="692" t="n"/>
      <c r="Q164" s="692" t="n"/>
      <c r="R164" s="692" t="n"/>
      <c r="S164" s="692" t="n"/>
      <c r="T164" s="692" t="n"/>
      <c r="U164" s="692" t="n"/>
      <c r="V164" s="692" t="n"/>
      <c r="W164" s="692" t="n"/>
      <c r="X164" s="692" t="n"/>
      <c r="Y164" s="692" t="n"/>
      <c r="Z164" s="692" t="n"/>
      <c r="AA164" s="692" t="n"/>
      <c r="AB164" s="692" t="n"/>
      <c r="AC164" s="692" t="n"/>
      <c r="AD164" s="692" t="n"/>
      <c r="AE164" s="692" t="n"/>
      <c r="AF164" s="692" t="n"/>
      <c r="AG164" s="692" t="n"/>
      <c r="AH164" s="692" t="n"/>
      <c r="AI164" s="692" t="n"/>
      <c r="AJ164" s="692" t="n"/>
      <c r="AK164" s="692" t="n"/>
      <c r="AL164" s="692" t="n"/>
      <c r="AM164" s="692" t="n"/>
      <c r="AN164" s="692" t="n"/>
      <c r="AO164" s="692" t="n"/>
      <c r="AP164" s="692" t="n"/>
      <c r="AQ164" s="692" t="n"/>
      <c r="AR164" s="692" t="n"/>
      <c r="AS164" s="692" t="n"/>
    </row>
    <row r="165">
      <c r="A165" s="427" t="inlineStr">
        <is>
          <t>M</t>
        </is>
      </c>
      <c r="B165" s="616" t="inlineStr">
        <is>
          <t>200 IM</t>
        </is>
      </c>
      <c r="C165" s="616" t="n">
        <v>19</v>
      </c>
      <c r="D165" s="616" t="n">
        <v>1</v>
      </c>
      <c r="E165" s="127" t="inlineStr">
        <is>
          <t>1:59.95</t>
        </is>
      </c>
      <c r="F165" s="692" t="n"/>
      <c r="G165" s="692" t="n"/>
      <c r="H165" s="692" t="n"/>
      <c r="I165" s="692" t="n"/>
      <c r="J165" s="692" t="n"/>
      <c r="K165" s="692" t="n"/>
      <c r="L165" s="692" t="n"/>
      <c r="M165" s="692" t="n"/>
      <c r="N165" s="692" t="n"/>
      <c r="O165" s="692" t="n"/>
      <c r="P165" s="692" t="n"/>
      <c r="Q165" s="692" t="n"/>
      <c r="R165" s="692" t="n"/>
      <c r="S165" s="692" t="n"/>
      <c r="T165" s="692" t="n"/>
      <c r="U165" s="692" t="n"/>
      <c r="V165" s="692" t="n"/>
      <c r="W165" s="692" t="n"/>
      <c r="X165" s="692" t="n"/>
      <c r="Y165" s="692" t="n"/>
      <c r="Z165" s="692" t="n"/>
      <c r="AA165" s="692" t="n"/>
      <c r="AB165" s="692" t="n"/>
      <c r="AC165" s="692" t="n"/>
      <c r="AD165" s="692" t="n"/>
      <c r="AE165" s="692" t="n"/>
      <c r="AF165" s="692" t="n"/>
      <c r="AG165" s="692" t="n"/>
      <c r="AH165" s="692" t="n"/>
      <c r="AI165" s="692" t="n"/>
      <c r="AJ165" s="692" t="n"/>
      <c r="AK165" s="692" t="n"/>
      <c r="AL165" s="692" t="n"/>
      <c r="AM165" s="692" t="n"/>
      <c r="AN165" s="692" t="n"/>
      <c r="AO165" s="692" t="n"/>
      <c r="AP165" s="692" t="n"/>
      <c r="AQ165" s="692" t="n"/>
      <c r="AR165" s="692" t="n"/>
      <c r="AS165" s="692" t="n"/>
    </row>
    <row r="166">
      <c r="A166" s="420" t="inlineStr">
        <is>
          <t>M</t>
        </is>
      </c>
      <c r="B166" s="593" t="inlineStr">
        <is>
          <t>200 IM</t>
        </is>
      </c>
      <c r="C166" s="593" t="n">
        <v>20</v>
      </c>
      <c r="D166" s="593" t="n">
        <v>1</v>
      </c>
      <c r="E166" s="128" t="inlineStr">
        <is>
          <t>1:59.05</t>
        </is>
      </c>
      <c r="F166" s="692" t="n"/>
      <c r="G166" s="692" t="n"/>
      <c r="H166" s="692" t="n"/>
      <c r="I166" s="692" t="n"/>
      <c r="J166" s="692" t="n"/>
      <c r="K166" s="692" t="n"/>
      <c r="L166" s="692" t="n"/>
      <c r="M166" s="692" t="n"/>
      <c r="N166" s="692" t="n"/>
      <c r="O166" s="692" t="n"/>
      <c r="P166" s="692" t="n"/>
      <c r="Q166" s="692" t="n"/>
      <c r="R166" s="692" t="n"/>
      <c r="S166" s="692" t="n"/>
      <c r="T166" s="692" t="n"/>
      <c r="U166" s="692" t="n"/>
      <c r="V166" s="692" t="n"/>
      <c r="W166" s="692" t="n"/>
      <c r="X166" s="692" t="n"/>
      <c r="Y166" s="692" t="n"/>
      <c r="Z166" s="692" t="n"/>
      <c r="AA166" s="692" t="n"/>
      <c r="AB166" s="692" t="n"/>
      <c r="AC166" s="692" t="n"/>
      <c r="AD166" s="692" t="n"/>
      <c r="AE166" s="692" t="n"/>
      <c r="AF166" s="692" t="n"/>
      <c r="AG166" s="692" t="n"/>
      <c r="AH166" s="692" t="n"/>
      <c r="AI166" s="692" t="n"/>
      <c r="AJ166" s="692" t="n"/>
      <c r="AK166" s="692" t="n"/>
      <c r="AL166" s="692" t="n"/>
      <c r="AM166" s="692" t="n"/>
      <c r="AN166" s="692" t="n"/>
      <c r="AO166" s="692" t="n"/>
      <c r="AP166" s="692" t="n"/>
      <c r="AQ166" s="692" t="n"/>
      <c r="AR166" s="692" t="n"/>
      <c r="AS166" s="692" t="n"/>
    </row>
    <row r="167">
      <c r="A167" s="427" t="inlineStr">
        <is>
          <t>M</t>
        </is>
      </c>
      <c r="B167" s="616" t="inlineStr">
        <is>
          <t>400 IM</t>
        </is>
      </c>
      <c r="C167" s="616" t="n">
        <v>15</v>
      </c>
      <c r="D167" s="616" t="n">
        <v>1</v>
      </c>
      <c r="E167" s="127" t="inlineStr">
        <is>
          <t>4:38.79</t>
        </is>
      </c>
      <c r="F167" s="692" t="n"/>
      <c r="G167" s="692" t="n"/>
      <c r="H167" s="692" t="n"/>
      <c r="I167" s="692" t="n"/>
      <c r="J167" s="692" t="n"/>
      <c r="K167" s="692" t="n"/>
      <c r="L167" s="692" t="n"/>
      <c r="M167" s="692" t="n"/>
      <c r="N167" s="692" t="n"/>
      <c r="O167" s="692" t="n"/>
      <c r="P167" s="692" t="n"/>
      <c r="Q167" s="692" t="n"/>
      <c r="R167" s="692" t="n"/>
      <c r="S167" s="692" t="n"/>
      <c r="T167" s="692" t="n"/>
      <c r="U167" s="692" t="n"/>
      <c r="V167" s="692" t="n"/>
      <c r="W167" s="692" t="n"/>
      <c r="X167" s="692" t="n"/>
      <c r="Y167" s="692" t="n"/>
      <c r="Z167" s="692" t="n"/>
      <c r="AA167" s="692" t="n"/>
      <c r="AB167" s="692" t="n"/>
      <c r="AC167" s="692" t="n"/>
      <c r="AD167" s="692" t="n"/>
      <c r="AE167" s="692" t="n"/>
      <c r="AF167" s="692" t="n"/>
      <c r="AG167" s="692" t="n"/>
      <c r="AH167" s="692" t="n"/>
      <c r="AI167" s="692" t="n"/>
      <c r="AJ167" s="692" t="n"/>
      <c r="AK167" s="692" t="n"/>
      <c r="AL167" s="692" t="n"/>
      <c r="AM167" s="692" t="n"/>
      <c r="AN167" s="692" t="n"/>
      <c r="AO167" s="692" t="n"/>
      <c r="AP167" s="692" t="n"/>
      <c r="AQ167" s="692" t="n"/>
      <c r="AR167" s="692" t="n"/>
      <c r="AS167" s="692" t="n"/>
    </row>
    <row r="168">
      <c r="A168" s="420" t="inlineStr">
        <is>
          <t>M</t>
        </is>
      </c>
      <c r="B168" s="593" t="inlineStr">
        <is>
          <t>400 IM</t>
        </is>
      </c>
      <c r="C168" s="593" t="n">
        <v>16</v>
      </c>
      <c r="D168" s="593" t="n">
        <v>1</v>
      </c>
      <c r="E168" s="128" t="inlineStr">
        <is>
          <t>4:30.33</t>
        </is>
      </c>
      <c r="F168" s="692" t="n"/>
      <c r="G168" s="692" t="n"/>
      <c r="H168" s="692" t="n"/>
      <c r="I168" s="692" t="n"/>
      <c r="J168" s="692" t="n"/>
      <c r="K168" s="692" t="n"/>
      <c r="L168" s="692" t="n"/>
      <c r="M168" s="692" t="n"/>
      <c r="N168" s="692" t="n"/>
      <c r="O168" s="692" t="n"/>
      <c r="P168" s="692" t="n"/>
      <c r="Q168" s="692" t="n"/>
      <c r="R168" s="692" t="n"/>
      <c r="S168" s="692" t="n"/>
      <c r="T168" s="692" t="n"/>
      <c r="U168" s="692" t="n"/>
      <c r="V168" s="692" t="n"/>
      <c r="W168" s="692" t="n"/>
      <c r="X168" s="692" t="n"/>
      <c r="Y168" s="692" t="n"/>
      <c r="Z168" s="692" t="n"/>
      <c r="AA168" s="692" t="n"/>
      <c r="AB168" s="692" t="n"/>
      <c r="AC168" s="692" t="n"/>
      <c r="AD168" s="692" t="n"/>
      <c r="AE168" s="692" t="n"/>
      <c r="AF168" s="692" t="n"/>
      <c r="AG168" s="692" t="n"/>
      <c r="AH168" s="692" t="n"/>
      <c r="AI168" s="692" t="n"/>
      <c r="AJ168" s="692" t="n"/>
      <c r="AK168" s="692" t="n"/>
      <c r="AL168" s="692" t="n"/>
      <c r="AM168" s="692" t="n"/>
      <c r="AN168" s="692" t="n"/>
      <c r="AO168" s="692" t="n"/>
      <c r="AP168" s="692" t="n"/>
      <c r="AQ168" s="692" t="n"/>
      <c r="AR168" s="692" t="n"/>
      <c r="AS168" s="692" t="n"/>
    </row>
    <row r="169">
      <c r="A169" s="427" t="inlineStr">
        <is>
          <t>M</t>
        </is>
      </c>
      <c r="B169" s="616" t="inlineStr">
        <is>
          <t>400 IM</t>
        </is>
      </c>
      <c r="C169" s="616" t="n">
        <v>17</v>
      </c>
      <c r="D169" s="616" t="n">
        <v>1</v>
      </c>
      <c r="E169" s="127" t="inlineStr">
        <is>
          <t>4:24.32</t>
        </is>
      </c>
      <c r="F169" s="692" t="n"/>
      <c r="G169" s="692" t="n"/>
      <c r="H169" s="692" t="n"/>
      <c r="I169" s="692" t="n"/>
      <c r="J169" s="692" t="n"/>
      <c r="K169" s="692" t="n"/>
      <c r="L169" s="692" t="n"/>
      <c r="M169" s="692" t="n"/>
      <c r="N169" s="692" t="n"/>
      <c r="O169" s="692" t="n"/>
      <c r="P169" s="692" t="n"/>
      <c r="Q169" s="692" t="n"/>
      <c r="R169" s="692" t="n"/>
      <c r="S169" s="692" t="n"/>
      <c r="T169" s="692" t="n"/>
      <c r="U169" s="692" t="n"/>
      <c r="V169" s="692" t="n"/>
      <c r="W169" s="692" t="n"/>
      <c r="X169" s="692" t="n"/>
      <c r="Y169" s="692" t="n"/>
      <c r="Z169" s="692" t="n"/>
      <c r="AA169" s="692" t="n"/>
      <c r="AB169" s="692" t="n"/>
      <c r="AC169" s="692" t="n"/>
      <c r="AD169" s="692" t="n"/>
      <c r="AE169" s="692" t="n"/>
      <c r="AF169" s="692" t="n"/>
      <c r="AG169" s="692" t="n"/>
      <c r="AH169" s="692" t="n"/>
      <c r="AI169" s="692" t="n"/>
      <c r="AJ169" s="692" t="n"/>
      <c r="AK169" s="692" t="n"/>
      <c r="AL169" s="692" t="n"/>
      <c r="AM169" s="692" t="n"/>
      <c r="AN169" s="692" t="n"/>
      <c r="AO169" s="692" t="n"/>
      <c r="AP169" s="692" t="n"/>
      <c r="AQ169" s="692" t="n"/>
      <c r="AR169" s="692" t="n"/>
      <c r="AS169" s="692" t="n"/>
    </row>
    <row r="170">
      <c r="A170" s="420" t="inlineStr">
        <is>
          <t>M</t>
        </is>
      </c>
      <c r="B170" s="593" t="inlineStr">
        <is>
          <t>400 IM</t>
        </is>
      </c>
      <c r="C170" s="593" t="n">
        <v>18</v>
      </c>
      <c r="D170" s="593" t="n">
        <v>1</v>
      </c>
      <c r="E170" s="128" t="inlineStr">
        <is>
          <t>4:20.41</t>
        </is>
      </c>
      <c r="F170" s="692" t="n"/>
      <c r="G170" s="692" t="n"/>
      <c r="H170" s="692" t="n"/>
      <c r="I170" s="692" t="n"/>
      <c r="J170" s="692" t="n"/>
      <c r="K170" s="692" t="n"/>
      <c r="L170" s="692" t="n"/>
      <c r="M170" s="692" t="n"/>
      <c r="N170" s="692" t="n"/>
      <c r="O170" s="692" t="n"/>
      <c r="P170" s="692" t="n"/>
      <c r="Q170" s="692" t="n"/>
      <c r="R170" s="692" t="n"/>
      <c r="S170" s="692" t="n"/>
      <c r="T170" s="692" t="n"/>
      <c r="U170" s="692" t="n"/>
      <c r="V170" s="692" t="n"/>
      <c r="W170" s="692" t="n"/>
      <c r="X170" s="692" t="n"/>
      <c r="Y170" s="692" t="n"/>
      <c r="Z170" s="692" t="n"/>
      <c r="AA170" s="692" t="n"/>
      <c r="AB170" s="692" t="n"/>
      <c r="AC170" s="692" t="n"/>
      <c r="AD170" s="692" t="n"/>
      <c r="AE170" s="692" t="n"/>
      <c r="AF170" s="692" t="n"/>
      <c r="AG170" s="692" t="n"/>
      <c r="AH170" s="692" t="n"/>
      <c r="AI170" s="692" t="n"/>
      <c r="AJ170" s="692" t="n"/>
      <c r="AK170" s="692" t="n"/>
      <c r="AL170" s="692" t="n"/>
      <c r="AM170" s="692" t="n"/>
      <c r="AN170" s="692" t="n"/>
      <c r="AO170" s="692" t="n"/>
      <c r="AP170" s="692" t="n"/>
      <c r="AQ170" s="692" t="n"/>
      <c r="AR170" s="692" t="n"/>
      <c r="AS170" s="692" t="n"/>
    </row>
    <row r="171">
      <c r="A171" s="427" t="inlineStr">
        <is>
          <t>M</t>
        </is>
      </c>
      <c r="B171" s="616" t="inlineStr">
        <is>
          <t>400 IM</t>
        </is>
      </c>
      <c r="C171" s="616" t="n">
        <v>19</v>
      </c>
      <c r="D171" s="616" t="n">
        <v>1</v>
      </c>
      <c r="E171" s="127" t="inlineStr">
        <is>
          <t>4:17.48</t>
        </is>
      </c>
      <c r="F171" s="692" t="n"/>
      <c r="G171" s="692" t="n"/>
      <c r="H171" s="692" t="n"/>
      <c r="I171" s="692" t="n"/>
      <c r="J171" s="692" t="n"/>
      <c r="K171" s="692" t="n"/>
      <c r="L171" s="692" t="n"/>
      <c r="M171" s="692" t="n"/>
      <c r="N171" s="692" t="n"/>
      <c r="O171" s="692" t="n"/>
      <c r="P171" s="692" t="n"/>
      <c r="Q171" s="692" t="n"/>
      <c r="R171" s="692" t="n"/>
      <c r="S171" s="692" t="n"/>
      <c r="T171" s="692" t="n"/>
      <c r="U171" s="692" t="n"/>
      <c r="V171" s="692" t="n"/>
      <c r="W171" s="692" t="n"/>
      <c r="X171" s="692" t="n"/>
      <c r="Y171" s="692" t="n"/>
      <c r="Z171" s="692" t="n"/>
      <c r="AA171" s="692" t="n"/>
      <c r="AB171" s="692" t="n"/>
      <c r="AC171" s="692" t="n"/>
      <c r="AD171" s="692" t="n"/>
      <c r="AE171" s="692" t="n"/>
      <c r="AF171" s="692" t="n"/>
      <c r="AG171" s="692" t="n"/>
      <c r="AH171" s="692" t="n"/>
      <c r="AI171" s="692" t="n"/>
      <c r="AJ171" s="692" t="n"/>
      <c r="AK171" s="692" t="n"/>
      <c r="AL171" s="692" t="n"/>
      <c r="AM171" s="692" t="n"/>
      <c r="AN171" s="692" t="n"/>
      <c r="AO171" s="692" t="n"/>
      <c r="AP171" s="692" t="n"/>
      <c r="AQ171" s="692" t="n"/>
      <c r="AR171" s="692" t="n"/>
      <c r="AS171" s="692" t="n"/>
    </row>
    <row r="172">
      <c r="A172" s="420" t="inlineStr">
        <is>
          <t>F</t>
        </is>
      </c>
      <c r="B172" s="593" t="inlineStr">
        <is>
          <t>50 Free</t>
        </is>
      </c>
      <c r="C172" s="593" t="n">
        <v>17</v>
      </c>
      <c r="D172" s="593" t="n">
        <v>2</v>
      </c>
      <c r="E172" s="128" t="inlineStr">
        <is>
          <t>25.68</t>
        </is>
      </c>
      <c r="F172" s="692" t="n"/>
      <c r="G172" s="692" t="n"/>
      <c r="H172" s="692" t="n"/>
      <c r="I172" s="692" t="n"/>
      <c r="J172" s="692" t="n"/>
      <c r="K172" s="692" t="n"/>
      <c r="L172" s="692" t="n"/>
      <c r="M172" s="692" t="n"/>
      <c r="N172" s="692" t="n"/>
      <c r="O172" s="692" t="n"/>
      <c r="P172" s="692" t="n"/>
      <c r="Q172" s="692" t="n"/>
      <c r="R172" s="692" t="n"/>
      <c r="S172" s="692" t="n"/>
      <c r="T172" s="692" t="n"/>
      <c r="U172" s="692" t="n"/>
      <c r="V172" s="692" t="n"/>
      <c r="W172" s="692" t="n"/>
      <c r="X172" s="692" t="n"/>
      <c r="Y172" s="692" t="n"/>
      <c r="Z172" s="692" t="n"/>
      <c r="AA172" s="692" t="n"/>
      <c r="AB172" s="692" t="n"/>
      <c r="AC172" s="692" t="n"/>
      <c r="AD172" s="692" t="n"/>
      <c r="AE172" s="692" t="n"/>
      <c r="AF172" s="692" t="n"/>
      <c r="AG172" s="692" t="n"/>
      <c r="AH172" s="692" t="n"/>
      <c r="AI172" s="692" t="n"/>
      <c r="AJ172" s="692" t="n"/>
      <c r="AK172" s="692" t="n"/>
      <c r="AL172" s="692" t="n"/>
      <c r="AM172" s="692" t="n"/>
      <c r="AN172" s="692" t="n"/>
      <c r="AO172" s="692" t="n"/>
      <c r="AP172" s="692" t="n"/>
      <c r="AQ172" s="692" t="n"/>
      <c r="AR172" s="692" t="n"/>
      <c r="AS172" s="692" t="n"/>
    </row>
    <row r="173">
      <c r="A173" s="427" t="inlineStr">
        <is>
          <t>F</t>
        </is>
      </c>
      <c r="B173" s="616" t="inlineStr">
        <is>
          <t>50 Free</t>
        </is>
      </c>
      <c r="C173" s="616" t="n">
        <v>18</v>
      </c>
      <c r="D173" s="616" t="n">
        <v>2</v>
      </c>
      <c r="E173" s="127" t="inlineStr">
        <is>
          <t>25.48</t>
        </is>
      </c>
      <c r="F173" s="692" t="n"/>
      <c r="G173" s="692" t="n"/>
      <c r="H173" s="692" t="n"/>
      <c r="I173" s="692" t="n"/>
      <c r="J173" s="692" t="n"/>
      <c r="K173" s="692" t="n"/>
      <c r="L173" s="692" t="n"/>
      <c r="M173" s="692" t="n"/>
      <c r="N173" s="692" t="n"/>
      <c r="O173" s="692" t="n"/>
      <c r="P173" s="692" t="n"/>
      <c r="Q173" s="692" t="n"/>
      <c r="R173" s="692" t="n"/>
      <c r="S173" s="692" t="n"/>
      <c r="T173" s="692" t="n"/>
      <c r="U173" s="692" t="n"/>
      <c r="V173" s="692" t="n"/>
      <c r="W173" s="692" t="n"/>
      <c r="X173" s="692" t="n"/>
      <c r="Y173" s="692" t="n"/>
      <c r="Z173" s="692" t="n"/>
      <c r="AA173" s="692" t="n"/>
      <c r="AB173" s="692" t="n"/>
      <c r="AC173" s="692" t="n"/>
      <c r="AD173" s="692" t="n"/>
      <c r="AE173" s="692" t="n"/>
      <c r="AF173" s="692" t="n"/>
      <c r="AG173" s="692" t="n"/>
      <c r="AH173" s="692" t="n"/>
      <c r="AI173" s="692" t="n"/>
      <c r="AJ173" s="692" t="n"/>
      <c r="AK173" s="692" t="n"/>
      <c r="AL173" s="692" t="n"/>
      <c r="AM173" s="692" t="n"/>
      <c r="AN173" s="692" t="n"/>
      <c r="AO173" s="692" t="n"/>
      <c r="AP173" s="692" t="n"/>
      <c r="AQ173" s="692" t="n"/>
      <c r="AR173" s="692" t="n"/>
      <c r="AS173" s="692" t="n"/>
    </row>
    <row r="174">
      <c r="A174" s="420" t="inlineStr">
        <is>
          <t>F</t>
        </is>
      </c>
      <c r="B174" s="593" t="inlineStr">
        <is>
          <t>50 Free</t>
        </is>
      </c>
      <c r="C174" s="593" t="n">
        <v>19</v>
      </c>
      <c r="D174" s="593" t="n">
        <v>2</v>
      </c>
      <c r="E174" s="116" t="inlineStr">
        <is>
          <t>25.30</t>
        </is>
      </c>
      <c r="F174" s="692" t="n"/>
      <c r="G174" s="692" t="n"/>
      <c r="H174" s="692" t="n"/>
      <c r="I174" s="692" t="n"/>
      <c r="J174" s="692" t="n"/>
      <c r="K174" s="692" t="n"/>
      <c r="L174" s="692" t="n"/>
      <c r="M174" s="692" t="n"/>
      <c r="N174" s="692" t="n"/>
      <c r="O174" s="692" t="n"/>
      <c r="P174" s="692" t="n"/>
      <c r="Q174" s="692" t="n"/>
      <c r="R174" s="692" t="n"/>
      <c r="S174" s="692" t="n"/>
      <c r="T174" s="692" t="n"/>
      <c r="U174" s="692" t="n"/>
      <c r="V174" s="692" t="n"/>
      <c r="W174" s="692" t="n"/>
      <c r="X174" s="692" t="n"/>
      <c r="Y174" s="692" t="n"/>
      <c r="Z174" s="692" t="n"/>
      <c r="AA174" s="692" t="n"/>
      <c r="AB174" s="692" t="n"/>
      <c r="AC174" s="692" t="n"/>
      <c r="AD174" s="692" t="n"/>
      <c r="AE174" s="692" t="n"/>
      <c r="AF174" s="692" t="n"/>
      <c r="AG174" s="692" t="n"/>
      <c r="AH174" s="692" t="n"/>
      <c r="AI174" s="692" t="n"/>
      <c r="AJ174" s="692" t="n"/>
      <c r="AK174" s="692" t="n"/>
      <c r="AL174" s="692" t="n"/>
      <c r="AM174" s="692" t="n"/>
      <c r="AN174" s="692" t="n"/>
      <c r="AO174" s="692" t="n"/>
      <c r="AP174" s="692" t="n"/>
      <c r="AQ174" s="692" t="n"/>
      <c r="AR174" s="692" t="n"/>
      <c r="AS174" s="692" t="n"/>
    </row>
    <row r="175">
      <c r="A175" s="427" t="inlineStr">
        <is>
          <t>F</t>
        </is>
      </c>
      <c r="B175" s="616" t="inlineStr">
        <is>
          <t>50 Free</t>
        </is>
      </c>
      <c r="C175" s="616" t="n">
        <v>20</v>
      </c>
      <c r="D175" s="616" t="n">
        <v>2</v>
      </c>
      <c r="E175" s="127" t="inlineStr">
        <is>
          <t>25.14</t>
        </is>
      </c>
      <c r="F175" s="692" t="n"/>
      <c r="G175" s="692" t="n"/>
      <c r="H175" s="692" t="n"/>
      <c r="I175" s="692" t="n"/>
      <c r="J175" s="692" t="n"/>
      <c r="K175" s="692" t="n"/>
      <c r="L175" s="692" t="n"/>
      <c r="M175" s="692" t="n"/>
      <c r="N175" s="692" t="n"/>
      <c r="O175" s="692" t="n"/>
      <c r="P175" s="692" t="n"/>
      <c r="Q175" s="692" t="n"/>
      <c r="R175" s="692" t="n"/>
      <c r="S175" s="692" t="n"/>
      <c r="T175" s="692" t="n"/>
      <c r="U175" s="692" t="n"/>
      <c r="V175" s="692" t="n"/>
      <c r="W175" s="692" t="n"/>
      <c r="X175" s="692" t="n"/>
      <c r="Y175" s="692" t="n"/>
      <c r="Z175" s="692" t="n"/>
      <c r="AA175" s="692" t="n"/>
      <c r="AB175" s="692" t="n"/>
      <c r="AC175" s="692" t="n"/>
      <c r="AD175" s="692" t="n"/>
      <c r="AE175" s="692" t="n"/>
      <c r="AF175" s="692" t="n"/>
      <c r="AG175" s="692" t="n"/>
      <c r="AH175" s="692" t="n"/>
      <c r="AI175" s="692" t="n"/>
      <c r="AJ175" s="692" t="n"/>
      <c r="AK175" s="692" t="n"/>
      <c r="AL175" s="692" t="n"/>
      <c r="AM175" s="692" t="n"/>
      <c r="AN175" s="692" t="n"/>
      <c r="AO175" s="692" t="n"/>
      <c r="AP175" s="692" t="n"/>
      <c r="AQ175" s="692" t="n"/>
      <c r="AR175" s="692" t="n"/>
      <c r="AS175" s="692" t="n"/>
    </row>
    <row r="176">
      <c r="A176" s="420" t="inlineStr">
        <is>
          <t>F</t>
        </is>
      </c>
      <c r="B176" s="593" t="inlineStr">
        <is>
          <t>50 Free</t>
        </is>
      </c>
      <c r="C176" s="593" t="n">
        <v>21</v>
      </c>
      <c r="D176" s="219" t="n">
        <v>2</v>
      </c>
      <c r="E176" s="128" t="inlineStr">
        <is>
          <t>24.99</t>
        </is>
      </c>
      <c r="F176" s="692" t="n"/>
      <c r="G176" s="692" t="n"/>
      <c r="H176" s="692" t="n"/>
      <c r="I176" s="692" t="n"/>
      <c r="J176" s="692" t="n"/>
      <c r="K176" s="692" t="n"/>
      <c r="L176" s="692" t="n"/>
      <c r="M176" s="692" t="n"/>
      <c r="N176" s="692" t="n"/>
      <c r="O176" s="692" t="n"/>
      <c r="P176" s="692" t="n"/>
      <c r="Q176" s="692" t="n"/>
      <c r="R176" s="692" t="n"/>
      <c r="S176" s="692" t="n"/>
      <c r="T176" s="692" t="n"/>
      <c r="U176" s="692" t="n"/>
      <c r="V176" s="692" t="n"/>
      <c r="W176" s="692" t="n"/>
      <c r="X176" s="692" t="n"/>
      <c r="Y176" s="692" t="n"/>
      <c r="Z176" s="692" t="n"/>
      <c r="AA176" s="692" t="n"/>
      <c r="AB176" s="692" t="n"/>
      <c r="AC176" s="692" t="n"/>
      <c r="AD176" s="692" t="n"/>
      <c r="AE176" s="692" t="n"/>
      <c r="AF176" s="692" t="n"/>
      <c r="AG176" s="692" t="n"/>
      <c r="AH176" s="692" t="n"/>
      <c r="AI176" s="692" t="n"/>
      <c r="AJ176" s="692" t="n"/>
      <c r="AK176" s="692" t="n"/>
      <c r="AL176" s="692" t="n"/>
      <c r="AM176" s="692" t="n"/>
      <c r="AN176" s="692" t="n"/>
      <c r="AO176" s="692" t="n"/>
      <c r="AP176" s="692" t="n"/>
      <c r="AQ176" s="692" t="n"/>
      <c r="AR176" s="692" t="n"/>
      <c r="AS176" s="692" t="n"/>
    </row>
    <row r="177">
      <c r="A177" s="427" t="inlineStr">
        <is>
          <t>F</t>
        </is>
      </c>
      <c r="B177" s="616" t="inlineStr">
        <is>
          <t>50 Free</t>
        </is>
      </c>
      <c r="C177" s="616" t="n">
        <v>22</v>
      </c>
      <c r="D177" s="221" t="n">
        <v>2</v>
      </c>
      <c r="E177" s="127" t="inlineStr">
        <is>
          <t>24.86</t>
        </is>
      </c>
      <c r="F177" s="692" t="n"/>
      <c r="G177" s="692" t="n"/>
      <c r="H177" s="692" t="n"/>
      <c r="I177" s="692" t="n"/>
      <c r="J177" s="692" t="n"/>
      <c r="K177" s="692" t="n"/>
      <c r="L177" s="692" t="n"/>
      <c r="M177" s="692" t="n"/>
      <c r="N177" s="692" t="n"/>
      <c r="O177" s="692" t="n"/>
      <c r="P177" s="692" t="n"/>
      <c r="Q177" s="692" t="n"/>
      <c r="R177" s="692" t="n"/>
      <c r="S177" s="692" t="n"/>
      <c r="T177" s="692" t="n"/>
      <c r="U177" s="692" t="n"/>
      <c r="V177" s="692" t="n"/>
      <c r="W177" s="692" t="n"/>
      <c r="X177" s="692" t="n"/>
      <c r="Y177" s="692" t="n"/>
      <c r="Z177" s="692" t="n"/>
      <c r="AA177" s="692" t="n"/>
      <c r="AB177" s="692" t="n"/>
      <c r="AC177" s="692" t="n"/>
      <c r="AD177" s="692" t="n"/>
      <c r="AE177" s="692" t="n"/>
      <c r="AF177" s="692" t="n"/>
      <c r="AG177" s="692" t="n"/>
      <c r="AH177" s="692" t="n"/>
      <c r="AI177" s="692" t="n"/>
      <c r="AJ177" s="692" t="n"/>
      <c r="AK177" s="692" t="n"/>
      <c r="AL177" s="692" t="n"/>
      <c r="AM177" s="692" t="n"/>
      <c r="AN177" s="692" t="n"/>
      <c r="AO177" s="692" t="n"/>
      <c r="AP177" s="692" t="n"/>
      <c r="AQ177" s="692" t="n"/>
      <c r="AR177" s="692" t="n"/>
      <c r="AS177" s="692" t="n"/>
    </row>
    <row r="178">
      <c r="A178" s="420" t="inlineStr">
        <is>
          <t>F</t>
        </is>
      </c>
      <c r="B178" s="593" t="inlineStr">
        <is>
          <t>100 Free</t>
        </is>
      </c>
      <c r="C178" s="593" t="n">
        <v>16</v>
      </c>
      <c r="D178" s="593" t="n">
        <v>2</v>
      </c>
      <c r="E178" s="426" t="n">
        <v>56.38</v>
      </c>
      <c r="F178" s="692" t="n"/>
      <c r="G178" s="692" t="n"/>
      <c r="H178" s="692" t="n"/>
      <c r="I178" s="692" t="n"/>
      <c r="J178" s="692" t="n"/>
      <c r="K178" s="692" t="n"/>
      <c r="L178" s="692" t="n"/>
      <c r="M178" s="692" t="n"/>
      <c r="N178" s="692" t="n"/>
      <c r="O178" s="692" t="n"/>
      <c r="P178" s="692" t="n"/>
      <c r="Q178" s="692" t="n"/>
      <c r="R178" s="692" t="n"/>
      <c r="S178" s="692" t="n"/>
      <c r="T178" s="692" t="n"/>
      <c r="U178" s="692" t="n"/>
      <c r="V178" s="692" t="n"/>
      <c r="W178" s="692" t="n"/>
      <c r="X178" s="692" t="n"/>
      <c r="Y178" s="692" t="n"/>
      <c r="Z178" s="692" t="n"/>
      <c r="AA178" s="692" t="n"/>
      <c r="AB178" s="692" t="n"/>
      <c r="AC178" s="692" t="n"/>
      <c r="AD178" s="692" t="n"/>
      <c r="AE178" s="692" t="n"/>
      <c r="AF178" s="692" t="n"/>
      <c r="AG178" s="692" t="n"/>
      <c r="AH178" s="692" t="n"/>
      <c r="AI178" s="692" t="n"/>
      <c r="AJ178" s="692" t="n"/>
      <c r="AK178" s="692" t="n"/>
      <c r="AL178" s="692" t="n"/>
      <c r="AM178" s="692" t="n"/>
      <c r="AN178" s="692" t="n"/>
      <c r="AO178" s="692" t="n"/>
      <c r="AP178" s="692" t="n"/>
      <c r="AQ178" s="692" t="n"/>
      <c r="AR178" s="692" t="n"/>
      <c r="AS178" s="692" t="n"/>
    </row>
    <row r="179">
      <c r="A179" s="427" t="inlineStr">
        <is>
          <t>F</t>
        </is>
      </c>
      <c r="B179" s="616" t="inlineStr">
        <is>
          <t>100 Free</t>
        </is>
      </c>
      <c r="C179" s="616" t="n">
        <v>17</v>
      </c>
      <c r="D179" s="616" t="n">
        <v>2</v>
      </c>
      <c r="E179" s="127" t="inlineStr">
        <is>
          <t>55.68</t>
        </is>
      </c>
      <c r="F179" s="692" t="n"/>
      <c r="G179" s="692" t="n"/>
      <c r="H179" s="692" t="n"/>
      <c r="I179" s="692" t="n"/>
      <c r="J179" s="692" t="n"/>
      <c r="K179" s="692" t="n"/>
      <c r="L179" s="692" t="n"/>
      <c r="M179" s="692" t="n"/>
      <c r="N179" s="692" t="n"/>
      <c r="O179" s="692" t="n"/>
      <c r="P179" s="692" t="n"/>
      <c r="Q179" s="692" t="n"/>
      <c r="R179" s="692" t="n"/>
      <c r="S179" s="692" t="n"/>
      <c r="T179" s="692" t="n"/>
      <c r="U179" s="692" t="n"/>
      <c r="V179" s="692" t="n"/>
      <c r="W179" s="692" t="n"/>
      <c r="X179" s="692" t="n"/>
      <c r="Y179" s="692" t="n"/>
      <c r="Z179" s="692" t="n"/>
      <c r="AA179" s="692" t="n"/>
      <c r="AB179" s="692" t="n"/>
      <c r="AC179" s="692" t="n"/>
      <c r="AD179" s="692" t="n"/>
      <c r="AE179" s="692" t="n"/>
      <c r="AF179" s="692" t="n"/>
      <c r="AG179" s="692" t="n"/>
      <c r="AH179" s="692" t="n"/>
      <c r="AI179" s="692" t="n"/>
      <c r="AJ179" s="692" t="n"/>
      <c r="AK179" s="692" t="n"/>
      <c r="AL179" s="692" t="n"/>
      <c r="AM179" s="692" t="n"/>
      <c r="AN179" s="692" t="n"/>
      <c r="AO179" s="692" t="n"/>
      <c r="AP179" s="692" t="n"/>
      <c r="AQ179" s="692" t="n"/>
      <c r="AR179" s="692" t="n"/>
      <c r="AS179" s="692" t="n"/>
    </row>
    <row r="180">
      <c r="A180" s="420" t="inlineStr">
        <is>
          <t>F</t>
        </is>
      </c>
      <c r="B180" s="593" t="inlineStr">
        <is>
          <t>100 Free</t>
        </is>
      </c>
      <c r="C180" s="593" t="n">
        <v>18</v>
      </c>
      <c r="D180" s="593" t="n">
        <v>2</v>
      </c>
      <c r="E180" s="116" t="inlineStr">
        <is>
          <t>55.22</t>
        </is>
      </c>
      <c r="F180" s="692" t="n"/>
      <c r="G180" s="692" t="n"/>
      <c r="H180" s="692" t="n"/>
      <c r="I180" s="692" t="n"/>
      <c r="J180" s="692" t="n"/>
      <c r="K180" s="692" t="n"/>
      <c r="L180" s="692" t="n"/>
      <c r="M180" s="692" t="n"/>
      <c r="N180" s="692" t="n"/>
      <c r="O180" s="692" t="n"/>
      <c r="P180" s="692" t="n"/>
      <c r="Q180" s="692" t="n"/>
      <c r="R180" s="692" t="n"/>
      <c r="S180" s="692" t="n"/>
      <c r="T180" s="692" t="n"/>
      <c r="U180" s="692" t="n"/>
      <c r="V180" s="692" t="n"/>
      <c r="W180" s="692" t="n"/>
      <c r="X180" s="692" t="n"/>
      <c r="Y180" s="692" t="n"/>
      <c r="Z180" s="692" t="n"/>
      <c r="AA180" s="692" t="n"/>
      <c r="AB180" s="692" t="n"/>
      <c r="AC180" s="692" t="n"/>
      <c r="AD180" s="692" t="n"/>
      <c r="AE180" s="692" t="n"/>
      <c r="AF180" s="692" t="n"/>
      <c r="AG180" s="692" t="n"/>
      <c r="AH180" s="692" t="n"/>
      <c r="AI180" s="692" t="n"/>
      <c r="AJ180" s="692" t="n"/>
      <c r="AK180" s="692" t="n"/>
      <c r="AL180" s="692" t="n"/>
      <c r="AM180" s="692" t="n"/>
      <c r="AN180" s="692" t="n"/>
      <c r="AO180" s="692" t="n"/>
      <c r="AP180" s="692" t="n"/>
      <c r="AQ180" s="692" t="n"/>
      <c r="AR180" s="692" t="n"/>
      <c r="AS180" s="692" t="n"/>
    </row>
    <row r="181">
      <c r="A181" s="427" t="inlineStr">
        <is>
          <t>F</t>
        </is>
      </c>
      <c r="B181" s="616" t="inlineStr">
        <is>
          <t>100 Free</t>
        </is>
      </c>
      <c r="C181" s="616" t="n">
        <v>19</v>
      </c>
      <c r="D181" s="616" t="n">
        <v>2</v>
      </c>
      <c r="E181" s="127" t="inlineStr">
        <is>
          <t>54.85</t>
        </is>
      </c>
      <c r="F181" s="692" t="n"/>
      <c r="G181" s="692" t="n"/>
      <c r="H181" s="692" t="n"/>
      <c r="I181" s="692" t="n"/>
      <c r="J181" s="692" t="n"/>
      <c r="K181" s="692" t="n"/>
      <c r="L181" s="692" t="n"/>
      <c r="M181" s="692" t="n"/>
      <c r="N181" s="692" t="n"/>
      <c r="O181" s="692" t="n"/>
      <c r="P181" s="692" t="n"/>
      <c r="Q181" s="692" t="n"/>
      <c r="R181" s="692" t="n"/>
      <c r="S181" s="692" t="n"/>
      <c r="T181" s="692" t="n"/>
      <c r="U181" s="692" t="n"/>
      <c r="V181" s="692" t="n"/>
      <c r="W181" s="692" t="n"/>
      <c r="X181" s="692" t="n"/>
      <c r="Y181" s="692" t="n"/>
      <c r="Z181" s="692" t="n"/>
      <c r="AA181" s="692" t="n"/>
      <c r="AB181" s="692" t="n"/>
      <c r="AC181" s="692" t="n"/>
      <c r="AD181" s="692" t="n"/>
      <c r="AE181" s="692" t="n"/>
      <c r="AF181" s="692" t="n"/>
      <c r="AG181" s="692" t="n"/>
      <c r="AH181" s="692" t="n"/>
      <c r="AI181" s="692" t="n"/>
      <c r="AJ181" s="692" t="n"/>
      <c r="AK181" s="692" t="n"/>
      <c r="AL181" s="692" t="n"/>
      <c r="AM181" s="692" t="n"/>
      <c r="AN181" s="692" t="n"/>
      <c r="AO181" s="692" t="n"/>
      <c r="AP181" s="692" t="n"/>
      <c r="AQ181" s="692" t="n"/>
      <c r="AR181" s="692" t="n"/>
      <c r="AS181" s="692" t="n"/>
    </row>
    <row r="182">
      <c r="A182" s="420" t="inlineStr">
        <is>
          <t>F</t>
        </is>
      </c>
      <c r="B182" s="593" t="inlineStr">
        <is>
          <t>100 Free</t>
        </is>
      </c>
      <c r="C182" s="593" t="n">
        <v>20</v>
      </c>
      <c r="D182" s="219" t="n">
        <v>2</v>
      </c>
      <c r="E182" s="128" t="inlineStr">
        <is>
          <t>54.53</t>
        </is>
      </c>
      <c r="F182" s="692" t="n"/>
      <c r="G182" s="692" t="n"/>
      <c r="H182" s="692" t="n"/>
      <c r="I182" s="692" t="n"/>
      <c r="J182" s="692" t="n"/>
      <c r="K182" s="692" t="n"/>
      <c r="L182" s="692" t="n"/>
      <c r="M182" s="692" t="n"/>
      <c r="N182" s="692" t="n"/>
      <c r="O182" s="692" t="n"/>
      <c r="P182" s="692" t="n"/>
      <c r="Q182" s="692" t="n"/>
      <c r="R182" s="692" t="n"/>
      <c r="S182" s="692" t="n"/>
      <c r="T182" s="692" t="n"/>
      <c r="U182" s="692" t="n"/>
      <c r="V182" s="692" t="n"/>
      <c r="W182" s="692" t="n"/>
      <c r="X182" s="692" t="n"/>
      <c r="Y182" s="692" t="n"/>
      <c r="Z182" s="692" t="n"/>
      <c r="AA182" s="692" t="n"/>
      <c r="AB182" s="692" t="n"/>
      <c r="AC182" s="692" t="n"/>
      <c r="AD182" s="692" t="n"/>
      <c r="AE182" s="692" t="n"/>
      <c r="AF182" s="692" t="n"/>
      <c r="AG182" s="692" t="n"/>
      <c r="AH182" s="692" t="n"/>
      <c r="AI182" s="692" t="n"/>
      <c r="AJ182" s="692" t="n"/>
      <c r="AK182" s="692" t="n"/>
      <c r="AL182" s="692" t="n"/>
      <c r="AM182" s="692" t="n"/>
      <c r="AN182" s="692" t="n"/>
      <c r="AO182" s="692" t="n"/>
      <c r="AP182" s="692" t="n"/>
      <c r="AQ182" s="692" t="n"/>
      <c r="AR182" s="692" t="n"/>
      <c r="AS182" s="692" t="n"/>
    </row>
    <row r="183">
      <c r="A183" s="427" t="inlineStr">
        <is>
          <t>F</t>
        </is>
      </c>
      <c r="B183" s="616" t="inlineStr">
        <is>
          <t>100 Free</t>
        </is>
      </c>
      <c r="C183" s="616" t="n">
        <v>21</v>
      </c>
      <c r="D183" s="221" t="n">
        <v>2</v>
      </c>
      <c r="E183" s="127" t="n">
        <v>54.25</v>
      </c>
      <c r="F183" s="692" t="n"/>
      <c r="G183" s="692" t="n"/>
      <c r="H183" s="692" t="n"/>
      <c r="I183" s="692" t="n"/>
      <c r="J183" s="692" t="n"/>
      <c r="K183" s="692" t="n"/>
      <c r="L183" s="692" t="n"/>
      <c r="M183" s="692" t="n"/>
      <c r="N183" s="692" t="n"/>
      <c r="O183" s="692" t="n"/>
      <c r="P183" s="692" t="n"/>
      <c r="Q183" s="692" t="n"/>
      <c r="R183" s="692" t="n"/>
      <c r="S183" s="692" t="n"/>
      <c r="T183" s="692" t="n"/>
      <c r="U183" s="692" t="n"/>
      <c r="V183" s="692" t="n"/>
      <c r="W183" s="692" t="n"/>
      <c r="X183" s="692" t="n"/>
      <c r="Y183" s="692" t="n"/>
      <c r="Z183" s="692" t="n"/>
      <c r="AA183" s="692" t="n"/>
      <c r="AB183" s="692" t="n"/>
      <c r="AC183" s="692" t="n"/>
      <c r="AD183" s="692" t="n"/>
      <c r="AE183" s="692" t="n"/>
      <c r="AF183" s="692" t="n"/>
      <c r="AG183" s="692" t="n"/>
      <c r="AH183" s="692" t="n"/>
      <c r="AI183" s="692" t="n"/>
      <c r="AJ183" s="692" t="n"/>
      <c r="AK183" s="692" t="n"/>
      <c r="AL183" s="692" t="n"/>
      <c r="AM183" s="692" t="n"/>
      <c r="AN183" s="692" t="n"/>
      <c r="AO183" s="692" t="n"/>
      <c r="AP183" s="692" t="n"/>
      <c r="AQ183" s="692" t="n"/>
      <c r="AR183" s="692" t="n"/>
      <c r="AS183" s="692" t="n"/>
    </row>
    <row r="184">
      <c r="A184" s="420" t="inlineStr">
        <is>
          <t>F</t>
        </is>
      </c>
      <c r="B184" s="593" t="inlineStr">
        <is>
          <t>200 Free</t>
        </is>
      </c>
      <c r="C184" s="593" t="n">
        <v>15</v>
      </c>
      <c r="D184" s="593" t="n">
        <v>2</v>
      </c>
      <c r="E184" s="426" t="inlineStr">
        <is>
          <t>2:04.11</t>
        </is>
      </c>
      <c r="F184" s="692" t="n"/>
      <c r="G184" s="692" t="n"/>
      <c r="H184" s="692" t="n"/>
      <c r="I184" s="692" t="n"/>
      <c r="J184" s="692" t="n"/>
      <c r="K184" s="692" t="n"/>
      <c r="L184" s="692" t="n"/>
      <c r="M184" s="692" t="n"/>
      <c r="N184" s="692" t="n"/>
      <c r="O184" s="692" t="n"/>
      <c r="P184" s="692" t="n"/>
      <c r="Q184" s="692" t="n"/>
      <c r="R184" s="692" t="n"/>
      <c r="S184" s="692" t="n"/>
      <c r="T184" s="692" t="n"/>
      <c r="U184" s="692" t="n"/>
      <c r="V184" s="692" t="n"/>
      <c r="W184" s="692" t="n"/>
      <c r="X184" s="692" t="n"/>
      <c r="Y184" s="692" t="n"/>
      <c r="Z184" s="692" t="n"/>
      <c r="AA184" s="692" t="n"/>
      <c r="AB184" s="692" t="n"/>
      <c r="AC184" s="692" t="n"/>
      <c r="AD184" s="692" t="n"/>
      <c r="AE184" s="692" t="n"/>
      <c r="AF184" s="692" t="n"/>
      <c r="AG184" s="692" t="n"/>
      <c r="AH184" s="692" t="n"/>
      <c r="AI184" s="692" t="n"/>
      <c r="AJ184" s="692" t="n"/>
      <c r="AK184" s="692" t="n"/>
      <c r="AL184" s="692" t="n"/>
      <c r="AM184" s="692" t="n"/>
      <c r="AN184" s="692" t="n"/>
      <c r="AO184" s="692" t="n"/>
      <c r="AP184" s="692" t="n"/>
      <c r="AQ184" s="692" t="n"/>
      <c r="AR184" s="692" t="n"/>
      <c r="AS184" s="692" t="n"/>
    </row>
    <row r="185">
      <c r="A185" s="427" t="inlineStr">
        <is>
          <t>F</t>
        </is>
      </c>
      <c r="B185" s="616" t="inlineStr">
        <is>
          <t>200 Free</t>
        </is>
      </c>
      <c r="C185" s="616" t="n">
        <v>16</v>
      </c>
      <c r="D185" s="616" t="n">
        <v>2</v>
      </c>
      <c r="E185" s="127" t="inlineStr">
        <is>
          <t>2:01.78</t>
        </is>
      </c>
      <c r="F185" s="692" t="n"/>
      <c r="G185" s="692" t="n"/>
      <c r="H185" s="692" t="n"/>
      <c r="I185" s="692" t="n"/>
      <c r="J185" s="692" t="n"/>
      <c r="K185" s="692" t="n"/>
      <c r="L185" s="692" t="n"/>
      <c r="M185" s="692" t="n"/>
      <c r="N185" s="692" t="n"/>
      <c r="O185" s="692" t="n"/>
      <c r="P185" s="692" t="n"/>
      <c r="Q185" s="692" t="n"/>
      <c r="R185" s="692" t="n"/>
      <c r="S185" s="692" t="n"/>
      <c r="T185" s="692" t="n"/>
      <c r="U185" s="692" t="n"/>
      <c r="V185" s="692" t="n"/>
      <c r="W185" s="692" t="n"/>
      <c r="X185" s="692" t="n"/>
      <c r="Y185" s="692" t="n"/>
      <c r="Z185" s="692" t="n"/>
      <c r="AA185" s="692" t="n"/>
      <c r="AB185" s="692" t="n"/>
      <c r="AC185" s="692" t="n"/>
      <c r="AD185" s="692" t="n"/>
      <c r="AE185" s="692" t="n"/>
      <c r="AF185" s="692" t="n"/>
      <c r="AG185" s="692" t="n"/>
      <c r="AH185" s="692" t="n"/>
      <c r="AI185" s="692" t="n"/>
      <c r="AJ185" s="692" t="n"/>
      <c r="AK185" s="692" t="n"/>
      <c r="AL185" s="692" t="n"/>
      <c r="AM185" s="692" t="n"/>
      <c r="AN185" s="692" t="n"/>
      <c r="AO185" s="692" t="n"/>
      <c r="AP185" s="692" t="n"/>
      <c r="AQ185" s="692" t="n"/>
      <c r="AR185" s="692" t="n"/>
      <c r="AS185" s="692" t="n"/>
    </row>
    <row r="186">
      <c r="A186" s="420" t="inlineStr">
        <is>
          <t>F</t>
        </is>
      </c>
      <c r="B186" s="593" t="inlineStr">
        <is>
          <t>200 Free</t>
        </is>
      </c>
      <c r="C186" s="593" t="n">
        <v>17</v>
      </c>
      <c r="D186" s="593" t="n">
        <v>2</v>
      </c>
      <c r="E186" s="128" t="inlineStr">
        <is>
          <t>2:00.30</t>
        </is>
      </c>
      <c r="F186" s="692" t="n"/>
      <c r="G186" s="692" t="n"/>
      <c r="H186" s="692" t="n"/>
      <c r="I186" s="692" t="n"/>
      <c r="J186" s="692" t="n"/>
      <c r="K186" s="692" t="n"/>
      <c r="L186" s="692" t="n"/>
      <c r="M186" s="692" t="n"/>
      <c r="N186" s="692" t="n"/>
      <c r="O186" s="692" t="n"/>
      <c r="P186" s="692" t="n"/>
      <c r="Q186" s="692" t="n"/>
      <c r="R186" s="692" t="n"/>
      <c r="S186" s="692" t="n"/>
      <c r="T186" s="692" t="n"/>
      <c r="U186" s="692" t="n"/>
      <c r="V186" s="692" t="n"/>
      <c r="W186" s="692" t="n"/>
      <c r="X186" s="692" t="n"/>
      <c r="Y186" s="692" t="n"/>
      <c r="Z186" s="692" t="n"/>
      <c r="AA186" s="692" t="n"/>
      <c r="AB186" s="692" t="n"/>
      <c r="AC186" s="692" t="n"/>
      <c r="AD186" s="692" t="n"/>
      <c r="AE186" s="692" t="n"/>
      <c r="AF186" s="692" t="n"/>
      <c r="AG186" s="692" t="n"/>
      <c r="AH186" s="692" t="n"/>
      <c r="AI186" s="692" t="n"/>
      <c r="AJ186" s="692" t="n"/>
      <c r="AK186" s="692" t="n"/>
      <c r="AL186" s="692" t="n"/>
      <c r="AM186" s="692" t="n"/>
      <c r="AN186" s="692" t="n"/>
      <c r="AO186" s="692" t="n"/>
      <c r="AP186" s="692" t="n"/>
      <c r="AQ186" s="692" t="n"/>
      <c r="AR186" s="692" t="n"/>
      <c r="AS186" s="692" t="n"/>
    </row>
    <row r="187">
      <c r="A187" s="427" t="inlineStr">
        <is>
          <t>F</t>
        </is>
      </c>
      <c r="B187" s="616" t="inlineStr">
        <is>
          <t>200 Free</t>
        </is>
      </c>
      <c r="C187" s="616" t="n">
        <v>18</v>
      </c>
      <c r="D187" s="616" t="n">
        <v>2</v>
      </c>
      <c r="E187" s="127" t="inlineStr">
        <is>
          <t>1:59.32</t>
        </is>
      </c>
      <c r="F187" s="692" t="n"/>
      <c r="G187" s="692" t="n"/>
      <c r="H187" s="692" t="n"/>
      <c r="I187" s="692" t="n"/>
      <c r="J187" s="692" t="n"/>
      <c r="K187" s="692" t="n"/>
      <c r="L187" s="692" t="n"/>
      <c r="M187" s="692" t="n"/>
      <c r="N187" s="692" t="n"/>
      <c r="O187" s="692" t="n"/>
      <c r="P187" s="692" t="n"/>
      <c r="Q187" s="692" t="n"/>
      <c r="R187" s="692" t="n"/>
      <c r="S187" s="692" t="n"/>
      <c r="T187" s="692" t="n"/>
      <c r="U187" s="692" t="n"/>
      <c r="V187" s="692" t="n"/>
      <c r="W187" s="692" t="n"/>
      <c r="X187" s="692" t="n"/>
      <c r="Y187" s="692" t="n"/>
      <c r="Z187" s="692" t="n"/>
      <c r="AA187" s="692" t="n"/>
      <c r="AB187" s="692" t="n"/>
      <c r="AC187" s="692" t="n"/>
      <c r="AD187" s="692" t="n"/>
      <c r="AE187" s="692" t="n"/>
      <c r="AF187" s="692" t="n"/>
      <c r="AG187" s="692" t="n"/>
      <c r="AH187" s="692" t="n"/>
      <c r="AI187" s="692" t="n"/>
      <c r="AJ187" s="692" t="n"/>
      <c r="AK187" s="692" t="n"/>
      <c r="AL187" s="692" t="n"/>
      <c r="AM187" s="692" t="n"/>
      <c r="AN187" s="692" t="n"/>
      <c r="AO187" s="692" t="n"/>
      <c r="AP187" s="692" t="n"/>
      <c r="AQ187" s="692" t="n"/>
      <c r="AR187" s="692" t="n"/>
      <c r="AS187" s="692" t="n"/>
    </row>
    <row r="188">
      <c r="A188" s="420" t="inlineStr">
        <is>
          <t>F</t>
        </is>
      </c>
      <c r="B188" s="593" t="inlineStr">
        <is>
          <t>200 Free</t>
        </is>
      </c>
      <c r="C188" s="593" t="n">
        <v>19</v>
      </c>
      <c r="D188" s="219" t="n">
        <v>2</v>
      </c>
      <c r="E188" s="128" t="inlineStr">
        <is>
          <t>1:58.69</t>
        </is>
      </c>
      <c r="F188" s="692" t="n"/>
      <c r="G188" s="692" t="n"/>
      <c r="H188" s="692" t="n"/>
      <c r="I188" s="692" t="n"/>
      <c r="J188" s="692" t="n"/>
      <c r="K188" s="692" t="n"/>
      <c r="L188" s="692" t="n"/>
      <c r="M188" s="692" t="n"/>
      <c r="N188" s="692" t="n"/>
      <c r="O188" s="692" t="n"/>
      <c r="P188" s="692" t="n"/>
      <c r="Q188" s="692" t="n"/>
      <c r="R188" s="692" t="n"/>
      <c r="S188" s="692" t="n"/>
      <c r="T188" s="692" t="n"/>
      <c r="U188" s="692" t="n"/>
      <c r="V188" s="692" t="n"/>
      <c r="W188" s="692" t="n"/>
      <c r="X188" s="692" t="n"/>
      <c r="Y188" s="692" t="n"/>
      <c r="Z188" s="692" t="n"/>
      <c r="AA188" s="692" t="n"/>
      <c r="AB188" s="692" t="n"/>
      <c r="AC188" s="692" t="n"/>
      <c r="AD188" s="692" t="n"/>
      <c r="AE188" s="692" t="n"/>
      <c r="AF188" s="692" t="n"/>
      <c r="AG188" s="692" t="n"/>
      <c r="AH188" s="692" t="n"/>
      <c r="AI188" s="692" t="n"/>
      <c r="AJ188" s="692" t="n"/>
      <c r="AK188" s="692" t="n"/>
      <c r="AL188" s="692" t="n"/>
      <c r="AM188" s="692" t="n"/>
      <c r="AN188" s="692" t="n"/>
      <c r="AO188" s="692" t="n"/>
      <c r="AP188" s="692" t="n"/>
      <c r="AQ188" s="692" t="n"/>
      <c r="AR188" s="692" t="n"/>
      <c r="AS188" s="692" t="n"/>
    </row>
    <row r="189">
      <c r="A189" s="427" t="inlineStr">
        <is>
          <t>F</t>
        </is>
      </c>
      <c r="B189" s="616" t="inlineStr">
        <is>
          <t>200 Free</t>
        </is>
      </c>
      <c r="C189" s="616" t="n">
        <v>20</v>
      </c>
      <c r="D189" s="616" t="n">
        <v>2</v>
      </c>
      <c r="E189" s="127" t="inlineStr">
        <is>
          <t>1:58.23</t>
        </is>
      </c>
      <c r="F189" s="692" t="n"/>
      <c r="G189" s="692" t="n"/>
      <c r="H189" s="692" t="n"/>
      <c r="I189" s="692" t="n"/>
      <c r="J189" s="692" t="n"/>
      <c r="K189" s="692" t="n"/>
      <c r="L189" s="692" t="n"/>
      <c r="M189" s="692" t="n"/>
      <c r="N189" s="692" t="n"/>
      <c r="O189" s="692" t="n"/>
      <c r="P189" s="692" t="n"/>
      <c r="Q189" s="692" t="n"/>
      <c r="R189" s="692" t="n"/>
      <c r="S189" s="692" t="n"/>
      <c r="T189" s="692" t="n"/>
      <c r="U189" s="692" t="n"/>
      <c r="V189" s="692" t="n"/>
      <c r="W189" s="692" t="n"/>
      <c r="X189" s="692" t="n"/>
      <c r="Y189" s="692" t="n"/>
      <c r="Z189" s="692" t="n"/>
      <c r="AA189" s="692" t="n"/>
      <c r="AB189" s="692" t="n"/>
      <c r="AC189" s="692" t="n"/>
      <c r="AD189" s="692" t="n"/>
      <c r="AE189" s="692" t="n"/>
      <c r="AF189" s="692" t="n"/>
      <c r="AG189" s="692" t="n"/>
      <c r="AH189" s="692" t="n"/>
      <c r="AI189" s="692" t="n"/>
      <c r="AJ189" s="692" t="n"/>
      <c r="AK189" s="692" t="n"/>
      <c r="AL189" s="692" t="n"/>
      <c r="AM189" s="692" t="n"/>
      <c r="AN189" s="692" t="n"/>
      <c r="AO189" s="692" t="n"/>
      <c r="AP189" s="692" t="n"/>
      <c r="AQ189" s="692" t="n"/>
      <c r="AR189" s="692" t="n"/>
      <c r="AS189" s="692" t="n"/>
    </row>
    <row r="190">
      <c r="A190" s="420" t="inlineStr">
        <is>
          <t>F</t>
        </is>
      </c>
      <c r="B190" s="593" t="inlineStr">
        <is>
          <t>400 Free</t>
        </is>
      </c>
      <c r="C190" s="593" t="n">
        <v>15</v>
      </c>
      <c r="D190" s="593" t="n">
        <v>2</v>
      </c>
      <c r="E190" s="426" t="inlineStr">
        <is>
          <t>4:20.27</t>
        </is>
      </c>
      <c r="F190" s="692" t="n"/>
      <c r="G190" s="692" t="n"/>
      <c r="H190" s="692" t="n"/>
      <c r="I190" s="692" t="n"/>
      <c r="J190" s="692" t="n"/>
      <c r="K190" s="692" t="n"/>
      <c r="L190" s="692" t="n"/>
      <c r="M190" s="692" t="n"/>
      <c r="N190" s="692" t="n"/>
      <c r="O190" s="692" t="n"/>
      <c r="P190" s="692" t="n"/>
      <c r="Q190" s="692" t="n"/>
      <c r="R190" s="692" t="n"/>
      <c r="S190" s="692" t="n"/>
      <c r="T190" s="692" t="n"/>
      <c r="U190" s="692" t="n"/>
      <c r="V190" s="692" t="n"/>
      <c r="W190" s="692" t="n"/>
      <c r="X190" s="692" t="n"/>
      <c r="Y190" s="692" t="n"/>
      <c r="Z190" s="692" t="n"/>
      <c r="AA190" s="692" t="n"/>
      <c r="AB190" s="692" t="n"/>
      <c r="AC190" s="692" t="n"/>
      <c r="AD190" s="692" t="n"/>
      <c r="AE190" s="692" t="n"/>
      <c r="AF190" s="692" t="n"/>
      <c r="AG190" s="692" t="n"/>
      <c r="AH190" s="692" t="n"/>
      <c r="AI190" s="692" t="n"/>
      <c r="AJ190" s="692" t="n"/>
      <c r="AK190" s="692" t="n"/>
      <c r="AL190" s="692" t="n"/>
      <c r="AM190" s="692" t="n"/>
      <c r="AN190" s="692" t="n"/>
      <c r="AO190" s="692" t="n"/>
      <c r="AP190" s="692" t="n"/>
      <c r="AQ190" s="692" t="n"/>
      <c r="AR190" s="692" t="n"/>
      <c r="AS190" s="692" t="n"/>
    </row>
    <row r="191">
      <c r="A191" s="427" t="inlineStr">
        <is>
          <t>F</t>
        </is>
      </c>
      <c r="B191" s="616" t="inlineStr">
        <is>
          <t>400 Free</t>
        </is>
      </c>
      <c r="C191" s="616" t="n">
        <v>16</v>
      </c>
      <c r="D191" s="616" t="n">
        <v>2</v>
      </c>
      <c r="E191" s="113" t="inlineStr">
        <is>
          <t>4:15.87</t>
        </is>
      </c>
      <c r="F191" s="692" t="n"/>
      <c r="G191" s="692" t="n"/>
      <c r="H191" s="692" t="n"/>
      <c r="I191" s="692" t="n"/>
      <c r="J191" s="692" t="n"/>
      <c r="K191" s="692" t="n"/>
      <c r="L191" s="692" t="n"/>
      <c r="M191" s="692" t="n"/>
      <c r="N191" s="692" t="n"/>
      <c r="O191" s="692" t="n"/>
      <c r="P191" s="692" t="n"/>
      <c r="Q191" s="692" t="n"/>
      <c r="R191" s="692" t="n"/>
      <c r="S191" s="692" t="n"/>
      <c r="T191" s="692" t="n"/>
      <c r="U191" s="692" t="n"/>
      <c r="V191" s="692" t="n"/>
      <c r="W191" s="692" t="n"/>
      <c r="X191" s="692" t="n"/>
      <c r="Y191" s="692" t="n"/>
      <c r="Z191" s="692" t="n"/>
      <c r="AA191" s="692" t="n"/>
      <c r="AB191" s="692" t="n"/>
      <c r="AC191" s="692" t="n"/>
      <c r="AD191" s="692" t="n"/>
      <c r="AE191" s="692" t="n"/>
      <c r="AF191" s="692" t="n"/>
      <c r="AG191" s="692" t="n"/>
      <c r="AH191" s="692" t="n"/>
      <c r="AI191" s="692" t="n"/>
      <c r="AJ191" s="692" t="n"/>
      <c r="AK191" s="692" t="n"/>
      <c r="AL191" s="692" t="n"/>
      <c r="AM191" s="692" t="n"/>
      <c r="AN191" s="692" t="n"/>
      <c r="AO191" s="692" t="n"/>
      <c r="AP191" s="692" t="n"/>
      <c r="AQ191" s="692" t="n"/>
      <c r="AR191" s="692" t="n"/>
      <c r="AS191" s="692" t="n"/>
    </row>
    <row r="192">
      <c r="A192" s="420" t="inlineStr">
        <is>
          <t>F</t>
        </is>
      </c>
      <c r="B192" s="593" t="inlineStr">
        <is>
          <t>400 Free</t>
        </is>
      </c>
      <c r="C192" s="593" t="n">
        <v>17</v>
      </c>
      <c r="D192" s="593" t="n">
        <v>2</v>
      </c>
      <c r="E192" s="128" t="inlineStr">
        <is>
          <t>4:13.16</t>
        </is>
      </c>
      <c r="F192" s="692" t="n"/>
      <c r="G192" s="692" t="n"/>
      <c r="H192" s="692" t="n"/>
      <c r="I192" s="692" t="n"/>
      <c r="J192" s="692" t="n"/>
      <c r="K192" s="692" t="n"/>
      <c r="L192" s="692" t="n"/>
      <c r="M192" s="692" t="n"/>
      <c r="N192" s="692" t="n"/>
      <c r="O192" s="692" t="n"/>
      <c r="P192" s="692" t="n"/>
      <c r="Q192" s="692" t="n"/>
      <c r="R192" s="692" t="n"/>
      <c r="S192" s="692" t="n"/>
      <c r="T192" s="692" t="n"/>
      <c r="U192" s="692" t="n"/>
      <c r="V192" s="692" t="n"/>
      <c r="W192" s="692" t="n"/>
      <c r="X192" s="692" t="n"/>
      <c r="Y192" s="692" t="n"/>
      <c r="Z192" s="692" t="n"/>
      <c r="AA192" s="692" t="n"/>
      <c r="AB192" s="692" t="n"/>
      <c r="AC192" s="692" t="n"/>
      <c r="AD192" s="692" t="n"/>
      <c r="AE192" s="692" t="n"/>
      <c r="AF192" s="692" t="n"/>
      <c r="AG192" s="692" t="n"/>
      <c r="AH192" s="692" t="n"/>
      <c r="AI192" s="692" t="n"/>
      <c r="AJ192" s="692" t="n"/>
      <c r="AK192" s="692" t="n"/>
      <c r="AL192" s="692" t="n"/>
      <c r="AM192" s="692" t="n"/>
      <c r="AN192" s="692" t="n"/>
      <c r="AO192" s="692" t="n"/>
      <c r="AP192" s="692" t="n"/>
      <c r="AQ192" s="692" t="n"/>
      <c r="AR192" s="692" t="n"/>
      <c r="AS192" s="692" t="n"/>
    </row>
    <row r="193">
      <c r="A193" s="427" t="inlineStr">
        <is>
          <t>F</t>
        </is>
      </c>
      <c r="B193" s="616" t="inlineStr">
        <is>
          <t>400 Free</t>
        </is>
      </c>
      <c r="C193" s="616" t="n">
        <v>18</v>
      </c>
      <c r="D193" s="616" t="n">
        <v>2</v>
      </c>
      <c r="E193" s="113" t="inlineStr">
        <is>
          <t>4:11.60</t>
        </is>
      </c>
      <c r="F193" s="692" t="n"/>
      <c r="G193" s="692" t="n"/>
      <c r="H193" s="692" t="n"/>
      <c r="I193" s="692" t="n"/>
      <c r="J193" s="692" t="n"/>
      <c r="K193" s="692" t="n"/>
      <c r="L193" s="692" t="n"/>
      <c r="M193" s="692" t="n"/>
      <c r="N193" s="692" t="n"/>
      <c r="O193" s="692" t="n"/>
      <c r="P193" s="692" t="n"/>
      <c r="Q193" s="692" t="n"/>
      <c r="R193" s="692" t="n"/>
      <c r="S193" s="692" t="n"/>
      <c r="T193" s="692" t="n"/>
      <c r="U193" s="692" t="n"/>
      <c r="V193" s="692" t="n"/>
      <c r="W193" s="692" t="n"/>
      <c r="X193" s="692" t="n"/>
      <c r="Y193" s="692" t="n"/>
      <c r="Z193" s="692" t="n"/>
      <c r="AA193" s="692" t="n"/>
      <c r="AB193" s="692" t="n"/>
      <c r="AC193" s="692" t="n"/>
      <c r="AD193" s="692" t="n"/>
      <c r="AE193" s="692" t="n"/>
      <c r="AF193" s="692" t="n"/>
      <c r="AG193" s="692" t="n"/>
      <c r="AH193" s="692" t="n"/>
      <c r="AI193" s="692" t="n"/>
      <c r="AJ193" s="692" t="n"/>
      <c r="AK193" s="692" t="n"/>
      <c r="AL193" s="692" t="n"/>
      <c r="AM193" s="692" t="n"/>
      <c r="AN193" s="692" t="n"/>
      <c r="AO193" s="692" t="n"/>
      <c r="AP193" s="692" t="n"/>
      <c r="AQ193" s="692" t="n"/>
      <c r="AR193" s="692" t="n"/>
      <c r="AS193" s="692" t="n"/>
    </row>
    <row r="194">
      <c r="A194" s="420" t="inlineStr">
        <is>
          <t>F</t>
        </is>
      </c>
      <c r="B194" s="593" t="inlineStr">
        <is>
          <t>400 Free</t>
        </is>
      </c>
      <c r="C194" s="593" t="n">
        <v>19</v>
      </c>
      <c r="D194" s="219" t="n">
        <v>2</v>
      </c>
      <c r="E194" s="128" t="inlineStr">
        <is>
          <t>4:10.74</t>
        </is>
      </c>
      <c r="F194" s="692" t="n"/>
      <c r="G194" s="692" t="n"/>
      <c r="H194" s="692" t="n"/>
      <c r="I194" s="692" t="n"/>
      <c r="J194" s="692" t="n"/>
      <c r="K194" s="692" t="n"/>
      <c r="L194" s="692" t="n"/>
      <c r="M194" s="692" t="n"/>
      <c r="N194" s="692" t="n"/>
      <c r="O194" s="692" t="n"/>
      <c r="P194" s="692" t="n"/>
      <c r="Q194" s="692" t="n"/>
      <c r="R194" s="692" t="n"/>
      <c r="S194" s="692" t="n"/>
      <c r="T194" s="692" t="n"/>
      <c r="U194" s="692" t="n"/>
      <c r="V194" s="692" t="n"/>
      <c r="W194" s="692" t="n"/>
      <c r="X194" s="692" t="n"/>
      <c r="Y194" s="692" t="n"/>
      <c r="Z194" s="692" t="n"/>
      <c r="AA194" s="692" t="n"/>
      <c r="AB194" s="692" t="n"/>
      <c r="AC194" s="692" t="n"/>
      <c r="AD194" s="692" t="n"/>
      <c r="AE194" s="692" t="n"/>
      <c r="AF194" s="692" t="n"/>
      <c r="AG194" s="692" t="n"/>
      <c r="AH194" s="692" t="n"/>
      <c r="AI194" s="692" t="n"/>
      <c r="AJ194" s="692" t="n"/>
      <c r="AK194" s="692" t="n"/>
      <c r="AL194" s="692" t="n"/>
      <c r="AM194" s="692" t="n"/>
      <c r="AN194" s="692" t="n"/>
      <c r="AO194" s="692" t="n"/>
      <c r="AP194" s="692" t="n"/>
      <c r="AQ194" s="692" t="n"/>
      <c r="AR194" s="692" t="n"/>
      <c r="AS194" s="692" t="n"/>
    </row>
    <row r="195">
      <c r="A195" s="427" t="inlineStr">
        <is>
          <t>F</t>
        </is>
      </c>
      <c r="B195" s="616" t="inlineStr">
        <is>
          <t>400 Free</t>
        </is>
      </c>
      <c r="C195" s="616" t="n">
        <v>20</v>
      </c>
      <c r="D195" s="616" t="n">
        <v>2</v>
      </c>
      <c r="E195" s="127" t="inlineStr">
        <is>
          <t>4:10.23</t>
        </is>
      </c>
      <c r="F195" s="692" t="n"/>
      <c r="G195" s="692" t="n"/>
      <c r="H195" s="692" t="n"/>
      <c r="I195" s="692" t="n"/>
      <c r="J195" s="692" t="n"/>
      <c r="K195" s="692" t="n"/>
      <c r="L195" s="692" t="n"/>
      <c r="M195" s="692" t="n"/>
      <c r="N195" s="692" t="n"/>
      <c r="O195" s="692" t="n"/>
      <c r="P195" s="692" t="n"/>
      <c r="Q195" s="692" t="n"/>
      <c r="R195" s="692" t="n"/>
      <c r="S195" s="692" t="n"/>
      <c r="T195" s="692" t="n"/>
      <c r="U195" s="692" t="n"/>
      <c r="V195" s="692" t="n"/>
      <c r="W195" s="692" t="n"/>
      <c r="X195" s="692" t="n"/>
      <c r="Y195" s="692" t="n"/>
      <c r="Z195" s="692" t="n"/>
      <c r="AA195" s="692" t="n"/>
      <c r="AB195" s="692" t="n"/>
      <c r="AC195" s="692" t="n"/>
      <c r="AD195" s="692" t="n"/>
      <c r="AE195" s="692" t="n"/>
      <c r="AF195" s="692" t="n"/>
      <c r="AG195" s="692" t="n"/>
      <c r="AH195" s="692" t="n"/>
      <c r="AI195" s="692" t="n"/>
      <c r="AJ195" s="692" t="n"/>
      <c r="AK195" s="692" t="n"/>
      <c r="AL195" s="692" t="n"/>
      <c r="AM195" s="692" t="n"/>
      <c r="AN195" s="692" t="n"/>
      <c r="AO195" s="692" t="n"/>
      <c r="AP195" s="692" t="n"/>
      <c r="AQ195" s="692" t="n"/>
      <c r="AR195" s="692" t="n"/>
      <c r="AS195" s="692" t="n"/>
    </row>
    <row r="196">
      <c r="A196" s="420" t="inlineStr">
        <is>
          <t>F</t>
        </is>
      </c>
      <c r="B196" s="593" t="inlineStr">
        <is>
          <t>800 Free</t>
        </is>
      </c>
      <c r="C196" s="593" t="n">
        <v>15</v>
      </c>
      <c r="D196" s="593" t="n">
        <v>2</v>
      </c>
      <c r="E196" s="426" t="inlineStr">
        <is>
          <t>8:54.21</t>
        </is>
      </c>
      <c r="F196" s="692" t="n"/>
      <c r="G196" s="692" t="n"/>
      <c r="H196" s="692" t="n"/>
      <c r="I196" s="692" t="n"/>
      <c r="J196" s="692" t="n"/>
      <c r="K196" s="692" t="n"/>
      <c r="L196" s="692" t="n"/>
      <c r="M196" s="692" t="n"/>
      <c r="N196" s="692" t="n"/>
      <c r="O196" s="692" t="n"/>
      <c r="P196" s="692" t="n"/>
      <c r="Q196" s="692" t="n"/>
      <c r="R196" s="692" t="n"/>
      <c r="S196" s="692" t="n"/>
      <c r="T196" s="692" t="n"/>
      <c r="U196" s="692" t="n"/>
      <c r="V196" s="692" t="n"/>
      <c r="W196" s="692" t="n"/>
      <c r="X196" s="692" t="n"/>
      <c r="Y196" s="692" t="n"/>
      <c r="Z196" s="692" t="n"/>
      <c r="AA196" s="692" t="n"/>
      <c r="AB196" s="692" t="n"/>
      <c r="AC196" s="692" t="n"/>
      <c r="AD196" s="692" t="n"/>
      <c r="AE196" s="692" t="n"/>
      <c r="AF196" s="692" t="n"/>
      <c r="AG196" s="692" t="n"/>
      <c r="AH196" s="692" t="n"/>
      <c r="AI196" s="692" t="n"/>
      <c r="AJ196" s="692" t="n"/>
      <c r="AK196" s="692" t="n"/>
      <c r="AL196" s="692" t="n"/>
      <c r="AM196" s="692" t="n"/>
      <c r="AN196" s="692" t="n"/>
      <c r="AO196" s="692" t="n"/>
      <c r="AP196" s="692" t="n"/>
      <c r="AQ196" s="692" t="n"/>
      <c r="AR196" s="692" t="n"/>
      <c r="AS196" s="692" t="n"/>
    </row>
    <row r="197">
      <c r="A197" s="427" t="inlineStr">
        <is>
          <t>F</t>
        </is>
      </c>
      <c r="B197" s="616" t="inlineStr">
        <is>
          <t>800 Free</t>
        </is>
      </c>
      <c r="C197" s="616" t="n">
        <v>16</v>
      </c>
      <c r="D197" s="221" t="n">
        <v>2</v>
      </c>
      <c r="E197" s="127" t="inlineStr">
        <is>
          <t>8:45.77</t>
        </is>
      </c>
      <c r="F197" s="692" t="n"/>
      <c r="G197" s="692" t="n"/>
      <c r="H197" s="692" t="n"/>
      <c r="I197" s="692" t="n"/>
      <c r="J197" s="692" t="n"/>
      <c r="K197" s="692" t="n"/>
      <c r="L197" s="692" t="n"/>
      <c r="M197" s="692" t="n"/>
      <c r="N197" s="692" t="n"/>
      <c r="O197" s="692" t="n"/>
      <c r="P197" s="692" t="n"/>
      <c r="Q197" s="692" t="n"/>
      <c r="R197" s="692" t="n"/>
      <c r="S197" s="692" t="n"/>
      <c r="T197" s="692" t="n"/>
      <c r="U197" s="692" t="n"/>
      <c r="V197" s="692" t="n"/>
      <c r="W197" s="692" t="n"/>
      <c r="X197" s="692" t="n"/>
      <c r="Y197" s="692" t="n"/>
      <c r="Z197" s="692" t="n"/>
      <c r="AA197" s="692" t="n"/>
      <c r="AB197" s="692" t="n"/>
      <c r="AC197" s="692" t="n"/>
      <c r="AD197" s="692" t="n"/>
      <c r="AE197" s="692" t="n"/>
      <c r="AF197" s="692" t="n"/>
      <c r="AG197" s="692" t="n"/>
      <c r="AH197" s="692" t="n"/>
      <c r="AI197" s="692" t="n"/>
      <c r="AJ197" s="692" t="n"/>
      <c r="AK197" s="692" t="n"/>
      <c r="AL197" s="692" t="n"/>
      <c r="AM197" s="692" t="n"/>
      <c r="AN197" s="692" t="n"/>
      <c r="AO197" s="692" t="n"/>
      <c r="AP197" s="692" t="n"/>
      <c r="AQ197" s="692" t="n"/>
      <c r="AR197" s="692" t="n"/>
      <c r="AS197" s="692" t="n"/>
    </row>
    <row r="198">
      <c r="A198" s="420" t="inlineStr">
        <is>
          <t>F</t>
        </is>
      </c>
      <c r="B198" s="593" t="inlineStr">
        <is>
          <t>800 Free</t>
        </is>
      </c>
      <c r="C198" s="593" t="n">
        <v>17</v>
      </c>
      <c r="D198" s="593" t="n">
        <v>2</v>
      </c>
      <c r="E198" s="128" t="inlineStr">
        <is>
          <t>8:40.64</t>
        </is>
      </c>
      <c r="F198" s="692" t="n"/>
      <c r="G198" s="692" t="n"/>
      <c r="H198" s="692" t="n"/>
      <c r="I198" s="692" t="n"/>
      <c r="J198" s="692" t="n"/>
      <c r="K198" s="692" t="n"/>
      <c r="L198" s="692" t="n"/>
      <c r="M198" s="692" t="n"/>
      <c r="N198" s="692" t="n"/>
      <c r="O198" s="692" t="n"/>
      <c r="P198" s="692" t="n"/>
      <c r="Q198" s="692" t="n"/>
      <c r="R198" s="692" t="n"/>
      <c r="S198" s="692" t="n"/>
      <c r="T198" s="692" t="n"/>
      <c r="U198" s="692" t="n"/>
      <c r="V198" s="692" t="n"/>
      <c r="W198" s="692" t="n"/>
      <c r="X198" s="692" t="n"/>
      <c r="Y198" s="692" t="n"/>
      <c r="Z198" s="692" t="n"/>
      <c r="AA198" s="692" t="n"/>
      <c r="AB198" s="692" t="n"/>
      <c r="AC198" s="692" t="n"/>
      <c r="AD198" s="692" t="n"/>
      <c r="AE198" s="692" t="n"/>
      <c r="AF198" s="692" t="n"/>
      <c r="AG198" s="692" t="n"/>
      <c r="AH198" s="692" t="n"/>
      <c r="AI198" s="692" t="n"/>
      <c r="AJ198" s="692" t="n"/>
      <c r="AK198" s="692" t="n"/>
      <c r="AL198" s="692" t="n"/>
      <c r="AM198" s="692" t="n"/>
      <c r="AN198" s="692" t="n"/>
      <c r="AO198" s="692" t="n"/>
      <c r="AP198" s="692" t="n"/>
      <c r="AQ198" s="692" t="n"/>
      <c r="AR198" s="692" t="n"/>
      <c r="AS198" s="692" t="n"/>
    </row>
    <row r="199">
      <c r="A199" s="427" t="inlineStr">
        <is>
          <t>F</t>
        </is>
      </c>
      <c r="B199" s="616" t="inlineStr">
        <is>
          <t>800 Free</t>
        </is>
      </c>
      <c r="C199" s="616" t="n">
        <v>18</v>
      </c>
      <c r="D199" s="616" t="n">
        <v>2</v>
      </c>
      <c r="E199" s="127" t="inlineStr">
        <is>
          <t>8:37.43</t>
        </is>
      </c>
      <c r="F199" s="692" t="n"/>
      <c r="G199" s="692" t="n"/>
      <c r="H199" s="692" t="n"/>
      <c r="I199" s="692" t="n"/>
      <c r="J199" s="692" t="n"/>
      <c r="K199" s="692" t="n"/>
      <c r="L199" s="692" t="n"/>
      <c r="M199" s="692" t="n"/>
      <c r="N199" s="692" t="n"/>
      <c r="O199" s="692" t="n"/>
      <c r="P199" s="692" t="n"/>
      <c r="Q199" s="692" t="n"/>
      <c r="R199" s="692" t="n"/>
      <c r="S199" s="692" t="n"/>
      <c r="T199" s="692" t="n"/>
      <c r="U199" s="692" t="n"/>
      <c r="V199" s="692" t="n"/>
      <c r="W199" s="692" t="n"/>
      <c r="X199" s="692" t="n"/>
      <c r="Y199" s="692" t="n"/>
      <c r="Z199" s="692" t="n"/>
      <c r="AA199" s="692" t="n"/>
      <c r="AB199" s="692" t="n"/>
      <c r="AC199" s="692" t="n"/>
      <c r="AD199" s="692" t="n"/>
      <c r="AE199" s="692" t="n"/>
      <c r="AF199" s="692" t="n"/>
      <c r="AG199" s="692" t="n"/>
      <c r="AH199" s="692" t="n"/>
      <c r="AI199" s="692" t="n"/>
      <c r="AJ199" s="692" t="n"/>
      <c r="AK199" s="692" t="n"/>
      <c r="AL199" s="692" t="n"/>
      <c r="AM199" s="692" t="n"/>
      <c r="AN199" s="692" t="n"/>
      <c r="AO199" s="692" t="n"/>
      <c r="AP199" s="692" t="n"/>
      <c r="AQ199" s="692" t="n"/>
      <c r="AR199" s="692" t="n"/>
      <c r="AS199" s="692" t="n"/>
    </row>
    <row r="200">
      <c r="A200" s="420" t="inlineStr">
        <is>
          <t>F</t>
        </is>
      </c>
      <c r="B200" s="593" t="inlineStr">
        <is>
          <t>800 Free</t>
        </is>
      </c>
      <c r="C200" s="593" t="n">
        <v>19</v>
      </c>
      <c r="D200" s="219" t="n">
        <v>2</v>
      </c>
      <c r="E200" s="128" t="inlineStr">
        <is>
          <t>8:35.61</t>
        </is>
      </c>
      <c r="F200" s="692" t="n"/>
      <c r="G200" s="692" t="n"/>
      <c r="H200" s="692" t="n"/>
      <c r="I200" s="692" t="n"/>
      <c r="J200" s="692" t="n"/>
      <c r="K200" s="692" t="n"/>
      <c r="L200" s="692" t="n"/>
      <c r="M200" s="692" t="n"/>
      <c r="N200" s="692" t="n"/>
      <c r="O200" s="692" t="n"/>
      <c r="P200" s="692" t="n"/>
      <c r="Q200" s="692" t="n"/>
      <c r="R200" s="692" t="n"/>
      <c r="S200" s="692" t="n"/>
      <c r="T200" s="692" t="n"/>
      <c r="U200" s="692" t="n"/>
      <c r="V200" s="692" t="n"/>
      <c r="W200" s="692" t="n"/>
      <c r="X200" s="692" t="n"/>
      <c r="Y200" s="692" t="n"/>
      <c r="Z200" s="692" t="n"/>
      <c r="AA200" s="692" t="n"/>
      <c r="AB200" s="692" t="n"/>
      <c r="AC200" s="692" t="n"/>
      <c r="AD200" s="692" t="n"/>
      <c r="AE200" s="692" t="n"/>
      <c r="AF200" s="692" t="n"/>
      <c r="AG200" s="692" t="n"/>
      <c r="AH200" s="692" t="n"/>
      <c r="AI200" s="692" t="n"/>
      <c r="AJ200" s="692" t="n"/>
      <c r="AK200" s="692" t="n"/>
      <c r="AL200" s="692" t="n"/>
      <c r="AM200" s="692" t="n"/>
      <c r="AN200" s="692" t="n"/>
      <c r="AO200" s="692" t="n"/>
      <c r="AP200" s="692" t="n"/>
      <c r="AQ200" s="692" t="n"/>
      <c r="AR200" s="692" t="n"/>
      <c r="AS200" s="692" t="n"/>
    </row>
    <row r="201">
      <c r="A201" s="427" t="inlineStr">
        <is>
          <t>F</t>
        </is>
      </c>
      <c r="B201" s="616" t="inlineStr">
        <is>
          <t>800 Free</t>
        </is>
      </c>
      <c r="C201" s="616" t="n">
        <v>20</v>
      </c>
      <c r="D201" s="616" t="n">
        <v>2</v>
      </c>
      <c r="E201" s="127" t="inlineStr">
        <is>
          <t>8:34.62</t>
        </is>
      </c>
      <c r="F201" s="692" t="n"/>
      <c r="G201" s="692" t="n"/>
      <c r="H201" s="692" t="n"/>
      <c r="I201" s="692" t="n"/>
      <c r="J201" s="692" t="n"/>
      <c r="K201" s="692" t="n"/>
      <c r="L201" s="692" t="n"/>
      <c r="M201" s="692" t="n"/>
      <c r="N201" s="692" t="n"/>
      <c r="O201" s="692" t="n"/>
      <c r="P201" s="692" t="n"/>
      <c r="Q201" s="692" t="n"/>
      <c r="R201" s="692" t="n"/>
      <c r="S201" s="692" t="n"/>
      <c r="T201" s="692" t="n"/>
      <c r="U201" s="692" t="n"/>
      <c r="V201" s="692" t="n"/>
      <c r="W201" s="692" t="n"/>
      <c r="X201" s="692" t="n"/>
      <c r="Y201" s="692" t="n"/>
      <c r="Z201" s="692" t="n"/>
      <c r="AA201" s="692" t="n"/>
      <c r="AB201" s="692" t="n"/>
      <c r="AC201" s="692" t="n"/>
      <c r="AD201" s="692" t="n"/>
      <c r="AE201" s="692" t="n"/>
      <c r="AF201" s="692" t="n"/>
      <c r="AG201" s="692" t="n"/>
      <c r="AH201" s="692" t="n"/>
      <c r="AI201" s="692" t="n"/>
      <c r="AJ201" s="692" t="n"/>
      <c r="AK201" s="692" t="n"/>
      <c r="AL201" s="692" t="n"/>
      <c r="AM201" s="692" t="n"/>
      <c r="AN201" s="692" t="n"/>
      <c r="AO201" s="692" t="n"/>
      <c r="AP201" s="692" t="n"/>
      <c r="AQ201" s="692" t="n"/>
      <c r="AR201" s="692" t="n"/>
      <c r="AS201" s="692" t="n"/>
    </row>
    <row r="202">
      <c r="A202" s="420" t="inlineStr">
        <is>
          <t>F</t>
        </is>
      </c>
      <c r="B202" s="593" t="inlineStr">
        <is>
          <t>1500 Free</t>
        </is>
      </c>
      <c r="C202" s="593" t="n">
        <v>15</v>
      </c>
      <c r="D202" s="593" t="n">
        <v>2</v>
      </c>
      <c r="E202" s="426" t="inlineStr">
        <is>
          <t>16:56.98</t>
        </is>
      </c>
      <c r="F202" s="692" t="n"/>
      <c r="G202" s="692" t="n"/>
      <c r="H202" s="692" t="n"/>
      <c r="I202" s="692" t="n"/>
      <c r="J202" s="692" t="n"/>
      <c r="K202" s="692" t="n"/>
      <c r="L202" s="692" t="n"/>
      <c r="M202" s="692" t="n"/>
      <c r="N202" s="692" t="n"/>
      <c r="O202" s="692" t="n"/>
      <c r="P202" s="692" t="n"/>
      <c r="Q202" s="692" t="n"/>
      <c r="R202" s="692" t="n"/>
      <c r="S202" s="692" t="n"/>
      <c r="T202" s="692" t="n"/>
      <c r="U202" s="692" t="n"/>
      <c r="V202" s="692" t="n"/>
      <c r="W202" s="692" t="n"/>
      <c r="X202" s="692" t="n"/>
      <c r="Y202" s="692" t="n"/>
      <c r="Z202" s="692" t="n"/>
      <c r="AA202" s="692" t="n"/>
      <c r="AB202" s="692" t="n"/>
      <c r="AC202" s="692" t="n"/>
      <c r="AD202" s="692" t="n"/>
      <c r="AE202" s="692" t="n"/>
      <c r="AF202" s="692" t="n"/>
      <c r="AG202" s="692" t="n"/>
      <c r="AH202" s="692" t="n"/>
      <c r="AI202" s="692" t="n"/>
      <c r="AJ202" s="692" t="n"/>
      <c r="AK202" s="692" t="n"/>
      <c r="AL202" s="692" t="n"/>
      <c r="AM202" s="692" t="n"/>
      <c r="AN202" s="692" t="n"/>
      <c r="AO202" s="692" t="n"/>
      <c r="AP202" s="692" t="n"/>
      <c r="AQ202" s="692" t="n"/>
      <c r="AR202" s="692" t="n"/>
      <c r="AS202" s="692" t="n"/>
    </row>
    <row r="203">
      <c r="A203" s="427" t="inlineStr">
        <is>
          <t>F</t>
        </is>
      </c>
      <c r="B203" s="616" t="inlineStr">
        <is>
          <t>1500 Free</t>
        </is>
      </c>
      <c r="C203" s="616" t="n">
        <v>16</v>
      </c>
      <c r="D203" s="221" t="n">
        <v>2</v>
      </c>
      <c r="E203" s="113" t="inlineStr">
        <is>
          <t>16:42.94</t>
        </is>
      </c>
      <c r="F203" s="692" t="n"/>
      <c r="G203" s="692" t="n"/>
      <c r="H203" s="692" t="n"/>
      <c r="I203" s="692" t="n"/>
      <c r="J203" s="692" t="n"/>
      <c r="K203" s="692" t="n"/>
      <c r="L203" s="692" t="n"/>
      <c r="M203" s="692" t="n"/>
      <c r="N203" s="692" t="n"/>
      <c r="O203" s="692" t="n"/>
      <c r="P203" s="692" t="n"/>
      <c r="Q203" s="692" t="n"/>
      <c r="R203" s="692" t="n"/>
      <c r="S203" s="692" t="n"/>
      <c r="T203" s="692" t="n"/>
      <c r="U203" s="692" t="n"/>
      <c r="V203" s="692" t="n"/>
      <c r="W203" s="692" t="n"/>
      <c r="X203" s="692" t="n"/>
      <c r="Y203" s="692" t="n"/>
      <c r="Z203" s="692" t="n"/>
      <c r="AA203" s="692" t="n"/>
      <c r="AB203" s="692" t="n"/>
      <c r="AC203" s="692" t="n"/>
      <c r="AD203" s="692" t="n"/>
      <c r="AE203" s="692" t="n"/>
      <c r="AF203" s="692" t="n"/>
      <c r="AG203" s="692" t="n"/>
      <c r="AH203" s="692" t="n"/>
      <c r="AI203" s="692" t="n"/>
      <c r="AJ203" s="692" t="n"/>
      <c r="AK203" s="692" t="n"/>
      <c r="AL203" s="692" t="n"/>
      <c r="AM203" s="692" t="n"/>
      <c r="AN203" s="692" t="n"/>
      <c r="AO203" s="692" t="n"/>
      <c r="AP203" s="692" t="n"/>
      <c r="AQ203" s="692" t="n"/>
      <c r="AR203" s="692" t="n"/>
      <c r="AS203" s="692" t="n"/>
    </row>
    <row r="204">
      <c r="A204" s="420" t="inlineStr">
        <is>
          <t>F</t>
        </is>
      </c>
      <c r="B204" s="593" t="inlineStr">
        <is>
          <t>1500 Free</t>
        </is>
      </c>
      <c r="C204" s="593" t="n">
        <v>17</v>
      </c>
      <c r="D204" s="593" t="n">
        <v>2</v>
      </c>
      <c r="E204" s="116" t="inlineStr">
        <is>
          <t>16:34.36</t>
        </is>
      </c>
      <c r="F204" s="692" t="n"/>
      <c r="G204" s="692" t="n"/>
      <c r="H204" s="692" t="n"/>
      <c r="I204" s="692" t="n"/>
      <c r="J204" s="692" t="n"/>
      <c r="K204" s="692" t="n"/>
      <c r="L204" s="692" t="n"/>
      <c r="M204" s="692" t="n"/>
      <c r="N204" s="692" t="n"/>
      <c r="O204" s="692" t="n"/>
      <c r="P204" s="692" t="n"/>
      <c r="Q204" s="692" t="n"/>
      <c r="R204" s="692" t="n"/>
      <c r="S204" s="692" t="n"/>
      <c r="T204" s="692" t="n"/>
      <c r="U204" s="692" t="n"/>
      <c r="V204" s="692" t="n"/>
      <c r="W204" s="692" t="n"/>
      <c r="X204" s="692" t="n"/>
      <c r="Y204" s="692" t="n"/>
      <c r="Z204" s="692" t="n"/>
      <c r="AA204" s="692" t="n"/>
      <c r="AB204" s="692" t="n"/>
      <c r="AC204" s="692" t="n"/>
      <c r="AD204" s="692" t="n"/>
      <c r="AE204" s="692" t="n"/>
      <c r="AF204" s="692" t="n"/>
      <c r="AG204" s="692" t="n"/>
      <c r="AH204" s="692" t="n"/>
      <c r="AI204" s="692" t="n"/>
      <c r="AJ204" s="692" t="n"/>
      <c r="AK204" s="692" t="n"/>
      <c r="AL204" s="692" t="n"/>
      <c r="AM204" s="692" t="n"/>
      <c r="AN204" s="692" t="n"/>
      <c r="AO204" s="692" t="n"/>
      <c r="AP204" s="692" t="n"/>
      <c r="AQ204" s="692" t="n"/>
      <c r="AR204" s="692" t="n"/>
      <c r="AS204" s="692" t="n"/>
    </row>
    <row r="205">
      <c r="A205" s="427" t="inlineStr">
        <is>
          <t>F</t>
        </is>
      </c>
      <c r="B205" s="616" t="inlineStr">
        <is>
          <t>1500 Free</t>
        </is>
      </c>
      <c r="C205" s="616" t="n">
        <v>18</v>
      </c>
      <c r="D205" s="616" t="n">
        <v>2</v>
      </c>
      <c r="E205" s="127" t="inlineStr">
        <is>
          <t>16:29.24</t>
        </is>
      </c>
      <c r="F205" s="692" t="n"/>
      <c r="G205" s="692" t="n"/>
      <c r="H205" s="692" t="n"/>
      <c r="I205" s="692" t="n"/>
      <c r="J205" s="692" t="n"/>
      <c r="K205" s="692" t="n"/>
      <c r="L205" s="692" t="n"/>
      <c r="M205" s="692" t="n"/>
      <c r="N205" s="692" t="n"/>
      <c r="O205" s="692" t="n"/>
      <c r="P205" s="692" t="n"/>
      <c r="Q205" s="692" t="n"/>
      <c r="R205" s="692" t="n"/>
      <c r="S205" s="692" t="n"/>
      <c r="T205" s="692" t="n"/>
      <c r="U205" s="692" t="n"/>
      <c r="V205" s="692" t="n"/>
      <c r="W205" s="692" t="n"/>
      <c r="X205" s="692" t="n"/>
      <c r="Y205" s="692" t="n"/>
      <c r="Z205" s="692" t="n"/>
      <c r="AA205" s="692" t="n"/>
      <c r="AB205" s="692" t="n"/>
      <c r="AC205" s="692" t="n"/>
      <c r="AD205" s="692" t="n"/>
      <c r="AE205" s="692" t="n"/>
      <c r="AF205" s="692" t="n"/>
      <c r="AG205" s="692" t="n"/>
      <c r="AH205" s="692" t="n"/>
      <c r="AI205" s="692" t="n"/>
      <c r="AJ205" s="692" t="n"/>
      <c r="AK205" s="692" t="n"/>
      <c r="AL205" s="692" t="n"/>
      <c r="AM205" s="692" t="n"/>
      <c r="AN205" s="692" t="n"/>
      <c r="AO205" s="692" t="n"/>
      <c r="AP205" s="692" t="n"/>
      <c r="AQ205" s="692" t="n"/>
      <c r="AR205" s="692" t="n"/>
      <c r="AS205" s="692" t="n"/>
    </row>
    <row r="206">
      <c r="A206" s="420" t="inlineStr">
        <is>
          <t>F</t>
        </is>
      </c>
      <c r="B206" s="593" t="inlineStr">
        <is>
          <t>1500 Free</t>
        </is>
      </c>
      <c r="C206" s="593" t="n">
        <v>19</v>
      </c>
      <c r="D206" s="219" t="n">
        <v>2</v>
      </c>
      <c r="E206" s="128" t="inlineStr">
        <is>
          <t>16:26.24</t>
        </is>
      </c>
      <c r="F206" s="692" t="n"/>
      <c r="G206" s="692" t="n"/>
      <c r="H206" s="692" t="n"/>
      <c r="I206" s="692" t="n"/>
      <c r="J206" s="692" t="n"/>
      <c r="K206" s="692" t="n"/>
      <c r="L206" s="692" t="n"/>
      <c r="M206" s="692" t="n"/>
      <c r="N206" s="692" t="n"/>
      <c r="O206" s="692" t="n"/>
      <c r="P206" s="692" t="n"/>
      <c r="Q206" s="692" t="n"/>
      <c r="R206" s="692" t="n"/>
      <c r="S206" s="692" t="n"/>
      <c r="T206" s="692" t="n"/>
      <c r="U206" s="692" t="n"/>
      <c r="V206" s="692" t="n"/>
      <c r="W206" s="692" t="n"/>
      <c r="X206" s="692" t="n"/>
      <c r="Y206" s="692" t="n"/>
      <c r="Z206" s="692" t="n"/>
      <c r="AA206" s="692" t="n"/>
      <c r="AB206" s="692" t="n"/>
      <c r="AC206" s="692" t="n"/>
      <c r="AD206" s="692" t="n"/>
      <c r="AE206" s="692" t="n"/>
      <c r="AF206" s="692" t="n"/>
      <c r="AG206" s="692" t="n"/>
      <c r="AH206" s="692" t="n"/>
      <c r="AI206" s="692" t="n"/>
      <c r="AJ206" s="692" t="n"/>
      <c r="AK206" s="692" t="n"/>
      <c r="AL206" s="692" t="n"/>
      <c r="AM206" s="692" t="n"/>
      <c r="AN206" s="692" t="n"/>
      <c r="AO206" s="692" t="n"/>
      <c r="AP206" s="692" t="n"/>
      <c r="AQ206" s="692" t="n"/>
      <c r="AR206" s="692" t="n"/>
      <c r="AS206" s="692" t="n"/>
    </row>
    <row r="207">
      <c r="A207" s="427" t="inlineStr">
        <is>
          <t>F</t>
        </is>
      </c>
      <c r="B207" s="616" t="inlineStr">
        <is>
          <t>1500 Free</t>
        </is>
      </c>
      <c r="C207" s="616" t="n">
        <v>20</v>
      </c>
      <c r="D207" s="616" t="n">
        <v>2</v>
      </c>
      <c r="E207" s="433" t="inlineStr">
        <is>
          <t>16:24.56</t>
        </is>
      </c>
      <c r="F207" s="692" t="n"/>
      <c r="G207" s="692" t="n"/>
      <c r="H207" s="692" t="n"/>
      <c r="I207" s="692" t="n"/>
      <c r="J207" s="692" t="n"/>
      <c r="K207" s="692" t="n"/>
      <c r="L207" s="692" t="n"/>
      <c r="M207" s="692" t="n"/>
      <c r="N207" s="692" t="n"/>
      <c r="O207" s="692" t="n"/>
      <c r="P207" s="692" t="n"/>
      <c r="Q207" s="692" t="n"/>
      <c r="R207" s="692" t="n"/>
      <c r="S207" s="692" t="n"/>
      <c r="T207" s="692" t="n"/>
      <c r="U207" s="692" t="n"/>
      <c r="V207" s="692" t="n"/>
      <c r="W207" s="692" t="n"/>
      <c r="X207" s="692" t="n"/>
      <c r="Y207" s="692" t="n"/>
      <c r="Z207" s="692" t="n"/>
      <c r="AA207" s="692" t="n"/>
      <c r="AB207" s="692" t="n"/>
      <c r="AC207" s="692" t="n"/>
      <c r="AD207" s="692" t="n"/>
      <c r="AE207" s="692" t="n"/>
      <c r="AF207" s="692" t="n"/>
      <c r="AG207" s="692" t="n"/>
      <c r="AH207" s="692" t="n"/>
      <c r="AI207" s="692" t="n"/>
      <c r="AJ207" s="692" t="n"/>
      <c r="AK207" s="692" t="n"/>
      <c r="AL207" s="692" t="n"/>
      <c r="AM207" s="692" t="n"/>
      <c r="AN207" s="692" t="n"/>
      <c r="AO207" s="692" t="n"/>
      <c r="AP207" s="692" t="n"/>
      <c r="AQ207" s="692" t="n"/>
      <c r="AR207" s="692" t="n"/>
      <c r="AS207" s="692" t="n"/>
    </row>
    <row r="208">
      <c r="A208" s="420" t="inlineStr">
        <is>
          <t>F</t>
        </is>
      </c>
      <c r="B208" s="593" t="inlineStr">
        <is>
          <t>50 Back</t>
        </is>
      </c>
      <c r="C208" s="593" t="n">
        <v>16</v>
      </c>
      <c r="D208" s="219" t="n">
        <v>2</v>
      </c>
      <c r="E208" s="128" t="inlineStr">
        <is>
          <t>29.02</t>
        </is>
      </c>
      <c r="F208" s="692" t="n"/>
      <c r="G208" s="692" t="n"/>
      <c r="H208" s="692" t="n"/>
      <c r="I208" s="692" t="n"/>
      <c r="J208" s="692" t="n"/>
      <c r="K208" s="692" t="n"/>
      <c r="L208" s="692" t="n"/>
      <c r="M208" s="692" t="n"/>
      <c r="N208" s="692" t="n"/>
      <c r="O208" s="692" t="n"/>
      <c r="P208" s="692" t="n"/>
      <c r="Q208" s="692" t="n"/>
      <c r="R208" s="692" t="n"/>
      <c r="S208" s="692" t="n"/>
      <c r="T208" s="692" t="n"/>
      <c r="U208" s="692" t="n"/>
      <c r="V208" s="692" t="n"/>
      <c r="W208" s="692" t="n"/>
      <c r="X208" s="692" t="n"/>
      <c r="Y208" s="692" t="n"/>
      <c r="Z208" s="692" t="n"/>
      <c r="AA208" s="692" t="n"/>
      <c r="AB208" s="692" t="n"/>
      <c r="AC208" s="692" t="n"/>
      <c r="AD208" s="692" t="n"/>
      <c r="AE208" s="692" t="n"/>
      <c r="AF208" s="692" t="n"/>
      <c r="AG208" s="692" t="n"/>
      <c r="AH208" s="692" t="n"/>
      <c r="AI208" s="692" t="n"/>
      <c r="AJ208" s="692" t="n"/>
      <c r="AK208" s="692" t="n"/>
      <c r="AL208" s="692" t="n"/>
      <c r="AM208" s="692" t="n"/>
      <c r="AN208" s="692" t="n"/>
      <c r="AO208" s="692" t="n"/>
      <c r="AP208" s="692" t="n"/>
      <c r="AQ208" s="692" t="n"/>
      <c r="AR208" s="692" t="n"/>
      <c r="AS208" s="692" t="n"/>
    </row>
    <row r="209">
      <c r="A209" s="427" t="inlineStr">
        <is>
          <t>F</t>
        </is>
      </c>
      <c r="B209" s="616" t="inlineStr">
        <is>
          <t>50 Back</t>
        </is>
      </c>
      <c r="C209" s="616" t="n">
        <v>17</v>
      </c>
      <c r="D209" s="616" t="n">
        <v>2</v>
      </c>
      <c r="E209" s="127" t="inlineStr">
        <is>
          <t>28.76</t>
        </is>
      </c>
      <c r="F209" s="692" t="n"/>
      <c r="G209" s="692" t="n"/>
      <c r="H209" s="692" t="n"/>
      <c r="I209" s="692" t="n"/>
      <c r="J209" s="692" t="n"/>
      <c r="K209" s="692" t="n"/>
      <c r="L209" s="692" t="n"/>
      <c r="M209" s="692" t="n"/>
      <c r="N209" s="692" t="n"/>
      <c r="O209" s="692" t="n"/>
      <c r="P209" s="692" t="n"/>
      <c r="Q209" s="692" t="n"/>
      <c r="R209" s="692" t="n"/>
      <c r="S209" s="692" t="n"/>
      <c r="T209" s="692" t="n"/>
      <c r="U209" s="692" t="n"/>
      <c r="V209" s="692" t="n"/>
      <c r="W209" s="692" t="n"/>
      <c r="X209" s="692" t="n"/>
      <c r="Y209" s="692" t="n"/>
      <c r="Z209" s="692" t="n"/>
      <c r="AA209" s="692" t="n"/>
      <c r="AB209" s="692" t="n"/>
      <c r="AC209" s="692" t="n"/>
      <c r="AD209" s="692" t="n"/>
      <c r="AE209" s="692" t="n"/>
      <c r="AF209" s="692" t="n"/>
      <c r="AG209" s="692" t="n"/>
      <c r="AH209" s="692" t="n"/>
      <c r="AI209" s="692" t="n"/>
      <c r="AJ209" s="692" t="n"/>
      <c r="AK209" s="692" t="n"/>
      <c r="AL209" s="692" t="n"/>
      <c r="AM209" s="692" t="n"/>
      <c r="AN209" s="692" t="n"/>
      <c r="AO209" s="692" t="n"/>
      <c r="AP209" s="692" t="n"/>
      <c r="AQ209" s="692" t="n"/>
      <c r="AR209" s="692" t="n"/>
      <c r="AS209" s="692" t="n"/>
    </row>
    <row r="210">
      <c r="A210" s="420" t="inlineStr">
        <is>
          <t>F</t>
        </is>
      </c>
      <c r="B210" s="593" t="inlineStr">
        <is>
          <t>50 Back</t>
        </is>
      </c>
      <c r="C210" s="593" t="n">
        <v>18</v>
      </c>
      <c r="D210" s="219" t="n">
        <v>2</v>
      </c>
      <c r="E210" s="128" t="inlineStr">
        <is>
          <t>28.60</t>
        </is>
      </c>
      <c r="F210" s="692" t="n"/>
      <c r="G210" s="692" t="n"/>
      <c r="H210" s="692" t="n"/>
      <c r="I210" s="692" t="n"/>
      <c r="J210" s="692" t="n"/>
      <c r="K210" s="692" t="n"/>
      <c r="L210" s="692" t="n"/>
      <c r="M210" s="692" t="n"/>
      <c r="N210" s="692" t="n"/>
      <c r="O210" s="692" t="n"/>
      <c r="P210" s="692" t="n"/>
      <c r="Q210" s="692" t="n"/>
      <c r="R210" s="692" t="n"/>
      <c r="S210" s="692" t="n"/>
      <c r="T210" s="692" t="n"/>
      <c r="U210" s="692" t="n"/>
      <c r="V210" s="692" t="n"/>
      <c r="W210" s="692" t="n"/>
      <c r="X210" s="692" t="n"/>
      <c r="Y210" s="692" t="n"/>
      <c r="Z210" s="692" t="n"/>
      <c r="AA210" s="692" t="n"/>
      <c r="AB210" s="692" t="n"/>
      <c r="AC210" s="692" t="n"/>
      <c r="AD210" s="692" t="n"/>
      <c r="AE210" s="692" t="n"/>
      <c r="AF210" s="692" t="n"/>
      <c r="AG210" s="692" t="n"/>
      <c r="AH210" s="692" t="n"/>
      <c r="AI210" s="692" t="n"/>
      <c r="AJ210" s="692" t="n"/>
      <c r="AK210" s="692" t="n"/>
      <c r="AL210" s="692" t="n"/>
      <c r="AM210" s="692" t="n"/>
      <c r="AN210" s="692" t="n"/>
      <c r="AO210" s="692" t="n"/>
      <c r="AP210" s="692" t="n"/>
      <c r="AQ210" s="692" t="n"/>
      <c r="AR210" s="692" t="n"/>
      <c r="AS210" s="692" t="n"/>
    </row>
    <row r="211">
      <c r="A211" s="427" t="inlineStr">
        <is>
          <t>F</t>
        </is>
      </c>
      <c r="B211" s="616" t="inlineStr">
        <is>
          <t>50 Back</t>
        </is>
      </c>
      <c r="C211" s="616" t="n">
        <v>19</v>
      </c>
      <c r="D211" s="616" t="n">
        <v>2</v>
      </c>
      <c r="E211" s="127" t="n">
        <v>28.46</v>
      </c>
      <c r="F211" s="692" t="n"/>
      <c r="G211" s="692" t="n"/>
      <c r="H211" s="692" t="n"/>
      <c r="I211" s="692" t="n"/>
      <c r="J211" s="692" t="n"/>
      <c r="K211" s="692" t="n"/>
      <c r="L211" s="692" t="n"/>
      <c r="M211" s="692" t="n"/>
      <c r="N211" s="692" t="n"/>
      <c r="O211" s="692" t="n"/>
      <c r="P211" s="692" t="n"/>
      <c r="Q211" s="692" t="n"/>
      <c r="R211" s="692" t="n"/>
      <c r="S211" s="692" t="n"/>
      <c r="T211" s="692" t="n"/>
      <c r="U211" s="692" t="n"/>
      <c r="V211" s="692" t="n"/>
      <c r="W211" s="692" t="n"/>
      <c r="X211" s="692" t="n"/>
      <c r="Y211" s="692" t="n"/>
      <c r="Z211" s="692" t="n"/>
      <c r="AA211" s="692" t="n"/>
      <c r="AB211" s="692" t="n"/>
      <c r="AC211" s="692" t="n"/>
      <c r="AD211" s="692" t="n"/>
      <c r="AE211" s="692" t="n"/>
      <c r="AF211" s="692" t="n"/>
      <c r="AG211" s="692" t="n"/>
      <c r="AH211" s="692" t="n"/>
      <c r="AI211" s="692" t="n"/>
      <c r="AJ211" s="692" t="n"/>
      <c r="AK211" s="692" t="n"/>
      <c r="AL211" s="692" t="n"/>
      <c r="AM211" s="692" t="n"/>
      <c r="AN211" s="692" t="n"/>
      <c r="AO211" s="692" t="n"/>
      <c r="AP211" s="692" t="n"/>
      <c r="AQ211" s="692" t="n"/>
      <c r="AR211" s="692" t="n"/>
      <c r="AS211" s="692" t="n"/>
    </row>
    <row r="212">
      <c r="A212" s="420" t="inlineStr">
        <is>
          <t>F</t>
        </is>
      </c>
      <c r="B212" s="593" t="inlineStr">
        <is>
          <t>50 Back</t>
        </is>
      </c>
      <c r="C212" s="593" t="n">
        <v>20</v>
      </c>
      <c r="D212" s="219" t="n">
        <v>2</v>
      </c>
      <c r="E212" s="128" t="inlineStr">
        <is>
          <t>28.32</t>
        </is>
      </c>
      <c r="F212" s="692" t="n"/>
      <c r="G212" s="692" t="n"/>
      <c r="H212" s="692" t="n"/>
      <c r="I212" s="692" t="n"/>
      <c r="J212" s="692" t="n"/>
      <c r="K212" s="692" t="n"/>
      <c r="L212" s="692" t="n"/>
      <c r="M212" s="692" t="n"/>
      <c r="N212" s="692" t="n"/>
      <c r="O212" s="692" t="n"/>
      <c r="P212" s="692" t="n"/>
      <c r="Q212" s="692" t="n"/>
      <c r="R212" s="692" t="n"/>
      <c r="S212" s="692" t="n"/>
      <c r="T212" s="692" t="n"/>
      <c r="U212" s="692" t="n"/>
      <c r="V212" s="692" t="n"/>
      <c r="W212" s="692" t="n"/>
      <c r="X212" s="692" t="n"/>
      <c r="Y212" s="692" t="n"/>
      <c r="Z212" s="692" t="n"/>
      <c r="AA212" s="692" t="n"/>
      <c r="AB212" s="692" t="n"/>
      <c r="AC212" s="692" t="n"/>
      <c r="AD212" s="692" t="n"/>
      <c r="AE212" s="692" t="n"/>
      <c r="AF212" s="692" t="n"/>
      <c r="AG212" s="692" t="n"/>
      <c r="AH212" s="692" t="n"/>
      <c r="AI212" s="692" t="n"/>
      <c r="AJ212" s="692" t="n"/>
      <c r="AK212" s="692" t="n"/>
      <c r="AL212" s="692" t="n"/>
      <c r="AM212" s="692" t="n"/>
      <c r="AN212" s="692" t="n"/>
      <c r="AO212" s="692" t="n"/>
      <c r="AP212" s="692" t="n"/>
      <c r="AQ212" s="692" t="n"/>
      <c r="AR212" s="692" t="n"/>
      <c r="AS212" s="692" t="n"/>
    </row>
    <row r="213">
      <c r="A213" s="427" t="inlineStr">
        <is>
          <t>F</t>
        </is>
      </c>
      <c r="B213" s="616" t="inlineStr">
        <is>
          <t>50 Back</t>
        </is>
      </c>
      <c r="C213" s="616" t="n">
        <v>21</v>
      </c>
      <c r="D213" s="616" t="n">
        <v>2</v>
      </c>
      <c r="E213" s="127" t="inlineStr">
        <is>
          <t>28.22</t>
        </is>
      </c>
      <c r="F213" s="692" t="n"/>
      <c r="G213" s="692" t="n"/>
      <c r="H213" s="692" t="n"/>
      <c r="I213" s="692" t="n"/>
      <c r="J213" s="692" t="n"/>
      <c r="K213" s="692" t="n"/>
      <c r="L213" s="692" t="n"/>
      <c r="M213" s="692" t="n"/>
      <c r="N213" s="692" t="n"/>
      <c r="O213" s="692" t="n"/>
      <c r="P213" s="692" t="n"/>
      <c r="Q213" s="692" t="n"/>
      <c r="R213" s="692" t="n"/>
      <c r="S213" s="692" t="n"/>
      <c r="T213" s="692" t="n"/>
      <c r="U213" s="692" t="n"/>
      <c r="V213" s="692" t="n"/>
      <c r="W213" s="692" t="n"/>
      <c r="X213" s="692" t="n"/>
      <c r="Y213" s="692" t="n"/>
      <c r="Z213" s="692" t="n"/>
      <c r="AA213" s="692" t="n"/>
      <c r="AB213" s="692" t="n"/>
      <c r="AC213" s="692" t="n"/>
      <c r="AD213" s="692" t="n"/>
      <c r="AE213" s="692" t="n"/>
      <c r="AF213" s="692" t="n"/>
      <c r="AG213" s="692" t="n"/>
      <c r="AH213" s="692" t="n"/>
      <c r="AI213" s="692" t="n"/>
      <c r="AJ213" s="692" t="n"/>
      <c r="AK213" s="692" t="n"/>
      <c r="AL213" s="692" t="n"/>
      <c r="AM213" s="692" t="n"/>
      <c r="AN213" s="692" t="n"/>
      <c r="AO213" s="692" t="n"/>
      <c r="AP213" s="692" t="n"/>
      <c r="AQ213" s="692" t="n"/>
      <c r="AR213" s="692" t="n"/>
      <c r="AS213" s="692" t="n"/>
    </row>
    <row r="214">
      <c r="A214" s="420" t="inlineStr">
        <is>
          <t>F</t>
        </is>
      </c>
      <c r="B214" s="593" t="inlineStr">
        <is>
          <t>100 Back</t>
        </is>
      </c>
      <c r="C214" s="593" t="n">
        <v>14</v>
      </c>
      <c r="D214" s="219" t="n">
        <v>2</v>
      </c>
      <c r="E214" s="128" t="inlineStr">
        <is>
          <t>1:04.75</t>
        </is>
      </c>
      <c r="F214" s="692" t="n"/>
      <c r="G214" s="692" t="n"/>
      <c r="H214" s="692" t="n"/>
      <c r="I214" s="692" t="n"/>
      <c r="J214" s="692" t="n"/>
      <c r="K214" s="692" t="n"/>
      <c r="L214" s="692" t="n"/>
      <c r="M214" s="692" t="n"/>
      <c r="N214" s="692" t="n"/>
      <c r="O214" s="692" t="n"/>
      <c r="P214" s="692" t="n"/>
      <c r="Q214" s="692" t="n"/>
      <c r="R214" s="692" t="n"/>
      <c r="S214" s="692" t="n"/>
      <c r="T214" s="692" t="n"/>
      <c r="U214" s="692" t="n"/>
      <c r="V214" s="692" t="n"/>
      <c r="W214" s="692" t="n"/>
      <c r="X214" s="692" t="n"/>
      <c r="Y214" s="692" t="n"/>
      <c r="Z214" s="692" t="n"/>
      <c r="AA214" s="692" t="n"/>
      <c r="AB214" s="692" t="n"/>
      <c r="AC214" s="692" t="n"/>
      <c r="AD214" s="692" t="n"/>
      <c r="AE214" s="692" t="n"/>
      <c r="AF214" s="692" t="n"/>
      <c r="AG214" s="692" t="n"/>
      <c r="AH214" s="692" t="n"/>
      <c r="AI214" s="692" t="n"/>
      <c r="AJ214" s="692" t="n"/>
      <c r="AK214" s="692" t="n"/>
      <c r="AL214" s="692" t="n"/>
      <c r="AM214" s="692" t="n"/>
      <c r="AN214" s="692" t="n"/>
      <c r="AO214" s="692" t="n"/>
      <c r="AP214" s="692" t="n"/>
      <c r="AQ214" s="692" t="n"/>
      <c r="AR214" s="692" t="n"/>
      <c r="AS214" s="692" t="n"/>
    </row>
    <row r="215">
      <c r="A215" s="427" t="inlineStr">
        <is>
          <t>F</t>
        </is>
      </c>
      <c r="B215" s="616" t="inlineStr">
        <is>
          <t>100 Back</t>
        </is>
      </c>
      <c r="C215" s="616" t="n">
        <v>15</v>
      </c>
      <c r="D215" s="616" t="n">
        <v>2</v>
      </c>
      <c r="E215" s="127" t="inlineStr">
        <is>
          <t>1:03.20</t>
        </is>
      </c>
      <c r="F215" s="692" t="n"/>
      <c r="G215" s="692" t="n"/>
      <c r="H215" s="692" t="n"/>
      <c r="I215" s="692" t="n"/>
      <c r="J215" s="692" t="n"/>
      <c r="K215" s="692" t="n"/>
      <c r="L215" s="692" t="n"/>
      <c r="M215" s="692" t="n"/>
      <c r="N215" s="692" t="n"/>
      <c r="O215" s="692" t="n"/>
      <c r="P215" s="692" t="n"/>
      <c r="Q215" s="692" t="n"/>
      <c r="R215" s="692" t="n"/>
      <c r="S215" s="692" t="n"/>
      <c r="T215" s="692" t="n"/>
      <c r="U215" s="692" t="n"/>
      <c r="V215" s="692" t="n"/>
      <c r="W215" s="692" t="n"/>
      <c r="X215" s="692" t="n"/>
      <c r="Y215" s="692" t="n"/>
      <c r="Z215" s="692" t="n"/>
      <c r="AA215" s="692" t="n"/>
      <c r="AB215" s="692" t="n"/>
      <c r="AC215" s="692" t="n"/>
      <c r="AD215" s="692" t="n"/>
      <c r="AE215" s="692" t="n"/>
      <c r="AF215" s="692" t="n"/>
      <c r="AG215" s="692" t="n"/>
      <c r="AH215" s="692" t="n"/>
      <c r="AI215" s="692" t="n"/>
      <c r="AJ215" s="692" t="n"/>
      <c r="AK215" s="692" t="n"/>
      <c r="AL215" s="692" t="n"/>
      <c r="AM215" s="692" t="n"/>
      <c r="AN215" s="692" t="n"/>
      <c r="AO215" s="692" t="n"/>
      <c r="AP215" s="692" t="n"/>
      <c r="AQ215" s="692" t="n"/>
      <c r="AR215" s="692" t="n"/>
      <c r="AS215" s="692" t="n"/>
    </row>
    <row r="216">
      <c r="A216" s="420" t="inlineStr">
        <is>
          <t>F</t>
        </is>
      </c>
      <c r="B216" s="593" t="inlineStr">
        <is>
          <t>100 Back</t>
        </is>
      </c>
      <c r="C216" s="593" t="n">
        <v>16</v>
      </c>
      <c r="D216" s="219" t="n">
        <v>2</v>
      </c>
      <c r="E216" s="128" t="inlineStr">
        <is>
          <t>1:02.06</t>
        </is>
      </c>
      <c r="F216" s="692" t="n"/>
      <c r="G216" s="692" t="n"/>
      <c r="H216" s="692" t="n"/>
      <c r="I216" s="692" t="n"/>
      <c r="J216" s="692" t="n"/>
      <c r="K216" s="692" t="n"/>
      <c r="L216" s="692" t="n"/>
      <c r="M216" s="692" t="n"/>
      <c r="N216" s="692" t="n"/>
      <c r="O216" s="692" t="n"/>
      <c r="P216" s="692" t="n"/>
      <c r="Q216" s="692" t="n"/>
      <c r="R216" s="692" t="n"/>
      <c r="S216" s="692" t="n"/>
      <c r="T216" s="692" t="n"/>
      <c r="U216" s="692" t="n"/>
      <c r="V216" s="692" t="n"/>
      <c r="W216" s="692" t="n"/>
      <c r="X216" s="692" t="n"/>
      <c r="Y216" s="692" t="n"/>
      <c r="Z216" s="692" t="n"/>
      <c r="AA216" s="692" t="n"/>
      <c r="AB216" s="692" t="n"/>
      <c r="AC216" s="692" t="n"/>
      <c r="AD216" s="692" t="n"/>
      <c r="AE216" s="692" t="n"/>
      <c r="AF216" s="692" t="n"/>
      <c r="AG216" s="692" t="n"/>
      <c r="AH216" s="692" t="n"/>
      <c r="AI216" s="692" t="n"/>
      <c r="AJ216" s="692" t="n"/>
      <c r="AK216" s="692" t="n"/>
      <c r="AL216" s="692" t="n"/>
      <c r="AM216" s="692" t="n"/>
      <c r="AN216" s="692" t="n"/>
      <c r="AO216" s="692" t="n"/>
      <c r="AP216" s="692" t="n"/>
      <c r="AQ216" s="692" t="n"/>
      <c r="AR216" s="692" t="n"/>
      <c r="AS216" s="692" t="n"/>
    </row>
    <row r="217">
      <c r="A217" s="427" t="inlineStr">
        <is>
          <t>F</t>
        </is>
      </c>
      <c r="B217" s="616" t="inlineStr">
        <is>
          <t>100 Back</t>
        </is>
      </c>
      <c r="C217" s="616" t="n">
        <v>17</v>
      </c>
      <c r="D217" s="616" t="n">
        <v>2</v>
      </c>
      <c r="E217" s="127" t="inlineStr">
        <is>
          <t>1:01.29</t>
        </is>
      </c>
      <c r="F217" s="692" t="n"/>
      <c r="G217" s="692" t="n"/>
      <c r="H217" s="692" t="n"/>
      <c r="I217" s="692" t="n"/>
      <c r="J217" s="692" t="n"/>
      <c r="K217" s="692" t="n"/>
      <c r="L217" s="692" t="n"/>
      <c r="M217" s="692" t="n"/>
      <c r="N217" s="692" t="n"/>
      <c r="O217" s="692" t="n"/>
      <c r="P217" s="692" t="n"/>
      <c r="Q217" s="692" t="n"/>
      <c r="R217" s="692" t="n"/>
      <c r="S217" s="692" t="n"/>
      <c r="T217" s="692" t="n"/>
      <c r="U217" s="692" t="n"/>
      <c r="V217" s="692" t="n"/>
      <c r="W217" s="692" t="n"/>
      <c r="X217" s="692" t="n"/>
      <c r="Y217" s="692" t="n"/>
      <c r="Z217" s="692" t="n"/>
      <c r="AA217" s="692" t="n"/>
      <c r="AB217" s="692" t="n"/>
      <c r="AC217" s="692" t="n"/>
      <c r="AD217" s="692" t="n"/>
      <c r="AE217" s="692" t="n"/>
      <c r="AF217" s="692" t="n"/>
      <c r="AG217" s="692" t="n"/>
      <c r="AH217" s="692" t="n"/>
      <c r="AI217" s="692" t="n"/>
      <c r="AJ217" s="692" t="n"/>
      <c r="AK217" s="692" t="n"/>
      <c r="AL217" s="692" t="n"/>
      <c r="AM217" s="692" t="n"/>
      <c r="AN217" s="692" t="n"/>
      <c r="AO217" s="692" t="n"/>
      <c r="AP217" s="692" t="n"/>
      <c r="AQ217" s="692" t="n"/>
      <c r="AR217" s="692" t="n"/>
      <c r="AS217" s="692" t="n"/>
    </row>
    <row r="218">
      <c r="A218" s="420" t="inlineStr">
        <is>
          <t>F</t>
        </is>
      </c>
      <c r="B218" s="593" t="inlineStr">
        <is>
          <t>100 Back</t>
        </is>
      </c>
      <c r="C218" s="593" t="n">
        <v>18</v>
      </c>
      <c r="D218" s="219" t="n">
        <v>2</v>
      </c>
      <c r="E218" s="128" t="inlineStr">
        <is>
          <t>1:00.79</t>
        </is>
      </c>
      <c r="F218" s="692" t="n"/>
      <c r="G218" s="692" t="n"/>
      <c r="H218" s="692" t="n"/>
      <c r="I218" s="692" t="n"/>
      <c r="J218" s="692" t="n"/>
      <c r="K218" s="692" t="n"/>
      <c r="L218" s="692" t="n"/>
      <c r="M218" s="692" t="n"/>
      <c r="N218" s="692" t="n"/>
      <c r="O218" s="692" t="n"/>
      <c r="P218" s="692" t="n"/>
      <c r="Q218" s="692" t="n"/>
      <c r="R218" s="692" t="n"/>
      <c r="S218" s="692" t="n"/>
      <c r="T218" s="692" t="n"/>
      <c r="U218" s="692" t="n"/>
      <c r="V218" s="692" t="n"/>
      <c r="W218" s="692" t="n"/>
      <c r="X218" s="692" t="n"/>
      <c r="Y218" s="692" t="n"/>
      <c r="Z218" s="692" t="n"/>
      <c r="AA218" s="692" t="n"/>
      <c r="AB218" s="692" t="n"/>
      <c r="AC218" s="692" t="n"/>
      <c r="AD218" s="692" t="n"/>
      <c r="AE218" s="692" t="n"/>
      <c r="AF218" s="692" t="n"/>
      <c r="AG218" s="692" t="n"/>
      <c r="AH218" s="692" t="n"/>
      <c r="AI218" s="692" t="n"/>
      <c r="AJ218" s="692" t="n"/>
      <c r="AK218" s="692" t="n"/>
      <c r="AL218" s="692" t="n"/>
      <c r="AM218" s="692" t="n"/>
      <c r="AN218" s="692" t="n"/>
      <c r="AO218" s="692" t="n"/>
      <c r="AP218" s="692" t="n"/>
      <c r="AQ218" s="692" t="n"/>
      <c r="AR218" s="692" t="n"/>
      <c r="AS218" s="692" t="n"/>
    </row>
    <row r="219">
      <c r="A219" s="427" t="inlineStr">
        <is>
          <t>F</t>
        </is>
      </c>
      <c r="B219" s="616" t="inlineStr">
        <is>
          <t>100 Back</t>
        </is>
      </c>
      <c r="C219" s="616" t="n">
        <v>19</v>
      </c>
      <c r="D219" s="616" t="n">
        <v>2</v>
      </c>
      <c r="E219" s="127" t="inlineStr">
        <is>
          <t>1:00.46</t>
        </is>
      </c>
      <c r="F219" s="692" t="n"/>
      <c r="G219" s="692" t="n"/>
      <c r="H219" s="692" t="n"/>
      <c r="I219" s="692" t="n"/>
      <c r="J219" s="692" t="n"/>
      <c r="K219" s="692" t="n"/>
      <c r="L219" s="692" t="n"/>
      <c r="M219" s="692" t="n"/>
      <c r="N219" s="692" t="n"/>
      <c r="O219" s="692" t="n"/>
      <c r="P219" s="692" t="n"/>
      <c r="Q219" s="692" t="n"/>
      <c r="R219" s="692" t="n"/>
      <c r="S219" s="692" t="n"/>
      <c r="T219" s="692" t="n"/>
      <c r="U219" s="692" t="n"/>
      <c r="W219" s="692" t="n"/>
      <c r="X219" s="692" t="n"/>
      <c r="Y219" s="692" t="n"/>
      <c r="Z219" s="692" t="n"/>
      <c r="AA219" s="692" t="n"/>
      <c r="AB219" s="692" t="n"/>
      <c r="AC219" s="692" t="n"/>
      <c r="AD219" s="692" t="n"/>
      <c r="AE219" s="692" t="n"/>
      <c r="AF219" s="692" t="n"/>
      <c r="AG219" s="692" t="n"/>
      <c r="AH219" s="692" t="n"/>
      <c r="AI219" s="692" t="n"/>
      <c r="AJ219" s="692" t="n"/>
      <c r="AK219" s="692" t="n"/>
      <c r="AL219" s="692" t="n"/>
      <c r="AM219" s="692" t="n"/>
      <c r="AN219" s="692" t="n"/>
      <c r="AO219" s="692" t="n"/>
      <c r="AP219" s="692" t="n"/>
      <c r="AQ219" s="692" t="n"/>
      <c r="AR219" s="692" t="n"/>
    </row>
    <row r="220">
      <c r="A220" s="420" t="inlineStr">
        <is>
          <t>F</t>
        </is>
      </c>
      <c r="B220" s="593" t="inlineStr">
        <is>
          <t>200 Back</t>
        </is>
      </c>
      <c r="C220" s="593" t="n">
        <v>14</v>
      </c>
      <c r="D220" s="219" t="n">
        <v>2</v>
      </c>
      <c r="E220" s="128" t="inlineStr">
        <is>
          <t>2:20.52</t>
        </is>
      </c>
      <c r="F220" s="692" t="n"/>
      <c r="G220" s="692" t="n"/>
      <c r="H220" s="692" t="n"/>
      <c r="I220" s="692" t="n"/>
      <c r="J220" s="692" t="n"/>
      <c r="K220" s="692" t="n"/>
      <c r="L220" s="692" t="n"/>
      <c r="M220" s="692" t="n"/>
      <c r="N220" s="692" t="n"/>
      <c r="O220" s="692" t="n"/>
      <c r="P220" s="692" t="n"/>
      <c r="Q220" s="692" t="n"/>
      <c r="U220" s="692" t="n"/>
      <c r="W220" s="692" t="n"/>
      <c r="X220" s="692" t="n"/>
      <c r="Y220" s="692" t="n"/>
      <c r="Z220" s="692" t="n"/>
      <c r="AA220" s="692" t="n"/>
      <c r="AB220" s="692" t="n"/>
      <c r="AC220" s="692" t="n"/>
      <c r="AD220" s="692" t="n"/>
      <c r="AE220" s="692" t="n"/>
      <c r="AF220" s="692" t="n"/>
      <c r="AG220" s="692" t="n"/>
      <c r="AH220" s="692" t="n"/>
      <c r="AI220" s="692" t="n"/>
      <c r="AJ220" s="692" t="n"/>
      <c r="AK220" s="692" t="n"/>
      <c r="AL220" s="692" t="n"/>
      <c r="AM220" s="692" t="n"/>
      <c r="AN220" s="692" t="n"/>
      <c r="AO220" s="692" t="n"/>
      <c r="AP220" s="692" t="n"/>
      <c r="AQ220" s="692" t="n"/>
      <c r="AR220" s="692" t="n"/>
    </row>
    <row r="221">
      <c r="A221" s="427" t="inlineStr">
        <is>
          <t>F</t>
        </is>
      </c>
      <c r="B221" s="616" t="inlineStr">
        <is>
          <t>200 Back</t>
        </is>
      </c>
      <c r="C221" s="616" t="n">
        <v>15</v>
      </c>
      <c r="D221" s="616" t="n">
        <v>2</v>
      </c>
      <c r="E221" s="127" t="inlineStr">
        <is>
          <t>2:16.80</t>
        </is>
      </c>
      <c r="F221" s="692" t="n"/>
      <c r="H221" s="692" t="n"/>
      <c r="L221" s="692" t="n"/>
      <c r="W221" s="692" t="n"/>
      <c r="X221" s="692" t="n"/>
      <c r="Y221" s="692" t="n"/>
      <c r="Z221" s="692" t="n"/>
      <c r="AA221" s="692" t="n"/>
      <c r="AB221" s="692" t="n"/>
      <c r="AC221" s="692" t="n"/>
      <c r="AD221" s="692" t="n"/>
      <c r="AE221" s="692" t="n"/>
      <c r="AF221" s="692" t="n"/>
      <c r="AG221" s="692" t="n"/>
      <c r="AH221" s="692" t="n"/>
      <c r="AI221" s="692" t="n"/>
      <c r="AJ221" s="692" t="n"/>
      <c r="AK221" s="692" t="n"/>
      <c r="AL221" s="692" t="n"/>
      <c r="AM221" s="692" t="n"/>
      <c r="AN221" s="692" t="n"/>
      <c r="AO221" s="692" t="n"/>
      <c r="AP221" s="692" t="n"/>
      <c r="AQ221" s="692" t="n"/>
      <c r="AR221" s="692" t="n"/>
    </row>
    <row r="222">
      <c r="A222" s="420" t="inlineStr">
        <is>
          <t>F</t>
        </is>
      </c>
      <c r="B222" s="593" t="inlineStr">
        <is>
          <t>200 Back</t>
        </is>
      </c>
      <c r="C222" s="593" t="n">
        <v>16</v>
      </c>
      <c r="D222" s="219" t="n">
        <v>2</v>
      </c>
      <c r="E222" s="128" t="inlineStr">
        <is>
          <t>2:14.43</t>
        </is>
      </c>
      <c r="H222" s="692" t="n"/>
      <c r="W222" s="158" t="n"/>
      <c r="X222" s="158" t="n"/>
      <c r="Y222" s="692" t="n"/>
      <c r="Z222" s="692" t="n"/>
      <c r="AA222" s="692" t="n"/>
      <c r="AB222" s="692" t="n"/>
      <c r="AC222" s="692" t="n"/>
      <c r="AD222" s="692" t="n"/>
      <c r="AE222" s="692" t="n"/>
      <c r="AF222" s="692" t="n"/>
      <c r="AG222" s="692" t="n"/>
      <c r="AH222" s="692" t="n"/>
      <c r="AI222" s="692" t="n"/>
      <c r="AJ222" s="692" t="n"/>
      <c r="AK222" s="692" t="n"/>
      <c r="AL222" s="692" t="n"/>
      <c r="AM222" s="692" t="n"/>
      <c r="AN222" s="692" t="n"/>
      <c r="AO222" s="692" t="n"/>
      <c r="AP222" s="692" t="n"/>
      <c r="AQ222" s="692" t="n"/>
      <c r="AR222" s="692" t="n"/>
    </row>
    <row r="223">
      <c r="A223" s="427" t="inlineStr">
        <is>
          <t>F</t>
        </is>
      </c>
      <c r="B223" s="616" t="inlineStr">
        <is>
          <t>200 Back</t>
        </is>
      </c>
      <c r="C223" s="616" t="n">
        <v>17</v>
      </c>
      <c r="D223" s="616" t="n">
        <v>2</v>
      </c>
      <c r="E223" s="127" t="inlineStr">
        <is>
          <t>2:12.86</t>
        </is>
      </c>
      <c r="F223" s="692" t="n"/>
      <c r="H223" s="692" t="n"/>
      <c r="W223" s="158" t="n"/>
      <c r="X223" s="158" t="n"/>
      <c r="Y223" s="692" t="n"/>
      <c r="Z223" s="692" t="n"/>
      <c r="AA223" s="692" t="n"/>
      <c r="AB223" s="692" t="n"/>
      <c r="AC223" s="692" t="n"/>
      <c r="AD223" s="692" t="n"/>
      <c r="AE223" s="692" t="n"/>
      <c r="AF223" s="692" t="n"/>
      <c r="AG223" s="692" t="n"/>
      <c r="AH223" s="692" t="n"/>
      <c r="AI223" s="692" t="n"/>
      <c r="AJ223" s="692" t="n"/>
      <c r="AK223" s="692" t="n"/>
      <c r="AL223" s="692" t="n"/>
      <c r="AM223" s="692" t="n"/>
      <c r="AN223" s="692" t="n"/>
      <c r="AO223" s="692" t="n"/>
      <c r="AP223" s="692" t="n"/>
      <c r="AQ223" s="692" t="n"/>
      <c r="AR223" s="692" t="n"/>
    </row>
    <row r="224">
      <c r="A224" s="420" t="inlineStr">
        <is>
          <t>F</t>
        </is>
      </c>
      <c r="B224" s="593" t="inlineStr">
        <is>
          <t>200 Back</t>
        </is>
      </c>
      <c r="C224" s="593" t="n">
        <v>18</v>
      </c>
      <c r="D224" s="219" t="n">
        <v>2</v>
      </c>
      <c r="E224" s="128" t="inlineStr">
        <is>
          <t>2:11.79</t>
        </is>
      </c>
      <c r="F224" s="692" t="n"/>
      <c r="H224" s="692" t="n"/>
      <c r="W224" s="692" t="n"/>
      <c r="X224" s="692" t="n"/>
      <c r="Y224" s="692" t="n"/>
      <c r="Z224" s="692" t="n"/>
      <c r="AA224" s="692" t="n"/>
      <c r="AB224" s="692" t="n"/>
      <c r="AC224" s="692" t="n"/>
      <c r="AD224" s="692" t="n"/>
      <c r="AE224" s="692" t="n"/>
      <c r="AF224" s="692" t="n"/>
      <c r="AG224" s="692" t="n"/>
      <c r="AH224" s="692" t="n"/>
      <c r="AI224" s="692" t="n"/>
      <c r="AJ224" s="692" t="n"/>
      <c r="AK224" s="692" t="n"/>
      <c r="AL224" s="692" t="n"/>
      <c r="AM224" s="692" t="n"/>
      <c r="AN224" s="692" t="n"/>
      <c r="AO224" s="692" t="n"/>
      <c r="AP224" s="692" t="n"/>
      <c r="AQ224" s="692" t="n"/>
      <c r="AR224" s="692" t="n"/>
    </row>
    <row r="225">
      <c r="A225" s="427" t="inlineStr">
        <is>
          <t>F</t>
        </is>
      </c>
      <c r="B225" s="616" t="inlineStr">
        <is>
          <t>200 Back</t>
        </is>
      </c>
      <c r="C225" s="616" t="n">
        <v>19</v>
      </c>
      <c r="D225" s="616" t="n">
        <v>2</v>
      </c>
      <c r="E225" s="127" t="inlineStr">
        <is>
          <t>2:11.08</t>
        </is>
      </c>
      <c r="F225" s="692" t="n"/>
      <c r="H225" s="692" t="n"/>
      <c r="W225" s="692" t="n"/>
      <c r="X225" s="692" t="n"/>
      <c r="Y225" s="692" t="n"/>
      <c r="Z225" s="692" t="n"/>
      <c r="AA225" s="692" t="n"/>
      <c r="AB225" s="692" t="n"/>
      <c r="AC225" s="692" t="n"/>
      <c r="AD225" s="692" t="n"/>
      <c r="AE225" s="692" t="n"/>
      <c r="AF225" s="692" t="n"/>
      <c r="AG225" s="692" t="n"/>
      <c r="AH225" s="692" t="n"/>
      <c r="AI225" s="692" t="n"/>
      <c r="AJ225" s="692" t="n"/>
      <c r="AK225" s="692" t="n"/>
      <c r="AL225" s="692" t="n"/>
      <c r="AM225" s="692" t="n"/>
      <c r="AN225" s="692" t="n"/>
      <c r="AO225" s="692" t="n"/>
      <c r="AP225" s="692" t="n"/>
      <c r="AQ225" s="692" t="n"/>
      <c r="AR225" s="692" t="n"/>
    </row>
    <row r="226">
      <c r="A226" s="420" t="inlineStr">
        <is>
          <t>F</t>
        </is>
      </c>
      <c r="B226" s="593" t="inlineStr">
        <is>
          <t>50 Breast</t>
        </is>
      </c>
      <c r="C226" s="593" t="n">
        <v>17</v>
      </c>
      <c r="D226" s="219" t="n">
        <v>2</v>
      </c>
      <c r="E226" s="128" t="inlineStr">
        <is>
          <t>31.35</t>
        </is>
      </c>
      <c r="F226" s="692" t="n"/>
      <c r="H226" s="692" t="n"/>
      <c r="W226" s="692" t="n"/>
      <c r="X226" s="692" t="n"/>
      <c r="Y226" s="692" t="n"/>
      <c r="Z226" s="692" t="n"/>
      <c r="AA226" s="692" t="n"/>
      <c r="AB226" s="692" t="n"/>
      <c r="AC226" s="692" t="n"/>
      <c r="AD226" s="692" t="n"/>
      <c r="AE226" s="692" t="n"/>
      <c r="AF226" s="692" t="n"/>
      <c r="AG226" s="692" t="n"/>
      <c r="AH226" s="692" t="n"/>
      <c r="AI226" s="692" t="n"/>
      <c r="AJ226" s="692" t="n"/>
      <c r="AK226" s="692" t="n"/>
      <c r="AL226" s="692" t="n"/>
      <c r="AM226" s="692" t="n"/>
      <c r="AN226" s="692" t="n"/>
      <c r="AO226" s="692" t="n"/>
      <c r="AP226" s="692" t="n"/>
      <c r="AQ226" s="692" t="n"/>
      <c r="AR226" s="692" t="n"/>
    </row>
    <row r="227">
      <c r="A227" s="427" t="inlineStr">
        <is>
          <t>F</t>
        </is>
      </c>
      <c r="B227" s="616" t="inlineStr">
        <is>
          <t>50 Breast</t>
        </is>
      </c>
      <c r="C227" s="616" t="n">
        <v>18</v>
      </c>
      <c r="D227" s="616" t="n">
        <v>2</v>
      </c>
      <c r="E227" s="127" t="inlineStr">
        <is>
          <t>31.15</t>
        </is>
      </c>
      <c r="F227" s="692" t="n"/>
      <c r="H227" s="692" t="n"/>
      <c r="W227" s="158" t="n"/>
      <c r="X227" s="158" t="n"/>
      <c r="Y227" s="692" t="n"/>
      <c r="Z227" s="692" t="n"/>
      <c r="AA227" s="692" t="n"/>
      <c r="AB227" s="692" t="n"/>
      <c r="AC227" s="692" t="n"/>
      <c r="AD227" s="692" t="n"/>
      <c r="AE227" s="692" t="n"/>
      <c r="AF227" s="692" t="n"/>
      <c r="AG227" s="692" t="n"/>
      <c r="AH227" s="692" t="n"/>
      <c r="AI227" s="692" t="n"/>
      <c r="AJ227" s="692" t="n"/>
      <c r="AK227" s="692" t="n"/>
      <c r="AL227" s="692" t="n"/>
      <c r="AM227" s="692" t="n"/>
      <c r="AN227" s="692" t="n"/>
      <c r="AO227" s="692" t="n"/>
      <c r="AP227" s="692" t="n"/>
      <c r="AQ227" s="692" t="n"/>
      <c r="AR227" s="692" t="n"/>
    </row>
    <row r="228">
      <c r="A228" s="420" t="inlineStr">
        <is>
          <t>F</t>
        </is>
      </c>
      <c r="B228" s="593" t="inlineStr">
        <is>
          <t>50 Breast</t>
        </is>
      </c>
      <c r="C228" s="593" t="n">
        <v>19</v>
      </c>
      <c r="D228" s="219" t="n">
        <v>2</v>
      </c>
      <c r="E228" s="128" t="n">
        <v>31.01</v>
      </c>
      <c r="F228" s="692" t="n"/>
      <c r="H228" s="692" t="n"/>
      <c r="W228" s="158" t="n"/>
      <c r="X228" s="158" t="n"/>
      <c r="Y228" s="692" t="n"/>
      <c r="Z228" s="692" t="n"/>
      <c r="AA228" s="692" t="n"/>
      <c r="AB228" s="692" t="n"/>
      <c r="AC228" s="692" t="n"/>
      <c r="AD228" s="692" t="n"/>
      <c r="AE228" s="692" t="n"/>
      <c r="AF228" s="692" t="n"/>
      <c r="AG228" s="692" t="n"/>
      <c r="AH228" s="692" t="n"/>
      <c r="AI228" s="692" t="n"/>
      <c r="AJ228" s="692" t="n"/>
      <c r="AK228" s="692" t="n"/>
      <c r="AL228" s="692" t="n"/>
      <c r="AM228" s="692" t="n"/>
      <c r="AN228" s="692" t="n"/>
      <c r="AO228" s="692" t="n"/>
      <c r="AP228" s="692" t="n"/>
      <c r="AQ228" s="692" t="n"/>
      <c r="AR228" s="692" t="n"/>
    </row>
    <row r="229">
      <c r="A229" s="427" t="inlineStr">
        <is>
          <t>F</t>
        </is>
      </c>
      <c r="B229" s="616" t="inlineStr">
        <is>
          <t>50 Breast</t>
        </is>
      </c>
      <c r="C229" s="616" t="n">
        <v>20</v>
      </c>
      <c r="D229" s="616" t="n">
        <v>2</v>
      </c>
      <c r="E229" s="127" t="inlineStr">
        <is>
          <t>30.90</t>
        </is>
      </c>
      <c r="F229" s="692" t="n"/>
      <c r="H229" s="692" t="n"/>
      <c r="W229" s="692" t="n"/>
      <c r="X229" s="692" t="n"/>
      <c r="Y229" s="692" t="n"/>
      <c r="Z229" s="692" t="n"/>
      <c r="AA229" s="692" t="n"/>
      <c r="AB229" s="692" t="n"/>
      <c r="AC229" s="692" t="n"/>
      <c r="AD229" s="692" t="n"/>
      <c r="AE229" s="692" t="n"/>
      <c r="AF229" s="692" t="n"/>
      <c r="AG229" s="692" t="n"/>
      <c r="AH229" s="692" t="n"/>
      <c r="AI229" s="692" t="n"/>
      <c r="AJ229" s="692" t="n"/>
      <c r="AK229" s="692" t="n"/>
      <c r="AL229" s="692" t="n"/>
      <c r="AM229" s="692" t="n"/>
      <c r="AN229" s="692" t="n"/>
      <c r="AO229" s="692" t="n"/>
      <c r="AP229" s="692" t="n"/>
      <c r="AQ229" s="692" t="n"/>
      <c r="AR229" s="692" t="n"/>
    </row>
    <row r="230">
      <c r="A230" s="420" t="inlineStr">
        <is>
          <t>F</t>
        </is>
      </c>
      <c r="B230" s="593" t="inlineStr">
        <is>
          <t>50 Breast</t>
        </is>
      </c>
      <c r="C230" s="593" t="n">
        <v>21</v>
      </c>
      <c r="D230" s="219" t="n">
        <v>2</v>
      </c>
      <c r="E230" s="128" t="inlineStr">
        <is>
          <t>30.81</t>
        </is>
      </c>
      <c r="F230" s="692" t="n"/>
      <c r="H230" s="692" t="n"/>
      <c r="W230" s="692" t="n"/>
      <c r="X230" s="692" t="n"/>
      <c r="Y230" s="692" t="n"/>
      <c r="Z230" s="692" t="n"/>
      <c r="AA230" s="692" t="n"/>
      <c r="AB230" s="692" t="n"/>
      <c r="AC230" s="692" t="n"/>
      <c r="AD230" s="692" t="n"/>
      <c r="AE230" s="692" t="n"/>
      <c r="AF230" s="692" t="n"/>
      <c r="AG230" s="692" t="n"/>
      <c r="AH230" s="692" t="n"/>
      <c r="AI230" s="692" t="n"/>
      <c r="AJ230" s="692" t="n"/>
      <c r="AK230" s="692" t="n"/>
      <c r="AL230" s="692" t="n"/>
      <c r="AM230" s="692" t="n"/>
      <c r="AN230" s="692" t="n"/>
      <c r="AO230" s="692" t="n"/>
      <c r="AP230" s="692" t="n"/>
      <c r="AQ230" s="692" t="n"/>
      <c r="AR230" s="692" t="n"/>
    </row>
    <row r="231">
      <c r="A231" s="427" t="inlineStr">
        <is>
          <t>F</t>
        </is>
      </c>
      <c r="B231" s="616" t="inlineStr">
        <is>
          <t>50 Breast</t>
        </is>
      </c>
      <c r="C231" s="616" t="n">
        <v>22</v>
      </c>
      <c r="D231" s="616" t="n">
        <v>2</v>
      </c>
      <c r="E231" s="127" t="inlineStr">
        <is>
          <t>30.75</t>
        </is>
      </c>
      <c r="F231" s="692" t="n"/>
      <c r="H231" s="692" t="n"/>
      <c r="V231" s="692" t="n"/>
      <c r="W231" s="692" t="n"/>
      <c r="X231" s="692" t="n"/>
      <c r="Y231" s="692" t="n"/>
      <c r="Z231" s="692" t="n"/>
      <c r="AA231" s="692" t="n"/>
      <c r="AB231" s="692" t="n"/>
      <c r="AC231" s="692" t="n"/>
      <c r="AD231" s="692" t="n"/>
      <c r="AE231" s="692" t="n"/>
      <c r="AF231" s="692" t="n"/>
      <c r="AG231" s="692" t="n"/>
      <c r="AH231" s="692" t="n"/>
      <c r="AI231" s="692" t="n"/>
      <c r="AJ231" s="692" t="n"/>
      <c r="AK231" s="692" t="n"/>
      <c r="AL231" s="692" t="n"/>
      <c r="AM231" s="692" t="n"/>
      <c r="AN231" s="692" t="n"/>
      <c r="AO231" s="692" t="n"/>
      <c r="AP231" s="692" t="n"/>
      <c r="AQ231" s="692" t="n"/>
      <c r="AR231" s="692" t="n"/>
    </row>
    <row r="232">
      <c r="A232" s="420" t="inlineStr">
        <is>
          <t>F</t>
        </is>
      </c>
      <c r="B232" s="593" t="inlineStr">
        <is>
          <t>100 Breast</t>
        </is>
      </c>
      <c r="C232" s="593" t="n">
        <v>16</v>
      </c>
      <c r="D232" s="219" t="n">
        <v>2</v>
      </c>
      <c r="E232" s="128" t="inlineStr">
        <is>
          <t>1:09.15</t>
        </is>
      </c>
      <c r="F232" s="692" t="n"/>
      <c r="H232" s="692" t="n"/>
      <c r="R232" s="692" t="n"/>
      <c r="S232" s="692" t="n"/>
      <c r="T232" s="692" t="n"/>
      <c r="Y232" s="692" t="n"/>
      <c r="Z232" s="692" t="n"/>
      <c r="AA232" s="692" t="n"/>
      <c r="AB232" s="692" t="n"/>
      <c r="AC232" s="692" t="n"/>
      <c r="AD232" s="692" t="n"/>
      <c r="AE232" s="692" t="n"/>
      <c r="AF232" s="692" t="n"/>
      <c r="AG232" s="692" t="n"/>
      <c r="AH232" s="692" t="n"/>
      <c r="AI232" s="692" t="n"/>
      <c r="AJ232" s="692" t="n"/>
      <c r="AK232" s="692" t="n"/>
      <c r="AL232" s="692" t="n"/>
      <c r="AM232" s="692" t="n"/>
      <c r="AN232" s="692" t="n"/>
      <c r="AO232" s="692" t="n"/>
      <c r="AP232" s="692" t="n"/>
      <c r="AQ232" s="692" t="n"/>
      <c r="AR232" s="692" t="n"/>
    </row>
    <row r="233">
      <c r="A233" s="427" t="inlineStr">
        <is>
          <t>F</t>
        </is>
      </c>
      <c r="B233" s="616" t="inlineStr">
        <is>
          <t>100 Breast</t>
        </is>
      </c>
      <c r="C233" s="616" t="n">
        <v>17</v>
      </c>
      <c r="D233" s="616" t="n">
        <v>2</v>
      </c>
      <c r="E233" s="127" t="inlineStr">
        <is>
          <t>1:08.40</t>
        </is>
      </c>
      <c r="F233" s="692" t="n"/>
      <c r="G233" s="692" t="n"/>
      <c r="H233" s="692" t="n"/>
      <c r="I233" s="692" t="n"/>
      <c r="J233" s="692" t="n"/>
      <c r="K233" s="692" t="n"/>
      <c r="M233" s="692" t="n"/>
      <c r="N233" s="692" t="n"/>
      <c r="O233" s="692" t="n"/>
      <c r="P233" s="692" t="n"/>
      <c r="Q233" s="692" t="n"/>
      <c r="U233" s="692" t="n"/>
      <c r="Y233" s="692" t="n"/>
      <c r="Z233" s="692" t="n"/>
      <c r="AA233" s="692" t="n"/>
      <c r="AB233" s="692" t="n"/>
      <c r="AC233" s="692" t="n"/>
      <c r="AD233" s="692" t="n"/>
      <c r="AE233" s="692" t="n"/>
      <c r="AF233" s="692" t="n"/>
      <c r="AG233" s="692" t="n"/>
      <c r="AH233" s="692" t="n"/>
      <c r="AI233" s="692" t="n"/>
      <c r="AJ233" s="692" t="n"/>
      <c r="AK233" s="692" t="n"/>
      <c r="AL233" s="692" t="n"/>
      <c r="AM233" s="692" t="n"/>
      <c r="AN233" s="692" t="n"/>
      <c r="AO233" s="692" t="n"/>
      <c r="AP233" s="692" t="n"/>
      <c r="AQ233" s="692" t="n"/>
      <c r="AR233" s="692" t="n"/>
      <c r="AS233" s="692" t="n"/>
    </row>
    <row r="234">
      <c r="A234" s="420" t="inlineStr">
        <is>
          <t>F</t>
        </is>
      </c>
      <c r="B234" s="593" t="inlineStr">
        <is>
          <t>100 Breast</t>
        </is>
      </c>
      <c r="C234" s="593" t="n">
        <v>18</v>
      </c>
      <c r="D234" s="219" t="n">
        <v>2</v>
      </c>
      <c r="E234" s="128" t="inlineStr">
        <is>
          <t>1:07.92</t>
        </is>
      </c>
      <c r="F234" s="692" t="n"/>
      <c r="H234" s="692" t="n"/>
      <c r="L234" s="692" t="n"/>
      <c r="AB234" s="692" t="n"/>
      <c r="AC234" s="692" t="n"/>
      <c r="AD234" s="692" t="n"/>
      <c r="AE234" s="692" t="n"/>
      <c r="AF234" s="692" t="n"/>
      <c r="AG234" s="692" t="n"/>
      <c r="AH234" s="692" t="n"/>
      <c r="AI234" s="692" t="n"/>
      <c r="AJ234" s="692" t="n"/>
      <c r="AK234" s="692" t="n"/>
      <c r="AL234" s="692" t="n"/>
      <c r="AM234" s="692" t="n"/>
      <c r="AN234" s="692" t="n"/>
      <c r="AO234" s="692" t="n"/>
      <c r="AP234" s="692" t="n"/>
      <c r="AQ234" s="692" t="n"/>
      <c r="AR234" s="692" t="n"/>
      <c r="AS234" s="692" t="n"/>
    </row>
    <row r="235">
      <c r="A235" s="427" t="inlineStr">
        <is>
          <t>F</t>
        </is>
      </c>
      <c r="B235" s="616" t="inlineStr">
        <is>
          <t>100 Breast</t>
        </is>
      </c>
      <c r="C235" s="616" t="n">
        <v>19</v>
      </c>
      <c r="D235" s="616" t="n">
        <v>2</v>
      </c>
      <c r="E235" s="127" t="inlineStr">
        <is>
          <t>1:07.55</t>
        </is>
      </c>
      <c r="F235" s="692" t="n"/>
      <c r="H235" s="692" t="n"/>
      <c r="AB235" s="692" t="n"/>
      <c r="AC235" s="692" t="n"/>
      <c r="AD235" s="692" t="n"/>
      <c r="AE235" s="692" t="n"/>
      <c r="AF235" s="692" t="n"/>
      <c r="AG235" s="692" t="n"/>
      <c r="AH235" s="692" t="n"/>
      <c r="AI235" s="692" t="n"/>
      <c r="AJ235" s="692" t="n"/>
      <c r="AK235" s="692" t="n"/>
      <c r="AL235" s="692" t="n"/>
      <c r="AM235" s="692" t="n"/>
      <c r="AN235" s="692" t="n"/>
      <c r="AO235" s="692" t="n"/>
      <c r="AP235" s="692" t="n"/>
      <c r="AQ235" s="692" t="n"/>
      <c r="AR235" s="692" t="n"/>
      <c r="AS235" s="692" t="n"/>
    </row>
    <row r="236">
      <c r="A236" s="420" t="inlineStr">
        <is>
          <t>F</t>
        </is>
      </c>
      <c r="B236" s="593" t="inlineStr">
        <is>
          <t>100 Breast</t>
        </is>
      </c>
      <c r="C236" s="593" t="n">
        <v>20</v>
      </c>
      <c r="D236" s="219" t="n">
        <v>2</v>
      </c>
      <c r="E236" s="128" t="inlineStr">
        <is>
          <t>1:07.20</t>
        </is>
      </c>
      <c r="F236" s="692" t="n"/>
      <c r="H236" s="692" t="n"/>
      <c r="AB236" s="692" t="n"/>
      <c r="AC236" s="692" t="n"/>
      <c r="AD236" s="692" t="n"/>
      <c r="AE236" s="692" t="n"/>
      <c r="AF236" s="692" t="n"/>
      <c r="AG236" s="692" t="n"/>
      <c r="AH236" s="692" t="n"/>
      <c r="AI236" s="692" t="n"/>
      <c r="AJ236" s="692" t="n"/>
      <c r="AK236" s="692" t="n"/>
      <c r="AL236" s="692" t="n"/>
      <c r="AM236" s="692" t="n"/>
      <c r="AN236" s="692" t="n"/>
      <c r="AO236" s="692" t="n"/>
      <c r="AP236" s="692" t="n"/>
      <c r="AQ236" s="692" t="n"/>
      <c r="AR236" s="692" t="n"/>
      <c r="AS236" s="692" t="n"/>
    </row>
    <row r="237">
      <c r="A237" s="427" t="inlineStr">
        <is>
          <t>F</t>
        </is>
      </c>
      <c r="B237" s="616" t="inlineStr">
        <is>
          <t>100 Breast</t>
        </is>
      </c>
      <c r="C237" s="616" t="n">
        <v>21</v>
      </c>
      <c r="D237" s="616" t="n">
        <v>2</v>
      </c>
      <c r="E237" s="127" t="inlineStr">
        <is>
          <t>1:06.87</t>
        </is>
      </c>
      <c r="F237" s="692" t="n"/>
      <c r="H237" s="692" t="n"/>
      <c r="AB237" s="692" t="n"/>
      <c r="AC237" s="158" t="n"/>
      <c r="AD237" s="158" t="n"/>
      <c r="AE237" s="692" t="n"/>
      <c r="AF237" s="692" t="n"/>
      <c r="AG237" s="692" t="n"/>
      <c r="AH237" s="692" t="n"/>
      <c r="AI237" s="692" t="n"/>
      <c r="AJ237" s="692" t="n"/>
      <c r="AK237" s="692" t="n"/>
      <c r="AL237" s="692" t="n"/>
      <c r="AM237" s="692" t="n"/>
      <c r="AN237" s="692" t="n"/>
      <c r="AO237" s="692" t="n"/>
      <c r="AP237" s="692" t="n"/>
      <c r="AQ237" s="692" t="n"/>
      <c r="AR237" s="692" t="n"/>
      <c r="AS237" s="692" t="n"/>
    </row>
    <row r="238">
      <c r="A238" s="420" t="inlineStr">
        <is>
          <t>F</t>
        </is>
      </c>
      <c r="B238" s="593" t="inlineStr">
        <is>
          <t>200 Breast</t>
        </is>
      </c>
      <c r="C238" s="593" t="n">
        <v>16</v>
      </c>
      <c r="D238" s="219" t="n">
        <v>2</v>
      </c>
      <c r="E238" s="128" t="inlineStr">
        <is>
          <t>2:30.01</t>
        </is>
      </c>
      <c r="F238" s="692" t="n"/>
      <c r="H238" s="692" t="n"/>
      <c r="AB238" s="692" t="n"/>
      <c r="AC238" s="692" t="n"/>
      <c r="AD238" s="692" t="n"/>
      <c r="AE238" s="692" t="n"/>
      <c r="AF238" s="692" t="n"/>
      <c r="AG238" s="692" t="n"/>
      <c r="AH238" s="692" t="n"/>
      <c r="AI238" s="692" t="n"/>
      <c r="AJ238" s="692" t="n"/>
      <c r="AK238" s="692" t="n"/>
      <c r="AL238" s="692" t="n"/>
      <c r="AM238" s="692" t="n"/>
      <c r="AN238" s="692" t="n"/>
      <c r="AO238" s="692" t="n"/>
      <c r="AP238" s="692" t="n"/>
      <c r="AQ238" s="692" t="n"/>
      <c r="AR238" s="692" t="n"/>
      <c r="AS238" s="692" t="n"/>
    </row>
    <row r="239">
      <c r="A239" s="427" t="inlineStr">
        <is>
          <t>F</t>
        </is>
      </c>
      <c r="B239" s="616" t="inlineStr">
        <is>
          <t>200 Breast</t>
        </is>
      </c>
      <c r="C239" s="616" t="n">
        <v>17</v>
      </c>
      <c r="D239" s="221" t="n">
        <v>2</v>
      </c>
      <c r="E239" s="127" t="inlineStr">
        <is>
          <t>2:28.58</t>
        </is>
      </c>
      <c r="F239" s="692" t="n"/>
      <c r="H239" s="692" t="n"/>
      <c r="AB239" s="692" t="n"/>
      <c r="AC239" s="692" t="n"/>
      <c r="AD239" s="692" t="n"/>
      <c r="AE239" s="692" t="n"/>
      <c r="AF239" s="692" t="n"/>
      <c r="AG239" s="692" t="n"/>
      <c r="AH239" s="692" t="n"/>
      <c r="AI239" s="692" t="n"/>
      <c r="AJ239" s="692" t="n"/>
      <c r="AK239" s="692" t="n"/>
      <c r="AL239" s="692" t="n"/>
      <c r="AM239" s="692" t="n"/>
      <c r="AN239" s="692" t="n"/>
      <c r="AO239" s="692" t="n"/>
      <c r="AP239" s="692" t="n"/>
      <c r="AQ239" s="692" t="n"/>
      <c r="AR239" s="692" t="n"/>
      <c r="AS239" s="692" t="n"/>
    </row>
    <row r="240">
      <c r="A240" s="420" t="inlineStr">
        <is>
          <t>F</t>
        </is>
      </c>
      <c r="B240" s="593" t="inlineStr">
        <is>
          <t>200 Breast</t>
        </is>
      </c>
      <c r="C240" s="593" t="n">
        <v>18</v>
      </c>
      <c r="D240" s="219" t="n">
        <v>2</v>
      </c>
      <c r="E240" s="128" t="inlineStr">
        <is>
          <t>2:27.74</t>
        </is>
      </c>
      <c r="F240" s="692" t="n"/>
      <c r="H240" s="692" t="n"/>
      <c r="AB240" s="692" t="n"/>
      <c r="AC240" s="692" t="n"/>
      <c r="AD240" s="692" t="n"/>
      <c r="AE240" s="692" t="n"/>
      <c r="AF240" s="692" t="n"/>
      <c r="AG240" s="692" t="n"/>
      <c r="AH240" s="692" t="n"/>
      <c r="AI240" s="692" t="n"/>
      <c r="AJ240" s="692" t="n"/>
      <c r="AK240" s="692" t="n"/>
      <c r="AL240" s="692" t="n"/>
      <c r="AM240" s="692" t="n"/>
      <c r="AN240" s="692" t="n"/>
      <c r="AO240" s="692" t="n"/>
      <c r="AP240" s="692" t="n"/>
      <c r="AQ240" s="692" t="n"/>
      <c r="AR240" s="692" t="n"/>
      <c r="AS240" s="692" t="n"/>
    </row>
    <row r="241">
      <c r="A241" s="427" t="inlineStr">
        <is>
          <t>F</t>
        </is>
      </c>
      <c r="B241" s="616" t="inlineStr">
        <is>
          <t>200 Breast</t>
        </is>
      </c>
      <c r="C241" s="616" t="n">
        <v>19</v>
      </c>
      <c r="D241" s="221" t="n">
        <v>2</v>
      </c>
      <c r="E241" s="127" t="inlineStr">
        <is>
          <t>2:27.05</t>
        </is>
      </c>
      <c r="F241" s="692" t="n"/>
      <c r="H241" s="692" t="n"/>
      <c r="AB241" s="692" t="n"/>
      <c r="AC241" s="692" t="n"/>
      <c r="AD241" s="692" t="n"/>
      <c r="AE241" s="692" t="n"/>
      <c r="AF241" s="692" t="n"/>
      <c r="AG241" s="692" t="n"/>
      <c r="AH241" s="692" t="n"/>
      <c r="AI241" s="692" t="n"/>
      <c r="AJ241" s="692" t="n"/>
      <c r="AK241" s="692" t="n"/>
      <c r="AL241" s="692" t="n"/>
      <c r="AM241" s="692" t="n"/>
      <c r="AN241" s="692" t="n"/>
      <c r="AO241" s="692" t="n"/>
      <c r="AP241" s="692" t="n"/>
      <c r="AQ241" s="692" t="n"/>
      <c r="AR241" s="692" t="n"/>
      <c r="AS241" s="692" t="n"/>
    </row>
    <row r="242">
      <c r="A242" s="420" t="inlineStr">
        <is>
          <t>F</t>
        </is>
      </c>
      <c r="B242" s="593" t="inlineStr">
        <is>
          <t>200 Breast</t>
        </is>
      </c>
      <c r="C242" s="593" t="n">
        <v>20</v>
      </c>
      <c r="D242" s="219" t="n">
        <v>2</v>
      </c>
      <c r="E242" s="128" t="inlineStr">
        <is>
          <t>2:26.41</t>
        </is>
      </c>
      <c r="F242" s="692" t="n"/>
      <c r="H242" s="692" t="n"/>
      <c r="AB242" s="692" t="n"/>
      <c r="AC242" s="692" t="n"/>
      <c r="AD242" s="692" t="n"/>
      <c r="AE242" s="692" t="n"/>
      <c r="AF242" s="692" t="n"/>
      <c r="AG242" s="692" t="n"/>
      <c r="AH242" s="692" t="n"/>
      <c r="AI242" s="692" t="n"/>
      <c r="AJ242" s="692" t="n"/>
      <c r="AK242" s="692" t="n"/>
      <c r="AL242" s="692" t="n"/>
      <c r="AM242" s="692" t="n"/>
      <c r="AN242" s="692" t="n"/>
      <c r="AO242" s="692" t="n"/>
      <c r="AP242" s="692" t="n"/>
      <c r="AQ242" s="692" t="n"/>
      <c r="AR242" s="692" t="n"/>
      <c r="AS242" s="692" t="n"/>
    </row>
    <row r="243">
      <c r="A243" s="427" t="inlineStr">
        <is>
          <t>F</t>
        </is>
      </c>
      <c r="B243" s="616" t="inlineStr">
        <is>
          <t>200 Breast</t>
        </is>
      </c>
      <c r="C243" s="616" t="n">
        <v>21</v>
      </c>
      <c r="D243" s="221" t="n">
        <v>2</v>
      </c>
      <c r="E243" s="127" t="inlineStr">
        <is>
          <t>2:25.91</t>
        </is>
      </c>
      <c r="F243" s="692" t="n"/>
      <c r="H243" s="692" t="n"/>
      <c r="AB243" s="692" t="n"/>
      <c r="AC243" s="692" t="n"/>
      <c r="AD243" s="158" t="n"/>
      <c r="AE243" s="692" t="n"/>
      <c r="AF243" s="692" t="n"/>
      <c r="AG243" s="692" t="n"/>
      <c r="AH243" s="692" t="n"/>
      <c r="AI243" s="692" t="n"/>
      <c r="AJ243" s="692" t="n"/>
      <c r="AK243" s="692" t="n"/>
      <c r="AL243" s="692" t="n"/>
      <c r="AM243" s="692" t="n"/>
      <c r="AN243" s="692" t="n"/>
      <c r="AO243" s="692" t="n"/>
      <c r="AP243" s="692" t="n"/>
      <c r="AQ243" s="692" t="n"/>
      <c r="AR243" s="692" t="n"/>
      <c r="AS243" s="692" t="n"/>
    </row>
    <row r="244">
      <c r="A244" s="420" t="inlineStr">
        <is>
          <t>F</t>
        </is>
      </c>
      <c r="B244" s="593" t="inlineStr">
        <is>
          <t>50 Fly</t>
        </is>
      </c>
      <c r="C244" s="593" t="n">
        <v>18</v>
      </c>
      <c r="D244" s="593" t="n">
        <v>2</v>
      </c>
      <c r="E244" s="128" t="inlineStr">
        <is>
          <t>26.81</t>
        </is>
      </c>
      <c r="F244" s="692" t="n"/>
      <c r="H244" s="692" t="n"/>
      <c r="AB244" s="158" t="n"/>
      <c r="AC244" s="158" t="n"/>
      <c r="AD244" s="158" t="n"/>
      <c r="AE244" s="692" t="n"/>
      <c r="AF244" s="692" t="n"/>
      <c r="AG244" s="692" t="n"/>
      <c r="AH244" s="692" t="n"/>
      <c r="AI244" s="692" t="n"/>
      <c r="AJ244" s="692" t="n"/>
      <c r="AK244" s="692" t="n"/>
      <c r="AL244" s="692" t="n"/>
      <c r="AM244" s="692" t="n"/>
      <c r="AN244" s="692" t="n"/>
      <c r="AO244" s="692" t="n"/>
      <c r="AP244" s="692" t="n"/>
      <c r="AQ244" s="692" t="n"/>
      <c r="AR244" s="692" t="n"/>
      <c r="AS244" s="692" t="n"/>
    </row>
    <row r="245">
      <c r="A245" s="427" t="inlineStr">
        <is>
          <t>F</t>
        </is>
      </c>
      <c r="B245" s="616" t="inlineStr">
        <is>
          <t>50 Fly</t>
        </is>
      </c>
      <c r="C245" s="616" t="n">
        <v>19</v>
      </c>
      <c r="D245" s="221" t="n">
        <v>2</v>
      </c>
      <c r="E245" s="127" t="inlineStr">
        <is>
          <t>26.60</t>
        </is>
      </c>
      <c r="F245" s="692" t="n"/>
      <c r="H245" s="692" t="n"/>
      <c r="AB245" s="158" t="n"/>
      <c r="AC245" s="158" t="n"/>
      <c r="AD245" s="158" t="n"/>
      <c r="AE245" s="692" t="n"/>
      <c r="AF245" s="692" t="n"/>
      <c r="AG245" s="692" t="n"/>
      <c r="AH245" s="692" t="n"/>
      <c r="AI245" s="692" t="n"/>
      <c r="AJ245" s="692" t="n"/>
      <c r="AK245" s="692" t="n"/>
      <c r="AL245" s="692" t="n"/>
      <c r="AM245" s="692" t="n"/>
      <c r="AN245" s="692" t="n"/>
      <c r="AO245" s="692" t="n"/>
      <c r="AP245" s="692" t="n"/>
      <c r="AQ245" s="692" t="n"/>
      <c r="AR245" s="692" t="n"/>
      <c r="AS245" s="692" t="n"/>
    </row>
    <row r="246">
      <c r="A246" s="420" t="inlineStr">
        <is>
          <t>F</t>
        </is>
      </c>
      <c r="B246" s="593" t="inlineStr">
        <is>
          <t>50 Fly</t>
        </is>
      </c>
      <c r="C246" s="593" t="n">
        <v>20</v>
      </c>
      <c r="D246" s="219" t="n">
        <v>2</v>
      </c>
      <c r="E246" s="128" t="inlineStr">
        <is>
          <t>26.43</t>
        </is>
      </c>
      <c r="F246" s="692" t="n"/>
      <c r="H246" s="692" t="n"/>
      <c r="AB246" s="158" t="n"/>
      <c r="AC246" s="158" t="n"/>
      <c r="AD246" s="158" t="n"/>
      <c r="AE246" s="692" t="n"/>
      <c r="AF246" s="692" t="n"/>
      <c r="AG246" s="692" t="n"/>
      <c r="AH246" s="692" t="n"/>
      <c r="AI246" s="692" t="n"/>
      <c r="AJ246" s="692" t="n"/>
      <c r="AK246" s="692" t="n"/>
      <c r="AL246" s="692" t="n"/>
      <c r="AM246" s="692" t="n"/>
      <c r="AN246" s="692" t="n"/>
      <c r="AO246" s="692" t="n"/>
      <c r="AP246" s="692" t="n"/>
      <c r="AQ246" s="692" t="n"/>
      <c r="AR246" s="692" t="n"/>
      <c r="AS246" s="692" t="n"/>
    </row>
    <row r="247">
      <c r="A247" s="427" t="inlineStr">
        <is>
          <t>F</t>
        </is>
      </c>
      <c r="B247" s="616" t="inlineStr">
        <is>
          <t>50 Fly</t>
        </is>
      </c>
      <c r="C247" s="616" t="n">
        <v>21</v>
      </c>
      <c r="D247" s="221" t="n">
        <v>2</v>
      </c>
      <c r="E247" s="127" t="inlineStr">
        <is>
          <t>26.33</t>
        </is>
      </c>
      <c r="F247" s="692" t="n"/>
      <c r="H247" s="692" t="n"/>
      <c r="AB247" s="158" t="n"/>
      <c r="AC247" s="158" t="n"/>
      <c r="AD247" s="158" t="n"/>
      <c r="AE247" s="692" t="n"/>
      <c r="AF247" s="692" t="n"/>
      <c r="AG247" s="692" t="n"/>
      <c r="AH247" s="692" t="n"/>
      <c r="AI247" s="692" t="n"/>
      <c r="AJ247" s="692" t="n"/>
      <c r="AK247" s="692" t="n"/>
      <c r="AL247" s="692" t="n"/>
      <c r="AM247" s="692" t="n"/>
      <c r="AN247" s="692" t="n"/>
      <c r="AO247" s="692" t="n"/>
      <c r="AP247" s="692" t="n"/>
      <c r="AQ247" s="692" t="n"/>
      <c r="AR247" s="692" t="n"/>
      <c r="AS247" s="692" t="n"/>
    </row>
    <row r="248">
      <c r="A248" s="420" t="inlineStr">
        <is>
          <t>F</t>
        </is>
      </c>
      <c r="B248" s="593" t="inlineStr">
        <is>
          <t>50 Fly</t>
        </is>
      </c>
      <c r="C248" s="593" t="n">
        <v>22</v>
      </c>
      <c r="D248" s="219" t="n">
        <v>2</v>
      </c>
      <c r="E248" s="128" t="inlineStr">
        <is>
          <t>26.27</t>
        </is>
      </c>
      <c r="F248" s="692" t="n"/>
      <c r="H248" s="692" t="n"/>
      <c r="AB248" s="692" t="n"/>
      <c r="AC248" s="692" t="n"/>
      <c r="AD248" s="158" t="n"/>
      <c r="AE248" s="692" t="n"/>
      <c r="AF248" s="692" t="n"/>
      <c r="AG248" s="692" t="n"/>
      <c r="AH248" s="692" t="n"/>
      <c r="AI248" s="692" t="n"/>
      <c r="AJ248" s="692" t="n"/>
      <c r="AK248" s="692" t="n"/>
      <c r="AL248" s="692" t="n"/>
      <c r="AM248" s="692" t="n"/>
      <c r="AN248" s="692" t="n"/>
      <c r="AO248" s="692" t="n"/>
      <c r="AP248" s="692" t="n"/>
      <c r="AQ248" s="692" t="n"/>
      <c r="AR248" s="692" t="n"/>
      <c r="AS248" s="692" t="n"/>
    </row>
    <row r="249">
      <c r="A249" s="427" t="inlineStr">
        <is>
          <t>F</t>
        </is>
      </c>
      <c r="B249" s="616" t="inlineStr">
        <is>
          <t>50 Fly</t>
        </is>
      </c>
      <c r="C249" s="616" t="n">
        <v>23</v>
      </c>
      <c r="D249" s="221" t="n">
        <v>2</v>
      </c>
      <c r="E249" s="127" t="inlineStr">
        <is>
          <t>26.23</t>
        </is>
      </c>
      <c r="F249" s="692" t="n"/>
      <c r="H249" s="692" t="n"/>
      <c r="AB249" s="692" t="n"/>
      <c r="AC249" s="692" t="n"/>
      <c r="AD249" s="692" t="n"/>
      <c r="AE249" s="692" t="n"/>
      <c r="AF249" s="692" t="n"/>
      <c r="AG249" s="692" t="n"/>
      <c r="AH249" s="692" t="n"/>
      <c r="AI249" s="692" t="n"/>
      <c r="AJ249" s="692" t="n"/>
      <c r="AK249" s="692" t="n"/>
      <c r="AL249" s="692" t="n"/>
      <c r="AM249" s="692" t="n"/>
      <c r="AN249" s="692" t="n"/>
      <c r="AO249" s="692" t="n"/>
      <c r="AP249" s="692" t="n"/>
      <c r="AQ249" s="692" t="n"/>
      <c r="AR249" s="692" t="n"/>
      <c r="AS249" s="692" t="n"/>
    </row>
    <row r="250">
      <c r="A250" s="420" t="inlineStr">
        <is>
          <t>F</t>
        </is>
      </c>
      <c r="B250" s="593" t="inlineStr">
        <is>
          <t>100 Fly</t>
        </is>
      </c>
      <c r="C250" s="593" t="n">
        <v>16</v>
      </c>
      <c r="D250" s="593" t="n">
        <v>2</v>
      </c>
      <c r="E250" s="128" t="inlineStr">
        <is>
          <t>1:01.15</t>
        </is>
      </c>
      <c r="F250" s="692" t="n"/>
      <c r="H250" s="692" t="n"/>
      <c r="AB250" s="692" t="n"/>
      <c r="AC250" s="692" t="n"/>
      <c r="AD250" s="692" t="n"/>
      <c r="AE250" s="692" t="n"/>
      <c r="AF250" s="692" t="n"/>
      <c r="AG250" s="692" t="n"/>
      <c r="AH250" s="692" t="n"/>
      <c r="AI250" s="692" t="n"/>
      <c r="AJ250" s="692" t="n"/>
      <c r="AK250" s="692" t="n"/>
      <c r="AL250" s="692" t="n"/>
      <c r="AM250" s="692" t="n"/>
      <c r="AN250" s="692" t="n"/>
      <c r="AO250" s="692" t="n"/>
      <c r="AP250" s="692" t="n"/>
      <c r="AQ250" s="692" t="n"/>
      <c r="AR250" s="692" t="n"/>
      <c r="AS250" s="692" t="n"/>
    </row>
    <row r="251">
      <c r="A251" s="427" t="inlineStr">
        <is>
          <t>F</t>
        </is>
      </c>
      <c r="B251" s="616" t="inlineStr">
        <is>
          <t>100 Fly</t>
        </is>
      </c>
      <c r="C251" s="616" t="n">
        <v>17</v>
      </c>
      <c r="D251" s="616" t="n">
        <v>2</v>
      </c>
      <c r="E251" s="127" t="inlineStr">
        <is>
          <t>1:00.27</t>
        </is>
      </c>
      <c r="F251" s="692" t="n"/>
      <c r="H251" s="692" t="n"/>
      <c r="AB251" s="692" t="n"/>
      <c r="AC251" s="692" t="n"/>
      <c r="AD251" s="692" t="n"/>
      <c r="AE251" s="692" t="n"/>
      <c r="AF251" s="692" t="n"/>
      <c r="AG251" s="692" t="n"/>
      <c r="AH251" s="692" t="n"/>
      <c r="AI251" s="692" t="n"/>
      <c r="AJ251" s="692" t="n"/>
      <c r="AK251" s="692" t="n"/>
      <c r="AL251" s="692" t="n"/>
      <c r="AM251" s="692" t="n"/>
      <c r="AN251" s="692" t="n"/>
      <c r="AO251" s="692" t="n"/>
      <c r="AP251" s="692" t="n"/>
      <c r="AQ251" s="692" t="n"/>
      <c r="AR251" s="692" t="n"/>
      <c r="AS251" s="692" t="n"/>
    </row>
    <row r="252">
      <c r="A252" s="420" t="inlineStr">
        <is>
          <t>F</t>
        </is>
      </c>
      <c r="B252" s="593" t="inlineStr">
        <is>
          <t>100 Fly</t>
        </is>
      </c>
      <c r="C252" s="593" t="n">
        <v>18</v>
      </c>
      <c r="D252" s="593" t="n">
        <v>2</v>
      </c>
      <c r="E252" s="128" t="inlineStr">
        <is>
          <t>59.77</t>
        </is>
      </c>
      <c r="F252" s="692" t="n"/>
      <c r="H252" s="692" t="n"/>
      <c r="AB252" s="692" t="n"/>
      <c r="AC252" s="692" t="n"/>
      <c r="AD252" s="692" t="n"/>
      <c r="AE252" s="692" t="n"/>
      <c r="AF252" s="692" t="n"/>
      <c r="AG252" s="692" t="n"/>
      <c r="AH252" s="692" t="n"/>
      <c r="AI252" s="692" t="n"/>
      <c r="AJ252" s="692" t="n"/>
      <c r="AK252" s="692" t="n"/>
      <c r="AL252" s="692" t="n"/>
      <c r="AM252" s="692" t="n"/>
      <c r="AN252" s="692" t="n"/>
      <c r="AO252" s="692" t="n"/>
      <c r="AP252" s="692" t="n"/>
      <c r="AQ252" s="692" t="n"/>
      <c r="AR252" s="692" t="n"/>
      <c r="AS252" s="692" t="n"/>
    </row>
    <row r="253">
      <c r="A253" s="427" t="inlineStr">
        <is>
          <t>F</t>
        </is>
      </c>
      <c r="B253" s="616" t="inlineStr">
        <is>
          <t>100 Fly</t>
        </is>
      </c>
      <c r="C253" s="616" t="n">
        <v>19</v>
      </c>
      <c r="D253" s="616" t="n">
        <v>2</v>
      </c>
      <c r="E253" s="127" t="inlineStr">
        <is>
          <t>59.03</t>
        </is>
      </c>
      <c r="F253" s="692" t="n"/>
      <c r="H253" s="692" t="n"/>
      <c r="AB253" s="692" t="n"/>
      <c r="AC253" s="692" t="n"/>
      <c r="AD253" s="692" t="n"/>
      <c r="AE253" s="692" t="n"/>
      <c r="AF253" s="692" t="n"/>
      <c r="AG253" s="692" t="n"/>
      <c r="AH253" s="692" t="n"/>
      <c r="AI253" s="692" t="n"/>
      <c r="AJ253" s="692" t="n"/>
      <c r="AK253" s="692" t="n"/>
      <c r="AL253" s="692" t="n"/>
      <c r="AM253" s="692" t="n"/>
      <c r="AN253" s="692" t="n"/>
      <c r="AO253" s="692" t="n"/>
      <c r="AP253" s="692" t="n"/>
      <c r="AQ253" s="692" t="n"/>
      <c r="AR253" s="692" t="n"/>
      <c r="AS253" s="692" t="n"/>
    </row>
    <row r="254">
      <c r="A254" s="420" t="inlineStr">
        <is>
          <t>F</t>
        </is>
      </c>
      <c r="B254" s="593" t="inlineStr">
        <is>
          <t>100 Fly</t>
        </is>
      </c>
      <c r="C254" s="593" t="n">
        <v>20</v>
      </c>
      <c r="D254" s="593" t="n">
        <v>2</v>
      </c>
      <c r="E254" s="128" t="inlineStr">
        <is>
          <t>58.60</t>
        </is>
      </c>
      <c r="H254" s="692" t="n"/>
      <c r="AB254" s="692" t="n"/>
      <c r="AC254" s="692" t="n"/>
      <c r="AD254" s="692" t="n"/>
    </row>
    <row r="255">
      <c r="A255" s="427" t="inlineStr">
        <is>
          <t>F</t>
        </is>
      </c>
      <c r="B255" s="616" t="inlineStr">
        <is>
          <t>100 Fly</t>
        </is>
      </c>
      <c r="C255" s="616" t="n">
        <v>21</v>
      </c>
      <c r="D255" s="221" t="n">
        <v>2</v>
      </c>
      <c r="E255" s="127" t="inlineStr">
        <is>
          <t>58.33</t>
        </is>
      </c>
      <c r="F255" s="692" t="n"/>
      <c r="H255" s="692" t="n"/>
      <c r="AB255" s="692" t="n"/>
      <c r="AC255" s="692" t="n"/>
      <c r="AD255" s="692" t="n"/>
      <c r="AE255" s="692" t="n"/>
      <c r="AF255" s="692" t="n"/>
      <c r="AG255" s="692" t="n"/>
      <c r="AH255" s="692" t="n"/>
      <c r="AI255" s="692" t="n"/>
      <c r="AJ255" s="692" t="n"/>
      <c r="AK255" s="692" t="n"/>
      <c r="AL255" s="692" t="n"/>
      <c r="AM255" s="692" t="n"/>
      <c r="AN255" s="692" t="n"/>
      <c r="AO255" s="692" t="n"/>
      <c r="AP255" s="692" t="n"/>
      <c r="AQ255" s="692" t="n"/>
      <c r="AR255" s="692" t="n"/>
      <c r="AS255" s="692" t="n"/>
    </row>
    <row r="256">
      <c r="A256" s="420" t="inlineStr">
        <is>
          <t>F</t>
        </is>
      </c>
      <c r="B256" s="593" t="inlineStr">
        <is>
          <t>200 Fly</t>
        </is>
      </c>
      <c r="C256" s="593" t="n">
        <v>15</v>
      </c>
      <c r="D256" s="593" t="n">
        <v>2</v>
      </c>
      <c r="E256" s="128" t="inlineStr">
        <is>
          <t>2:15.86</t>
        </is>
      </c>
      <c r="F256" s="692" t="n"/>
      <c r="H256" s="692" t="n"/>
      <c r="AB256" s="692" t="n"/>
      <c r="AC256" s="692" t="n"/>
      <c r="AD256" s="692" t="n"/>
      <c r="AE256" s="692" t="n"/>
      <c r="AF256" s="692" t="n"/>
      <c r="AG256" s="692" t="n"/>
      <c r="AH256" s="692" t="n"/>
      <c r="AI256" s="692" t="n"/>
      <c r="AJ256" s="692" t="n"/>
      <c r="AK256" s="692" t="n"/>
      <c r="AL256" s="692" t="n"/>
      <c r="AM256" s="692" t="n"/>
      <c r="AN256" s="692" t="n"/>
      <c r="AO256" s="692" t="n"/>
      <c r="AP256" s="692" t="n"/>
      <c r="AQ256" s="692" t="n"/>
      <c r="AR256" s="692" t="n"/>
      <c r="AS256" s="692" t="n"/>
    </row>
    <row r="257">
      <c r="A257" s="427" t="inlineStr">
        <is>
          <t>F</t>
        </is>
      </c>
      <c r="B257" s="616" t="inlineStr">
        <is>
          <t>200 Fly</t>
        </is>
      </c>
      <c r="C257" s="616" t="n">
        <v>16</v>
      </c>
      <c r="D257" s="616" t="n">
        <v>2</v>
      </c>
      <c r="E257" s="127" t="inlineStr">
        <is>
          <t>2:13.20</t>
        </is>
      </c>
      <c r="F257" s="692" t="n"/>
      <c r="H257" s="692" t="n"/>
      <c r="AB257" s="692" t="n"/>
      <c r="AC257" s="692" t="n"/>
      <c r="AD257" s="692" t="n"/>
      <c r="AE257" s="692" t="n"/>
      <c r="AF257" s="692" t="n"/>
      <c r="AG257" s="692" t="n"/>
      <c r="AH257" s="692" t="n"/>
      <c r="AI257" s="692" t="n"/>
      <c r="AJ257" s="692" t="n"/>
      <c r="AK257" s="692" t="n"/>
      <c r="AL257" s="692" t="n"/>
      <c r="AM257" s="692" t="n"/>
      <c r="AN257" s="692" t="n"/>
      <c r="AO257" s="692" t="n"/>
      <c r="AP257" s="692" t="n"/>
      <c r="AQ257" s="692" t="n"/>
      <c r="AR257" s="692" t="n"/>
      <c r="AS257" s="692" t="n"/>
    </row>
    <row r="258">
      <c r="A258" s="420" t="inlineStr">
        <is>
          <t>F</t>
        </is>
      </c>
      <c r="B258" s="593" t="inlineStr">
        <is>
          <t>200 Fly</t>
        </is>
      </c>
      <c r="C258" s="593" t="n">
        <v>17</v>
      </c>
      <c r="D258" s="593" t="n">
        <v>2</v>
      </c>
      <c r="E258" s="128" t="inlineStr">
        <is>
          <t>2:11.53</t>
        </is>
      </c>
      <c r="F258" s="692" t="n"/>
      <c r="H258" s="692" t="n"/>
      <c r="AB258" s="692" t="n"/>
      <c r="AC258" s="692" t="n"/>
      <c r="AD258" s="692" t="n"/>
      <c r="AE258" s="692" t="n"/>
      <c r="AF258" s="692" t="n"/>
      <c r="AG258" s="692" t="n"/>
      <c r="AH258" s="692" t="n"/>
      <c r="AI258" s="692" t="n"/>
      <c r="AJ258" s="692" t="n"/>
      <c r="AK258" s="692" t="n"/>
      <c r="AL258" s="692" t="n"/>
      <c r="AM258" s="692" t="n"/>
      <c r="AN258" s="692" t="n"/>
      <c r="AO258" s="692" t="n"/>
      <c r="AP258" s="692" t="n"/>
      <c r="AQ258" s="692" t="n"/>
      <c r="AR258" s="692" t="n"/>
      <c r="AS258" s="692" t="n"/>
    </row>
    <row r="259">
      <c r="A259" s="427" t="inlineStr">
        <is>
          <t>F</t>
        </is>
      </c>
      <c r="B259" s="616" t="inlineStr">
        <is>
          <t>200 Fly</t>
        </is>
      </c>
      <c r="C259" s="616" t="n">
        <v>18</v>
      </c>
      <c r="D259" s="616" t="n">
        <v>2</v>
      </c>
      <c r="E259" s="127" t="inlineStr">
        <is>
          <t>2:10.55</t>
        </is>
      </c>
      <c r="F259" s="692" t="n"/>
      <c r="H259" s="692" t="n"/>
      <c r="AB259" s="692" t="n"/>
      <c r="AC259" s="692" t="n"/>
      <c r="AD259" s="692" t="n"/>
      <c r="AE259" s="692" t="n"/>
      <c r="AF259" s="692" t="n"/>
      <c r="AG259" s="692" t="n"/>
      <c r="AH259" s="692" t="n"/>
      <c r="AI259" s="692" t="n"/>
      <c r="AJ259" s="692" t="n"/>
      <c r="AK259" s="692" t="n"/>
      <c r="AL259" s="692" t="n"/>
      <c r="AM259" s="692" t="n"/>
      <c r="AN259" s="692" t="n"/>
      <c r="AO259" s="692" t="n"/>
      <c r="AP259" s="692" t="n"/>
      <c r="AQ259" s="692" t="n"/>
      <c r="AR259" s="692" t="n"/>
      <c r="AS259" s="692" t="n"/>
    </row>
    <row r="260">
      <c r="A260" s="420" t="inlineStr">
        <is>
          <t>F</t>
        </is>
      </c>
      <c r="B260" s="593" t="inlineStr">
        <is>
          <t>200 Fly</t>
        </is>
      </c>
      <c r="C260" s="593" t="n">
        <v>19</v>
      </c>
      <c r="D260" s="593" t="n">
        <v>2</v>
      </c>
      <c r="E260" s="128" t="inlineStr">
        <is>
          <t>2:09.78</t>
        </is>
      </c>
      <c r="F260" s="692" t="n"/>
      <c r="H260" s="692" t="n"/>
      <c r="AB260" s="692" t="n"/>
      <c r="AC260" s="692" t="n"/>
      <c r="AD260" s="158" t="n"/>
      <c r="AE260" s="692" t="n"/>
      <c r="AF260" s="692" t="n"/>
      <c r="AG260" s="692" t="n"/>
      <c r="AH260" s="692" t="n"/>
      <c r="AI260" s="692" t="n"/>
      <c r="AJ260" s="692" t="n"/>
      <c r="AK260" s="692" t="n"/>
      <c r="AL260" s="692" t="n"/>
      <c r="AM260" s="692" t="n"/>
      <c r="AN260" s="692" t="n"/>
      <c r="AO260" s="692" t="n"/>
      <c r="AP260" s="692" t="n"/>
      <c r="AQ260" s="692" t="n"/>
      <c r="AR260" s="692" t="n"/>
      <c r="AS260" s="692" t="n"/>
    </row>
    <row r="261">
      <c r="A261" s="427" t="inlineStr">
        <is>
          <t>F</t>
        </is>
      </c>
      <c r="B261" s="616" t="inlineStr">
        <is>
          <t>200 Fly</t>
        </is>
      </c>
      <c r="C261" s="616" t="n">
        <v>20</v>
      </c>
      <c r="D261" s="616" t="n">
        <v>2</v>
      </c>
      <c r="E261" s="127" t="inlineStr">
        <is>
          <t>2:09.21</t>
        </is>
      </c>
      <c r="F261" s="692" t="n"/>
      <c r="H261" s="692" t="n"/>
      <c r="AB261" s="692" t="n"/>
      <c r="AC261" s="692" t="n"/>
      <c r="AD261" s="692" t="n"/>
      <c r="AE261" s="692" t="n"/>
      <c r="AF261" s="692" t="n"/>
      <c r="AG261" s="692" t="n"/>
      <c r="AH261" s="692" t="n"/>
      <c r="AI261" s="692" t="n"/>
      <c r="AJ261" s="692" t="n"/>
      <c r="AK261" s="692" t="n"/>
      <c r="AL261" s="692" t="n"/>
      <c r="AM261" s="692" t="n"/>
      <c r="AN261" s="692" t="n"/>
      <c r="AO261" s="692" t="n"/>
      <c r="AP261" s="692" t="n"/>
      <c r="AQ261" s="692" t="n"/>
      <c r="AR261" s="692" t="n"/>
      <c r="AS261" s="692" t="n"/>
    </row>
    <row r="262">
      <c r="A262" s="420" t="inlineStr">
        <is>
          <t>F</t>
        </is>
      </c>
      <c r="B262" s="593" t="inlineStr">
        <is>
          <t>200 IM</t>
        </is>
      </c>
      <c r="C262" s="593" t="n">
        <v>16</v>
      </c>
      <c r="D262" s="593" t="n">
        <v>2</v>
      </c>
      <c r="E262" s="128" t="inlineStr">
        <is>
          <t>2:16.89</t>
        </is>
      </c>
      <c r="F262" s="692" t="n"/>
      <c r="H262" s="692" t="n"/>
      <c r="AB262" s="158" t="n"/>
      <c r="AC262" s="158" t="n"/>
      <c r="AD262" s="158" t="n"/>
      <c r="AE262" s="692" t="n"/>
      <c r="AF262" s="692" t="n"/>
      <c r="AG262" s="692" t="n"/>
      <c r="AH262" s="692" t="n"/>
      <c r="AI262" s="692" t="n"/>
      <c r="AJ262" s="692" t="n"/>
      <c r="AK262" s="692" t="n"/>
      <c r="AL262" s="692" t="n"/>
      <c r="AM262" s="692" t="n"/>
      <c r="AN262" s="692" t="n"/>
      <c r="AO262" s="692" t="n"/>
      <c r="AP262" s="692" t="n"/>
      <c r="AQ262" s="692" t="n"/>
      <c r="AR262" s="692" t="n"/>
      <c r="AS262" s="692" t="n"/>
    </row>
    <row r="263">
      <c r="A263" s="427" t="inlineStr">
        <is>
          <t>F</t>
        </is>
      </c>
      <c r="B263" s="616" t="inlineStr">
        <is>
          <t>200 IM</t>
        </is>
      </c>
      <c r="C263" s="616" t="n">
        <v>17</v>
      </c>
      <c r="D263" s="616" t="n">
        <v>2</v>
      </c>
      <c r="E263" s="127" t="inlineStr">
        <is>
          <t>2:15.36</t>
        </is>
      </c>
      <c r="F263" s="692" t="n"/>
      <c r="H263" s="692" t="n"/>
      <c r="AB263" s="692" t="n"/>
      <c r="AC263" s="692" t="n"/>
      <c r="AD263" s="692" t="n"/>
      <c r="AE263" s="692" t="n"/>
      <c r="AF263" s="692" t="n"/>
      <c r="AG263" s="692" t="n"/>
      <c r="AH263" s="692" t="n"/>
      <c r="AI263" s="692" t="n"/>
      <c r="AJ263" s="692" t="n"/>
      <c r="AK263" s="692" t="n"/>
      <c r="AL263" s="692" t="n"/>
      <c r="AM263" s="692" t="n"/>
      <c r="AN263" s="692" t="n"/>
      <c r="AO263" s="692" t="n"/>
      <c r="AP263" s="692" t="n"/>
      <c r="AQ263" s="692" t="n"/>
      <c r="AR263" s="692" t="n"/>
      <c r="AS263" s="692" t="n"/>
    </row>
    <row r="264">
      <c r="A264" s="420" t="inlineStr">
        <is>
          <t>F</t>
        </is>
      </c>
      <c r="B264" s="593" t="inlineStr">
        <is>
          <t>200 IM</t>
        </is>
      </c>
      <c r="C264" s="593" t="n">
        <v>18</v>
      </c>
      <c r="D264" s="593" t="n">
        <v>2</v>
      </c>
      <c r="E264" s="128" t="inlineStr">
        <is>
          <t>2:14.42</t>
        </is>
      </c>
      <c r="F264" s="692" t="n"/>
      <c r="H264" s="692" t="n"/>
      <c r="AB264" s="692" t="n"/>
      <c r="AC264" s="692" t="n"/>
      <c r="AD264" s="158" t="n"/>
      <c r="AE264" s="692" t="n"/>
      <c r="AF264" s="692" t="n"/>
      <c r="AG264" s="692" t="n"/>
      <c r="AH264" s="692" t="n"/>
      <c r="AI264" s="692" t="n"/>
      <c r="AJ264" s="692" t="n"/>
      <c r="AK264" s="692" t="n"/>
      <c r="AL264" s="692" t="n"/>
      <c r="AM264" s="692" t="n"/>
      <c r="AN264" s="692" t="n"/>
      <c r="AO264" s="692" t="n"/>
      <c r="AP264" s="692" t="n"/>
      <c r="AQ264" s="692" t="n"/>
      <c r="AR264" s="692" t="n"/>
      <c r="AS264" s="692" t="n"/>
    </row>
    <row r="265">
      <c r="A265" s="427" t="inlineStr">
        <is>
          <t>F</t>
        </is>
      </c>
      <c r="B265" s="616" t="inlineStr">
        <is>
          <t>200 IM</t>
        </is>
      </c>
      <c r="C265" s="616" t="n">
        <v>19</v>
      </c>
      <c r="D265" s="616" t="n">
        <v>2</v>
      </c>
      <c r="E265" s="127" t="inlineStr">
        <is>
          <t>2:14.17</t>
        </is>
      </c>
      <c r="F265" s="692" t="n"/>
      <c r="H265" s="692" t="n"/>
      <c r="AB265" s="129" t="n"/>
      <c r="AC265" s="129" t="n"/>
      <c r="AD265" s="129" t="n"/>
      <c r="AE265" s="692" t="n"/>
      <c r="AF265" s="692" t="n"/>
      <c r="AG265" s="692" t="n"/>
      <c r="AH265" s="692" t="n"/>
      <c r="AI265" s="692" t="n"/>
      <c r="AJ265" s="692" t="n"/>
      <c r="AK265" s="692" t="n"/>
      <c r="AL265" s="692" t="n"/>
      <c r="AM265" s="692" t="n"/>
      <c r="AN265" s="692" t="n"/>
      <c r="AO265" s="692" t="n"/>
      <c r="AP265" s="692" t="n"/>
      <c r="AQ265" s="692" t="n"/>
      <c r="AR265" s="692" t="n"/>
      <c r="AS265" s="692" t="n"/>
    </row>
    <row r="266">
      <c r="A266" s="420" t="inlineStr">
        <is>
          <t>F</t>
        </is>
      </c>
      <c r="B266" s="593" t="inlineStr">
        <is>
          <t>200 IM</t>
        </is>
      </c>
      <c r="C266" s="593" t="n">
        <v>20</v>
      </c>
      <c r="D266" s="593" t="n">
        <v>2</v>
      </c>
      <c r="E266" s="128" t="inlineStr">
        <is>
          <t>2:13.25</t>
        </is>
      </c>
      <c r="F266" s="692" t="n"/>
      <c r="H266" s="692" t="n"/>
      <c r="AB266" s="692" t="n"/>
      <c r="AC266" s="692" t="n"/>
      <c r="AD266" s="158" t="n"/>
      <c r="AE266" s="692" t="n"/>
      <c r="AF266" s="692" t="n"/>
      <c r="AG266" s="692" t="n"/>
      <c r="AH266" s="692" t="n"/>
      <c r="AI266" s="692" t="n"/>
      <c r="AJ266" s="692" t="n"/>
      <c r="AK266" s="692" t="n"/>
      <c r="AL266" s="692" t="n"/>
      <c r="AM266" s="692" t="n"/>
      <c r="AN266" s="692" t="n"/>
      <c r="AO266" s="692" t="n"/>
      <c r="AP266" s="692" t="n"/>
      <c r="AQ266" s="692" t="n"/>
      <c r="AR266" s="692" t="n"/>
      <c r="AS266" s="692" t="n"/>
    </row>
    <row r="267">
      <c r="A267" s="427" t="inlineStr">
        <is>
          <t>F</t>
        </is>
      </c>
      <c r="B267" s="616" t="inlineStr">
        <is>
          <t>200 IM</t>
        </is>
      </c>
      <c r="C267" s="616" t="n">
        <v>21</v>
      </c>
      <c r="D267" s="616" t="n">
        <v>2</v>
      </c>
      <c r="E267" s="127" t="inlineStr">
        <is>
          <t>2:12.83</t>
        </is>
      </c>
      <c r="F267" s="692" t="n"/>
      <c r="H267" s="692" t="n"/>
      <c r="AB267" s="158" t="n"/>
      <c r="AC267" s="158" t="n"/>
      <c r="AD267" s="158" t="n"/>
      <c r="AE267" s="692" t="n"/>
      <c r="AF267" s="692" t="n"/>
      <c r="AG267" s="692" t="n"/>
      <c r="AH267" s="692" t="n"/>
      <c r="AI267" s="692" t="n"/>
      <c r="AJ267" s="692" t="n"/>
      <c r="AK267" s="692" t="n"/>
      <c r="AL267" s="692" t="n"/>
      <c r="AM267" s="692" t="n"/>
      <c r="AN267" s="692" t="n"/>
      <c r="AO267" s="692" t="n"/>
      <c r="AP267" s="692" t="n"/>
      <c r="AQ267" s="692" t="n"/>
      <c r="AR267" s="692" t="n"/>
      <c r="AS267" s="692" t="n"/>
    </row>
    <row r="268">
      <c r="A268" s="420" t="inlineStr">
        <is>
          <t>F</t>
        </is>
      </c>
      <c r="B268" s="593" t="inlineStr">
        <is>
          <t>400 IM</t>
        </is>
      </c>
      <c r="C268" s="593" t="n">
        <v>14</v>
      </c>
      <c r="D268" s="219" t="n">
        <v>2</v>
      </c>
      <c r="E268" s="426" t="inlineStr">
        <is>
          <t>5:01.95</t>
        </is>
      </c>
      <c r="F268" s="692" t="n"/>
      <c r="H268" s="692" t="n"/>
      <c r="AB268" s="158" t="n"/>
      <c r="AC268" s="158" t="n"/>
      <c r="AD268" s="158" t="n"/>
      <c r="AE268" s="692" t="n"/>
      <c r="AF268" s="692" t="n"/>
      <c r="AG268" s="692" t="n"/>
      <c r="AH268" s="692" t="n"/>
      <c r="AI268" s="692" t="n"/>
      <c r="AJ268" s="692" t="n"/>
      <c r="AK268" s="692" t="n"/>
      <c r="AL268" s="692" t="n"/>
      <c r="AM268" s="692" t="n"/>
      <c r="AN268" s="692" t="n"/>
      <c r="AO268" s="692" t="n"/>
      <c r="AP268" s="692" t="n"/>
      <c r="AQ268" s="692" t="n"/>
      <c r="AR268" s="692" t="n"/>
      <c r="AS268" s="692" t="n"/>
    </row>
    <row r="269">
      <c r="A269" s="427" t="inlineStr">
        <is>
          <t>F</t>
        </is>
      </c>
      <c r="B269" s="616" t="inlineStr">
        <is>
          <t>400 IM</t>
        </is>
      </c>
      <c r="C269" s="616" t="n">
        <v>15</v>
      </c>
      <c r="D269" s="221" t="n">
        <v>2</v>
      </c>
      <c r="E269" s="127" t="inlineStr">
        <is>
          <t>4:54.23</t>
        </is>
      </c>
      <c r="F269" s="692" t="n"/>
      <c r="H269" s="692" t="n"/>
      <c r="AB269" s="158" t="n"/>
      <c r="AC269" s="158" t="n"/>
      <c r="AD269" s="158" t="n"/>
      <c r="AE269" s="692" t="n"/>
      <c r="AF269" s="692" t="n"/>
      <c r="AG269" s="692" t="n"/>
      <c r="AH269" s="692" t="n"/>
      <c r="AI269" s="692" t="n"/>
      <c r="AJ269" s="692" t="n"/>
      <c r="AK269" s="692" t="n"/>
      <c r="AL269" s="692" t="n"/>
      <c r="AM269" s="692" t="n"/>
      <c r="AN269" s="692" t="n"/>
      <c r="AO269" s="692" t="n"/>
      <c r="AP269" s="692" t="n"/>
      <c r="AQ269" s="692" t="n"/>
      <c r="AR269" s="692" t="n"/>
      <c r="AS269" s="692" t="n"/>
    </row>
    <row r="270">
      <c r="A270" s="420" t="inlineStr">
        <is>
          <t>F</t>
        </is>
      </c>
      <c r="B270" s="593" t="inlineStr">
        <is>
          <t>400 IM</t>
        </is>
      </c>
      <c r="C270" s="593" t="n">
        <v>16</v>
      </c>
      <c r="D270" s="219" t="n">
        <v>2</v>
      </c>
      <c r="E270" s="128" t="inlineStr">
        <is>
          <t>4:49.15</t>
        </is>
      </c>
      <c r="F270" s="692" t="n"/>
      <c r="H270" s="692" t="n"/>
      <c r="AB270" s="158" t="n"/>
      <c r="AC270" s="158" t="n"/>
      <c r="AD270" s="158" t="n"/>
      <c r="AE270" s="692" t="n"/>
      <c r="AF270" s="692" t="n"/>
      <c r="AG270" s="692" t="n"/>
      <c r="AH270" s="692" t="n"/>
      <c r="AI270" s="692" t="n"/>
      <c r="AJ270" s="692" t="n"/>
      <c r="AK270" s="692" t="n"/>
      <c r="AL270" s="692" t="n"/>
      <c r="AM270" s="692" t="n"/>
      <c r="AN270" s="692" t="n"/>
      <c r="AO270" s="692" t="n"/>
      <c r="AP270" s="692" t="n"/>
      <c r="AQ270" s="692" t="n"/>
      <c r="AR270" s="692" t="n"/>
      <c r="AS270" s="692" t="n"/>
    </row>
    <row r="271">
      <c r="A271" s="427" t="inlineStr">
        <is>
          <t>F</t>
        </is>
      </c>
      <c r="B271" s="616" t="inlineStr">
        <is>
          <t>400 IM</t>
        </is>
      </c>
      <c r="C271" s="616" t="n">
        <v>17</v>
      </c>
      <c r="D271" s="221" t="n">
        <v>2</v>
      </c>
      <c r="E271" s="127" t="inlineStr">
        <is>
          <t>4:45.98</t>
        </is>
      </c>
      <c r="F271" s="692" t="n"/>
      <c r="H271" s="692" t="n"/>
      <c r="AB271" s="692" t="n"/>
      <c r="AC271" s="692" t="n"/>
      <c r="AD271" s="692" t="n"/>
      <c r="AE271" s="692" t="n"/>
      <c r="AF271" s="692" t="n"/>
      <c r="AG271" s="692" t="n"/>
      <c r="AH271" s="692" t="n"/>
      <c r="AI271" s="692" t="n"/>
      <c r="AJ271" s="692" t="n"/>
      <c r="AK271" s="692" t="n"/>
      <c r="AL271" s="692" t="n"/>
      <c r="AM271" s="692" t="n"/>
      <c r="AN271" s="692" t="n"/>
      <c r="AO271" s="692" t="n"/>
      <c r="AP271" s="692" t="n"/>
      <c r="AQ271" s="692" t="n"/>
      <c r="AR271" s="692" t="n"/>
      <c r="AS271" s="692" t="n"/>
    </row>
    <row r="272">
      <c r="A272" s="420" t="inlineStr">
        <is>
          <t>F</t>
        </is>
      </c>
      <c r="B272" s="593" t="inlineStr">
        <is>
          <t>400 IM</t>
        </is>
      </c>
      <c r="C272" s="593" t="n">
        <v>18</v>
      </c>
      <c r="D272" s="219" t="n">
        <v>2</v>
      </c>
      <c r="E272" s="128" t="inlineStr">
        <is>
          <t>4:44.11</t>
        </is>
      </c>
      <c r="F272" s="692" t="n"/>
      <c r="H272" s="692" t="n"/>
      <c r="AB272" s="692" t="n"/>
      <c r="AC272" s="692" t="n"/>
      <c r="AD272" s="692" t="n"/>
      <c r="AE272" s="692" t="n"/>
      <c r="AF272" s="692" t="n"/>
      <c r="AG272" s="692" t="n"/>
      <c r="AH272" s="692" t="n"/>
      <c r="AI272" s="692" t="n"/>
      <c r="AJ272" s="692" t="n"/>
      <c r="AK272" s="692" t="n"/>
      <c r="AL272" s="692" t="n"/>
      <c r="AM272" s="692" t="n"/>
      <c r="AN272" s="692" t="n"/>
      <c r="AO272" s="692" t="n"/>
      <c r="AP272" s="692" t="n"/>
      <c r="AQ272" s="692" t="n"/>
      <c r="AR272" s="692" t="n"/>
      <c r="AS272" s="692" t="n"/>
    </row>
    <row r="273">
      <c r="A273" s="427" t="inlineStr">
        <is>
          <t>F</t>
        </is>
      </c>
      <c r="B273" s="616" t="inlineStr">
        <is>
          <t>400 IM</t>
        </is>
      </c>
      <c r="C273" s="616" t="n">
        <v>19</v>
      </c>
      <c r="D273" s="221" t="n">
        <v>2</v>
      </c>
      <c r="E273" s="127" t="inlineStr">
        <is>
          <t>4:43.06</t>
        </is>
      </c>
      <c r="F273" s="692" t="n"/>
      <c r="H273" s="692" t="n"/>
      <c r="AB273" s="692" t="n"/>
      <c r="AC273" s="692" t="n"/>
      <c r="AD273" s="692" t="n"/>
      <c r="AE273" s="692" t="n"/>
      <c r="AF273" s="692" t="n"/>
      <c r="AG273" s="692" t="n"/>
      <c r="AH273" s="692" t="n"/>
      <c r="AI273" s="692" t="n"/>
      <c r="AJ273" s="692" t="n"/>
      <c r="AK273" s="692" t="n"/>
      <c r="AL273" s="692" t="n"/>
      <c r="AM273" s="692" t="n"/>
      <c r="AN273" s="692" t="n"/>
      <c r="AO273" s="692" t="n"/>
      <c r="AP273" s="692" t="n"/>
      <c r="AQ273" s="692" t="n"/>
      <c r="AR273" s="692" t="n"/>
      <c r="AS273" s="692" t="n"/>
    </row>
    <row r="274">
      <c r="A274" s="420" t="inlineStr">
        <is>
          <t>M</t>
        </is>
      </c>
      <c r="B274" s="593" t="inlineStr">
        <is>
          <t>50 Free</t>
        </is>
      </c>
      <c r="C274" s="593" t="n">
        <v>18</v>
      </c>
      <c r="D274" s="593" t="n">
        <v>2</v>
      </c>
      <c r="E274" s="128" t="inlineStr">
        <is>
          <t>23.09</t>
        </is>
      </c>
      <c r="F274" s="692" t="n"/>
      <c r="H274" s="692" t="n"/>
      <c r="AB274" s="692" t="n"/>
      <c r="AC274" s="692" t="n"/>
      <c r="AD274" s="692" t="n"/>
      <c r="AE274" s="692" t="n"/>
      <c r="AF274" s="692" t="n"/>
      <c r="AG274" s="692" t="n"/>
      <c r="AH274" s="692" t="n"/>
      <c r="AI274" s="692" t="n"/>
      <c r="AJ274" s="692" t="n"/>
      <c r="AK274" s="692" t="n"/>
      <c r="AL274" s="692" t="n"/>
      <c r="AM274" s="692" t="n"/>
      <c r="AN274" s="692" t="n"/>
      <c r="AO274" s="692" t="n"/>
      <c r="AP274" s="692" t="n"/>
      <c r="AQ274" s="692" t="n"/>
      <c r="AR274" s="692" t="n"/>
      <c r="AS274" s="692" t="n"/>
    </row>
    <row r="275">
      <c r="A275" s="427" t="inlineStr">
        <is>
          <t>M</t>
        </is>
      </c>
      <c r="B275" s="616" t="inlineStr">
        <is>
          <t>50 Free</t>
        </is>
      </c>
      <c r="C275" s="616" t="n">
        <v>19</v>
      </c>
      <c r="D275" s="616" t="n">
        <v>2</v>
      </c>
      <c r="E275" s="127" t="inlineStr">
        <is>
          <t>22.69</t>
        </is>
      </c>
      <c r="F275" s="692" t="n"/>
      <c r="H275" s="692" t="n"/>
      <c r="AB275" s="692" t="n"/>
      <c r="AC275" s="158" t="n"/>
      <c r="AD275" s="158" t="n"/>
      <c r="AE275" s="692" t="n"/>
      <c r="AF275" s="692" t="n"/>
      <c r="AG275" s="692" t="n"/>
      <c r="AH275" s="692" t="n"/>
      <c r="AI275" s="692" t="n"/>
      <c r="AJ275" s="692" t="n"/>
      <c r="AK275" s="692" t="n"/>
      <c r="AL275" s="692" t="n"/>
      <c r="AM275" s="692" t="n"/>
      <c r="AN275" s="692" t="n"/>
      <c r="AO275" s="692" t="n"/>
      <c r="AP275" s="692" t="n"/>
      <c r="AQ275" s="692" t="n"/>
      <c r="AR275" s="692" t="n"/>
      <c r="AS275" s="692" t="n"/>
    </row>
    <row r="276">
      <c r="A276" s="420" t="inlineStr">
        <is>
          <t>M</t>
        </is>
      </c>
      <c r="B276" s="593" t="inlineStr">
        <is>
          <t>50 Free</t>
        </is>
      </c>
      <c r="C276" s="593" t="n">
        <v>20</v>
      </c>
      <c r="D276" s="593" t="n">
        <v>2</v>
      </c>
      <c r="E276" s="128" t="inlineStr">
        <is>
          <t>22.41</t>
        </is>
      </c>
      <c r="F276" s="692" t="n"/>
      <c r="H276" s="692" t="n"/>
      <c r="AB276" s="158" t="n"/>
      <c r="AC276" s="158" t="n"/>
      <c r="AD276" s="158" t="n"/>
      <c r="AE276" s="692" t="n"/>
      <c r="AF276" s="692" t="n"/>
      <c r="AG276" s="692" t="n"/>
      <c r="AH276" s="692" t="n"/>
      <c r="AI276" s="692" t="n"/>
      <c r="AJ276" s="692" t="n"/>
      <c r="AK276" s="692" t="n"/>
      <c r="AL276" s="692" t="n"/>
      <c r="AM276" s="692" t="n"/>
      <c r="AN276" s="692" t="n"/>
      <c r="AO276" s="692" t="n"/>
      <c r="AP276" s="692" t="n"/>
      <c r="AQ276" s="692" t="n"/>
      <c r="AR276" s="692" t="n"/>
      <c r="AS276" s="692" t="n"/>
    </row>
    <row r="277">
      <c r="A277" s="427" t="inlineStr">
        <is>
          <t>M</t>
        </is>
      </c>
      <c r="B277" s="616" t="inlineStr">
        <is>
          <t>50 Free</t>
        </is>
      </c>
      <c r="C277" s="616" t="n">
        <v>21</v>
      </c>
      <c r="D277" s="616" t="n">
        <v>2</v>
      </c>
      <c r="E277" s="127" t="inlineStr">
        <is>
          <t>22.22</t>
        </is>
      </c>
      <c r="F277" s="692" t="n"/>
      <c r="H277" s="692" t="n"/>
      <c r="AB277" s="158" t="n"/>
      <c r="AC277" s="158" t="n"/>
      <c r="AD277" s="158" t="n"/>
      <c r="AE277" s="692" t="n"/>
      <c r="AF277" s="692" t="n"/>
      <c r="AG277" s="692" t="n"/>
      <c r="AH277" s="692" t="n"/>
      <c r="AI277" s="692" t="n"/>
      <c r="AJ277" s="692" t="n"/>
      <c r="AK277" s="692" t="n"/>
      <c r="AL277" s="692" t="n"/>
      <c r="AM277" s="692" t="n"/>
      <c r="AN277" s="692" t="n"/>
      <c r="AO277" s="692" t="n"/>
      <c r="AP277" s="692" t="n"/>
      <c r="AQ277" s="692" t="n"/>
      <c r="AR277" s="692" t="n"/>
      <c r="AS277" s="692" t="n"/>
    </row>
    <row r="278">
      <c r="A278" s="420" t="inlineStr">
        <is>
          <t>M</t>
        </is>
      </c>
      <c r="B278" s="593" t="inlineStr">
        <is>
          <t>50 Free</t>
        </is>
      </c>
      <c r="C278" s="593" t="n">
        <v>22</v>
      </c>
      <c r="D278" s="593" t="n">
        <v>2</v>
      </c>
      <c r="E278" s="128" t="inlineStr">
        <is>
          <t>22.11</t>
        </is>
      </c>
      <c r="F278" s="692" t="n"/>
      <c r="H278" s="692" t="n"/>
      <c r="AB278" s="158" t="n"/>
      <c r="AC278" s="158" t="n"/>
      <c r="AD278" s="158" t="n"/>
      <c r="AE278" s="692" t="n"/>
      <c r="AF278" s="692" t="n"/>
      <c r="AG278" s="692" t="n"/>
      <c r="AH278" s="692" t="n"/>
      <c r="AI278" s="692" t="n"/>
      <c r="AJ278" s="692" t="n"/>
      <c r="AK278" s="692" t="n"/>
      <c r="AL278" s="692" t="n"/>
      <c r="AM278" s="692" t="n"/>
      <c r="AN278" s="692" t="n"/>
      <c r="AO278" s="692" t="n"/>
      <c r="AP278" s="692" t="n"/>
      <c r="AQ278" s="692" t="n"/>
      <c r="AR278" s="692" t="n"/>
      <c r="AS278" s="692" t="n"/>
    </row>
    <row r="279">
      <c r="A279" s="427" t="inlineStr">
        <is>
          <t>M</t>
        </is>
      </c>
      <c r="B279" s="616" t="inlineStr">
        <is>
          <t>50 Free</t>
        </is>
      </c>
      <c r="C279" s="616" t="n">
        <v>23</v>
      </c>
      <c r="D279" s="616" t="n">
        <v>2</v>
      </c>
      <c r="E279" s="127" t="inlineStr">
        <is>
          <t>22.05</t>
        </is>
      </c>
      <c r="F279" s="692" t="n"/>
      <c r="H279" s="692" t="n"/>
      <c r="AB279" s="158" t="n"/>
      <c r="AC279" s="158" t="n"/>
      <c r="AD279" s="158" t="n"/>
      <c r="AE279" s="692" t="n"/>
      <c r="AF279" s="692" t="n"/>
      <c r="AG279" s="692" t="n"/>
      <c r="AH279" s="692" t="n"/>
      <c r="AI279" s="692" t="n"/>
      <c r="AJ279" s="692" t="n"/>
      <c r="AK279" s="692" t="n"/>
      <c r="AL279" s="692" t="n"/>
      <c r="AM279" s="692" t="n"/>
      <c r="AN279" s="692" t="n"/>
      <c r="AO279" s="692" t="n"/>
      <c r="AP279" s="692" t="n"/>
      <c r="AQ279" s="692" t="n"/>
      <c r="AR279" s="692" t="n"/>
      <c r="AS279" s="692" t="n"/>
    </row>
    <row r="280">
      <c r="A280" s="420" t="inlineStr">
        <is>
          <t>M</t>
        </is>
      </c>
      <c r="B280" s="593" t="inlineStr">
        <is>
          <t>100 Free</t>
        </is>
      </c>
      <c r="C280" s="593" t="n">
        <v>16</v>
      </c>
      <c r="D280" s="593" t="n">
        <v>2</v>
      </c>
      <c r="E280" s="128" t="inlineStr">
        <is>
          <t>52.43</t>
        </is>
      </c>
      <c r="F280" s="692" t="n"/>
      <c r="H280" s="692" t="n"/>
      <c r="AB280" s="692" t="n"/>
      <c r="AC280" s="692" t="n"/>
      <c r="AD280" s="692" t="n"/>
      <c r="AE280" s="692" t="n"/>
      <c r="AF280" s="692" t="n"/>
      <c r="AG280" s="692" t="n"/>
      <c r="AH280" s="692" t="n"/>
      <c r="AI280" s="692" t="n"/>
      <c r="AJ280" s="692" t="n"/>
      <c r="AK280" s="692" t="n"/>
      <c r="AL280" s="692" t="n"/>
      <c r="AM280" s="692" t="n"/>
      <c r="AN280" s="692" t="n"/>
      <c r="AO280" s="692" t="n"/>
      <c r="AP280" s="692" t="n"/>
      <c r="AQ280" s="692" t="n"/>
      <c r="AR280" s="692" t="n"/>
      <c r="AS280" s="692" t="n"/>
    </row>
    <row r="281">
      <c r="A281" s="427" t="inlineStr">
        <is>
          <t>M</t>
        </is>
      </c>
      <c r="B281" s="616" t="inlineStr">
        <is>
          <t>100 Free</t>
        </is>
      </c>
      <c r="C281" s="616" t="n">
        <v>17</v>
      </c>
      <c r="D281" s="616" t="n">
        <v>2</v>
      </c>
      <c r="E281" s="127" t="inlineStr">
        <is>
          <t>51.02</t>
        </is>
      </c>
      <c r="F281" s="692" t="n"/>
      <c r="H281" s="692" t="n"/>
      <c r="V281" s="692" t="n"/>
      <c r="W281" s="692" t="n"/>
      <c r="X281" s="692" t="n"/>
      <c r="AB281" s="692" t="n"/>
      <c r="AC281" s="692" t="n"/>
      <c r="AD281" s="692" t="n"/>
      <c r="AE281" s="692" t="n"/>
      <c r="AF281" s="692" t="n"/>
      <c r="AG281" s="692" t="n"/>
      <c r="AH281" s="692" t="n"/>
      <c r="AI281" s="692" t="n"/>
      <c r="AJ281" s="692" t="n"/>
      <c r="AK281" s="692" t="n"/>
      <c r="AL281" s="692" t="n"/>
      <c r="AM281" s="692" t="n"/>
      <c r="AN281" s="692" t="n"/>
      <c r="AO281" s="692" t="n"/>
      <c r="AP281" s="692" t="n"/>
      <c r="AQ281" s="692" t="n"/>
      <c r="AR281" s="692" t="n"/>
      <c r="AS281" s="692" t="n"/>
    </row>
    <row r="282">
      <c r="A282" s="420" t="inlineStr">
        <is>
          <t>M</t>
        </is>
      </c>
      <c r="B282" s="593" t="inlineStr">
        <is>
          <t>100 Free</t>
        </is>
      </c>
      <c r="C282" s="593" t="n">
        <v>18</v>
      </c>
      <c r="D282" s="593" t="n">
        <v>2</v>
      </c>
      <c r="E282" s="128" t="inlineStr">
        <is>
          <t>49.98</t>
        </is>
      </c>
      <c r="F282" s="692" t="n"/>
      <c r="H282" s="692" t="n"/>
      <c r="R282" s="692" t="n"/>
      <c r="S282" s="692" t="n"/>
      <c r="T282" s="692" t="n"/>
      <c r="V282" s="692" t="n"/>
      <c r="W282" s="692" t="n"/>
      <c r="X282" s="692" t="n"/>
      <c r="AB282" s="692" t="n"/>
      <c r="AC282" s="692" t="n"/>
      <c r="AD282" s="692" t="n"/>
      <c r="AE282" s="692" t="n"/>
      <c r="AF282" s="692" t="n"/>
      <c r="AG282" s="692" t="n"/>
      <c r="AH282" s="692" t="n"/>
      <c r="AI282" s="692" t="n"/>
      <c r="AJ282" s="692" t="n"/>
      <c r="AK282" s="692" t="n"/>
      <c r="AL282" s="692" t="n"/>
      <c r="AM282" s="692" t="n"/>
      <c r="AN282" s="692" t="n"/>
      <c r="AO282" s="692" t="n"/>
      <c r="AP282" s="692" t="n"/>
      <c r="AQ282" s="692" t="n"/>
      <c r="AR282" s="692" t="n"/>
      <c r="AS282" s="692" t="n"/>
    </row>
    <row r="283">
      <c r="A283" s="427" t="inlineStr">
        <is>
          <t>M</t>
        </is>
      </c>
      <c r="B283" s="616" t="inlineStr">
        <is>
          <t>100 Free</t>
        </is>
      </c>
      <c r="C283" s="616" t="n">
        <v>19</v>
      </c>
      <c r="D283" s="616" t="n">
        <v>2</v>
      </c>
      <c r="E283" s="127" t="inlineStr">
        <is>
          <t>49.23</t>
        </is>
      </c>
      <c r="F283" s="692" t="n"/>
      <c r="G283" s="692" t="n"/>
      <c r="H283" s="692" t="n"/>
      <c r="I283" s="692" t="n"/>
      <c r="J283" s="692" t="n"/>
      <c r="K283" s="692" t="n"/>
      <c r="M283" s="692" t="n"/>
      <c r="N283" s="692" t="n"/>
      <c r="O283" s="692" t="n"/>
      <c r="P283" s="692" t="n"/>
      <c r="Q283" s="692" t="n"/>
      <c r="R283" s="692" t="n"/>
      <c r="S283" s="692" t="n"/>
      <c r="T283" s="692" t="n"/>
      <c r="U283" s="692" t="n"/>
      <c r="V283" s="692" t="n"/>
      <c r="W283" s="692" t="n"/>
      <c r="X283" s="692" t="n"/>
      <c r="Y283" s="692" t="n"/>
      <c r="Z283" s="692" t="n"/>
      <c r="AA283" s="692" t="n"/>
      <c r="AB283" s="692" t="n"/>
      <c r="AC283" s="692" t="n"/>
      <c r="AD283" s="692" t="n"/>
      <c r="AE283" s="692" t="n"/>
      <c r="AF283" s="692" t="n"/>
      <c r="AG283" s="692" t="n"/>
      <c r="AH283" s="692" t="n"/>
      <c r="AI283" s="692" t="n"/>
      <c r="AJ283" s="692" t="n"/>
      <c r="AK283" s="692" t="n"/>
      <c r="AL283" s="692" t="n"/>
      <c r="AM283" s="692" t="n"/>
      <c r="AN283" s="692" t="n"/>
      <c r="AO283" s="692" t="n"/>
      <c r="AP283" s="692" t="n"/>
      <c r="AQ283" s="692" t="n"/>
      <c r="AR283" s="692" t="n"/>
      <c r="AS283" s="692" t="n"/>
    </row>
    <row r="284">
      <c r="A284" s="420" t="inlineStr">
        <is>
          <t>M</t>
        </is>
      </c>
      <c r="B284" s="593" t="inlineStr">
        <is>
          <t>100 Free</t>
        </is>
      </c>
      <c r="C284" s="593" t="n">
        <v>20</v>
      </c>
      <c r="D284" s="593" t="n">
        <v>2</v>
      </c>
      <c r="E284" s="128" t="inlineStr">
        <is>
          <t>48.72</t>
        </is>
      </c>
      <c r="F284" s="692" t="n"/>
      <c r="G284" s="692" t="n"/>
      <c r="H284" s="692" t="n"/>
      <c r="I284" s="692" t="n"/>
      <c r="J284" s="692" t="n"/>
      <c r="K284" s="692" t="n"/>
      <c r="L284" s="692" t="n"/>
      <c r="M284" s="692" t="n"/>
      <c r="N284" s="692" t="n"/>
      <c r="O284" s="692" t="n"/>
      <c r="P284" s="692" t="n"/>
      <c r="Q284" s="692" t="n"/>
      <c r="R284" s="692" t="n"/>
      <c r="S284" s="692" t="n"/>
      <c r="T284" s="692" t="n"/>
      <c r="U284" s="692" t="n"/>
      <c r="V284" s="692" t="n"/>
      <c r="W284" s="692" t="n"/>
      <c r="X284" s="692" t="n"/>
      <c r="Y284" s="692" t="n"/>
      <c r="Z284" s="692" t="n"/>
      <c r="AA284" s="692" t="n"/>
      <c r="AB284" s="692" t="n"/>
      <c r="AC284" s="692" t="n"/>
      <c r="AD284" s="692" t="n"/>
      <c r="AE284" s="692" t="n"/>
      <c r="AF284" s="692" t="n"/>
      <c r="AG284" s="692" t="n"/>
      <c r="AH284" s="692" t="n"/>
      <c r="AI284" s="692" t="n"/>
      <c r="AJ284" s="692" t="n"/>
      <c r="AK284" s="692" t="n"/>
      <c r="AL284" s="692" t="n"/>
      <c r="AM284" s="692" t="n"/>
      <c r="AN284" s="692" t="n"/>
      <c r="AO284" s="692" t="n"/>
      <c r="AP284" s="692" t="n"/>
      <c r="AQ284" s="692" t="n"/>
      <c r="AR284" s="692" t="n"/>
      <c r="AS284" s="692" t="n"/>
    </row>
    <row r="285">
      <c r="A285" s="427" t="inlineStr">
        <is>
          <t>M</t>
        </is>
      </c>
      <c r="B285" s="616" t="inlineStr">
        <is>
          <t>100 Free</t>
        </is>
      </c>
      <c r="C285" s="616" t="n">
        <v>21</v>
      </c>
      <c r="D285" s="616" t="n">
        <v>2</v>
      </c>
      <c r="E285" s="127" t="inlineStr">
        <is>
          <t>48.34</t>
        </is>
      </c>
      <c r="F285" s="692" t="n"/>
      <c r="G285" s="692" t="n"/>
      <c r="H285" s="692" t="n"/>
      <c r="I285" s="692" t="n"/>
      <c r="J285" s="692" t="n"/>
      <c r="K285" s="692" t="n"/>
      <c r="L285" s="692" t="n"/>
      <c r="M285" s="692" t="n"/>
      <c r="N285" s="692" t="n"/>
      <c r="O285" s="692" t="n"/>
      <c r="P285" s="692" t="n"/>
      <c r="Q285" s="692" t="n"/>
      <c r="R285" s="692" t="n"/>
      <c r="S285" s="692" t="n"/>
      <c r="T285" s="692" t="n"/>
      <c r="U285" s="692" t="n"/>
      <c r="V285" s="692" t="n"/>
      <c r="W285" s="692" t="n"/>
      <c r="X285" s="692" t="n"/>
      <c r="Y285" s="692" t="n"/>
      <c r="Z285" s="692" t="n"/>
      <c r="AA285" s="692" t="n"/>
      <c r="AB285" s="692" t="n"/>
      <c r="AC285" s="692" t="n"/>
      <c r="AD285" s="692" t="n"/>
      <c r="AE285" s="692" t="n"/>
      <c r="AF285" s="692" t="n"/>
      <c r="AG285" s="692" t="n"/>
      <c r="AH285" s="692" t="n"/>
      <c r="AI285" s="692" t="n"/>
      <c r="AJ285" s="692" t="n"/>
      <c r="AK285" s="692" t="n"/>
      <c r="AL285" s="692" t="n"/>
      <c r="AM285" s="692" t="n"/>
      <c r="AN285" s="692" t="n"/>
      <c r="AO285" s="692" t="n"/>
      <c r="AP285" s="692" t="n"/>
      <c r="AQ285" s="692" t="n"/>
      <c r="AR285" s="692" t="n"/>
      <c r="AS285" s="692" t="n"/>
    </row>
    <row r="286">
      <c r="A286" s="420" t="inlineStr">
        <is>
          <t>M</t>
        </is>
      </c>
      <c r="B286" s="593" t="inlineStr">
        <is>
          <t>200 Free</t>
        </is>
      </c>
      <c r="C286" s="593" t="n">
        <v>16</v>
      </c>
      <c r="D286" s="593" t="n">
        <v>2</v>
      </c>
      <c r="E286" s="128" t="inlineStr">
        <is>
          <t>1:54.33</t>
        </is>
      </c>
      <c r="F286" s="692" t="n"/>
      <c r="G286" s="692" t="n"/>
      <c r="H286" s="692" t="n"/>
      <c r="I286" s="692" t="n"/>
      <c r="J286" s="692" t="n"/>
      <c r="K286" s="692" t="n"/>
      <c r="L286" s="692" t="n"/>
      <c r="M286" s="692" t="n"/>
      <c r="N286" s="692" t="n"/>
      <c r="O286" s="692" t="n"/>
      <c r="P286" s="692" t="n"/>
      <c r="Q286" s="692" t="n"/>
      <c r="R286" s="692" t="n"/>
      <c r="S286" s="692" t="n"/>
      <c r="T286" s="692" t="n"/>
      <c r="U286" s="692" t="n"/>
      <c r="V286" s="692" t="n"/>
      <c r="W286" s="692" t="n"/>
      <c r="X286" s="692" t="n"/>
      <c r="Y286" s="692" t="n"/>
      <c r="Z286" s="692" t="n"/>
      <c r="AA286" s="692" t="n"/>
      <c r="AB286" s="692" t="n"/>
      <c r="AC286" s="692" t="n"/>
      <c r="AD286" s="692" t="n"/>
      <c r="AE286" s="692" t="n"/>
      <c r="AF286" s="692" t="n"/>
      <c r="AG286" s="692" t="n"/>
      <c r="AH286" s="692" t="n"/>
      <c r="AI286" s="692" t="n"/>
      <c r="AJ286" s="692" t="n"/>
      <c r="AK286" s="692" t="n"/>
      <c r="AL286" s="692" t="n"/>
      <c r="AM286" s="692" t="n"/>
      <c r="AN286" s="692" t="n"/>
      <c r="AO286" s="692" t="n"/>
      <c r="AP286" s="692" t="n"/>
      <c r="AQ286" s="692" t="n"/>
      <c r="AR286" s="692" t="n"/>
      <c r="AS286" s="692" t="n"/>
    </row>
    <row r="287">
      <c r="A287" s="427" t="inlineStr">
        <is>
          <t>M</t>
        </is>
      </c>
      <c r="B287" s="616" t="inlineStr">
        <is>
          <t>200 Free</t>
        </is>
      </c>
      <c r="C287" s="616" t="n">
        <v>17</v>
      </c>
      <c r="D287" s="616" t="n">
        <v>2</v>
      </c>
      <c r="E287" s="127" t="inlineStr">
        <is>
          <t>1:51.47</t>
        </is>
      </c>
      <c r="F287" s="692" t="n"/>
      <c r="G287" s="692" t="n"/>
      <c r="H287" s="692" t="n"/>
      <c r="I287" s="692" t="n"/>
      <c r="J287" s="692" t="n"/>
      <c r="K287" s="692" t="n"/>
      <c r="L287" s="692" t="n"/>
      <c r="M287" s="692" t="n"/>
      <c r="N287" s="692" t="n"/>
      <c r="O287" s="692" t="n"/>
      <c r="P287" s="692" t="n"/>
      <c r="Q287" s="692" t="n"/>
      <c r="R287" s="692" t="n"/>
      <c r="S287" s="692" t="n"/>
      <c r="T287" s="692" t="n"/>
      <c r="U287" s="692" t="n"/>
      <c r="V287" s="692" t="n"/>
      <c r="W287" s="692" t="n"/>
      <c r="X287" s="692" t="n"/>
      <c r="Y287" s="692" t="n"/>
      <c r="Z287" s="692" t="n"/>
      <c r="AA287" s="692" t="n"/>
      <c r="AB287" s="692" t="n"/>
      <c r="AC287" s="692" t="n"/>
      <c r="AD287" s="692" t="n"/>
      <c r="AE287" s="692" t="n"/>
      <c r="AF287" s="692" t="n"/>
      <c r="AG287" s="692" t="n"/>
      <c r="AH287" s="692" t="n"/>
      <c r="AI287" s="692" t="n"/>
      <c r="AJ287" s="692" t="n"/>
      <c r="AK287" s="692" t="n"/>
      <c r="AL287" s="692" t="n"/>
      <c r="AM287" s="692" t="n"/>
      <c r="AN287" s="692" t="n"/>
      <c r="AO287" s="692" t="n"/>
      <c r="AP287" s="692" t="n"/>
      <c r="AQ287" s="692" t="n"/>
      <c r="AR287" s="692" t="n"/>
      <c r="AS287" s="692" t="n"/>
    </row>
    <row r="288">
      <c r="A288" s="420" t="inlineStr">
        <is>
          <t>M</t>
        </is>
      </c>
      <c r="B288" s="593" t="inlineStr">
        <is>
          <t>200 Free</t>
        </is>
      </c>
      <c r="C288" s="593" t="n">
        <v>18</v>
      </c>
      <c r="D288" s="593" t="n">
        <v>2</v>
      </c>
      <c r="E288" s="128" t="inlineStr">
        <is>
          <t>1:49.53</t>
        </is>
      </c>
      <c r="F288" s="692" t="n"/>
      <c r="G288" s="692" t="n"/>
      <c r="H288" s="692" t="n"/>
      <c r="I288" s="692" t="n"/>
      <c r="J288" s="692" t="n"/>
      <c r="K288" s="692" t="n"/>
      <c r="L288" s="692" t="n"/>
      <c r="M288" s="692" t="n"/>
      <c r="N288" s="692" t="n"/>
      <c r="O288" s="692" t="n"/>
      <c r="P288" s="692" t="n"/>
      <c r="Q288" s="692" t="n"/>
      <c r="R288" s="692" t="n"/>
      <c r="S288" s="692" t="n"/>
      <c r="T288" s="692" t="n"/>
      <c r="U288" s="692" t="n"/>
      <c r="V288" s="692" t="n"/>
      <c r="W288" s="692" t="n"/>
      <c r="X288" s="692" t="n"/>
      <c r="Y288" s="692" t="n"/>
      <c r="Z288" s="692" t="n"/>
      <c r="AA288" s="692" t="n"/>
      <c r="AB288" s="692" t="n"/>
      <c r="AC288" s="692" t="n"/>
      <c r="AD288" s="692" t="n"/>
      <c r="AE288" s="692" t="n"/>
      <c r="AF288" s="692" t="n"/>
      <c r="AG288" s="692" t="n"/>
      <c r="AH288" s="692" t="n"/>
      <c r="AI288" s="692" t="n"/>
      <c r="AJ288" s="692" t="n"/>
      <c r="AK288" s="692" t="n"/>
      <c r="AL288" s="692" t="n"/>
      <c r="AM288" s="692" t="n"/>
      <c r="AN288" s="692" t="n"/>
      <c r="AO288" s="692" t="n"/>
      <c r="AP288" s="692" t="n"/>
      <c r="AQ288" s="692" t="n"/>
      <c r="AR288" s="692" t="n"/>
      <c r="AS288" s="692" t="n"/>
    </row>
    <row r="289">
      <c r="A289" s="427" t="inlineStr">
        <is>
          <t>M</t>
        </is>
      </c>
      <c r="B289" s="616" t="inlineStr">
        <is>
          <t>200 Free</t>
        </is>
      </c>
      <c r="C289" s="616" t="n">
        <v>19</v>
      </c>
      <c r="D289" s="616" t="n">
        <v>2</v>
      </c>
      <c r="E289" s="127" t="inlineStr">
        <is>
          <t>1:48.20</t>
        </is>
      </c>
      <c r="F289" s="692" t="n"/>
      <c r="G289" s="692" t="n"/>
      <c r="H289" s="692" t="n"/>
      <c r="I289" s="692" t="n"/>
      <c r="J289" s="692" t="n"/>
      <c r="K289" s="692" t="n"/>
      <c r="L289" s="692" t="n"/>
      <c r="M289" s="692" t="n"/>
      <c r="N289" s="692" t="n"/>
      <c r="O289" s="692" t="n"/>
      <c r="P289" s="692" t="n"/>
      <c r="Q289" s="692" t="n"/>
      <c r="R289" s="692" t="n"/>
      <c r="S289" s="692" t="n"/>
      <c r="T289" s="692" t="n"/>
      <c r="U289" s="692" t="n"/>
      <c r="V289" s="692" t="n"/>
      <c r="W289" s="692" t="n"/>
      <c r="X289" s="692" t="n"/>
      <c r="Y289" s="692" t="n"/>
      <c r="Z289" s="692" t="n"/>
      <c r="AA289" s="692" t="n"/>
      <c r="AB289" s="692" t="n"/>
      <c r="AC289" s="692" t="n"/>
      <c r="AD289" s="692" t="n"/>
      <c r="AE289" s="692" t="n"/>
      <c r="AF289" s="692" t="n"/>
      <c r="AG289" s="692" t="n"/>
      <c r="AH289" s="692" t="n"/>
      <c r="AI289" s="692" t="n"/>
      <c r="AJ289" s="692" t="n"/>
      <c r="AK289" s="692" t="n"/>
      <c r="AL289" s="692" t="n"/>
      <c r="AM289" s="692" t="n"/>
      <c r="AN289" s="692" t="n"/>
      <c r="AO289" s="692" t="n"/>
      <c r="AP289" s="692" t="n"/>
      <c r="AQ289" s="692" t="n"/>
      <c r="AR289" s="692" t="n"/>
      <c r="AS289" s="692" t="n"/>
    </row>
    <row r="290">
      <c r="A290" s="420" t="inlineStr">
        <is>
          <t>M</t>
        </is>
      </c>
      <c r="B290" s="593" t="inlineStr">
        <is>
          <t>200 Free</t>
        </is>
      </c>
      <c r="C290" s="593" t="n">
        <v>20</v>
      </c>
      <c r="D290" s="593" t="n">
        <v>2</v>
      </c>
      <c r="E290" s="128" t="inlineStr">
        <is>
          <t>1:47.30</t>
        </is>
      </c>
      <c r="F290" s="692" t="n"/>
      <c r="G290" s="692" t="n"/>
      <c r="H290" s="692" t="n"/>
      <c r="I290" s="692" t="n"/>
      <c r="J290" s="692" t="n"/>
      <c r="K290" s="692" t="n"/>
      <c r="L290" s="692" t="n"/>
      <c r="M290" s="692" t="n"/>
      <c r="N290" s="692" t="n"/>
      <c r="O290" s="692" t="n"/>
      <c r="P290" s="692" t="n"/>
      <c r="Q290" s="692" t="n"/>
      <c r="R290" s="692" t="n"/>
      <c r="S290" s="692" t="n"/>
      <c r="T290" s="692" t="n"/>
      <c r="U290" s="692" t="n"/>
      <c r="V290" s="692" t="n"/>
      <c r="W290" s="692" t="n"/>
      <c r="X290" s="692" t="n"/>
      <c r="Y290" s="692" t="n"/>
      <c r="Z290" s="692" t="n"/>
      <c r="AA290" s="692" t="n"/>
      <c r="AB290" s="692" t="n"/>
      <c r="AC290" s="692" t="n"/>
      <c r="AD290" s="692" t="n"/>
      <c r="AE290" s="692" t="n"/>
      <c r="AF290" s="692" t="n"/>
      <c r="AG290" s="692" t="n"/>
      <c r="AH290" s="692" t="n"/>
      <c r="AI290" s="692" t="n"/>
      <c r="AJ290" s="692" t="n"/>
      <c r="AK290" s="692" t="n"/>
      <c r="AL290" s="692" t="n"/>
      <c r="AM290" s="692" t="n"/>
      <c r="AN290" s="692" t="n"/>
      <c r="AO290" s="692" t="n"/>
      <c r="AP290" s="692" t="n"/>
      <c r="AQ290" s="692" t="n"/>
      <c r="AR290" s="692" t="n"/>
      <c r="AS290" s="692" t="n"/>
    </row>
    <row r="291">
      <c r="A291" s="427" t="inlineStr">
        <is>
          <t>M</t>
        </is>
      </c>
      <c r="B291" s="616" t="inlineStr">
        <is>
          <t>200 Free</t>
        </is>
      </c>
      <c r="C291" s="616" t="n">
        <v>21</v>
      </c>
      <c r="D291" s="616" t="n">
        <v>2</v>
      </c>
      <c r="E291" s="127" t="inlineStr">
        <is>
          <t>1:46.70</t>
        </is>
      </c>
      <c r="F291" s="692" t="n"/>
      <c r="G291" s="692" t="n"/>
      <c r="H291" s="692" t="n"/>
      <c r="I291" s="692" t="n"/>
      <c r="J291" s="692" t="n"/>
      <c r="K291" s="692" t="n"/>
      <c r="L291" s="692" t="n"/>
      <c r="M291" s="692" t="n"/>
      <c r="N291" s="692" t="n"/>
      <c r="O291" s="692" t="n"/>
      <c r="P291" s="692" t="n"/>
      <c r="Q291" s="692" t="n"/>
      <c r="R291" s="692" t="n"/>
      <c r="S291" s="692" t="n"/>
      <c r="T291" s="692" t="n"/>
      <c r="U291" s="692" t="n"/>
      <c r="V291" s="692" t="n"/>
      <c r="W291" s="692" t="n"/>
      <c r="X291" s="692" t="n"/>
      <c r="Y291" s="692" t="n"/>
      <c r="Z291" s="692" t="n"/>
      <c r="AA291" s="692" t="n"/>
      <c r="AB291" s="692" t="n"/>
      <c r="AC291" s="692" t="n"/>
      <c r="AD291" s="692" t="n"/>
      <c r="AE291" s="692" t="n"/>
      <c r="AF291" s="692" t="n"/>
      <c r="AG291" s="692" t="n"/>
      <c r="AH291" s="692" t="n"/>
      <c r="AI291" s="692" t="n"/>
      <c r="AJ291" s="692" t="n"/>
      <c r="AK291" s="692" t="n"/>
      <c r="AL291" s="692" t="n"/>
      <c r="AM291" s="692" t="n"/>
      <c r="AN291" s="692" t="n"/>
      <c r="AO291" s="692" t="n"/>
      <c r="AP291" s="692" t="n"/>
      <c r="AQ291" s="692" t="n"/>
      <c r="AR291" s="692" t="n"/>
      <c r="AS291" s="692" t="n"/>
    </row>
    <row r="292">
      <c r="A292" s="420" t="inlineStr">
        <is>
          <t>M</t>
        </is>
      </c>
      <c r="B292" s="593" t="inlineStr">
        <is>
          <t>400 Free</t>
        </is>
      </c>
      <c r="C292" s="593" t="n">
        <v>16</v>
      </c>
      <c r="D292" s="593" t="n">
        <v>2</v>
      </c>
      <c r="E292" s="128" t="inlineStr">
        <is>
          <t>4:03.63</t>
        </is>
      </c>
      <c r="F292" s="692" t="n"/>
      <c r="G292" s="692" t="n"/>
      <c r="H292" s="692" t="n"/>
      <c r="I292" s="692" t="n"/>
      <c r="J292" s="692" t="n"/>
      <c r="K292" s="692" t="n"/>
      <c r="L292" s="692" t="n"/>
      <c r="M292" s="692" t="n"/>
      <c r="N292" s="692" t="n"/>
      <c r="O292" s="692" t="n"/>
      <c r="P292" s="692" t="n"/>
      <c r="Q292" s="692" t="n"/>
      <c r="R292" s="692" t="n"/>
      <c r="S292" s="692" t="n"/>
      <c r="T292" s="692" t="n"/>
      <c r="U292" s="692" t="n"/>
      <c r="V292" s="692" t="n"/>
      <c r="W292" s="692" t="n"/>
      <c r="X292" s="692" t="n"/>
      <c r="Y292" s="692" t="n"/>
      <c r="Z292" s="692" t="n"/>
      <c r="AA292" s="692" t="n"/>
      <c r="AB292" s="692" t="n"/>
      <c r="AC292" s="692" t="n"/>
      <c r="AD292" s="692" t="n"/>
      <c r="AE292" s="692" t="n"/>
      <c r="AF292" s="692" t="n"/>
      <c r="AG292" s="692" t="n"/>
      <c r="AH292" s="692" t="n"/>
      <c r="AI292" s="692" t="n"/>
      <c r="AJ292" s="692" t="n"/>
      <c r="AK292" s="692" t="n"/>
      <c r="AL292" s="692" t="n"/>
      <c r="AM292" s="692" t="n"/>
      <c r="AN292" s="692" t="n"/>
      <c r="AO292" s="692" t="n"/>
      <c r="AP292" s="692" t="n"/>
      <c r="AQ292" s="692" t="n"/>
      <c r="AR292" s="692" t="n"/>
      <c r="AS292" s="692" t="n"/>
    </row>
    <row r="293">
      <c r="A293" s="427" t="inlineStr">
        <is>
          <t>M</t>
        </is>
      </c>
      <c r="B293" s="616" t="inlineStr">
        <is>
          <t>400 Free</t>
        </is>
      </c>
      <c r="C293" s="616" t="n">
        <v>17</v>
      </c>
      <c r="D293" s="616" t="n">
        <v>2</v>
      </c>
      <c r="E293" s="127" t="inlineStr">
        <is>
          <t>3:57.61</t>
        </is>
      </c>
      <c r="F293" s="692" t="n"/>
      <c r="G293" s="692" t="n"/>
      <c r="H293" s="692" t="n"/>
      <c r="I293" s="692" t="n"/>
      <c r="J293" s="692" t="n"/>
      <c r="K293" s="692" t="n"/>
      <c r="L293" s="692" t="n"/>
      <c r="M293" s="692" t="n"/>
      <c r="N293" s="692" t="n"/>
      <c r="O293" s="692" t="n"/>
      <c r="P293" s="692" t="n"/>
      <c r="Q293" s="692" t="n"/>
      <c r="R293" s="692" t="n"/>
      <c r="S293" s="692" t="n"/>
      <c r="T293" s="692" t="n"/>
      <c r="U293" s="692" t="n"/>
      <c r="Y293" s="692" t="n"/>
      <c r="Z293" s="692" t="n"/>
      <c r="AA293" s="692" t="n"/>
      <c r="AB293" s="692" t="n"/>
      <c r="AC293" s="692" t="n"/>
      <c r="AD293" s="692" t="n"/>
      <c r="AE293" s="692" t="n"/>
      <c r="AF293" s="692" t="n"/>
      <c r="AG293" s="692" t="n"/>
      <c r="AH293" s="692" t="n"/>
      <c r="AI293" s="692" t="n"/>
      <c r="AJ293" s="692" t="n"/>
      <c r="AK293" s="692" t="n"/>
      <c r="AL293" s="692" t="n"/>
      <c r="AM293" s="692" t="n"/>
      <c r="AN293" s="692" t="n"/>
      <c r="AO293" s="692" t="n"/>
      <c r="AP293" s="692" t="n"/>
      <c r="AQ293" s="692" t="n"/>
      <c r="AR293" s="692" t="n"/>
      <c r="AS293" s="692" t="n"/>
    </row>
    <row r="294">
      <c r="A294" s="420" t="inlineStr">
        <is>
          <t>M</t>
        </is>
      </c>
      <c r="B294" s="593" t="inlineStr">
        <is>
          <t>400 Free</t>
        </is>
      </c>
      <c r="C294" s="593" t="n">
        <v>18</v>
      </c>
      <c r="D294" s="593" t="n">
        <v>2</v>
      </c>
      <c r="E294" s="128" t="inlineStr">
        <is>
          <t>3:53.56</t>
        </is>
      </c>
      <c r="F294" s="692" t="n"/>
      <c r="G294" s="692" t="n"/>
      <c r="H294" s="692" t="n"/>
      <c r="I294" s="692" t="n"/>
      <c r="J294" s="692" t="n"/>
      <c r="K294" s="692" t="n"/>
      <c r="L294" s="692" t="n"/>
      <c r="M294" s="692" t="n"/>
      <c r="N294" s="692" t="n"/>
      <c r="O294" s="692" t="n"/>
      <c r="P294" s="692" t="n"/>
      <c r="Q294" s="692" t="n"/>
      <c r="U294" s="692" t="n"/>
      <c r="V294" s="692" t="n"/>
      <c r="W294" s="692" t="n"/>
      <c r="X294" s="692" t="n"/>
      <c r="Y294" s="692" t="n"/>
      <c r="Z294" s="692" t="n"/>
      <c r="AA294" s="692" t="n"/>
      <c r="AB294" s="692" t="n"/>
      <c r="AC294" s="692" t="n"/>
      <c r="AD294" s="692" t="n"/>
      <c r="AE294" s="692" t="n"/>
      <c r="AF294" s="692" t="n"/>
      <c r="AG294" s="692" t="n"/>
      <c r="AH294" s="692" t="n"/>
      <c r="AI294" s="692" t="n"/>
      <c r="AJ294" s="692" t="n"/>
      <c r="AK294" s="692" t="n"/>
      <c r="AL294" s="692" t="n"/>
      <c r="AM294" s="692" t="n"/>
      <c r="AN294" s="692" t="n"/>
      <c r="AO294" s="692" t="n"/>
      <c r="AP294" s="692" t="n"/>
      <c r="AQ294" s="692" t="n"/>
      <c r="AR294" s="692" t="n"/>
      <c r="AS294" s="692" t="n"/>
    </row>
    <row r="295">
      <c r="A295" s="427" t="inlineStr">
        <is>
          <t>M</t>
        </is>
      </c>
      <c r="B295" s="616" t="inlineStr">
        <is>
          <t>400 Free</t>
        </is>
      </c>
      <c r="C295" s="616" t="n">
        <v>19</v>
      </c>
      <c r="D295" s="616" t="n">
        <v>2</v>
      </c>
      <c r="E295" s="127" t="inlineStr">
        <is>
          <t>3:50.84</t>
        </is>
      </c>
      <c r="G295" s="692" t="n"/>
      <c r="H295" s="692" t="n"/>
      <c r="L295" s="692" t="n"/>
      <c r="R295" s="692" t="n"/>
      <c r="S295" s="692" t="n"/>
      <c r="T295" s="692" t="n"/>
      <c r="V295" s="692" t="n"/>
      <c r="W295" s="692" t="n"/>
      <c r="X295" s="692" t="n"/>
    </row>
    <row r="296">
      <c r="A296" s="420" t="inlineStr">
        <is>
          <t>M</t>
        </is>
      </c>
      <c r="B296" s="593" t="inlineStr">
        <is>
          <t>400 Free</t>
        </is>
      </c>
      <c r="C296" s="593" t="n">
        <v>20</v>
      </c>
      <c r="D296" s="593" t="n">
        <v>2</v>
      </c>
      <c r="E296" s="128" t="inlineStr">
        <is>
          <t>3:49.11</t>
        </is>
      </c>
      <c r="F296" s="692" t="n"/>
      <c r="G296" s="692" t="n"/>
      <c r="H296" s="692" t="n"/>
      <c r="I296" s="692" t="n"/>
      <c r="J296" s="692" t="n"/>
      <c r="K296" s="692" t="n"/>
      <c r="M296" s="692" t="n"/>
      <c r="N296" s="692" t="n"/>
      <c r="O296" s="692" t="n"/>
      <c r="P296" s="692" t="n"/>
      <c r="Q296" s="692" t="n"/>
      <c r="R296" s="692" t="n"/>
      <c r="S296" s="692" t="n"/>
      <c r="T296" s="692" t="n"/>
      <c r="U296" s="692" t="n"/>
      <c r="V296" s="692" t="n"/>
      <c r="W296" s="692" t="n"/>
      <c r="X296" s="692" t="n"/>
      <c r="Y296" s="692" t="n"/>
      <c r="Z296" s="692" t="n"/>
      <c r="AA296" s="692" t="n"/>
      <c r="AB296" s="692" t="n"/>
      <c r="AC296" s="692" t="n"/>
      <c r="AD296" s="692" t="n"/>
      <c r="AE296" s="692" t="n"/>
      <c r="AF296" s="692" t="n"/>
      <c r="AG296" s="692" t="n"/>
      <c r="AH296" s="692" t="n"/>
      <c r="AI296" s="692" t="n"/>
      <c r="AJ296" s="692" t="n"/>
      <c r="AK296" s="692" t="n"/>
      <c r="AL296" s="692" t="n"/>
      <c r="AM296" s="692" t="n"/>
      <c r="AN296" s="692" t="n"/>
      <c r="AO296" s="692" t="n"/>
      <c r="AP296" s="692" t="n"/>
      <c r="AQ296" s="692" t="n"/>
      <c r="AR296" s="692" t="n"/>
      <c r="AS296" s="692" t="n"/>
    </row>
    <row r="297">
      <c r="A297" s="427" t="inlineStr">
        <is>
          <t>M</t>
        </is>
      </c>
      <c r="B297" s="616" t="inlineStr">
        <is>
          <t>400 Free</t>
        </is>
      </c>
      <c r="C297" s="616" t="n">
        <v>21</v>
      </c>
      <c r="D297" s="616" t="n">
        <v>2</v>
      </c>
      <c r="E297" s="127" t="inlineStr">
        <is>
          <t>3:48.15</t>
        </is>
      </c>
      <c r="F297" s="692" t="n"/>
      <c r="G297" s="692" t="n"/>
      <c r="H297" s="692" t="n"/>
      <c r="I297" s="692" t="n"/>
      <c r="J297" s="692" t="n"/>
      <c r="K297" s="692" t="n"/>
      <c r="L297" s="692" t="n"/>
      <c r="M297" s="692" t="n"/>
      <c r="N297" s="692" t="n"/>
      <c r="O297" s="692" t="n"/>
      <c r="P297" s="692" t="n"/>
      <c r="Q297" s="692" t="n"/>
      <c r="R297" s="692" t="n"/>
      <c r="S297" s="692" t="n"/>
      <c r="T297" s="692" t="n"/>
      <c r="U297" s="692" t="n"/>
      <c r="V297" s="692" t="n"/>
      <c r="W297" s="692" t="n"/>
      <c r="X297" s="692" t="n"/>
      <c r="Y297" s="692" t="n"/>
      <c r="Z297" s="692" t="n"/>
      <c r="AA297" s="692" t="n"/>
      <c r="AB297" s="692" t="n"/>
      <c r="AC297" s="692" t="n"/>
      <c r="AD297" s="692" t="n"/>
      <c r="AE297" s="692" t="n"/>
      <c r="AF297" s="692" t="n"/>
      <c r="AG297" s="692" t="n"/>
      <c r="AH297" s="692" t="n"/>
      <c r="AI297" s="692" t="n"/>
      <c r="AJ297" s="692" t="n"/>
      <c r="AK297" s="692" t="n"/>
      <c r="AL297" s="692" t="n"/>
      <c r="AM297" s="692" t="n"/>
      <c r="AN297" s="692" t="n"/>
      <c r="AO297" s="692" t="n"/>
      <c r="AP297" s="692" t="n"/>
      <c r="AQ297" s="692" t="n"/>
      <c r="AR297" s="692" t="n"/>
      <c r="AS297" s="692" t="n"/>
    </row>
    <row r="298">
      <c r="A298" s="420" t="inlineStr">
        <is>
          <t>M</t>
        </is>
      </c>
      <c r="B298" s="593" t="inlineStr">
        <is>
          <t>800 Free</t>
        </is>
      </c>
      <c r="C298" s="593" t="n">
        <v>16</v>
      </c>
      <c r="D298" s="593" t="n">
        <v>2</v>
      </c>
      <c r="E298" s="128" t="inlineStr">
        <is>
          <t>8:20.18</t>
        </is>
      </c>
      <c r="F298" s="692" t="n"/>
      <c r="G298" s="692" t="n"/>
      <c r="H298" s="692" t="n"/>
      <c r="I298" s="692" t="n"/>
      <c r="J298" s="692" t="n"/>
      <c r="K298" s="692" t="n"/>
      <c r="L298" s="692" t="n"/>
      <c r="M298" s="692" t="n"/>
      <c r="N298" s="692" t="n"/>
      <c r="O298" s="692" t="n"/>
      <c r="P298" s="692" t="n"/>
      <c r="Q298" s="692" t="n"/>
      <c r="R298" s="692" t="n"/>
      <c r="S298" s="692" t="n"/>
      <c r="T298" s="692" t="n"/>
      <c r="U298" s="692" t="n"/>
      <c r="V298" s="692" t="n"/>
      <c r="W298" s="692" t="n"/>
      <c r="X298" s="692" t="n"/>
      <c r="Y298" s="692" t="n"/>
      <c r="Z298" s="692" t="n"/>
      <c r="AA298" s="692" t="n"/>
      <c r="AB298" s="692" t="n"/>
      <c r="AC298" s="692" t="n"/>
      <c r="AD298" s="692" t="n"/>
      <c r="AE298" s="692" t="n"/>
      <c r="AF298" s="692" t="n"/>
      <c r="AG298" s="692" t="n"/>
      <c r="AH298" s="692" t="n"/>
      <c r="AI298" s="692" t="n"/>
      <c r="AJ298" s="692" t="n"/>
      <c r="AK298" s="692" t="n"/>
      <c r="AL298" s="692" t="n"/>
      <c r="AM298" s="692" t="n"/>
      <c r="AN298" s="692" t="n"/>
      <c r="AO298" s="692" t="n"/>
      <c r="AP298" s="692" t="n"/>
      <c r="AQ298" s="692" t="n"/>
      <c r="AR298" s="692" t="n"/>
      <c r="AS298" s="692" t="n"/>
    </row>
    <row r="299">
      <c r="A299" s="427" t="inlineStr">
        <is>
          <t>M</t>
        </is>
      </c>
      <c r="B299" s="616" t="inlineStr">
        <is>
          <t>800 Free</t>
        </is>
      </c>
      <c r="C299" s="616" t="n">
        <v>17</v>
      </c>
      <c r="D299" s="616" t="n">
        <v>2</v>
      </c>
      <c r="E299" s="127" t="inlineStr">
        <is>
          <t>8:07.85</t>
        </is>
      </c>
      <c r="F299" s="692" t="n"/>
      <c r="G299" s="692" t="n"/>
      <c r="H299" s="692" t="n"/>
      <c r="I299" s="692" t="n"/>
      <c r="J299" s="692" t="n"/>
      <c r="K299" s="692" t="n"/>
      <c r="L299" s="692" t="n"/>
      <c r="M299" s="692" t="n"/>
      <c r="N299" s="692" t="n"/>
      <c r="O299" s="692" t="n"/>
      <c r="P299" s="692" t="n"/>
      <c r="Q299" s="692" t="n"/>
      <c r="R299" s="692" t="n"/>
      <c r="S299" s="692" t="n"/>
      <c r="T299" s="692" t="n"/>
      <c r="U299" s="692" t="n"/>
      <c r="V299" s="692" t="n"/>
      <c r="W299" s="692" t="n"/>
      <c r="X299" s="692" t="n"/>
      <c r="Y299" s="692" t="n"/>
      <c r="Z299" s="692" t="n"/>
      <c r="AA299" s="692" t="n"/>
      <c r="AB299" s="692" t="n"/>
      <c r="AC299" s="692" t="n"/>
      <c r="AD299" s="692" t="n"/>
      <c r="AE299" s="692" t="n"/>
      <c r="AF299" s="692" t="n"/>
      <c r="AG299" s="692" t="n"/>
      <c r="AH299" s="692" t="n"/>
      <c r="AI299" s="692" t="n"/>
      <c r="AJ299" s="692" t="n"/>
      <c r="AK299" s="692" t="n"/>
      <c r="AL299" s="692" t="n"/>
      <c r="AM299" s="692" t="n"/>
      <c r="AN299" s="692" t="n"/>
      <c r="AO299" s="692" t="n"/>
      <c r="AP299" s="692" t="n"/>
      <c r="AQ299" s="692" t="n"/>
      <c r="AR299" s="692" t="n"/>
      <c r="AS299" s="692" t="n"/>
    </row>
    <row r="300">
      <c r="A300" s="420" t="inlineStr">
        <is>
          <t>M</t>
        </is>
      </c>
      <c r="B300" s="593" t="inlineStr">
        <is>
          <t>800 Free</t>
        </is>
      </c>
      <c r="C300" s="593" t="n">
        <v>18</v>
      </c>
      <c r="D300" s="593" t="n">
        <v>2</v>
      </c>
      <c r="E300" s="128" t="inlineStr">
        <is>
          <t>7:59.36</t>
        </is>
      </c>
      <c r="F300" s="692" t="n"/>
      <c r="G300" s="692" t="n"/>
      <c r="H300" s="692" t="n"/>
      <c r="I300" s="692" t="n"/>
      <c r="J300" s="692" t="n"/>
      <c r="K300" s="692" t="n"/>
      <c r="L300" s="692" t="n"/>
      <c r="M300" s="692" t="n"/>
      <c r="N300" s="692" t="n"/>
      <c r="O300" s="692" t="n"/>
      <c r="P300" s="692" t="n"/>
      <c r="Q300" s="692" t="n"/>
      <c r="R300" s="692" t="n"/>
      <c r="S300" s="692" t="n"/>
      <c r="T300" s="692" t="n"/>
      <c r="U300" s="692" t="n"/>
      <c r="V300" s="692" t="n"/>
      <c r="W300" s="692" t="n"/>
      <c r="X300" s="692" t="n"/>
      <c r="Y300" s="692" t="n"/>
      <c r="Z300" s="692" t="n"/>
      <c r="AA300" s="692" t="n"/>
      <c r="AB300" s="692" t="n"/>
      <c r="AC300" s="692" t="n"/>
      <c r="AD300" s="692" t="n"/>
      <c r="AE300" s="692" t="n"/>
      <c r="AF300" s="692" t="n"/>
      <c r="AG300" s="692" t="n"/>
      <c r="AH300" s="692" t="n"/>
      <c r="AI300" s="692" t="n"/>
      <c r="AJ300" s="692" t="n"/>
      <c r="AK300" s="692" t="n"/>
      <c r="AL300" s="692" t="n"/>
      <c r="AM300" s="692" t="n"/>
      <c r="AN300" s="692" t="n"/>
      <c r="AO300" s="692" t="n"/>
      <c r="AP300" s="692" t="n"/>
      <c r="AQ300" s="692" t="n"/>
      <c r="AR300" s="692" t="n"/>
      <c r="AS300" s="692" t="n"/>
    </row>
    <row r="301">
      <c r="A301" s="427" t="inlineStr">
        <is>
          <t>M</t>
        </is>
      </c>
      <c r="B301" s="616" t="inlineStr">
        <is>
          <t>800 Free</t>
        </is>
      </c>
      <c r="C301" s="616" t="n">
        <v>19</v>
      </c>
      <c r="D301" s="616" t="n">
        <v>2</v>
      </c>
      <c r="E301" s="127" t="inlineStr">
        <is>
          <t>7:53.93</t>
        </is>
      </c>
      <c r="F301" s="692" t="n"/>
      <c r="G301" s="692" t="n"/>
      <c r="H301" s="692" t="n"/>
      <c r="I301" s="692" t="n"/>
      <c r="J301" s="692" t="n"/>
      <c r="K301" s="692" t="n"/>
      <c r="L301" s="692" t="n"/>
      <c r="M301" s="692" t="n"/>
      <c r="N301" s="692" t="n"/>
      <c r="O301" s="692" t="n"/>
      <c r="P301" s="692" t="n"/>
      <c r="Q301" s="692" t="n"/>
      <c r="R301" s="692" t="n"/>
      <c r="S301" s="692" t="n"/>
      <c r="T301" s="692" t="n"/>
      <c r="U301" s="692" t="n"/>
      <c r="V301" s="692" t="n"/>
      <c r="W301" s="692" t="n"/>
      <c r="X301" s="692" t="n"/>
      <c r="Y301" s="692" t="n"/>
      <c r="Z301" s="692" t="n"/>
      <c r="AA301" s="692" t="n"/>
      <c r="AB301" s="692" t="n"/>
      <c r="AC301" s="692" t="n"/>
      <c r="AD301" s="692" t="n"/>
      <c r="AE301" s="692" t="n"/>
      <c r="AF301" s="692" t="n"/>
      <c r="AG301" s="692" t="n"/>
      <c r="AH301" s="692" t="n"/>
      <c r="AI301" s="692" t="n"/>
      <c r="AJ301" s="692" t="n"/>
      <c r="AK301" s="692" t="n"/>
      <c r="AL301" s="692" t="n"/>
      <c r="AM301" s="692" t="n"/>
      <c r="AN301" s="692" t="n"/>
      <c r="AO301" s="692" t="n"/>
      <c r="AP301" s="692" t="n"/>
      <c r="AQ301" s="692" t="n"/>
      <c r="AR301" s="692" t="n"/>
      <c r="AS301" s="692" t="n"/>
    </row>
    <row r="302">
      <c r="A302" s="420" t="inlineStr">
        <is>
          <t>M</t>
        </is>
      </c>
      <c r="B302" s="593" t="inlineStr">
        <is>
          <t>800 Free</t>
        </is>
      </c>
      <c r="C302" s="593" t="n">
        <v>20</v>
      </c>
      <c r="D302" s="593" t="n">
        <v>2</v>
      </c>
      <c r="E302" s="128" t="inlineStr">
        <is>
          <t>7:50.66</t>
        </is>
      </c>
      <c r="F302" s="692" t="n"/>
      <c r="G302" s="692" t="n"/>
      <c r="H302" s="692" t="n"/>
      <c r="I302" s="692" t="n"/>
      <c r="J302" s="692" t="n"/>
      <c r="K302" s="692" t="n"/>
      <c r="L302" s="692" t="n"/>
      <c r="M302" s="692" t="n"/>
      <c r="N302" s="692" t="n"/>
      <c r="O302" s="692" t="n"/>
      <c r="P302" s="692" t="n"/>
      <c r="Q302" s="692" t="n"/>
      <c r="R302" s="692" t="n"/>
      <c r="S302" s="692" t="n"/>
      <c r="T302" s="692" t="n"/>
      <c r="U302" s="692" t="n"/>
      <c r="V302" s="692" t="n"/>
      <c r="W302" s="692" t="n"/>
      <c r="X302" s="692" t="n"/>
      <c r="Y302" s="692" t="n"/>
      <c r="Z302" s="692" t="n"/>
      <c r="AA302" s="692" t="n"/>
      <c r="AB302" s="692" t="n"/>
      <c r="AC302" s="692" t="n"/>
      <c r="AD302" s="692" t="n"/>
      <c r="AE302" s="692" t="n"/>
      <c r="AF302" s="692" t="n"/>
      <c r="AG302" s="692" t="n"/>
      <c r="AH302" s="692" t="n"/>
      <c r="AI302" s="692" t="n"/>
      <c r="AJ302" s="692" t="n"/>
      <c r="AK302" s="692" t="n"/>
      <c r="AL302" s="692" t="n"/>
      <c r="AM302" s="692" t="n"/>
      <c r="AN302" s="692" t="n"/>
      <c r="AO302" s="692" t="n"/>
      <c r="AP302" s="692" t="n"/>
      <c r="AQ302" s="692" t="n"/>
      <c r="AR302" s="692" t="n"/>
      <c r="AS302" s="692" t="n"/>
    </row>
    <row r="303">
      <c r="A303" s="427" t="inlineStr">
        <is>
          <t>M</t>
        </is>
      </c>
      <c r="B303" s="616" t="inlineStr">
        <is>
          <t>800 Free</t>
        </is>
      </c>
      <c r="C303" s="616" t="n">
        <v>21</v>
      </c>
      <c r="D303" s="616" t="n">
        <v>2</v>
      </c>
      <c r="E303" s="127" t="inlineStr">
        <is>
          <t>7:48.66</t>
        </is>
      </c>
      <c r="F303" s="692" t="n"/>
      <c r="G303" s="692" t="n"/>
      <c r="H303" s="692" t="n"/>
      <c r="I303" s="692" t="n"/>
      <c r="J303" s="692" t="n"/>
      <c r="K303" s="692" t="n"/>
      <c r="L303" s="692" t="n"/>
      <c r="M303" s="692" t="n"/>
      <c r="N303" s="692" t="n"/>
      <c r="O303" s="692" t="n"/>
      <c r="P303" s="692" t="n"/>
      <c r="Q303" s="692" t="n"/>
      <c r="R303" s="692" t="n"/>
      <c r="S303" s="692" t="n"/>
      <c r="T303" s="692" t="n"/>
      <c r="U303" s="692" t="n"/>
      <c r="V303" s="692" t="n"/>
      <c r="W303" s="692" t="n"/>
      <c r="X303" s="692" t="n"/>
      <c r="Y303" s="692" t="n"/>
      <c r="Z303" s="692" t="n"/>
      <c r="AA303" s="692" t="n"/>
      <c r="AB303" s="692" t="n"/>
      <c r="AC303" s="692" t="n"/>
      <c r="AD303" s="692" t="n"/>
      <c r="AE303" s="692" t="n"/>
      <c r="AF303" s="692" t="n"/>
      <c r="AG303" s="692" t="n"/>
      <c r="AH303" s="692" t="n"/>
      <c r="AI303" s="692" t="n"/>
      <c r="AJ303" s="692" t="n"/>
      <c r="AK303" s="692" t="n"/>
      <c r="AL303" s="692" t="n"/>
      <c r="AM303" s="692" t="n"/>
      <c r="AN303" s="692" t="n"/>
      <c r="AO303" s="692" t="n"/>
      <c r="AP303" s="692" t="n"/>
      <c r="AQ303" s="692" t="n"/>
      <c r="AR303" s="692" t="n"/>
      <c r="AS303" s="692" t="n"/>
    </row>
    <row r="304">
      <c r="A304" s="420" t="inlineStr">
        <is>
          <t>M</t>
        </is>
      </c>
      <c r="B304" s="593" t="inlineStr">
        <is>
          <t>1500 Free</t>
        </is>
      </c>
      <c r="C304" s="593" t="n">
        <v>16</v>
      </c>
      <c r="D304" s="593" t="n">
        <v>2</v>
      </c>
      <c r="E304" s="128" t="inlineStr">
        <is>
          <t>15:53.70</t>
        </is>
      </c>
      <c r="F304" s="692" t="n"/>
      <c r="G304" s="692" t="n"/>
      <c r="H304" s="692" t="n"/>
      <c r="I304" s="692" t="n"/>
      <c r="J304" s="692" t="n"/>
      <c r="K304" s="692" t="n"/>
      <c r="L304" s="692" t="n"/>
      <c r="M304" s="692" t="n"/>
      <c r="N304" s="692" t="n"/>
      <c r="O304" s="692" t="n"/>
      <c r="P304" s="692" t="n"/>
      <c r="Q304" s="692" t="n"/>
      <c r="R304" s="692" t="n"/>
      <c r="S304" s="692" t="n"/>
      <c r="T304" s="692" t="n"/>
      <c r="U304" s="692" t="n"/>
      <c r="V304" s="692" t="n"/>
      <c r="W304" s="692" t="n"/>
      <c r="X304" s="692" t="n"/>
      <c r="Y304" s="692" t="n"/>
      <c r="Z304" s="692" t="n"/>
      <c r="AA304" s="692" t="n"/>
      <c r="AB304" s="692" t="n"/>
      <c r="AC304" s="692" t="n"/>
      <c r="AD304" s="692" t="n"/>
      <c r="AE304" s="692" t="n"/>
      <c r="AF304" s="692" t="n"/>
      <c r="AG304" s="692" t="n"/>
      <c r="AH304" s="692" t="n"/>
      <c r="AI304" s="692" t="n"/>
      <c r="AJ304" s="692" t="n"/>
      <c r="AK304" s="692" t="n"/>
      <c r="AL304" s="692" t="n"/>
      <c r="AM304" s="692" t="n"/>
      <c r="AN304" s="692" t="n"/>
      <c r="AO304" s="692" t="n"/>
      <c r="AP304" s="692" t="n"/>
      <c r="AQ304" s="692" t="n"/>
      <c r="AR304" s="692" t="n"/>
      <c r="AS304" s="692" t="n"/>
    </row>
    <row r="305">
      <c r="A305" s="427" t="inlineStr">
        <is>
          <t>M</t>
        </is>
      </c>
      <c r="B305" s="616" t="inlineStr">
        <is>
          <t>1500 Free</t>
        </is>
      </c>
      <c r="C305" s="616" t="n">
        <v>17</v>
      </c>
      <c r="D305" s="616" t="n">
        <v>2</v>
      </c>
      <c r="E305" s="127" t="inlineStr">
        <is>
          <t>15:31.34</t>
        </is>
      </c>
      <c r="F305" s="692" t="n"/>
      <c r="G305" s="692" t="n"/>
      <c r="H305" s="692" t="n"/>
      <c r="I305" s="692" t="n"/>
      <c r="J305" s="692" t="n"/>
      <c r="K305" s="692" t="n"/>
      <c r="L305" s="692" t="n"/>
      <c r="M305" s="692" t="n"/>
      <c r="N305" s="692" t="n"/>
      <c r="O305" s="692" t="n"/>
      <c r="P305" s="692" t="n"/>
      <c r="Q305" s="692" t="n"/>
      <c r="R305" s="692" t="n"/>
      <c r="S305" s="692" t="n"/>
      <c r="T305" s="692" t="n"/>
      <c r="U305" s="692" t="n"/>
      <c r="V305" s="692" t="n"/>
      <c r="W305" s="692" t="n"/>
      <c r="X305" s="692" t="n"/>
      <c r="Y305" s="692" t="n"/>
      <c r="Z305" s="692" t="n"/>
      <c r="AA305" s="692" t="n"/>
      <c r="AB305" s="692" t="n"/>
      <c r="AC305" s="692" t="n"/>
      <c r="AD305" s="692" t="n"/>
      <c r="AE305" s="692" t="n"/>
      <c r="AF305" s="692" t="n"/>
      <c r="AG305" s="692" t="n"/>
      <c r="AH305" s="692" t="n"/>
      <c r="AI305" s="692" t="n"/>
      <c r="AJ305" s="692" t="n"/>
      <c r="AK305" s="692" t="n"/>
      <c r="AL305" s="692" t="n"/>
      <c r="AM305" s="692" t="n"/>
      <c r="AN305" s="692" t="n"/>
      <c r="AO305" s="692" t="n"/>
      <c r="AP305" s="692" t="n"/>
      <c r="AQ305" s="692" t="n"/>
      <c r="AR305" s="692" t="n"/>
      <c r="AS305" s="692" t="n"/>
    </row>
    <row r="306">
      <c r="A306" s="420" t="inlineStr">
        <is>
          <t>M</t>
        </is>
      </c>
      <c r="B306" s="593" t="inlineStr">
        <is>
          <t>1500 Free</t>
        </is>
      </c>
      <c r="C306" s="593" t="n">
        <v>18</v>
      </c>
      <c r="D306" s="593" t="n">
        <v>2</v>
      </c>
      <c r="E306" s="128" t="inlineStr">
        <is>
          <t>15:17.45</t>
        </is>
      </c>
      <c r="F306" s="692" t="n"/>
      <c r="G306" s="692" t="n"/>
      <c r="H306" s="692" t="n"/>
      <c r="I306" s="692" t="n"/>
      <c r="J306" s="692" t="n"/>
      <c r="K306" s="692" t="n"/>
      <c r="L306" s="692" t="n"/>
      <c r="M306" s="692" t="n"/>
      <c r="N306" s="692" t="n"/>
      <c r="O306" s="692" t="n"/>
      <c r="P306" s="692" t="n"/>
      <c r="Q306" s="692" t="n"/>
      <c r="R306" s="692" t="n"/>
      <c r="S306" s="692" t="n"/>
      <c r="T306" s="692" t="n"/>
      <c r="U306" s="692" t="n"/>
      <c r="V306" s="692" t="n"/>
      <c r="W306" s="692" t="n"/>
      <c r="X306" s="692" t="n"/>
      <c r="Y306" s="692" t="n"/>
      <c r="Z306" s="692" t="n"/>
      <c r="AA306" s="692" t="n"/>
      <c r="AB306" s="692" t="n"/>
      <c r="AC306" s="692" t="n"/>
      <c r="AD306" s="692" t="n"/>
      <c r="AE306" s="692" t="n"/>
      <c r="AF306" s="692" t="n"/>
      <c r="AG306" s="692" t="n"/>
      <c r="AH306" s="692" t="n"/>
      <c r="AI306" s="692" t="n"/>
      <c r="AJ306" s="692" t="n"/>
      <c r="AK306" s="692" t="n"/>
      <c r="AL306" s="692" t="n"/>
      <c r="AM306" s="692" t="n"/>
      <c r="AN306" s="692" t="n"/>
      <c r="AO306" s="692" t="n"/>
      <c r="AP306" s="692" t="n"/>
      <c r="AQ306" s="692" t="n"/>
      <c r="AR306" s="692" t="n"/>
      <c r="AS306" s="692" t="n"/>
    </row>
    <row r="307">
      <c r="A307" s="427" t="inlineStr">
        <is>
          <t>M</t>
        </is>
      </c>
      <c r="B307" s="616" t="inlineStr">
        <is>
          <t>1500 Free</t>
        </is>
      </c>
      <c r="C307" s="616" t="n">
        <v>19</v>
      </c>
      <c r="D307" s="616" t="n">
        <v>2</v>
      </c>
      <c r="E307" s="127" t="inlineStr">
        <is>
          <t>15:08.92</t>
        </is>
      </c>
      <c r="F307" s="692" t="n"/>
      <c r="G307" s="692" t="n"/>
      <c r="H307" s="692" t="n"/>
      <c r="I307" s="692" t="n"/>
      <c r="J307" s="692" t="n"/>
      <c r="K307" s="692" t="n"/>
      <c r="L307" s="692" t="n"/>
      <c r="M307" s="692" t="n"/>
      <c r="N307" s="692" t="n"/>
      <c r="O307" s="692" t="n"/>
      <c r="P307" s="692" t="n"/>
      <c r="Q307" s="692" t="n"/>
      <c r="R307" s="692" t="n"/>
      <c r="S307" s="692" t="n"/>
      <c r="T307" s="692" t="n"/>
      <c r="U307" s="692" t="n"/>
      <c r="V307" s="692" t="n"/>
      <c r="W307" s="692" t="n"/>
      <c r="X307" s="692" t="n"/>
      <c r="Y307" s="692" t="n"/>
      <c r="Z307" s="692" t="n"/>
      <c r="AA307" s="692" t="n"/>
      <c r="AB307" s="692" t="n"/>
      <c r="AC307" s="692" t="n"/>
      <c r="AD307" s="692" t="n"/>
      <c r="AE307" s="692" t="n"/>
      <c r="AF307" s="692" t="n"/>
      <c r="AG307" s="692" t="n"/>
      <c r="AH307" s="692" t="n"/>
      <c r="AI307" s="692" t="n"/>
      <c r="AJ307" s="692" t="n"/>
      <c r="AK307" s="692" t="n"/>
      <c r="AL307" s="692" t="n"/>
      <c r="AM307" s="692" t="n"/>
      <c r="AN307" s="692" t="n"/>
      <c r="AO307" s="692" t="n"/>
      <c r="AP307" s="692" t="n"/>
      <c r="AQ307" s="692" t="n"/>
      <c r="AR307" s="692" t="n"/>
      <c r="AS307" s="692" t="n"/>
    </row>
    <row r="308">
      <c r="A308" s="420" t="inlineStr">
        <is>
          <t>M</t>
        </is>
      </c>
      <c r="B308" s="593" t="inlineStr">
        <is>
          <t>1500 Free</t>
        </is>
      </c>
      <c r="C308" s="593" t="n">
        <v>20</v>
      </c>
      <c r="D308" s="593" t="n">
        <v>2</v>
      </c>
      <c r="E308" s="128" t="inlineStr">
        <is>
          <t>15:04.13</t>
        </is>
      </c>
      <c r="F308" s="692" t="n"/>
      <c r="G308" s="692" t="n"/>
      <c r="H308" s="692" t="n"/>
      <c r="I308" s="692" t="n"/>
      <c r="J308" s="692" t="n"/>
      <c r="K308" s="692" t="n"/>
      <c r="L308" s="692" t="n"/>
      <c r="M308" s="692" t="n"/>
      <c r="N308" s="692" t="n"/>
      <c r="O308" s="692" t="n"/>
      <c r="P308" s="692" t="n"/>
      <c r="Q308" s="692" t="n"/>
      <c r="R308" s="692" t="n"/>
      <c r="S308" s="692" t="n"/>
      <c r="T308" s="692" t="n"/>
      <c r="U308" s="692" t="n"/>
      <c r="V308" s="692" t="n"/>
      <c r="W308" s="692" t="n"/>
      <c r="X308" s="692" t="n"/>
      <c r="Y308" s="692" t="n"/>
      <c r="Z308" s="692" t="n"/>
      <c r="AA308" s="692" t="n"/>
      <c r="AB308" s="692" t="n"/>
      <c r="AC308" s="692" t="n"/>
      <c r="AD308" s="692" t="n"/>
      <c r="AE308" s="692" t="n"/>
      <c r="AF308" s="692" t="n"/>
      <c r="AG308" s="692" t="n"/>
      <c r="AH308" s="692" t="n"/>
      <c r="AI308" s="692" t="n"/>
      <c r="AJ308" s="692" t="n"/>
      <c r="AK308" s="692" t="n"/>
      <c r="AL308" s="692" t="n"/>
      <c r="AM308" s="692" t="n"/>
      <c r="AN308" s="692" t="n"/>
      <c r="AO308" s="692" t="n"/>
      <c r="AP308" s="692" t="n"/>
      <c r="AQ308" s="692" t="n"/>
      <c r="AR308" s="692" t="n"/>
      <c r="AS308" s="692" t="n"/>
    </row>
    <row r="309">
      <c r="A309" s="427" t="inlineStr">
        <is>
          <t>M</t>
        </is>
      </c>
      <c r="B309" s="616" t="inlineStr">
        <is>
          <t>1500 Free</t>
        </is>
      </c>
      <c r="C309" s="616" t="n">
        <v>21</v>
      </c>
      <c r="D309" s="616" t="n">
        <v>2</v>
      </c>
      <c r="E309" s="127" t="inlineStr">
        <is>
          <t>15:01.89</t>
        </is>
      </c>
      <c r="F309" s="692" t="n"/>
      <c r="G309" s="692" t="n"/>
      <c r="H309" s="692" t="n"/>
      <c r="I309" s="692" t="n"/>
      <c r="J309" s="692" t="n"/>
      <c r="K309" s="692" t="n"/>
      <c r="L309" s="692" t="n"/>
      <c r="M309" s="692" t="n"/>
      <c r="N309" s="692" t="n"/>
      <c r="O309" s="692" t="n"/>
      <c r="P309" s="692" t="n"/>
      <c r="Q309" s="692" t="n"/>
      <c r="R309" s="692" t="n"/>
      <c r="S309" s="692" t="n"/>
      <c r="T309" s="692" t="n"/>
      <c r="U309" s="692" t="n"/>
      <c r="V309" s="692" t="n"/>
      <c r="W309" s="692" t="n"/>
      <c r="X309" s="692" t="n"/>
      <c r="Y309" s="692" t="n"/>
      <c r="Z309" s="692" t="n"/>
      <c r="AA309" s="692" t="n"/>
      <c r="AB309" s="692" t="n"/>
      <c r="AC309" s="692" t="n"/>
      <c r="AD309" s="692" t="n"/>
      <c r="AE309" s="692" t="n"/>
      <c r="AF309" s="692" t="n"/>
      <c r="AG309" s="692" t="n"/>
      <c r="AH309" s="692" t="n"/>
      <c r="AI309" s="692" t="n"/>
      <c r="AJ309" s="692" t="n"/>
      <c r="AK309" s="692" t="n"/>
      <c r="AL309" s="692" t="n"/>
      <c r="AM309" s="692" t="n"/>
      <c r="AN309" s="692" t="n"/>
      <c r="AO309" s="692" t="n"/>
      <c r="AP309" s="692" t="n"/>
      <c r="AQ309" s="692" t="n"/>
      <c r="AR309" s="692" t="n"/>
      <c r="AS309" s="692" t="n"/>
    </row>
    <row r="310">
      <c r="A310" s="420" t="inlineStr">
        <is>
          <t>M</t>
        </is>
      </c>
      <c r="B310" s="593" t="inlineStr">
        <is>
          <t>50 Back</t>
        </is>
      </c>
      <c r="C310" s="593" t="n">
        <v>17</v>
      </c>
      <c r="D310" s="593" t="n">
        <v>2</v>
      </c>
      <c r="E310" s="128" t="inlineStr">
        <is>
          <t>26.73</t>
        </is>
      </c>
      <c r="F310" s="692" t="n"/>
      <c r="G310" s="692" t="n"/>
      <c r="H310" s="692" t="n"/>
      <c r="I310" s="692" t="n"/>
      <c r="J310" s="692" t="n"/>
      <c r="K310" s="692" t="n"/>
      <c r="L310" s="692" t="n"/>
      <c r="M310" s="692" t="n"/>
      <c r="N310" s="692" t="n"/>
      <c r="O310" s="692" t="n"/>
      <c r="P310" s="692" t="n"/>
      <c r="Q310" s="692" t="n"/>
      <c r="R310" s="692" t="n"/>
      <c r="S310" s="692" t="n"/>
      <c r="T310" s="692" t="n"/>
      <c r="U310" s="692" t="n"/>
      <c r="V310" s="692" t="n"/>
      <c r="W310" s="692" t="n"/>
      <c r="X310" s="692" t="n"/>
      <c r="Y310" s="692" t="n"/>
      <c r="Z310" s="692" t="n"/>
      <c r="AA310" s="692" t="n"/>
      <c r="AB310" s="692" t="n"/>
      <c r="AC310" s="692" t="n"/>
    </row>
    <row r="311">
      <c r="A311" s="427" t="inlineStr">
        <is>
          <t>M</t>
        </is>
      </c>
      <c r="B311" s="616" t="inlineStr">
        <is>
          <t>50 Back</t>
        </is>
      </c>
      <c r="C311" s="616" t="n">
        <v>18</v>
      </c>
      <c r="D311" s="616" t="n">
        <v>2</v>
      </c>
      <c r="E311" s="127" t="inlineStr">
        <is>
          <t>26.10</t>
        </is>
      </c>
      <c r="F311" s="692" t="n"/>
      <c r="G311" s="692" t="n"/>
      <c r="H311" s="692" t="n"/>
      <c r="I311" s="692" t="n"/>
      <c r="J311" s="692" t="n"/>
      <c r="K311" s="692" t="n"/>
      <c r="L311" s="692" t="n"/>
      <c r="M311" s="692" t="n"/>
      <c r="N311" s="692" t="n"/>
      <c r="O311" s="692" t="n"/>
      <c r="P311" s="692" t="n"/>
      <c r="Q311" s="692" t="n"/>
      <c r="R311" s="692" t="n"/>
      <c r="S311" s="692" t="n"/>
      <c r="T311" s="692" t="n"/>
      <c r="U311" s="692" t="n"/>
      <c r="V311" s="692" t="n"/>
      <c r="W311" s="692" t="n"/>
      <c r="X311" s="692" t="n"/>
      <c r="Y311" s="692" t="n"/>
      <c r="Z311" s="692" t="n"/>
      <c r="AA311" s="692" t="n"/>
      <c r="AB311" s="692" t="n"/>
      <c r="AC311" s="692" t="n"/>
    </row>
    <row r="312">
      <c r="A312" s="420" t="inlineStr">
        <is>
          <t>M</t>
        </is>
      </c>
      <c r="B312" s="593" t="inlineStr">
        <is>
          <t>50 Back</t>
        </is>
      </c>
      <c r="C312" s="593" t="n">
        <v>19</v>
      </c>
      <c r="D312" s="593" t="n">
        <v>2</v>
      </c>
      <c r="E312" s="128" t="inlineStr">
        <is>
          <t>25.64</t>
        </is>
      </c>
      <c r="F312" s="692" t="n"/>
      <c r="G312" s="692" t="n"/>
      <c r="H312" s="692" t="n"/>
      <c r="I312" s="692" t="n"/>
      <c r="J312" s="692" t="n"/>
      <c r="K312" s="692" t="n"/>
      <c r="L312" s="692" t="n"/>
      <c r="M312" s="692" t="n"/>
      <c r="N312" s="692" t="n"/>
      <c r="O312" s="692" t="n"/>
      <c r="P312" s="692" t="n"/>
      <c r="Q312" s="692" t="n"/>
      <c r="R312" s="692" t="n"/>
      <c r="S312" s="692" t="n"/>
      <c r="T312" s="692" t="n"/>
      <c r="U312" s="692" t="n"/>
      <c r="V312" s="692" t="n"/>
      <c r="W312" s="692" t="n"/>
      <c r="X312" s="692" t="n"/>
      <c r="Y312" s="692" t="n"/>
      <c r="Z312" s="692" t="n"/>
      <c r="AA312" s="692" t="n"/>
      <c r="AB312" s="692" t="n"/>
      <c r="AC312" s="692" t="n"/>
    </row>
    <row r="313">
      <c r="A313" s="427" t="inlineStr">
        <is>
          <t>M</t>
        </is>
      </c>
      <c r="B313" s="616" t="inlineStr">
        <is>
          <t>50 Back</t>
        </is>
      </c>
      <c r="C313" s="616" t="n">
        <v>20</v>
      </c>
      <c r="D313" s="616" t="n">
        <v>2</v>
      </c>
      <c r="E313" s="127" t="inlineStr">
        <is>
          <t>25.35</t>
        </is>
      </c>
      <c r="F313" s="692" t="n"/>
      <c r="G313" s="692" t="n"/>
      <c r="H313" s="692" t="n"/>
      <c r="I313" s="692" t="n"/>
      <c r="J313" s="692" t="n"/>
      <c r="K313" s="692" t="n"/>
      <c r="L313" s="692" t="n"/>
      <c r="M313" s="692" t="n"/>
      <c r="N313" s="692" t="n"/>
      <c r="O313" s="692" t="n"/>
      <c r="P313" s="692" t="n"/>
      <c r="Q313" s="692" t="n"/>
      <c r="R313" s="692" t="n"/>
      <c r="S313" s="692" t="n"/>
      <c r="T313" s="692" t="n"/>
      <c r="U313" s="692" t="n"/>
      <c r="V313" s="692" t="n"/>
      <c r="W313" s="692" t="n"/>
      <c r="X313" s="692" t="n"/>
      <c r="Y313" s="692" t="n"/>
      <c r="Z313" s="692" t="n"/>
      <c r="AA313" s="692" t="n"/>
      <c r="AB313" s="692" t="n"/>
      <c r="AC313" s="692" t="n"/>
    </row>
    <row r="314">
      <c r="A314" s="420" t="inlineStr">
        <is>
          <t>M</t>
        </is>
      </c>
      <c r="B314" s="593" t="inlineStr">
        <is>
          <t>50 Back</t>
        </is>
      </c>
      <c r="C314" s="593" t="n">
        <v>21</v>
      </c>
      <c r="D314" s="593" t="n">
        <v>2</v>
      </c>
      <c r="E314" s="128" t="inlineStr">
        <is>
          <t>25.19</t>
        </is>
      </c>
      <c r="F314" s="692" t="n"/>
      <c r="G314" s="692" t="n"/>
      <c r="H314" s="692" t="n"/>
      <c r="I314" s="692" t="n"/>
      <c r="J314" s="692" t="n"/>
      <c r="K314" s="692" t="n"/>
      <c r="L314" s="692" t="n"/>
      <c r="M314" s="692" t="n"/>
      <c r="N314" s="692" t="n"/>
      <c r="O314" s="692" t="n"/>
      <c r="P314" s="692" t="n"/>
      <c r="Q314" s="692" t="n"/>
      <c r="R314" s="692" t="n"/>
      <c r="S314" s="692" t="n"/>
      <c r="T314" s="692" t="n"/>
      <c r="U314" s="692" t="n"/>
      <c r="V314" s="692" t="n"/>
      <c r="W314" s="692" t="n"/>
      <c r="X314" s="692" t="n"/>
      <c r="Y314" s="692" t="n"/>
      <c r="Z314" s="692" t="n"/>
      <c r="AA314" s="692" t="n"/>
      <c r="AB314" s="692" t="n"/>
      <c r="AC314" s="692" t="n"/>
    </row>
    <row r="315">
      <c r="A315" s="427" t="inlineStr">
        <is>
          <t>M</t>
        </is>
      </c>
      <c r="B315" s="616" t="inlineStr">
        <is>
          <t>50 Back</t>
        </is>
      </c>
      <c r="C315" s="616" t="n">
        <v>22</v>
      </c>
      <c r="D315" s="616" t="n">
        <v>2</v>
      </c>
      <c r="E315" s="127" t="inlineStr">
        <is>
          <t>25.11</t>
        </is>
      </c>
      <c r="F315" s="692" t="n"/>
      <c r="G315" s="692" t="n"/>
      <c r="H315" s="692" t="n"/>
      <c r="I315" s="692" t="n"/>
      <c r="J315" s="692" t="n"/>
      <c r="K315" s="692" t="n"/>
      <c r="L315" s="692" t="n"/>
      <c r="M315" s="692" t="n"/>
      <c r="N315" s="692" t="n"/>
      <c r="O315" s="692" t="n"/>
      <c r="P315" s="692" t="n"/>
      <c r="Q315" s="692" t="n"/>
      <c r="R315" s="692" t="n"/>
      <c r="S315" s="692" t="n"/>
      <c r="T315" s="692" t="n"/>
      <c r="U315" s="692" t="n"/>
      <c r="V315" s="692" t="n"/>
      <c r="W315" s="692" t="n"/>
      <c r="X315" s="692" t="n"/>
      <c r="Y315" s="692" t="n"/>
      <c r="Z315" s="692" t="n"/>
      <c r="AA315" s="692" t="n"/>
      <c r="AB315" s="692" t="n"/>
      <c r="AC315" s="692" t="n"/>
    </row>
    <row r="316">
      <c r="A316" s="420" t="inlineStr">
        <is>
          <t>M</t>
        </is>
      </c>
      <c r="B316" s="593" t="inlineStr">
        <is>
          <t>100 Back</t>
        </is>
      </c>
      <c r="C316" s="593" t="n">
        <v>17</v>
      </c>
      <c r="D316" s="593" t="n">
        <v>2</v>
      </c>
      <c r="E316" s="128" t="inlineStr">
        <is>
          <t>56.79</t>
        </is>
      </c>
      <c r="F316" s="692" t="n"/>
      <c r="G316" s="692" t="n"/>
      <c r="H316" s="692" t="n"/>
      <c r="I316" s="692" t="n"/>
      <c r="J316" s="692" t="n"/>
      <c r="K316" s="692" t="n"/>
      <c r="L316" s="692" t="n"/>
      <c r="M316" s="692" t="n"/>
      <c r="N316" s="692" t="n"/>
      <c r="O316" s="692" t="n"/>
      <c r="P316" s="692" t="n"/>
      <c r="Q316" s="692" t="n"/>
      <c r="R316" s="692" t="n"/>
      <c r="S316" s="692" t="n"/>
      <c r="T316" s="692" t="n"/>
      <c r="U316" s="692" t="n"/>
      <c r="V316" s="692" t="n"/>
      <c r="W316" s="692" t="n"/>
      <c r="X316" s="692" t="n"/>
      <c r="Y316" s="692" t="n"/>
      <c r="Z316" s="692" t="n"/>
      <c r="AA316" s="692" t="n"/>
      <c r="AB316" s="692" t="n"/>
      <c r="AC316" s="692" t="n"/>
    </row>
    <row r="317">
      <c r="A317" s="427" t="inlineStr">
        <is>
          <t>M</t>
        </is>
      </c>
      <c r="B317" s="616" t="inlineStr">
        <is>
          <t>100 Back</t>
        </is>
      </c>
      <c r="C317" s="616" t="n">
        <v>18</v>
      </c>
      <c r="D317" s="616" t="n">
        <v>2</v>
      </c>
      <c r="E317" s="127" t="inlineStr">
        <is>
          <t>55.72</t>
        </is>
      </c>
      <c r="F317" s="692" t="n"/>
      <c r="G317" s="692" t="n"/>
      <c r="H317" s="692" t="n"/>
      <c r="I317" s="692" t="n"/>
      <c r="J317" s="692" t="n"/>
      <c r="K317" s="692" t="n"/>
      <c r="L317" s="692" t="n"/>
      <c r="M317" s="692" t="n"/>
      <c r="N317" s="692" t="n"/>
      <c r="O317" s="692" t="n"/>
      <c r="P317" s="692" t="n"/>
      <c r="Q317" s="692" t="n"/>
      <c r="R317" s="692" t="n"/>
      <c r="S317" s="692" t="n"/>
      <c r="T317" s="692" t="n"/>
      <c r="U317" s="692" t="n"/>
      <c r="V317" s="692" t="n"/>
      <c r="W317" s="692" t="n"/>
      <c r="X317" s="692" t="n"/>
      <c r="Y317" s="692" t="n"/>
      <c r="Z317" s="692" t="n"/>
      <c r="AA317" s="692" t="n"/>
      <c r="AB317" s="692" t="n"/>
      <c r="AC317" s="692" t="n"/>
    </row>
    <row r="318">
      <c r="A318" s="420" t="inlineStr">
        <is>
          <t>M</t>
        </is>
      </c>
      <c r="B318" s="593" t="inlineStr">
        <is>
          <t>100 Back</t>
        </is>
      </c>
      <c r="C318" s="593" t="n">
        <v>19</v>
      </c>
      <c r="D318" s="593" t="n">
        <v>2</v>
      </c>
      <c r="E318" s="128" t="inlineStr">
        <is>
          <t>54.98</t>
        </is>
      </c>
      <c r="F318" s="692" t="n"/>
      <c r="G318" s="692" t="n"/>
      <c r="H318" s="692" t="n"/>
      <c r="I318" s="692" t="n"/>
      <c r="J318" s="692" t="n"/>
      <c r="K318" s="692" t="n"/>
      <c r="L318" s="692" t="n"/>
      <c r="M318" s="692" t="n"/>
      <c r="N318" s="692" t="n"/>
      <c r="O318" s="692" t="n"/>
      <c r="P318" s="692" t="n"/>
      <c r="Q318" s="692" t="n"/>
      <c r="R318" s="692" t="n"/>
      <c r="S318" s="692" t="n"/>
      <c r="T318" s="692" t="n"/>
      <c r="U318" s="692" t="n"/>
      <c r="V318" s="692" t="n"/>
      <c r="W318" s="692" t="n"/>
      <c r="X318" s="692" t="n"/>
      <c r="Y318" s="692" t="n"/>
      <c r="Z318" s="692" t="n"/>
      <c r="AA318" s="692" t="n"/>
      <c r="AB318" s="692" t="n"/>
      <c r="AC318" s="692" t="n"/>
    </row>
    <row r="319">
      <c r="A319" s="427" t="inlineStr">
        <is>
          <t>M</t>
        </is>
      </c>
      <c r="B319" s="616" t="inlineStr">
        <is>
          <t>100 Back</t>
        </is>
      </c>
      <c r="C319" s="616" t="n">
        <v>20</v>
      </c>
      <c r="D319" s="616" t="n">
        <v>2</v>
      </c>
      <c r="E319" s="127" t="inlineStr">
        <is>
          <t>54.48</t>
        </is>
      </c>
      <c r="F319" s="692" t="n"/>
      <c r="G319" s="692" t="n"/>
      <c r="H319" s="692" t="n"/>
      <c r="I319" s="692" t="n"/>
      <c r="J319" s="692" t="n"/>
      <c r="K319" s="692" t="n"/>
      <c r="L319" s="692" t="n"/>
      <c r="M319" s="692" t="n"/>
      <c r="N319" s="692" t="n"/>
      <c r="O319" s="692" t="n"/>
      <c r="P319" s="692" t="n"/>
      <c r="Q319" s="692" t="n"/>
      <c r="R319" s="692" t="n"/>
      <c r="S319" s="692" t="n"/>
      <c r="T319" s="692" t="n"/>
      <c r="U319" s="692" t="n"/>
      <c r="V319" s="692" t="n"/>
      <c r="W319" s="692" t="n"/>
      <c r="X319" s="692" t="n"/>
      <c r="Y319" s="692" t="n"/>
      <c r="Z319" s="692" t="n"/>
      <c r="AA319" s="692" t="n"/>
      <c r="AB319" s="692" t="n"/>
      <c r="AC319" s="692" t="n"/>
    </row>
    <row r="320">
      <c r="A320" s="420" t="inlineStr">
        <is>
          <t>M</t>
        </is>
      </c>
      <c r="B320" s="593" t="inlineStr">
        <is>
          <t>100 Back</t>
        </is>
      </c>
      <c r="C320" s="593" t="n">
        <v>21</v>
      </c>
      <c r="D320" s="593" t="n">
        <v>2</v>
      </c>
      <c r="E320" s="128" t="inlineStr">
        <is>
          <t>54.15</t>
        </is>
      </c>
      <c r="F320" s="692" t="n"/>
      <c r="G320" s="692" t="n"/>
      <c r="H320" s="692" t="n"/>
      <c r="I320" s="692" t="n"/>
      <c r="J320" s="692" t="n"/>
      <c r="K320" s="692" t="n"/>
      <c r="L320" s="692" t="n"/>
      <c r="M320" s="158" t="n"/>
      <c r="N320" s="158" t="n"/>
      <c r="O320" s="692" t="n"/>
      <c r="P320" s="692" t="n"/>
      <c r="Q320" s="692" t="n"/>
      <c r="R320" s="692" t="n"/>
      <c r="S320" s="692" t="n"/>
      <c r="T320" s="692" t="n"/>
      <c r="U320" s="692" t="n"/>
      <c r="V320" s="692" t="n"/>
      <c r="W320" s="692" t="n"/>
      <c r="X320" s="692" t="n"/>
      <c r="Y320" s="692" t="n"/>
      <c r="Z320" s="692" t="n"/>
      <c r="AA320" s="692" t="n"/>
      <c r="AB320" s="692" t="n"/>
      <c r="AC320" s="692" t="n"/>
    </row>
    <row r="321">
      <c r="A321" s="427" t="inlineStr">
        <is>
          <t>M</t>
        </is>
      </c>
      <c r="B321" s="616" t="inlineStr">
        <is>
          <t>100 Back</t>
        </is>
      </c>
      <c r="C321" s="616" t="n">
        <v>22</v>
      </c>
      <c r="D321" s="616" t="n">
        <v>2</v>
      </c>
      <c r="E321" s="127" t="inlineStr">
        <is>
          <t>53.94</t>
        </is>
      </c>
      <c r="F321" s="692" t="n"/>
      <c r="G321" s="158" t="n"/>
      <c r="H321" s="158" t="n"/>
      <c r="I321" s="158" t="n"/>
      <c r="J321" s="158" t="n"/>
      <c r="K321" s="158" t="n"/>
      <c r="L321" s="692" t="n"/>
      <c r="M321" s="158" t="n"/>
      <c r="N321" s="158" t="n"/>
      <c r="O321" s="692" t="n"/>
      <c r="P321" s="692" t="n"/>
      <c r="Q321" s="692" t="n"/>
      <c r="R321" s="692" t="n"/>
      <c r="S321" s="692" t="n"/>
      <c r="T321" s="692" t="n"/>
      <c r="U321" s="692" t="n"/>
      <c r="V321" s="692" t="n"/>
      <c r="W321" s="692" t="n"/>
      <c r="X321" s="692" t="n"/>
      <c r="Y321" s="692" t="n"/>
      <c r="Z321" s="692" t="n"/>
      <c r="AA321" s="692" t="n"/>
      <c r="AB321" s="692" t="n"/>
      <c r="AC321" s="692" t="n"/>
    </row>
    <row r="322">
      <c r="A322" s="420" t="inlineStr">
        <is>
          <t>M</t>
        </is>
      </c>
      <c r="B322" s="593" t="inlineStr">
        <is>
          <t>200 Back</t>
        </is>
      </c>
      <c r="C322" s="593" t="n">
        <v>16</v>
      </c>
      <c r="D322" s="593" t="n">
        <v>2</v>
      </c>
      <c r="E322" s="128" t="inlineStr">
        <is>
          <t>2:04.75</t>
        </is>
      </c>
      <c r="F322" s="692" t="n"/>
      <c r="G322" s="158" t="n"/>
      <c r="H322" s="158" t="n"/>
      <c r="I322" s="158" t="n"/>
      <c r="J322" s="158" t="n"/>
      <c r="K322" s="158" t="n"/>
      <c r="L322" s="158" t="n"/>
      <c r="M322" s="158" t="n"/>
      <c r="N322" s="158" t="n"/>
      <c r="O322" s="692" t="n"/>
      <c r="P322" s="692" t="n"/>
      <c r="Q322" s="692" t="n"/>
      <c r="R322" s="692" t="n"/>
      <c r="S322" s="692" t="n"/>
      <c r="T322" s="692" t="n"/>
      <c r="U322" s="692" t="n"/>
      <c r="V322" s="692" t="n"/>
      <c r="W322" s="692" t="n"/>
      <c r="X322" s="692" t="n"/>
      <c r="Y322" s="692" t="n"/>
      <c r="Z322" s="692" t="n"/>
      <c r="AA322" s="692" t="n"/>
      <c r="AB322" s="692" t="n"/>
      <c r="AC322" s="692" t="n"/>
    </row>
    <row r="323">
      <c r="A323" s="427" t="inlineStr">
        <is>
          <t>M</t>
        </is>
      </c>
      <c r="B323" s="616" t="inlineStr">
        <is>
          <t>200 Back</t>
        </is>
      </c>
      <c r="C323" s="616" t="n">
        <v>17</v>
      </c>
      <c r="D323" s="616" t="n">
        <v>2</v>
      </c>
      <c r="E323" s="127" t="inlineStr">
        <is>
          <t>2:01.93</t>
        </is>
      </c>
      <c r="F323" s="692" t="n"/>
      <c r="G323" s="158" t="n"/>
      <c r="H323" s="158" t="n"/>
      <c r="I323" s="158" t="n"/>
      <c r="J323" s="158" t="n"/>
      <c r="K323" s="158" t="n"/>
      <c r="L323" s="158" t="n"/>
      <c r="M323" s="158" t="n"/>
      <c r="N323" s="158" t="n"/>
      <c r="O323" s="692" t="n"/>
      <c r="P323" s="692" t="n"/>
      <c r="Q323" s="692" t="n"/>
      <c r="R323" s="692" t="n"/>
      <c r="S323" s="692" t="n"/>
      <c r="T323" s="692" t="n"/>
      <c r="U323" s="692" t="n"/>
      <c r="Y323" s="692" t="n"/>
      <c r="Z323" s="692" t="n"/>
      <c r="AA323" s="692" t="n"/>
      <c r="AB323" s="692" t="n"/>
      <c r="AC323" s="692" t="n"/>
    </row>
    <row r="324">
      <c r="A324" s="420" t="inlineStr">
        <is>
          <t>M</t>
        </is>
      </c>
      <c r="B324" s="593" t="inlineStr">
        <is>
          <t>200 Back</t>
        </is>
      </c>
      <c r="C324" s="593" t="n">
        <v>18</v>
      </c>
      <c r="D324" s="593" t="n">
        <v>2</v>
      </c>
      <c r="E324" s="128" t="inlineStr">
        <is>
          <t>2:00.21</t>
        </is>
      </c>
      <c r="F324" s="692" t="n"/>
      <c r="G324" s="692" t="n"/>
      <c r="H324" s="692" t="n"/>
      <c r="I324" s="692" t="n"/>
      <c r="J324" s="692" t="n"/>
      <c r="K324" s="692" t="n"/>
      <c r="L324" s="158" t="n"/>
      <c r="M324" s="692" t="n"/>
      <c r="N324" s="692" t="n"/>
      <c r="O324" s="692" t="n"/>
      <c r="P324" s="692" t="n"/>
      <c r="Q324" s="692" t="n"/>
      <c r="U324" s="692" t="n"/>
      <c r="Y324" s="692" t="n"/>
      <c r="Z324" s="692" t="n"/>
      <c r="AA324" s="692" t="n"/>
      <c r="AB324" s="692" t="n"/>
      <c r="AC324" s="692" t="n"/>
      <c r="AD324" s="692" t="n"/>
      <c r="AE324" s="692" t="n"/>
      <c r="AF324" s="692" t="n"/>
      <c r="AG324" s="692" t="n"/>
      <c r="AH324" s="692" t="n"/>
      <c r="AI324" s="692" t="n"/>
      <c r="AJ324" s="692" t="n"/>
      <c r="AK324" s="692" t="n"/>
      <c r="AL324" s="692" t="n"/>
      <c r="AM324" s="692" t="n"/>
      <c r="AN324" s="692" t="n"/>
      <c r="AO324" s="692" t="n"/>
      <c r="AP324" s="692" t="n"/>
      <c r="AQ324" s="692" t="n"/>
      <c r="AR324" s="692" t="n"/>
      <c r="AS324" s="692" t="n"/>
    </row>
    <row r="325">
      <c r="A325" s="427" t="inlineStr">
        <is>
          <t>M</t>
        </is>
      </c>
      <c r="B325" s="616" t="inlineStr">
        <is>
          <t>200 Back</t>
        </is>
      </c>
      <c r="C325" s="616" t="n">
        <v>19</v>
      </c>
      <c r="D325" s="616" t="n">
        <v>2</v>
      </c>
      <c r="E325" s="127" t="inlineStr">
        <is>
          <t>1:59.12</t>
        </is>
      </c>
      <c r="F325" s="692" t="n"/>
      <c r="H325" s="692" t="n"/>
      <c r="L325" s="692" t="n"/>
      <c r="Y325" s="692" t="n"/>
      <c r="Z325" s="692" t="n"/>
      <c r="AA325" s="692" t="n"/>
      <c r="AB325" s="692" t="n"/>
      <c r="AC325" s="692" t="n"/>
      <c r="AD325" s="692" t="n"/>
      <c r="AE325" s="692" t="n"/>
      <c r="AF325" s="692" t="n"/>
      <c r="AG325" s="692" t="n"/>
      <c r="AH325" s="692" t="n"/>
      <c r="AI325" s="692" t="n"/>
      <c r="AJ325" s="692" t="n"/>
      <c r="AK325" s="692" t="n"/>
      <c r="AL325" s="692" t="n"/>
      <c r="AM325" s="692" t="n"/>
      <c r="AN325" s="692" t="n"/>
      <c r="AO325" s="692" t="n"/>
      <c r="AP325" s="692" t="n"/>
      <c r="AQ325" s="692" t="n"/>
      <c r="AR325" s="692" t="n"/>
      <c r="AS325" s="692" t="n"/>
    </row>
    <row r="326">
      <c r="A326" s="420" t="inlineStr">
        <is>
          <t>M</t>
        </is>
      </c>
      <c r="B326" s="593" t="inlineStr">
        <is>
          <t>200 Back</t>
        </is>
      </c>
      <c r="C326" s="593" t="n">
        <v>20</v>
      </c>
      <c r="D326" s="593" t="n">
        <v>2</v>
      </c>
      <c r="E326" s="128" t="inlineStr">
        <is>
          <t>1:58.48</t>
        </is>
      </c>
      <c r="F326" s="692" t="n"/>
      <c r="H326" s="692" t="n"/>
      <c r="Y326" s="692" t="n"/>
      <c r="Z326" s="692" t="n"/>
      <c r="AA326" s="692" t="n"/>
      <c r="AB326" s="692" t="n"/>
      <c r="AC326" s="692" t="n"/>
      <c r="AD326" s="692" t="n"/>
      <c r="AE326" s="692" t="n"/>
      <c r="AF326" s="692" t="n"/>
      <c r="AG326" s="692" t="n"/>
      <c r="AH326" s="692" t="n"/>
      <c r="AI326" s="692" t="n"/>
      <c r="AJ326" s="692" t="n"/>
      <c r="AK326" s="692" t="n"/>
      <c r="AL326" s="692" t="n"/>
      <c r="AM326" s="692" t="n"/>
      <c r="AN326" s="692" t="n"/>
      <c r="AO326" s="692" t="n"/>
      <c r="AP326" s="692" t="n"/>
      <c r="AQ326" s="692" t="n"/>
      <c r="AR326" s="692" t="n"/>
      <c r="AS326" s="692" t="n"/>
    </row>
    <row r="327">
      <c r="A327" s="427" t="inlineStr">
        <is>
          <t>M</t>
        </is>
      </c>
      <c r="B327" s="616" t="inlineStr">
        <is>
          <t>200 Back</t>
        </is>
      </c>
      <c r="C327" s="616" t="n">
        <v>21</v>
      </c>
      <c r="D327" s="616" t="n">
        <v>2</v>
      </c>
      <c r="E327" s="127" t="inlineStr">
        <is>
          <t>1:58.07</t>
        </is>
      </c>
      <c r="F327" s="692" t="n"/>
      <c r="H327" s="692" t="n"/>
      <c r="Y327" s="692" t="n"/>
      <c r="Z327" s="692" t="n"/>
      <c r="AA327" s="692" t="n"/>
      <c r="AB327" s="692" t="n"/>
      <c r="AC327" s="692" t="n"/>
      <c r="AD327" s="692" t="n"/>
      <c r="AE327" s="692" t="n"/>
      <c r="AF327" s="692" t="n"/>
      <c r="AG327" s="692" t="n"/>
      <c r="AH327" s="692" t="n"/>
      <c r="AI327" s="692" t="n"/>
      <c r="AJ327" s="692" t="n"/>
      <c r="AK327" s="692" t="n"/>
      <c r="AL327" s="692" t="n"/>
      <c r="AM327" s="692" t="n"/>
      <c r="AN327" s="692" t="n"/>
      <c r="AO327" s="692" t="n"/>
      <c r="AP327" s="692" t="n"/>
      <c r="AQ327" s="692" t="n"/>
      <c r="AR327" s="692" t="n"/>
      <c r="AS327" s="692" t="n"/>
    </row>
    <row r="328">
      <c r="A328" s="420" t="inlineStr">
        <is>
          <t>M</t>
        </is>
      </c>
      <c r="B328" s="593" t="inlineStr">
        <is>
          <t>50 Breast</t>
        </is>
      </c>
      <c r="C328" s="593" t="n">
        <v>19</v>
      </c>
      <c r="D328" s="593" t="n">
        <v>2</v>
      </c>
      <c r="E328" s="128" t="inlineStr">
        <is>
          <t>28.40</t>
        </is>
      </c>
      <c r="F328" s="692" t="n"/>
      <c r="H328" s="692" t="n"/>
      <c r="Y328" s="692" t="n"/>
      <c r="Z328" s="692" t="n"/>
      <c r="AA328" s="692" t="n"/>
      <c r="AB328" s="692" t="n"/>
      <c r="AC328" s="692" t="n"/>
      <c r="AD328" s="692" t="n"/>
      <c r="AE328" s="692" t="n"/>
      <c r="AF328" s="692" t="n"/>
      <c r="AG328" s="692" t="n"/>
      <c r="AH328" s="692" t="n"/>
      <c r="AI328" s="692" t="n"/>
      <c r="AJ328" s="692" t="n"/>
      <c r="AK328" s="692" t="n"/>
      <c r="AL328" s="692" t="n"/>
      <c r="AM328" s="692" t="n"/>
      <c r="AN328" s="692" t="n"/>
      <c r="AO328" s="692" t="n"/>
      <c r="AP328" s="692" t="n"/>
      <c r="AQ328" s="692" t="n"/>
      <c r="AR328" s="692" t="n"/>
      <c r="AS328" s="692" t="n"/>
    </row>
    <row r="329">
      <c r="A329" s="427" t="inlineStr">
        <is>
          <t>M</t>
        </is>
      </c>
      <c r="B329" s="616" t="inlineStr">
        <is>
          <t>50 Breast</t>
        </is>
      </c>
      <c r="C329" s="616" t="n">
        <v>20</v>
      </c>
      <c r="D329" s="616" t="n">
        <v>2</v>
      </c>
      <c r="E329" s="127" t="inlineStr">
        <is>
          <t>28.01</t>
        </is>
      </c>
      <c r="F329" s="692" t="n"/>
      <c r="H329" s="692" t="n"/>
      <c r="Y329" s="692" t="n"/>
      <c r="Z329" s="692" t="n"/>
      <c r="AA329" s="692" t="n"/>
      <c r="AB329" s="692" t="n"/>
      <c r="AC329" s="692" t="n"/>
      <c r="AD329" s="692" t="n"/>
      <c r="AE329" s="692" t="n"/>
      <c r="AF329" s="692" t="n"/>
      <c r="AG329" s="692" t="n"/>
      <c r="AH329" s="692" t="n"/>
      <c r="AI329" s="692" t="n"/>
      <c r="AJ329" s="692" t="n"/>
      <c r="AK329" s="692" t="n"/>
      <c r="AL329" s="692" t="n"/>
      <c r="AM329" s="692" t="n"/>
      <c r="AN329" s="692" t="n"/>
      <c r="AO329" s="692" t="n"/>
      <c r="AP329" s="692" t="n"/>
      <c r="AQ329" s="692" t="n"/>
      <c r="AR329" s="692" t="n"/>
      <c r="AS329" s="692" t="n"/>
    </row>
    <row r="330">
      <c r="A330" s="420" t="inlineStr">
        <is>
          <t>M</t>
        </is>
      </c>
      <c r="B330" s="593" t="inlineStr">
        <is>
          <t>50 Breast</t>
        </is>
      </c>
      <c r="C330" s="593" t="n">
        <v>21</v>
      </c>
      <c r="D330" s="593" t="n">
        <v>2</v>
      </c>
      <c r="E330" s="128" t="inlineStr">
        <is>
          <t>27.75</t>
        </is>
      </c>
      <c r="F330" s="692" t="n"/>
      <c r="H330" s="692" t="n"/>
      <c r="Y330" s="692" t="n"/>
      <c r="Z330" s="692" t="n"/>
      <c r="AA330" s="692" t="n"/>
      <c r="AB330" s="692" t="n"/>
      <c r="AC330" s="692" t="n"/>
      <c r="AD330" s="692" t="n"/>
      <c r="AE330" s="692" t="n"/>
      <c r="AF330" s="692" t="n"/>
      <c r="AG330" s="692" t="n"/>
      <c r="AH330" s="692" t="n"/>
      <c r="AI330" s="692" t="n"/>
      <c r="AJ330" s="692" t="n"/>
      <c r="AK330" s="692" t="n"/>
      <c r="AL330" s="692" t="n"/>
      <c r="AM330" s="692" t="n"/>
      <c r="AN330" s="692" t="n"/>
      <c r="AO330" s="692" t="n"/>
      <c r="AP330" s="692" t="n"/>
      <c r="AQ330" s="692" t="n"/>
      <c r="AR330" s="692" t="n"/>
      <c r="AS330" s="692" t="n"/>
    </row>
    <row r="331">
      <c r="A331" s="427" t="inlineStr">
        <is>
          <t>M</t>
        </is>
      </c>
      <c r="B331" s="616" t="inlineStr">
        <is>
          <t>50 Breast</t>
        </is>
      </c>
      <c r="C331" s="616" t="n">
        <v>22</v>
      </c>
      <c r="D331" s="616" t="n">
        <v>2</v>
      </c>
      <c r="E331" s="433" t="n">
        <v>27.55</v>
      </c>
      <c r="F331" s="692" t="n"/>
      <c r="H331" s="692" t="n"/>
      <c r="Y331" s="692" t="n"/>
      <c r="Z331" s="692" t="n"/>
      <c r="AA331" s="692" t="n"/>
      <c r="AB331" s="692" t="n"/>
      <c r="AC331" s="692" t="n"/>
      <c r="AD331" s="692" t="n"/>
      <c r="AE331" s="692" t="n"/>
      <c r="AF331" s="692" t="n"/>
      <c r="AG331" s="692" t="n"/>
      <c r="AH331" s="692" t="n"/>
      <c r="AI331" s="692" t="n"/>
      <c r="AJ331" s="692" t="n"/>
      <c r="AK331" s="692" t="n"/>
      <c r="AL331" s="692" t="n"/>
      <c r="AM331" s="692" t="n"/>
      <c r="AN331" s="692" t="n"/>
      <c r="AO331" s="692" t="n"/>
      <c r="AP331" s="692" t="n"/>
      <c r="AQ331" s="692" t="n"/>
      <c r="AR331" s="692" t="n"/>
      <c r="AS331" s="692" t="n"/>
    </row>
    <row r="332">
      <c r="A332" s="420" t="inlineStr">
        <is>
          <t>M</t>
        </is>
      </c>
      <c r="B332" s="593" t="inlineStr">
        <is>
          <t>50 Breast</t>
        </is>
      </c>
      <c r="C332" s="593" t="n">
        <v>23</v>
      </c>
      <c r="D332" s="593" t="n">
        <v>2</v>
      </c>
      <c r="E332" s="128" t="inlineStr">
        <is>
          <t>27.41</t>
        </is>
      </c>
      <c r="F332" s="692" t="n"/>
      <c r="H332" s="692" t="n"/>
      <c r="Y332" s="692" t="n"/>
      <c r="Z332" s="692" t="n"/>
      <c r="AA332" s="692" t="n"/>
      <c r="AB332" s="692" t="n"/>
      <c r="AC332" s="692" t="n"/>
      <c r="AD332" s="692" t="n"/>
      <c r="AE332" s="692" t="n"/>
      <c r="AF332" s="692" t="n"/>
      <c r="AG332" s="692" t="n"/>
      <c r="AH332" s="692" t="n"/>
      <c r="AI332" s="692" t="n"/>
      <c r="AJ332" s="692" t="n"/>
      <c r="AK332" s="692" t="n"/>
      <c r="AL332" s="692" t="n"/>
      <c r="AM332" s="692" t="n"/>
      <c r="AN332" s="692" t="n"/>
      <c r="AO332" s="692" t="n"/>
      <c r="AP332" s="692" t="n"/>
      <c r="AQ332" s="692" t="n"/>
      <c r="AR332" s="692" t="n"/>
      <c r="AS332" s="692" t="n"/>
    </row>
    <row r="333">
      <c r="A333" s="427" t="inlineStr">
        <is>
          <t>M</t>
        </is>
      </c>
      <c r="B333" s="616" t="inlineStr">
        <is>
          <t>50 Breast</t>
        </is>
      </c>
      <c r="C333" s="616" t="n">
        <v>24</v>
      </c>
      <c r="D333" s="616" t="n">
        <v>2</v>
      </c>
      <c r="E333" s="127" t="inlineStr">
        <is>
          <t>27.33</t>
        </is>
      </c>
      <c r="F333" s="692" t="n"/>
      <c r="H333" s="692" t="n"/>
      <c r="Y333" s="692" t="n"/>
      <c r="Z333" s="692" t="n"/>
      <c r="AA333" s="692" t="n"/>
      <c r="AB333" s="692" t="n"/>
      <c r="AC333" s="692" t="n"/>
      <c r="AD333" s="692" t="n"/>
      <c r="AE333" s="692" t="n"/>
      <c r="AF333" s="692" t="n"/>
      <c r="AG333" s="692" t="n"/>
      <c r="AH333" s="692" t="n"/>
      <c r="AI333" s="692" t="n"/>
      <c r="AJ333" s="692" t="n"/>
      <c r="AK333" s="692" t="n"/>
      <c r="AL333" s="692" t="n"/>
      <c r="AM333" s="692" t="n"/>
      <c r="AN333" s="692" t="n"/>
      <c r="AO333" s="692" t="n"/>
      <c r="AP333" s="692" t="n"/>
      <c r="AQ333" s="692" t="n"/>
      <c r="AR333" s="692" t="n"/>
      <c r="AS333" s="692" t="n"/>
    </row>
    <row r="334">
      <c r="A334" s="420" t="inlineStr">
        <is>
          <t>M</t>
        </is>
      </c>
      <c r="B334" s="593" t="inlineStr">
        <is>
          <t>100 Breast</t>
        </is>
      </c>
      <c r="C334" s="593" t="n">
        <v>17</v>
      </c>
      <c r="D334" s="593" t="n">
        <v>2</v>
      </c>
      <c r="E334" s="128" t="inlineStr">
        <is>
          <t>1:03.26</t>
        </is>
      </c>
      <c r="F334" s="692" t="n"/>
      <c r="H334" s="692" t="n"/>
      <c r="Y334" s="158" t="n"/>
      <c r="Z334" s="692" t="n"/>
      <c r="AA334" s="692" t="n"/>
      <c r="AB334" s="692" t="n"/>
      <c r="AC334" s="692" t="n"/>
      <c r="AD334" s="692" t="n"/>
      <c r="AE334" s="692" t="n"/>
      <c r="AF334" s="692" t="n"/>
      <c r="AG334" s="692" t="n"/>
      <c r="AH334" s="692" t="n"/>
      <c r="AI334" s="692" t="n"/>
      <c r="AJ334" s="692" t="n"/>
      <c r="AK334" s="692" t="n"/>
      <c r="AL334" s="692" t="n"/>
      <c r="AM334" s="692" t="n"/>
      <c r="AN334" s="692" t="n"/>
      <c r="AO334" s="692" t="n"/>
      <c r="AP334" s="692" t="n"/>
      <c r="AQ334" s="692" t="n"/>
      <c r="AR334" s="692" t="n"/>
      <c r="AS334" s="692" t="n"/>
    </row>
    <row r="335">
      <c r="A335" s="427" t="inlineStr">
        <is>
          <t>M</t>
        </is>
      </c>
      <c r="B335" s="616" t="inlineStr">
        <is>
          <t>100 Breast</t>
        </is>
      </c>
      <c r="C335" s="616" t="n">
        <v>18</v>
      </c>
      <c r="D335" s="616" t="n">
        <v>2</v>
      </c>
      <c r="E335" s="127" t="inlineStr">
        <is>
          <t>1:02.05</t>
        </is>
      </c>
      <c r="F335" s="692" t="n"/>
      <c r="H335" s="692" t="n"/>
      <c r="Y335" s="692" t="n"/>
      <c r="Z335" s="692" t="n"/>
      <c r="AA335" s="692" t="n"/>
      <c r="AB335" s="692" t="n"/>
      <c r="AC335" s="692" t="n"/>
      <c r="AD335" s="692" t="n"/>
      <c r="AE335" s="692" t="n"/>
      <c r="AF335" s="692" t="n"/>
      <c r="AG335" s="692" t="n"/>
      <c r="AH335" s="692" t="n"/>
      <c r="AI335" s="692" t="n"/>
      <c r="AJ335" s="692" t="n"/>
      <c r="AK335" s="692" t="n"/>
      <c r="AL335" s="692" t="n"/>
      <c r="AM335" s="692" t="n"/>
      <c r="AN335" s="692" t="n"/>
      <c r="AO335" s="692" t="n"/>
      <c r="AP335" s="692" t="n"/>
      <c r="AQ335" s="692" t="n"/>
      <c r="AR335" s="692" t="n"/>
      <c r="AS335" s="692" t="n"/>
    </row>
    <row r="336">
      <c r="A336" s="420" t="inlineStr">
        <is>
          <t>M</t>
        </is>
      </c>
      <c r="B336" s="593" t="inlineStr">
        <is>
          <t>100 Breast</t>
        </is>
      </c>
      <c r="C336" s="593" t="n">
        <v>19</v>
      </c>
      <c r="D336" s="593" t="n">
        <v>2</v>
      </c>
      <c r="E336" s="128" t="inlineStr">
        <is>
          <t>1:01.16</t>
        </is>
      </c>
      <c r="F336" s="692" t="n"/>
      <c r="H336" s="692" t="n"/>
      <c r="Y336" s="692" t="n"/>
      <c r="Z336" s="692" t="n"/>
      <c r="AA336" s="692" t="n"/>
      <c r="AB336" s="692" t="n"/>
      <c r="AC336" s="692" t="n"/>
      <c r="AD336" s="692" t="n"/>
      <c r="AE336" s="692" t="n"/>
      <c r="AF336" s="692" t="n"/>
      <c r="AG336" s="692" t="n"/>
      <c r="AH336" s="692" t="n"/>
      <c r="AI336" s="692" t="n"/>
      <c r="AJ336" s="692" t="n"/>
      <c r="AK336" s="692" t="n"/>
      <c r="AL336" s="692" t="n"/>
      <c r="AM336" s="692" t="n"/>
      <c r="AN336" s="692" t="n"/>
      <c r="AO336" s="692" t="n"/>
      <c r="AP336" s="692" t="n"/>
      <c r="AQ336" s="692" t="n"/>
      <c r="AR336" s="692" t="n"/>
      <c r="AS336" s="692" t="n"/>
    </row>
    <row r="337">
      <c r="A337" s="427" t="inlineStr">
        <is>
          <t>M</t>
        </is>
      </c>
      <c r="B337" s="616" t="inlineStr">
        <is>
          <t>100 Breast</t>
        </is>
      </c>
      <c r="C337" s="616" t="n">
        <v>20</v>
      </c>
      <c r="D337" s="616" t="n">
        <v>2</v>
      </c>
      <c r="E337" s="127" t="inlineStr">
        <is>
          <t>1:00.53</t>
        </is>
      </c>
      <c r="F337" s="692" t="n"/>
      <c r="H337" s="692" t="n"/>
      <c r="Y337" s="692" t="n"/>
      <c r="Z337" s="692" t="n"/>
      <c r="AA337" s="692" t="n"/>
      <c r="AB337" s="692" t="n"/>
      <c r="AC337" s="692" t="n"/>
      <c r="AD337" s="692" t="n"/>
      <c r="AE337" s="692" t="n"/>
      <c r="AF337" s="692" t="n"/>
      <c r="AG337" s="692" t="n"/>
      <c r="AH337" s="692" t="n"/>
      <c r="AI337" s="692" t="n"/>
      <c r="AJ337" s="692" t="n"/>
      <c r="AK337" s="692" t="n"/>
      <c r="AL337" s="692" t="n"/>
      <c r="AM337" s="692" t="n"/>
      <c r="AN337" s="692" t="n"/>
      <c r="AO337" s="692" t="n"/>
      <c r="AP337" s="692" t="n"/>
      <c r="AQ337" s="692" t="n"/>
      <c r="AR337" s="692" t="n"/>
      <c r="AS337" s="692" t="n"/>
    </row>
    <row r="338">
      <c r="A338" s="420" t="inlineStr">
        <is>
          <t>M</t>
        </is>
      </c>
      <c r="B338" s="593" t="inlineStr">
        <is>
          <t>100 Breast</t>
        </is>
      </c>
      <c r="C338" s="593" t="n">
        <v>21</v>
      </c>
      <c r="D338" s="593" t="n">
        <v>2</v>
      </c>
      <c r="E338" s="128" t="inlineStr">
        <is>
          <t>1:00.09</t>
        </is>
      </c>
      <c r="F338" s="692" t="n"/>
      <c r="H338" s="692" t="n"/>
      <c r="Y338" s="158" t="n"/>
      <c r="Z338" s="158" t="n"/>
      <c r="AA338" s="158" t="n"/>
      <c r="AB338" s="692" t="n"/>
      <c r="AC338" s="692" t="n"/>
      <c r="AD338" s="692" t="n"/>
      <c r="AE338" s="692" t="n"/>
      <c r="AF338" s="692" t="n"/>
      <c r="AG338" s="692" t="n"/>
      <c r="AH338" s="692" t="n"/>
      <c r="AI338" s="692" t="n"/>
      <c r="AJ338" s="692" t="n"/>
      <c r="AK338" s="692" t="n"/>
      <c r="AL338" s="692" t="n"/>
      <c r="AM338" s="692" t="n"/>
      <c r="AN338" s="692" t="n"/>
      <c r="AO338" s="692" t="n"/>
      <c r="AP338" s="692" t="n"/>
      <c r="AQ338" s="692" t="n"/>
      <c r="AR338" s="692" t="n"/>
      <c r="AS338" s="692" t="n"/>
    </row>
    <row r="339">
      <c r="A339" s="427" t="inlineStr">
        <is>
          <t>M</t>
        </is>
      </c>
      <c r="B339" s="616" t="inlineStr">
        <is>
          <t>100 Breast</t>
        </is>
      </c>
      <c r="C339" s="616" t="n">
        <v>22</v>
      </c>
      <c r="D339" s="616" t="n">
        <v>2</v>
      </c>
      <c r="E339" s="127" t="inlineStr">
        <is>
          <t>59.75</t>
        </is>
      </c>
      <c r="F339" s="692" t="n"/>
      <c r="H339" s="692" t="n"/>
      <c r="Y339" s="692" t="n"/>
      <c r="Z339" s="692" t="n"/>
      <c r="AA339" s="692" t="n"/>
      <c r="AB339" s="692" t="n"/>
      <c r="AC339" s="692" t="n"/>
      <c r="AD339" s="692" t="n"/>
      <c r="AE339" s="692" t="n"/>
      <c r="AF339" s="692" t="n"/>
      <c r="AG339" s="692" t="n"/>
      <c r="AH339" s="692" t="n"/>
      <c r="AI339" s="692" t="n"/>
      <c r="AJ339" s="692" t="n"/>
      <c r="AK339" s="692" t="n"/>
      <c r="AL339" s="692" t="n"/>
      <c r="AM339" s="692" t="n"/>
      <c r="AN339" s="692" t="n"/>
      <c r="AO339" s="692" t="n"/>
      <c r="AP339" s="692" t="n"/>
      <c r="AQ339" s="692" t="n"/>
      <c r="AR339" s="692" t="n"/>
      <c r="AS339" s="692" t="n"/>
    </row>
    <row r="340">
      <c r="A340" s="420" t="inlineStr">
        <is>
          <t>M</t>
        </is>
      </c>
      <c r="B340" s="593" t="inlineStr">
        <is>
          <t>200 Breast</t>
        </is>
      </c>
      <c r="C340" s="593" t="n">
        <v>16</v>
      </c>
      <c r="D340" s="593" t="n">
        <v>2</v>
      </c>
      <c r="E340" s="128" t="inlineStr">
        <is>
          <t>2:20.95</t>
        </is>
      </c>
      <c r="F340" s="692" t="n"/>
      <c r="H340" s="692" t="n"/>
      <c r="Y340" s="692" t="n"/>
      <c r="Z340" s="692" t="n"/>
      <c r="AA340" s="692" t="n"/>
      <c r="AB340" s="692" t="n"/>
      <c r="AC340" s="692" t="n"/>
      <c r="AD340" s="692" t="n"/>
      <c r="AE340" s="692" t="n"/>
      <c r="AF340" s="692" t="n"/>
      <c r="AG340" s="692" t="n"/>
      <c r="AH340" s="692" t="n"/>
      <c r="AI340" s="692" t="n"/>
      <c r="AJ340" s="692" t="n"/>
      <c r="AK340" s="692" t="n"/>
      <c r="AL340" s="692" t="n"/>
      <c r="AM340" s="692" t="n"/>
      <c r="AN340" s="692" t="n"/>
      <c r="AO340" s="692" t="n"/>
      <c r="AP340" s="692" t="n"/>
      <c r="AQ340" s="692" t="n"/>
      <c r="AR340" s="692" t="n"/>
      <c r="AS340" s="692" t="n"/>
    </row>
    <row r="341">
      <c r="A341" s="427" t="inlineStr">
        <is>
          <t>M</t>
        </is>
      </c>
      <c r="B341" s="616" t="inlineStr">
        <is>
          <t>200 Breast</t>
        </is>
      </c>
      <c r="C341" s="616" t="n">
        <v>17</v>
      </c>
      <c r="D341" s="616" t="n">
        <v>2</v>
      </c>
      <c r="E341" s="127" t="inlineStr">
        <is>
          <t>2:17.24</t>
        </is>
      </c>
      <c r="F341" s="692" t="n"/>
      <c r="H341" s="692" t="n"/>
      <c r="Y341" s="129" t="n"/>
      <c r="Z341" s="129" t="n"/>
      <c r="AA341" s="129" t="n"/>
      <c r="AB341" s="692" t="n"/>
      <c r="AC341" s="692" t="n"/>
      <c r="AD341" s="692" t="n"/>
      <c r="AE341" s="692" t="n"/>
      <c r="AF341" s="692" t="n"/>
      <c r="AG341" s="692" t="n"/>
      <c r="AH341" s="692" t="n"/>
      <c r="AI341" s="692" t="n"/>
      <c r="AJ341" s="692" t="n"/>
      <c r="AK341" s="692" t="n"/>
      <c r="AL341" s="692" t="n"/>
      <c r="AM341" s="692" t="n"/>
      <c r="AN341" s="692" t="n"/>
      <c r="AO341" s="692" t="n"/>
      <c r="AP341" s="692" t="n"/>
      <c r="AQ341" s="692" t="n"/>
      <c r="AR341" s="692" t="n"/>
      <c r="AS341" s="692" t="n"/>
    </row>
    <row r="342">
      <c r="A342" s="420" t="inlineStr">
        <is>
          <t>M</t>
        </is>
      </c>
      <c r="B342" s="593" t="inlineStr">
        <is>
          <t>200 Breast</t>
        </is>
      </c>
      <c r="C342" s="593" t="n">
        <v>18</v>
      </c>
      <c r="D342" s="593" t="n">
        <v>2</v>
      </c>
      <c r="E342" s="128" t="inlineStr">
        <is>
          <t>2:14.51</t>
        </is>
      </c>
      <c r="F342" s="692" t="n"/>
      <c r="H342" s="692" t="n"/>
      <c r="Y342" s="692" t="n"/>
      <c r="Z342" s="692" t="n"/>
      <c r="AA342" s="692" t="n"/>
      <c r="AB342" s="692" t="n"/>
      <c r="AC342" s="692" t="n"/>
      <c r="AD342" s="692" t="n"/>
      <c r="AE342" s="692" t="n"/>
      <c r="AF342" s="692" t="n"/>
      <c r="AG342" s="692" t="n"/>
      <c r="AH342" s="692" t="n"/>
      <c r="AI342" s="692" t="n"/>
      <c r="AJ342" s="692" t="n"/>
      <c r="AK342" s="692" t="n"/>
      <c r="AL342" s="692" t="n"/>
      <c r="AM342" s="692" t="n"/>
      <c r="AN342" s="692" t="n"/>
      <c r="AO342" s="692" t="n"/>
      <c r="AP342" s="692" t="n"/>
      <c r="AQ342" s="692" t="n"/>
      <c r="AR342" s="692" t="n"/>
      <c r="AS342" s="692" t="n"/>
    </row>
    <row r="343">
      <c r="A343" s="427" t="inlineStr">
        <is>
          <t>M</t>
        </is>
      </c>
      <c r="B343" s="616" t="inlineStr">
        <is>
          <t>200 Breast</t>
        </is>
      </c>
      <c r="C343" s="616" t="n">
        <v>19</v>
      </c>
      <c r="D343" s="616" t="n">
        <v>2</v>
      </c>
      <c r="E343" s="127" t="inlineStr">
        <is>
          <t>2:12.58</t>
        </is>
      </c>
      <c r="F343" s="692" t="n"/>
      <c r="H343" s="692" t="n"/>
      <c r="Y343" s="692" t="n"/>
      <c r="Z343" s="692" t="n"/>
      <c r="AA343" s="158" t="n"/>
      <c r="AB343" s="692" t="n"/>
      <c r="AC343" s="692" t="n"/>
      <c r="AD343" s="692" t="n"/>
      <c r="AE343" s="692" t="n"/>
      <c r="AF343" s="692" t="n"/>
      <c r="AG343" s="692" t="n"/>
      <c r="AH343" s="692" t="n"/>
      <c r="AI343" s="692" t="n"/>
      <c r="AJ343" s="692" t="n"/>
      <c r="AK343" s="692" t="n"/>
      <c r="AL343" s="692" t="n"/>
      <c r="AM343" s="692" t="n"/>
      <c r="AN343" s="692" t="n"/>
      <c r="AO343" s="692" t="n"/>
      <c r="AP343" s="692" t="n"/>
      <c r="AQ343" s="692" t="n"/>
      <c r="AR343" s="692" t="n"/>
      <c r="AS343" s="692" t="n"/>
    </row>
    <row r="344">
      <c r="A344" s="420" t="inlineStr">
        <is>
          <t>M</t>
        </is>
      </c>
      <c r="B344" s="593" t="inlineStr">
        <is>
          <t>200 Breast</t>
        </is>
      </c>
      <c r="C344" s="593" t="n">
        <v>20</v>
      </c>
      <c r="D344" s="593" t="n">
        <v>2</v>
      </c>
      <c r="E344" s="128" t="inlineStr">
        <is>
          <t>2:11.26</t>
        </is>
      </c>
      <c r="F344" s="692" t="n"/>
      <c r="H344" s="692" t="n"/>
      <c r="Y344" s="158" t="n"/>
      <c r="Z344" s="158" t="n"/>
      <c r="AA344" s="158" t="n"/>
      <c r="AB344" s="692" t="n"/>
      <c r="AC344" s="692" t="n"/>
      <c r="AD344" s="692" t="n"/>
      <c r="AE344" s="692" t="n"/>
      <c r="AF344" s="692" t="n"/>
      <c r="AG344" s="692" t="n"/>
      <c r="AH344" s="692" t="n"/>
      <c r="AI344" s="692" t="n"/>
      <c r="AJ344" s="692" t="n"/>
      <c r="AK344" s="692" t="n"/>
      <c r="AL344" s="692" t="n"/>
      <c r="AM344" s="692" t="n"/>
      <c r="AN344" s="692" t="n"/>
      <c r="AO344" s="692" t="n"/>
      <c r="AP344" s="692" t="n"/>
      <c r="AQ344" s="692" t="n"/>
      <c r="AR344" s="692" t="n"/>
      <c r="AS344" s="692" t="n"/>
    </row>
    <row r="345">
      <c r="A345" s="427" t="inlineStr">
        <is>
          <t>M</t>
        </is>
      </c>
      <c r="B345" s="616" t="inlineStr">
        <is>
          <t>200 Breast</t>
        </is>
      </c>
      <c r="C345" s="616" t="n">
        <v>21</v>
      </c>
      <c r="D345" s="616" t="n">
        <v>2</v>
      </c>
      <c r="E345" s="127" t="inlineStr">
        <is>
          <t>2:10.32</t>
        </is>
      </c>
      <c r="F345" s="692" t="n"/>
      <c r="H345" s="692" t="n"/>
      <c r="Y345" s="158" t="n"/>
      <c r="Z345" s="158" t="n"/>
      <c r="AA345" s="158" t="n"/>
      <c r="AB345" s="692" t="n"/>
      <c r="AC345" s="692" t="n"/>
      <c r="AD345" s="692" t="n"/>
      <c r="AE345" s="692" t="n"/>
      <c r="AF345" s="692" t="n"/>
      <c r="AG345" s="692" t="n"/>
      <c r="AH345" s="692" t="n"/>
      <c r="AI345" s="692" t="n"/>
      <c r="AJ345" s="692" t="n"/>
      <c r="AK345" s="692" t="n"/>
      <c r="AL345" s="692" t="n"/>
      <c r="AM345" s="692" t="n"/>
      <c r="AN345" s="692" t="n"/>
      <c r="AO345" s="692" t="n"/>
      <c r="AP345" s="692" t="n"/>
      <c r="AQ345" s="692" t="n"/>
      <c r="AR345" s="692" t="n"/>
      <c r="AS345" s="692" t="n"/>
    </row>
    <row r="346">
      <c r="A346" s="420" t="inlineStr">
        <is>
          <t>M</t>
        </is>
      </c>
      <c r="B346" s="593" t="inlineStr">
        <is>
          <t>50 Fly</t>
        </is>
      </c>
      <c r="C346" s="593" t="n">
        <v>18</v>
      </c>
      <c r="D346" s="593" t="n">
        <v>2</v>
      </c>
      <c r="E346" s="128" t="inlineStr">
        <is>
          <t>24.31</t>
        </is>
      </c>
      <c r="F346" s="692" t="n"/>
      <c r="H346" s="692" t="n"/>
      <c r="Y346" s="692" t="n"/>
      <c r="Z346" s="692" t="n"/>
      <c r="AA346" s="692" t="n"/>
      <c r="AB346" s="692" t="n"/>
      <c r="AC346" s="692" t="n"/>
      <c r="AD346" s="692" t="n"/>
      <c r="AE346" s="692" t="n"/>
      <c r="AF346" s="692" t="n"/>
      <c r="AG346" s="692" t="n"/>
      <c r="AH346" s="692" t="n"/>
      <c r="AI346" s="692" t="n"/>
      <c r="AJ346" s="692" t="n"/>
      <c r="AK346" s="692" t="n"/>
      <c r="AL346" s="692" t="n"/>
      <c r="AM346" s="692" t="n"/>
      <c r="AN346" s="692" t="n"/>
      <c r="AO346" s="692" t="n"/>
      <c r="AP346" s="692" t="n"/>
      <c r="AQ346" s="692" t="n"/>
      <c r="AR346" s="692" t="n"/>
      <c r="AS346" s="692" t="n"/>
    </row>
    <row r="347">
      <c r="A347" s="427" t="inlineStr">
        <is>
          <t>M</t>
        </is>
      </c>
      <c r="B347" s="616" t="inlineStr">
        <is>
          <t>50 Fly</t>
        </is>
      </c>
      <c r="C347" s="616" t="n">
        <v>19</v>
      </c>
      <c r="D347" s="616" t="n">
        <v>2</v>
      </c>
      <c r="E347" s="127" t="inlineStr">
        <is>
          <t>23.96</t>
        </is>
      </c>
      <c r="F347" s="692" t="n"/>
      <c r="H347" s="692" t="n"/>
      <c r="Y347" s="692" t="n"/>
      <c r="Z347" s="692" t="n"/>
      <c r="AA347" s="692" t="n"/>
      <c r="AB347" s="692" t="n"/>
      <c r="AC347" s="692" t="n"/>
      <c r="AD347" s="692" t="n"/>
      <c r="AE347" s="692" t="n"/>
      <c r="AF347" s="692" t="n"/>
      <c r="AG347" s="692" t="n"/>
      <c r="AH347" s="692" t="n"/>
      <c r="AI347" s="692" t="n"/>
      <c r="AJ347" s="692" t="n"/>
      <c r="AK347" s="692" t="n"/>
      <c r="AL347" s="692" t="n"/>
      <c r="AM347" s="692" t="n"/>
      <c r="AN347" s="692" t="n"/>
      <c r="AO347" s="692" t="n"/>
      <c r="AP347" s="692" t="n"/>
      <c r="AQ347" s="692" t="n"/>
      <c r="AR347" s="692" t="n"/>
      <c r="AS347" s="692" t="n"/>
    </row>
    <row r="348">
      <c r="A348" s="420" t="inlineStr">
        <is>
          <t>M</t>
        </is>
      </c>
      <c r="B348" s="593" t="inlineStr">
        <is>
          <t>50 Fly</t>
        </is>
      </c>
      <c r="C348" s="593" t="n">
        <v>20</v>
      </c>
      <c r="D348" s="593" t="n">
        <v>2</v>
      </c>
      <c r="E348" s="128" t="inlineStr">
        <is>
          <t>23.73</t>
        </is>
      </c>
      <c r="F348" s="692" t="n"/>
      <c r="H348" s="692" t="n"/>
      <c r="Y348" s="692" t="n"/>
      <c r="Z348" s="692" t="n"/>
      <c r="AA348" s="692" t="n"/>
      <c r="AB348" s="692" t="n"/>
      <c r="AC348" s="692" t="n"/>
      <c r="AD348" s="692" t="n"/>
      <c r="AE348" s="692" t="n"/>
      <c r="AF348" s="692" t="n"/>
      <c r="AG348" s="692" t="n"/>
      <c r="AH348" s="692" t="n"/>
      <c r="AI348" s="692" t="n"/>
      <c r="AJ348" s="692" t="n"/>
      <c r="AK348" s="692" t="n"/>
      <c r="AL348" s="692" t="n"/>
      <c r="AM348" s="692" t="n"/>
      <c r="AN348" s="692" t="n"/>
      <c r="AO348" s="692" t="n"/>
      <c r="AP348" s="692" t="n"/>
      <c r="AQ348" s="692" t="n"/>
      <c r="AR348" s="692" t="n"/>
      <c r="AS348" s="692" t="n"/>
    </row>
    <row r="349">
      <c r="A349" s="427" t="inlineStr">
        <is>
          <t>M</t>
        </is>
      </c>
      <c r="B349" s="616" t="inlineStr">
        <is>
          <t>50 Fly</t>
        </is>
      </c>
      <c r="C349" s="616" t="n">
        <v>21</v>
      </c>
      <c r="D349" s="616" t="n">
        <v>2</v>
      </c>
      <c r="E349" s="127" t="inlineStr">
        <is>
          <t>23.57</t>
        </is>
      </c>
      <c r="F349" s="692" t="n"/>
      <c r="H349" s="692" t="n"/>
      <c r="Y349" s="692" t="n"/>
      <c r="Z349" s="692" t="n"/>
      <c r="AA349" s="692" t="n"/>
      <c r="AB349" s="692" t="n"/>
      <c r="AC349" s="692" t="n"/>
      <c r="AD349" s="692" t="n"/>
      <c r="AE349" s="692" t="n"/>
      <c r="AF349" s="692" t="n"/>
      <c r="AG349" s="692" t="n"/>
      <c r="AH349" s="692" t="n"/>
      <c r="AI349" s="692" t="n"/>
      <c r="AJ349" s="692" t="n"/>
      <c r="AK349" s="692" t="n"/>
      <c r="AL349" s="692" t="n"/>
      <c r="AM349" s="692" t="n"/>
      <c r="AN349" s="692" t="n"/>
      <c r="AO349" s="692" t="n"/>
      <c r="AP349" s="692" t="n"/>
      <c r="AQ349" s="692" t="n"/>
      <c r="AR349" s="692" t="n"/>
      <c r="AS349" s="692" t="n"/>
    </row>
    <row r="350">
      <c r="A350" s="420" t="inlineStr">
        <is>
          <t>M</t>
        </is>
      </c>
      <c r="B350" s="593" t="inlineStr">
        <is>
          <t>50 Fly</t>
        </is>
      </c>
      <c r="C350" s="593" t="n">
        <v>22</v>
      </c>
      <c r="D350" s="593" t="n">
        <v>2</v>
      </c>
      <c r="E350" s="128" t="inlineStr">
        <is>
          <t>23.45</t>
        </is>
      </c>
      <c r="F350" s="692" t="n"/>
      <c r="H350" s="692" t="n"/>
      <c r="Y350" s="692" t="n"/>
      <c r="Z350" s="692" t="n"/>
      <c r="AA350" s="692" t="n"/>
      <c r="AB350" s="692" t="n"/>
      <c r="AC350" s="692" t="n"/>
      <c r="AD350" s="692" t="n"/>
      <c r="AE350" s="692" t="n"/>
      <c r="AF350" s="692" t="n"/>
      <c r="AG350" s="692" t="n"/>
      <c r="AH350" s="692" t="n"/>
      <c r="AI350" s="692" t="n"/>
      <c r="AJ350" s="692" t="n"/>
      <c r="AK350" s="692" t="n"/>
      <c r="AL350" s="692" t="n"/>
      <c r="AM350" s="692" t="n"/>
      <c r="AN350" s="692" t="n"/>
      <c r="AO350" s="692" t="n"/>
      <c r="AP350" s="692" t="n"/>
      <c r="AQ350" s="692" t="n"/>
      <c r="AR350" s="692" t="n"/>
      <c r="AS350" s="692" t="n"/>
    </row>
    <row r="351">
      <c r="A351" s="427" t="inlineStr">
        <is>
          <t>M</t>
        </is>
      </c>
      <c r="B351" s="616" t="inlineStr">
        <is>
          <t>50 Fly</t>
        </is>
      </c>
      <c r="C351" s="616" t="n">
        <v>23</v>
      </c>
      <c r="D351" s="616" t="n">
        <v>2</v>
      </c>
      <c r="E351" s="127" t="inlineStr">
        <is>
          <t>23.36</t>
        </is>
      </c>
      <c r="F351" s="692" t="n"/>
      <c r="H351" s="692" t="n"/>
      <c r="Y351" s="692" t="n"/>
      <c r="Z351" s="692" t="n"/>
      <c r="AA351" s="692" t="n"/>
      <c r="AB351" s="692" t="n"/>
      <c r="AC351" s="692" t="n"/>
      <c r="AD351" s="692" t="n"/>
      <c r="AE351" s="692" t="n"/>
      <c r="AF351" s="692" t="n"/>
      <c r="AG351" s="692" t="n"/>
      <c r="AH351" s="692" t="n"/>
      <c r="AI351" s="692" t="n"/>
      <c r="AJ351" s="692" t="n"/>
      <c r="AK351" s="692" t="n"/>
      <c r="AL351" s="692" t="n"/>
      <c r="AM351" s="692" t="n"/>
      <c r="AN351" s="692" t="n"/>
      <c r="AO351" s="692" t="n"/>
      <c r="AP351" s="692" t="n"/>
      <c r="AQ351" s="692" t="n"/>
      <c r="AR351" s="692" t="n"/>
      <c r="AS351" s="692" t="n"/>
    </row>
    <row r="352">
      <c r="A352" s="420" t="inlineStr">
        <is>
          <t>M</t>
        </is>
      </c>
      <c r="B352" s="593" t="inlineStr">
        <is>
          <t>100 Fly</t>
        </is>
      </c>
      <c r="C352" s="593" t="n">
        <v>17</v>
      </c>
      <c r="D352" s="593" t="n">
        <v>2</v>
      </c>
      <c r="E352" s="128" t="inlineStr">
        <is>
          <t>54.31</t>
        </is>
      </c>
      <c r="F352" s="692" t="n"/>
      <c r="H352" s="692" t="n"/>
      <c r="Y352" s="692" t="n"/>
      <c r="Z352" s="692" t="n"/>
      <c r="AA352" s="158" t="n"/>
      <c r="AB352" s="692" t="n"/>
      <c r="AC352" s="692" t="n"/>
      <c r="AD352" s="692" t="n"/>
      <c r="AE352" s="692" t="n"/>
      <c r="AF352" s="692" t="n"/>
      <c r="AG352" s="692" t="n"/>
      <c r="AH352" s="692" t="n"/>
      <c r="AI352" s="692" t="n"/>
      <c r="AJ352" s="692" t="n"/>
      <c r="AK352" s="692" t="n"/>
      <c r="AL352" s="692" t="n"/>
      <c r="AM352" s="692" t="n"/>
      <c r="AN352" s="692" t="n"/>
      <c r="AO352" s="692" t="n"/>
      <c r="AP352" s="692" t="n"/>
      <c r="AQ352" s="692" t="n"/>
      <c r="AR352" s="692" t="n"/>
      <c r="AS352" s="692" t="n"/>
    </row>
    <row r="353">
      <c r="A353" s="427" t="inlineStr">
        <is>
          <t>M</t>
        </is>
      </c>
      <c r="B353" s="616" t="inlineStr">
        <is>
          <t>100 Fly</t>
        </is>
      </c>
      <c r="C353" s="616" t="n">
        <v>18</v>
      </c>
      <c r="D353" s="616" t="n">
        <v>2</v>
      </c>
      <c r="E353" s="127" t="inlineStr">
        <is>
          <t>53.38</t>
        </is>
      </c>
      <c r="F353" s="692" t="n"/>
      <c r="H353" s="692" t="n"/>
      <c r="Y353" s="158" t="n"/>
      <c r="Z353" s="158" t="n"/>
      <c r="AA353" s="158" t="n"/>
      <c r="AB353" s="692" t="n"/>
      <c r="AC353" s="692" t="n"/>
      <c r="AD353" s="692" t="n"/>
      <c r="AE353" s="692" t="n"/>
      <c r="AF353" s="692" t="n"/>
      <c r="AG353" s="692" t="n"/>
      <c r="AH353" s="692" t="n"/>
      <c r="AI353" s="692" t="n"/>
      <c r="AJ353" s="692" t="n"/>
      <c r="AK353" s="692" t="n"/>
      <c r="AL353" s="692" t="n"/>
      <c r="AM353" s="692" t="n"/>
      <c r="AN353" s="692" t="n"/>
      <c r="AO353" s="692" t="n"/>
      <c r="AP353" s="692" t="n"/>
      <c r="AQ353" s="692" t="n"/>
      <c r="AR353" s="692" t="n"/>
      <c r="AS353" s="692" t="n"/>
    </row>
    <row r="354">
      <c r="A354" s="420" t="inlineStr">
        <is>
          <t>M</t>
        </is>
      </c>
      <c r="B354" s="593" t="inlineStr">
        <is>
          <t>100 Fly</t>
        </is>
      </c>
      <c r="C354" s="593" t="n">
        <v>19</v>
      </c>
      <c r="D354" s="593" t="n">
        <v>2</v>
      </c>
      <c r="E354" s="128" t="inlineStr">
        <is>
          <t>52.76</t>
        </is>
      </c>
      <c r="F354" s="692" t="n"/>
      <c r="H354" s="692" t="n"/>
      <c r="V354" s="158" t="n"/>
      <c r="W354" s="158" t="n"/>
      <c r="X354" s="158" t="n"/>
      <c r="Y354" s="158" t="n"/>
      <c r="Z354" s="158" t="n"/>
      <c r="AA354" s="158" t="n"/>
      <c r="AB354" s="692" t="n"/>
      <c r="AC354" s="692" t="n"/>
      <c r="AD354" s="692" t="n"/>
      <c r="AE354" s="692" t="n"/>
      <c r="AF354" s="692" t="n"/>
      <c r="AG354" s="692" t="n"/>
      <c r="AH354" s="692" t="n"/>
      <c r="AI354" s="692" t="n"/>
      <c r="AJ354" s="692" t="n"/>
      <c r="AK354" s="692" t="n"/>
      <c r="AL354" s="692" t="n"/>
      <c r="AM354" s="692" t="n"/>
      <c r="AN354" s="692" t="n"/>
      <c r="AO354" s="692" t="n"/>
      <c r="AP354" s="692" t="n"/>
      <c r="AQ354" s="692" t="n"/>
      <c r="AR354" s="692" t="n"/>
      <c r="AS354" s="692" t="n"/>
    </row>
    <row r="355">
      <c r="A355" s="427" t="inlineStr">
        <is>
          <t>M</t>
        </is>
      </c>
      <c r="B355" s="616" t="inlineStr">
        <is>
          <t>100 Fly</t>
        </is>
      </c>
      <c r="C355" s="616" t="n">
        <v>20</v>
      </c>
      <c r="D355" s="616" t="n">
        <v>2</v>
      </c>
      <c r="E355" s="127" t="inlineStr">
        <is>
          <t>52.31</t>
        </is>
      </c>
      <c r="F355" s="692" t="n"/>
      <c r="H355" s="692" t="n"/>
      <c r="R355" s="158" t="n"/>
      <c r="S355" s="158" t="n"/>
      <c r="T355" s="158" t="n"/>
      <c r="V355" s="692" t="n"/>
      <c r="W355" s="692" t="n"/>
      <c r="X355" s="692" t="n"/>
      <c r="Y355" s="158" t="n"/>
      <c r="Z355" s="158" t="n"/>
      <c r="AA355" s="158" t="n"/>
      <c r="AB355" s="692" t="n"/>
      <c r="AC355" s="692" t="n"/>
      <c r="AD355" s="692" t="n"/>
      <c r="AE355" s="692" t="n"/>
      <c r="AF355" s="692" t="n"/>
      <c r="AG355" s="692" t="n"/>
      <c r="AH355" s="692" t="n"/>
      <c r="AI355" s="692" t="n"/>
      <c r="AJ355" s="692" t="n"/>
      <c r="AK355" s="692" t="n"/>
      <c r="AL355" s="692" t="n"/>
      <c r="AM355" s="692" t="n"/>
      <c r="AN355" s="692" t="n"/>
      <c r="AO355" s="692" t="n"/>
      <c r="AP355" s="692" t="n"/>
      <c r="AQ355" s="692" t="n"/>
      <c r="AR355" s="692" t="n"/>
      <c r="AS355" s="692" t="n"/>
    </row>
    <row r="356">
      <c r="A356" s="420" t="inlineStr">
        <is>
          <t>M</t>
        </is>
      </c>
      <c r="B356" s="593" t="inlineStr">
        <is>
          <t>100 Fly</t>
        </is>
      </c>
      <c r="C356" s="593" t="n">
        <v>21</v>
      </c>
      <c r="D356" s="593" t="n">
        <v>2</v>
      </c>
      <c r="E356" s="128" t="inlineStr">
        <is>
          <t>51.99</t>
        </is>
      </c>
      <c r="F356" s="692" t="n"/>
      <c r="G356" s="158" t="n"/>
      <c r="H356" s="158" t="n"/>
      <c r="I356" s="158" t="n"/>
      <c r="J356" s="158" t="n"/>
      <c r="K356" s="158" t="n"/>
      <c r="M356" s="158" t="n"/>
      <c r="N356" s="158" t="n"/>
      <c r="O356" s="158" t="n"/>
      <c r="P356" s="158" t="n"/>
      <c r="Q356" s="158" t="n"/>
      <c r="R356" s="692" t="n"/>
      <c r="S356" s="692" t="n"/>
      <c r="T356" s="692" t="n"/>
      <c r="U356" s="158" t="n"/>
      <c r="V356" s="692" t="n"/>
      <c r="W356" s="692" t="n"/>
      <c r="X356" s="692" t="n"/>
      <c r="Y356" s="158" t="n"/>
      <c r="Z356" s="692" t="n"/>
      <c r="AA356" s="692" t="n"/>
      <c r="AB356" s="692" t="n"/>
      <c r="AC356" s="692" t="n"/>
      <c r="AD356" s="692" t="n"/>
      <c r="AE356" s="692" t="n"/>
      <c r="AF356" s="692" t="n"/>
      <c r="AG356" s="692" t="n"/>
      <c r="AH356" s="692" t="n"/>
      <c r="AI356" s="692" t="n"/>
      <c r="AJ356" s="692" t="n"/>
      <c r="AK356" s="692" t="n"/>
      <c r="AL356" s="692" t="n"/>
      <c r="AM356" s="692" t="n"/>
      <c r="AN356" s="692" t="n"/>
      <c r="AO356" s="692" t="n"/>
      <c r="AP356" s="692" t="n"/>
      <c r="AQ356" s="692" t="n"/>
      <c r="AR356" s="692" t="n"/>
      <c r="AS356" s="692" t="n"/>
    </row>
    <row r="357">
      <c r="A357" s="427" t="inlineStr">
        <is>
          <t>M</t>
        </is>
      </c>
      <c r="B357" s="616" t="inlineStr">
        <is>
          <t>100 Fly</t>
        </is>
      </c>
      <c r="C357" s="616" t="n">
        <v>22</v>
      </c>
      <c r="D357" s="616" t="n">
        <v>2</v>
      </c>
      <c r="E357" s="127" t="inlineStr">
        <is>
          <t>51.77</t>
        </is>
      </c>
      <c r="F357" s="692" t="n"/>
      <c r="G357" s="692" t="n"/>
      <c r="H357" s="692" t="n"/>
      <c r="I357" s="692" t="n"/>
      <c r="J357" s="692" t="n"/>
      <c r="K357" s="692" t="n"/>
      <c r="L357" s="158" t="n"/>
      <c r="M357" s="692" t="n"/>
      <c r="N357" s="692" t="n"/>
      <c r="O357" s="692" t="n"/>
      <c r="P357" s="692" t="n"/>
      <c r="Q357" s="692" t="n"/>
      <c r="R357" s="692" t="n"/>
      <c r="S357" s="692" t="n"/>
      <c r="T357" s="692" t="n"/>
      <c r="U357" s="692" t="n"/>
      <c r="V357" s="692" t="n"/>
      <c r="W357" s="692" t="n"/>
      <c r="X357" s="692" t="n"/>
      <c r="Y357" s="692" t="n"/>
      <c r="Z357" s="692" t="n"/>
      <c r="AA357" s="692" t="n"/>
      <c r="AB357" s="692" t="n"/>
      <c r="AC357" s="692" t="n"/>
      <c r="AD357" s="692" t="n"/>
      <c r="AE357" s="692" t="n"/>
      <c r="AF357" s="692" t="n"/>
      <c r="AG357" s="692" t="n"/>
      <c r="AH357" s="692" t="n"/>
      <c r="AI357" s="692" t="n"/>
      <c r="AJ357" s="692" t="n"/>
      <c r="AK357" s="692" t="n"/>
      <c r="AL357" s="692" t="n"/>
      <c r="AM357" s="692" t="n"/>
      <c r="AN357" s="692" t="n"/>
      <c r="AO357" s="692" t="n"/>
      <c r="AP357" s="692" t="n"/>
      <c r="AQ357" s="692" t="n"/>
      <c r="AR357" s="692" t="n"/>
      <c r="AS357" s="692" t="n"/>
    </row>
    <row r="358">
      <c r="A358" s="420" t="inlineStr">
        <is>
          <t>M</t>
        </is>
      </c>
      <c r="B358" s="593" t="inlineStr">
        <is>
          <t>200 Fly</t>
        </is>
      </c>
      <c r="C358" s="593" t="n">
        <v>16</v>
      </c>
      <c r="D358" s="593" t="n">
        <v>2</v>
      </c>
      <c r="E358" s="128" t="inlineStr">
        <is>
          <t>2:04.65</t>
        </is>
      </c>
      <c r="F358" s="692" t="n"/>
      <c r="G358" s="692" t="n"/>
      <c r="H358" s="692" t="n"/>
      <c r="I358" s="692" t="n"/>
      <c r="J358" s="692" t="n"/>
      <c r="K358" s="692" t="n"/>
      <c r="L358" s="692" t="n"/>
      <c r="M358" s="692" t="n"/>
      <c r="N358" s="692" t="n"/>
      <c r="O358" s="692" t="n"/>
      <c r="P358" s="692" t="n"/>
      <c r="Q358" s="692" t="n"/>
      <c r="R358" s="692" t="n"/>
      <c r="S358" s="692" t="n"/>
      <c r="T358" s="692" t="n"/>
      <c r="U358" s="692" t="n"/>
      <c r="V358" s="692" t="n"/>
      <c r="W358" s="692" t="n"/>
      <c r="X358" s="692" t="n"/>
      <c r="Y358" s="692" t="n"/>
      <c r="Z358" s="692" t="n"/>
      <c r="AA358" s="692" t="n"/>
      <c r="AB358" s="692" t="n"/>
      <c r="AC358" s="692" t="n"/>
      <c r="AD358" s="692" t="n"/>
      <c r="AE358" s="692" t="n"/>
      <c r="AF358" s="692" t="n"/>
      <c r="AG358" s="692" t="n"/>
      <c r="AH358" s="692" t="n"/>
      <c r="AI358" s="692" t="n"/>
      <c r="AJ358" s="692" t="n"/>
      <c r="AK358" s="692" t="n"/>
      <c r="AL358" s="692" t="n"/>
      <c r="AM358" s="692" t="n"/>
      <c r="AN358" s="692" t="n"/>
      <c r="AO358" s="692" t="n"/>
      <c r="AP358" s="692" t="n"/>
      <c r="AQ358" s="692" t="n"/>
      <c r="AR358" s="692" t="n"/>
      <c r="AS358" s="692" t="n"/>
    </row>
    <row r="359">
      <c r="A359" s="427" t="inlineStr">
        <is>
          <t>M</t>
        </is>
      </c>
      <c r="B359" s="616" t="inlineStr">
        <is>
          <t>200 Fly</t>
        </is>
      </c>
      <c r="C359" s="616" t="n">
        <v>17</v>
      </c>
      <c r="D359" s="616" t="n">
        <v>2</v>
      </c>
      <c r="E359" s="127" t="inlineStr">
        <is>
          <t>2:01.37</t>
        </is>
      </c>
      <c r="F359" s="692" t="n"/>
      <c r="G359" s="692" t="n"/>
      <c r="H359" s="692" t="n"/>
      <c r="I359" s="692" t="n"/>
      <c r="J359" s="692" t="n"/>
      <c r="K359" s="692" t="n"/>
      <c r="L359" s="692" t="n"/>
      <c r="M359" s="692" t="n"/>
      <c r="N359" s="692" t="n"/>
      <c r="O359" s="692" t="n"/>
      <c r="P359" s="692" t="n"/>
      <c r="Q359" s="692" t="n"/>
      <c r="R359" s="692" t="n"/>
      <c r="S359" s="692" t="n"/>
      <c r="T359" s="692" t="n"/>
      <c r="U359" s="692" t="n"/>
      <c r="V359" s="692" t="n"/>
      <c r="W359" s="692" t="n"/>
      <c r="X359" s="692" t="n"/>
      <c r="Y359" s="692" t="n"/>
      <c r="Z359" s="692" t="n"/>
      <c r="AA359" s="692" t="n"/>
      <c r="AB359" s="692" t="n"/>
      <c r="AC359" s="692" t="n"/>
      <c r="AD359" s="692" t="n"/>
      <c r="AE359" s="692" t="n"/>
      <c r="AF359" s="692" t="n"/>
      <c r="AG359" s="692" t="n"/>
      <c r="AH359" s="692" t="n"/>
      <c r="AI359" s="692" t="n"/>
      <c r="AJ359" s="692" t="n"/>
      <c r="AK359" s="692" t="n"/>
      <c r="AL359" s="692" t="n"/>
      <c r="AM359" s="692" t="n"/>
      <c r="AN359" s="692" t="n"/>
      <c r="AO359" s="692" t="n"/>
      <c r="AP359" s="692" t="n"/>
      <c r="AQ359" s="692" t="n"/>
      <c r="AR359" s="692" t="n"/>
      <c r="AS359" s="692" t="n"/>
    </row>
    <row r="360">
      <c r="A360" s="420" t="inlineStr">
        <is>
          <t>M</t>
        </is>
      </c>
      <c r="B360" s="593" t="inlineStr">
        <is>
          <t>200 Fly</t>
        </is>
      </c>
      <c r="C360" s="593" t="n">
        <v>18</v>
      </c>
      <c r="D360" s="593" t="n">
        <v>2</v>
      </c>
      <c r="E360" s="128" t="inlineStr">
        <is>
          <t>1:59.30</t>
        </is>
      </c>
      <c r="F360" s="692" t="n"/>
      <c r="G360" s="692" t="n"/>
      <c r="H360" s="692" t="n"/>
      <c r="I360" s="692" t="n"/>
      <c r="J360" s="692" t="n"/>
      <c r="K360" s="692" t="n"/>
      <c r="L360" s="692" t="n"/>
      <c r="M360" s="692" t="n"/>
      <c r="N360" s="692" t="n"/>
      <c r="O360" s="692" t="n"/>
      <c r="P360" s="692" t="n"/>
      <c r="Q360" s="692" t="n"/>
      <c r="R360" s="692" t="n"/>
      <c r="S360" s="692" t="n"/>
      <c r="T360" s="692" t="n"/>
      <c r="U360" s="692" t="n"/>
      <c r="V360" s="692" t="n"/>
      <c r="W360" s="692" t="n"/>
      <c r="X360" s="692" t="n"/>
      <c r="Y360" s="692" t="n"/>
      <c r="Z360" s="692" t="n"/>
      <c r="AA360" s="692" t="n"/>
      <c r="AB360" s="692" t="n"/>
      <c r="AC360" s="692" t="n"/>
      <c r="AD360" s="692" t="n"/>
      <c r="AE360" s="692" t="n"/>
      <c r="AF360" s="692" t="n"/>
      <c r="AG360" s="692" t="n"/>
      <c r="AH360" s="692" t="n"/>
      <c r="AI360" s="692" t="n"/>
      <c r="AJ360" s="692" t="n"/>
      <c r="AK360" s="692" t="n"/>
      <c r="AL360" s="692" t="n"/>
      <c r="AM360" s="692" t="n"/>
      <c r="AN360" s="692" t="n"/>
      <c r="AO360" s="692" t="n"/>
      <c r="AP360" s="692" t="n"/>
      <c r="AQ360" s="692" t="n"/>
      <c r="AR360" s="692" t="n"/>
      <c r="AS360" s="692" t="n"/>
    </row>
    <row r="361">
      <c r="A361" s="427" t="inlineStr">
        <is>
          <t>M</t>
        </is>
      </c>
      <c r="B361" s="616" t="inlineStr">
        <is>
          <t>200 Fly</t>
        </is>
      </c>
      <c r="C361" s="616" t="n">
        <v>19</v>
      </c>
      <c r="D361" s="616" t="n">
        <v>2</v>
      </c>
      <c r="E361" s="127" t="inlineStr">
        <is>
          <t>1:57.95</t>
        </is>
      </c>
      <c r="F361" s="692" t="n"/>
      <c r="G361" s="692" t="n"/>
      <c r="H361" s="692" t="n"/>
      <c r="I361" s="692" t="n"/>
      <c r="J361" s="692" t="n"/>
      <c r="K361" s="692" t="n"/>
      <c r="L361" s="692" t="n"/>
      <c r="M361" s="692" t="n"/>
      <c r="N361" s="692" t="n"/>
      <c r="O361" s="692" t="n"/>
      <c r="P361" s="692" t="n"/>
      <c r="Q361" s="692" t="n"/>
      <c r="R361" s="692" t="n"/>
      <c r="S361" s="692" t="n"/>
      <c r="T361" s="692" t="n"/>
      <c r="U361" s="692" t="n"/>
      <c r="V361" s="692" t="n"/>
      <c r="W361" s="692" t="n"/>
      <c r="X361" s="692" t="n"/>
      <c r="Y361" s="692" t="n"/>
      <c r="Z361" s="692" t="n"/>
      <c r="AA361" s="692" t="n"/>
      <c r="AB361" s="692" t="n"/>
      <c r="AC361" s="692" t="n"/>
      <c r="AD361" s="692" t="n"/>
      <c r="AE361" s="692" t="n"/>
      <c r="AF361" s="692" t="n"/>
      <c r="AG361" s="692" t="n"/>
      <c r="AH361" s="692" t="n"/>
      <c r="AI361" s="692" t="n"/>
      <c r="AJ361" s="692" t="n"/>
      <c r="AK361" s="692" t="n"/>
      <c r="AL361" s="692" t="n"/>
      <c r="AM361" s="692" t="n"/>
      <c r="AN361" s="692" t="n"/>
      <c r="AO361" s="692" t="n"/>
      <c r="AP361" s="692" t="n"/>
      <c r="AQ361" s="692" t="n"/>
      <c r="AR361" s="692" t="n"/>
      <c r="AS361" s="692" t="n"/>
    </row>
    <row r="362">
      <c r="A362" s="420" t="inlineStr">
        <is>
          <t>M</t>
        </is>
      </c>
      <c r="B362" s="593" t="inlineStr">
        <is>
          <t>200 Fly</t>
        </is>
      </c>
      <c r="C362" s="593" t="n">
        <v>20</v>
      </c>
      <c r="D362" s="593" t="n">
        <v>2</v>
      </c>
      <c r="E362" s="128" t="inlineStr">
        <is>
          <t>1:57.06</t>
        </is>
      </c>
      <c r="F362" s="692" t="n"/>
      <c r="G362" s="692" t="n"/>
      <c r="H362" s="692" t="n"/>
      <c r="I362" s="692" t="n"/>
      <c r="J362" s="692" t="n"/>
      <c r="K362" s="692" t="n"/>
      <c r="L362" s="692" t="n"/>
      <c r="M362" s="692" t="n"/>
      <c r="N362" s="692" t="n"/>
      <c r="O362" s="692" t="n"/>
      <c r="P362" s="692" t="n"/>
      <c r="Q362" s="692" t="n"/>
      <c r="R362" s="692" t="n"/>
      <c r="S362" s="692" t="n"/>
      <c r="T362" s="692" t="n"/>
      <c r="U362" s="692" t="n"/>
      <c r="V362" s="692" t="n"/>
      <c r="W362" s="692" t="n"/>
      <c r="X362" s="692" t="n"/>
      <c r="Y362" s="692" t="n"/>
      <c r="Z362" s="692" t="n"/>
      <c r="AA362" s="692" t="n"/>
      <c r="AB362" s="692" t="n"/>
      <c r="AC362" s="692" t="n"/>
      <c r="AD362" s="692" t="n"/>
      <c r="AE362" s="692" t="n"/>
      <c r="AF362" s="692" t="n"/>
      <c r="AG362" s="692" t="n"/>
      <c r="AH362" s="692" t="n"/>
      <c r="AI362" s="692" t="n"/>
      <c r="AJ362" s="692" t="n"/>
      <c r="AK362" s="692" t="n"/>
      <c r="AL362" s="692" t="n"/>
      <c r="AM362" s="692" t="n"/>
      <c r="AN362" s="692" t="n"/>
      <c r="AO362" s="692" t="n"/>
      <c r="AP362" s="692" t="n"/>
      <c r="AQ362" s="692" t="n"/>
      <c r="AR362" s="692" t="n"/>
      <c r="AS362" s="692" t="n"/>
    </row>
    <row r="363">
      <c r="A363" s="427" t="inlineStr">
        <is>
          <t>M</t>
        </is>
      </c>
      <c r="B363" s="616" t="inlineStr">
        <is>
          <t>200 Fly</t>
        </is>
      </c>
      <c r="C363" s="616" t="n">
        <v>21</v>
      </c>
      <c r="D363" s="616" t="n">
        <v>2</v>
      </c>
      <c r="E363" s="127" t="inlineStr">
        <is>
          <t>1:56.51</t>
        </is>
      </c>
      <c r="F363" s="692" t="n"/>
      <c r="G363" s="692" t="n"/>
      <c r="H363" s="692" t="n"/>
      <c r="I363" s="692" t="n"/>
      <c r="J363" s="692" t="n"/>
      <c r="K363" s="692" t="n"/>
      <c r="L363" s="692" t="n"/>
      <c r="M363" s="692" t="n"/>
      <c r="N363" s="692" t="n"/>
      <c r="O363" s="692" t="n"/>
      <c r="P363" s="692" t="n"/>
      <c r="Q363" s="692" t="n"/>
      <c r="R363" s="692" t="n"/>
      <c r="S363" s="692" t="n"/>
      <c r="T363" s="692" t="n"/>
      <c r="U363" s="692" t="n"/>
      <c r="V363" s="692" t="n"/>
      <c r="W363" s="692" t="n"/>
      <c r="X363" s="692" t="n"/>
      <c r="Y363" s="692" t="n"/>
      <c r="Z363" s="692" t="n"/>
      <c r="AA363" s="692" t="n"/>
      <c r="AB363" s="692" t="n"/>
      <c r="AC363" s="692" t="n"/>
      <c r="AD363" s="692" t="n"/>
      <c r="AE363" s="692" t="n"/>
      <c r="AF363" s="692" t="n"/>
      <c r="AG363" s="692" t="n"/>
      <c r="AH363" s="692" t="n"/>
      <c r="AI363" s="692" t="n"/>
      <c r="AJ363" s="692" t="n"/>
      <c r="AK363" s="692" t="n"/>
      <c r="AL363" s="692" t="n"/>
      <c r="AM363" s="692" t="n"/>
      <c r="AN363" s="692" t="n"/>
      <c r="AO363" s="692" t="n"/>
      <c r="AP363" s="692" t="n"/>
      <c r="AQ363" s="692" t="n"/>
      <c r="AR363" s="692" t="n"/>
      <c r="AS363" s="692" t="n"/>
    </row>
    <row r="364">
      <c r="A364" s="420" t="inlineStr">
        <is>
          <t>M</t>
        </is>
      </c>
      <c r="B364" s="593" t="inlineStr">
        <is>
          <t>200 IM</t>
        </is>
      </c>
      <c r="C364" s="593" t="n">
        <v>17</v>
      </c>
      <c r="D364" s="593" t="n">
        <v>2</v>
      </c>
      <c r="E364" s="128" t="inlineStr">
        <is>
          <t>2:04.42</t>
        </is>
      </c>
      <c r="F364" s="692" t="n"/>
      <c r="G364" s="692" t="n"/>
      <c r="H364" s="692" t="n"/>
      <c r="I364" s="692" t="n"/>
      <c r="J364" s="692" t="n"/>
      <c r="K364" s="692" t="n"/>
      <c r="L364" s="692" t="n"/>
      <c r="M364" s="692" t="n"/>
      <c r="N364" s="692" t="n"/>
      <c r="O364" s="692" t="n"/>
      <c r="P364" s="692" t="n"/>
      <c r="Q364" s="692" t="n"/>
      <c r="R364" s="692" t="n"/>
      <c r="S364" s="692" t="n"/>
      <c r="T364" s="692" t="n"/>
      <c r="U364" s="692" t="n"/>
      <c r="V364" s="692" t="n"/>
      <c r="W364" s="692" t="n"/>
      <c r="X364" s="692" t="n"/>
      <c r="Y364" s="692" t="n"/>
      <c r="Z364" s="692" t="n"/>
      <c r="AA364" s="692" t="n"/>
      <c r="AB364" s="692" t="n"/>
      <c r="AC364" s="692" t="n"/>
      <c r="AD364" s="692" t="n"/>
      <c r="AE364" s="692" t="n"/>
      <c r="AF364" s="692" t="n"/>
      <c r="AG364" s="692" t="n"/>
      <c r="AH364" s="692" t="n"/>
      <c r="AI364" s="692" t="n"/>
      <c r="AJ364" s="692" t="n"/>
      <c r="AK364" s="692" t="n"/>
      <c r="AL364" s="692" t="n"/>
      <c r="AM364" s="692" t="n"/>
      <c r="AN364" s="692" t="n"/>
      <c r="AO364" s="692" t="n"/>
      <c r="AP364" s="692" t="n"/>
      <c r="AQ364" s="692" t="n"/>
      <c r="AR364" s="692" t="n"/>
      <c r="AS364" s="692" t="n"/>
    </row>
    <row r="365">
      <c r="A365" s="427" t="inlineStr">
        <is>
          <t>M</t>
        </is>
      </c>
      <c r="B365" s="616" t="inlineStr">
        <is>
          <t>200 IM</t>
        </is>
      </c>
      <c r="C365" s="616" t="n">
        <v>18</v>
      </c>
      <c r="D365" s="616" t="n">
        <v>2</v>
      </c>
      <c r="E365" s="127" t="inlineStr">
        <is>
          <t>2:02.39</t>
        </is>
      </c>
      <c r="F365" s="692" t="n"/>
      <c r="G365" s="692" t="n"/>
      <c r="H365" s="692" t="n"/>
      <c r="I365" s="692" t="n"/>
      <c r="J365" s="692" t="n"/>
      <c r="K365" s="692" t="n"/>
      <c r="L365" s="692" t="n"/>
      <c r="M365" s="692" t="n"/>
      <c r="N365" s="692" t="n"/>
      <c r="O365" s="692" t="n"/>
      <c r="P365" s="692" t="n"/>
      <c r="Q365" s="692" t="n"/>
      <c r="R365" s="692" t="n"/>
      <c r="S365" s="692" t="n"/>
      <c r="T365" s="692" t="n"/>
      <c r="U365" s="692" t="n"/>
      <c r="V365" s="692" t="n"/>
      <c r="W365" s="692" t="n"/>
      <c r="X365" s="692" t="n"/>
      <c r="Y365" s="692" t="n"/>
      <c r="Z365" s="692" t="n"/>
      <c r="AA365" s="692" t="n"/>
      <c r="AB365" s="692" t="n"/>
      <c r="AC365" s="692" t="n"/>
      <c r="AD365" s="692" t="n"/>
      <c r="AE365" s="692" t="n"/>
      <c r="AF365" s="692" t="n"/>
      <c r="AG365" s="692" t="n"/>
      <c r="AH365" s="692" t="n"/>
      <c r="AI365" s="692" t="n"/>
      <c r="AJ365" s="692" t="n"/>
      <c r="AK365" s="692" t="n"/>
      <c r="AL365" s="692" t="n"/>
      <c r="AM365" s="692" t="n"/>
      <c r="AN365" s="692" t="n"/>
      <c r="AO365" s="692" t="n"/>
      <c r="AP365" s="692" t="n"/>
      <c r="AQ365" s="692" t="n"/>
      <c r="AR365" s="692" t="n"/>
      <c r="AS365" s="692" t="n"/>
    </row>
    <row r="366">
      <c r="A366" s="420" t="inlineStr">
        <is>
          <t>M</t>
        </is>
      </c>
      <c r="B366" s="593" t="inlineStr">
        <is>
          <t>200 IM</t>
        </is>
      </c>
      <c r="C366" s="593" t="n">
        <v>19</v>
      </c>
      <c r="D366" s="593" t="n">
        <v>2</v>
      </c>
      <c r="E366" s="128" t="inlineStr">
        <is>
          <t>2:01.03</t>
        </is>
      </c>
      <c r="F366" s="692" t="n"/>
      <c r="G366" s="692" t="n"/>
      <c r="H366" s="692" t="n"/>
      <c r="I366" s="692" t="n"/>
      <c r="J366" s="692" t="n"/>
      <c r="K366" s="692" t="n"/>
      <c r="L366" s="692" t="n"/>
      <c r="M366" s="692" t="n"/>
      <c r="N366" s="692" t="n"/>
      <c r="O366" s="692" t="n"/>
      <c r="P366" s="692" t="n"/>
      <c r="Q366" s="692" t="n"/>
      <c r="R366" s="692" t="n"/>
      <c r="S366" s="692" t="n"/>
      <c r="T366" s="692" t="n"/>
      <c r="U366" s="692" t="n"/>
      <c r="V366" s="692" t="n"/>
      <c r="W366" s="692" t="n"/>
      <c r="X366" s="692" t="n"/>
      <c r="Y366" s="692" t="n"/>
      <c r="Z366" s="692" t="n"/>
      <c r="AA366" s="692" t="n"/>
      <c r="AB366" s="692" t="n"/>
      <c r="AC366" s="692" t="n"/>
      <c r="AD366" s="692" t="n"/>
      <c r="AE366" s="692" t="n"/>
      <c r="AF366" s="692" t="n"/>
      <c r="AG366" s="692" t="n"/>
      <c r="AH366" s="692" t="n"/>
      <c r="AI366" s="692" t="n"/>
      <c r="AJ366" s="692" t="n"/>
      <c r="AK366" s="692" t="n"/>
      <c r="AL366" s="692" t="n"/>
      <c r="AM366" s="692" t="n"/>
      <c r="AN366" s="692" t="n"/>
      <c r="AO366" s="692" t="n"/>
      <c r="AP366" s="692" t="n"/>
      <c r="AQ366" s="692" t="n"/>
      <c r="AR366" s="692" t="n"/>
      <c r="AS366" s="692" t="n"/>
    </row>
    <row r="367">
      <c r="A367" s="427" t="inlineStr">
        <is>
          <t>M</t>
        </is>
      </c>
      <c r="B367" s="616" t="inlineStr">
        <is>
          <t>200 IM</t>
        </is>
      </c>
      <c r="C367" s="616" t="n">
        <v>20</v>
      </c>
      <c r="D367" s="616" t="n">
        <v>2</v>
      </c>
      <c r="E367" s="127" t="inlineStr">
        <is>
          <t>2:00.12</t>
        </is>
      </c>
      <c r="F367" s="692" t="n"/>
      <c r="G367" s="692" t="n"/>
      <c r="H367" s="692" t="n"/>
      <c r="I367" s="692" t="n"/>
      <c r="J367" s="692" t="n"/>
      <c r="K367" s="692" t="n"/>
      <c r="L367" s="692" t="n"/>
      <c r="M367" s="692" t="n"/>
      <c r="N367" s="692" t="n"/>
      <c r="O367" s="692" t="n"/>
      <c r="P367" s="692" t="n"/>
      <c r="Q367" s="692" t="n"/>
      <c r="R367" s="692" t="n"/>
      <c r="S367" s="692" t="n"/>
      <c r="T367" s="692" t="n"/>
      <c r="U367" s="692" t="n"/>
      <c r="V367" s="692" t="n"/>
      <c r="W367" s="692" t="n"/>
      <c r="X367" s="692" t="n"/>
      <c r="Y367" s="692" t="n"/>
      <c r="Z367" s="692" t="n"/>
      <c r="AA367" s="692" t="n"/>
      <c r="AB367" s="692" t="n"/>
      <c r="AC367" s="692" t="n"/>
      <c r="AD367" s="692" t="n"/>
      <c r="AE367" s="692" t="n"/>
      <c r="AF367" s="692" t="n"/>
      <c r="AG367" s="692" t="n"/>
      <c r="AH367" s="692" t="n"/>
      <c r="AI367" s="692" t="n"/>
      <c r="AJ367" s="692" t="n"/>
      <c r="AK367" s="692" t="n"/>
      <c r="AL367" s="692" t="n"/>
      <c r="AM367" s="692" t="n"/>
      <c r="AN367" s="692" t="n"/>
      <c r="AO367" s="692" t="n"/>
      <c r="AP367" s="692" t="n"/>
      <c r="AQ367" s="692" t="n"/>
      <c r="AR367" s="692" t="n"/>
      <c r="AS367" s="692" t="n"/>
    </row>
    <row r="368">
      <c r="A368" s="420" t="inlineStr">
        <is>
          <t>M</t>
        </is>
      </c>
      <c r="B368" s="593" t="inlineStr">
        <is>
          <t>200 IM</t>
        </is>
      </c>
      <c r="C368" s="593" t="n">
        <v>21</v>
      </c>
      <c r="D368" s="593" t="n">
        <v>2</v>
      </c>
      <c r="E368" s="128" t="inlineStr">
        <is>
          <t>1:59.49</t>
        </is>
      </c>
      <c r="F368" s="692" t="n"/>
      <c r="G368" s="692" t="n"/>
      <c r="H368" s="692" t="n"/>
      <c r="I368" s="692" t="n"/>
      <c r="J368" s="692" t="n"/>
      <c r="K368" s="692" t="n"/>
      <c r="L368" s="692" t="n"/>
      <c r="M368" s="692" t="n"/>
      <c r="N368" s="692" t="n"/>
      <c r="O368" s="692" t="n"/>
      <c r="P368" s="692" t="n"/>
      <c r="Q368" s="692" t="n"/>
      <c r="R368" s="692" t="n"/>
      <c r="S368" s="692" t="n"/>
      <c r="T368" s="692" t="n"/>
      <c r="U368" s="692" t="n"/>
      <c r="V368" s="692" t="n"/>
      <c r="W368" s="692" t="n"/>
      <c r="X368" s="692" t="n"/>
      <c r="Y368" s="692" t="n"/>
      <c r="Z368" s="692" t="n"/>
      <c r="AA368" s="692" t="n"/>
      <c r="AB368" s="692" t="n"/>
      <c r="AC368" s="692" t="n"/>
      <c r="AD368" s="692" t="n"/>
      <c r="AE368" s="692" t="n"/>
      <c r="AF368" s="692" t="n"/>
      <c r="AG368" s="692" t="n"/>
      <c r="AH368" s="692" t="n"/>
      <c r="AI368" s="692" t="n"/>
      <c r="AJ368" s="692" t="n"/>
      <c r="AK368" s="692" t="n"/>
      <c r="AL368" s="692" t="n"/>
      <c r="AM368" s="692" t="n"/>
      <c r="AN368" s="692" t="n"/>
      <c r="AO368" s="692" t="n"/>
      <c r="AP368" s="692" t="n"/>
      <c r="AQ368" s="692" t="n"/>
      <c r="AR368" s="692" t="n"/>
      <c r="AS368" s="692" t="n"/>
    </row>
    <row r="369">
      <c r="A369" s="427" t="inlineStr">
        <is>
          <t>M</t>
        </is>
      </c>
      <c r="B369" s="616" t="inlineStr">
        <is>
          <t>200 IM</t>
        </is>
      </c>
      <c r="C369" s="616" t="n">
        <v>22</v>
      </c>
      <c r="D369" s="616" t="n">
        <v>2</v>
      </c>
      <c r="E369" s="127" t="inlineStr">
        <is>
          <t>1:59.05</t>
        </is>
      </c>
      <c r="F369" s="692" t="n"/>
      <c r="G369" s="692" t="n"/>
      <c r="H369" s="692" t="n"/>
      <c r="I369" s="692" t="n"/>
      <c r="J369" s="692" t="n"/>
      <c r="K369" s="692" t="n"/>
      <c r="L369" s="692" t="n"/>
      <c r="M369" s="692" t="n"/>
      <c r="N369" s="692" t="n"/>
      <c r="O369" s="692" t="n"/>
      <c r="P369" s="692" t="n"/>
      <c r="Q369" s="692" t="n"/>
      <c r="R369" s="692" t="n"/>
      <c r="S369" s="692" t="n"/>
      <c r="T369" s="692" t="n"/>
      <c r="U369" s="692" t="n"/>
      <c r="V369" s="692" t="n"/>
      <c r="W369" s="692" t="n"/>
      <c r="X369" s="692" t="n"/>
      <c r="Y369" s="692" t="n"/>
      <c r="Z369" s="692" t="n"/>
      <c r="AA369" s="692" t="n"/>
      <c r="AB369" s="692" t="n"/>
      <c r="AC369" s="692" t="n"/>
      <c r="AD369" s="692" t="n"/>
      <c r="AE369" s="692" t="n"/>
      <c r="AF369" s="692" t="n"/>
      <c r="AG369" s="692" t="n"/>
      <c r="AH369" s="692" t="n"/>
      <c r="AI369" s="692" t="n"/>
      <c r="AJ369" s="692" t="n"/>
      <c r="AK369" s="692" t="n"/>
      <c r="AL369" s="692" t="n"/>
      <c r="AM369" s="692" t="n"/>
      <c r="AN369" s="692" t="n"/>
      <c r="AO369" s="692" t="n"/>
      <c r="AP369" s="692" t="n"/>
      <c r="AQ369" s="692" t="n"/>
      <c r="AR369" s="692" t="n"/>
      <c r="AS369" s="692" t="n"/>
    </row>
    <row r="370">
      <c r="A370" s="420" t="inlineStr">
        <is>
          <t>M</t>
        </is>
      </c>
      <c r="B370" s="593" t="inlineStr">
        <is>
          <t>400 IM</t>
        </is>
      </c>
      <c r="C370" s="593" t="n">
        <v>16</v>
      </c>
      <c r="D370" s="593" t="n">
        <v>2</v>
      </c>
      <c r="E370" s="128" t="inlineStr">
        <is>
          <t>4:34.00</t>
        </is>
      </c>
      <c r="F370" s="692" t="n"/>
      <c r="G370" s="692" t="n"/>
      <c r="H370" s="692" t="n"/>
      <c r="I370" s="692" t="n"/>
      <c r="J370" s="692" t="n"/>
      <c r="K370" s="692" t="n"/>
      <c r="L370" s="692" t="n"/>
      <c r="M370" s="692" t="n"/>
      <c r="N370" s="692" t="n"/>
      <c r="O370" s="692" t="n"/>
      <c r="P370" s="692" t="n"/>
      <c r="Q370" s="692" t="n"/>
      <c r="R370" s="692" t="n"/>
      <c r="S370" s="692" t="n"/>
      <c r="T370" s="692" t="n"/>
      <c r="U370" s="692" t="n"/>
      <c r="V370" s="692" t="n"/>
      <c r="W370" s="692" t="n"/>
      <c r="X370" s="692" t="n"/>
      <c r="Y370" s="692" t="n"/>
      <c r="Z370" s="692" t="n"/>
      <c r="AA370" s="692" t="n"/>
      <c r="AB370" s="692" t="n"/>
      <c r="AC370" s="692" t="n"/>
      <c r="AD370" s="692" t="n"/>
      <c r="AE370" s="692" t="n"/>
      <c r="AF370" s="692" t="n"/>
      <c r="AG370" s="692" t="n"/>
      <c r="AH370" s="692" t="n"/>
      <c r="AI370" s="692" t="n"/>
      <c r="AJ370" s="692" t="n"/>
      <c r="AK370" s="692" t="n"/>
      <c r="AL370" s="692" t="n"/>
      <c r="AM370" s="692" t="n"/>
      <c r="AN370" s="692" t="n"/>
      <c r="AO370" s="692" t="n"/>
      <c r="AP370" s="692" t="n"/>
      <c r="AQ370" s="692" t="n"/>
      <c r="AR370" s="692" t="n"/>
      <c r="AS370" s="692" t="n"/>
    </row>
    <row r="371">
      <c r="A371" s="427" t="inlineStr">
        <is>
          <t>M</t>
        </is>
      </c>
      <c r="B371" s="616" t="inlineStr">
        <is>
          <t>400 IM</t>
        </is>
      </c>
      <c r="C371" s="616" t="n">
        <v>17</v>
      </c>
      <c r="D371" s="616" t="n">
        <v>2</v>
      </c>
      <c r="E371" s="127" t="inlineStr">
        <is>
          <t>4:27.91</t>
        </is>
      </c>
      <c r="F371" s="692" t="n"/>
      <c r="G371" s="692" t="n"/>
      <c r="H371" s="692" t="n"/>
      <c r="I371" s="692" t="n"/>
      <c r="J371" s="692" t="n"/>
      <c r="K371" s="692" t="n"/>
      <c r="L371" s="692" t="n"/>
      <c r="M371" s="692" t="n"/>
      <c r="N371" s="692" t="n"/>
      <c r="O371" s="692" t="n"/>
      <c r="P371" s="692" t="n"/>
      <c r="Q371" s="692" t="n"/>
      <c r="R371" s="692" t="n"/>
      <c r="S371" s="692" t="n"/>
      <c r="T371" s="692" t="n"/>
      <c r="U371" s="692" t="n"/>
      <c r="V371" s="692" t="n"/>
      <c r="W371" s="692" t="n"/>
      <c r="X371" s="692" t="n"/>
      <c r="Y371" s="692" t="n"/>
      <c r="Z371" s="692" t="n"/>
      <c r="AA371" s="692" t="n"/>
      <c r="AB371" s="692" t="n"/>
      <c r="AC371" s="692" t="n"/>
      <c r="AD371" s="692" t="n"/>
      <c r="AE371" s="692" t="n"/>
      <c r="AF371" s="692" t="n"/>
      <c r="AG371" s="692" t="n"/>
      <c r="AH371" s="692" t="n"/>
      <c r="AI371" s="692" t="n"/>
      <c r="AJ371" s="692" t="n"/>
      <c r="AK371" s="692" t="n"/>
      <c r="AL371" s="692" t="n"/>
      <c r="AM371" s="692" t="n"/>
      <c r="AN371" s="692" t="n"/>
      <c r="AO371" s="692" t="n"/>
      <c r="AP371" s="692" t="n"/>
      <c r="AQ371" s="692" t="n"/>
      <c r="AR371" s="692" t="n"/>
      <c r="AS371" s="692" t="n"/>
    </row>
    <row r="372">
      <c r="A372" s="420" t="inlineStr">
        <is>
          <t>M</t>
        </is>
      </c>
      <c r="B372" s="593" t="inlineStr">
        <is>
          <t>400 IM</t>
        </is>
      </c>
      <c r="C372" s="593" t="n">
        <v>18</v>
      </c>
      <c r="D372" s="593" t="n">
        <v>2</v>
      </c>
      <c r="E372" s="128" t="inlineStr">
        <is>
          <t>4:23.94</t>
        </is>
      </c>
      <c r="F372" s="692" t="n"/>
      <c r="G372" s="692" t="n"/>
      <c r="H372" s="692" t="n"/>
      <c r="I372" s="692" t="n"/>
      <c r="J372" s="692" t="n"/>
      <c r="K372" s="692" t="n"/>
      <c r="L372" s="692" t="n"/>
      <c r="M372" s="692" t="n"/>
      <c r="N372" s="692" t="n"/>
      <c r="O372" s="692" t="n"/>
      <c r="P372" s="692" t="n"/>
      <c r="Q372" s="692" t="n"/>
      <c r="R372" s="692" t="n"/>
      <c r="S372" s="692" t="n"/>
      <c r="T372" s="692" t="n"/>
      <c r="U372" s="692" t="n"/>
      <c r="V372" s="692" t="n"/>
      <c r="W372" s="692" t="n"/>
      <c r="X372" s="692" t="n"/>
      <c r="Y372" s="692" t="n"/>
      <c r="Z372" s="692" t="n"/>
      <c r="AA372" s="692" t="n"/>
      <c r="AB372" s="692" t="n"/>
      <c r="AC372" s="692" t="n"/>
      <c r="AD372" s="692" t="n"/>
      <c r="AE372" s="692" t="n"/>
      <c r="AF372" s="692" t="n"/>
      <c r="AG372" s="692" t="n"/>
      <c r="AH372" s="692" t="n"/>
      <c r="AI372" s="692" t="n"/>
      <c r="AJ372" s="692" t="n"/>
      <c r="AK372" s="692" t="n"/>
      <c r="AL372" s="692" t="n"/>
      <c r="AM372" s="692" t="n"/>
      <c r="AN372" s="692" t="n"/>
      <c r="AO372" s="692" t="n"/>
      <c r="AP372" s="692" t="n"/>
      <c r="AQ372" s="692" t="n"/>
      <c r="AR372" s="692" t="n"/>
      <c r="AS372" s="692" t="n"/>
    </row>
    <row r="373">
      <c r="A373" s="427" t="inlineStr">
        <is>
          <t>M</t>
        </is>
      </c>
      <c r="B373" s="616" t="inlineStr">
        <is>
          <t>400 IM</t>
        </is>
      </c>
      <c r="C373" s="616" t="n">
        <v>19</v>
      </c>
      <c r="D373" s="616" t="n">
        <v>2</v>
      </c>
      <c r="E373" s="127" t="inlineStr">
        <is>
          <t>4:20.98</t>
        </is>
      </c>
      <c r="F373" s="692" t="n"/>
      <c r="G373" s="692" t="n"/>
      <c r="H373" s="692" t="n"/>
      <c r="I373" s="692" t="n"/>
      <c r="J373" s="692" t="n"/>
      <c r="K373" s="692" t="n"/>
      <c r="L373" s="692" t="n"/>
      <c r="M373" s="692" t="n"/>
      <c r="N373" s="692" t="n"/>
      <c r="O373" s="692" t="n"/>
      <c r="P373" s="692" t="n"/>
      <c r="Q373" s="692" t="n"/>
      <c r="R373" s="692" t="n"/>
      <c r="S373" s="692" t="n"/>
      <c r="T373" s="692" t="n"/>
      <c r="U373" s="692" t="n"/>
      <c r="V373" s="692" t="n"/>
      <c r="W373" s="692" t="n"/>
      <c r="X373" s="692" t="n"/>
      <c r="Y373" s="692" t="n"/>
      <c r="Z373" s="692" t="n"/>
      <c r="AA373" s="692" t="n"/>
      <c r="AB373" s="692" t="n"/>
      <c r="AC373" s="692" t="n"/>
      <c r="AD373" s="692" t="n"/>
      <c r="AE373" s="692" t="n"/>
      <c r="AF373" s="692" t="n"/>
      <c r="AG373" s="692" t="n"/>
      <c r="AH373" s="692" t="n"/>
      <c r="AI373" s="692" t="n"/>
      <c r="AJ373" s="692" t="n"/>
      <c r="AK373" s="692" t="n"/>
      <c r="AL373" s="692" t="n"/>
      <c r="AM373" s="692" t="n"/>
      <c r="AN373" s="692" t="n"/>
      <c r="AO373" s="692" t="n"/>
      <c r="AP373" s="692" t="n"/>
      <c r="AQ373" s="692" t="n"/>
      <c r="AR373" s="692" t="n"/>
      <c r="AS373" s="692" t="n"/>
    </row>
    <row r="374">
      <c r="A374" s="420" t="inlineStr">
        <is>
          <t>M</t>
        </is>
      </c>
      <c r="B374" s="593" t="inlineStr">
        <is>
          <t>400 IM</t>
        </is>
      </c>
      <c r="C374" s="593" t="n">
        <v>20</v>
      </c>
      <c r="D374" s="593" t="n">
        <v>2</v>
      </c>
      <c r="E374" s="128" t="inlineStr">
        <is>
          <t>4:18.85</t>
        </is>
      </c>
      <c r="F374" s="692" t="n"/>
      <c r="G374" s="692" t="n"/>
      <c r="H374" s="692" t="n"/>
      <c r="I374" s="692" t="n"/>
      <c r="J374" s="692" t="n"/>
      <c r="K374" s="692" t="n"/>
      <c r="L374" s="692" t="n"/>
      <c r="M374" s="692" t="n"/>
      <c r="N374" s="692" t="n"/>
      <c r="O374" s="692" t="n"/>
      <c r="P374" s="692" t="n"/>
      <c r="Q374" s="692" t="n"/>
      <c r="R374" s="692" t="n"/>
      <c r="S374" s="692" t="n"/>
      <c r="T374" s="692" t="n"/>
      <c r="U374" s="692" t="n"/>
      <c r="V374" s="692" t="n"/>
      <c r="W374" s="692" t="n"/>
      <c r="X374" s="692" t="n"/>
      <c r="Y374" s="692" t="n"/>
      <c r="Z374" s="692" t="n"/>
      <c r="AA374" s="692" t="n"/>
      <c r="AB374" s="692" t="n"/>
      <c r="AC374" s="692" t="n"/>
      <c r="AD374" s="692" t="n"/>
      <c r="AE374" s="692" t="n"/>
      <c r="AF374" s="692" t="n"/>
      <c r="AG374" s="692" t="n"/>
      <c r="AH374" s="692" t="n"/>
      <c r="AI374" s="692" t="n"/>
      <c r="AJ374" s="692" t="n"/>
      <c r="AK374" s="692" t="n"/>
      <c r="AL374" s="692" t="n"/>
      <c r="AM374" s="692" t="n"/>
      <c r="AN374" s="692" t="n"/>
      <c r="AO374" s="692" t="n"/>
      <c r="AP374" s="692" t="n"/>
      <c r="AQ374" s="692" t="n"/>
      <c r="AR374" s="692" t="n"/>
      <c r="AS374" s="692" t="n"/>
    </row>
    <row r="375">
      <c r="A375" s="427" t="inlineStr">
        <is>
          <t>M</t>
        </is>
      </c>
      <c r="B375" s="616" t="inlineStr">
        <is>
          <t>400 IM</t>
        </is>
      </c>
      <c r="C375" s="616" t="n">
        <v>21</v>
      </c>
      <c r="D375" s="616" t="n">
        <v>2</v>
      </c>
      <c r="E375" s="127" t="inlineStr">
        <is>
          <t>4:17.48</t>
        </is>
      </c>
      <c r="F375" s="692" t="n"/>
      <c r="G375" s="692" t="n"/>
      <c r="H375" s="692" t="n"/>
      <c r="I375" s="692" t="n"/>
      <c r="J375" s="692" t="n"/>
      <c r="K375" s="692" t="n"/>
      <c r="L375" s="692" t="n"/>
      <c r="M375" s="692" t="n"/>
      <c r="N375" s="692" t="n"/>
      <c r="O375" s="692" t="n"/>
      <c r="P375" s="692" t="n"/>
      <c r="Q375" s="692" t="n"/>
      <c r="R375" s="692" t="n"/>
      <c r="S375" s="692" t="n"/>
      <c r="T375" s="692" t="n"/>
      <c r="U375" s="692" t="n"/>
      <c r="V375" s="692" t="n"/>
      <c r="W375" s="692" t="n"/>
      <c r="X375" s="692" t="n"/>
      <c r="Y375" s="692" t="n"/>
      <c r="Z375" s="692" t="n"/>
      <c r="AA375" s="692" t="n"/>
      <c r="AB375" s="692" t="n"/>
      <c r="AC375" s="692" t="n"/>
      <c r="AD375" s="692" t="n"/>
      <c r="AE375" s="692" t="n"/>
      <c r="AF375" s="692" t="n"/>
      <c r="AG375" s="692" t="n"/>
      <c r="AH375" s="692" t="n"/>
      <c r="AI375" s="692" t="n"/>
      <c r="AJ375" s="692" t="n"/>
      <c r="AK375" s="692" t="n"/>
      <c r="AL375" s="692" t="n"/>
      <c r="AM375" s="692" t="n"/>
      <c r="AN375" s="692" t="n"/>
      <c r="AO375" s="692" t="n"/>
      <c r="AP375" s="692" t="n"/>
      <c r="AQ375" s="692" t="n"/>
      <c r="AR375" s="692" t="n"/>
      <c r="AS375" s="692" t="n"/>
    </row>
    <row r="376">
      <c r="A376" s="420" t="inlineStr">
        <is>
          <t>F</t>
        </is>
      </c>
      <c r="B376" s="593" t="inlineStr">
        <is>
          <t>50 Free</t>
        </is>
      </c>
      <c r="C376" s="593" t="n">
        <v>18</v>
      </c>
      <c r="D376" s="593" t="n">
        <v>3</v>
      </c>
      <c r="E376" s="128" t="inlineStr">
        <is>
          <t>25.64</t>
        </is>
      </c>
      <c r="F376" s="692" t="n"/>
      <c r="G376" s="692" t="n"/>
      <c r="H376" s="692" t="n"/>
      <c r="I376" s="692" t="n"/>
      <c r="J376" s="692" t="n"/>
      <c r="K376" s="692" t="n"/>
      <c r="L376" s="692" t="n"/>
      <c r="M376" s="692" t="n"/>
      <c r="N376" s="692" t="n"/>
      <c r="O376" s="692" t="n"/>
      <c r="P376" s="692" t="n"/>
      <c r="Q376" s="692" t="n"/>
      <c r="R376" s="692" t="n"/>
      <c r="S376" s="692" t="n"/>
      <c r="T376" s="692" t="n"/>
      <c r="U376" s="692" t="n"/>
      <c r="V376" s="692" t="n"/>
      <c r="W376" s="692" t="n"/>
      <c r="X376" s="692" t="n"/>
      <c r="Y376" s="692" t="n"/>
      <c r="Z376" s="692" t="n"/>
      <c r="AA376" s="692" t="n"/>
      <c r="AB376" s="692" t="n"/>
      <c r="AC376" s="692" t="n"/>
      <c r="AD376" s="692" t="n"/>
      <c r="AE376" s="692" t="n"/>
      <c r="AF376" s="692" t="n"/>
      <c r="AG376" s="692" t="n"/>
      <c r="AH376" s="692" t="n"/>
      <c r="AI376" s="692" t="n"/>
      <c r="AJ376" s="692" t="n"/>
      <c r="AK376" s="692" t="n"/>
      <c r="AL376" s="692" t="n"/>
      <c r="AM376" s="692" t="n"/>
      <c r="AN376" s="692" t="n"/>
      <c r="AO376" s="692" t="n"/>
      <c r="AP376" s="692" t="n"/>
      <c r="AQ376" s="692" t="n"/>
      <c r="AR376" s="692" t="n"/>
      <c r="AS376" s="692" t="n"/>
    </row>
    <row r="377">
      <c r="A377" s="427" t="inlineStr">
        <is>
          <t>F</t>
        </is>
      </c>
      <c r="B377" s="616" t="inlineStr">
        <is>
          <t>50 Free</t>
        </is>
      </c>
      <c r="C377" s="616" t="n">
        <v>19</v>
      </c>
      <c r="D377" s="616" t="n">
        <v>3</v>
      </c>
      <c r="E377" s="113" t="inlineStr">
        <is>
          <t>25.47</t>
        </is>
      </c>
      <c r="F377" s="692" t="n"/>
      <c r="G377" s="692" t="n"/>
      <c r="H377" s="692" t="n"/>
      <c r="I377" s="692" t="n"/>
      <c r="J377" s="692" t="n"/>
      <c r="K377" s="692" t="n"/>
      <c r="L377" s="692" t="n"/>
      <c r="M377" s="692" t="n"/>
      <c r="N377" s="692" t="n"/>
      <c r="O377" s="692" t="n"/>
      <c r="P377" s="692" t="n"/>
      <c r="Q377" s="692" t="n"/>
      <c r="R377" s="692" t="n"/>
      <c r="S377" s="692" t="n"/>
      <c r="T377" s="692" t="n"/>
      <c r="U377" s="692" t="n"/>
      <c r="V377" s="692" t="n"/>
      <c r="W377" s="692" t="n"/>
      <c r="X377" s="692" t="n"/>
      <c r="Y377" s="692" t="n"/>
      <c r="Z377" s="692" t="n"/>
      <c r="AA377" s="692" t="n"/>
      <c r="AB377" s="692" t="n"/>
      <c r="AC377" s="692" t="n"/>
      <c r="AD377" s="692" t="n"/>
      <c r="AE377" s="692" t="n"/>
      <c r="AF377" s="692" t="n"/>
      <c r="AG377" s="692" t="n"/>
      <c r="AH377" s="692" t="n"/>
      <c r="AI377" s="692" t="n"/>
      <c r="AJ377" s="692" t="n"/>
      <c r="AK377" s="692" t="n"/>
      <c r="AL377" s="692" t="n"/>
      <c r="AM377" s="692" t="n"/>
      <c r="AN377" s="692" t="n"/>
      <c r="AO377" s="692" t="n"/>
      <c r="AP377" s="692" t="n"/>
      <c r="AQ377" s="692" t="n"/>
      <c r="AR377" s="692" t="n"/>
      <c r="AS377" s="692" t="n"/>
    </row>
    <row r="378">
      <c r="A378" s="420" t="inlineStr">
        <is>
          <t>F</t>
        </is>
      </c>
      <c r="B378" s="593" t="inlineStr">
        <is>
          <t>50 Free</t>
        </is>
      </c>
      <c r="C378" s="593" t="n">
        <v>20</v>
      </c>
      <c r="D378" s="593" t="n">
        <v>3</v>
      </c>
      <c r="E378" s="128" t="inlineStr">
        <is>
          <t>25.30</t>
        </is>
      </c>
      <c r="F378" s="692" t="n"/>
      <c r="G378" s="692" t="n"/>
      <c r="H378" s="692" t="n"/>
      <c r="I378" s="692" t="n"/>
      <c r="J378" s="692" t="n"/>
      <c r="K378" s="692" t="n"/>
      <c r="L378" s="692" t="n"/>
      <c r="M378" s="692" t="n"/>
      <c r="N378" s="692" t="n"/>
      <c r="O378" s="692" t="n"/>
      <c r="P378" s="692" t="n"/>
      <c r="Q378" s="692" t="n"/>
      <c r="R378" s="692" t="n"/>
      <c r="S378" s="692" t="n"/>
      <c r="T378" s="692" t="n"/>
      <c r="U378" s="692" t="n"/>
      <c r="V378" s="692" t="n"/>
      <c r="W378" s="692" t="n"/>
      <c r="X378" s="692" t="n"/>
      <c r="Y378" s="692" t="n"/>
      <c r="Z378" s="692" t="n"/>
      <c r="AA378" s="692" t="n"/>
      <c r="AB378" s="692" t="n"/>
      <c r="AC378" s="692" t="n"/>
      <c r="AD378" s="692" t="n"/>
      <c r="AE378" s="692" t="n"/>
      <c r="AF378" s="692" t="n"/>
      <c r="AG378" s="692" t="n"/>
      <c r="AH378" s="692" t="n"/>
      <c r="AI378" s="692" t="n"/>
      <c r="AJ378" s="692" t="n"/>
      <c r="AK378" s="692" t="n"/>
      <c r="AL378" s="692" t="n"/>
      <c r="AM378" s="692" t="n"/>
      <c r="AN378" s="692" t="n"/>
      <c r="AO378" s="692" t="n"/>
      <c r="AP378" s="692" t="n"/>
      <c r="AQ378" s="692" t="n"/>
      <c r="AR378" s="692" t="n"/>
      <c r="AS378" s="692" t="n"/>
    </row>
    <row r="379">
      <c r="A379" s="427" t="inlineStr">
        <is>
          <t>F</t>
        </is>
      </c>
      <c r="B379" s="616" t="inlineStr">
        <is>
          <t>50 Free</t>
        </is>
      </c>
      <c r="C379" s="616" t="n">
        <v>21</v>
      </c>
      <c r="D379" s="616" t="n">
        <v>3</v>
      </c>
      <c r="E379" s="127" t="inlineStr">
        <is>
          <t>25.15</t>
        </is>
      </c>
      <c r="F379" s="692" t="n"/>
      <c r="G379" s="692" t="n"/>
      <c r="H379" s="692" t="n"/>
      <c r="I379" s="692" t="n"/>
      <c r="J379" s="692" t="n"/>
      <c r="K379" s="692" t="n"/>
      <c r="L379" s="692" t="n"/>
      <c r="M379" s="692" t="n"/>
      <c r="N379" s="692" t="n"/>
      <c r="O379" s="692" t="n"/>
      <c r="P379" s="692" t="n"/>
      <c r="Q379" s="692" t="n"/>
      <c r="R379" s="692" t="n"/>
      <c r="S379" s="692" t="n"/>
      <c r="T379" s="692" t="n"/>
      <c r="U379" s="692" t="n"/>
      <c r="V379" s="692" t="n"/>
      <c r="W379" s="692" t="n"/>
      <c r="X379" s="692" t="n"/>
      <c r="Y379" s="692" t="n"/>
      <c r="Z379" s="692" t="n"/>
      <c r="AA379" s="692" t="n"/>
      <c r="AB379" s="692" t="n"/>
      <c r="AC379" s="692" t="n"/>
      <c r="AD379" s="692" t="n"/>
      <c r="AE379" s="692" t="n"/>
      <c r="AF379" s="692" t="n"/>
      <c r="AG379" s="692" t="n"/>
      <c r="AH379" s="692" t="n"/>
      <c r="AI379" s="692" t="n"/>
      <c r="AJ379" s="692" t="n"/>
      <c r="AK379" s="692" t="n"/>
      <c r="AL379" s="692" t="n"/>
      <c r="AM379" s="692" t="n"/>
      <c r="AN379" s="692" t="n"/>
      <c r="AO379" s="692" t="n"/>
      <c r="AP379" s="692" t="n"/>
      <c r="AQ379" s="692" t="n"/>
      <c r="AR379" s="692" t="n"/>
      <c r="AS379" s="692" t="n"/>
    </row>
    <row r="380">
      <c r="A380" s="420" t="inlineStr">
        <is>
          <t>F</t>
        </is>
      </c>
      <c r="B380" s="593" t="inlineStr">
        <is>
          <t>50 Free</t>
        </is>
      </c>
      <c r="C380" s="593" t="n">
        <v>22</v>
      </c>
      <c r="D380" s="593" t="n">
        <v>3</v>
      </c>
      <c r="E380" s="128" t="inlineStr">
        <is>
          <t>25.02</t>
        </is>
      </c>
      <c r="F380" s="692" t="n"/>
      <c r="G380" s="692" t="n"/>
      <c r="H380" s="692" t="n"/>
      <c r="I380" s="692" t="n"/>
      <c r="J380" s="692" t="n"/>
      <c r="K380" s="692" t="n"/>
      <c r="L380" s="692" t="n"/>
      <c r="M380" s="692" t="n"/>
      <c r="N380" s="692" t="n"/>
      <c r="O380" s="692" t="n"/>
      <c r="P380" s="692" t="n"/>
      <c r="Q380" s="692" t="n"/>
      <c r="R380" s="692" t="n"/>
      <c r="S380" s="692" t="n"/>
      <c r="T380" s="692" t="n"/>
      <c r="U380" s="692" t="n"/>
      <c r="V380" s="692" t="n"/>
      <c r="W380" s="692" t="n"/>
      <c r="X380" s="692" t="n"/>
      <c r="Y380" s="692" t="n"/>
      <c r="Z380" s="692" t="n"/>
      <c r="AA380" s="692" t="n"/>
      <c r="AB380" s="692" t="n"/>
      <c r="AC380" s="692" t="n"/>
      <c r="AD380" s="692" t="n"/>
      <c r="AE380" s="692" t="n"/>
      <c r="AF380" s="692" t="n"/>
      <c r="AG380" s="692" t="n"/>
      <c r="AH380" s="692" t="n"/>
      <c r="AI380" s="692" t="n"/>
      <c r="AJ380" s="692" t="n"/>
      <c r="AK380" s="692" t="n"/>
      <c r="AL380" s="692" t="n"/>
      <c r="AM380" s="692" t="n"/>
      <c r="AN380" s="692" t="n"/>
      <c r="AO380" s="692" t="n"/>
      <c r="AP380" s="692" t="n"/>
      <c r="AQ380" s="692" t="n"/>
      <c r="AR380" s="692" t="n"/>
      <c r="AS380" s="692" t="n"/>
    </row>
    <row r="381">
      <c r="A381" s="427" t="inlineStr">
        <is>
          <t>F</t>
        </is>
      </c>
      <c r="B381" s="616" t="inlineStr">
        <is>
          <t>50 Free</t>
        </is>
      </c>
      <c r="C381" s="616" t="n">
        <v>23</v>
      </c>
      <c r="D381" s="616" t="n">
        <v>3</v>
      </c>
      <c r="E381" s="127" t="inlineStr">
        <is>
          <t>24.93</t>
        </is>
      </c>
      <c r="F381" s="692" t="n"/>
      <c r="G381" s="692" t="n"/>
      <c r="H381" s="692" t="n"/>
      <c r="I381" s="692" t="n"/>
      <c r="J381" s="692" t="n"/>
      <c r="K381" s="692" t="n"/>
      <c r="L381" s="692" t="n"/>
      <c r="M381" s="692" t="n"/>
      <c r="N381" s="692" t="n"/>
      <c r="O381" s="692" t="n"/>
      <c r="P381" s="692" t="n"/>
      <c r="Q381" s="692" t="n"/>
      <c r="R381" s="692" t="n"/>
      <c r="S381" s="692" t="n"/>
      <c r="T381" s="692" t="n"/>
      <c r="U381" s="692" t="n"/>
      <c r="V381" s="692" t="n"/>
      <c r="W381" s="692" t="n"/>
      <c r="X381" s="692" t="n"/>
      <c r="Y381" s="692" t="n"/>
      <c r="Z381" s="692" t="n"/>
      <c r="AA381" s="692" t="n"/>
      <c r="AB381" s="692" t="n"/>
      <c r="AC381" s="692" t="n"/>
      <c r="AD381" s="692" t="n"/>
      <c r="AE381" s="692" t="n"/>
      <c r="AF381" s="692" t="n"/>
      <c r="AG381" s="692" t="n"/>
      <c r="AH381" s="692" t="n"/>
      <c r="AI381" s="692" t="n"/>
      <c r="AJ381" s="692" t="n"/>
      <c r="AK381" s="692" t="n"/>
      <c r="AL381" s="692" t="n"/>
      <c r="AM381" s="692" t="n"/>
      <c r="AN381" s="692" t="n"/>
      <c r="AO381" s="692" t="n"/>
      <c r="AP381" s="692" t="n"/>
      <c r="AQ381" s="692" t="n"/>
      <c r="AR381" s="692" t="n"/>
      <c r="AS381" s="692" t="n"/>
    </row>
    <row r="382">
      <c r="A382" s="420" t="inlineStr">
        <is>
          <t>F</t>
        </is>
      </c>
      <c r="B382" s="593" t="inlineStr">
        <is>
          <t>50 Free</t>
        </is>
      </c>
      <c r="C382" s="593" t="n">
        <v>24</v>
      </c>
      <c r="D382" s="593" t="n">
        <v>3</v>
      </c>
      <c r="E382" s="128" t="inlineStr">
        <is>
          <t>24.86</t>
        </is>
      </c>
      <c r="F382" s="692" t="n"/>
      <c r="G382" s="692" t="n"/>
      <c r="H382" s="692" t="n"/>
      <c r="I382" s="692" t="n"/>
      <c r="J382" s="692" t="n"/>
      <c r="K382" s="692" t="n"/>
      <c r="L382" s="692" t="n"/>
      <c r="M382" s="692" t="n"/>
      <c r="N382" s="692" t="n"/>
      <c r="O382" s="692" t="n"/>
      <c r="P382" s="692" t="n"/>
      <c r="Q382" s="692" t="n"/>
      <c r="R382" s="692" t="n"/>
      <c r="S382" s="692" t="n"/>
      <c r="T382" s="692" t="n"/>
      <c r="U382" s="692" t="n"/>
      <c r="V382" s="692" t="n"/>
      <c r="W382" s="692" t="n"/>
      <c r="X382" s="692" t="n"/>
      <c r="Y382" s="692" t="n"/>
      <c r="Z382" s="692" t="n"/>
      <c r="AA382" s="692" t="n"/>
      <c r="AB382" s="692" t="n"/>
      <c r="AC382" s="692" t="n"/>
      <c r="AD382" s="692" t="n"/>
      <c r="AE382" s="692" t="n"/>
      <c r="AF382" s="692" t="n"/>
      <c r="AG382" s="692" t="n"/>
      <c r="AH382" s="692" t="n"/>
      <c r="AI382" s="692" t="n"/>
      <c r="AJ382" s="692" t="n"/>
      <c r="AK382" s="692" t="n"/>
      <c r="AL382" s="692" t="n"/>
      <c r="AM382" s="692" t="n"/>
      <c r="AN382" s="692" t="n"/>
      <c r="AO382" s="692" t="n"/>
      <c r="AP382" s="692" t="n"/>
      <c r="AQ382" s="692" t="n"/>
      <c r="AR382" s="692" t="n"/>
      <c r="AS382" s="692" t="n"/>
    </row>
    <row r="383">
      <c r="A383" s="427" t="inlineStr">
        <is>
          <t>F</t>
        </is>
      </c>
      <c r="B383" s="616" t="inlineStr">
        <is>
          <t>100 Free</t>
        </is>
      </c>
      <c r="C383" s="616" t="n">
        <v>17</v>
      </c>
      <c r="D383" s="616" t="n">
        <v>3</v>
      </c>
      <c r="E383" s="127" t="inlineStr">
        <is>
          <t>55.99</t>
        </is>
      </c>
      <c r="F383" s="692" t="n"/>
      <c r="G383" s="692" t="n"/>
      <c r="H383" s="692" t="n"/>
      <c r="I383" s="692" t="n"/>
      <c r="J383" s="692" t="n"/>
      <c r="K383" s="692" t="n"/>
      <c r="L383" s="692" t="n"/>
      <c r="M383" s="692" t="n"/>
      <c r="N383" s="692" t="n"/>
      <c r="O383" s="692" t="n"/>
      <c r="P383" s="692" t="n"/>
      <c r="Q383" s="692" t="n"/>
      <c r="R383" s="692" t="n"/>
      <c r="S383" s="692" t="n"/>
      <c r="T383" s="692" t="n"/>
      <c r="U383" s="692" t="n"/>
      <c r="V383" s="692" t="n"/>
      <c r="W383" s="692" t="n"/>
      <c r="X383" s="692" t="n"/>
      <c r="Y383" s="692" t="n"/>
      <c r="Z383" s="692" t="n"/>
      <c r="AA383" s="692" t="n"/>
      <c r="AB383" s="692" t="n"/>
      <c r="AC383" s="692" t="n"/>
      <c r="AD383" s="692" t="n"/>
      <c r="AE383" s="692" t="n"/>
      <c r="AF383" s="692" t="n"/>
      <c r="AG383" s="692" t="n"/>
      <c r="AH383" s="692" t="n"/>
      <c r="AI383" s="692" t="n"/>
      <c r="AJ383" s="692" t="n"/>
      <c r="AK383" s="692" t="n"/>
      <c r="AL383" s="692" t="n"/>
      <c r="AM383" s="692" t="n"/>
      <c r="AN383" s="692" t="n"/>
      <c r="AO383" s="692" t="n"/>
      <c r="AP383" s="692" t="n"/>
      <c r="AQ383" s="692" t="n"/>
      <c r="AR383" s="692" t="n"/>
      <c r="AS383" s="692" t="n"/>
    </row>
    <row r="384">
      <c r="A384" s="420" t="inlineStr">
        <is>
          <t>F</t>
        </is>
      </c>
      <c r="B384" s="593" t="inlineStr">
        <is>
          <t>100 Free</t>
        </is>
      </c>
      <c r="C384" s="593" t="n">
        <v>18</v>
      </c>
      <c r="D384" s="593" t="n">
        <v>3</v>
      </c>
      <c r="E384" s="116" t="inlineStr">
        <is>
          <t>55.53</t>
        </is>
      </c>
      <c r="F384" s="692" t="n"/>
      <c r="G384" s="692" t="n"/>
      <c r="H384" s="692" t="n"/>
      <c r="I384" s="692" t="n"/>
      <c r="J384" s="692" t="n"/>
      <c r="K384" s="692" t="n"/>
      <c r="L384" s="692" t="n"/>
      <c r="M384" s="692" t="n"/>
      <c r="N384" s="692" t="n"/>
      <c r="O384" s="692" t="n"/>
      <c r="P384" s="692" t="n"/>
      <c r="Q384" s="692" t="n"/>
      <c r="R384" s="692" t="n"/>
      <c r="S384" s="692" t="n"/>
      <c r="T384" s="692" t="n"/>
      <c r="U384" s="692" t="n"/>
      <c r="V384" s="692" t="n"/>
      <c r="W384" s="692" t="n"/>
      <c r="X384" s="692" t="n"/>
      <c r="Y384" s="692" t="n"/>
      <c r="Z384" s="692" t="n"/>
      <c r="AA384" s="692" t="n"/>
      <c r="AB384" s="692" t="n"/>
      <c r="AC384" s="692" t="n"/>
      <c r="AD384" s="692" t="n"/>
      <c r="AE384" s="692" t="n"/>
      <c r="AF384" s="692" t="n"/>
      <c r="AG384" s="692" t="n"/>
      <c r="AH384" s="692" t="n"/>
      <c r="AI384" s="692" t="n"/>
      <c r="AJ384" s="692" t="n"/>
      <c r="AK384" s="692" t="n"/>
      <c r="AL384" s="692" t="n"/>
      <c r="AM384" s="692" t="n"/>
      <c r="AN384" s="692" t="n"/>
      <c r="AO384" s="692" t="n"/>
      <c r="AP384" s="692" t="n"/>
      <c r="AQ384" s="692" t="n"/>
      <c r="AR384" s="692" t="n"/>
      <c r="AS384" s="692" t="n"/>
    </row>
    <row r="385">
      <c r="A385" s="427" t="inlineStr">
        <is>
          <t>F</t>
        </is>
      </c>
      <c r="B385" s="616" t="inlineStr">
        <is>
          <t>100 Free</t>
        </is>
      </c>
      <c r="C385" s="616" t="n">
        <v>19</v>
      </c>
      <c r="D385" s="616" t="n">
        <v>3</v>
      </c>
      <c r="E385" s="127" t="inlineStr">
        <is>
          <t>55.16</t>
        </is>
      </c>
      <c r="F385" s="692" t="n"/>
      <c r="G385" s="692" t="n"/>
      <c r="H385" s="692" t="n"/>
      <c r="I385" s="692" t="n"/>
      <c r="J385" s="692" t="n"/>
      <c r="K385" s="692" t="n"/>
      <c r="L385" s="692" t="n"/>
      <c r="M385" s="692" t="n"/>
      <c r="N385" s="692" t="n"/>
      <c r="O385" s="692" t="n"/>
      <c r="P385" s="692" t="n"/>
      <c r="Q385" s="692" t="n"/>
      <c r="R385" s="692" t="n"/>
      <c r="S385" s="692" t="n"/>
      <c r="T385" s="692" t="n"/>
      <c r="U385" s="692" t="n"/>
      <c r="V385" s="692" t="n"/>
      <c r="W385" s="692" t="n"/>
      <c r="X385" s="692" t="n"/>
      <c r="Y385" s="692" t="n"/>
      <c r="Z385" s="692" t="n"/>
      <c r="AA385" s="692" t="n"/>
      <c r="AB385" s="692" t="n"/>
      <c r="AC385" s="692" t="n"/>
      <c r="AD385" s="692" t="n"/>
      <c r="AE385" s="692" t="n"/>
      <c r="AF385" s="692" t="n"/>
      <c r="AG385" s="692" t="n"/>
      <c r="AH385" s="692" t="n"/>
      <c r="AI385" s="692" t="n"/>
      <c r="AJ385" s="692" t="n"/>
      <c r="AK385" s="692" t="n"/>
      <c r="AL385" s="692" t="n"/>
      <c r="AM385" s="692" t="n"/>
      <c r="AN385" s="692" t="n"/>
      <c r="AO385" s="692" t="n"/>
      <c r="AP385" s="692" t="n"/>
      <c r="AQ385" s="692" t="n"/>
      <c r="AR385" s="692" t="n"/>
      <c r="AS385" s="692" t="n"/>
    </row>
    <row r="386">
      <c r="A386" s="420" t="inlineStr">
        <is>
          <t>F</t>
        </is>
      </c>
      <c r="B386" s="593" t="inlineStr">
        <is>
          <t>100 Free</t>
        </is>
      </c>
      <c r="C386" s="593" t="n">
        <v>20</v>
      </c>
      <c r="D386" s="593" t="n">
        <v>3</v>
      </c>
      <c r="E386" s="128" t="inlineStr">
        <is>
          <t>54.83</t>
        </is>
      </c>
      <c r="F386" s="692" t="n"/>
      <c r="G386" s="692" t="n"/>
      <c r="H386" s="692" t="n"/>
      <c r="I386" s="692" t="n"/>
      <c r="J386" s="692" t="n"/>
      <c r="K386" s="692" t="n"/>
      <c r="L386" s="692" t="n"/>
      <c r="M386" s="692" t="n"/>
      <c r="N386" s="692" t="n"/>
      <c r="O386" s="692" t="n"/>
      <c r="P386" s="692" t="n"/>
      <c r="Q386" s="692" t="n"/>
      <c r="R386" s="692" t="n"/>
      <c r="S386" s="692" t="n"/>
      <c r="T386" s="692" t="n"/>
      <c r="U386" s="692" t="n"/>
      <c r="V386" s="692" t="n"/>
      <c r="W386" s="692" t="n"/>
      <c r="X386" s="692" t="n"/>
      <c r="Y386" s="692" t="n"/>
      <c r="Z386" s="692" t="n"/>
      <c r="AA386" s="692" t="n"/>
      <c r="AB386" s="692" t="n"/>
      <c r="AC386" s="692" t="n"/>
      <c r="AD386" s="692" t="n"/>
      <c r="AE386" s="692" t="n"/>
      <c r="AF386" s="692" t="n"/>
      <c r="AG386" s="692" t="n"/>
      <c r="AH386" s="692" t="n"/>
      <c r="AI386" s="692" t="n"/>
      <c r="AJ386" s="692" t="n"/>
      <c r="AK386" s="692" t="n"/>
      <c r="AL386" s="692" t="n"/>
      <c r="AM386" s="692" t="n"/>
      <c r="AN386" s="692" t="n"/>
      <c r="AO386" s="692" t="n"/>
      <c r="AP386" s="692" t="n"/>
      <c r="AQ386" s="692" t="n"/>
      <c r="AR386" s="692" t="n"/>
      <c r="AS386" s="692" t="n"/>
    </row>
    <row r="387">
      <c r="A387" s="427" t="inlineStr">
        <is>
          <t>F</t>
        </is>
      </c>
      <c r="B387" s="616" t="inlineStr">
        <is>
          <t>100 Free</t>
        </is>
      </c>
      <c r="C387" s="616" t="n">
        <v>21</v>
      </c>
      <c r="D387" s="616" t="n">
        <v>3</v>
      </c>
      <c r="E387" s="127" t="inlineStr">
        <is>
          <t>54.55</t>
        </is>
      </c>
      <c r="F387" s="692" t="n"/>
      <c r="G387" s="692" t="n"/>
      <c r="H387" s="692" t="n"/>
      <c r="I387" s="692" t="n"/>
      <c r="J387" s="692" t="n"/>
      <c r="K387" s="692" t="n"/>
      <c r="L387" s="692" t="n"/>
      <c r="M387" s="692" t="n"/>
      <c r="N387" s="692" t="n"/>
      <c r="O387" s="692" t="n"/>
      <c r="P387" s="692" t="n"/>
      <c r="Q387" s="692" t="n"/>
      <c r="R387" s="692" t="n"/>
      <c r="S387" s="692" t="n"/>
      <c r="T387" s="692" t="n"/>
      <c r="U387" s="692" t="n"/>
      <c r="V387" s="692" t="n"/>
      <c r="W387" s="692" t="n"/>
      <c r="X387" s="692" t="n"/>
      <c r="Y387" s="692" t="n"/>
      <c r="Z387" s="692" t="n"/>
      <c r="AA387" s="692" t="n"/>
      <c r="AB387" s="692" t="n"/>
      <c r="AC387" s="692" t="n"/>
      <c r="AD387" s="692" t="n"/>
      <c r="AE387" s="692" t="n"/>
      <c r="AF387" s="692" t="n"/>
      <c r="AG387" s="692" t="n"/>
      <c r="AH387" s="692" t="n"/>
      <c r="AI387" s="692" t="n"/>
      <c r="AJ387" s="692" t="n"/>
      <c r="AK387" s="692" t="n"/>
      <c r="AL387" s="692" t="n"/>
      <c r="AM387" s="692" t="n"/>
      <c r="AN387" s="692" t="n"/>
      <c r="AO387" s="692" t="n"/>
      <c r="AP387" s="692" t="n"/>
      <c r="AQ387" s="692" t="n"/>
      <c r="AR387" s="692" t="n"/>
      <c r="AS387" s="692" t="n"/>
    </row>
    <row r="388">
      <c r="A388" s="420" t="inlineStr">
        <is>
          <t>F</t>
        </is>
      </c>
      <c r="B388" s="593" t="inlineStr">
        <is>
          <t>100 Free</t>
        </is>
      </c>
      <c r="C388" s="593" t="n">
        <v>22</v>
      </c>
      <c r="D388" s="593" t="n">
        <v>3</v>
      </c>
      <c r="E388" s="128" t="inlineStr">
        <is>
          <t>54.36</t>
        </is>
      </c>
      <c r="F388" s="692" t="n"/>
      <c r="G388" s="692" t="n"/>
      <c r="H388" s="692" t="n"/>
      <c r="I388" s="692" t="n"/>
      <c r="J388" s="692" t="n"/>
      <c r="K388" s="692" t="n"/>
      <c r="L388" s="692" t="n"/>
      <c r="M388" s="692" t="n"/>
      <c r="N388" s="692" t="n"/>
      <c r="O388" s="692" t="n"/>
      <c r="P388" s="692" t="n"/>
      <c r="Q388" s="692" t="n"/>
      <c r="R388" s="692" t="n"/>
      <c r="S388" s="692" t="n"/>
      <c r="T388" s="692" t="n"/>
      <c r="U388" s="692" t="n"/>
      <c r="V388" s="692" t="n"/>
      <c r="W388" s="692" t="n"/>
      <c r="X388" s="692" t="n"/>
      <c r="Y388" s="692" t="n"/>
      <c r="Z388" s="692" t="n"/>
      <c r="AA388" s="692" t="n"/>
      <c r="AB388" s="692" t="n"/>
      <c r="AC388" s="692" t="n"/>
      <c r="AD388" s="692" t="n"/>
      <c r="AE388" s="692" t="n"/>
      <c r="AF388" s="692" t="n"/>
      <c r="AG388" s="692" t="n"/>
      <c r="AH388" s="692" t="n"/>
      <c r="AI388" s="692" t="n"/>
      <c r="AJ388" s="692" t="n"/>
      <c r="AK388" s="692" t="n"/>
      <c r="AL388" s="692" t="n"/>
      <c r="AM388" s="692" t="n"/>
      <c r="AN388" s="692" t="n"/>
      <c r="AO388" s="692" t="n"/>
      <c r="AP388" s="692" t="n"/>
      <c r="AQ388" s="692" t="n"/>
      <c r="AR388" s="692" t="n"/>
      <c r="AS388" s="692" t="n"/>
    </row>
    <row r="389">
      <c r="A389" s="427" t="inlineStr">
        <is>
          <t>F</t>
        </is>
      </c>
      <c r="B389" s="616" t="inlineStr">
        <is>
          <t>100 Free</t>
        </is>
      </c>
      <c r="C389" s="616" t="n">
        <v>23</v>
      </c>
      <c r="D389" s="616" t="n">
        <v>3</v>
      </c>
      <c r="E389" s="127" t="inlineStr">
        <is>
          <t>54.25</t>
        </is>
      </c>
      <c r="F389" s="692" t="n"/>
      <c r="G389" s="692" t="n"/>
      <c r="H389" s="692" t="n"/>
      <c r="I389" s="692" t="n"/>
      <c r="J389" s="692" t="n"/>
      <c r="K389" s="692" t="n"/>
      <c r="L389" s="692" t="n"/>
      <c r="M389" s="692" t="n"/>
      <c r="N389" s="692" t="n"/>
      <c r="O389" s="692" t="n"/>
      <c r="P389" s="692" t="n"/>
      <c r="Q389" s="692" t="n"/>
      <c r="R389" s="692" t="n"/>
      <c r="S389" s="692" t="n"/>
      <c r="T389" s="692" t="n"/>
      <c r="U389" s="692" t="n"/>
      <c r="V389" s="692" t="n"/>
      <c r="W389" s="692" t="n"/>
      <c r="X389" s="692" t="n"/>
      <c r="Y389" s="692" t="n"/>
      <c r="Z389" s="692" t="n"/>
      <c r="AA389" s="692" t="n"/>
      <c r="AB389" s="692" t="n"/>
      <c r="AC389" s="692" t="n"/>
      <c r="AD389" s="692" t="n"/>
      <c r="AE389" s="692" t="n"/>
      <c r="AF389" s="692" t="n"/>
      <c r="AG389" s="692" t="n"/>
      <c r="AH389" s="692" t="n"/>
      <c r="AI389" s="692" t="n"/>
      <c r="AJ389" s="692" t="n"/>
      <c r="AK389" s="692" t="n"/>
      <c r="AL389" s="692" t="n"/>
      <c r="AM389" s="692" t="n"/>
      <c r="AN389" s="692" t="n"/>
      <c r="AO389" s="692" t="n"/>
      <c r="AP389" s="692" t="n"/>
      <c r="AQ389" s="692" t="n"/>
      <c r="AR389" s="692" t="n"/>
      <c r="AS389" s="692" t="n"/>
    </row>
    <row r="390">
      <c r="A390" s="420" t="inlineStr">
        <is>
          <t>F</t>
        </is>
      </c>
      <c r="B390" s="593" t="inlineStr">
        <is>
          <t>200 Free</t>
        </is>
      </c>
      <c r="C390" s="593" t="n">
        <v>16</v>
      </c>
      <c r="D390" s="593" t="n">
        <v>3</v>
      </c>
      <c r="E390" s="128" t="inlineStr">
        <is>
          <t>2:02.25</t>
        </is>
      </c>
      <c r="F390" s="692" t="n"/>
      <c r="G390" s="692" t="n"/>
      <c r="H390" s="692" t="n"/>
      <c r="I390" s="692" t="n"/>
      <c r="J390" s="692" t="n"/>
      <c r="K390" s="692" t="n"/>
      <c r="L390" s="692" t="n"/>
      <c r="M390" s="692" t="n"/>
      <c r="N390" s="692" t="n"/>
      <c r="O390" s="692" t="n"/>
      <c r="P390" s="692" t="n"/>
      <c r="Q390" s="692" t="n"/>
      <c r="R390" s="692" t="n"/>
      <c r="S390" s="692" t="n"/>
      <c r="T390" s="692" t="n"/>
      <c r="U390" s="692" t="n"/>
      <c r="V390" s="692" t="n"/>
      <c r="W390" s="692" t="n"/>
      <c r="X390" s="692" t="n"/>
      <c r="Y390" s="692" t="n"/>
      <c r="Z390" s="692" t="n"/>
      <c r="AA390" s="692" t="n"/>
      <c r="AB390" s="692" t="n"/>
      <c r="AC390" s="692" t="n"/>
      <c r="AD390" s="692" t="n"/>
      <c r="AE390" s="692" t="n"/>
      <c r="AF390" s="692" t="n"/>
      <c r="AG390" s="692" t="n"/>
      <c r="AH390" s="692" t="n"/>
      <c r="AI390" s="692" t="n"/>
      <c r="AJ390" s="692" t="n"/>
      <c r="AK390" s="692" t="n"/>
      <c r="AL390" s="692" t="n"/>
      <c r="AM390" s="692" t="n"/>
      <c r="AN390" s="692" t="n"/>
      <c r="AO390" s="692" t="n"/>
      <c r="AP390" s="692" t="n"/>
      <c r="AQ390" s="692" t="n"/>
      <c r="AR390" s="692" t="n"/>
      <c r="AS390" s="692" t="n"/>
    </row>
    <row r="391">
      <c r="A391" s="427" t="inlineStr">
        <is>
          <t>F</t>
        </is>
      </c>
      <c r="B391" s="616" t="inlineStr">
        <is>
          <t>200 Free</t>
        </is>
      </c>
      <c r="C391" s="616" t="n">
        <v>17</v>
      </c>
      <c r="D391" s="616" t="n">
        <v>3</v>
      </c>
      <c r="E391" s="127" t="inlineStr">
        <is>
          <t>2:00.76</t>
        </is>
      </c>
      <c r="F391" s="692" t="n"/>
      <c r="G391" s="692" t="n"/>
      <c r="H391" s="692" t="n"/>
      <c r="I391" s="692" t="n"/>
      <c r="J391" s="692" t="n"/>
      <c r="K391" s="692" t="n"/>
      <c r="L391" s="692" t="n"/>
      <c r="M391" s="692" t="n"/>
      <c r="N391" s="692" t="n"/>
      <c r="O391" s="692" t="n"/>
      <c r="P391" s="692" t="n"/>
      <c r="Q391" s="692" t="n"/>
      <c r="R391" s="692" t="n"/>
      <c r="S391" s="692" t="n"/>
      <c r="T391" s="692" t="n"/>
      <c r="U391" s="692" t="n"/>
      <c r="V391" s="692" t="n"/>
      <c r="W391" s="692" t="n"/>
      <c r="X391" s="692" t="n"/>
      <c r="Y391" s="692" t="n"/>
      <c r="Z391" s="692" t="n"/>
      <c r="AA391" s="692" t="n"/>
      <c r="AB391" s="692" t="n"/>
      <c r="AC391" s="692" t="n"/>
      <c r="AD391" s="692" t="n"/>
      <c r="AE391" s="692" t="n"/>
      <c r="AF391" s="692" t="n"/>
      <c r="AG391" s="692" t="n"/>
      <c r="AH391" s="692" t="n"/>
      <c r="AI391" s="692" t="n"/>
      <c r="AJ391" s="692" t="n"/>
      <c r="AK391" s="692" t="n"/>
      <c r="AL391" s="692" t="n"/>
      <c r="AM391" s="692" t="n"/>
      <c r="AN391" s="692" t="n"/>
      <c r="AO391" s="692" t="n"/>
      <c r="AP391" s="692" t="n"/>
      <c r="AQ391" s="692" t="n"/>
      <c r="AR391" s="692" t="n"/>
      <c r="AS391" s="692" t="n"/>
    </row>
    <row r="392">
      <c r="A392" s="420" t="inlineStr">
        <is>
          <t>F</t>
        </is>
      </c>
      <c r="B392" s="593" t="inlineStr">
        <is>
          <t>200 Free</t>
        </is>
      </c>
      <c r="C392" s="593" t="n">
        <v>18</v>
      </c>
      <c r="D392" s="593" t="n">
        <v>3</v>
      </c>
      <c r="E392" s="128" t="inlineStr">
        <is>
          <t>1:59.77</t>
        </is>
      </c>
      <c r="F392" s="692" t="n"/>
      <c r="G392" s="692" t="n"/>
      <c r="H392" s="692" t="n"/>
      <c r="I392" s="692" t="n"/>
      <c r="J392" s="692" t="n"/>
      <c r="K392" s="692" t="n"/>
      <c r="L392" s="692" t="n"/>
      <c r="M392" s="692" t="n"/>
      <c r="N392" s="692" t="n"/>
      <c r="O392" s="692" t="n"/>
      <c r="P392" s="692" t="n"/>
      <c r="Q392" s="692" t="n"/>
      <c r="R392" s="692" t="n"/>
      <c r="S392" s="692" t="n"/>
      <c r="T392" s="692" t="n"/>
      <c r="U392" s="692" t="n"/>
      <c r="V392" s="692" t="n"/>
      <c r="W392" s="692" t="n"/>
      <c r="X392" s="692" t="n"/>
      <c r="Y392" s="692" t="n"/>
      <c r="Z392" s="692" t="n"/>
      <c r="AA392" s="692" t="n"/>
      <c r="AB392" s="692" t="n"/>
      <c r="AC392" s="692" t="n"/>
      <c r="AD392" s="692" t="n"/>
      <c r="AE392" s="692" t="n"/>
      <c r="AF392" s="692" t="n"/>
      <c r="AG392" s="692" t="n"/>
      <c r="AH392" s="692" t="n"/>
      <c r="AI392" s="692" t="n"/>
      <c r="AJ392" s="692" t="n"/>
      <c r="AK392" s="692" t="n"/>
      <c r="AL392" s="692" t="n"/>
      <c r="AM392" s="692" t="n"/>
      <c r="AN392" s="692" t="n"/>
      <c r="AO392" s="692" t="n"/>
      <c r="AP392" s="692" t="n"/>
      <c r="AQ392" s="692" t="n"/>
      <c r="AR392" s="692" t="n"/>
      <c r="AS392" s="692" t="n"/>
    </row>
    <row r="393">
      <c r="A393" s="427" t="inlineStr">
        <is>
          <t>F</t>
        </is>
      </c>
      <c r="B393" s="616" t="inlineStr">
        <is>
          <t>200 Free</t>
        </is>
      </c>
      <c r="C393" s="616" t="n">
        <v>19</v>
      </c>
      <c r="D393" s="616" t="n">
        <v>3</v>
      </c>
      <c r="E393" s="127" t="inlineStr">
        <is>
          <t>1:59.15</t>
        </is>
      </c>
      <c r="F393" s="692" t="n"/>
      <c r="G393" s="692" t="n"/>
      <c r="H393" s="692" t="n"/>
      <c r="I393" s="692" t="n"/>
      <c r="J393" s="692" t="n"/>
      <c r="K393" s="692" t="n"/>
      <c r="L393" s="692" t="n"/>
      <c r="M393" s="692" t="n"/>
      <c r="N393" s="692" t="n"/>
      <c r="O393" s="692" t="n"/>
      <c r="P393" s="692" t="n"/>
      <c r="Q393" s="692" t="n"/>
      <c r="R393" s="692" t="n"/>
      <c r="S393" s="692" t="n"/>
      <c r="T393" s="692" t="n"/>
      <c r="U393" s="692" t="n"/>
      <c r="V393" s="692" t="n"/>
      <c r="W393" s="692" t="n"/>
      <c r="X393" s="692" t="n"/>
      <c r="Y393" s="692" t="n"/>
      <c r="Z393" s="692" t="n"/>
      <c r="AA393" s="692" t="n"/>
      <c r="AB393" s="692" t="n"/>
      <c r="AC393" s="692" t="n"/>
      <c r="AD393" s="692" t="n"/>
      <c r="AE393" s="692" t="n"/>
      <c r="AF393" s="692" t="n"/>
      <c r="AG393" s="692" t="n"/>
      <c r="AH393" s="692" t="n"/>
      <c r="AI393" s="692" t="n"/>
      <c r="AJ393" s="692" t="n"/>
      <c r="AK393" s="692" t="n"/>
      <c r="AL393" s="692" t="n"/>
      <c r="AM393" s="692" t="n"/>
      <c r="AN393" s="692" t="n"/>
      <c r="AO393" s="692" t="n"/>
      <c r="AP393" s="692" t="n"/>
      <c r="AQ393" s="692" t="n"/>
      <c r="AR393" s="692" t="n"/>
      <c r="AS393" s="692" t="n"/>
    </row>
    <row r="394">
      <c r="A394" s="420" t="inlineStr">
        <is>
          <t>F</t>
        </is>
      </c>
      <c r="B394" s="593" t="inlineStr">
        <is>
          <t>200 Free</t>
        </is>
      </c>
      <c r="C394" s="593" t="n">
        <v>20</v>
      </c>
      <c r="D394" s="593" t="n">
        <v>3</v>
      </c>
      <c r="E394" s="128" t="inlineStr">
        <is>
          <t>1:58.68</t>
        </is>
      </c>
      <c r="F394" s="692" t="n"/>
      <c r="G394" s="692" t="n"/>
      <c r="H394" s="692" t="n"/>
      <c r="I394" s="692" t="n"/>
      <c r="J394" s="692" t="n"/>
      <c r="K394" s="692" t="n"/>
      <c r="L394" s="692" t="n"/>
      <c r="M394" s="692" t="n"/>
      <c r="N394" s="692" t="n"/>
      <c r="O394" s="692" t="n"/>
      <c r="P394" s="692" t="n"/>
      <c r="Q394" s="692" t="n"/>
      <c r="R394" s="692" t="n"/>
      <c r="S394" s="692" t="n"/>
      <c r="T394" s="692" t="n"/>
      <c r="U394" s="692" t="n"/>
      <c r="V394" s="692" t="n"/>
      <c r="W394" s="692" t="n"/>
      <c r="X394" s="692" t="n"/>
      <c r="Y394" s="692" t="n"/>
      <c r="Z394" s="692" t="n"/>
      <c r="AA394" s="692" t="n"/>
      <c r="AB394" s="692" t="n"/>
      <c r="AC394" s="692" t="n"/>
      <c r="AD394" s="692" t="n"/>
      <c r="AE394" s="692" t="n"/>
      <c r="AF394" s="692" t="n"/>
      <c r="AG394" s="692" t="n"/>
      <c r="AH394" s="692" t="n"/>
      <c r="AI394" s="692" t="n"/>
      <c r="AJ394" s="692" t="n"/>
      <c r="AK394" s="692" t="n"/>
      <c r="AL394" s="692" t="n"/>
      <c r="AM394" s="692" t="n"/>
      <c r="AN394" s="692" t="n"/>
      <c r="AO394" s="692" t="n"/>
      <c r="AP394" s="692" t="n"/>
      <c r="AQ394" s="692" t="n"/>
      <c r="AR394" s="692" t="n"/>
      <c r="AS394" s="692" t="n"/>
    </row>
    <row r="395">
      <c r="A395" s="427" t="inlineStr">
        <is>
          <t>F</t>
        </is>
      </c>
      <c r="B395" s="616" t="inlineStr">
        <is>
          <t>200 Free</t>
        </is>
      </c>
      <c r="C395" s="616" t="n">
        <v>21</v>
      </c>
      <c r="D395" s="616" t="n">
        <v>3</v>
      </c>
      <c r="E395" s="127" t="inlineStr">
        <is>
          <t>1:58.39</t>
        </is>
      </c>
      <c r="F395" s="692" t="n"/>
      <c r="G395" s="692" t="n"/>
      <c r="H395" s="692" t="n"/>
      <c r="I395" s="692" t="n"/>
      <c r="J395" s="692" t="n"/>
      <c r="K395" s="692" t="n"/>
      <c r="L395" s="692" t="n"/>
      <c r="M395" s="692" t="n"/>
      <c r="N395" s="692" t="n"/>
      <c r="O395" s="692" t="n"/>
      <c r="P395" s="692" t="n"/>
      <c r="Q395" s="692" t="n"/>
      <c r="R395" s="692" t="n"/>
      <c r="S395" s="692" t="n"/>
      <c r="T395" s="692" t="n"/>
      <c r="U395" s="692" t="n"/>
      <c r="V395" s="692" t="n"/>
      <c r="W395" s="692" t="n"/>
      <c r="X395" s="692" t="n"/>
      <c r="Y395" s="692" t="n"/>
      <c r="Z395" s="692" t="n"/>
      <c r="AA395" s="692" t="n"/>
      <c r="AB395" s="692" t="n"/>
      <c r="AC395" s="692" t="n"/>
      <c r="AD395" s="692" t="n"/>
      <c r="AE395" s="692" t="n"/>
      <c r="AF395" s="692" t="n"/>
      <c r="AG395" s="692" t="n"/>
      <c r="AH395" s="692" t="n"/>
      <c r="AI395" s="692" t="n"/>
      <c r="AJ395" s="692" t="n"/>
      <c r="AK395" s="692" t="n"/>
      <c r="AL395" s="692" t="n"/>
      <c r="AM395" s="692" t="n"/>
      <c r="AN395" s="692" t="n"/>
      <c r="AO395" s="692" t="n"/>
      <c r="AP395" s="692" t="n"/>
      <c r="AQ395" s="692" t="n"/>
      <c r="AR395" s="692" t="n"/>
      <c r="AS395" s="692" t="n"/>
    </row>
    <row r="396">
      <c r="A396" s="420" t="inlineStr">
        <is>
          <t>F</t>
        </is>
      </c>
      <c r="B396" s="593" t="inlineStr">
        <is>
          <t>200 Free</t>
        </is>
      </c>
      <c r="C396" s="593" t="n">
        <v>22</v>
      </c>
      <c r="D396" s="593" t="n">
        <v>3</v>
      </c>
      <c r="E396" s="128" t="inlineStr">
        <is>
          <t>1:58.23</t>
        </is>
      </c>
      <c r="F396" s="692" t="n"/>
      <c r="G396" s="692" t="n"/>
      <c r="H396" s="692" t="n"/>
      <c r="I396" s="692" t="n"/>
      <c r="J396" s="692" t="n"/>
      <c r="K396" s="692" t="n"/>
      <c r="L396" s="692" t="n"/>
      <c r="M396" s="692" t="n"/>
      <c r="N396" s="692" t="n"/>
      <c r="O396" s="692" t="n"/>
      <c r="P396" s="692" t="n"/>
      <c r="Q396" s="692" t="n"/>
      <c r="R396" s="692" t="n"/>
      <c r="S396" s="692" t="n"/>
      <c r="T396" s="692" t="n"/>
      <c r="U396" s="692" t="n"/>
      <c r="V396" s="692" t="n"/>
      <c r="W396" s="692" t="n"/>
      <c r="X396" s="692" t="n"/>
      <c r="Y396" s="692" t="n"/>
      <c r="Z396" s="692" t="n"/>
      <c r="AA396" s="692" t="n"/>
      <c r="AB396" s="692" t="n"/>
      <c r="AC396" s="692" t="n"/>
      <c r="AD396" s="692" t="n"/>
      <c r="AE396" s="692" t="n"/>
      <c r="AF396" s="692" t="n"/>
      <c r="AG396" s="692" t="n"/>
      <c r="AH396" s="692" t="n"/>
      <c r="AI396" s="692" t="n"/>
      <c r="AJ396" s="692" t="n"/>
      <c r="AK396" s="692" t="n"/>
      <c r="AL396" s="692" t="n"/>
      <c r="AM396" s="692" t="n"/>
      <c r="AN396" s="692" t="n"/>
      <c r="AO396" s="692" t="n"/>
      <c r="AP396" s="692" t="n"/>
      <c r="AQ396" s="692" t="n"/>
      <c r="AR396" s="692" t="n"/>
      <c r="AS396" s="692" t="n"/>
    </row>
    <row r="397">
      <c r="A397" s="427" t="inlineStr">
        <is>
          <t>F</t>
        </is>
      </c>
      <c r="B397" s="616" t="inlineStr">
        <is>
          <t>400 Free</t>
        </is>
      </c>
      <c r="C397" s="616" t="n">
        <v>16</v>
      </c>
      <c r="D397" s="616" t="n">
        <v>3</v>
      </c>
      <c r="E397" s="113" t="inlineStr">
        <is>
          <t>4:16.35</t>
        </is>
      </c>
      <c r="F397" s="692" t="n"/>
      <c r="G397" s="692" t="n"/>
      <c r="H397" s="692" t="n"/>
      <c r="I397" s="692" t="n"/>
      <c r="J397" s="692" t="n"/>
      <c r="K397" s="692" t="n"/>
      <c r="L397" s="692" t="n"/>
      <c r="M397" s="692" t="n"/>
      <c r="N397" s="692" t="n"/>
      <c r="O397" s="692" t="n"/>
      <c r="P397" s="692" t="n"/>
      <c r="Q397" s="692" t="n"/>
      <c r="R397" s="692" t="n"/>
      <c r="S397" s="692" t="n"/>
      <c r="T397" s="692" t="n"/>
      <c r="U397" s="692" t="n"/>
      <c r="V397" s="692" t="n"/>
      <c r="W397" s="692" t="n"/>
      <c r="X397" s="692" t="n"/>
      <c r="Y397" s="692" t="n"/>
      <c r="Z397" s="692" t="n"/>
      <c r="AA397" s="692" t="n"/>
      <c r="AB397" s="692" t="n"/>
      <c r="AC397" s="692" t="n"/>
      <c r="AD397" s="692" t="n"/>
      <c r="AE397" s="692" t="n"/>
      <c r="AF397" s="692" t="n"/>
      <c r="AG397" s="692" t="n"/>
      <c r="AH397" s="692" t="n"/>
      <c r="AI397" s="692" t="n"/>
      <c r="AJ397" s="692" t="n"/>
      <c r="AK397" s="692" t="n"/>
      <c r="AL397" s="692" t="n"/>
      <c r="AM397" s="692" t="n"/>
      <c r="AN397" s="692" t="n"/>
      <c r="AO397" s="692" t="n"/>
      <c r="AP397" s="692" t="n"/>
      <c r="AQ397" s="692" t="n"/>
      <c r="AR397" s="692" t="n"/>
      <c r="AS397" s="692" t="n"/>
    </row>
    <row r="398">
      <c r="A398" s="420" t="inlineStr">
        <is>
          <t>F</t>
        </is>
      </c>
      <c r="B398" s="593" t="inlineStr">
        <is>
          <t>400 Free</t>
        </is>
      </c>
      <c r="C398" s="593" t="n">
        <v>17</v>
      </c>
      <c r="D398" s="593" t="n">
        <v>3</v>
      </c>
      <c r="E398" s="128" t="inlineStr">
        <is>
          <t>4:13.63</t>
        </is>
      </c>
      <c r="F398" s="692" t="n"/>
      <c r="G398" s="692" t="n"/>
      <c r="H398" s="692" t="n"/>
      <c r="I398" s="692" t="n"/>
      <c r="J398" s="692" t="n"/>
      <c r="K398" s="692" t="n"/>
      <c r="L398" s="692" t="n"/>
      <c r="M398" s="692" t="n"/>
      <c r="N398" s="692" t="n"/>
      <c r="O398" s="692" t="n"/>
      <c r="P398" s="692" t="n"/>
      <c r="Q398" s="692" t="n"/>
      <c r="R398" s="692" t="n"/>
      <c r="S398" s="692" t="n"/>
      <c r="T398" s="692" t="n"/>
      <c r="U398" s="692" t="n"/>
      <c r="V398" s="692" t="n"/>
      <c r="W398" s="692" t="n"/>
      <c r="X398" s="692" t="n"/>
      <c r="Y398" s="692" t="n"/>
      <c r="Z398" s="692" t="n"/>
      <c r="AA398" s="692" t="n"/>
      <c r="AB398" s="692" t="n"/>
      <c r="AC398" s="692" t="n"/>
      <c r="AD398" s="692" t="n"/>
      <c r="AE398" s="692" t="n"/>
      <c r="AF398" s="692" t="n"/>
      <c r="AG398" s="692" t="n"/>
      <c r="AH398" s="692" t="n"/>
      <c r="AI398" s="692" t="n"/>
      <c r="AJ398" s="692" t="n"/>
      <c r="AK398" s="692" t="n"/>
      <c r="AL398" s="692" t="n"/>
      <c r="AM398" s="692" t="n"/>
      <c r="AN398" s="692" t="n"/>
      <c r="AO398" s="692" t="n"/>
      <c r="AP398" s="692" t="n"/>
      <c r="AQ398" s="692" t="n"/>
      <c r="AR398" s="692" t="n"/>
      <c r="AS398" s="692" t="n"/>
    </row>
    <row r="399">
      <c r="A399" s="427" t="inlineStr">
        <is>
          <t>F</t>
        </is>
      </c>
      <c r="B399" s="616" t="inlineStr">
        <is>
          <t>400 Free</t>
        </is>
      </c>
      <c r="C399" s="616" t="n">
        <v>18</v>
      </c>
      <c r="D399" s="616" t="n">
        <v>3</v>
      </c>
      <c r="E399" s="113" t="inlineStr">
        <is>
          <t>4:12.07</t>
        </is>
      </c>
      <c r="F399" s="692" t="n"/>
      <c r="G399" s="692" t="n"/>
      <c r="H399" s="692" t="n"/>
      <c r="I399" s="692" t="n"/>
      <c r="J399" s="692" t="n"/>
      <c r="K399" s="692" t="n"/>
      <c r="L399" s="692" t="n"/>
      <c r="M399" s="692" t="n"/>
      <c r="N399" s="692" t="n"/>
      <c r="O399" s="692" t="n"/>
      <c r="P399" s="692" t="n"/>
      <c r="Q399" s="692" t="n"/>
      <c r="R399" s="692" t="n"/>
      <c r="S399" s="692" t="n"/>
      <c r="T399" s="692" t="n"/>
      <c r="U399" s="692" t="n"/>
      <c r="V399" s="692" t="n"/>
      <c r="W399" s="692" t="n"/>
      <c r="X399" s="692" t="n"/>
      <c r="Y399" s="692" t="n"/>
      <c r="Z399" s="692" t="n"/>
      <c r="AA399" s="692" t="n"/>
      <c r="AB399" s="692" t="n"/>
      <c r="AC399" s="692" t="n"/>
      <c r="AD399" s="692" t="n"/>
      <c r="AE399" s="692" t="n"/>
      <c r="AF399" s="692" t="n"/>
      <c r="AG399" s="692" t="n"/>
      <c r="AH399" s="692" t="n"/>
      <c r="AI399" s="692" t="n"/>
      <c r="AJ399" s="692" t="n"/>
      <c r="AK399" s="692" t="n"/>
      <c r="AL399" s="692" t="n"/>
      <c r="AM399" s="692" t="n"/>
      <c r="AN399" s="692" t="n"/>
      <c r="AO399" s="692" t="n"/>
      <c r="AP399" s="692" t="n"/>
      <c r="AQ399" s="692" t="n"/>
      <c r="AR399" s="692" t="n"/>
      <c r="AS399" s="692" t="n"/>
    </row>
    <row r="400">
      <c r="A400" s="420" t="inlineStr">
        <is>
          <t>F</t>
        </is>
      </c>
      <c r="B400" s="593" t="inlineStr">
        <is>
          <t>400 Free</t>
        </is>
      </c>
      <c r="C400" s="593" t="n">
        <v>19</v>
      </c>
      <c r="D400" s="593" t="n">
        <v>3</v>
      </c>
      <c r="E400" s="426" t="inlineStr">
        <is>
          <t>4:11.21</t>
        </is>
      </c>
      <c r="F400" s="692" t="n"/>
      <c r="G400" s="692" t="n"/>
      <c r="H400" s="692" t="n"/>
      <c r="I400" s="692" t="n"/>
      <c r="J400" s="692" t="n"/>
      <c r="K400" s="692" t="n"/>
      <c r="L400" s="692" t="n"/>
      <c r="M400" s="692" t="n"/>
      <c r="N400" s="692" t="n"/>
      <c r="O400" s="692" t="n"/>
      <c r="P400" s="692" t="n"/>
      <c r="Q400" s="692" t="n"/>
      <c r="R400" s="692" t="n"/>
      <c r="S400" s="692" t="n"/>
      <c r="T400" s="692" t="n"/>
      <c r="U400" s="692" t="n"/>
      <c r="V400" s="692" t="n"/>
      <c r="W400" s="692" t="n"/>
      <c r="X400" s="692" t="n"/>
      <c r="Y400" s="692" t="n"/>
      <c r="Z400" s="692" t="n"/>
      <c r="AA400" s="692" t="n"/>
      <c r="AB400" s="692" t="n"/>
      <c r="AC400" s="692" t="n"/>
      <c r="AD400" s="692" t="n"/>
      <c r="AE400" s="692" t="n"/>
      <c r="AF400" s="692" t="n"/>
      <c r="AG400" s="692" t="n"/>
      <c r="AH400" s="692" t="n"/>
      <c r="AI400" s="692" t="n"/>
      <c r="AJ400" s="692" t="n"/>
      <c r="AK400" s="692" t="n"/>
      <c r="AL400" s="692" t="n"/>
      <c r="AM400" s="692" t="n"/>
      <c r="AN400" s="692" t="n"/>
      <c r="AO400" s="692" t="n"/>
      <c r="AP400" s="692" t="n"/>
      <c r="AQ400" s="692" t="n"/>
      <c r="AR400" s="692" t="n"/>
      <c r="AS400" s="692" t="n"/>
    </row>
    <row r="401">
      <c r="A401" s="427" t="inlineStr">
        <is>
          <t>F</t>
        </is>
      </c>
      <c r="B401" s="616" t="inlineStr">
        <is>
          <t>400 Free</t>
        </is>
      </c>
      <c r="C401" s="616" t="n">
        <v>20</v>
      </c>
      <c r="D401" s="616" t="n">
        <v>3</v>
      </c>
      <c r="E401" s="127" t="inlineStr">
        <is>
          <t>4:10.70</t>
        </is>
      </c>
      <c r="F401" s="692" t="n"/>
      <c r="G401" s="692" t="n"/>
      <c r="H401" s="692" t="n"/>
      <c r="I401" s="692" t="n"/>
      <c r="J401" s="692" t="n"/>
      <c r="K401" s="692" t="n"/>
      <c r="L401" s="692" t="n"/>
      <c r="M401" s="692" t="n"/>
      <c r="N401" s="692" t="n"/>
      <c r="O401" s="692" t="n"/>
      <c r="P401" s="692" t="n"/>
      <c r="Q401" s="692" t="n"/>
      <c r="R401" s="692" t="n"/>
      <c r="S401" s="692" t="n"/>
      <c r="T401" s="692" t="n"/>
      <c r="U401" s="692" t="n"/>
      <c r="V401" s="692" t="n"/>
      <c r="W401" s="692" t="n"/>
      <c r="X401" s="692" t="n"/>
      <c r="Y401" s="692" t="n"/>
      <c r="Z401" s="692" t="n"/>
      <c r="AA401" s="692" t="n"/>
      <c r="AB401" s="692" t="n"/>
      <c r="AC401" s="692" t="n"/>
      <c r="AD401" s="692" t="n"/>
      <c r="AE401" s="692" t="n"/>
      <c r="AF401" s="692" t="n"/>
      <c r="AG401" s="692" t="n"/>
      <c r="AH401" s="692" t="n"/>
      <c r="AI401" s="692" t="n"/>
      <c r="AJ401" s="692" t="n"/>
      <c r="AK401" s="692" t="n"/>
      <c r="AL401" s="692" t="n"/>
      <c r="AM401" s="692" t="n"/>
      <c r="AN401" s="692" t="n"/>
      <c r="AO401" s="692" t="n"/>
      <c r="AP401" s="692" t="n"/>
      <c r="AQ401" s="692" t="n"/>
      <c r="AR401" s="692" t="n"/>
      <c r="AS401" s="692" t="n"/>
    </row>
    <row r="402">
      <c r="A402" s="420" t="inlineStr">
        <is>
          <t>F</t>
        </is>
      </c>
      <c r="B402" s="593" t="inlineStr">
        <is>
          <t>400 Free</t>
        </is>
      </c>
      <c r="C402" s="593" t="n">
        <v>21</v>
      </c>
      <c r="D402" s="593" t="n">
        <v>3</v>
      </c>
      <c r="E402" s="128" t="inlineStr">
        <is>
          <t>4:10.35</t>
        </is>
      </c>
      <c r="F402" s="692" t="n"/>
      <c r="G402" s="692" t="n"/>
      <c r="H402" s="692" t="n"/>
      <c r="I402" s="692" t="n"/>
      <c r="J402" s="692" t="n"/>
      <c r="K402" s="692" t="n"/>
      <c r="L402" s="692" t="n"/>
      <c r="M402" s="692" t="n"/>
      <c r="N402" s="692" t="n"/>
      <c r="O402" s="692" t="n"/>
      <c r="P402" s="692" t="n"/>
      <c r="Q402" s="692" t="n"/>
      <c r="R402" s="692" t="n"/>
      <c r="S402" s="692" t="n"/>
      <c r="T402" s="692" t="n"/>
      <c r="U402" s="692" t="n"/>
      <c r="V402" s="692" t="n"/>
      <c r="W402" s="692" t="n"/>
      <c r="X402" s="692" t="n"/>
      <c r="Y402" s="692" t="n"/>
      <c r="Z402" s="692" t="n"/>
      <c r="AA402" s="692" t="n"/>
      <c r="AB402" s="692" t="n"/>
      <c r="AC402" s="692" t="n"/>
      <c r="AD402" s="692" t="n"/>
      <c r="AE402" s="692" t="n"/>
      <c r="AF402" s="692" t="n"/>
      <c r="AG402" s="692" t="n"/>
      <c r="AH402" s="692" t="n"/>
      <c r="AI402" s="692" t="n"/>
      <c r="AJ402" s="692" t="n"/>
      <c r="AK402" s="692" t="n"/>
      <c r="AL402" s="692" t="n"/>
      <c r="AM402" s="692" t="n"/>
      <c r="AN402" s="692" t="n"/>
      <c r="AO402" s="692" t="n"/>
      <c r="AP402" s="692" t="n"/>
      <c r="AQ402" s="692" t="n"/>
      <c r="AR402" s="692" t="n"/>
      <c r="AS402" s="692" t="n"/>
    </row>
    <row r="403">
      <c r="A403" s="427" t="inlineStr">
        <is>
          <t>F</t>
        </is>
      </c>
      <c r="B403" s="616" t="inlineStr">
        <is>
          <t>400 Free</t>
        </is>
      </c>
      <c r="C403" s="616" t="n">
        <v>22</v>
      </c>
      <c r="D403" s="616" t="n">
        <v>3</v>
      </c>
      <c r="E403" s="127" t="inlineStr">
        <is>
          <t>4:10.23</t>
        </is>
      </c>
      <c r="F403" s="692" t="n"/>
      <c r="G403" s="692" t="n"/>
      <c r="H403" s="692" t="n"/>
      <c r="I403" s="692" t="n"/>
      <c r="J403" s="692" t="n"/>
      <c r="K403" s="692" t="n"/>
      <c r="L403" s="692" t="n"/>
      <c r="M403" s="692" t="n"/>
      <c r="N403" s="692" t="n"/>
      <c r="O403" s="692" t="n"/>
      <c r="P403" s="692" t="n"/>
      <c r="Q403" s="692" t="n"/>
      <c r="R403" s="692" t="n"/>
      <c r="S403" s="692" t="n"/>
      <c r="T403" s="692" t="n"/>
      <c r="U403" s="692" t="n"/>
      <c r="V403" s="692" t="n"/>
      <c r="W403" s="692" t="n"/>
      <c r="X403" s="692" t="n"/>
      <c r="Y403" s="692" t="n"/>
      <c r="Z403" s="692" t="n"/>
      <c r="AA403" s="692" t="n"/>
      <c r="AB403" s="692" t="n"/>
      <c r="AC403" s="692" t="n"/>
      <c r="AD403" s="692" t="n"/>
      <c r="AE403" s="692" t="n"/>
      <c r="AF403" s="692" t="n"/>
      <c r="AG403" s="692" t="n"/>
      <c r="AH403" s="692" t="n"/>
      <c r="AI403" s="692" t="n"/>
      <c r="AJ403" s="692" t="n"/>
      <c r="AK403" s="692" t="n"/>
      <c r="AL403" s="692" t="n"/>
      <c r="AM403" s="692" t="n"/>
      <c r="AN403" s="692" t="n"/>
      <c r="AO403" s="692" t="n"/>
      <c r="AP403" s="692" t="n"/>
      <c r="AQ403" s="692" t="n"/>
      <c r="AR403" s="692" t="n"/>
      <c r="AS403" s="692" t="n"/>
    </row>
    <row r="404">
      <c r="A404" s="420" t="inlineStr">
        <is>
          <t>F</t>
        </is>
      </c>
      <c r="B404" s="593" t="inlineStr">
        <is>
          <t>800 Free</t>
        </is>
      </c>
      <c r="C404" s="593" t="n">
        <v>16</v>
      </c>
      <c r="D404" s="593" t="n">
        <v>3</v>
      </c>
      <c r="E404" s="128" t="inlineStr">
        <is>
          <t>8:46.60</t>
        </is>
      </c>
      <c r="F404" s="692" t="n"/>
      <c r="G404" s="692" t="n"/>
      <c r="H404" s="692" t="n"/>
      <c r="I404" s="692" t="n"/>
      <c r="J404" s="692" t="n"/>
      <c r="K404" s="692" t="n"/>
      <c r="L404" s="692" t="n"/>
      <c r="M404" s="692" t="n"/>
      <c r="N404" s="692" t="n"/>
      <c r="O404" s="692" t="n"/>
      <c r="P404" s="692" t="n"/>
      <c r="Q404" s="692" t="n"/>
      <c r="R404" s="692" t="n"/>
      <c r="S404" s="692" t="n"/>
      <c r="T404" s="692" t="n"/>
      <c r="U404" s="692" t="n"/>
      <c r="V404" s="692" t="n"/>
      <c r="W404" s="692" t="n"/>
      <c r="X404" s="692" t="n"/>
      <c r="Y404" s="692" t="n"/>
      <c r="Z404" s="692" t="n"/>
      <c r="AA404" s="692" t="n"/>
      <c r="AB404" s="692" t="n"/>
      <c r="AC404" s="692" t="n"/>
      <c r="AD404" s="692" t="n"/>
      <c r="AE404" s="692" t="n"/>
      <c r="AF404" s="692" t="n"/>
      <c r="AG404" s="692" t="n"/>
      <c r="AH404" s="692" t="n"/>
      <c r="AI404" s="692" t="n"/>
      <c r="AJ404" s="692" t="n"/>
      <c r="AK404" s="692" t="n"/>
      <c r="AL404" s="692" t="n"/>
      <c r="AM404" s="692" t="n"/>
      <c r="AN404" s="692" t="n"/>
      <c r="AO404" s="692" t="n"/>
      <c r="AP404" s="692" t="n"/>
      <c r="AQ404" s="692" t="n"/>
      <c r="AR404" s="692" t="n"/>
      <c r="AS404" s="692" t="n"/>
    </row>
    <row r="405">
      <c r="A405" s="427" t="inlineStr">
        <is>
          <t>F</t>
        </is>
      </c>
      <c r="B405" s="616" t="inlineStr">
        <is>
          <t>800 Free</t>
        </is>
      </c>
      <c r="C405" s="616" t="n">
        <v>17</v>
      </c>
      <c r="D405" s="616" t="n">
        <v>3</v>
      </c>
      <c r="E405" s="127" t="inlineStr">
        <is>
          <t>8:41.46</t>
        </is>
      </c>
      <c r="F405" s="692" t="n"/>
      <c r="G405" s="692" t="n"/>
      <c r="H405" s="692" t="n"/>
      <c r="I405" s="692" t="n"/>
      <c r="J405" s="692" t="n"/>
      <c r="K405" s="692" t="n"/>
      <c r="L405" s="692" t="n"/>
      <c r="M405" s="692" t="n"/>
      <c r="N405" s="692" t="n"/>
      <c r="O405" s="692" t="n"/>
      <c r="P405" s="692" t="n"/>
      <c r="Q405" s="692" t="n"/>
      <c r="R405" s="692" t="n"/>
      <c r="S405" s="692" t="n"/>
      <c r="T405" s="692" t="n"/>
      <c r="U405" s="692" t="n"/>
      <c r="V405" s="692" t="n"/>
      <c r="W405" s="692" t="n"/>
      <c r="X405" s="692" t="n"/>
      <c r="Y405" s="692" t="n"/>
      <c r="Z405" s="692" t="n"/>
      <c r="AA405" s="692" t="n"/>
      <c r="AB405" s="692" t="n"/>
      <c r="AC405" s="692" t="n"/>
      <c r="AD405" s="692" t="n"/>
      <c r="AE405" s="692" t="n"/>
      <c r="AF405" s="692" t="n"/>
      <c r="AG405" s="692" t="n"/>
      <c r="AH405" s="692" t="n"/>
      <c r="AI405" s="692" t="n"/>
      <c r="AJ405" s="692" t="n"/>
      <c r="AK405" s="692" t="n"/>
      <c r="AL405" s="692" t="n"/>
      <c r="AM405" s="692" t="n"/>
      <c r="AN405" s="692" t="n"/>
      <c r="AO405" s="692" t="n"/>
      <c r="AP405" s="692" t="n"/>
      <c r="AQ405" s="692" t="n"/>
      <c r="AR405" s="692" t="n"/>
      <c r="AS405" s="692" t="n"/>
    </row>
    <row r="406">
      <c r="A406" s="420" t="inlineStr">
        <is>
          <t>F</t>
        </is>
      </c>
      <c r="B406" s="593" t="inlineStr">
        <is>
          <t>800 Free</t>
        </is>
      </c>
      <c r="C406" s="593" t="n">
        <v>18</v>
      </c>
      <c r="D406" s="593" t="n">
        <v>3</v>
      </c>
      <c r="E406" s="128" t="inlineStr">
        <is>
          <t>8:38.25</t>
        </is>
      </c>
      <c r="F406" s="692" t="n"/>
      <c r="G406" s="692" t="n"/>
      <c r="H406" s="692" t="n"/>
      <c r="I406" s="692" t="n"/>
      <c r="J406" s="692" t="n"/>
      <c r="K406" s="692" t="n"/>
      <c r="L406" s="692" t="n"/>
      <c r="M406" s="692" t="n"/>
      <c r="N406" s="692" t="n"/>
      <c r="O406" s="692" t="n"/>
      <c r="P406" s="692" t="n"/>
      <c r="Q406" s="692" t="n"/>
      <c r="R406" s="692" t="n"/>
      <c r="S406" s="692" t="n"/>
      <c r="T406" s="692" t="n"/>
      <c r="U406" s="692" t="n"/>
      <c r="V406" s="692" t="n"/>
      <c r="W406" s="692" t="n"/>
      <c r="X406" s="692" t="n"/>
      <c r="Y406" s="692" t="n"/>
      <c r="Z406" s="692" t="n"/>
      <c r="AA406" s="692" t="n"/>
      <c r="AB406" s="692" t="n"/>
      <c r="AC406" s="692" t="n"/>
      <c r="AD406" s="692" t="n"/>
      <c r="AE406" s="692" t="n"/>
      <c r="AF406" s="692" t="n"/>
      <c r="AG406" s="692" t="n"/>
      <c r="AH406" s="692" t="n"/>
      <c r="AI406" s="692" t="n"/>
      <c r="AJ406" s="692" t="n"/>
      <c r="AK406" s="692" t="n"/>
      <c r="AL406" s="692" t="n"/>
      <c r="AM406" s="692" t="n"/>
      <c r="AN406" s="692" t="n"/>
      <c r="AO406" s="692" t="n"/>
      <c r="AP406" s="692" t="n"/>
      <c r="AQ406" s="692" t="n"/>
      <c r="AR406" s="692" t="n"/>
      <c r="AS406" s="692" t="n"/>
    </row>
    <row r="407">
      <c r="A407" s="427" t="inlineStr">
        <is>
          <t>F</t>
        </is>
      </c>
      <c r="B407" s="616" t="inlineStr">
        <is>
          <t>800 Free</t>
        </is>
      </c>
      <c r="C407" s="616" t="n">
        <v>19</v>
      </c>
      <c r="D407" s="616" t="n">
        <v>3</v>
      </c>
      <c r="E407" s="127" t="inlineStr">
        <is>
          <t>8:36.42</t>
        </is>
      </c>
      <c r="F407" s="692" t="n"/>
      <c r="G407" s="692" t="n"/>
      <c r="H407" s="692" t="n"/>
      <c r="I407" s="692" t="n"/>
      <c r="J407" s="692" t="n"/>
      <c r="K407" s="692" t="n"/>
      <c r="L407" s="692" t="n"/>
      <c r="M407" s="692" t="n"/>
      <c r="N407" s="692" t="n"/>
      <c r="O407" s="692" t="n"/>
      <c r="P407" s="692" t="n"/>
      <c r="Q407" s="692" t="n"/>
      <c r="R407" s="692" t="n"/>
      <c r="S407" s="692" t="n"/>
      <c r="T407" s="692" t="n"/>
      <c r="U407" s="692" t="n"/>
      <c r="V407" s="692" t="n"/>
      <c r="W407" s="692" t="n"/>
      <c r="X407" s="692" t="n"/>
      <c r="Y407" s="692" t="n"/>
      <c r="Z407" s="692" t="n"/>
      <c r="AA407" s="692" t="n"/>
      <c r="AB407" s="692" t="n"/>
      <c r="AC407" s="692" t="n"/>
      <c r="AD407" s="692" t="n"/>
      <c r="AE407" s="692" t="n"/>
      <c r="AF407" s="692" t="n"/>
      <c r="AG407" s="692" t="n"/>
      <c r="AH407" s="692" t="n"/>
      <c r="AI407" s="692" t="n"/>
      <c r="AJ407" s="692" t="n"/>
      <c r="AK407" s="692" t="n"/>
      <c r="AL407" s="692" t="n"/>
      <c r="AM407" s="692" t="n"/>
      <c r="AN407" s="692" t="n"/>
      <c r="AO407" s="692" t="n"/>
      <c r="AP407" s="692" t="n"/>
      <c r="AQ407" s="692" t="n"/>
      <c r="AR407" s="692" t="n"/>
      <c r="AS407" s="692" t="n"/>
    </row>
    <row r="408">
      <c r="A408" s="420" t="inlineStr">
        <is>
          <t>F</t>
        </is>
      </c>
      <c r="B408" s="593" t="inlineStr">
        <is>
          <t>800 Free</t>
        </is>
      </c>
      <c r="C408" s="593" t="n">
        <v>20</v>
      </c>
      <c r="D408" s="593" t="n">
        <v>3</v>
      </c>
      <c r="E408" s="128" t="inlineStr">
        <is>
          <t>8:35.43</t>
        </is>
      </c>
      <c r="F408" s="692" t="n"/>
      <c r="G408" s="692" t="n"/>
      <c r="H408" s="692" t="n"/>
      <c r="I408" s="692" t="n"/>
      <c r="J408" s="692" t="n"/>
      <c r="K408" s="692" t="n"/>
      <c r="L408" s="692" t="n"/>
      <c r="M408" s="692" t="n"/>
      <c r="N408" s="692" t="n"/>
      <c r="O408" s="692" t="n"/>
      <c r="P408" s="692" t="n"/>
      <c r="Q408" s="692" t="n"/>
      <c r="R408" s="692" t="n"/>
      <c r="S408" s="692" t="n"/>
      <c r="T408" s="692" t="n"/>
      <c r="U408" s="692" t="n"/>
      <c r="V408" s="692" t="n"/>
      <c r="W408" s="692" t="n"/>
      <c r="X408" s="692" t="n"/>
      <c r="Y408" s="692" t="n"/>
      <c r="Z408" s="692" t="n"/>
      <c r="AA408" s="692" t="n"/>
      <c r="AB408" s="692" t="n"/>
      <c r="AC408" s="692" t="n"/>
      <c r="AD408" s="692" t="n"/>
      <c r="AE408" s="692" t="n"/>
      <c r="AF408" s="692" t="n"/>
      <c r="AG408" s="692" t="n"/>
      <c r="AH408" s="692" t="n"/>
      <c r="AI408" s="692" t="n"/>
      <c r="AJ408" s="692" t="n"/>
      <c r="AK408" s="692" t="n"/>
      <c r="AL408" s="692" t="n"/>
      <c r="AM408" s="692" t="n"/>
      <c r="AN408" s="692" t="n"/>
      <c r="AO408" s="692" t="n"/>
      <c r="AP408" s="692" t="n"/>
      <c r="AQ408" s="692" t="n"/>
      <c r="AR408" s="692" t="n"/>
      <c r="AS408" s="692" t="n"/>
    </row>
    <row r="409">
      <c r="A409" s="427" t="inlineStr">
        <is>
          <t>F</t>
        </is>
      </c>
      <c r="B409" s="616" t="inlineStr">
        <is>
          <t>800 Free</t>
        </is>
      </c>
      <c r="C409" s="616" t="n">
        <v>21</v>
      </c>
      <c r="D409" s="616" t="n">
        <v>3</v>
      </c>
      <c r="E409" s="127" t="inlineStr">
        <is>
          <t>8:34.90</t>
        </is>
      </c>
      <c r="F409" s="692" t="n"/>
      <c r="G409" s="692" t="n"/>
      <c r="H409" s="692" t="n"/>
      <c r="I409" s="692" t="n"/>
      <c r="J409" s="692" t="n"/>
      <c r="K409" s="692" t="n"/>
      <c r="L409" s="692" t="n"/>
      <c r="M409" s="692" t="n"/>
      <c r="N409" s="692" t="n"/>
      <c r="O409" s="692" t="n"/>
      <c r="P409" s="692" t="n"/>
      <c r="Q409" s="692" t="n"/>
      <c r="R409" s="692" t="n"/>
      <c r="S409" s="692" t="n"/>
      <c r="T409" s="692" t="n"/>
      <c r="U409" s="692" t="n"/>
      <c r="V409" s="692" t="n"/>
      <c r="W409" s="692" t="n"/>
      <c r="X409" s="692" t="n"/>
      <c r="Y409" s="692" t="n"/>
      <c r="Z409" s="692" t="n"/>
      <c r="AA409" s="692" t="n"/>
      <c r="AB409" s="692" t="n"/>
      <c r="AC409" s="692" t="n"/>
      <c r="AD409" s="692" t="n"/>
      <c r="AE409" s="692" t="n"/>
      <c r="AF409" s="692" t="n"/>
      <c r="AG409" s="692" t="n"/>
      <c r="AH409" s="692" t="n"/>
      <c r="AI409" s="692" t="n"/>
      <c r="AJ409" s="692" t="n"/>
      <c r="AK409" s="692" t="n"/>
      <c r="AL409" s="692" t="n"/>
      <c r="AM409" s="692" t="n"/>
      <c r="AN409" s="692" t="n"/>
      <c r="AO409" s="692" t="n"/>
      <c r="AP409" s="692" t="n"/>
      <c r="AQ409" s="692" t="n"/>
      <c r="AR409" s="692" t="n"/>
      <c r="AS409" s="692" t="n"/>
    </row>
    <row r="410">
      <c r="A410" s="420" t="inlineStr">
        <is>
          <t>F</t>
        </is>
      </c>
      <c r="B410" s="593" t="inlineStr">
        <is>
          <t>800 Free</t>
        </is>
      </c>
      <c r="C410" s="593" t="n">
        <v>22</v>
      </c>
      <c r="D410" s="593" t="n">
        <v>3</v>
      </c>
      <c r="E410" s="128" t="inlineStr">
        <is>
          <t>8:34.62</t>
        </is>
      </c>
      <c r="F410" s="692" t="n"/>
      <c r="G410" s="692" t="n"/>
      <c r="H410" s="692" t="n"/>
      <c r="I410" s="692" t="n"/>
      <c r="J410" s="692" t="n"/>
      <c r="K410" s="692" t="n"/>
      <c r="L410" s="692" t="n"/>
      <c r="M410" s="692" t="n"/>
      <c r="N410" s="692" t="n"/>
      <c r="O410" s="692" t="n"/>
      <c r="P410" s="692" t="n"/>
      <c r="Q410" s="692" t="n"/>
      <c r="R410" s="692" t="n"/>
      <c r="S410" s="692" t="n"/>
      <c r="T410" s="692" t="n"/>
      <c r="U410" s="692" t="n"/>
      <c r="V410" s="692" t="n"/>
      <c r="W410" s="692" t="n"/>
      <c r="X410" s="692" t="n"/>
      <c r="Y410" s="692" t="n"/>
      <c r="Z410" s="692" t="n"/>
      <c r="AA410" s="692" t="n"/>
      <c r="AB410" s="692" t="n"/>
      <c r="AC410" s="692" t="n"/>
      <c r="AD410" s="692" t="n"/>
      <c r="AE410" s="692" t="n"/>
      <c r="AF410" s="692" t="n"/>
      <c r="AG410" s="692" t="n"/>
      <c r="AH410" s="692" t="n"/>
      <c r="AI410" s="692" t="n"/>
      <c r="AJ410" s="692" t="n"/>
      <c r="AK410" s="692" t="n"/>
      <c r="AL410" s="692" t="n"/>
      <c r="AM410" s="692" t="n"/>
      <c r="AN410" s="692" t="n"/>
      <c r="AO410" s="692" t="n"/>
      <c r="AP410" s="692" t="n"/>
      <c r="AQ410" s="692" t="n"/>
      <c r="AR410" s="692" t="n"/>
      <c r="AS410" s="692" t="n"/>
    </row>
    <row r="411">
      <c r="A411" s="427" t="inlineStr">
        <is>
          <t>F</t>
        </is>
      </c>
      <c r="B411" s="616" t="inlineStr">
        <is>
          <t>1500 Free</t>
        </is>
      </c>
      <c r="C411" s="616" t="n">
        <v>16</v>
      </c>
      <c r="D411" s="616" t="n">
        <v>3</v>
      </c>
      <c r="E411" s="113" t="inlineStr">
        <is>
          <t>16:45.20</t>
        </is>
      </c>
      <c r="F411" s="692" t="n"/>
      <c r="G411" s="692" t="n"/>
      <c r="H411" s="692" t="n"/>
      <c r="I411" s="692" t="n"/>
      <c r="J411" s="692" t="n"/>
      <c r="K411" s="692" t="n"/>
      <c r="L411" s="692" t="n"/>
      <c r="M411" s="692" t="n"/>
      <c r="N411" s="692" t="n"/>
      <c r="O411" s="692" t="n"/>
      <c r="P411" s="692" t="n"/>
      <c r="Q411" s="692" t="n"/>
      <c r="R411" s="692" t="n"/>
      <c r="S411" s="692" t="n"/>
      <c r="T411" s="692" t="n"/>
      <c r="U411" s="692" t="n"/>
      <c r="V411" s="692" t="n"/>
      <c r="W411" s="692" t="n"/>
      <c r="X411" s="692" t="n"/>
      <c r="Y411" s="692" t="n"/>
      <c r="Z411" s="692" t="n"/>
      <c r="AA411" s="692" t="n"/>
      <c r="AB411" s="692" t="n"/>
      <c r="AC411" s="692" t="n"/>
      <c r="AD411" s="692" t="n"/>
      <c r="AE411" s="692" t="n"/>
      <c r="AF411" s="692" t="n"/>
      <c r="AG411" s="692" t="n"/>
      <c r="AH411" s="692" t="n"/>
      <c r="AI411" s="692" t="n"/>
      <c r="AJ411" s="692" t="n"/>
      <c r="AK411" s="692" t="n"/>
      <c r="AL411" s="692" t="n"/>
      <c r="AM411" s="692" t="n"/>
      <c r="AN411" s="692" t="n"/>
      <c r="AO411" s="692" t="n"/>
      <c r="AP411" s="692" t="n"/>
      <c r="AQ411" s="692" t="n"/>
      <c r="AR411" s="692" t="n"/>
      <c r="AS411" s="692" t="n"/>
    </row>
    <row r="412">
      <c r="A412" s="420" t="inlineStr">
        <is>
          <t>F</t>
        </is>
      </c>
      <c r="B412" s="593" t="inlineStr">
        <is>
          <t>1500 Free</t>
        </is>
      </c>
      <c r="C412" s="593" t="n">
        <v>17</v>
      </c>
      <c r="D412" s="593" t="n">
        <v>3</v>
      </c>
      <c r="E412" s="116" t="inlineStr">
        <is>
          <t>16:36.60</t>
        </is>
      </c>
      <c r="F412" s="692" t="n"/>
      <c r="G412" s="692" t="n"/>
      <c r="H412" s="692" t="n"/>
      <c r="I412" s="692" t="n"/>
      <c r="J412" s="692" t="n"/>
      <c r="K412" s="692" t="n"/>
      <c r="L412" s="692" t="n"/>
      <c r="M412" s="692" t="n"/>
      <c r="N412" s="692" t="n"/>
      <c r="O412" s="692" t="n"/>
      <c r="P412" s="692" t="n"/>
      <c r="Q412" s="692" t="n"/>
      <c r="R412" s="692" t="n"/>
      <c r="S412" s="692" t="n"/>
      <c r="T412" s="692" t="n"/>
      <c r="U412" s="692" t="n"/>
      <c r="V412" s="692" t="n"/>
      <c r="W412" s="692" t="n"/>
      <c r="X412" s="692" t="n"/>
      <c r="Y412" s="692" t="n"/>
      <c r="Z412" s="692" t="n"/>
      <c r="AA412" s="692" t="n"/>
      <c r="AB412" s="692" t="n"/>
      <c r="AC412" s="692" t="n"/>
      <c r="AD412" s="692" t="n"/>
      <c r="AE412" s="692" t="n"/>
      <c r="AF412" s="692" t="n"/>
      <c r="AG412" s="692" t="n"/>
      <c r="AH412" s="692" t="n"/>
      <c r="AI412" s="692" t="n"/>
      <c r="AJ412" s="692" t="n"/>
      <c r="AK412" s="692" t="n"/>
      <c r="AL412" s="692" t="n"/>
      <c r="AM412" s="692" t="n"/>
      <c r="AN412" s="692" t="n"/>
      <c r="AO412" s="692" t="n"/>
      <c r="AP412" s="692" t="n"/>
      <c r="AQ412" s="692" t="n"/>
      <c r="AR412" s="692" t="n"/>
      <c r="AS412" s="692" t="n"/>
    </row>
    <row r="413">
      <c r="A413" s="427" t="inlineStr">
        <is>
          <t>F</t>
        </is>
      </c>
      <c r="B413" s="616" t="inlineStr">
        <is>
          <t>1500 Free</t>
        </is>
      </c>
      <c r="C413" s="616" t="n">
        <v>18</v>
      </c>
      <c r="D413" s="616" t="n">
        <v>3</v>
      </c>
      <c r="E413" s="127" t="inlineStr">
        <is>
          <t>16:31.47</t>
        </is>
      </c>
      <c r="F413" s="692" t="n"/>
      <c r="G413" s="692" t="n"/>
      <c r="H413" s="692" t="n"/>
      <c r="I413" s="692" t="n"/>
      <c r="J413" s="692" t="n"/>
      <c r="K413" s="692" t="n"/>
      <c r="L413" s="692" t="n"/>
      <c r="M413" s="692" t="n"/>
      <c r="N413" s="692" t="n"/>
      <c r="O413" s="692" t="n"/>
      <c r="P413" s="692" t="n"/>
      <c r="Q413" s="692" t="n"/>
      <c r="R413" s="692" t="n"/>
      <c r="S413" s="692" t="n"/>
      <c r="T413" s="692" t="n"/>
      <c r="U413" s="692" t="n"/>
      <c r="V413" s="692" t="n"/>
      <c r="W413" s="692" t="n"/>
      <c r="X413" s="692" t="n"/>
      <c r="Y413" s="692" t="n"/>
      <c r="Z413" s="692" t="n"/>
      <c r="AA413" s="692" t="n"/>
      <c r="AB413" s="692" t="n"/>
      <c r="AC413" s="692" t="n"/>
      <c r="AD413" s="692" t="n"/>
      <c r="AE413" s="692" t="n"/>
      <c r="AF413" s="692" t="n"/>
      <c r="AG413" s="692" t="n"/>
      <c r="AH413" s="692" t="n"/>
      <c r="AI413" s="692" t="n"/>
      <c r="AJ413" s="692" t="n"/>
      <c r="AK413" s="692" t="n"/>
      <c r="AL413" s="692" t="n"/>
      <c r="AM413" s="692" t="n"/>
      <c r="AN413" s="692" t="n"/>
      <c r="AO413" s="692" t="n"/>
      <c r="AP413" s="692" t="n"/>
      <c r="AQ413" s="692" t="n"/>
      <c r="AR413" s="692" t="n"/>
      <c r="AS413" s="692" t="n"/>
    </row>
    <row r="414">
      <c r="A414" s="420" t="inlineStr">
        <is>
          <t>F</t>
        </is>
      </c>
      <c r="B414" s="593" t="inlineStr">
        <is>
          <t>1500 Free</t>
        </is>
      </c>
      <c r="C414" s="593" t="n">
        <v>19</v>
      </c>
      <c r="D414" s="593" t="n">
        <v>3</v>
      </c>
      <c r="E414" s="128" t="inlineStr">
        <is>
          <t>16:28.46</t>
        </is>
      </c>
      <c r="F414" s="692" t="n"/>
      <c r="G414" s="692" t="n"/>
      <c r="H414" s="692" t="n"/>
      <c r="I414" s="692" t="n"/>
      <c r="J414" s="692" t="n"/>
      <c r="K414" s="692" t="n"/>
      <c r="L414" s="692" t="n"/>
      <c r="M414" s="692" t="n"/>
      <c r="N414" s="692" t="n"/>
      <c r="O414" s="692" t="n"/>
      <c r="P414" s="692" t="n"/>
      <c r="Q414" s="692" t="n"/>
      <c r="R414" s="692" t="n"/>
      <c r="S414" s="692" t="n"/>
      <c r="T414" s="692" t="n"/>
      <c r="U414" s="692" t="n"/>
      <c r="V414" s="692" t="n"/>
      <c r="W414" s="692" t="n"/>
      <c r="X414" s="692" t="n"/>
      <c r="Y414" s="692" t="n"/>
      <c r="Z414" s="692" t="n"/>
      <c r="AA414" s="692" t="n"/>
      <c r="AB414" s="692" t="n"/>
      <c r="AC414" s="692" t="n"/>
      <c r="AD414" s="692" t="n"/>
      <c r="AE414" s="692" t="n"/>
      <c r="AF414" s="692" t="n"/>
      <c r="AG414" s="692" t="n"/>
      <c r="AH414" s="692" t="n"/>
      <c r="AI414" s="692" t="n"/>
      <c r="AJ414" s="692" t="n"/>
      <c r="AK414" s="692" t="n"/>
      <c r="AL414" s="692" t="n"/>
      <c r="AM414" s="692" t="n"/>
      <c r="AN414" s="692" t="n"/>
      <c r="AO414" s="692" t="n"/>
      <c r="AP414" s="692" t="n"/>
      <c r="AQ414" s="692" t="n"/>
      <c r="AR414" s="692" t="n"/>
      <c r="AS414" s="692" t="n"/>
    </row>
    <row r="415">
      <c r="A415" s="427" t="inlineStr">
        <is>
          <t>F</t>
        </is>
      </c>
      <c r="B415" s="616" t="inlineStr">
        <is>
          <t>1500 Free</t>
        </is>
      </c>
      <c r="C415" s="616" t="n">
        <v>20</v>
      </c>
      <c r="D415" s="616" t="n">
        <v>3</v>
      </c>
      <c r="E415" s="433" t="inlineStr">
        <is>
          <t>16:26.78</t>
        </is>
      </c>
      <c r="F415" s="692" t="n"/>
      <c r="G415" s="692" t="n"/>
      <c r="H415" s="692" t="n"/>
      <c r="I415" s="692" t="n"/>
      <c r="J415" s="692" t="n"/>
      <c r="K415" s="692" t="n"/>
      <c r="L415" s="692" t="n"/>
      <c r="M415" s="692" t="n"/>
      <c r="N415" s="692" t="n"/>
      <c r="O415" s="692" t="n"/>
      <c r="P415" s="692" t="n"/>
      <c r="Q415" s="692" t="n"/>
      <c r="R415" s="692" t="n"/>
      <c r="S415" s="692" t="n"/>
      <c r="T415" s="692" t="n"/>
      <c r="U415" s="692" t="n"/>
      <c r="V415" s="692" t="n"/>
      <c r="W415" s="692" t="n"/>
      <c r="X415" s="692" t="n"/>
      <c r="Y415" s="692" t="n"/>
      <c r="Z415" s="692" t="n"/>
      <c r="AA415" s="692" t="n"/>
      <c r="AB415" s="692" t="n"/>
      <c r="AC415" s="692" t="n"/>
      <c r="AD415" s="692" t="n"/>
      <c r="AE415" s="692" t="n"/>
      <c r="AF415" s="692" t="n"/>
      <c r="AG415" s="692" t="n"/>
      <c r="AH415" s="692" t="n"/>
      <c r="AI415" s="692" t="n"/>
      <c r="AJ415" s="692" t="n"/>
      <c r="AK415" s="692" t="n"/>
      <c r="AL415" s="692" t="n"/>
      <c r="AM415" s="692" t="n"/>
      <c r="AN415" s="692" t="n"/>
      <c r="AO415" s="692" t="n"/>
      <c r="AP415" s="692" t="n"/>
      <c r="AQ415" s="692" t="n"/>
      <c r="AR415" s="692" t="n"/>
      <c r="AS415" s="692" t="n"/>
    </row>
    <row r="416">
      <c r="A416" s="420" t="inlineStr">
        <is>
          <t>F</t>
        </is>
      </c>
      <c r="B416" s="593" t="inlineStr">
        <is>
          <t>1500 Free</t>
        </is>
      </c>
      <c r="C416" s="593" t="n">
        <v>21</v>
      </c>
      <c r="D416" s="593" t="n">
        <v>3</v>
      </c>
      <c r="E416" s="128" t="inlineStr">
        <is>
          <t>16:25.53</t>
        </is>
      </c>
      <c r="F416" s="692" t="n"/>
      <c r="G416" s="692" t="n"/>
      <c r="H416" s="692" t="n"/>
      <c r="I416" s="692" t="n"/>
      <c r="J416" s="692" t="n"/>
      <c r="K416" s="692" t="n"/>
      <c r="L416" s="692" t="n"/>
      <c r="M416" s="692" t="n"/>
      <c r="N416" s="692" t="n"/>
      <c r="O416" s="692" t="n"/>
      <c r="P416" s="692" t="n"/>
      <c r="Q416" s="692" t="n"/>
      <c r="R416" s="692" t="n"/>
      <c r="S416" s="692" t="n"/>
      <c r="T416" s="692" t="n"/>
      <c r="U416" s="692" t="n"/>
      <c r="V416" s="692" t="n"/>
      <c r="W416" s="692" t="n"/>
      <c r="X416" s="692" t="n"/>
      <c r="Y416" s="692" t="n"/>
      <c r="Z416" s="692" t="n"/>
      <c r="AA416" s="692" t="n"/>
      <c r="AB416" s="692" t="n"/>
      <c r="AC416" s="692" t="n"/>
      <c r="AD416" s="692" t="n"/>
      <c r="AE416" s="692" t="n"/>
      <c r="AF416" s="692" t="n"/>
      <c r="AG416" s="692" t="n"/>
      <c r="AH416" s="692" t="n"/>
      <c r="AI416" s="692" t="n"/>
      <c r="AJ416" s="692" t="n"/>
      <c r="AK416" s="692" t="n"/>
      <c r="AL416" s="692" t="n"/>
      <c r="AM416" s="692" t="n"/>
      <c r="AN416" s="692" t="n"/>
      <c r="AO416" s="692" t="n"/>
      <c r="AP416" s="692" t="n"/>
      <c r="AQ416" s="692" t="n"/>
      <c r="AR416" s="692" t="n"/>
      <c r="AS416" s="692" t="n"/>
    </row>
    <row r="417">
      <c r="A417" s="427" t="inlineStr">
        <is>
          <t>F</t>
        </is>
      </c>
      <c r="B417" s="616" t="inlineStr">
        <is>
          <t>1500 Free</t>
        </is>
      </c>
      <c r="C417" s="616" t="n">
        <v>22</v>
      </c>
      <c r="D417" s="616" t="n">
        <v>3</v>
      </c>
      <c r="E417" s="433" t="inlineStr">
        <is>
          <t>16:24.56</t>
        </is>
      </c>
      <c r="F417" s="692" t="n"/>
      <c r="G417" s="692" t="n"/>
      <c r="H417" s="692" t="n"/>
      <c r="I417" s="692" t="n"/>
      <c r="J417" s="692" t="n"/>
      <c r="K417" s="692" t="n"/>
      <c r="L417" s="692" t="n"/>
      <c r="M417" s="692" t="n"/>
      <c r="N417" s="692" t="n"/>
      <c r="O417" s="692" t="n"/>
      <c r="P417" s="692" t="n"/>
      <c r="Q417" s="692" t="n"/>
      <c r="R417" s="692" t="n"/>
      <c r="S417" s="692" t="n"/>
      <c r="T417" s="692" t="n"/>
      <c r="U417" s="692" t="n"/>
      <c r="V417" s="692" t="n"/>
      <c r="W417" s="692" t="n"/>
      <c r="X417" s="692" t="n"/>
      <c r="Y417" s="692" t="n"/>
      <c r="Z417" s="692" t="n"/>
      <c r="AA417" s="692" t="n"/>
      <c r="AB417" s="692" t="n"/>
      <c r="AC417" s="692" t="n"/>
      <c r="AD417" s="692" t="n"/>
      <c r="AE417" s="692" t="n"/>
      <c r="AF417" s="692" t="n"/>
      <c r="AG417" s="692" t="n"/>
      <c r="AH417" s="692" t="n"/>
      <c r="AI417" s="692" t="n"/>
      <c r="AJ417" s="692" t="n"/>
      <c r="AK417" s="692" t="n"/>
      <c r="AL417" s="692" t="n"/>
      <c r="AM417" s="692" t="n"/>
      <c r="AN417" s="692" t="n"/>
      <c r="AO417" s="692" t="n"/>
      <c r="AP417" s="692" t="n"/>
      <c r="AQ417" s="692" t="n"/>
      <c r="AR417" s="692" t="n"/>
      <c r="AS417" s="692" t="n"/>
    </row>
    <row r="418">
      <c r="A418" s="420" t="inlineStr">
        <is>
          <t>F</t>
        </is>
      </c>
      <c r="B418" s="593" t="inlineStr">
        <is>
          <t>50 Back</t>
        </is>
      </c>
      <c r="C418" s="593" t="n">
        <v>17</v>
      </c>
      <c r="D418" s="593" t="n">
        <v>3</v>
      </c>
      <c r="E418" s="128" t="inlineStr">
        <is>
          <t>28.90</t>
        </is>
      </c>
      <c r="F418" s="692" t="n"/>
      <c r="G418" s="692" t="n"/>
      <c r="H418" s="692" t="n"/>
      <c r="I418" s="692" t="n"/>
      <c r="J418" s="692" t="n"/>
      <c r="K418" s="692" t="n"/>
      <c r="L418" s="692" t="n"/>
      <c r="M418" s="692" t="n"/>
      <c r="N418" s="692" t="n"/>
      <c r="O418" s="692" t="n"/>
      <c r="P418" s="692" t="n"/>
      <c r="Q418" s="692" t="n"/>
      <c r="R418" s="692" t="n"/>
      <c r="S418" s="692" t="n"/>
      <c r="T418" s="692" t="n"/>
      <c r="U418" s="692" t="n"/>
      <c r="V418" s="692" t="n"/>
      <c r="W418" s="692" t="n"/>
      <c r="X418" s="692" t="n"/>
      <c r="Y418" s="692" t="n"/>
      <c r="Z418" s="692" t="n"/>
      <c r="AA418" s="692" t="n"/>
      <c r="AB418" s="692" t="n"/>
      <c r="AC418" s="692" t="n"/>
      <c r="AD418" s="692" t="n"/>
      <c r="AE418" s="692" t="n"/>
      <c r="AF418" s="692" t="n"/>
      <c r="AG418" s="692" t="n"/>
      <c r="AH418" s="692" t="n"/>
      <c r="AI418" s="692" t="n"/>
      <c r="AJ418" s="692" t="n"/>
      <c r="AK418" s="692" t="n"/>
      <c r="AL418" s="692" t="n"/>
      <c r="AM418" s="692" t="n"/>
      <c r="AN418" s="692" t="n"/>
      <c r="AO418" s="692" t="n"/>
      <c r="AP418" s="692" t="n"/>
      <c r="AQ418" s="692" t="n"/>
      <c r="AR418" s="692" t="n"/>
      <c r="AS418" s="692" t="n"/>
    </row>
    <row r="419">
      <c r="A419" s="427" t="inlineStr">
        <is>
          <t>F</t>
        </is>
      </c>
      <c r="B419" s="616" t="inlineStr">
        <is>
          <t>50 Back</t>
        </is>
      </c>
      <c r="C419" s="616" t="n">
        <v>18</v>
      </c>
      <c r="D419" s="616" t="n">
        <v>3</v>
      </c>
      <c r="E419" s="127" t="inlineStr">
        <is>
          <t>28.73</t>
        </is>
      </c>
      <c r="F419" s="692" t="n"/>
      <c r="G419" s="692" t="n"/>
      <c r="H419" s="692" t="n"/>
      <c r="I419" s="692" t="n"/>
      <c r="J419" s="692" t="n"/>
      <c r="K419" s="692" t="n"/>
      <c r="L419" s="692" t="n"/>
      <c r="M419" s="692" t="n"/>
      <c r="N419" s="692" t="n"/>
      <c r="O419" s="692" t="n"/>
      <c r="P419" s="692" t="n"/>
      <c r="Q419" s="692" t="n"/>
      <c r="R419" s="692" t="n"/>
      <c r="S419" s="692" t="n"/>
      <c r="T419" s="692" t="n"/>
      <c r="U419" s="692" t="n"/>
      <c r="V419" s="692" t="n"/>
      <c r="W419" s="692" t="n"/>
      <c r="X419" s="692" t="n"/>
      <c r="Y419" s="692" t="n"/>
      <c r="Z419" s="692" t="n"/>
      <c r="AA419" s="692" t="n"/>
      <c r="AB419" s="692" t="n"/>
      <c r="AC419" s="692" t="n"/>
      <c r="AD419" s="692" t="n"/>
      <c r="AE419" s="692" t="n"/>
      <c r="AF419" s="692" t="n"/>
      <c r="AG419" s="692" t="n"/>
      <c r="AH419" s="692" t="n"/>
      <c r="AI419" s="692" t="n"/>
      <c r="AJ419" s="692" t="n"/>
      <c r="AK419" s="692" t="n"/>
      <c r="AL419" s="692" t="n"/>
      <c r="AM419" s="692" t="n"/>
      <c r="AN419" s="692" t="n"/>
      <c r="AO419" s="692" t="n"/>
      <c r="AP419" s="692" t="n"/>
      <c r="AQ419" s="692" t="n"/>
      <c r="AR419" s="692" t="n"/>
      <c r="AS419" s="692" t="n"/>
    </row>
    <row r="420">
      <c r="A420" s="420" t="inlineStr">
        <is>
          <t>F</t>
        </is>
      </c>
      <c r="B420" s="593" t="inlineStr">
        <is>
          <t>50 Back</t>
        </is>
      </c>
      <c r="C420" s="593" t="n">
        <v>19</v>
      </c>
      <c r="D420" s="593" t="n">
        <v>3</v>
      </c>
      <c r="E420" s="128" t="n">
        <v>28.59</v>
      </c>
      <c r="F420" s="692" t="n"/>
      <c r="G420" s="692" t="n"/>
      <c r="H420" s="692" t="n"/>
      <c r="I420" s="692" t="n"/>
      <c r="J420" s="692" t="n"/>
      <c r="K420" s="692" t="n"/>
      <c r="L420" s="692" t="n"/>
      <c r="M420" s="692" t="n"/>
      <c r="N420" s="692" t="n"/>
      <c r="O420" s="692" t="n"/>
      <c r="P420" s="692" t="n"/>
      <c r="Q420" s="692" t="n"/>
      <c r="R420" s="692" t="n"/>
      <c r="S420" s="692" t="n"/>
      <c r="T420" s="692" t="n"/>
      <c r="U420" s="692" t="n"/>
      <c r="V420" s="692" t="n"/>
      <c r="W420" s="692" t="n"/>
      <c r="X420" s="692" t="n"/>
      <c r="Y420" s="692" t="n"/>
      <c r="Z420" s="692" t="n"/>
      <c r="AA420" s="692" t="n"/>
      <c r="AB420" s="692" t="n"/>
      <c r="AC420" s="692" t="n"/>
      <c r="AD420" s="692" t="n"/>
      <c r="AE420" s="692" t="n"/>
      <c r="AF420" s="692" t="n"/>
      <c r="AG420" s="692" t="n"/>
      <c r="AH420" s="692" t="n"/>
      <c r="AI420" s="692" t="n"/>
      <c r="AJ420" s="692" t="n"/>
      <c r="AK420" s="692" t="n"/>
      <c r="AL420" s="692" t="n"/>
      <c r="AM420" s="692" t="n"/>
      <c r="AN420" s="692" t="n"/>
      <c r="AO420" s="692" t="n"/>
      <c r="AP420" s="692" t="n"/>
      <c r="AQ420" s="692" t="n"/>
      <c r="AR420" s="692" t="n"/>
      <c r="AS420" s="692" t="n"/>
    </row>
    <row r="421">
      <c r="A421" s="427" t="inlineStr">
        <is>
          <t>F</t>
        </is>
      </c>
      <c r="B421" s="616" t="inlineStr">
        <is>
          <t>50 Back</t>
        </is>
      </c>
      <c r="C421" s="616" t="n">
        <v>20</v>
      </c>
      <c r="D421" s="616" t="n">
        <v>3</v>
      </c>
      <c r="E421" s="127" t="inlineStr">
        <is>
          <t>28.46</t>
        </is>
      </c>
      <c r="F421" s="692" t="n"/>
      <c r="G421" s="692" t="n"/>
      <c r="H421" s="692" t="n"/>
      <c r="I421" s="692" t="n"/>
      <c r="J421" s="692" t="n"/>
      <c r="K421" s="692" t="n"/>
      <c r="L421" s="692" t="n"/>
      <c r="M421" s="692" t="n"/>
      <c r="N421" s="692" t="n"/>
      <c r="O421" s="692" t="n"/>
      <c r="P421" s="692" t="n"/>
      <c r="Q421" s="692" t="n"/>
      <c r="R421" s="692" t="n"/>
      <c r="S421" s="692" t="n"/>
      <c r="T421" s="692" t="n"/>
      <c r="U421" s="692" t="n"/>
      <c r="V421" s="692" t="n"/>
      <c r="W421" s="692" t="n"/>
      <c r="X421" s="692" t="n"/>
      <c r="Y421" s="692" t="n"/>
      <c r="Z421" s="692" t="n"/>
      <c r="AA421" s="692" t="n"/>
      <c r="AB421" s="692" t="n"/>
      <c r="AC421" s="692" t="n"/>
      <c r="AD421" s="692" t="n"/>
      <c r="AE421" s="692" t="n"/>
      <c r="AF421" s="692" t="n"/>
      <c r="AG421" s="692" t="n"/>
      <c r="AH421" s="692" t="n"/>
      <c r="AI421" s="692" t="n"/>
      <c r="AJ421" s="692" t="n"/>
      <c r="AK421" s="692" t="n"/>
      <c r="AL421" s="692" t="n"/>
      <c r="AM421" s="692" t="n"/>
      <c r="AN421" s="692" t="n"/>
      <c r="AO421" s="692" t="n"/>
      <c r="AP421" s="692" t="n"/>
      <c r="AQ421" s="692" t="n"/>
      <c r="AR421" s="692" t="n"/>
      <c r="AS421" s="692" t="n"/>
    </row>
    <row r="422">
      <c r="A422" s="420" t="inlineStr">
        <is>
          <t>F</t>
        </is>
      </c>
      <c r="B422" s="593" t="inlineStr">
        <is>
          <t>50 Back</t>
        </is>
      </c>
      <c r="C422" s="593" t="n">
        <v>21</v>
      </c>
      <c r="D422" s="593" t="n">
        <v>3</v>
      </c>
      <c r="E422" s="128" t="inlineStr">
        <is>
          <t>28.35</t>
        </is>
      </c>
      <c r="F422" s="692" t="n"/>
      <c r="G422" s="692" t="n"/>
      <c r="H422" s="692" t="n"/>
      <c r="I422" s="692" t="n"/>
      <c r="J422" s="692" t="n"/>
      <c r="K422" s="692" t="n"/>
      <c r="L422" s="692" t="n"/>
      <c r="M422" s="692" t="n"/>
      <c r="N422" s="692" t="n"/>
      <c r="O422" s="692" t="n"/>
      <c r="P422" s="692" t="n"/>
      <c r="Q422" s="692" t="n"/>
      <c r="R422" s="692" t="n"/>
      <c r="S422" s="692" t="n"/>
      <c r="T422" s="692" t="n"/>
      <c r="U422" s="692" t="n"/>
      <c r="V422" s="692" t="n"/>
      <c r="W422" s="692" t="n"/>
      <c r="X422" s="692" t="n"/>
      <c r="Y422" s="692" t="n"/>
      <c r="Z422" s="692" t="n"/>
      <c r="AA422" s="692" t="n"/>
      <c r="AB422" s="692" t="n"/>
      <c r="AC422" s="692" t="n"/>
      <c r="AD422" s="692" t="n"/>
      <c r="AE422" s="692" t="n"/>
      <c r="AF422" s="692" t="n"/>
      <c r="AG422" s="692" t="n"/>
      <c r="AH422" s="692" t="n"/>
      <c r="AI422" s="692" t="n"/>
      <c r="AJ422" s="692" t="n"/>
      <c r="AK422" s="692" t="n"/>
      <c r="AL422" s="692" t="n"/>
      <c r="AM422" s="692" t="n"/>
      <c r="AN422" s="692" t="n"/>
      <c r="AO422" s="692" t="n"/>
      <c r="AP422" s="692" t="n"/>
      <c r="AQ422" s="692" t="n"/>
      <c r="AR422" s="692" t="n"/>
      <c r="AS422" s="692" t="n"/>
    </row>
    <row r="423">
      <c r="A423" s="427" t="inlineStr">
        <is>
          <t>F</t>
        </is>
      </c>
      <c r="B423" s="616" t="inlineStr">
        <is>
          <t>50 Back</t>
        </is>
      </c>
      <c r="C423" s="616" t="n">
        <v>22</v>
      </c>
      <c r="D423" s="616" t="n">
        <v>3</v>
      </c>
      <c r="E423" s="127" t="inlineStr">
        <is>
          <t>28.28</t>
        </is>
      </c>
      <c r="F423" s="692" t="n"/>
      <c r="G423" s="692" t="n"/>
      <c r="H423" s="692" t="n"/>
      <c r="I423" s="692" t="n"/>
      <c r="J423" s="692" t="n"/>
      <c r="K423" s="692" t="n"/>
      <c r="L423" s="692" t="n"/>
      <c r="M423" s="692" t="n"/>
      <c r="N423" s="692" t="n"/>
      <c r="O423" s="692" t="n"/>
      <c r="P423" s="692" t="n"/>
      <c r="Q423" s="692" t="n"/>
      <c r="R423" s="692" t="n"/>
      <c r="S423" s="692" t="n"/>
      <c r="T423" s="692" t="n"/>
      <c r="U423" s="692" t="n"/>
      <c r="V423" s="692" t="n"/>
      <c r="W423" s="692" t="n"/>
      <c r="X423" s="692" t="n"/>
      <c r="Y423" s="692" t="n"/>
      <c r="Z423" s="692" t="n"/>
      <c r="AA423" s="692" t="n"/>
      <c r="AB423" s="692" t="n"/>
      <c r="AC423" s="692" t="n"/>
      <c r="AD423" s="692" t="n"/>
      <c r="AE423" s="692" t="n"/>
      <c r="AF423" s="692" t="n"/>
      <c r="AG423" s="692" t="n"/>
      <c r="AH423" s="692" t="n"/>
      <c r="AI423" s="692" t="n"/>
      <c r="AJ423" s="692" t="n"/>
      <c r="AK423" s="692" t="n"/>
      <c r="AL423" s="692" t="n"/>
      <c r="AM423" s="692" t="n"/>
      <c r="AN423" s="692" t="n"/>
      <c r="AO423" s="692" t="n"/>
      <c r="AP423" s="692" t="n"/>
      <c r="AQ423" s="692" t="n"/>
      <c r="AR423" s="692" t="n"/>
    </row>
    <row r="424">
      <c r="A424" s="420" t="inlineStr">
        <is>
          <t>F</t>
        </is>
      </c>
      <c r="B424" s="593" t="inlineStr">
        <is>
          <t>50 Back</t>
        </is>
      </c>
      <c r="C424" s="593" t="n">
        <v>23</v>
      </c>
      <c r="D424" s="593" t="n">
        <v>3</v>
      </c>
      <c r="E424" s="128" t="inlineStr">
        <is>
          <t>28.22</t>
        </is>
      </c>
      <c r="F424" s="692" t="n"/>
      <c r="G424" s="692" t="n"/>
      <c r="H424" s="692" t="n"/>
      <c r="I424" s="692" t="n"/>
      <c r="J424" s="692" t="n"/>
      <c r="K424" s="692" t="n"/>
      <c r="L424" s="692" t="n"/>
      <c r="M424" s="692" t="n"/>
      <c r="N424" s="692" t="n"/>
      <c r="O424" s="692" t="n"/>
      <c r="P424" s="692" t="n"/>
      <c r="Q424" s="692" t="n"/>
      <c r="R424" s="692" t="n"/>
      <c r="S424" s="692" t="n"/>
      <c r="T424" s="692" t="n"/>
      <c r="U424" s="692" t="n"/>
      <c r="V424" s="692" t="n"/>
      <c r="W424" s="692" t="n"/>
      <c r="X424" s="692" t="n"/>
      <c r="Y424" s="692" t="n"/>
      <c r="Z424" s="692" t="n"/>
      <c r="AA424" s="692" t="n"/>
      <c r="AB424" s="692" t="n"/>
      <c r="AC424" s="692" t="n"/>
      <c r="AD424" s="692" t="n"/>
      <c r="AE424" s="692" t="n"/>
      <c r="AF424" s="692" t="n"/>
      <c r="AG424" s="692" t="n"/>
      <c r="AH424" s="692" t="n"/>
      <c r="AI424" s="692" t="n"/>
      <c r="AJ424" s="692" t="n"/>
    </row>
    <row r="425">
      <c r="A425" s="427" t="inlineStr">
        <is>
          <t>F</t>
        </is>
      </c>
      <c r="B425" s="616" t="inlineStr">
        <is>
          <t>100 Back</t>
        </is>
      </c>
      <c r="C425" s="616" t="n">
        <v>15</v>
      </c>
      <c r="D425" s="616" t="n">
        <v>3</v>
      </c>
      <c r="E425" s="127" t="inlineStr">
        <is>
          <t>1:03.66</t>
        </is>
      </c>
      <c r="F425" s="692" t="n"/>
      <c r="G425" s="692" t="n"/>
      <c r="H425" s="692" t="n"/>
      <c r="I425" s="692" t="n"/>
      <c r="J425" s="692" t="n"/>
      <c r="K425" s="692" t="n"/>
      <c r="L425" s="692" t="n"/>
      <c r="M425" s="692" t="n"/>
      <c r="N425" s="692" t="n"/>
      <c r="O425" s="692" t="n"/>
      <c r="P425" s="692" t="n"/>
      <c r="Q425" s="692" t="n"/>
      <c r="R425" s="692" t="n"/>
      <c r="S425" s="692" t="n"/>
      <c r="T425" s="692" t="n"/>
      <c r="U425" s="692" t="n"/>
      <c r="V425" s="692" t="n"/>
      <c r="W425" s="692" t="n"/>
      <c r="X425" s="692" t="n"/>
      <c r="Y425" s="692" t="n"/>
      <c r="Z425" s="692" t="n"/>
      <c r="AA425" s="692" t="n"/>
      <c r="AB425" s="692" t="n"/>
      <c r="AC425" s="692" t="n"/>
    </row>
    <row r="426">
      <c r="A426" s="420" t="inlineStr">
        <is>
          <t>F</t>
        </is>
      </c>
      <c r="B426" s="593" t="inlineStr">
        <is>
          <t>100 Back</t>
        </is>
      </c>
      <c r="C426" s="593" t="n">
        <v>16</v>
      </c>
      <c r="D426" s="593" t="n">
        <v>3</v>
      </c>
      <c r="E426" s="128" t="inlineStr">
        <is>
          <t>1:02.52</t>
        </is>
      </c>
      <c r="F426" s="692" t="n"/>
      <c r="G426" s="692" t="n"/>
      <c r="H426" s="692" t="n"/>
      <c r="I426" s="692" t="n"/>
      <c r="J426" s="692" t="n"/>
      <c r="K426" s="692" t="n"/>
      <c r="L426" s="692" t="n"/>
      <c r="M426" s="692" t="n"/>
      <c r="N426" s="692" t="n"/>
      <c r="O426" s="692" t="n"/>
      <c r="P426" s="692" t="n"/>
      <c r="Q426" s="692" t="n"/>
      <c r="R426" s="692" t="n"/>
      <c r="S426" s="692" t="n"/>
      <c r="T426" s="692" t="n"/>
      <c r="U426" s="692" t="n"/>
      <c r="V426" s="692" t="n"/>
      <c r="W426" s="692" t="n"/>
      <c r="X426" s="692" t="n"/>
      <c r="Y426" s="692" t="n"/>
      <c r="Z426" s="692" t="n"/>
      <c r="AA426" s="692" t="n"/>
      <c r="AB426" s="692" t="n"/>
      <c r="AC426" s="692" t="n"/>
    </row>
    <row r="427">
      <c r="A427" s="427" t="inlineStr">
        <is>
          <t>F</t>
        </is>
      </c>
      <c r="B427" s="616" t="inlineStr">
        <is>
          <t>100 Back</t>
        </is>
      </c>
      <c r="C427" s="616" t="n">
        <v>17</v>
      </c>
      <c r="D427" s="616" t="n">
        <v>3</v>
      </c>
      <c r="E427" s="127" t="inlineStr">
        <is>
          <t>1:01.74</t>
        </is>
      </c>
      <c r="F427" s="692" t="n"/>
      <c r="G427" s="692" t="n"/>
      <c r="H427" s="692" t="n"/>
      <c r="I427" s="692" t="n"/>
      <c r="J427" s="692" t="n"/>
      <c r="K427" s="692" t="n"/>
      <c r="L427" s="692" t="n"/>
      <c r="M427" s="692" t="n"/>
      <c r="N427" s="692" t="n"/>
      <c r="O427" s="692" t="n"/>
      <c r="P427" s="692" t="n"/>
      <c r="Q427" s="692" t="n"/>
      <c r="R427" s="692" t="n"/>
      <c r="S427" s="692" t="n"/>
      <c r="T427" s="692" t="n"/>
      <c r="U427" s="692" t="n"/>
      <c r="V427" s="692" t="n"/>
      <c r="W427" s="692" t="n"/>
      <c r="X427" s="692" t="n"/>
      <c r="Y427" s="692" t="n"/>
      <c r="Z427" s="692" t="n"/>
      <c r="AA427" s="692" t="n"/>
      <c r="AB427" s="692" t="n"/>
      <c r="AC427" s="692" t="n"/>
    </row>
    <row r="428">
      <c r="A428" s="420" t="inlineStr">
        <is>
          <t>F</t>
        </is>
      </c>
      <c r="B428" s="593" t="inlineStr">
        <is>
          <t>100 Back</t>
        </is>
      </c>
      <c r="C428" s="593" t="n">
        <v>18</v>
      </c>
      <c r="D428" s="593" t="n">
        <v>3</v>
      </c>
      <c r="E428" s="128" t="inlineStr">
        <is>
          <t>1:01.23</t>
        </is>
      </c>
      <c r="F428" s="692" t="n"/>
      <c r="G428" s="692" t="n"/>
      <c r="H428" s="692" t="n"/>
      <c r="I428" s="692" t="n"/>
      <c r="J428" s="692" t="n"/>
      <c r="K428" s="692" t="n"/>
      <c r="L428" s="692" t="n"/>
      <c r="M428" s="692" t="n"/>
      <c r="N428" s="692" t="n"/>
      <c r="O428" s="692" t="n"/>
      <c r="P428" s="692" t="n"/>
      <c r="Q428" s="692" t="n"/>
      <c r="R428" s="692" t="n"/>
      <c r="S428" s="692" t="n"/>
      <c r="T428" s="692" t="n"/>
      <c r="U428" s="692" t="n"/>
      <c r="V428" s="692" t="n"/>
      <c r="W428" s="692" t="n"/>
      <c r="X428" s="692" t="n"/>
      <c r="Y428" s="692" t="n"/>
      <c r="Z428" s="692" t="n"/>
      <c r="AA428" s="692" t="n"/>
      <c r="AB428" s="692" t="n"/>
      <c r="AC428" s="692" t="n"/>
    </row>
    <row r="429">
      <c r="A429" s="427" t="inlineStr">
        <is>
          <t>F</t>
        </is>
      </c>
      <c r="B429" s="616" t="inlineStr">
        <is>
          <t>100 Back</t>
        </is>
      </c>
      <c r="C429" s="616" t="n">
        <v>19</v>
      </c>
      <c r="D429" s="616" t="n">
        <v>3</v>
      </c>
      <c r="E429" s="127" t="inlineStr">
        <is>
          <t>1:00.90</t>
        </is>
      </c>
      <c r="F429" s="692" t="n"/>
      <c r="G429" s="692" t="n"/>
      <c r="H429" s="692" t="n"/>
      <c r="I429" s="692" t="n"/>
      <c r="J429" s="692" t="n"/>
      <c r="K429" s="692" t="n"/>
      <c r="L429" s="692" t="n"/>
      <c r="M429" s="692" t="n"/>
      <c r="N429" s="692" t="n"/>
      <c r="O429" s="692" t="n"/>
      <c r="P429" s="692" t="n"/>
      <c r="Q429" s="692" t="n"/>
      <c r="R429" s="692" t="n"/>
      <c r="S429" s="692" t="n"/>
      <c r="T429" s="692" t="n"/>
      <c r="U429" s="692" t="n"/>
      <c r="V429" s="692" t="n"/>
      <c r="W429" s="692" t="n"/>
      <c r="X429" s="692" t="n"/>
      <c r="Y429" s="692" t="n"/>
      <c r="Z429" s="692" t="n"/>
      <c r="AA429" s="692" t="n"/>
      <c r="AB429" s="692" t="n"/>
      <c r="AC429" s="692" t="n"/>
    </row>
    <row r="430">
      <c r="A430" s="420" t="inlineStr">
        <is>
          <t>F</t>
        </is>
      </c>
      <c r="B430" s="593" t="inlineStr">
        <is>
          <t>100 Back</t>
        </is>
      </c>
      <c r="C430" s="593" t="n">
        <v>20</v>
      </c>
      <c r="D430" s="593" t="n">
        <v>3</v>
      </c>
      <c r="E430" s="128" t="inlineStr">
        <is>
          <t>1:00.66</t>
        </is>
      </c>
      <c r="F430" s="692" t="n"/>
      <c r="G430" s="692" t="n"/>
      <c r="H430" s="692" t="n"/>
      <c r="I430" s="692" t="n"/>
      <c r="J430" s="158" t="n"/>
      <c r="K430" s="692" t="n"/>
      <c r="L430" s="692" t="n"/>
      <c r="M430" s="692" t="n"/>
      <c r="N430" s="692" t="n"/>
      <c r="O430" s="692" t="n"/>
      <c r="P430" s="692" t="n"/>
      <c r="Q430" s="692" t="n"/>
      <c r="R430" s="692" t="n"/>
      <c r="S430" s="692" t="n"/>
      <c r="T430" s="692" t="n"/>
      <c r="U430" s="692" t="n"/>
      <c r="V430" s="692" t="n"/>
      <c r="W430" s="692" t="n"/>
      <c r="X430" s="692" t="n"/>
      <c r="Y430" s="692" t="n"/>
      <c r="Z430" s="692" t="n"/>
      <c r="AA430" s="692" t="n"/>
      <c r="AB430" s="692" t="n"/>
      <c r="AC430" s="692" t="n"/>
    </row>
    <row r="431">
      <c r="A431" s="427" t="inlineStr">
        <is>
          <t>F</t>
        </is>
      </c>
      <c r="B431" s="616" t="inlineStr">
        <is>
          <t>100 Back</t>
        </is>
      </c>
      <c r="C431" s="616" t="n">
        <v>21</v>
      </c>
      <c r="D431" s="616" t="n">
        <v>3</v>
      </c>
      <c r="E431" s="127" t="inlineStr">
        <is>
          <t>1:00.46</t>
        </is>
      </c>
      <c r="F431" s="692" t="n"/>
      <c r="G431" s="692" t="n"/>
      <c r="H431" s="692" t="n"/>
      <c r="I431" s="692" t="n"/>
      <c r="J431" s="692" t="n"/>
      <c r="K431" s="692" t="n"/>
      <c r="L431" s="692" t="n"/>
      <c r="M431" s="692" t="n"/>
      <c r="N431" s="692" t="n"/>
      <c r="O431" s="692" t="n"/>
      <c r="P431" s="692" t="n"/>
      <c r="Q431" s="692" t="n"/>
      <c r="R431" s="692" t="n"/>
      <c r="S431" s="692" t="n"/>
      <c r="T431" s="692" t="n"/>
      <c r="U431" s="692" t="n"/>
      <c r="V431" s="692" t="n"/>
      <c r="W431" s="692" t="n"/>
      <c r="X431" s="692" t="n"/>
      <c r="Y431" s="692" t="n"/>
      <c r="Z431" s="692" t="n"/>
      <c r="AA431" s="692" t="n"/>
      <c r="AB431" s="692" t="n"/>
      <c r="AC431" s="692" t="n"/>
    </row>
    <row r="432">
      <c r="A432" s="420" t="inlineStr">
        <is>
          <t>F</t>
        </is>
      </c>
      <c r="B432" s="593" t="inlineStr">
        <is>
          <t>200 Back</t>
        </is>
      </c>
      <c r="C432" s="593" t="n">
        <v>15</v>
      </c>
      <c r="D432" s="593" t="n">
        <v>3</v>
      </c>
      <c r="E432" s="128" t="inlineStr">
        <is>
          <t>2:17.67</t>
        </is>
      </c>
      <c r="F432" s="692" t="n"/>
      <c r="G432" s="692" t="n"/>
      <c r="H432" s="692" t="n"/>
      <c r="I432" s="692" t="n"/>
      <c r="J432" s="692" t="n"/>
      <c r="K432" s="692" t="n"/>
      <c r="L432" s="692" t="n"/>
      <c r="M432" s="692" t="n"/>
      <c r="N432" s="692" t="n"/>
      <c r="O432" s="692" t="n"/>
      <c r="P432" s="692" t="n"/>
      <c r="Q432" s="692" t="n"/>
      <c r="R432" s="692" t="n"/>
      <c r="S432" s="692" t="n"/>
      <c r="T432" s="692" t="n"/>
      <c r="U432" s="692" t="n"/>
      <c r="V432" s="692" t="n"/>
      <c r="W432" s="692" t="n"/>
      <c r="X432" s="692" t="n"/>
      <c r="Y432" s="692" t="n"/>
      <c r="Z432" s="692" t="n"/>
      <c r="AA432" s="692" t="n"/>
      <c r="AB432" s="692" t="n"/>
      <c r="AC432" s="692" t="n"/>
    </row>
    <row r="433">
      <c r="A433" s="427" t="inlineStr">
        <is>
          <t>F</t>
        </is>
      </c>
      <c r="B433" s="616" t="inlineStr">
        <is>
          <t>200 Back</t>
        </is>
      </c>
      <c r="C433" s="616" t="n">
        <v>16</v>
      </c>
      <c r="D433" s="616" t="n">
        <v>3</v>
      </c>
      <c r="E433" s="127" t="inlineStr">
        <is>
          <t>2:15.28</t>
        </is>
      </c>
      <c r="F433" s="692" t="n"/>
      <c r="G433" s="692" t="n"/>
      <c r="H433" s="692" t="n"/>
      <c r="I433" s="692" t="n"/>
      <c r="J433" s="692" t="n"/>
      <c r="K433" s="692" t="n"/>
      <c r="L433" s="692" t="n"/>
      <c r="M433" s="692" t="n"/>
      <c r="N433" s="692" t="n"/>
      <c r="O433" s="692" t="n"/>
      <c r="P433" s="692" t="n"/>
      <c r="Q433" s="692" t="n"/>
      <c r="R433" s="692" t="n"/>
      <c r="S433" s="692" t="n"/>
      <c r="T433" s="692" t="n"/>
      <c r="U433" s="692" t="n"/>
      <c r="V433" s="692" t="n"/>
      <c r="W433" s="692" t="n"/>
      <c r="X433" s="692" t="n"/>
      <c r="Y433" s="692" t="n"/>
      <c r="Z433" s="692" t="n"/>
      <c r="AA433" s="692" t="n"/>
      <c r="AB433" s="692" t="n"/>
      <c r="AC433" s="692" t="n"/>
    </row>
    <row r="434">
      <c r="A434" s="420" t="inlineStr">
        <is>
          <t>F</t>
        </is>
      </c>
      <c r="B434" s="593" t="inlineStr">
        <is>
          <t>200 Back</t>
        </is>
      </c>
      <c r="C434" s="593" t="n">
        <v>17</v>
      </c>
      <c r="D434" s="593" t="n">
        <v>3</v>
      </c>
      <c r="E434" s="128" t="inlineStr">
        <is>
          <t>2:13.70</t>
        </is>
      </c>
      <c r="F434" s="692" t="n"/>
      <c r="G434" s="692" t="n"/>
      <c r="H434" s="692" t="n"/>
      <c r="I434" s="692" t="n"/>
      <c r="J434" s="158" t="n"/>
      <c r="K434" s="692" t="n"/>
      <c r="L434" s="692" t="n"/>
      <c r="M434" s="692" t="n"/>
      <c r="N434" s="692" t="n"/>
      <c r="O434" s="692" t="n"/>
      <c r="P434" s="692" t="n"/>
      <c r="Q434" s="692" t="n"/>
      <c r="R434" s="692" t="n"/>
      <c r="S434" s="692" t="n"/>
      <c r="T434" s="692" t="n"/>
      <c r="U434" s="692" t="n"/>
      <c r="V434" s="692" t="n"/>
      <c r="W434" s="692" t="n"/>
      <c r="X434" s="692" t="n"/>
      <c r="Y434" s="692" t="n"/>
      <c r="Z434" s="692" t="n"/>
      <c r="AA434" s="692" t="n"/>
      <c r="AB434" s="692" t="n"/>
      <c r="AC434" s="692" t="n"/>
    </row>
    <row r="435">
      <c r="A435" s="427" t="inlineStr">
        <is>
          <t>F</t>
        </is>
      </c>
      <c r="B435" s="616" t="inlineStr">
        <is>
          <t>200 Back</t>
        </is>
      </c>
      <c r="C435" s="616" t="n">
        <v>18</v>
      </c>
      <c r="D435" s="616" t="n">
        <v>3</v>
      </c>
      <c r="E435" s="127" t="inlineStr">
        <is>
          <t>2:12.63</t>
        </is>
      </c>
      <c r="F435" s="692" t="n"/>
      <c r="G435" s="692" t="n"/>
      <c r="H435" s="692" t="n"/>
      <c r="I435" s="692" t="n"/>
      <c r="J435" s="692" t="n"/>
      <c r="K435" s="692" t="n"/>
      <c r="L435" s="692" t="n"/>
      <c r="M435" s="692" t="n"/>
      <c r="N435" s="692" t="n"/>
      <c r="O435" s="692" t="n"/>
      <c r="P435" s="692" t="n"/>
      <c r="Q435" s="692" t="n"/>
      <c r="R435" s="692" t="n"/>
      <c r="S435" s="692" t="n"/>
      <c r="T435" s="692" t="n"/>
      <c r="U435" s="692" t="n"/>
      <c r="V435" s="692" t="n"/>
      <c r="W435" s="692" t="n"/>
      <c r="X435" s="692" t="n"/>
      <c r="Y435" s="692" t="n"/>
      <c r="Z435" s="692" t="n"/>
      <c r="AA435" s="692" t="n"/>
      <c r="AB435" s="692" t="n"/>
      <c r="AC435" s="692" t="n"/>
    </row>
    <row r="436">
      <c r="A436" s="420" t="inlineStr">
        <is>
          <t>F</t>
        </is>
      </c>
      <c r="B436" s="593" t="inlineStr">
        <is>
          <t>200 Back</t>
        </is>
      </c>
      <c r="C436" s="593" t="n">
        <v>19</v>
      </c>
      <c r="D436" s="593" t="n">
        <v>3</v>
      </c>
      <c r="E436" s="128" t="inlineStr">
        <is>
          <t>2:11.91</t>
        </is>
      </c>
      <c r="F436" s="692" t="n"/>
      <c r="G436" s="692" t="n"/>
      <c r="H436" s="692" t="n"/>
      <c r="I436" s="692" t="n"/>
      <c r="J436" s="692" t="n"/>
      <c r="K436" s="692" t="n"/>
      <c r="L436" s="692" t="n"/>
      <c r="M436" s="692" t="n"/>
      <c r="N436" s="692" t="n"/>
      <c r="O436" s="692" t="n"/>
      <c r="P436" s="692" t="n"/>
      <c r="Q436" s="692" t="n"/>
      <c r="R436" s="692" t="n"/>
      <c r="S436" s="692" t="n"/>
      <c r="T436" s="692" t="n"/>
      <c r="U436" s="692" t="n"/>
      <c r="V436" s="692" t="n"/>
      <c r="W436" s="692" t="n"/>
      <c r="X436" s="692" t="n"/>
      <c r="Y436" s="692" t="n"/>
      <c r="Z436" s="692" t="n"/>
      <c r="AA436" s="692" t="n"/>
      <c r="AB436" s="692" t="n"/>
      <c r="AC436" s="692" t="n"/>
    </row>
    <row r="437">
      <c r="A437" s="427" t="inlineStr">
        <is>
          <t>F</t>
        </is>
      </c>
      <c r="B437" s="616" t="inlineStr">
        <is>
          <t>200 Back</t>
        </is>
      </c>
      <c r="C437" s="616" t="n">
        <v>20</v>
      </c>
      <c r="D437" s="616" t="n">
        <v>3</v>
      </c>
      <c r="E437" s="127" t="inlineStr">
        <is>
          <t>2:11.40</t>
        </is>
      </c>
      <c r="F437" s="692" t="n"/>
      <c r="G437" s="692" t="n"/>
      <c r="H437" s="692" t="n"/>
      <c r="I437" s="692" t="n"/>
      <c r="J437" s="692" t="n"/>
      <c r="K437" s="692" t="n"/>
      <c r="L437" s="692" t="n"/>
      <c r="M437" s="692" t="n"/>
      <c r="N437" s="692" t="n"/>
      <c r="O437" s="692" t="n"/>
      <c r="P437" s="692" t="n"/>
      <c r="Q437" s="692" t="n"/>
      <c r="R437" s="692" t="n"/>
      <c r="S437" s="692" t="n"/>
      <c r="T437" s="692" t="n"/>
      <c r="U437" s="692" t="n"/>
      <c r="V437" s="692" t="n"/>
      <c r="W437" s="692" t="n"/>
      <c r="X437" s="692" t="n"/>
      <c r="Y437" s="692" t="n"/>
      <c r="Z437" s="692" t="n"/>
      <c r="AA437" s="692" t="n"/>
      <c r="AB437" s="692" t="n"/>
      <c r="AC437" s="692" t="n"/>
    </row>
    <row r="438">
      <c r="A438" s="420" t="inlineStr">
        <is>
          <t>F</t>
        </is>
      </c>
      <c r="B438" s="593" t="inlineStr">
        <is>
          <t>200 Back</t>
        </is>
      </c>
      <c r="C438" s="593" t="n">
        <v>21</v>
      </c>
      <c r="D438" s="593" t="n">
        <v>3</v>
      </c>
      <c r="E438" s="128" t="inlineStr">
        <is>
          <t>2:11.08</t>
        </is>
      </c>
      <c r="F438" s="692" t="n"/>
      <c r="G438" s="692" t="n"/>
      <c r="H438" s="692" t="n"/>
      <c r="I438" s="692" t="n"/>
      <c r="J438" s="692" t="n"/>
      <c r="K438" s="692" t="n"/>
      <c r="L438" s="692" t="n"/>
      <c r="M438" s="692" t="n"/>
      <c r="N438" s="692" t="n"/>
      <c r="O438" s="692" t="n"/>
      <c r="P438" s="692" t="n"/>
      <c r="Q438" s="692" t="n"/>
      <c r="R438" s="692" t="n"/>
      <c r="S438" s="692" t="n"/>
      <c r="T438" s="692" t="n"/>
      <c r="U438" s="692" t="n"/>
      <c r="V438" s="692" t="n"/>
      <c r="W438" s="692" t="n"/>
      <c r="X438" s="692" t="n"/>
      <c r="Y438" s="692" t="n"/>
      <c r="Z438" s="692" t="n"/>
      <c r="AA438" s="692" t="n"/>
      <c r="AB438" s="692" t="n"/>
      <c r="AC438" s="692" t="n"/>
    </row>
    <row r="439">
      <c r="A439" s="427" t="inlineStr">
        <is>
          <t>F</t>
        </is>
      </c>
      <c r="B439" s="616" t="inlineStr">
        <is>
          <t>50 Breast</t>
        </is>
      </c>
      <c r="C439" s="616" t="n">
        <v>18</v>
      </c>
      <c r="D439" s="616" t="n">
        <v>3</v>
      </c>
      <c r="E439" s="127" t="inlineStr">
        <is>
          <t>31.19</t>
        </is>
      </c>
      <c r="F439" s="692" t="n"/>
      <c r="G439" s="692" t="n"/>
      <c r="H439" s="692" t="n"/>
      <c r="I439" s="692" t="n"/>
      <c r="J439" s="692" t="n"/>
      <c r="K439" s="692" t="n"/>
      <c r="L439" s="692" t="n"/>
      <c r="M439" s="692" t="n"/>
      <c r="N439" s="692" t="n"/>
      <c r="O439" s="692" t="n"/>
      <c r="P439" s="692" t="n"/>
      <c r="Q439" s="692" t="n"/>
      <c r="R439" s="692" t="n"/>
      <c r="S439" s="692" t="n"/>
      <c r="T439" s="692" t="n"/>
      <c r="U439" s="692" t="n"/>
      <c r="V439" s="129" t="n"/>
      <c r="W439" s="129" t="n"/>
      <c r="X439" s="129" t="n"/>
      <c r="Y439" s="692" t="n"/>
      <c r="Z439" s="692" t="n"/>
      <c r="AA439" s="692" t="n"/>
      <c r="AB439" s="692" t="n"/>
      <c r="AC439" s="692" t="n"/>
    </row>
    <row r="440">
      <c r="A440" s="420" t="inlineStr">
        <is>
          <t>F</t>
        </is>
      </c>
      <c r="B440" s="593" t="inlineStr">
        <is>
          <t>50 Breast</t>
        </is>
      </c>
      <c r="C440" s="593" t="n">
        <v>19</v>
      </c>
      <c r="D440" s="593" t="n">
        <v>3</v>
      </c>
      <c r="E440" s="128" t="n">
        <v>31.05</v>
      </c>
      <c r="F440" s="692" t="n"/>
      <c r="G440" s="692" t="n"/>
      <c r="H440" s="692" t="n"/>
      <c r="I440" s="692" t="n"/>
      <c r="J440" s="692" t="n"/>
      <c r="K440" s="692" t="n"/>
      <c r="L440" s="692" t="n"/>
      <c r="M440" s="692" t="n"/>
      <c r="N440" s="692" t="n"/>
      <c r="O440" s="692" t="n"/>
      <c r="P440" s="692" t="n"/>
      <c r="Q440" s="692" t="n"/>
      <c r="R440" s="129" t="n"/>
      <c r="S440" s="129" t="n"/>
      <c r="T440" s="129" t="n"/>
      <c r="U440" s="692" t="n"/>
      <c r="Y440" s="692" t="n"/>
      <c r="Z440" s="692" t="n"/>
      <c r="AA440" s="692" t="n"/>
      <c r="AB440" s="692" t="n"/>
      <c r="AC440" s="692" t="n"/>
      <c r="AD440" s="692" t="n"/>
      <c r="AE440" s="692" t="n"/>
      <c r="AF440" s="692" t="n"/>
      <c r="AG440" s="692" t="n"/>
      <c r="AH440" s="692" t="n"/>
      <c r="AI440" s="692" t="n"/>
      <c r="AJ440" s="692" t="n"/>
      <c r="AK440" s="692" t="n"/>
      <c r="AL440" s="692" t="n"/>
      <c r="AM440" s="692" t="n"/>
      <c r="AN440" s="692" t="n"/>
      <c r="AO440" s="692" t="n"/>
      <c r="AP440" s="692" t="n"/>
      <c r="AQ440" s="692" t="n"/>
      <c r="AR440" s="692" t="n"/>
    </row>
    <row r="441">
      <c r="A441" s="427" t="inlineStr">
        <is>
          <t>F</t>
        </is>
      </c>
      <c r="B441" s="616" t="inlineStr">
        <is>
          <t>50 Breast</t>
        </is>
      </c>
      <c r="C441" s="616" t="n">
        <v>20</v>
      </c>
      <c r="D441" s="616" t="n">
        <v>3</v>
      </c>
      <c r="E441" s="127" t="inlineStr">
        <is>
          <t>30.94</t>
        </is>
      </c>
      <c r="F441" s="692" t="n"/>
      <c r="G441" s="129" t="n"/>
      <c r="H441" s="159" t="n"/>
      <c r="I441" s="129" t="n"/>
      <c r="J441" s="129" t="n"/>
      <c r="K441" s="129" t="n"/>
      <c r="L441" s="692" t="n"/>
      <c r="M441" s="129" t="n"/>
      <c r="N441" s="129" t="n"/>
      <c r="O441" s="129" t="n"/>
      <c r="P441" s="129" t="n"/>
      <c r="Q441" s="129" t="n"/>
      <c r="U441" s="129" t="n"/>
      <c r="Y441" s="692" t="n"/>
      <c r="Z441" s="692" t="n"/>
      <c r="AA441" s="692" t="n"/>
      <c r="AB441" s="692" t="n"/>
      <c r="AC441" s="692" t="n"/>
      <c r="AD441" s="692" t="n"/>
      <c r="AE441" s="692" t="n"/>
      <c r="AF441" s="692" t="n"/>
      <c r="AG441" s="692" t="n"/>
      <c r="AH441" s="692" t="n"/>
      <c r="AI441" s="692" t="n"/>
      <c r="AJ441" s="692" t="n"/>
      <c r="AK441" s="692" t="n"/>
      <c r="AL441" s="692" t="n"/>
      <c r="AM441" s="692" t="n"/>
      <c r="AN441" s="692" t="n"/>
      <c r="AO441" s="692" t="n"/>
      <c r="AP441" s="692" t="n"/>
      <c r="AQ441" s="692" t="n"/>
      <c r="AR441" s="692" t="n"/>
      <c r="AS441" s="692" t="n"/>
    </row>
    <row r="442">
      <c r="A442" s="420" t="inlineStr">
        <is>
          <t>F</t>
        </is>
      </c>
      <c r="B442" s="593" t="inlineStr">
        <is>
          <t>50 Breast</t>
        </is>
      </c>
      <c r="C442" s="593" t="n">
        <v>21</v>
      </c>
      <c r="D442" s="593" t="n">
        <v>3</v>
      </c>
      <c r="E442" s="128" t="inlineStr">
        <is>
          <t>30.85</t>
        </is>
      </c>
      <c r="F442" s="692" t="n"/>
      <c r="H442" s="692" t="n"/>
      <c r="L442" s="129" t="n"/>
      <c r="Y442" s="692" t="n"/>
      <c r="Z442" s="692" t="n"/>
      <c r="AA442" s="692" t="n"/>
      <c r="AB442" s="692" t="n"/>
      <c r="AC442" s="692" t="n"/>
      <c r="AD442" s="692" t="n"/>
      <c r="AE442" s="692" t="n"/>
      <c r="AF442" s="692" t="n"/>
      <c r="AG442" s="692" t="n"/>
      <c r="AH442" s="692" t="n"/>
      <c r="AI442" s="692" t="n"/>
      <c r="AJ442" s="692" t="n"/>
      <c r="AK442" s="692" t="n"/>
      <c r="AL442" s="692" t="n"/>
      <c r="AM442" s="692" t="n"/>
      <c r="AN442" s="692" t="n"/>
      <c r="AO442" s="692" t="n"/>
      <c r="AP442" s="692" t="n"/>
      <c r="AQ442" s="692" t="n"/>
      <c r="AR442" s="692" t="n"/>
      <c r="AS442" s="692" t="n"/>
    </row>
    <row r="443">
      <c r="A443" s="427" t="inlineStr">
        <is>
          <t>F</t>
        </is>
      </c>
      <c r="B443" s="616" t="inlineStr">
        <is>
          <t>50 Breast</t>
        </is>
      </c>
      <c r="C443" s="616" t="n">
        <v>22</v>
      </c>
      <c r="D443" s="616" t="n">
        <v>3</v>
      </c>
      <c r="E443" s="127" t="inlineStr">
        <is>
          <t>30.79</t>
        </is>
      </c>
      <c r="F443" s="692" t="n"/>
      <c r="H443" s="692" t="n"/>
      <c r="Y443" s="692" t="n"/>
      <c r="Z443" s="692" t="n"/>
      <c r="AA443" s="692" t="n"/>
      <c r="AB443" s="692" t="n"/>
      <c r="AC443" s="692" t="n"/>
      <c r="AD443" s="692" t="n"/>
      <c r="AE443" s="692" t="n"/>
      <c r="AF443" s="692" t="n"/>
      <c r="AG443" s="692" t="n"/>
      <c r="AH443" s="692" t="n"/>
      <c r="AI443" s="692" t="n"/>
      <c r="AJ443" s="692" t="n"/>
      <c r="AK443" s="692" t="n"/>
      <c r="AL443" s="692" t="n"/>
      <c r="AM443" s="692" t="n"/>
      <c r="AN443" s="692" t="n"/>
      <c r="AO443" s="692" t="n"/>
      <c r="AP443" s="692" t="n"/>
      <c r="AQ443" s="692" t="n"/>
      <c r="AR443" s="692" t="n"/>
      <c r="AS443" s="692" t="n"/>
    </row>
    <row r="444">
      <c r="A444" s="420" t="inlineStr">
        <is>
          <t>F</t>
        </is>
      </c>
      <c r="B444" s="593" t="inlineStr">
        <is>
          <t>50 Breast</t>
        </is>
      </c>
      <c r="C444" s="593" t="n">
        <v>23</v>
      </c>
      <c r="D444" s="593" t="n">
        <v>3</v>
      </c>
      <c r="E444" s="128" t="inlineStr">
        <is>
          <t>30.75</t>
        </is>
      </c>
      <c r="F444" s="692" t="n"/>
      <c r="H444" s="692" t="n"/>
      <c r="Y444" s="692" t="n"/>
      <c r="Z444" s="692" t="n"/>
      <c r="AA444" s="692" t="n"/>
      <c r="AB444" s="692" t="n"/>
      <c r="AC444" s="692" t="n"/>
      <c r="AD444" s="692" t="n"/>
      <c r="AE444" s="692" t="n"/>
      <c r="AF444" s="692" t="n"/>
      <c r="AG444" s="692" t="n"/>
      <c r="AH444" s="692" t="n"/>
      <c r="AI444" s="692" t="n"/>
      <c r="AJ444" s="692" t="n"/>
      <c r="AK444" s="692" t="n"/>
      <c r="AL444" s="692" t="n"/>
      <c r="AM444" s="692" t="n"/>
      <c r="AN444" s="692" t="n"/>
      <c r="AO444" s="692" t="n"/>
      <c r="AP444" s="692" t="n"/>
      <c r="AQ444" s="692" t="n"/>
      <c r="AR444" s="692" t="n"/>
      <c r="AS444" s="692" t="n"/>
    </row>
    <row r="445">
      <c r="A445" s="427" t="inlineStr">
        <is>
          <t>F</t>
        </is>
      </c>
      <c r="B445" s="616" t="inlineStr">
        <is>
          <t>50 Breast</t>
        </is>
      </c>
      <c r="C445" s="616" t="n">
        <v>24</v>
      </c>
      <c r="D445" s="616" t="n">
        <v>3</v>
      </c>
      <c r="E445" s="127" t="inlineStr">
        <is>
          <t>30.75</t>
        </is>
      </c>
      <c r="F445" s="692" t="n"/>
      <c r="H445" s="692" t="n"/>
      <c r="Y445" s="692" t="n"/>
      <c r="Z445" s="692" t="n"/>
      <c r="AA445" s="692" t="n"/>
      <c r="AB445" s="692" t="n"/>
      <c r="AC445" s="692" t="n"/>
      <c r="AD445" s="692" t="n"/>
      <c r="AE445" s="692" t="n"/>
      <c r="AF445" s="692" t="n"/>
      <c r="AG445" s="692" t="n"/>
      <c r="AH445" s="692" t="n"/>
      <c r="AI445" s="692" t="n"/>
      <c r="AJ445" s="692" t="n"/>
      <c r="AK445" s="692" t="n"/>
      <c r="AL445" s="692" t="n"/>
      <c r="AM445" s="692" t="n"/>
      <c r="AN445" s="692" t="n"/>
      <c r="AO445" s="692" t="n"/>
      <c r="AP445" s="692" t="n"/>
      <c r="AQ445" s="692" t="n"/>
      <c r="AR445" s="692" t="n"/>
      <c r="AS445" s="692" t="n"/>
    </row>
    <row r="446">
      <c r="A446" s="420" t="inlineStr">
        <is>
          <t>F</t>
        </is>
      </c>
      <c r="B446" s="593" t="inlineStr">
        <is>
          <t>100 Breast</t>
        </is>
      </c>
      <c r="C446" s="593" t="n">
        <v>17</v>
      </c>
      <c r="D446" s="593" t="n">
        <v>3</v>
      </c>
      <c r="E446" s="128" t="inlineStr">
        <is>
          <t>1:08.94</t>
        </is>
      </c>
      <c r="F446" s="692" t="n"/>
      <c r="H446" s="692" t="n"/>
      <c r="Y446" s="692" t="n"/>
      <c r="Z446" s="692" t="n"/>
      <c r="AA446" s="692" t="n"/>
      <c r="AB446" s="692" t="n"/>
      <c r="AC446" s="692" t="n"/>
      <c r="AD446" s="692" t="n"/>
      <c r="AE446" s="692" t="n"/>
      <c r="AF446" s="692" t="n"/>
      <c r="AG446" s="692" t="n"/>
      <c r="AH446" s="692" t="n"/>
      <c r="AI446" s="692" t="n"/>
      <c r="AJ446" s="692" t="n"/>
      <c r="AK446" s="692" t="n"/>
      <c r="AL446" s="692" t="n"/>
      <c r="AM446" s="692" t="n"/>
      <c r="AN446" s="692" t="n"/>
      <c r="AO446" s="692" t="n"/>
      <c r="AP446" s="692" t="n"/>
      <c r="AQ446" s="692" t="n"/>
      <c r="AR446" s="692" t="n"/>
      <c r="AS446" s="692" t="n"/>
    </row>
    <row r="447">
      <c r="A447" s="427" t="inlineStr">
        <is>
          <t>F</t>
        </is>
      </c>
      <c r="B447" s="616" t="inlineStr">
        <is>
          <t>100 Breast</t>
        </is>
      </c>
      <c r="C447" s="616" t="n">
        <v>18</v>
      </c>
      <c r="D447" s="221" t="n">
        <v>3</v>
      </c>
      <c r="E447" s="127" t="inlineStr">
        <is>
          <t>1:08.46</t>
        </is>
      </c>
      <c r="F447" s="692" t="n"/>
      <c r="H447" s="692" t="n"/>
      <c r="Y447" s="692" t="n"/>
      <c r="Z447" s="692" t="n"/>
      <c r="AA447" s="692" t="n"/>
      <c r="AB447" s="692" t="n"/>
      <c r="AC447" s="692" t="n"/>
      <c r="AD447" s="692" t="n"/>
      <c r="AE447" s="692" t="n"/>
      <c r="AF447" s="692" t="n"/>
      <c r="AG447" s="692" t="n"/>
      <c r="AH447" s="692" t="n"/>
      <c r="AI447" s="692" t="n"/>
      <c r="AJ447" s="692" t="n"/>
      <c r="AK447" s="692" t="n"/>
      <c r="AL447" s="692" t="n"/>
      <c r="AM447" s="692" t="n"/>
      <c r="AN447" s="692" t="n"/>
      <c r="AO447" s="692" t="n"/>
      <c r="AP447" s="692" t="n"/>
      <c r="AQ447" s="692" t="n"/>
      <c r="AR447" s="692" t="n"/>
      <c r="AS447" s="692" t="n"/>
    </row>
    <row r="448">
      <c r="A448" s="420" t="inlineStr">
        <is>
          <t>F</t>
        </is>
      </c>
      <c r="B448" s="593" t="inlineStr">
        <is>
          <t>100 Breast</t>
        </is>
      </c>
      <c r="C448" s="593" t="n">
        <v>19</v>
      </c>
      <c r="D448" s="593" t="n">
        <v>3</v>
      </c>
      <c r="E448" s="128" t="inlineStr">
        <is>
          <t>1:08.08</t>
        </is>
      </c>
      <c r="F448" s="692" t="n"/>
      <c r="H448" s="692" t="n"/>
      <c r="Y448" s="692" t="n"/>
      <c r="Z448" s="692" t="n"/>
      <c r="AA448" s="692" t="n"/>
      <c r="AB448" s="692" t="n"/>
      <c r="AC448" s="692" t="n"/>
      <c r="AD448" s="692" t="n"/>
      <c r="AE448" s="692" t="n"/>
      <c r="AF448" s="692" t="n"/>
      <c r="AG448" s="692" t="n"/>
      <c r="AH448" s="692" t="n"/>
      <c r="AI448" s="692" t="n"/>
      <c r="AJ448" s="692" t="n"/>
      <c r="AK448" s="692" t="n"/>
      <c r="AL448" s="692" t="n"/>
      <c r="AM448" s="692" t="n"/>
      <c r="AN448" s="692" t="n"/>
      <c r="AO448" s="692" t="n"/>
      <c r="AP448" s="692" t="n"/>
      <c r="AQ448" s="692" t="n"/>
      <c r="AR448" s="692" t="n"/>
      <c r="AS448" s="692" t="n"/>
    </row>
    <row r="449">
      <c r="A449" s="427" t="inlineStr">
        <is>
          <t>F</t>
        </is>
      </c>
      <c r="B449" s="616" t="inlineStr">
        <is>
          <t>100 Breast</t>
        </is>
      </c>
      <c r="C449" s="616" t="n">
        <v>20</v>
      </c>
      <c r="D449" s="616" t="n">
        <v>3</v>
      </c>
      <c r="E449" s="127" t="inlineStr">
        <is>
          <t>1:07.73</t>
        </is>
      </c>
      <c r="F449" s="692" t="n"/>
      <c r="H449" s="692" t="n"/>
      <c r="Y449" s="692" t="n"/>
      <c r="Z449" s="692" t="n"/>
      <c r="AA449" s="692" t="n"/>
      <c r="AB449" s="692" t="n"/>
      <c r="AC449" s="692" t="n"/>
      <c r="AD449" s="692" t="n"/>
      <c r="AE449" s="692" t="n"/>
      <c r="AF449" s="692" t="n"/>
      <c r="AG449" s="692" t="n"/>
      <c r="AH449" s="692" t="n"/>
      <c r="AI449" s="692" t="n"/>
      <c r="AJ449" s="692" t="n"/>
      <c r="AK449" s="692" t="n"/>
      <c r="AL449" s="692" t="n"/>
      <c r="AM449" s="692" t="n"/>
      <c r="AN449" s="692" t="n"/>
      <c r="AO449" s="692" t="n"/>
      <c r="AP449" s="692" t="n"/>
      <c r="AQ449" s="692" t="n"/>
      <c r="AR449" s="692" t="n"/>
      <c r="AS449" s="692" t="n"/>
    </row>
    <row r="450">
      <c r="A450" s="420" t="inlineStr">
        <is>
          <t>F</t>
        </is>
      </c>
      <c r="B450" s="593" t="inlineStr">
        <is>
          <t>100 Breast</t>
        </is>
      </c>
      <c r="C450" s="593" t="n">
        <v>21</v>
      </c>
      <c r="D450" s="593" t="n">
        <v>3</v>
      </c>
      <c r="E450" s="128" t="inlineStr">
        <is>
          <t>1:07.39</t>
        </is>
      </c>
      <c r="F450" s="692" t="n"/>
      <c r="H450" s="692" t="n"/>
      <c r="Y450" s="692" t="n"/>
      <c r="Z450" s="692" t="n"/>
      <c r="AA450" s="692" t="n"/>
      <c r="AB450" s="692" t="n"/>
      <c r="AC450" s="692" t="n"/>
      <c r="AD450" s="692" t="n"/>
      <c r="AE450" s="692" t="n"/>
      <c r="AF450" s="692" t="n"/>
      <c r="AG450" s="692" t="n"/>
      <c r="AH450" s="692" t="n"/>
      <c r="AI450" s="692" t="n"/>
      <c r="AJ450" s="692" t="n"/>
      <c r="AK450" s="692" t="n"/>
      <c r="AL450" s="692" t="n"/>
      <c r="AM450" s="692" t="n"/>
      <c r="AN450" s="692" t="n"/>
      <c r="AO450" s="692" t="n"/>
      <c r="AP450" s="692" t="n"/>
      <c r="AQ450" s="692" t="n"/>
      <c r="AR450" s="692" t="n"/>
      <c r="AS450" s="692" t="n"/>
    </row>
    <row r="451">
      <c r="A451" s="427" t="inlineStr">
        <is>
          <t>F</t>
        </is>
      </c>
      <c r="B451" s="616" t="inlineStr">
        <is>
          <t>100 Breast</t>
        </is>
      </c>
      <c r="C451" s="616" t="n">
        <v>22</v>
      </c>
      <c r="D451" s="616" t="n">
        <v>3</v>
      </c>
      <c r="E451" s="127" t="inlineStr">
        <is>
          <t>1:07.10</t>
        </is>
      </c>
      <c r="F451" s="692" t="n"/>
      <c r="H451" s="692" t="n"/>
      <c r="Y451" s="692" t="n"/>
      <c r="Z451" s="692" t="n"/>
      <c r="AA451" s="692" t="n"/>
      <c r="AB451" s="692" t="n"/>
      <c r="AC451" s="692" t="n"/>
      <c r="AD451" s="692" t="n"/>
      <c r="AE451" s="692" t="n"/>
      <c r="AF451" s="692" t="n"/>
      <c r="AG451" s="692" t="n"/>
      <c r="AH451" s="692" t="n"/>
      <c r="AI451" s="692" t="n"/>
      <c r="AJ451" s="692" t="n"/>
      <c r="AK451" s="692" t="n"/>
      <c r="AL451" s="692" t="n"/>
      <c r="AM451" s="692" t="n"/>
      <c r="AN451" s="692" t="n"/>
      <c r="AO451" s="692" t="n"/>
      <c r="AP451" s="692" t="n"/>
      <c r="AQ451" s="692" t="n"/>
      <c r="AR451" s="692" t="n"/>
      <c r="AS451" s="692" t="n"/>
    </row>
    <row r="452">
      <c r="A452" s="420" t="inlineStr">
        <is>
          <t>F</t>
        </is>
      </c>
      <c r="B452" s="593" t="inlineStr">
        <is>
          <t>100 Breast</t>
        </is>
      </c>
      <c r="C452" s="593" t="n">
        <v>23</v>
      </c>
      <c r="D452" s="593" t="n">
        <v>3</v>
      </c>
      <c r="E452" s="128" t="inlineStr">
        <is>
          <t>1:06.87</t>
        </is>
      </c>
      <c r="F452" s="692" t="n"/>
      <c r="H452" s="692" t="n"/>
      <c r="Y452" s="692" t="n"/>
      <c r="Z452" s="692" t="n"/>
      <c r="AA452" s="692" t="n"/>
      <c r="AB452" s="692" t="n"/>
      <c r="AC452" s="692" t="n"/>
      <c r="AD452" s="692" t="n"/>
      <c r="AE452" s="692" t="n"/>
      <c r="AF452" s="692" t="n"/>
      <c r="AG452" s="692" t="n"/>
      <c r="AH452" s="692" t="n"/>
      <c r="AI452" s="692" t="n"/>
      <c r="AJ452" s="692" t="n"/>
      <c r="AK452" s="692" t="n"/>
      <c r="AL452" s="692" t="n"/>
      <c r="AM452" s="692" t="n"/>
      <c r="AN452" s="692" t="n"/>
      <c r="AO452" s="692" t="n"/>
      <c r="AP452" s="692" t="n"/>
      <c r="AQ452" s="692" t="n"/>
      <c r="AR452" s="692" t="n"/>
      <c r="AS452" s="692" t="n"/>
    </row>
    <row r="453">
      <c r="A453" s="427" t="inlineStr">
        <is>
          <t>F</t>
        </is>
      </c>
      <c r="B453" s="616" t="inlineStr">
        <is>
          <t>200 Breast</t>
        </is>
      </c>
      <c r="C453" s="616" t="n">
        <v>17</v>
      </c>
      <c r="D453" s="616" t="n">
        <v>3</v>
      </c>
      <c r="E453" s="127" t="inlineStr">
        <is>
          <t>2:29.19</t>
        </is>
      </c>
      <c r="F453" s="692" t="n"/>
      <c r="H453" s="692" t="n"/>
      <c r="V453" s="692" t="n"/>
      <c r="W453" s="692" t="n"/>
      <c r="X453" s="692" t="n"/>
      <c r="Y453" s="692" t="n"/>
      <c r="Z453" s="692" t="n"/>
      <c r="AA453" s="692" t="n"/>
      <c r="AB453" s="692" t="n"/>
      <c r="AC453" s="692" t="n"/>
      <c r="AD453" s="692" t="n"/>
      <c r="AE453" s="692" t="n"/>
      <c r="AF453" s="692" t="n"/>
      <c r="AG453" s="692" t="n"/>
      <c r="AH453" s="692" t="n"/>
      <c r="AI453" s="692" t="n"/>
      <c r="AJ453" s="692" t="n"/>
      <c r="AK453" s="692" t="n"/>
      <c r="AL453" s="692" t="n"/>
      <c r="AM453" s="692" t="n"/>
      <c r="AN453" s="692" t="n"/>
      <c r="AO453" s="692" t="n"/>
      <c r="AP453" s="692" t="n"/>
      <c r="AQ453" s="692" t="n"/>
      <c r="AR453" s="692" t="n"/>
      <c r="AS453" s="692" t="n"/>
    </row>
    <row r="454">
      <c r="A454" s="420" t="inlineStr">
        <is>
          <t>F</t>
        </is>
      </c>
      <c r="B454" s="593" t="inlineStr">
        <is>
          <t>200 Breast</t>
        </is>
      </c>
      <c r="C454" s="593" t="n">
        <v>18</v>
      </c>
      <c r="D454" s="593" t="n">
        <v>3</v>
      </c>
      <c r="E454" s="128" t="inlineStr">
        <is>
          <t>2:28.35</t>
        </is>
      </c>
      <c r="F454" s="692" t="n"/>
      <c r="H454" s="692" t="n"/>
      <c r="R454" s="692" t="n"/>
      <c r="S454" s="692" t="n"/>
      <c r="T454" s="692" t="n"/>
      <c r="V454" s="692" t="n"/>
      <c r="W454" s="692" t="n"/>
      <c r="X454" s="692" t="n"/>
      <c r="Y454" s="692" t="n"/>
      <c r="Z454" s="692" t="n"/>
      <c r="AA454" s="692" t="n"/>
      <c r="AB454" s="692" t="n"/>
      <c r="AC454" s="692" t="n"/>
      <c r="AD454" s="692" t="n"/>
      <c r="AE454" s="692" t="n"/>
      <c r="AF454" s="692" t="n"/>
      <c r="AG454" s="692" t="n"/>
      <c r="AH454" s="692" t="n"/>
      <c r="AI454" s="692" t="n"/>
      <c r="AJ454" s="692" t="n"/>
      <c r="AK454" s="692" t="n"/>
      <c r="AL454" s="692" t="n"/>
      <c r="AM454" s="692" t="n"/>
      <c r="AN454" s="692" t="n"/>
      <c r="AO454" s="692" t="n"/>
      <c r="AP454" s="692" t="n"/>
      <c r="AQ454" s="692" t="n"/>
      <c r="AR454" s="692" t="n"/>
      <c r="AS454" s="692" t="n"/>
    </row>
    <row r="455">
      <c r="A455" s="427" t="inlineStr">
        <is>
          <t>F</t>
        </is>
      </c>
      <c r="B455" s="616" t="inlineStr">
        <is>
          <t>200 Breast</t>
        </is>
      </c>
      <c r="C455" s="616" t="n">
        <v>19</v>
      </c>
      <c r="D455" s="616" t="n">
        <v>3</v>
      </c>
      <c r="E455" s="433" t="inlineStr">
        <is>
          <t>2:27.66</t>
        </is>
      </c>
      <c r="F455" s="692" t="n"/>
      <c r="G455" s="692" t="n"/>
      <c r="H455" s="692" t="n"/>
      <c r="I455" s="692" t="n"/>
      <c r="J455" s="692" t="n"/>
      <c r="K455" s="692" t="n"/>
      <c r="M455" s="692" t="n"/>
      <c r="N455" s="692" t="n"/>
      <c r="O455" s="692" t="n"/>
      <c r="P455" s="692" t="n"/>
      <c r="Q455" s="692" t="n"/>
      <c r="R455" s="692" t="n"/>
      <c r="S455" s="692" t="n"/>
      <c r="T455" s="692" t="n"/>
      <c r="U455" s="692" t="n"/>
      <c r="V455" s="692" t="n"/>
      <c r="W455" s="692" t="n"/>
      <c r="X455" s="692" t="n"/>
      <c r="Y455" s="692" t="n"/>
      <c r="Z455" s="692" t="n"/>
      <c r="AA455" s="692" t="n"/>
      <c r="AB455" s="692" t="n"/>
      <c r="AC455" s="692" t="n"/>
      <c r="AD455" s="692" t="n"/>
      <c r="AE455" s="692" t="n"/>
      <c r="AF455" s="692" t="n"/>
      <c r="AG455" s="692" t="n"/>
      <c r="AH455" s="692" t="n"/>
      <c r="AI455" s="692" t="n"/>
      <c r="AJ455" s="692" t="n"/>
      <c r="AK455" s="692" t="n"/>
      <c r="AL455" s="692" t="n"/>
      <c r="AM455" s="692" t="n"/>
      <c r="AN455" s="692" t="n"/>
      <c r="AO455" s="692" t="n"/>
      <c r="AP455" s="692" t="n"/>
      <c r="AQ455" s="692" t="n"/>
      <c r="AR455" s="692" t="n"/>
      <c r="AS455" s="692" t="n"/>
    </row>
    <row r="456">
      <c r="A456" s="420" t="inlineStr">
        <is>
          <t>F</t>
        </is>
      </c>
      <c r="B456" s="593" t="inlineStr">
        <is>
          <t>200 Breast</t>
        </is>
      </c>
      <c r="C456" s="593" t="n">
        <v>20</v>
      </c>
      <c r="D456" s="593" t="n">
        <v>3</v>
      </c>
      <c r="E456" s="128" t="inlineStr">
        <is>
          <t>2:27.01</t>
        </is>
      </c>
      <c r="F456" s="692" t="n"/>
      <c r="G456" s="692" t="n"/>
      <c r="H456" s="692" t="n"/>
      <c r="I456" s="692" t="n"/>
      <c r="J456" s="692" t="n"/>
      <c r="K456" s="692" t="n"/>
      <c r="L456" s="692" t="n"/>
      <c r="M456" s="692" t="n"/>
      <c r="N456" s="692" t="n"/>
      <c r="O456" s="692" t="n"/>
      <c r="P456" s="692" t="n"/>
      <c r="Q456" s="692" t="n"/>
      <c r="R456" s="692" t="n"/>
      <c r="S456" s="692" t="n"/>
      <c r="T456" s="692" t="n"/>
      <c r="U456" s="692" t="n"/>
      <c r="V456" s="692" t="n"/>
      <c r="W456" s="692" t="n"/>
      <c r="X456" s="692" t="n"/>
      <c r="Y456" s="692" t="n"/>
      <c r="Z456" s="692" t="n"/>
      <c r="AA456" s="692" t="n"/>
      <c r="AB456" s="692" t="n"/>
      <c r="AC456" s="692" t="n"/>
      <c r="AD456" s="692" t="n"/>
      <c r="AE456" s="692" t="n"/>
      <c r="AF456" s="692" t="n"/>
      <c r="AG456" s="692" t="n"/>
      <c r="AH456" s="692" t="n"/>
      <c r="AI456" s="692" t="n"/>
      <c r="AJ456" s="692" t="n"/>
      <c r="AK456" s="692" t="n"/>
      <c r="AL456" s="692" t="n"/>
      <c r="AM456" s="692" t="n"/>
      <c r="AN456" s="692" t="n"/>
      <c r="AO456" s="692" t="n"/>
      <c r="AP456" s="692" t="n"/>
      <c r="AQ456" s="692" t="n"/>
      <c r="AR456" s="692" t="n"/>
      <c r="AS456" s="692" t="n"/>
    </row>
    <row r="457">
      <c r="A457" s="427" t="inlineStr">
        <is>
          <t>F</t>
        </is>
      </c>
      <c r="B457" s="616" t="inlineStr">
        <is>
          <t>200 Breast</t>
        </is>
      </c>
      <c r="C457" s="616" t="n">
        <v>21</v>
      </c>
      <c r="D457" s="616" t="n">
        <v>3</v>
      </c>
      <c r="E457" s="127" t="inlineStr">
        <is>
          <t>2:26.51</t>
        </is>
      </c>
      <c r="F457" s="692" t="n"/>
      <c r="G457" s="692" t="n"/>
      <c r="H457" s="692" t="n"/>
      <c r="I457" s="692" t="n"/>
      <c r="J457" s="692" t="n"/>
      <c r="K457" s="692" t="n"/>
      <c r="L457" s="692" t="n"/>
      <c r="M457" s="692" t="n"/>
      <c r="N457" s="692" t="n"/>
      <c r="O457" s="692" t="n"/>
      <c r="P457" s="692" t="n"/>
      <c r="Q457" s="692" t="n"/>
      <c r="R457" s="692" t="n"/>
      <c r="S457" s="692" t="n"/>
      <c r="T457" s="692" t="n"/>
      <c r="U457" s="692" t="n"/>
      <c r="V457" s="692" t="n"/>
      <c r="W457" s="692" t="n"/>
      <c r="X457" s="692" t="n"/>
      <c r="Y457" s="692" t="n"/>
      <c r="Z457" s="692" t="n"/>
      <c r="AA457" s="692" t="n"/>
      <c r="AB457" s="692" t="n"/>
      <c r="AC457" s="692" t="n"/>
      <c r="AD457" s="692" t="n"/>
      <c r="AE457" s="692" t="n"/>
      <c r="AF457" s="692" t="n"/>
      <c r="AG457" s="692" t="n"/>
      <c r="AH457" s="692" t="n"/>
      <c r="AI457" s="692" t="n"/>
      <c r="AJ457" s="692" t="n"/>
      <c r="AK457" s="692" t="n"/>
      <c r="AL457" s="692" t="n"/>
      <c r="AM457" s="692" t="n"/>
      <c r="AN457" s="692" t="n"/>
      <c r="AO457" s="692" t="n"/>
      <c r="AP457" s="692" t="n"/>
      <c r="AQ457" s="692" t="n"/>
      <c r="AR457" s="692" t="n"/>
      <c r="AS457" s="692" t="n"/>
    </row>
    <row r="458">
      <c r="A458" s="420" t="inlineStr">
        <is>
          <t>F</t>
        </is>
      </c>
      <c r="B458" s="593" t="inlineStr">
        <is>
          <t>200 Breast</t>
        </is>
      </c>
      <c r="C458" s="593" t="n">
        <v>22</v>
      </c>
      <c r="D458" s="593" t="n">
        <v>3</v>
      </c>
      <c r="E458" s="128" t="inlineStr">
        <is>
          <t>2:26.14</t>
        </is>
      </c>
      <c r="F458" s="692" t="n"/>
      <c r="G458" s="692" t="n"/>
      <c r="H458" s="692" t="n"/>
      <c r="I458" s="692" t="n"/>
      <c r="J458" s="692" t="n"/>
      <c r="K458" s="692" t="n"/>
      <c r="L458" s="692" t="n"/>
      <c r="M458" s="692" t="n"/>
      <c r="N458" s="692" t="n"/>
      <c r="O458" s="692" t="n"/>
      <c r="P458" s="692" t="n"/>
      <c r="Q458" s="692" t="n"/>
      <c r="R458" s="692" t="n"/>
      <c r="S458" s="692" t="n"/>
      <c r="T458" s="692" t="n"/>
      <c r="U458" s="692" t="n"/>
      <c r="V458" s="692" t="n"/>
      <c r="W458" s="692" t="n"/>
      <c r="X458" s="692" t="n"/>
      <c r="Y458" s="692" t="n"/>
      <c r="Z458" s="692" t="n"/>
      <c r="AA458" s="692" t="n"/>
      <c r="AB458" s="692" t="n"/>
      <c r="AC458" s="692" t="n"/>
      <c r="AD458" s="692" t="n"/>
      <c r="AE458" s="692" t="n"/>
      <c r="AF458" s="692" t="n"/>
      <c r="AG458" s="692" t="n"/>
      <c r="AH458" s="692" t="n"/>
      <c r="AI458" s="692" t="n"/>
      <c r="AJ458" s="692" t="n"/>
      <c r="AK458" s="692" t="n"/>
      <c r="AL458" s="692" t="n"/>
      <c r="AM458" s="692" t="n"/>
      <c r="AN458" s="692" t="n"/>
      <c r="AO458" s="692" t="n"/>
      <c r="AP458" s="692" t="n"/>
      <c r="AQ458" s="692" t="n"/>
      <c r="AR458" s="692" t="n"/>
      <c r="AS458" s="692" t="n"/>
    </row>
    <row r="459">
      <c r="A459" s="427" t="inlineStr">
        <is>
          <t>F</t>
        </is>
      </c>
      <c r="B459" s="616" t="inlineStr">
        <is>
          <t>200 Breast</t>
        </is>
      </c>
      <c r="C459" s="616" t="n">
        <v>23</v>
      </c>
      <c r="D459" s="616" t="n">
        <v>3</v>
      </c>
      <c r="E459" s="127" t="inlineStr">
        <is>
          <t>2:25.91</t>
        </is>
      </c>
      <c r="F459" s="692" t="n"/>
      <c r="G459" s="692" t="n"/>
      <c r="H459" s="692" t="n"/>
      <c r="I459" s="692" t="n"/>
      <c r="J459" s="692" t="n"/>
      <c r="K459" s="692" t="n"/>
      <c r="L459" s="692" t="n"/>
      <c r="M459" s="692" t="n"/>
      <c r="N459" s="692" t="n"/>
      <c r="O459" s="692" t="n"/>
      <c r="P459" s="692" t="n"/>
      <c r="Q459" s="692" t="n"/>
      <c r="R459" s="692" t="n"/>
      <c r="S459" s="692" t="n"/>
      <c r="T459" s="692" t="n"/>
      <c r="U459" s="692" t="n"/>
      <c r="V459" s="692" t="n"/>
      <c r="W459" s="692" t="n"/>
      <c r="X459" s="692" t="n"/>
      <c r="Y459" s="692" t="n"/>
      <c r="Z459" s="692" t="n"/>
      <c r="AA459" s="692" t="n"/>
      <c r="AB459" s="692" t="n"/>
      <c r="AC459" s="692" t="n"/>
      <c r="AD459" s="692" t="n"/>
      <c r="AE459" s="692" t="n"/>
      <c r="AF459" s="692" t="n"/>
      <c r="AG459" s="692" t="n"/>
      <c r="AH459" s="692" t="n"/>
      <c r="AI459" s="692" t="n"/>
      <c r="AJ459" s="692" t="n"/>
      <c r="AK459" s="692" t="n"/>
      <c r="AL459" s="692" t="n"/>
      <c r="AM459" s="692" t="n"/>
      <c r="AN459" s="692" t="n"/>
      <c r="AO459" s="692" t="n"/>
      <c r="AP459" s="692" t="n"/>
      <c r="AQ459" s="692" t="n"/>
      <c r="AR459" s="692" t="n"/>
      <c r="AS459" s="692" t="n"/>
    </row>
    <row r="460">
      <c r="A460" s="420" t="inlineStr">
        <is>
          <t>F</t>
        </is>
      </c>
      <c r="B460" s="593" t="inlineStr">
        <is>
          <t>50 Fly</t>
        </is>
      </c>
      <c r="C460" s="593" t="n">
        <v>19</v>
      </c>
      <c r="D460" s="219" t="n">
        <v>3</v>
      </c>
      <c r="E460" s="128" t="inlineStr">
        <is>
          <t>26.61</t>
        </is>
      </c>
      <c r="F460" s="692" t="n"/>
      <c r="G460" s="692" t="n"/>
      <c r="H460" s="692" t="n"/>
      <c r="I460" s="692" t="n"/>
      <c r="J460" s="692" t="n"/>
      <c r="K460" s="692" t="n"/>
      <c r="L460" s="692" t="n"/>
      <c r="M460" s="692" t="n"/>
      <c r="N460" s="692" t="n"/>
      <c r="O460" s="692" t="n"/>
      <c r="P460" s="692" t="n"/>
      <c r="Q460" s="692" t="n"/>
      <c r="R460" s="692" t="n"/>
      <c r="S460" s="692" t="n"/>
      <c r="T460" s="692" t="n"/>
      <c r="U460" s="692" t="n"/>
      <c r="V460" s="692" t="n"/>
      <c r="W460" s="692" t="n"/>
      <c r="X460" s="692" t="n"/>
      <c r="Y460" s="692" t="n"/>
      <c r="Z460" s="692" t="n"/>
      <c r="AA460" s="692" t="n"/>
      <c r="AB460" s="692" t="n"/>
      <c r="AC460" s="692" t="n"/>
      <c r="AD460" s="692" t="n"/>
      <c r="AE460" s="692" t="n"/>
      <c r="AF460" s="692" t="n"/>
      <c r="AG460" s="692" t="n"/>
      <c r="AH460" s="692" t="n"/>
      <c r="AI460" s="692" t="n"/>
      <c r="AJ460" s="692" t="n"/>
      <c r="AK460" s="692" t="n"/>
      <c r="AL460" s="692" t="n"/>
      <c r="AM460" s="692" t="n"/>
      <c r="AN460" s="692" t="n"/>
      <c r="AO460" s="692" t="n"/>
      <c r="AP460" s="692" t="n"/>
      <c r="AQ460" s="692" t="n"/>
      <c r="AR460" s="692" t="n"/>
      <c r="AS460" s="692" t="n"/>
    </row>
    <row r="461">
      <c r="A461" s="427" t="inlineStr">
        <is>
          <t>F</t>
        </is>
      </c>
      <c r="B461" s="616" t="inlineStr">
        <is>
          <t>50 Fly</t>
        </is>
      </c>
      <c r="C461" s="616" t="n">
        <v>20</v>
      </c>
      <c r="D461" s="221" t="n">
        <v>3</v>
      </c>
      <c r="E461" s="127" t="inlineStr">
        <is>
          <t>26.45</t>
        </is>
      </c>
      <c r="F461" s="692" t="n"/>
      <c r="G461" s="692" t="n"/>
      <c r="H461" s="692" t="n"/>
      <c r="I461" s="692" t="n"/>
      <c r="J461" s="692" t="n"/>
      <c r="K461" s="692" t="n"/>
      <c r="L461" s="692" t="n"/>
      <c r="M461" s="692" t="n"/>
      <c r="N461" s="692" t="n"/>
      <c r="O461" s="692" t="n"/>
      <c r="P461" s="692" t="n"/>
      <c r="Q461" s="692" t="n"/>
      <c r="R461" s="692" t="n"/>
      <c r="S461" s="692" t="n"/>
      <c r="T461" s="692" t="n"/>
      <c r="U461" s="692" t="n"/>
      <c r="V461" s="692" t="n"/>
      <c r="W461" s="692" t="n"/>
      <c r="X461" s="692" t="n"/>
      <c r="Y461" s="692" t="n"/>
      <c r="Z461" s="692" t="n"/>
      <c r="AA461" s="692" t="n"/>
      <c r="AB461" s="692" t="n"/>
      <c r="AC461" s="692" t="n"/>
      <c r="AD461" s="692" t="n"/>
      <c r="AE461" s="692" t="n"/>
      <c r="AF461" s="692" t="n"/>
      <c r="AG461" s="692" t="n"/>
      <c r="AH461" s="692" t="n"/>
      <c r="AI461" s="692" t="n"/>
      <c r="AJ461" s="692" t="n"/>
      <c r="AK461" s="692" t="n"/>
      <c r="AL461" s="692" t="n"/>
      <c r="AM461" s="692" t="n"/>
      <c r="AN461" s="692" t="n"/>
      <c r="AO461" s="692" t="n"/>
      <c r="AP461" s="692" t="n"/>
      <c r="AQ461" s="692" t="n"/>
      <c r="AR461" s="692" t="n"/>
      <c r="AS461" s="692" t="n"/>
    </row>
    <row r="462">
      <c r="A462" s="420" t="inlineStr">
        <is>
          <t>F</t>
        </is>
      </c>
      <c r="B462" s="593" t="inlineStr">
        <is>
          <t>50 Fly</t>
        </is>
      </c>
      <c r="C462" s="593" t="n">
        <v>21</v>
      </c>
      <c r="D462" s="219" t="n">
        <v>3</v>
      </c>
      <c r="E462" s="128" t="inlineStr">
        <is>
          <t>26.34</t>
        </is>
      </c>
      <c r="F462" s="692" t="n"/>
      <c r="G462" s="692" t="n"/>
      <c r="H462" s="692" t="n"/>
      <c r="I462" s="692" t="n"/>
      <c r="J462" s="692" t="n"/>
      <c r="K462" s="692" t="n"/>
      <c r="L462" s="692" t="n"/>
      <c r="M462" s="692" t="n"/>
      <c r="N462" s="692" t="n"/>
      <c r="O462" s="692" t="n"/>
      <c r="P462" s="692" t="n"/>
      <c r="Q462" s="692" t="n"/>
      <c r="R462" s="692" t="n"/>
      <c r="S462" s="692" t="n"/>
      <c r="T462" s="692" t="n"/>
      <c r="U462" s="692" t="n"/>
      <c r="V462" s="692" t="n"/>
      <c r="W462" s="692" t="n"/>
      <c r="X462" s="692" t="n"/>
      <c r="Y462" s="692" t="n"/>
      <c r="Z462" s="692" t="n"/>
      <c r="AA462" s="692" t="n"/>
      <c r="AB462" s="692" t="n"/>
      <c r="AC462" s="692" t="n"/>
      <c r="AD462" s="692" t="n"/>
      <c r="AE462" s="692" t="n"/>
      <c r="AF462" s="692" t="n"/>
      <c r="AG462" s="692" t="n"/>
      <c r="AH462" s="692" t="n"/>
      <c r="AI462" s="692" t="n"/>
      <c r="AJ462" s="692" t="n"/>
      <c r="AK462" s="692" t="n"/>
      <c r="AL462" s="692" t="n"/>
      <c r="AM462" s="692" t="n"/>
      <c r="AN462" s="692" t="n"/>
      <c r="AO462" s="692" t="n"/>
      <c r="AP462" s="692" t="n"/>
      <c r="AQ462" s="692" t="n"/>
      <c r="AR462" s="692" t="n"/>
      <c r="AS462" s="692" t="n"/>
    </row>
    <row r="463">
      <c r="A463" s="427" t="inlineStr">
        <is>
          <t>F</t>
        </is>
      </c>
      <c r="B463" s="616" t="inlineStr">
        <is>
          <t>50 Fly</t>
        </is>
      </c>
      <c r="C463" s="616" t="n">
        <v>22</v>
      </c>
      <c r="D463" s="221" t="n">
        <v>3</v>
      </c>
      <c r="E463" s="127" t="inlineStr">
        <is>
          <t>26.28</t>
        </is>
      </c>
      <c r="F463" s="692" t="n"/>
      <c r="G463" s="692" t="n"/>
      <c r="H463" s="692" t="n"/>
      <c r="I463" s="692" t="n"/>
      <c r="J463" s="692" t="n"/>
      <c r="K463" s="692" t="n"/>
      <c r="L463" s="692" t="n"/>
      <c r="M463" s="692" t="n"/>
      <c r="N463" s="692" t="n"/>
      <c r="O463" s="692" t="n"/>
      <c r="P463" s="692" t="n"/>
      <c r="Q463" s="692" t="n"/>
      <c r="R463" s="692" t="n"/>
      <c r="S463" s="692" t="n"/>
      <c r="T463" s="692" t="n"/>
      <c r="U463" s="692" t="n"/>
      <c r="V463" s="692" t="n"/>
      <c r="W463" s="692" t="n"/>
      <c r="X463" s="692" t="n"/>
      <c r="Y463" s="692" t="n"/>
      <c r="Z463" s="692" t="n"/>
      <c r="AA463" s="692" t="n"/>
      <c r="AB463" s="692" t="n"/>
      <c r="AC463" s="692" t="n"/>
      <c r="AD463" s="692" t="n"/>
      <c r="AE463" s="692" t="n"/>
      <c r="AF463" s="692" t="n"/>
      <c r="AG463" s="692" t="n"/>
      <c r="AH463" s="692" t="n"/>
      <c r="AI463" s="692" t="n"/>
      <c r="AJ463" s="692" t="n"/>
      <c r="AK463" s="692" t="n"/>
      <c r="AL463" s="692" t="n"/>
      <c r="AM463" s="692" t="n"/>
      <c r="AN463" s="692" t="n"/>
      <c r="AO463" s="692" t="n"/>
      <c r="AP463" s="692" t="n"/>
      <c r="AQ463" s="692" t="n"/>
      <c r="AR463" s="692" t="n"/>
      <c r="AS463" s="692" t="n"/>
    </row>
    <row r="464">
      <c r="A464" s="420" t="inlineStr">
        <is>
          <t>F</t>
        </is>
      </c>
      <c r="B464" s="593" t="inlineStr">
        <is>
          <t>50 Fly</t>
        </is>
      </c>
      <c r="C464" s="593" t="n">
        <v>23</v>
      </c>
      <c r="D464" s="219" t="n">
        <v>3</v>
      </c>
      <c r="E464" s="128" t="inlineStr">
        <is>
          <t>26.24</t>
        </is>
      </c>
      <c r="F464" s="692" t="n"/>
      <c r="G464" s="692" t="n"/>
      <c r="H464" s="692" t="n"/>
      <c r="I464" s="692" t="n"/>
      <c r="J464" s="692" t="n"/>
      <c r="K464" s="692" t="n"/>
      <c r="L464" s="692" t="n"/>
      <c r="M464" s="692" t="n"/>
      <c r="N464" s="692" t="n"/>
      <c r="O464" s="692" t="n"/>
      <c r="P464" s="692" t="n"/>
      <c r="Q464" s="692" t="n"/>
      <c r="R464" s="692" t="n"/>
      <c r="S464" s="692" t="n"/>
      <c r="T464" s="692" t="n"/>
      <c r="U464" s="692" t="n"/>
      <c r="V464" s="692" t="n"/>
      <c r="W464" s="692" t="n"/>
      <c r="X464" s="692" t="n"/>
      <c r="Y464" s="692" t="n"/>
      <c r="Z464" s="692" t="n"/>
      <c r="AA464" s="692" t="n"/>
      <c r="AB464" s="692" t="n"/>
      <c r="AC464" s="692" t="n"/>
      <c r="AD464" s="692" t="n"/>
      <c r="AE464" s="692" t="n"/>
      <c r="AF464" s="692" t="n"/>
      <c r="AG464" s="692" t="n"/>
      <c r="AH464" s="692" t="n"/>
      <c r="AI464" s="692" t="n"/>
      <c r="AJ464" s="692" t="n"/>
      <c r="AK464" s="692" t="n"/>
      <c r="AL464" s="692" t="n"/>
      <c r="AM464" s="692" t="n"/>
      <c r="AN464" s="692" t="n"/>
      <c r="AO464" s="692" t="n"/>
      <c r="AP464" s="692" t="n"/>
      <c r="AQ464" s="692" t="n"/>
      <c r="AR464" s="692" t="n"/>
      <c r="AS464" s="692" t="n"/>
    </row>
    <row r="465">
      <c r="A465" s="427" t="inlineStr">
        <is>
          <t>F</t>
        </is>
      </c>
      <c r="B465" s="616" t="inlineStr">
        <is>
          <t>50 Fly</t>
        </is>
      </c>
      <c r="C465" s="616" t="n">
        <v>24</v>
      </c>
      <c r="D465" s="221" t="n">
        <v>3</v>
      </c>
      <c r="E465" s="127" t="inlineStr">
        <is>
          <t>26.23</t>
        </is>
      </c>
      <c r="F465" s="692" t="n"/>
      <c r="G465" s="692" t="n"/>
      <c r="H465" s="692" t="n"/>
      <c r="I465" s="692" t="n"/>
      <c r="J465" s="692" t="n"/>
      <c r="K465" s="692" t="n"/>
      <c r="L465" s="692" t="n"/>
      <c r="M465" s="692" t="n"/>
      <c r="N465" s="692" t="n"/>
      <c r="O465" s="692" t="n"/>
      <c r="P465" s="692" t="n"/>
      <c r="Q465" s="692" t="n"/>
      <c r="R465" s="692" t="n"/>
      <c r="S465" s="692" t="n"/>
      <c r="T465" s="692" t="n"/>
      <c r="U465" s="692" t="n"/>
      <c r="V465" s="692" t="n"/>
      <c r="W465" s="692" t="n"/>
      <c r="X465" s="692" t="n"/>
      <c r="Y465" s="692" t="n"/>
      <c r="Z465" s="692" t="n"/>
      <c r="AA465" s="692" t="n"/>
      <c r="AB465" s="692" t="n"/>
      <c r="AC465" s="692" t="n"/>
      <c r="AD465" s="692" t="n"/>
      <c r="AE465" s="692" t="n"/>
      <c r="AF465" s="692" t="n"/>
      <c r="AG465" s="692" t="n"/>
      <c r="AH465" s="692" t="n"/>
      <c r="AI465" s="692" t="n"/>
      <c r="AJ465" s="692" t="n"/>
      <c r="AK465" s="692" t="n"/>
      <c r="AL465" s="692" t="n"/>
      <c r="AM465" s="692" t="n"/>
      <c r="AN465" s="692" t="n"/>
      <c r="AO465" s="692" t="n"/>
      <c r="AP465" s="692" t="n"/>
      <c r="AQ465" s="692" t="n"/>
      <c r="AR465" s="692" t="n"/>
      <c r="AS465" s="692" t="n"/>
    </row>
    <row r="466">
      <c r="A466" s="420" t="inlineStr">
        <is>
          <t>F</t>
        </is>
      </c>
      <c r="B466" s="593" t="inlineStr">
        <is>
          <t>50 Fly</t>
        </is>
      </c>
      <c r="C466" s="593" t="n">
        <v>25</v>
      </c>
      <c r="D466" s="219" t="n">
        <v>3</v>
      </c>
      <c r="E466" s="128" t="inlineStr">
        <is>
          <t>26.23</t>
        </is>
      </c>
      <c r="F466" s="692" t="n"/>
      <c r="G466" s="692" t="n"/>
      <c r="H466" s="692" t="n"/>
      <c r="I466" s="692" t="n"/>
      <c r="J466" s="692" t="n"/>
      <c r="K466" s="692" t="n"/>
      <c r="L466" s="692" t="n"/>
      <c r="M466" s="692" t="n"/>
      <c r="N466" s="692" t="n"/>
      <c r="O466" s="692" t="n"/>
      <c r="P466" s="692" t="n"/>
      <c r="Q466" s="692" t="n"/>
      <c r="R466" s="692" t="n"/>
      <c r="S466" s="692" t="n"/>
      <c r="T466" s="692" t="n"/>
      <c r="U466" s="692" t="n"/>
      <c r="V466" s="692" t="n"/>
      <c r="W466" s="692" t="n"/>
      <c r="X466" s="692" t="n"/>
      <c r="Y466" s="692" t="n"/>
      <c r="Z466" s="692" t="n"/>
      <c r="AA466" s="692" t="n"/>
      <c r="AB466" s="692" t="n"/>
      <c r="AC466" s="692" t="n"/>
      <c r="AD466" s="692" t="n"/>
      <c r="AE466" s="692" t="n"/>
      <c r="AF466" s="692" t="n"/>
      <c r="AG466" s="692" t="n"/>
      <c r="AH466" s="692" t="n"/>
      <c r="AI466" s="692" t="n"/>
      <c r="AJ466" s="692" t="n"/>
      <c r="AK466" s="692" t="n"/>
      <c r="AL466" s="692" t="n"/>
      <c r="AM466" s="692" t="n"/>
      <c r="AN466" s="692" t="n"/>
      <c r="AO466" s="692" t="n"/>
      <c r="AP466" s="692" t="n"/>
      <c r="AQ466" s="692" t="n"/>
      <c r="AR466" s="692" t="n"/>
      <c r="AS466" s="692" t="n"/>
    </row>
    <row r="467">
      <c r="A467" s="427" t="inlineStr">
        <is>
          <t>F</t>
        </is>
      </c>
      <c r="B467" s="616" t="inlineStr">
        <is>
          <t>100 Fly</t>
        </is>
      </c>
      <c r="C467" s="616" t="n">
        <v>17</v>
      </c>
      <c r="D467" s="221" t="n">
        <v>3</v>
      </c>
      <c r="E467" s="127" t="inlineStr">
        <is>
          <t>1:00.47</t>
        </is>
      </c>
      <c r="F467" s="692" t="n"/>
      <c r="G467" s="692" t="n"/>
      <c r="H467" s="692" t="n"/>
      <c r="I467" s="692" t="n"/>
      <c r="J467" s="692" t="n"/>
      <c r="K467" s="692" t="n"/>
      <c r="L467" s="692" t="n"/>
      <c r="M467" s="692" t="n"/>
      <c r="N467" s="692" t="n"/>
      <c r="O467" s="692" t="n"/>
      <c r="P467" s="692" t="n"/>
      <c r="Q467" s="692" t="n"/>
      <c r="R467" s="692" t="n"/>
      <c r="S467" s="692" t="n"/>
      <c r="T467" s="692" t="n"/>
      <c r="U467" s="692" t="n"/>
      <c r="V467" s="692" t="n"/>
      <c r="W467" s="692" t="n"/>
      <c r="X467" s="692" t="n"/>
      <c r="Y467" s="692" t="n"/>
      <c r="Z467" s="692" t="n"/>
      <c r="AA467" s="692" t="n"/>
      <c r="AB467" s="692" t="n"/>
      <c r="AC467" s="692" t="n"/>
      <c r="AD467" s="692" t="n"/>
      <c r="AE467" s="692" t="n"/>
      <c r="AF467" s="692" t="n"/>
      <c r="AG467" s="692" t="n"/>
      <c r="AH467" s="692" t="n"/>
      <c r="AI467" s="692" t="n"/>
      <c r="AJ467" s="692" t="n"/>
      <c r="AK467" s="692" t="n"/>
      <c r="AL467" s="692" t="n"/>
      <c r="AM467" s="692" t="n"/>
      <c r="AN467" s="692" t="n"/>
      <c r="AO467" s="692" t="n"/>
      <c r="AP467" s="692" t="n"/>
      <c r="AQ467" s="692" t="n"/>
      <c r="AR467" s="692" t="n"/>
      <c r="AS467" s="692" t="n"/>
    </row>
    <row r="468">
      <c r="A468" s="420" t="inlineStr">
        <is>
          <t>F</t>
        </is>
      </c>
      <c r="B468" s="593" t="inlineStr">
        <is>
          <t>100 Fly</t>
        </is>
      </c>
      <c r="C468" s="593" t="n">
        <v>18</v>
      </c>
      <c r="D468" s="219" t="n">
        <v>3</v>
      </c>
      <c r="E468" s="128" t="n">
        <v>59.77</v>
      </c>
      <c r="F468" s="692" t="n"/>
      <c r="G468" s="692" t="n"/>
      <c r="H468" s="692" t="n"/>
      <c r="I468" s="692" t="n"/>
      <c r="J468" s="692" t="n"/>
      <c r="K468" s="692" t="n"/>
      <c r="L468" s="692" t="n"/>
      <c r="M468" s="692" t="n"/>
      <c r="N468" s="692" t="n"/>
      <c r="O468" s="692" t="n"/>
      <c r="P468" s="692" t="n"/>
      <c r="Q468" s="692" t="n"/>
      <c r="R468" s="692" t="n"/>
      <c r="S468" s="692" t="n"/>
      <c r="T468" s="692" t="n"/>
      <c r="U468" s="692" t="n"/>
      <c r="V468" s="692" t="n"/>
      <c r="W468" s="692" t="n"/>
      <c r="X468" s="692" t="n"/>
      <c r="Y468" s="692" t="n"/>
      <c r="Z468" s="692" t="n"/>
      <c r="AA468" s="692" t="n"/>
      <c r="AB468" s="692" t="n"/>
      <c r="AC468" s="692" t="n"/>
      <c r="AD468" s="692" t="n"/>
      <c r="AE468" s="692" t="n"/>
      <c r="AF468" s="692" t="n"/>
      <c r="AG468" s="692" t="n"/>
      <c r="AH468" s="692" t="n"/>
      <c r="AI468" s="692" t="n"/>
      <c r="AJ468" s="692" t="n"/>
      <c r="AK468" s="692" t="n"/>
      <c r="AL468" s="692" t="n"/>
      <c r="AM468" s="692" t="n"/>
      <c r="AN468" s="692" t="n"/>
      <c r="AO468" s="692" t="n"/>
      <c r="AP468" s="692" t="n"/>
      <c r="AQ468" s="692" t="n"/>
      <c r="AR468" s="692" t="n"/>
      <c r="AS468" s="692" t="n"/>
    </row>
    <row r="469">
      <c r="A469" s="427" t="inlineStr">
        <is>
          <t>F</t>
        </is>
      </c>
      <c r="B469" s="616" t="inlineStr">
        <is>
          <t>100 Fly</t>
        </is>
      </c>
      <c r="C469" s="616" t="n">
        <v>19</v>
      </c>
      <c r="D469" s="221" t="n">
        <v>3</v>
      </c>
      <c r="E469" s="127" t="inlineStr">
        <is>
          <t>59.22</t>
        </is>
      </c>
      <c r="F469" s="692" t="n"/>
      <c r="G469" s="692" t="n"/>
      <c r="H469" s="692" t="n"/>
      <c r="I469" s="692" t="n"/>
      <c r="J469" s="692" t="n"/>
      <c r="K469" s="692" t="n"/>
      <c r="L469" s="692" t="n"/>
      <c r="M469" s="692" t="n"/>
      <c r="N469" s="692" t="n"/>
      <c r="O469" s="692" t="n"/>
      <c r="P469" s="692" t="n"/>
      <c r="Q469" s="692" t="n"/>
      <c r="R469" s="692" t="n"/>
      <c r="S469" s="692" t="n"/>
      <c r="T469" s="692" t="n"/>
      <c r="U469" s="692" t="n"/>
      <c r="V469" s="692" t="n"/>
      <c r="W469" s="692" t="n"/>
      <c r="X469" s="692" t="n"/>
      <c r="Y469" s="692" t="n"/>
      <c r="Z469" s="692" t="n"/>
      <c r="AA469" s="692" t="n"/>
      <c r="AB469" s="692" t="n"/>
      <c r="AC469" s="692" t="n"/>
      <c r="AD469" s="692" t="n"/>
      <c r="AE469" s="692" t="n"/>
      <c r="AF469" s="692" t="n"/>
      <c r="AG469" s="692" t="n"/>
      <c r="AH469" s="692" t="n"/>
      <c r="AI469" s="692" t="n"/>
      <c r="AJ469" s="692" t="n"/>
      <c r="AK469" s="692" t="n"/>
      <c r="AL469" s="692" t="n"/>
      <c r="AM469" s="692" t="n"/>
      <c r="AN469" s="692" t="n"/>
      <c r="AO469" s="692" t="n"/>
      <c r="AP469" s="692" t="n"/>
      <c r="AQ469" s="692" t="n"/>
      <c r="AR469" s="692" t="n"/>
      <c r="AS469" s="692" t="n"/>
    </row>
    <row r="470">
      <c r="A470" s="420" t="inlineStr">
        <is>
          <t>F</t>
        </is>
      </c>
      <c r="B470" s="593" t="inlineStr">
        <is>
          <t>100 Fly</t>
        </is>
      </c>
      <c r="C470" s="593" t="n">
        <v>20</v>
      </c>
      <c r="D470" s="219" t="n">
        <v>3</v>
      </c>
      <c r="E470" s="128" t="inlineStr">
        <is>
          <t>58.80</t>
        </is>
      </c>
      <c r="F470" s="692" t="n"/>
      <c r="G470" s="692" t="n"/>
      <c r="H470" s="692" t="n"/>
      <c r="I470" s="692" t="n"/>
      <c r="J470" s="692" t="n"/>
      <c r="K470" s="692" t="n"/>
      <c r="L470" s="692" t="n"/>
      <c r="M470" s="692" t="n"/>
      <c r="N470" s="692" t="n"/>
      <c r="O470" s="692" t="n"/>
      <c r="P470" s="692" t="n"/>
      <c r="Q470" s="692" t="n"/>
      <c r="R470" s="692" t="n"/>
      <c r="S470" s="692" t="n"/>
      <c r="T470" s="692" t="n"/>
      <c r="U470" s="692" t="n"/>
      <c r="V470" s="692" t="n"/>
      <c r="W470" s="692" t="n"/>
      <c r="X470" s="692" t="n"/>
      <c r="Y470" s="692" t="n"/>
      <c r="Z470" s="692" t="n"/>
      <c r="AA470" s="692" t="n"/>
      <c r="AB470" s="692" t="n"/>
      <c r="AC470" s="692" t="n"/>
      <c r="AD470" s="692" t="n"/>
      <c r="AE470" s="692" t="n"/>
      <c r="AF470" s="692" t="n"/>
      <c r="AG470" s="692" t="n"/>
      <c r="AH470" s="692" t="n"/>
      <c r="AI470" s="692" t="n"/>
      <c r="AJ470" s="692" t="n"/>
      <c r="AK470" s="692" t="n"/>
      <c r="AL470" s="692" t="n"/>
      <c r="AM470" s="692" t="n"/>
      <c r="AN470" s="692" t="n"/>
      <c r="AO470" s="692" t="n"/>
      <c r="AP470" s="692" t="n"/>
      <c r="AQ470" s="692" t="n"/>
      <c r="AR470" s="692" t="n"/>
      <c r="AS470" s="692" t="n"/>
    </row>
    <row r="471">
      <c r="A471" s="427" t="inlineStr">
        <is>
          <t>F</t>
        </is>
      </c>
      <c r="B471" s="616" t="inlineStr">
        <is>
          <t>100 Fly</t>
        </is>
      </c>
      <c r="C471" s="616" t="n">
        <v>21</v>
      </c>
      <c r="D471" s="221" t="n">
        <v>3</v>
      </c>
      <c r="E471" s="127" t="inlineStr">
        <is>
          <t>58.52</t>
        </is>
      </c>
      <c r="F471" s="692" t="n"/>
      <c r="G471" s="692" t="n"/>
      <c r="H471" s="692" t="n"/>
      <c r="I471" s="692" t="n"/>
      <c r="J471" s="692" t="n"/>
      <c r="K471" s="692" t="n"/>
      <c r="L471" s="692" t="n"/>
      <c r="M471" s="692" t="n"/>
      <c r="N471" s="692" t="n"/>
      <c r="O471" s="692" t="n"/>
      <c r="P471" s="692" t="n"/>
      <c r="Q471" s="692" t="n"/>
      <c r="R471" s="692" t="n"/>
      <c r="S471" s="692" t="n"/>
      <c r="T471" s="692" t="n"/>
      <c r="U471" s="692" t="n"/>
      <c r="V471" s="692" t="n"/>
      <c r="W471" s="692" t="n"/>
      <c r="X471" s="692" t="n"/>
      <c r="Y471" s="692" t="n"/>
      <c r="Z471" s="692" t="n"/>
      <c r="AA471" s="692" t="n"/>
      <c r="AB471" s="692" t="n"/>
      <c r="AC471" s="692" t="n"/>
      <c r="AD471" s="692" t="n"/>
      <c r="AE471" s="692" t="n"/>
      <c r="AF471" s="692" t="n"/>
      <c r="AG471" s="692" t="n"/>
      <c r="AH471" s="692" t="n"/>
      <c r="AI471" s="692" t="n"/>
      <c r="AJ471" s="692" t="n"/>
      <c r="AK471" s="692" t="n"/>
      <c r="AL471" s="692" t="n"/>
      <c r="AM471" s="692" t="n"/>
      <c r="AN471" s="692" t="n"/>
      <c r="AO471" s="692" t="n"/>
      <c r="AP471" s="692" t="n"/>
      <c r="AQ471" s="692" t="n"/>
      <c r="AR471" s="692" t="n"/>
      <c r="AS471" s="692" t="n"/>
    </row>
    <row r="472">
      <c r="A472" s="420" t="inlineStr">
        <is>
          <t>F</t>
        </is>
      </c>
      <c r="B472" s="593" t="inlineStr">
        <is>
          <t>100 Fly</t>
        </is>
      </c>
      <c r="C472" s="593" t="n">
        <v>22</v>
      </c>
      <c r="D472" s="219" t="n">
        <v>3</v>
      </c>
      <c r="E472" s="128" t="inlineStr">
        <is>
          <t>58.38</t>
        </is>
      </c>
      <c r="F472" s="692" t="n"/>
      <c r="G472" s="692" t="n"/>
      <c r="H472" s="692" t="n"/>
      <c r="I472" s="692" t="n"/>
      <c r="J472" s="692" t="n"/>
      <c r="K472" s="692" t="n"/>
      <c r="L472" s="692" t="n"/>
      <c r="M472" s="692" t="n"/>
      <c r="N472" s="692" t="n"/>
      <c r="O472" s="692" t="n"/>
      <c r="P472" s="692" t="n"/>
      <c r="Q472" s="692" t="n"/>
      <c r="R472" s="692" t="n"/>
      <c r="S472" s="692" t="n"/>
      <c r="T472" s="692" t="n"/>
      <c r="U472" s="692" t="n"/>
      <c r="V472" s="692" t="n"/>
      <c r="W472" s="692" t="n"/>
      <c r="X472" s="692" t="n"/>
      <c r="Y472" s="692" t="n"/>
      <c r="Z472" s="692" t="n"/>
      <c r="AA472" s="692" t="n"/>
      <c r="AB472" s="692" t="n"/>
      <c r="AC472" s="692" t="n"/>
      <c r="AD472" s="692" t="n"/>
      <c r="AE472" s="692" t="n"/>
      <c r="AF472" s="692" t="n"/>
      <c r="AG472" s="692" t="n"/>
      <c r="AH472" s="692" t="n"/>
      <c r="AI472" s="692" t="n"/>
      <c r="AJ472" s="692" t="n"/>
      <c r="AK472" s="692" t="n"/>
      <c r="AL472" s="692" t="n"/>
      <c r="AM472" s="692" t="n"/>
      <c r="AN472" s="692" t="n"/>
      <c r="AO472" s="692" t="n"/>
      <c r="AP472" s="692" t="n"/>
      <c r="AQ472" s="692" t="n"/>
      <c r="AR472" s="692" t="n"/>
      <c r="AS472" s="692" t="n"/>
    </row>
    <row r="473">
      <c r="A473" s="427" t="inlineStr">
        <is>
          <t>F</t>
        </is>
      </c>
      <c r="B473" s="616" t="inlineStr">
        <is>
          <t>100 Fly</t>
        </is>
      </c>
      <c r="C473" s="616" t="n">
        <v>23</v>
      </c>
      <c r="D473" s="221" t="n">
        <v>3</v>
      </c>
      <c r="E473" s="127" t="inlineStr">
        <is>
          <t>58.33</t>
        </is>
      </c>
      <c r="F473" s="692" t="n"/>
      <c r="G473" s="692" t="n"/>
      <c r="H473" s="692" t="n"/>
      <c r="I473" s="692" t="n"/>
      <c r="J473" s="692" t="n"/>
      <c r="K473" s="692" t="n"/>
      <c r="L473" s="692" t="n"/>
      <c r="M473" s="692" t="n"/>
      <c r="N473" s="692" t="n"/>
      <c r="O473" s="692" t="n"/>
      <c r="P473" s="692" t="n"/>
      <c r="Q473" s="692" t="n"/>
      <c r="R473" s="692" t="n"/>
      <c r="S473" s="692" t="n"/>
      <c r="T473" s="692" t="n"/>
      <c r="U473" s="692" t="n"/>
      <c r="V473" s="692" t="n"/>
      <c r="W473" s="692" t="n"/>
      <c r="X473" s="692" t="n"/>
      <c r="Y473" s="692" t="n"/>
      <c r="Z473" s="692" t="n"/>
      <c r="AA473" s="692" t="n"/>
      <c r="AB473" s="692" t="n"/>
      <c r="AC473" s="692" t="n"/>
      <c r="AD473" s="692" t="n"/>
      <c r="AE473" s="692" t="n"/>
      <c r="AF473" s="692" t="n"/>
      <c r="AG473" s="692" t="n"/>
      <c r="AH473" s="692" t="n"/>
      <c r="AI473" s="692" t="n"/>
      <c r="AJ473" s="692" t="n"/>
      <c r="AK473" s="692" t="n"/>
      <c r="AL473" s="692" t="n"/>
      <c r="AM473" s="692" t="n"/>
      <c r="AN473" s="692" t="n"/>
      <c r="AO473" s="692" t="n"/>
      <c r="AP473" s="692" t="n"/>
      <c r="AQ473" s="692" t="n"/>
      <c r="AR473" s="692" t="n"/>
      <c r="AS473" s="692" t="n"/>
    </row>
    <row r="474">
      <c r="A474" s="420" t="inlineStr">
        <is>
          <t>F</t>
        </is>
      </c>
      <c r="B474" s="593" t="inlineStr">
        <is>
          <t>200 Fly</t>
        </is>
      </c>
      <c r="C474" s="593" t="n">
        <v>16</v>
      </c>
      <c r="D474" s="593" t="n">
        <v>3</v>
      </c>
      <c r="E474" s="128" t="inlineStr">
        <is>
          <t>2:13.77</t>
        </is>
      </c>
      <c r="F474" s="692" t="n"/>
      <c r="G474" s="692" t="n"/>
      <c r="H474" s="692" t="n"/>
      <c r="I474" s="692" t="n"/>
      <c r="J474" s="692" t="n"/>
      <c r="K474" s="692" t="n"/>
      <c r="L474" s="692" t="n"/>
      <c r="M474" s="692" t="n"/>
      <c r="N474" s="692" t="n"/>
      <c r="O474" s="692" t="n"/>
      <c r="P474" s="692" t="n"/>
      <c r="Q474" s="692" t="n"/>
      <c r="R474" s="692" t="n"/>
      <c r="S474" s="692" t="n"/>
      <c r="T474" s="692" t="n"/>
      <c r="U474" s="692" t="n"/>
      <c r="V474" s="692" t="n"/>
      <c r="W474" s="692" t="n"/>
      <c r="X474" s="692" t="n"/>
      <c r="Y474" s="692" t="n"/>
      <c r="Z474" s="692" t="n"/>
      <c r="AA474" s="692" t="n"/>
      <c r="AB474" s="692" t="n"/>
      <c r="AC474" s="692" t="n"/>
      <c r="AD474" s="692" t="n"/>
      <c r="AE474" s="692" t="n"/>
      <c r="AF474" s="692" t="n"/>
      <c r="AG474" s="692" t="n"/>
      <c r="AH474" s="692" t="n"/>
      <c r="AI474" s="692" t="n"/>
      <c r="AJ474" s="692" t="n"/>
      <c r="AK474" s="692" t="n"/>
      <c r="AL474" s="692" t="n"/>
      <c r="AM474" s="692" t="n"/>
      <c r="AN474" s="692" t="n"/>
      <c r="AO474" s="692" t="n"/>
      <c r="AP474" s="692" t="n"/>
      <c r="AQ474" s="692" t="n"/>
      <c r="AR474" s="692" t="n"/>
      <c r="AS474" s="692" t="n"/>
    </row>
    <row r="475">
      <c r="A475" s="427" t="inlineStr">
        <is>
          <t>F</t>
        </is>
      </c>
      <c r="B475" s="616" t="inlineStr">
        <is>
          <t>200 Fly</t>
        </is>
      </c>
      <c r="C475" s="616" t="n">
        <v>17</v>
      </c>
      <c r="D475" s="616" t="n">
        <v>3</v>
      </c>
      <c r="E475" s="127" t="inlineStr">
        <is>
          <t>2:12.08</t>
        </is>
      </c>
      <c r="F475" s="692" t="n"/>
      <c r="G475" s="692" t="n"/>
      <c r="H475" s="692" t="n"/>
      <c r="I475" s="692" t="n"/>
      <c r="J475" s="692" t="n"/>
      <c r="K475" s="692" t="n"/>
      <c r="L475" s="692" t="n"/>
      <c r="M475" s="692" t="n"/>
      <c r="N475" s="692" t="n"/>
      <c r="O475" s="692" t="n"/>
      <c r="P475" s="692" t="n"/>
      <c r="Q475" s="692" t="n"/>
      <c r="R475" s="692" t="n"/>
      <c r="S475" s="692" t="n"/>
      <c r="T475" s="692" t="n"/>
      <c r="U475" s="692" t="n"/>
      <c r="V475" s="692" t="n"/>
      <c r="W475" s="692" t="n"/>
      <c r="X475" s="692" t="n"/>
      <c r="Y475" s="692" t="n"/>
      <c r="Z475" s="692" t="n"/>
      <c r="AA475" s="692" t="n"/>
      <c r="AB475" s="692" t="n"/>
      <c r="AC475" s="692" t="n"/>
      <c r="AD475" s="692" t="n"/>
      <c r="AE475" s="692" t="n"/>
      <c r="AF475" s="692" t="n"/>
      <c r="AG475" s="692" t="n"/>
      <c r="AH475" s="692" t="n"/>
      <c r="AI475" s="692" t="n"/>
      <c r="AJ475" s="692" t="n"/>
      <c r="AK475" s="692" t="n"/>
      <c r="AL475" s="692" t="n"/>
      <c r="AM475" s="692" t="n"/>
      <c r="AN475" s="692" t="n"/>
      <c r="AO475" s="692" t="n"/>
      <c r="AP475" s="692" t="n"/>
      <c r="AQ475" s="692" t="n"/>
      <c r="AR475" s="692" t="n"/>
      <c r="AS475" s="692" t="n"/>
    </row>
    <row r="476">
      <c r="A476" s="420" t="inlineStr">
        <is>
          <t>F</t>
        </is>
      </c>
      <c r="B476" s="593" t="inlineStr">
        <is>
          <t>200 Fly</t>
        </is>
      </c>
      <c r="C476" s="593" t="n">
        <v>18</v>
      </c>
      <c r="D476" s="593" t="n">
        <v>3</v>
      </c>
      <c r="E476" s="128" t="inlineStr">
        <is>
          <t>2:11.10</t>
        </is>
      </c>
      <c r="F476" s="692" t="n"/>
      <c r="G476" s="692" t="n"/>
      <c r="H476" s="692" t="n"/>
      <c r="I476" s="692" t="n"/>
      <c r="J476" s="692" t="n"/>
      <c r="K476" s="692" t="n"/>
      <c r="L476" s="692" t="n"/>
      <c r="M476" s="692" t="n"/>
      <c r="N476" s="692" t="n"/>
      <c r="O476" s="692" t="n"/>
      <c r="P476" s="692" t="n"/>
      <c r="Q476" s="692" t="n"/>
      <c r="R476" s="692" t="n"/>
      <c r="S476" s="692" t="n"/>
      <c r="T476" s="692" t="n"/>
      <c r="U476" s="692" t="n"/>
      <c r="V476" s="692" t="n"/>
      <c r="W476" s="692" t="n"/>
      <c r="X476" s="692" t="n"/>
      <c r="Y476" s="692" t="n"/>
      <c r="Z476" s="692" t="n"/>
      <c r="AA476" s="692" t="n"/>
      <c r="AB476" s="692" t="n"/>
      <c r="AC476" s="692" t="n"/>
      <c r="AD476" s="692" t="n"/>
      <c r="AE476" s="692" t="n"/>
      <c r="AF476" s="692" t="n"/>
      <c r="AG476" s="692" t="n"/>
      <c r="AH476" s="692" t="n"/>
      <c r="AI476" s="692" t="n"/>
      <c r="AJ476" s="692" t="n"/>
      <c r="AK476" s="692" t="n"/>
      <c r="AL476" s="692" t="n"/>
      <c r="AM476" s="692" t="n"/>
      <c r="AN476" s="692" t="n"/>
      <c r="AO476" s="692" t="n"/>
      <c r="AP476" s="692" t="n"/>
      <c r="AQ476" s="692" t="n"/>
      <c r="AR476" s="692" t="n"/>
      <c r="AS476" s="692" t="n"/>
    </row>
    <row r="477">
      <c r="A477" s="427" t="inlineStr">
        <is>
          <t>F</t>
        </is>
      </c>
      <c r="B477" s="616" t="inlineStr">
        <is>
          <t>200 Fly</t>
        </is>
      </c>
      <c r="C477" s="616" t="n">
        <v>19</v>
      </c>
      <c r="D477" s="616" t="n">
        <v>3</v>
      </c>
      <c r="E477" s="127" t="inlineStr">
        <is>
          <t>2:10.33</t>
        </is>
      </c>
      <c r="F477" s="692" t="n"/>
      <c r="G477" s="692" t="n"/>
      <c r="H477" s="692" t="n"/>
      <c r="I477" s="692" t="n"/>
      <c r="J477" s="692" t="n"/>
      <c r="K477" s="692" t="n"/>
      <c r="L477" s="692" t="n"/>
      <c r="M477" s="692" t="n"/>
      <c r="N477" s="692" t="n"/>
      <c r="O477" s="692" t="n"/>
      <c r="P477" s="692" t="n"/>
      <c r="Q477" s="692" t="n"/>
      <c r="R477" s="692" t="n"/>
      <c r="S477" s="692" t="n"/>
      <c r="T477" s="692" t="n"/>
      <c r="U477" s="692" t="n"/>
      <c r="V477" s="692" t="n"/>
      <c r="W477" s="692" t="n"/>
      <c r="X477" s="692" t="n"/>
      <c r="Y477" s="692" t="n"/>
      <c r="Z477" s="692" t="n"/>
      <c r="AA477" s="692" t="n"/>
      <c r="AB477" s="692" t="n"/>
      <c r="AC477" s="692" t="n"/>
      <c r="AD477" s="692" t="n"/>
      <c r="AE477" s="692" t="n"/>
      <c r="AF477" s="692" t="n"/>
      <c r="AG477" s="692" t="n"/>
      <c r="AH477" s="692" t="n"/>
      <c r="AI477" s="692" t="n"/>
      <c r="AJ477" s="692" t="n"/>
      <c r="AK477" s="692" t="n"/>
      <c r="AL477" s="692" t="n"/>
      <c r="AM477" s="692" t="n"/>
      <c r="AN477" s="692" t="n"/>
      <c r="AO477" s="692" t="n"/>
      <c r="AP477" s="692" t="n"/>
      <c r="AQ477" s="692" t="n"/>
      <c r="AR477" s="692" t="n"/>
      <c r="AS477" s="692" t="n"/>
    </row>
    <row r="478">
      <c r="A478" s="420" t="inlineStr">
        <is>
          <t>F</t>
        </is>
      </c>
      <c r="B478" s="593" t="inlineStr">
        <is>
          <t>200 Fly</t>
        </is>
      </c>
      <c r="C478" s="593" t="n">
        <v>20</v>
      </c>
      <c r="D478" s="593" t="n">
        <v>3</v>
      </c>
      <c r="E478" s="128" t="inlineStr">
        <is>
          <t>2:09.76</t>
        </is>
      </c>
      <c r="F478" s="692" t="n"/>
      <c r="G478" s="692" t="n"/>
      <c r="H478" s="692" t="n"/>
      <c r="I478" s="692" t="n"/>
      <c r="J478" s="692" t="n"/>
      <c r="K478" s="692" t="n"/>
      <c r="L478" s="692" t="n"/>
      <c r="M478" s="692" t="n"/>
      <c r="N478" s="692" t="n"/>
      <c r="O478" s="692" t="n"/>
      <c r="P478" s="692" t="n"/>
      <c r="Q478" s="692" t="n"/>
      <c r="R478" s="692" t="n"/>
      <c r="S478" s="692" t="n"/>
      <c r="T478" s="692" t="n"/>
      <c r="U478" s="692" t="n"/>
      <c r="V478" s="692" t="n"/>
      <c r="W478" s="692" t="n"/>
      <c r="X478" s="692" t="n"/>
      <c r="Y478" s="692" t="n"/>
      <c r="Z478" s="692" t="n"/>
      <c r="AA478" s="692" t="n"/>
      <c r="AB478" s="692" t="n"/>
      <c r="AC478" s="692" t="n"/>
      <c r="AD478" s="692" t="n"/>
      <c r="AE478" s="692" t="n"/>
      <c r="AF478" s="692" t="n"/>
      <c r="AG478" s="692" t="n"/>
      <c r="AH478" s="692" t="n"/>
      <c r="AI478" s="692" t="n"/>
      <c r="AJ478" s="692" t="n"/>
      <c r="AK478" s="692" t="n"/>
      <c r="AL478" s="692" t="n"/>
      <c r="AM478" s="692" t="n"/>
      <c r="AN478" s="692" t="n"/>
      <c r="AO478" s="692" t="n"/>
      <c r="AP478" s="692" t="n"/>
      <c r="AQ478" s="692" t="n"/>
      <c r="AR478" s="692" t="n"/>
      <c r="AS478" s="692" t="n"/>
    </row>
    <row r="479">
      <c r="A479" s="427" t="inlineStr">
        <is>
          <t>F</t>
        </is>
      </c>
      <c r="B479" s="616" t="inlineStr">
        <is>
          <t>200 Fly</t>
        </is>
      </c>
      <c r="C479" s="616" t="n">
        <v>21</v>
      </c>
      <c r="D479" s="616" t="n">
        <v>3</v>
      </c>
      <c r="E479" s="127" t="inlineStr">
        <is>
          <t>2:09.39</t>
        </is>
      </c>
      <c r="F479" s="692" t="n"/>
      <c r="G479" s="692" t="n"/>
      <c r="H479" s="692" t="n"/>
      <c r="I479" s="692" t="n"/>
      <c r="J479" s="692" t="n"/>
      <c r="K479" s="692" t="n"/>
      <c r="L479" s="692" t="n"/>
      <c r="M479" s="692" t="n"/>
      <c r="N479" s="692" t="n"/>
      <c r="O479" s="692" t="n"/>
      <c r="P479" s="692" t="n"/>
      <c r="Q479" s="692" t="n"/>
      <c r="R479" s="692" t="n"/>
      <c r="S479" s="692" t="n"/>
      <c r="T479" s="692" t="n"/>
      <c r="U479" s="692" t="n"/>
      <c r="V479" s="692" t="n"/>
      <c r="W479" s="692" t="n"/>
      <c r="X479" s="692" t="n"/>
      <c r="Y479" s="692" t="n"/>
      <c r="Z479" s="692" t="n"/>
      <c r="AA479" s="692" t="n"/>
      <c r="AB479" s="692" t="n"/>
      <c r="AC479" s="692" t="n"/>
      <c r="AD479" s="692" t="n"/>
      <c r="AE479" s="692" t="n"/>
      <c r="AF479" s="692" t="n"/>
      <c r="AG479" s="692" t="n"/>
      <c r="AH479" s="692" t="n"/>
      <c r="AI479" s="692" t="n"/>
      <c r="AJ479" s="692" t="n"/>
      <c r="AK479" s="692" t="n"/>
      <c r="AL479" s="692" t="n"/>
      <c r="AM479" s="692" t="n"/>
      <c r="AN479" s="692" t="n"/>
      <c r="AO479" s="692" t="n"/>
      <c r="AP479" s="692" t="n"/>
      <c r="AQ479" s="692" t="n"/>
      <c r="AR479" s="692" t="n"/>
      <c r="AS479" s="692" t="n"/>
    </row>
    <row r="480">
      <c r="A480" s="420" t="inlineStr">
        <is>
          <t>F</t>
        </is>
      </c>
      <c r="B480" s="593" t="inlineStr">
        <is>
          <t>200 Fly</t>
        </is>
      </c>
      <c r="C480" s="593" t="n">
        <v>22</v>
      </c>
      <c r="D480" s="219" t="n">
        <v>3</v>
      </c>
      <c r="E480" s="128" t="inlineStr">
        <is>
          <t>2:09.21</t>
        </is>
      </c>
      <c r="F480" s="692" t="n"/>
      <c r="G480" s="692" t="n"/>
      <c r="H480" s="692" t="n"/>
      <c r="I480" s="692" t="n"/>
      <c r="J480" s="692" t="n"/>
      <c r="K480" s="692" t="n"/>
      <c r="L480" s="692" t="n"/>
      <c r="M480" s="692" t="n"/>
      <c r="N480" s="692" t="n"/>
      <c r="O480" s="692" t="n"/>
      <c r="P480" s="692" t="n"/>
      <c r="Q480" s="692" t="n"/>
      <c r="R480" s="692" t="n"/>
      <c r="S480" s="692" t="n"/>
      <c r="T480" s="692" t="n"/>
      <c r="U480" s="692" t="n"/>
      <c r="V480" s="692" t="n"/>
      <c r="W480" s="692" t="n"/>
      <c r="X480" s="692" t="n"/>
      <c r="Y480" s="692" t="n"/>
      <c r="Z480" s="692" t="n"/>
      <c r="AA480" s="692" t="n"/>
      <c r="AB480" s="692" t="n"/>
      <c r="AC480" s="692" t="n"/>
      <c r="AD480" s="692" t="n"/>
      <c r="AE480" s="692" t="n"/>
      <c r="AF480" s="692" t="n"/>
      <c r="AG480" s="692" t="n"/>
      <c r="AH480" s="692" t="n"/>
      <c r="AI480" s="692" t="n"/>
      <c r="AJ480" s="692" t="n"/>
      <c r="AK480" s="692" t="n"/>
      <c r="AL480" s="692" t="n"/>
      <c r="AM480" s="692" t="n"/>
      <c r="AN480" s="692" t="n"/>
      <c r="AO480" s="692" t="n"/>
      <c r="AP480" s="692" t="n"/>
      <c r="AQ480" s="692" t="n"/>
      <c r="AR480" s="692" t="n"/>
      <c r="AS480" s="692" t="n"/>
    </row>
    <row r="481">
      <c r="A481" s="427" t="inlineStr">
        <is>
          <t>F</t>
        </is>
      </c>
      <c r="B481" s="616" t="inlineStr">
        <is>
          <t>200 IM</t>
        </is>
      </c>
      <c r="C481" s="616" t="n">
        <v>17</v>
      </c>
      <c r="D481" s="221" t="n">
        <v>3</v>
      </c>
      <c r="E481" s="127" t="inlineStr">
        <is>
          <t>2:15.76</t>
        </is>
      </c>
      <c r="F481" s="692" t="n"/>
      <c r="G481" s="692" t="n"/>
      <c r="H481" s="692" t="n"/>
      <c r="I481" s="692" t="n"/>
      <c r="J481" s="692" t="n"/>
      <c r="K481" s="692" t="n"/>
      <c r="L481" s="692" t="n"/>
      <c r="M481" s="692" t="n"/>
      <c r="N481" s="692" t="n"/>
      <c r="O481" s="692" t="n"/>
      <c r="P481" s="692" t="n"/>
      <c r="Q481" s="692" t="n"/>
      <c r="R481" s="692" t="n"/>
      <c r="S481" s="692" t="n"/>
      <c r="T481" s="692" t="n"/>
      <c r="U481" s="692" t="n"/>
      <c r="V481" s="692" t="n"/>
      <c r="W481" s="692" t="n"/>
      <c r="X481" s="692" t="n"/>
      <c r="Y481" s="692" t="n"/>
      <c r="Z481" s="692" t="n"/>
      <c r="AA481" s="692" t="n"/>
      <c r="AB481" s="692" t="n"/>
      <c r="AC481" s="692" t="n"/>
      <c r="AD481" s="692" t="n"/>
      <c r="AE481" s="692" t="n"/>
      <c r="AF481" s="692" t="n"/>
      <c r="AG481" s="692" t="n"/>
      <c r="AH481" s="692" t="n"/>
      <c r="AI481" s="692" t="n"/>
      <c r="AJ481" s="692" t="n"/>
      <c r="AK481" s="692" t="n"/>
      <c r="AL481" s="692" t="n"/>
      <c r="AM481" s="692" t="n"/>
      <c r="AN481" s="692" t="n"/>
      <c r="AO481" s="692" t="n"/>
      <c r="AP481" s="692" t="n"/>
      <c r="AQ481" s="692" t="n"/>
      <c r="AR481" s="692" t="n"/>
      <c r="AS481" s="692" t="n"/>
    </row>
    <row r="482">
      <c r="A482" s="420" t="inlineStr">
        <is>
          <t>F</t>
        </is>
      </c>
      <c r="B482" s="593" t="inlineStr">
        <is>
          <t>200 IM</t>
        </is>
      </c>
      <c r="C482" s="593" t="n">
        <v>18</v>
      </c>
      <c r="D482" s="219" t="n">
        <v>3</v>
      </c>
      <c r="E482" s="128" t="inlineStr">
        <is>
          <t>2:14.82</t>
        </is>
      </c>
      <c r="F482" s="692" t="n"/>
      <c r="G482" s="692" t="n"/>
      <c r="H482" s="692" t="n"/>
      <c r="I482" s="692" t="n"/>
      <c r="J482" s="692" t="n"/>
      <c r="K482" s="692" t="n"/>
      <c r="L482" s="692" t="n"/>
      <c r="M482" s="692" t="n"/>
      <c r="N482" s="692" t="n"/>
      <c r="O482" s="692" t="n"/>
      <c r="P482" s="692" t="n"/>
      <c r="Q482" s="692" t="n"/>
      <c r="R482" s="692" t="n"/>
      <c r="S482" s="692" t="n"/>
      <c r="T482" s="692" t="n"/>
      <c r="U482" s="692" t="n"/>
      <c r="V482" s="692" t="n"/>
      <c r="W482" s="692" t="n"/>
      <c r="X482" s="692" t="n"/>
      <c r="Y482" s="692" t="n"/>
      <c r="Z482" s="692" t="n"/>
      <c r="AA482" s="692" t="n"/>
      <c r="AB482" s="692" t="n"/>
      <c r="AC482" s="692" t="n"/>
      <c r="AD482" s="692" t="n"/>
      <c r="AE482" s="692" t="n"/>
      <c r="AF482" s="692" t="n"/>
      <c r="AG482" s="692" t="n"/>
      <c r="AH482" s="692" t="n"/>
      <c r="AI482" s="692" t="n"/>
      <c r="AJ482" s="692" t="n"/>
      <c r="AK482" s="692" t="n"/>
      <c r="AL482" s="692" t="n"/>
      <c r="AM482" s="692" t="n"/>
      <c r="AN482" s="692" t="n"/>
      <c r="AO482" s="692" t="n"/>
      <c r="AP482" s="692" t="n"/>
      <c r="AQ482" s="692" t="n"/>
      <c r="AR482" s="692" t="n"/>
      <c r="AS482" s="692" t="n"/>
    </row>
    <row r="483">
      <c r="A483" s="427" t="inlineStr">
        <is>
          <t>F</t>
        </is>
      </c>
      <c r="B483" s="616" t="inlineStr">
        <is>
          <t>200 IM</t>
        </is>
      </c>
      <c r="C483" s="616" t="n">
        <v>19</v>
      </c>
      <c r="D483" s="221" t="n">
        <v>3</v>
      </c>
      <c r="E483" s="127" t="inlineStr">
        <is>
          <t>2:14.17</t>
        </is>
      </c>
      <c r="F483" s="692" t="n"/>
      <c r="G483" s="692" t="n"/>
      <c r="H483" s="692" t="n"/>
      <c r="I483" s="692" t="n"/>
      <c r="J483" s="692" t="n"/>
      <c r="K483" s="692" t="n"/>
      <c r="L483" s="692" t="n"/>
      <c r="M483" s="692" t="n"/>
      <c r="N483" s="692" t="n"/>
      <c r="O483" s="692" t="n"/>
      <c r="P483" s="692" t="n"/>
      <c r="Q483" s="692" t="n"/>
      <c r="R483" s="692" t="n"/>
      <c r="S483" s="692" t="n"/>
      <c r="T483" s="692" t="n"/>
      <c r="U483" s="692" t="n"/>
      <c r="V483" s="692" t="n"/>
      <c r="W483" s="692" t="n"/>
      <c r="X483" s="692" t="n"/>
      <c r="Y483" s="692" t="n"/>
      <c r="Z483" s="692" t="n"/>
      <c r="AA483" s="692" t="n"/>
      <c r="AB483" s="692" t="n"/>
      <c r="AC483" s="692" t="n"/>
      <c r="AD483" s="692" t="n"/>
      <c r="AE483" s="692" t="n"/>
      <c r="AF483" s="692" t="n"/>
      <c r="AG483" s="692" t="n"/>
      <c r="AH483" s="692" t="n"/>
      <c r="AI483" s="692" t="n"/>
      <c r="AJ483" s="692" t="n"/>
      <c r="AK483" s="692" t="n"/>
      <c r="AL483" s="692" t="n"/>
      <c r="AM483" s="692" t="n"/>
      <c r="AN483" s="692" t="n"/>
      <c r="AO483" s="692" t="n"/>
      <c r="AP483" s="692" t="n"/>
      <c r="AQ483" s="692" t="n"/>
      <c r="AR483" s="692" t="n"/>
      <c r="AS483" s="692" t="n"/>
    </row>
    <row r="484">
      <c r="A484" s="420" t="inlineStr">
        <is>
          <t>F</t>
        </is>
      </c>
      <c r="B484" s="593" t="inlineStr">
        <is>
          <t>200 IM</t>
        </is>
      </c>
      <c r="C484" s="593" t="n">
        <v>20</v>
      </c>
      <c r="D484" s="219" t="n">
        <v>3</v>
      </c>
      <c r="E484" s="128" t="inlineStr">
        <is>
          <t>2:13.65</t>
        </is>
      </c>
      <c r="F484" s="692" t="n"/>
      <c r="G484" s="692" t="n"/>
      <c r="H484" s="692" t="n"/>
      <c r="I484" s="692" t="n"/>
      <c r="J484" s="692" t="n"/>
      <c r="K484" s="692" t="n"/>
      <c r="L484" s="692" t="n"/>
      <c r="M484" s="692" t="n"/>
      <c r="N484" s="692" t="n"/>
      <c r="O484" s="692" t="n"/>
      <c r="P484" s="692" t="n"/>
      <c r="Q484" s="692" t="n"/>
      <c r="R484" s="692" t="n"/>
      <c r="S484" s="692" t="n"/>
      <c r="T484" s="692" t="n"/>
      <c r="U484" s="692" t="n"/>
      <c r="V484" s="692" t="n"/>
      <c r="W484" s="692" t="n"/>
      <c r="X484" s="692" t="n"/>
      <c r="Y484" s="692" t="n"/>
      <c r="Z484" s="692" t="n"/>
      <c r="AA484" s="692" t="n"/>
      <c r="AB484" s="692" t="n"/>
      <c r="AC484" s="692" t="n"/>
      <c r="AD484" s="692" t="n"/>
      <c r="AE484" s="692" t="n"/>
      <c r="AF484" s="692" t="n"/>
      <c r="AG484" s="692" t="n"/>
      <c r="AH484" s="692" t="n"/>
      <c r="AI484" s="692" t="n"/>
      <c r="AJ484" s="692" t="n"/>
      <c r="AK484" s="692" t="n"/>
      <c r="AL484" s="692" t="n"/>
      <c r="AM484" s="692" t="n"/>
      <c r="AN484" s="692" t="n"/>
      <c r="AO484" s="692" t="n"/>
      <c r="AP484" s="692" t="n"/>
      <c r="AQ484" s="692" t="n"/>
      <c r="AR484" s="692" t="n"/>
      <c r="AS484" s="692" t="n"/>
    </row>
    <row r="485">
      <c r="A485" s="427" t="inlineStr">
        <is>
          <t>F</t>
        </is>
      </c>
      <c r="B485" s="616" t="inlineStr">
        <is>
          <t>200 IM</t>
        </is>
      </c>
      <c r="C485" s="616" t="n">
        <v>21</v>
      </c>
      <c r="D485" s="221" t="n">
        <v>3</v>
      </c>
      <c r="E485" s="127" t="inlineStr">
        <is>
          <t>2:13.22</t>
        </is>
      </c>
      <c r="F485" s="692" t="n"/>
      <c r="G485" s="692" t="n"/>
      <c r="H485" s="692" t="n"/>
      <c r="I485" s="692" t="n"/>
      <c r="J485" s="692" t="n"/>
      <c r="K485" s="692" t="n"/>
      <c r="L485" s="692" t="n"/>
      <c r="M485" s="692" t="n"/>
      <c r="N485" s="692" t="n"/>
      <c r="O485" s="692" t="n"/>
      <c r="P485" s="692" t="n"/>
      <c r="Q485" s="692" t="n"/>
      <c r="R485" s="692" t="n"/>
      <c r="S485" s="692" t="n"/>
      <c r="T485" s="692" t="n"/>
      <c r="U485" s="692" t="n"/>
      <c r="V485" s="692" t="n"/>
      <c r="W485" s="692" t="n"/>
      <c r="X485" s="692" t="n"/>
      <c r="Y485" s="692" t="n"/>
      <c r="Z485" s="692" t="n"/>
      <c r="AA485" s="692" t="n"/>
      <c r="AB485" s="692" t="n"/>
      <c r="AC485" s="692" t="n"/>
      <c r="AD485" s="692" t="n"/>
      <c r="AE485" s="692" t="n"/>
      <c r="AF485" s="692" t="n"/>
      <c r="AG485" s="692" t="n"/>
      <c r="AH485" s="692" t="n"/>
      <c r="AI485" s="692" t="n"/>
      <c r="AJ485" s="692" t="n"/>
      <c r="AK485" s="692" t="n"/>
      <c r="AL485" s="692" t="n"/>
      <c r="AM485" s="692" t="n"/>
      <c r="AN485" s="692" t="n"/>
      <c r="AO485" s="692" t="n"/>
      <c r="AP485" s="692" t="n"/>
      <c r="AQ485" s="692" t="n"/>
      <c r="AR485" s="692" t="n"/>
      <c r="AS485" s="692" t="n"/>
    </row>
    <row r="486">
      <c r="A486" s="420" t="inlineStr">
        <is>
          <t>F</t>
        </is>
      </c>
      <c r="B486" s="593" t="inlineStr">
        <is>
          <t>200 IM</t>
        </is>
      </c>
      <c r="C486" s="593" t="n">
        <v>22</v>
      </c>
      <c r="D486" s="219" t="n">
        <v>3</v>
      </c>
      <c r="E486" s="128" t="inlineStr">
        <is>
          <t>2:12.95</t>
        </is>
      </c>
      <c r="F486" s="692" t="n"/>
      <c r="G486" s="692" t="n"/>
      <c r="H486" s="692" t="n"/>
      <c r="I486" s="692" t="n"/>
      <c r="J486" s="692" t="n"/>
      <c r="K486" s="692" t="n"/>
      <c r="L486" s="692" t="n"/>
      <c r="M486" s="692" t="n"/>
      <c r="N486" s="692" t="n"/>
      <c r="O486" s="692" t="n"/>
      <c r="P486" s="692" t="n"/>
      <c r="Q486" s="692" t="n"/>
      <c r="R486" s="692" t="n"/>
      <c r="S486" s="692" t="n"/>
      <c r="T486" s="692" t="n"/>
      <c r="U486" s="692" t="n"/>
      <c r="V486" s="692" t="n"/>
      <c r="W486" s="692" t="n"/>
      <c r="X486" s="692" t="n"/>
      <c r="Y486" s="692" t="n"/>
      <c r="Z486" s="692" t="n"/>
      <c r="AA486" s="692" t="n"/>
      <c r="AB486" s="692" t="n"/>
      <c r="AC486" s="692" t="n"/>
      <c r="AD486" s="692" t="n"/>
      <c r="AE486" s="692" t="n"/>
      <c r="AF486" s="692" t="n"/>
      <c r="AG486" s="692" t="n"/>
      <c r="AH486" s="692" t="n"/>
      <c r="AI486" s="692" t="n"/>
      <c r="AJ486" s="692" t="n"/>
      <c r="AK486" s="692" t="n"/>
      <c r="AL486" s="692" t="n"/>
      <c r="AM486" s="692" t="n"/>
      <c r="AN486" s="692" t="n"/>
      <c r="AO486" s="692" t="n"/>
      <c r="AP486" s="692" t="n"/>
      <c r="AQ486" s="692" t="n"/>
      <c r="AR486" s="692" t="n"/>
      <c r="AS486" s="692" t="n"/>
    </row>
    <row r="487">
      <c r="A487" s="427" t="inlineStr">
        <is>
          <t>F</t>
        </is>
      </c>
      <c r="B487" s="616" t="inlineStr">
        <is>
          <t>200 IM</t>
        </is>
      </c>
      <c r="C487" s="616" t="n">
        <v>23</v>
      </c>
      <c r="D487" s="221" t="n">
        <v>3</v>
      </c>
      <c r="E487" s="127" t="inlineStr">
        <is>
          <t>2:12.83</t>
        </is>
      </c>
      <c r="F487" s="692" t="n"/>
      <c r="G487" s="692" t="n"/>
      <c r="H487" s="692" t="n"/>
      <c r="I487" s="692" t="n"/>
      <c r="J487" s="692" t="n"/>
      <c r="K487" s="692" t="n"/>
      <c r="L487" s="692" t="n"/>
      <c r="M487" s="692" t="n"/>
      <c r="N487" s="692" t="n"/>
      <c r="O487" s="692" t="n"/>
      <c r="P487" s="692" t="n"/>
      <c r="Q487" s="692" t="n"/>
      <c r="R487" s="692" t="n"/>
      <c r="S487" s="692" t="n"/>
      <c r="T487" s="692" t="n"/>
      <c r="U487" s="692" t="n"/>
      <c r="V487" s="692" t="n"/>
      <c r="W487" s="692" t="n"/>
      <c r="X487" s="692" t="n"/>
      <c r="Y487" s="692" t="n"/>
      <c r="Z487" s="692" t="n"/>
      <c r="AA487" s="692" t="n"/>
      <c r="AB487" s="692" t="n"/>
      <c r="AC487" s="692" t="n"/>
      <c r="AD487" s="692" t="n"/>
      <c r="AE487" s="692" t="n"/>
      <c r="AF487" s="692" t="n"/>
      <c r="AG487" s="692" t="n"/>
      <c r="AH487" s="692" t="n"/>
      <c r="AI487" s="692" t="n"/>
      <c r="AJ487" s="692" t="n"/>
      <c r="AK487" s="692" t="n"/>
      <c r="AL487" s="692" t="n"/>
      <c r="AM487" s="692" t="n"/>
      <c r="AN487" s="692" t="n"/>
      <c r="AO487" s="692" t="n"/>
      <c r="AP487" s="692" t="n"/>
      <c r="AQ487" s="692" t="n"/>
      <c r="AR487" s="692" t="n"/>
      <c r="AS487" s="692" t="n"/>
    </row>
    <row r="488">
      <c r="A488" s="420" t="inlineStr">
        <is>
          <t>F</t>
        </is>
      </c>
      <c r="B488" s="593" t="inlineStr">
        <is>
          <t>400 IM</t>
        </is>
      </c>
      <c r="C488" s="593" t="n">
        <v>15</v>
      </c>
      <c r="D488" s="593" t="n">
        <v>3</v>
      </c>
      <c r="E488" s="128" t="inlineStr">
        <is>
          <t>4:54.88</t>
        </is>
      </c>
      <c r="F488" s="692" t="n"/>
      <c r="G488" s="692" t="n"/>
      <c r="H488" s="692" t="n"/>
      <c r="I488" s="692" t="n"/>
      <c r="J488" s="692" t="n"/>
      <c r="K488" s="692" t="n"/>
      <c r="L488" s="692" t="n"/>
      <c r="M488" s="692" t="n"/>
      <c r="N488" s="692" t="n"/>
      <c r="O488" s="692" t="n"/>
      <c r="P488" s="692" t="n"/>
      <c r="Q488" s="692" t="n"/>
      <c r="R488" s="692" t="n"/>
      <c r="S488" s="692" t="n"/>
      <c r="T488" s="692" t="n"/>
      <c r="U488" s="692" t="n"/>
      <c r="V488" s="692" t="n"/>
      <c r="W488" s="692" t="n"/>
      <c r="X488" s="692" t="n"/>
      <c r="Y488" s="692" t="n"/>
      <c r="Z488" s="692" t="n"/>
      <c r="AA488" s="692" t="n"/>
      <c r="AB488" s="692" t="n"/>
      <c r="AC488" s="692" t="n"/>
      <c r="AD488" s="692" t="n"/>
      <c r="AE488" s="692" t="n"/>
      <c r="AF488" s="692" t="n"/>
      <c r="AG488" s="692" t="n"/>
      <c r="AH488" s="692" t="n"/>
      <c r="AI488" s="692" t="n"/>
      <c r="AJ488" s="692" t="n"/>
      <c r="AK488" s="692" t="n"/>
      <c r="AL488" s="692" t="n"/>
      <c r="AM488" s="692" t="n"/>
      <c r="AN488" s="692" t="n"/>
      <c r="AO488" s="692" t="n"/>
      <c r="AP488" s="692" t="n"/>
      <c r="AQ488" s="692" t="n"/>
      <c r="AR488" s="692" t="n"/>
      <c r="AS488" s="692" t="n"/>
    </row>
    <row r="489">
      <c r="A489" s="427" t="inlineStr">
        <is>
          <t>F</t>
        </is>
      </c>
      <c r="B489" s="616" t="inlineStr">
        <is>
          <t>400 IM</t>
        </is>
      </c>
      <c r="C489" s="616" t="n">
        <v>16</v>
      </c>
      <c r="D489" s="616" t="n">
        <v>3</v>
      </c>
      <c r="E489" s="127" t="inlineStr">
        <is>
          <t>4:49.79</t>
        </is>
      </c>
      <c r="F489" s="692" t="n"/>
      <c r="G489" s="692" t="n"/>
      <c r="H489" s="692" t="n"/>
      <c r="I489" s="692" t="n"/>
      <c r="J489" s="692" t="n"/>
      <c r="K489" s="692" t="n"/>
      <c r="L489" s="692" t="n"/>
      <c r="M489" s="692" t="n"/>
      <c r="N489" s="692" t="n"/>
      <c r="O489" s="692" t="n"/>
      <c r="P489" s="692" t="n"/>
      <c r="Q489" s="692" t="n"/>
      <c r="R489" s="692" t="n"/>
      <c r="S489" s="692" t="n"/>
      <c r="T489" s="692" t="n"/>
      <c r="U489" s="692" t="n"/>
      <c r="V489" s="692" t="n"/>
      <c r="W489" s="692" t="n"/>
      <c r="X489" s="692" t="n"/>
      <c r="Y489" s="692" t="n"/>
      <c r="Z489" s="692" t="n"/>
      <c r="AA489" s="692" t="n"/>
      <c r="AB489" s="692" t="n"/>
      <c r="AC489" s="692" t="n"/>
      <c r="AD489" s="692" t="n"/>
      <c r="AE489" s="692" t="n"/>
      <c r="AF489" s="692" t="n"/>
      <c r="AG489" s="692" t="n"/>
      <c r="AH489" s="692" t="n"/>
      <c r="AI489" s="692" t="n"/>
      <c r="AJ489" s="692" t="n"/>
      <c r="AK489" s="692" t="n"/>
      <c r="AL489" s="692" t="n"/>
      <c r="AM489" s="692" t="n"/>
      <c r="AN489" s="692" t="n"/>
      <c r="AO489" s="692" t="n"/>
      <c r="AP489" s="692" t="n"/>
      <c r="AQ489" s="692" t="n"/>
      <c r="AR489" s="692" t="n"/>
      <c r="AS489" s="692" t="n"/>
    </row>
    <row r="490">
      <c r="A490" s="420" t="inlineStr">
        <is>
          <t>F</t>
        </is>
      </c>
      <c r="B490" s="593" t="inlineStr">
        <is>
          <t>400 IM</t>
        </is>
      </c>
      <c r="C490" s="593" t="n">
        <v>17</v>
      </c>
      <c r="D490" s="593" t="n">
        <v>3</v>
      </c>
      <c r="E490" s="128" t="inlineStr">
        <is>
          <t>4:46.61</t>
        </is>
      </c>
      <c r="F490" s="692" t="n"/>
      <c r="G490" s="692" t="n"/>
      <c r="H490" s="692" t="n"/>
      <c r="I490" s="692" t="n"/>
      <c r="J490" s="692" t="n"/>
      <c r="K490" s="692" t="n"/>
      <c r="L490" s="692" t="n"/>
      <c r="M490" s="692" t="n"/>
      <c r="N490" s="692" t="n"/>
      <c r="O490" s="692" t="n"/>
      <c r="P490" s="692" t="n"/>
      <c r="Q490" s="692" t="n"/>
      <c r="R490" s="692" t="n"/>
      <c r="S490" s="692" t="n"/>
      <c r="T490" s="692" t="n"/>
      <c r="U490" s="692" t="n"/>
      <c r="V490" s="692" t="n"/>
      <c r="W490" s="692" t="n"/>
      <c r="X490" s="692" t="n"/>
      <c r="Y490" s="692" t="n"/>
      <c r="Z490" s="692" t="n"/>
      <c r="AA490" s="692" t="n"/>
      <c r="AB490" s="692" t="n"/>
      <c r="AC490" s="692" t="n"/>
      <c r="AD490" s="692" t="n"/>
      <c r="AE490" s="692" t="n"/>
      <c r="AF490" s="692" t="n"/>
      <c r="AG490" s="692" t="n"/>
      <c r="AH490" s="692" t="n"/>
      <c r="AI490" s="692" t="n"/>
      <c r="AJ490" s="692" t="n"/>
      <c r="AK490" s="692" t="n"/>
      <c r="AL490" s="692" t="n"/>
      <c r="AM490" s="692" t="n"/>
      <c r="AN490" s="692" t="n"/>
      <c r="AO490" s="692" t="n"/>
      <c r="AP490" s="692" t="n"/>
      <c r="AQ490" s="692" t="n"/>
      <c r="AR490" s="692" t="n"/>
      <c r="AS490" s="692" t="n"/>
    </row>
    <row r="491">
      <c r="A491" s="427" t="inlineStr">
        <is>
          <t>F</t>
        </is>
      </c>
      <c r="B491" s="616" t="inlineStr">
        <is>
          <t>400 IM</t>
        </is>
      </c>
      <c r="C491" s="616" t="n">
        <v>18</v>
      </c>
      <c r="D491" s="616" t="n">
        <v>3</v>
      </c>
      <c r="E491" s="127" t="inlineStr">
        <is>
          <t>4:44.74</t>
        </is>
      </c>
      <c r="F491" s="692" t="n"/>
      <c r="G491" s="692" t="n"/>
      <c r="H491" s="692" t="n"/>
      <c r="I491" s="692" t="n"/>
      <c r="J491" s="692" t="n"/>
      <c r="K491" s="692" t="n"/>
      <c r="L491" s="692" t="n"/>
      <c r="M491" s="692" t="n"/>
      <c r="N491" s="692" t="n"/>
      <c r="O491" s="692" t="n"/>
      <c r="P491" s="692" t="n"/>
      <c r="Q491" s="692" t="n"/>
      <c r="R491" s="692" t="n"/>
      <c r="S491" s="692" t="n"/>
      <c r="T491" s="692" t="n"/>
      <c r="U491" s="692" t="n"/>
      <c r="V491" s="692" t="n"/>
      <c r="W491" s="692" t="n"/>
      <c r="X491" s="692" t="n"/>
      <c r="Y491" s="692" t="n"/>
      <c r="Z491" s="692" t="n"/>
      <c r="AA491" s="692" t="n"/>
      <c r="AB491" s="692" t="n"/>
      <c r="AC491" s="692" t="n"/>
      <c r="AD491" s="692" t="n"/>
      <c r="AE491" s="692" t="n"/>
      <c r="AF491" s="692" t="n"/>
      <c r="AG491" s="692" t="n"/>
      <c r="AH491" s="692" t="n"/>
      <c r="AI491" s="692" t="n"/>
      <c r="AJ491" s="692" t="n"/>
      <c r="AK491" s="692" t="n"/>
      <c r="AL491" s="692" t="n"/>
      <c r="AM491" s="692" t="n"/>
      <c r="AN491" s="692" t="n"/>
      <c r="AO491" s="692" t="n"/>
      <c r="AP491" s="692" t="n"/>
      <c r="AQ491" s="692" t="n"/>
      <c r="AR491" s="692" t="n"/>
      <c r="AS491" s="692" t="n"/>
    </row>
    <row r="492">
      <c r="A492" s="420" t="inlineStr">
        <is>
          <t>F</t>
        </is>
      </c>
      <c r="B492" s="593" t="inlineStr">
        <is>
          <t>400 IM</t>
        </is>
      </c>
      <c r="C492" s="593" t="n">
        <v>19</v>
      </c>
      <c r="D492" s="593" t="n">
        <v>3</v>
      </c>
      <c r="E492" s="128" t="inlineStr">
        <is>
          <t>4:43.69</t>
        </is>
      </c>
      <c r="F492" s="692" t="n"/>
      <c r="G492" s="692" t="n"/>
      <c r="H492" s="692" t="n"/>
      <c r="I492" s="692" t="n"/>
      <c r="J492" s="692" t="n"/>
      <c r="K492" s="692" t="n"/>
      <c r="L492" s="692" t="n"/>
      <c r="M492" s="692" t="n"/>
      <c r="N492" s="692" t="n"/>
      <c r="O492" s="692" t="n"/>
      <c r="P492" s="692" t="n"/>
      <c r="Q492" s="692" t="n"/>
      <c r="R492" s="692" t="n"/>
      <c r="S492" s="692" t="n"/>
      <c r="T492" s="692" t="n"/>
      <c r="U492" s="692" t="n"/>
      <c r="V492" s="692" t="n"/>
      <c r="W492" s="692" t="n"/>
      <c r="X492" s="692" t="n"/>
      <c r="Y492" s="692" t="n"/>
      <c r="Z492" s="692" t="n"/>
      <c r="AA492" s="692" t="n"/>
      <c r="AB492" s="692" t="n"/>
      <c r="AC492" s="692" t="n"/>
      <c r="AD492" s="692" t="n"/>
      <c r="AE492" s="692" t="n"/>
      <c r="AF492" s="692" t="n"/>
      <c r="AG492" s="692" t="n"/>
      <c r="AH492" s="692" t="n"/>
      <c r="AI492" s="692" t="n"/>
      <c r="AJ492" s="692" t="n"/>
      <c r="AK492" s="692" t="n"/>
      <c r="AL492" s="692" t="n"/>
      <c r="AM492" s="692" t="n"/>
      <c r="AN492" s="692" t="n"/>
      <c r="AO492" s="692" t="n"/>
      <c r="AP492" s="692" t="n"/>
      <c r="AQ492" s="692" t="n"/>
      <c r="AR492" s="692" t="n"/>
      <c r="AS492" s="692" t="n"/>
    </row>
    <row r="493">
      <c r="A493" s="427" t="inlineStr">
        <is>
          <t>F</t>
        </is>
      </c>
      <c r="B493" s="616" t="inlineStr">
        <is>
          <t>400 IM</t>
        </is>
      </c>
      <c r="C493" s="616" t="n">
        <v>20</v>
      </c>
      <c r="D493" s="616" t="n">
        <v>3</v>
      </c>
      <c r="E493" s="127" t="inlineStr">
        <is>
          <t>4:43.24</t>
        </is>
      </c>
      <c r="F493" s="692" t="n"/>
      <c r="G493" s="692" t="n"/>
      <c r="H493" s="692" t="n"/>
      <c r="I493" s="692" t="n"/>
      <c r="J493" s="692" t="n"/>
      <c r="K493" s="692" t="n"/>
      <c r="L493" s="692" t="n"/>
      <c r="M493" s="692" t="n"/>
      <c r="N493" s="692" t="n"/>
      <c r="O493" s="692" t="n"/>
      <c r="P493" s="692" t="n"/>
      <c r="Q493" s="692" t="n"/>
      <c r="R493" s="692" t="n"/>
      <c r="S493" s="692" t="n"/>
      <c r="T493" s="692" t="n"/>
      <c r="U493" s="692" t="n"/>
      <c r="V493" s="692" t="n"/>
      <c r="W493" s="692" t="n"/>
      <c r="X493" s="692" t="n"/>
      <c r="Y493" s="692" t="n"/>
      <c r="Z493" s="692" t="n"/>
      <c r="AA493" s="692" t="n"/>
      <c r="AB493" s="692" t="n"/>
      <c r="AC493" s="692" t="n"/>
      <c r="AD493" s="692" t="n"/>
      <c r="AE493" s="692" t="n"/>
      <c r="AF493" s="692" t="n"/>
      <c r="AG493" s="692" t="n"/>
      <c r="AH493" s="692" t="n"/>
      <c r="AI493" s="692" t="n"/>
      <c r="AJ493" s="692" t="n"/>
      <c r="AK493" s="692" t="n"/>
      <c r="AL493" s="692" t="n"/>
      <c r="AM493" s="692" t="n"/>
      <c r="AN493" s="692" t="n"/>
      <c r="AO493" s="692" t="n"/>
      <c r="AP493" s="692" t="n"/>
      <c r="AQ493" s="692" t="n"/>
      <c r="AR493" s="692" t="n"/>
      <c r="AS493" s="692" t="n"/>
    </row>
    <row r="494">
      <c r="A494" s="420" t="inlineStr">
        <is>
          <t>F</t>
        </is>
      </c>
      <c r="B494" s="593" t="inlineStr">
        <is>
          <t>400 IM</t>
        </is>
      </c>
      <c r="C494" s="593" t="n">
        <v>21</v>
      </c>
      <c r="D494" s="219" t="n">
        <v>3</v>
      </c>
      <c r="E494" s="128" t="inlineStr">
        <is>
          <t>4:43.06</t>
        </is>
      </c>
      <c r="F494" s="692" t="n"/>
      <c r="G494" s="692" t="n"/>
      <c r="H494" s="692" t="n"/>
      <c r="I494" s="692" t="n"/>
      <c r="J494" s="692" t="n"/>
      <c r="K494" s="692" t="n"/>
      <c r="L494" s="692" t="n"/>
      <c r="M494" s="692" t="n"/>
      <c r="N494" s="692" t="n"/>
      <c r="O494" s="692" t="n"/>
      <c r="P494" s="692" t="n"/>
      <c r="Q494" s="692" t="n"/>
      <c r="R494" s="692" t="n"/>
      <c r="S494" s="692" t="n"/>
      <c r="T494" s="692" t="n"/>
      <c r="U494" s="692" t="n"/>
      <c r="V494" s="692" t="n"/>
      <c r="W494" s="692" t="n"/>
      <c r="X494" s="692" t="n"/>
      <c r="Y494" s="692" t="n"/>
      <c r="Z494" s="692" t="n"/>
      <c r="AA494" s="692" t="n"/>
      <c r="AB494" s="692" t="n"/>
      <c r="AC494" s="692" t="n"/>
      <c r="AD494" s="692" t="n"/>
      <c r="AE494" s="692" t="n"/>
      <c r="AF494" s="692" t="n"/>
      <c r="AG494" s="692" t="n"/>
      <c r="AH494" s="692" t="n"/>
      <c r="AI494" s="692" t="n"/>
      <c r="AJ494" s="692" t="n"/>
      <c r="AK494" s="692" t="n"/>
      <c r="AL494" s="692" t="n"/>
      <c r="AM494" s="692" t="n"/>
      <c r="AN494" s="692" t="n"/>
      <c r="AO494" s="692" t="n"/>
      <c r="AP494" s="692" t="n"/>
      <c r="AQ494" s="692" t="n"/>
      <c r="AR494" s="692" t="n"/>
      <c r="AS494" s="692" t="n"/>
    </row>
    <row r="495">
      <c r="A495" s="427" t="inlineStr">
        <is>
          <t>M</t>
        </is>
      </c>
      <c r="B495" s="616" t="inlineStr">
        <is>
          <t>50 Free</t>
        </is>
      </c>
      <c r="C495" s="616" t="n">
        <v>19</v>
      </c>
      <c r="D495" s="616" t="n">
        <v>3</v>
      </c>
      <c r="E495" s="127" t="inlineStr">
        <is>
          <t>22.74</t>
        </is>
      </c>
      <c r="F495" s="692" t="n"/>
      <c r="G495" s="692" t="n"/>
      <c r="H495" s="692" t="n"/>
      <c r="I495" s="692" t="n"/>
      <c r="J495" s="692" t="n"/>
      <c r="K495" s="692" t="n"/>
      <c r="L495" s="692" t="n"/>
      <c r="M495" s="692" t="n"/>
      <c r="N495" s="692" t="n"/>
      <c r="O495" s="692" t="n"/>
      <c r="P495" s="692" t="n"/>
      <c r="Q495" s="692" t="n"/>
      <c r="R495" s="692" t="n"/>
      <c r="S495" s="692" t="n"/>
      <c r="T495" s="692" t="n"/>
      <c r="U495" s="692" t="n"/>
      <c r="V495" s="692" t="n"/>
      <c r="W495" s="692" t="n"/>
      <c r="X495" s="692" t="n"/>
      <c r="Y495" s="692" t="n"/>
      <c r="Z495" s="692" t="n"/>
      <c r="AA495" s="692" t="n"/>
      <c r="AB495" s="692" t="n"/>
      <c r="AC495" s="692" t="n"/>
      <c r="AD495" s="692" t="n"/>
      <c r="AE495" s="692" t="n"/>
      <c r="AF495" s="692" t="n"/>
      <c r="AG495" s="692" t="n"/>
      <c r="AH495" s="692" t="n"/>
      <c r="AI495" s="692" t="n"/>
      <c r="AJ495" s="692" t="n"/>
      <c r="AK495" s="692" t="n"/>
      <c r="AL495" s="692" t="n"/>
      <c r="AM495" s="692" t="n"/>
      <c r="AN495" s="692" t="n"/>
      <c r="AO495" s="692" t="n"/>
      <c r="AP495" s="692" t="n"/>
      <c r="AQ495" s="692" t="n"/>
      <c r="AR495" s="692" t="n"/>
      <c r="AS495" s="692" t="n"/>
    </row>
    <row r="496">
      <c r="A496" s="420" t="inlineStr">
        <is>
          <t>M</t>
        </is>
      </c>
      <c r="B496" s="593" t="inlineStr">
        <is>
          <t>50 Free</t>
        </is>
      </c>
      <c r="C496" s="593" t="n">
        <v>20</v>
      </c>
      <c r="D496" s="593" t="n">
        <v>3</v>
      </c>
      <c r="E496" s="128" t="inlineStr">
        <is>
          <t>22.46</t>
        </is>
      </c>
      <c r="F496" s="692" t="n"/>
      <c r="G496" s="692" t="n"/>
      <c r="H496" s="692" t="n"/>
      <c r="I496" s="692" t="n"/>
      <c r="J496" s="692" t="n"/>
      <c r="K496" s="692" t="n"/>
      <c r="L496" s="692" t="n"/>
      <c r="M496" s="692" t="n"/>
      <c r="N496" s="692" t="n"/>
      <c r="O496" s="692" t="n"/>
      <c r="P496" s="692" t="n"/>
      <c r="Q496" s="692" t="n"/>
      <c r="R496" s="692" t="n"/>
      <c r="S496" s="692" t="n"/>
      <c r="T496" s="692" t="n"/>
      <c r="U496" s="692" t="n"/>
      <c r="V496" s="692" t="n"/>
      <c r="W496" s="692" t="n"/>
      <c r="X496" s="692" t="n"/>
      <c r="Y496" s="692" t="n"/>
      <c r="Z496" s="692" t="n"/>
      <c r="AA496" s="692" t="n"/>
      <c r="AB496" s="692" t="n"/>
      <c r="AC496" s="692" t="n"/>
      <c r="AD496" s="692" t="n"/>
      <c r="AE496" s="692" t="n"/>
      <c r="AF496" s="692" t="n"/>
      <c r="AG496" s="692" t="n"/>
      <c r="AH496" s="692" t="n"/>
      <c r="AI496" s="692" t="n"/>
      <c r="AJ496" s="692" t="n"/>
      <c r="AK496" s="692" t="n"/>
      <c r="AL496" s="692" t="n"/>
      <c r="AM496" s="692" t="n"/>
      <c r="AN496" s="692" t="n"/>
      <c r="AO496" s="692" t="n"/>
      <c r="AP496" s="692" t="n"/>
      <c r="AQ496" s="692" t="n"/>
      <c r="AR496" s="692" t="n"/>
      <c r="AS496" s="692" t="n"/>
    </row>
    <row r="497">
      <c r="A497" s="427" t="inlineStr">
        <is>
          <t>M</t>
        </is>
      </c>
      <c r="B497" s="616" t="inlineStr">
        <is>
          <t>50 Free</t>
        </is>
      </c>
      <c r="C497" s="616" t="n">
        <v>21</v>
      </c>
      <c r="D497" s="616" t="n">
        <v>3</v>
      </c>
      <c r="E497" s="127" t="inlineStr">
        <is>
          <t>22.27</t>
        </is>
      </c>
      <c r="F497" s="692" t="n"/>
      <c r="G497" s="692" t="n"/>
      <c r="H497" s="692" t="n"/>
      <c r="I497" s="692" t="n"/>
      <c r="J497" s="692" t="n"/>
      <c r="K497" s="692" t="n"/>
      <c r="L497" s="692" t="n"/>
      <c r="M497" s="692" t="n"/>
      <c r="N497" s="692" t="n"/>
      <c r="O497" s="692" t="n"/>
      <c r="P497" s="692" t="n"/>
      <c r="Q497" s="692" t="n"/>
      <c r="R497" s="692" t="n"/>
      <c r="S497" s="692" t="n"/>
      <c r="T497" s="692" t="n"/>
      <c r="U497" s="692" t="n"/>
      <c r="V497" s="692" t="n"/>
      <c r="W497" s="692" t="n"/>
      <c r="X497" s="692" t="n"/>
      <c r="Y497" s="692" t="n"/>
      <c r="Z497" s="692" t="n"/>
      <c r="AA497" s="692" t="n"/>
      <c r="AB497" s="692" t="n"/>
      <c r="AC497" s="692" t="n"/>
      <c r="AD497" s="692" t="n"/>
      <c r="AE497" s="692" t="n"/>
      <c r="AF497" s="692" t="n"/>
      <c r="AG497" s="692" t="n"/>
      <c r="AH497" s="692" t="n"/>
      <c r="AI497" s="692" t="n"/>
      <c r="AJ497" s="692" t="n"/>
      <c r="AK497" s="692" t="n"/>
      <c r="AL497" s="692" t="n"/>
      <c r="AM497" s="692" t="n"/>
      <c r="AN497" s="692" t="n"/>
      <c r="AO497" s="692" t="n"/>
      <c r="AP497" s="692" t="n"/>
      <c r="AQ497" s="692" t="n"/>
      <c r="AR497" s="692" t="n"/>
      <c r="AS497" s="692" t="n"/>
    </row>
    <row r="498">
      <c r="A498" s="420" t="inlineStr">
        <is>
          <t>M</t>
        </is>
      </c>
      <c r="B498" s="593" t="inlineStr">
        <is>
          <t>50 Free</t>
        </is>
      </c>
      <c r="C498" s="593" t="n">
        <v>22</v>
      </c>
      <c r="D498" s="593" t="n">
        <v>3</v>
      </c>
      <c r="E498" s="128" t="inlineStr">
        <is>
          <t>22.15</t>
        </is>
      </c>
      <c r="F498" s="692" t="n"/>
      <c r="G498" s="692" t="n"/>
      <c r="H498" s="692" t="n"/>
      <c r="I498" s="692" t="n"/>
      <c r="J498" s="692" t="n"/>
      <c r="K498" s="692" t="n"/>
      <c r="L498" s="692" t="n"/>
      <c r="M498" s="692" t="n"/>
      <c r="N498" s="692" t="n"/>
      <c r="O498" s="692" t="n"/>
      <c r="P498" s="692" t="n"/>
      <c r="Q498" s="692" t="n"/>
      <c r="R498" s="692" t="n"/>
      <c r="S498" s="692" t="n"/>
      <c r="T498" s="692" t="n"/>
      <c r="U498" s="692" t="n"/>
      <c r="V498" s="692" t="n"/>
      <c r="W498" s="692" t="n"/>
      <c r="X498" s="692" t="n"/>
      <c r="Y498" s="692" t="n"/>
      <c r="Z498" s="692" t="n"/>
      <c r="AA498" s="692" t="n"/>
      <c r="AB498" s="692" t="n"/>
      <c r="AC498" s="692" t="n"/>
      <c r="AD498" s="692" t="n"/>
      <c r="AE498" s="692" t="n"/>
      <c r="AF498" s="692" t="n"/>
      <c r="AG498" s="692" t="n"/>
      <c r="AH498" s="692" t="n"/>
      <c r="AI498" s="692" t="n"/>
      <c r="AJ498" s="692" t="n"/>
      <c r="AK498" s="692" t="n"/>
      <c r="AL498" s="692" t="n"/>
      <c r="AM498" s="692" t="n"/>
      <c r="AN498" s="692" t="n"/>
      <c r="AO498" s="692" t="n"/>
      <c r="AP498" s="692" t="n"/>
      <c r="AQ498" s="692" t="n"/>
      <c r="AR498" s="692" t="n"/>
      <c r="AS498" s="692" t="n"/>
    </row>
    <row r="499">
      <c r="A499" s="427" t="inlineStr">
        <is>
          <t>M</t>
        </is>
      </c>
      <c r="B499" s="616" t="inlineStr">
        <is>
          <t>50 Free</t>
        </is>
      </c>
      <c r="C499" s="616" t="n">
        <v>23</v>
      </c>
      <c r="D499" s="616" t="n">
        <v>3</v>
      </c>
      <c r="E499" s="127" t="inlineStr">
        <is>
          <t>22.09</t>
        </is>
      </c>
      <c r="F499" s="692" t="n"/>
      <c r="G499" s="692" t="n"/>
      <c r="H499" s="692" t="n"/>
      <c r="I499" s="692" t="n"/>
      <c r="J499" s="692" t="n"/>
      <c r="K499" s="692" t="n"/>
      <c r="L499" s="692" t="n"/>
      <c r="M499" s="692" t="n"/>
      <c r="N499" s="692" t="n"/>
      <c r="O499" s="692" t="n"/>
      <c r="P499" s="692" t="n"/>
      <c r="Q499" s="692" t="n"/>
      <c r="R499" s="692" t="n"/>
      <c r="S499" s="692" t="n"/>
      <c r="T499" s="692" t="n"/>
      <c r="U499" s="692" t="n"/>
      <c r="V499" s="692" t="n"/>
      <c r="W499" s="692" t="n"/>
      <c r="X499" s="692" t="n"/>
      <c r="Y499" s="692" t="n"/>
      <c r="Z499" s="692" t="n"/>
      <c r="AA499" s="692" t="n"/>
      <c r="AB499" s="692" t="n"/>
      <c r="AC499" s="692" t="n"/>
      <c r="AD499" s="692" t="n"/>
      <c r="AE499" s="692" t="n"/>
      <c r="AF499" s="692" t="n"/>
      <c r="AG499" s="692" t="n"/>
      <c r="AH499" s="692" t="n"/>
      <c r="AI499" s="692" t="n"/>
      <c r="AJ499" s="692" t="n"/>
      <c r="AK499" s="692" t="n"/>
      <c r="AL499" s="692" t="n"/>
      <c r="AM499" s="692" t="n"/>
      <c r="AN499" s="692" t="n"/>
      <c r="AO499" s="692" t="n"/>
      <c r="AP499" s="692" t="n"/>
      <c r="AQ499" s="692" t="n"/>
      <c r="AR499" s="692" t="n"/>
      <c r="AS499" s="692" t="n"/>
    </row>
    <row r="500">
      <c r="A500" s="420" t="inlineStr">
        <is>
          <t>M</t>
        </is>
      </c>
      <c r="B500" s="593" t="inlineStr">
        <is>
          <t>50 Free</t>
        </is>
      </c>
      <c r="C500" s="593" t="n">
        <v>24</v>
      </c>
      <c r="D500" s="593" t="n">
        <v>3</v>
      </c>
      <c r="E500" s="128" t="inlineStr">
        <is>
          <t>22.06</t>
        </is>
      </c>
      <c r="F500" s="692" t="n"/>
      <c r="G500" s="692" t="n"/>
      <c r="H500" s="692" t="n"/>
      <c r="I500" s="692" t="n"/>
      <c r="J500" s="692" t="n"/>
      <c r="K500" s="692" t="n"/>
      <c r="L500" s="692" t="n"/>
      <c r="M500" s="692" t="n"/>
      <c r="N500" s="692" t="n"/>
      <c r="O500" s="692" t="n"/>
      <c r="P500" s="692" t="n"/>
      <c r="Q500" s="692" t="n"/>
      <c r="R500" s="692" t="n"/>
      <c r="S500" s="692" t="n"/>
      <c r="T500" s="692" t="n"/>
      <c r="U500" s="692" t="n"/>
      <c r="V500" s="692" t="n"/>
      <c r="W500" s="692" t="n"/>
      <c r="X500" s="692" t="n"/>
      <c r="Y500" s="692" t="n"/>
      <c r="Z500" s="692" t="n"/>
      <c r="AA500" s="692" t="n"/>
      <c r="AB500" s="692" t="n"/>
      <c r="AC500" s="692" t="n"/>
      <c r="AD500" s="692" t="n"/>
      <c r="AE500" s="692" t="n"/>
      <c r="AF500" s="692" t="n"/>
      <c r="AG500" s="692" t="n"/>
      <c r="AH500" s="692" t="n"/>
      <c r="AI500" s="692" t="n"/>
      <c r="AJ500" s="692" t="n"/>
      <c r="AK500" s="692" t="n"/>
      <c r="AL500" s="692" t="n"/>
      <c r="AM500" s="692" t="n"/>
      <c r="AN500" s="692" t="n"/>
      <c r="AO500" s="692" t="n"/>
      <c r="AP500" s="692" t="n"/>
      <c r="AQ500" s="692" t="n"/>
      <c r="AR500" s="692" t="n"/>
      <c r="AS500" s="692" t="n"/>
    </row>
    <row r="501">
      <c r="A501" s="427" t="inlineStr">
        <is>
          <t>M</t>
        </is>
      </c>
      <c r="B501" s="616" t="inlineStr">
        <is>
          <t>50 Free</t>
        </is>
      </c>
      <c r="C501" s="616" t="n">
        <v>25</v>
      </c>
      <c r="D501" s="616" t="n">
        <v>3</v>
      </c>
      <c r="E501" s="127" t="inlineStr">
        <is>
          <t>22.05</t>
        </is>
      </c>
      <c r="F501" s="692" t="n"/>
      <c r="G501" s="692" t="n"/>
      <c r="H501" s="692" t="n"/>
      <c r="I501" s="692" t="n"/>
      <c r="J501" s="692" t="n"/>
      <c r="K501" s="692" t="n"/>
      <c r="L501" s="692" t="n"/>
      <c r="M501" s="692" t="n"/>
      <c r="N501" s="692" t="n"/>
      <c r="O501" s="692" t="n"/>
      <c r="P501" s="692" t="n"/>
      <c r="Q501" s="692" t="n"/>
      <c r="R501" s="692" t="n"/>
      <c r="S501" s="692" t="n"/>
      <c r="T501" s="692" t="n"/>
      <c r="U501" s="692" t="n"/>
      <c r="V501" s="692" t="n"/>
      <c r="W501" s="692" t="n"/>
      <c r="X501" s="692" t="n"/>
      <c r="Y501" s="692" t="n"/>
      <c r="Z501" s="692" t="n"/>
      <c r="AA501" s="692" t="n"/>
      <c r="AB501" s="692" t="n"/>
      <c r="AC501" s="692" t="n"/>
      <c r="AD501" s="692" t="n"/>
      <c r="AE501" s="692" t="n"/>
      <c r="AF501" s="692" t="n"/>
      <c r="AG501" s="692" t="n"/>
      <c r="AH501" s="692" t="n"/>
      <c r="AI501" s="692" t="n"/>
      <c r="AJ501" s="692" t="n"/>
      <c r="AK501" s="692" t="n"/>
      <c r="AL501" s="692" t="n"/>
      <c r="AM501" s="692" t="n"/>
      <c r="AN501" s="692" t="n"/>
      <c r="AO501" s="692" t="n"/>
      <c r="AP501" s="692" t="n"/>
      <c r="AQ501" s="692" t="n"/>
      <c r="AR501" s="692" t="n"/>
      <c r="AS501" s="692" t="n"/>
    </row>
    <row r="502">
      <c r="A502" s="420" t="inlineStr">
        <is>
          <t>M</t>
        </is>
      </c>
      <c r="B502" s="593" t="inlineStr">
        <is>
          <t>100 Free</t>
        </is>
      </c>
      <c r="C502" s="593" t="n">
        <v>17</v>
      </c>
      <c r="D502" s="593" t="n">
        <v>3</v>
      </c>
      <c r="E502" s="128" t="inlineStr">
        <is>
          <t>51.44</t>
        </is>
      </c>
      <c r="F502" s="692" t="n"/>
      <c r="G502" s="692" t="n"/>
      <c r="H502" s="692" t="n"/>
      <c r="I502" s="692" t="n"/>
      <c r="J502" s="692" t="n"/>
      <c r="K502" s="692" t="n"/>
      <c r="L502" s="692" t="n"/>
      <c r="M502" s="692" t="n"/>
      <c r="N502" s="692" t="n"/>
      <c r="O502" s="692" t="n"/>
      <c r="P502" s="692" t="n"/>
      <c r="Q502" s="692" t="n"/>
      <c r="R502" s="692" t="n"/>
      <c r="S502" s="692" t="n"/>
      <c r="T502" s="692" t="n"/>
      <c r="U502" s="692" t="n"/>
      <c r="V502" s="692" t="n"/>
      <c r="W502" s="692" t="n"/>
      <c r="X502" s="692" t="n"/>
      <c r="Y502" s="692" t="n"/>
      <c r="Z502" s="692" t="n"/>
      <c r="AA502" s="692" t="n"/>
      <c r="AB502" s="692" t="n"/>
      <c r="AC502" s="692" t="n"/>
      <c r="AD502" s="692" t="n"/>
      <c r="AE502" s="692" t="n"/>
      <c r="AF502" s="692" t="n"/>
      <c r="AG502" s="692" t="n"/>
      <c r="AH502" s="692" t="n"/>
      <c r="AI502" s="692" t="n"/>
      <c r="AJ502" s="692" t="n"/>
      <c r="AK502" s="692" t="n"/>
      <c r="AL502" s="692" t="n"/>
      <c r="AM502" s="692" t="n"/>
      <c r="AN502" s="692" t="n"/>
      <c r="AO502" s="692" t="n"/>
      <c r="AP502" s="692" t="n"/>
      <c r="AQ502" s="692" t="n"/>
      <c r="AR502" s="692" t="n"/>
      <c r="AS502" s="692" t="n"/>
    </row>
    <row r="503">
      <c r="A503" s="427" t="inlineStr">
        <is>
          <t>M</t>
        </is>
      </c>
      <c r="B503" s="616" t="inlineStr">
        <is>
          <t>100 Free</t>
        </is>
      </c>
      <c r="C503" s="616" t="n">
        <v>18</v>
      </c>
      <c r="D503" s="616" t="n">
        <v>3</v>
      </c>
      <c r="E503" s="127" t="inlineStr">
        <is>
          <t>50.39</t>
        </is>
      </c>
      <c r="F503" s="692" t="n"/>
      <c r="G503" s="692" t="n"/>
      <c r="H503" s="692" t="n"/>
      <c r="I503" s="692" t="n"/>
      <c r="J503" s="692" t="n"/>
      <c r="K503" s="692" t="n"/>
      <c r="L503" s="692" t="n"/>
      <c r="M503" s="692" t="n"/>
      <c r="N503" s="692" t="n"/>
      <c r="O503" s="692" t="n"/>
      <c r="P503" s="692" t="n"/>
      <c r="Q503" s="692" t="n"/>
      <c r="R503" s="692" t="n"/>
      <c r="S503" s="692" t="n"/>
      <c r="T503" s="692" t="n"/>
      <c r="U503" s="692" t="n"/>
      <c r="V503" s="692" t="n"/>
      <c r="W503" s="692" t="n"/>
      <c r="X503" s="692" t="n"/>
      <c r="Y503" s="692" t="n"/>
      <c r="Z503" s="692" t="n"/>
      <c r="AA503" s="692" t="n"/>
      <c r="AB503" s="692" t="n"/>
      <c r="AC503" s="692" t="n"/>
      <c r="AD503" s="692" t="n"/>
      <c r="AE503" s="692" t="n"/>
      <c r="AF503" s="692" t="n"/>
      <c r="AG503" s="692" t="n"/>
      <c r="AH503" s="692" t="n"/>
      <c r="AI503" s="692" t="n"/>
      <c r="AJ503" s="692" t="n"/>
      <c r="AK503" s="692" t="n"/>
      <c r="AL503" s="692" t="n"/>
      <c r="AM503" s="692" t="n"/>
      <c r="AN503" s="692" t="n"/>
      <c r="AO503" s="692" t="n"/>
      <c r="AP503" s="692" t="n"/>
      <c r="AQ503" s="692" t="n"/>
      <c r="AR503" s="692" t="n"/>
      <c r="AS503" s="692" t="n"/>
    </row>
    <row r="504">
      <c r="A504" s="420" t="inlineStr">
        <is>
          <t>M</t>
        </is>
      </c>
      <c r="B504" s="593" t="inlineStr">
        <is>
          <t>100 Free</t>
        </is>
      </c>
      <c r="C504" s="593" t="n">
        <v>19</v>
      </c>
      <c r="D504" s="593" t="n">
        <v>3</v>
      </c>
      <c r="E504" s="128" t="inlineStr">
        <is>
          <t>49.64</t>
        </is>
      </c>
      <c r="F504" s="692" t="n"/>
      <c r="G504" s="692" t="n"/>
      <c r="H504" s="692" t="n"/>
      <c r="I504" s="692" t="n"/>
      <c r="J504" s="692" t="n"/>
      <c r="K504" s="692" t="n"/>
      <c r="L504" s="692" t="n"/>
      <c r="M504" s="692" t="n"/>
      <c r="N504" s="692" t="n"/>
      <c r="O504" s="692" t="n"/>
      <c r="P504" s="692" t="n"/>
      <c r="Q504" s="692" t="n"/>
      <c r="R504" s="692" t="n"/>
      <c r="S504" s="692" t="n"/>
      <c r="T504" s="692" t="n"/>
      <c r="U504" s="692" t="n"/>
      <c r="V504" s="692" t="n"/>
      <c r="W504" s="692" t="n"/>
      <c r="X504" s="692" t="n"/>
      <c r="Y504" s="692" t="n"/>
      <c r="Z504" s="692" t="n"/>
      <c r="AA504" s="692" t="n"/>
      <c r="AB504" s="692" t="n"/>
      <c r="AC504" s="692" t="n"/>
      <c r="AD504" s="692" t="n"/>
      <c r="AE504" s="692" t="n"/>
      <c r="AF504" s="692" t="n"/>
      <c r="AG504" s="692" t="n"/>
      <c r="AH504" s="692" t="n"/>
      <c r="AI504" s="692" t="n"/>
      <c r="AJ504" s="692" t="n"/>
      <c r="AK504" s="692" t="n"/>
      <c r="AL504" s="692" t="n"/>
      <c r="AM504" s="692" t="n"/>
      <c r="AN504" s="692" t="n"/>
      <c r="AO504" s="692" t="n"/>
      <c r="AP504" s="692" t="n"/>
      <c r="AQ504" s="692" t="n"/>
      <c r="AR504" s="692" t="n"/>
      <c r="AS504" s="692" t="n"/>
    </row>
    <row r="505">
      <c r="A505" s="427" t="inlineStr">
        <is>
          <t>M</t>
        </is>
      </c>
      <c r="B505" s="616" t="inlineStr">
        <is>
          <t>100 Free</t>
        </is>
      </c>
      <c r="C505" s="616" t="n">
        <v>20</v>
      </c>
      <c r="D505" s="616" t="n">
        <v>3</v>
      </c>
      <c r="E505" s="433" t="n">
        <v>49.12</v>
      </c>
      <c r="F505" s="692" t="n"/>
      <c r="G505" s="692" t="n"/>
      <c r="H505" s="692" t="n"/>
      <c r="I505" s="692" t="n"/>
      <c r="J505" s="692" t="n"/>
      <c r="K505" s="692" t="n"/>
      <c r="L505" s="692" t="n"/>
      <c r="M505" s="692" t="n"/>
      <c r="N505" s="692" t="n"/>
      <c r="O505" s="692" t="n"/>
      <c r="P505" s="692" t="n"/>
      <c r="Q505" s="692" t="n"/>
      <c r="R505" s="692" t="n"/>
      <c r="S505" s="692" t="n"/>
      <c r="T505" s="692" t="n"/>
      <c r="U505" s="692" t="n"/>
      <c r="V505" s="692" t="n"/>
      <c r="W505" s="692" t="n"/>
      <c r="X505" s="692" t="n"/>
      <c r="Y505" s="692" t="n"/>
      <c r="Z505" s="692" t="n"/>
      <c r="AA505" s="692" t="n"/>
      <c r="AB505" s="692" t="n"/>
      <c r="AC505" s="692" t="n"/>
      <c r="AD505" s="692" t="n"/>
      <c r="AE505" s="692" t="n"/>
      <c r="AF505" s="692" t="n"/>
      <c r="AG505" s="692" t="n"/>
      <c r="AH505" s="692" t="n"/>
      <c r="AI505" s="692" t="n"/>
      <c r="AJ505" s="692" t="n"/>
      <c r="AK505" s="692" t="n"/>
      <c r="AL505" s="692" t="n"/>
      <c r="AM505" s="692" t="n"/>
      <c r="AN505" s="692" t="n"/>
      <c r="AO505" s="692" t="n"/>
      <c r="AP505" s="692" t="n"/>
      <c r="AQ505" s="692" t="n"/>
      <c r="AR505" s="692" t="n"/>
      <c r="AS505" s="692" t="n"/>
    </row>
    <row r="506">
      <c r="A506" s="420" t="inlineStr">
        <is>
          <t>M</t>
        </is>
      </c>
      <c r="B506" s="593" t="inlineStr">
        <is>
          <t>100 Free</t>
        </is>
      </c>
      <c r="C506" s="593" t="n">
        <v>21</v>
      </c>
      <c r="D506" s="593" t="n">
        <v>3</v>
      </c>
      <c r="E506" s="128" t="inlineStr">
        <is>
          <t>48.74</t>
        </is>
      </c>
      <c r="F506" s="692" t="n"/>
      <c r="G506" s="692" t="n"/>
      <c r="H506" s="692" t="n"/>
      <c r="I506" s="692" t="n"/>
      <c r="J506" s="692" t="n"/>
      <c r="K506" s="692" t="n"/>
      <c r="L506" s="692" t="n"/>
      <c r="M506" s="692" t="n"/>
      <c r="N506" s="692" t="n"/>
      <c r="O506" s="692" t="n"/>
      <c r="P506" s="692" t="n"/>
      <c r="Q506" s="692" t="n"/>
      <c r="R506" s="692" t="n"/>
      <c r="S506" s="692" t="n"/>
      <c r="T506" s="692" t="n"/>
      <c r="U506" s="692" t="n"/>
      <c r="V506" s="692" t="n"/>
      <c r="W506" s="692" t="n"/>
      <c r="X506" s="692" t="n"/>
      <c r="Y506" s="692" t="n"/>
      <c r="Z506" s="692" t="n"/>
      <c r="AA506" s="692" t="n"/>
      <c r="AB506" s="692" t="n"/>
      <c r="AC506" s="692" t="n"/>
      <c r="AD506" s="692" t="n"/>
      <c r="AE506" s="692" t="n"/>
      <c r="AF506" s="692" t="n"/>
      <c r="AG506" s="692" t="n"/>
      <c r="AH506" s="692" t="n"/>
      <c r="AI506" s="692" t="n"/>
      <c r="AJ506" s="692" t="n"/>
      <c r="AK506" s="692" t="n"/>
      <c r="AL506" s="692" t="n"/>
      <c r="AM506" s="692" t="n"/>
      <c r="AN506" s="692" t="n"/>
      <c r="AO506" s="692" t="n"/>
      <c r="AP506" s="692" t="n"/>
      <c r="AQ506" s="692" t="n"/>
      <c r="AR506" s="692" t="n"/>
      <c r="AS506" s="692" t="n"/>
    </row>
    <row r="507">
      <c r="A507" s="427" t="inlineStr">
        <is>
          <t>M</t>
        </is>
      </c>
      <c r="B507" s="616" t="inlineStr">
        <is>
          <t>100 Free</t>
        </is>
      </c>
      <c r="C507" s="616" t="n">
        <v>22</v>
      </c>
      <c r="D507" s="616" t="n">
        <v>3</v>
      </c>
      <c r="E507" s="127" t="inlineStr">
        <is>
          <t>48.49</t>
        </is>
      </c>
      <c r="F507" s="692" t="n"/>
      <c r="G507" s="692" t="n"/>
      <c r="H507" s="692" t="n"/>
      <c r="I507" s="692" t="n"/>
      <c r="J507" s="692" t="n"/>
      <c r="K507" s="692" t="n"/>
      <c r="L507" s="692" t="n"/>
      <c r="M507" s="692" t="n"/>
      <c r="N507" s="692" t="n"/>
      <c r="O507" s="692" t="n"/>
      <c r="P507" s="692" t="n"/>
      <c r="Q507" s="692" t="n"/>
      <c r="R507" s="692" t="n"/>
      <c r="S507" s="692" t="n"/>
      <c r="T507" s="692" t="n"/>
      <c r="U507" s="692" t="n"/>
      <c r="V507" s="692" t="n"/>
      <c r="W507" s="692" t="n"/>
      <c r="X507" s="692" t="n"/>
      <c r="Y507" s="692" t="n"/>
      <c r="Z507" s="692" t="n"/>
      <c r="AA507" s="692" t="n"/>
      <c r="AB507" s="692" t="n"/>
      <c r="AC507" s="692" t="n"/>
      <c r="AD507" s="692" t="n"/>
      <c r="AE507" s="692" t="n"/>
      <c r="AF507" s="692" t="n"/>
      <c r="AG507" s="692" t="n"/>
      <c r="AH507" s="692" t="n"/>
      <c r="AI507" s="692" t="n"/>
      <c r="AJ507" s="692" t="n"/>
      <c r="AK507" s="692" t="n"/>
      <c r="AL507" s="692" t="n"/>
      <c r="AM507" s="692" t="n"/>
      <c r="AN507" s="692" t="n"/>
      <c r="AO507" s="692" t="n"/>
      <c r="AP507" s="692" t="n"/>
      <c r="AQ507" s="692" t="n"/>
      <c r="AR507" s="692" t="n"/>
      <c r="AS507" s="692" t="n"/>
    </row>
    <row r="508">
      <c r="A508" s="420" t="inlineStr">
        <is>
          <t>M</t>
        </is>
      </c>
      <c r="B508" s="593" t="inlineStr">
        <is>
          <t>100 Free</t>
        </is>
      </c>
      <c r="C508" s="593" t="n">
        <v>23</v>
      </c>
      <c r="D508" s="593" t="n">
        <v>3</v>
      </c>
      <c r="E508" s="128" t="inlineStr">
        <is>
          <t>48.34</t>
        </is>
      </c>
      <c r="F508" s="692" t="n"/>
      <c r="G508" s="692" t="n"/>
      <c r="H508" s="692" t="n"/>
      <c r="I508" s="692" t="n"/>
      <c r="J508" s="692" t="n"/>
      <c r="K508" s="692" t="n"/>
      <c r="L508" s="692" t="n"/>
      <c r="M508" s="692" t="n"/>
      <c r="N508" s="692" t="n"/>
      <c r="O508" s="692" t="n"/>
      <c r="P508" s="692" t="n"/>
      <c r="Q508" s="692" t="n"/>
      <c r="R508" s="692" t="n"/>
      <c r="S508" s="692" t="n"/>
      <c r="T508" s="692" t="n"/>
      <c r="U508" s="692" t="n"/>
      <c r="V508" s="692" t="n"/>
      <c r="W508" s="692" t="n"/>
      <c r="X508" s="692" t="n"/>
      <c r="Y508" s="692" t="n"/>
      <c r="Z508" s="692" t="n"/>
      <c r="AA508" s="692" t="n"/>
      <c r="AB508" s="692" t="n"/>
      <c r="AC508" s="692" t="n"/>
      <c r="AD508" s="692" t="n"/>
      <c r="AE508" s="692" t="n"/>
      <c r="AF508" s="692" t="n"/>
      <c r="AG508" s="692" t="n"/>
      <c r="AH508" s="692" t="n"/>
      <c r="AI508" s="692" t="n"/>
      <c r="AJ508" s="692" t="n"/>
      <c r="AK508" s="692" t="n"/>
      <c r="AL508" s="692" t="n"/>
      <c r="AM508" s="692" t="n"/>
      <c r="AN508" s="692" t="n"/>
      <c r="AO508" s="692" t="n"/>
      <c r="AP508" s="692" t="n"/>
      <c r="AQ508" s="692" t="n"/>
      <c r="AR508" s="692" t="n"/>
      <c r="AS508" s="692" t="n"/>
    </row>
    <row r="509">
      <c r="A509" s="427" t="inlineStr">
        <is>
          <t>M</t>
        </is>
      </c>
      <c r="B509" s="616" t="inlineStr">
        <is>
          <t>200 Free</t>
        </is>
      </c>
      <c r="C509" s="616" t="n">
        <v>17</v>
      </c>
      <c r="D509" s="616" t="n">
        <v>3</v>
      </c>
      <c r="E509" s="127" t="inlineStr">
        <is>
          <t>1:52.04</t>
        </is>
      </c>
      <c r="F509" s="692" t="n"/>
      <c r="G509" s="692" t="n"/>
      <c r="H509" s="692" t="n"/>
      <c r="I509" s="692" t="n"/>
      <c r="J509" s="692" t="n"/>
      <c r="K509" s="692" t="n"/>
      <c r="L509" s="692" t="n"/>
      <c r="M509" s="692" t="n"/>
      <c r="N509" s="692" t="n"/>
      <c r="O509" s="692" t="n"/>
      <c r="P509" s="692" t="n"/>
      <c r="Q509" s="692" t="n"/>
      <c r="R509" s="692" t="n"/>
      <c r="S509" s="692" t="n"/>
      <c r="T509" s="692" t="n"/>
      <c r="U509" s="692" t="n"/>
      <c r="V509" s="692" t="n"/>
      <c r="W509" s="692" t="n"/>
      <c r="X509" s="692" t="n"/>
      <c r="Y509" s="692" t="n"/>
      <c r="Z509" s="692" t="n"/>
      <c r="AA509" s="692" t="n"/>
      <c r="AB509" s="692" t="n"/>
      <c r="AC509" s="692" t="n"/>
      <c r="AD509" s="692" t="n"/>
      <c r="AE509" s="692" t="n"/>
      <c r="AF509" s="692" t="n"/>
      <c r="AG509" s="692" t="n"/>
      <c r="AH509" s="692" t="n"/>
      <c r="AI509" s="692" t="n"/>
      <c r="AJ509" s="692" t="n"/>
      <c r="AK509" s="692" t="n"/>
      <c r="AL509" s="692" t="n"/>
      <c r="AM509" s="692" t="n"/>
      <c r="AN509" s="692" t="n"/>
      <c r="AO509" s="692" t="n"/>
      <c r="AP509" s="692" t="n"/>
      <c r="AQ509" s="692" t="n"/>
      <c r="AR509" s="692" t="n"/>
      <c r="AS509" s="692" t="n"/>
    </row>
    <row r="510">
      <c r="A510" s="420" t="inlineStr">
        <is>
          <t>M</t>
        </is>
      </c>
      <c r="B510" s="593" t="inlineStr">
        <is>
          <t>200 Free</t>
        </is>
      </c>
      <c r="C510" s="593" t="n">
        <v>18</v>
      </c>
      <c r="D510" s="593" t="n">
        <v>3</v>
      </c>
      <c r="E510" s="128" t="inlineStr">
        <is>
          <t>1:50.09</t>
        </is>
      </c>
      <c r="F510" s="692" t="n"/>
      <c r="G510" s="692" t="n"/>
      <c r="H510" s="692" t="n"/>
      <c r="I510" s="692" t="n"/>
      <c r="J510" s="692" t="n"/>
      <c r="K510" s="692" t="n"/>
      <c r="L510" s="692" t="n"/>
      <c r="M510" s="692" t="n"/>
      <c r="N510" s="692" t="n"/>
      <c r="O510" s="692" t="n"/>
      <c r="P510" s="692" t="n"/>
      <c r="Q510" s="692" t="n"/>
      <c r="R510" s="692" t="n"/>
      <c r="S510" s="692" t="n"/>
      <c r="T510" s="692" t="n"/>
      <c r="U510" s="692" t="n"/>
      <c r="V510" s="692" t="n"/>
      <c r="W510" s="692" t="n"/>
      <c r="X510" s="692" t="n"/>
      <c r="Y510" s="692" t="n"/>
      <c r="Z510" s="692" t="n"/>
      <c r="AA510" s="692" t="n"/>
      <c r="AB510" s="692" t="n"/>
      <c r="AC510" s="692" t="n"/>
      <c r="AD510" s="692" t="n"/>
      <c r="AE510" s="692" t="n"/>
      <c r="AF510" s="692" t="n"/>
      <c r="AG510" s="692" t="n"/>
      <c r="AH510" s="692" t="n"/>
      <c r="AI510" s="692" t="n"/>
      <c r="AJ510" s="692" t="n"/>
      <c r="AK510" s="692" t="n"/>
      <c r="AL510" s="692" t="n"/>
      <c r="AM510" s="692" t="n"/>
      <c r="AN510" s="692" t="n"/>
      <c r="AO510" s="692" t="n"/>
      <c r="AP510" s="692" t="n"/>
      <c r="AQ510" s="692" t="n"/>
      <c r="AR510" s="692" t="n"/>
      <c r="AS510" s="692" t="n"/>
    </row>
    <row r="511">
      <c r="A511" s="427" t="inlineStr">
        <is>
          <t>M</t>
        </is>
      </c>
      <c r="B511" s="616" t="inlineStr">
        <is>
          <t>200 Free</t>
        </is>
      </c>
      <c r="C511" s="616" t="n">
        <v>19</v>
      </c>
      <c r="D511" s="616" t="n">
        <v>3</v>
      </c>
      <c r="E511" s="127" t="inlineStr">
        <is>
          <t>1:48.75</t>
        </is>
      </c>
      <c r="F511" s="692" t="n"/>
      <c r="G511" s="692" t="n"/>
      <c r="H511" s="692" t="n"/>
      <c r="I511" s="692" t="n"/>
      <c r="J511" s="692" t="n"/>
      <c r="K511" s="692" t="n"/>
      <c r="L511" s="692" t="n"/>
      <c r="M511" s="692" t="n"/>
      <c r="N511" s="692" t="n"/>
      <c r="O511" s="692" t="n"/>
      <c r="P511" s="692" t="n"/>
      <c r="Q511" s="692" t="n"/>
      <c r="R511" s="692" t="n"/>
      <c r="S511" s="692" t="n"/>
      <c r="T511" s="692" t="n"/>
      <c r="U511" s="692" t="n"/>
      <c r="V511" s="692" t="n"/>
      <c r="W511" s="692" t="n"/>
      <c r="X511" s="692" t="n"/>
      <c r="Y511" s="692" t="n"/>
      <c r="Z511" s="692" t="n"/>
      <c r="AA511" s="692" t="n"/>
      <c r="AB511" s="692" t="n"/>
      <c r="AC511" s="692" t="n"/>
      <c r="AD511" s="692" t="n"/>
      <c r="AE511" s="692" t="n"/>
      <c r="AF511" s="692" t="n"/>
      <c r="AG511" s="692" t="n"/>
      <c r="AH511" s="692" t="n"/>
      <c r="AI511" s="692" t="n"/>
      <c r="AJ511" s="692" t="n"/>
      <c r="AK511" s="692" t="n"/>
      <c r="AL511" s="692" t="n"/>
      <c r="AM511" s="692" t="n"/>
      <c r="AN511" s="692" t="n"/>
      <c r="AO511" s="692" t="n"/>
      <c r="AP511" s="692" t="n"/>
      <c r="AQ511" s="692" t="n"/>
      <c r="AR511" s="692" t="n"/>
      <c r="AS511" s="692" t="n"/>
    </row>
    <row r="512">
      <c r="A512" s="420" t="inlineStr">
        <is>
          <t>M</t>
        </is>
      </c>
      <c r="B512" s="593" t="inlineStr">
        <is>
          <t>200 Free</t>
        </is>
      </c>
      <c r="C512" s="593" t="n">
        <v>20</v>
      </c>
      <c r="D512" s="593" t="n">
        <v>3</v>
      </c>
      <c r="E512" s="128" t="inlineStr">
        <is>
          <t>1:47.84</t>
        </is>
      </c>
      <c r="F512" s="692" t="n"/>
      <c r="G512" s="692" t="n"/>
      <c r="H512" s="692" t="n"/>
      <c r="I512" s="692" t="n"/>
      <c r="J512" s="692" t="n"/>
      <c r="K512" s="692" t="n"/>
      <c r="L512" s="692" t="n"/>
      <c r="M512" s="692" t="n"/>
      <c r="N512" s="692" t="n"/>
      <c r="O512" s="692" t="n"/>
      <c r="P512" s="692" t="n"/>
      <c r="Q512" s="692" t="n"/>
      <c r="R512" s="692" t="n"/>
      <c r="S512" s="692" t="n"/>
      <c r="T512" s="692" t="n"/>
      <c r="U512" s="692" t="n"/>
      <c r="V512" s="692" t="n"/>
      <c r="W512" s="692" t="n"/>
      <c r="X512" s="692" t="n"/>
      <c r="Y512" s="692" t="n"/>
      <c r="Z512" s="692" t="n"/>
      <c r="AA512" s="692" t="n"/>
      <c r="AB512" s="692" t="n"/>
      <c r="AC512" s="692" t="n"/>
      <c r="AD512" s="692" t="n"/>
      <c r="AE512" s="692" t="n"/>
      <c r="AF512" s="692" t="n"/>
      <c r="AG512" s="692" t="n"/>
      <c r="AH512" s="692" t="n"/>
      <c r="AI512" s="692" t="n"/>
      <c r="AJ512" s="692" t="n"/>
      <c r="AK512" s="692" t="n"/>
      <c r="AL512" s="692" t="n"/>
      <c r="AM512" s="692" t="n"/>
      <c r="AN512" s="692" t="n"/>
      <c r="AO512" s="692" t="n"/>
      <c r="AP512" s="692" t="n"/>
      <c r="AQ512" s="692" t="n"/>
      <c r="AR512" s="692" t="n"/>
      <c r="AS512" s="692" t="n"/>
    </row>
    <row r="513">
      <c r="A513" s="427" t="inlineStr">
        <is>
          <t>M</t>
        </is>
      </c>
      <c r="B513" s="616" t="inlineStr">
        <is>
          <t>200 Free</t>
        </is>
      </c>
      <c r="C513" s="616" t="n">
        <v>21</v>
      </c>
      <c r="D513" s="616" t="n">
        <v>3</v>
      </c>
      <c r="E513" s="127" t="inlineStr">
        <is>
          <t>1:47.24</t>
        </is>
      </c>
      <c r="F513" s="692" t="n"/>
      <c r="G513" s="692" t="n"/>
      <c r="H513" s="692" t="n"/>
      <c r="I513" s="692" t="n"/>
      <c r="J513" s="692" t="n"/>
      <c r="K513" s="692" t="n"/>
      <c r="L513" s="692" t="n"/>
      <c r="M513" s="692" t="n"/>
      <c r="N513" s="692" t="n"/>
      <c r="O513" s="692" t="n"/>
      <c r="P513" s="692" t="n"/>
      <c r="Q513" s="692" t="n"/>
      <c r="R513" s="692" t="n"/>
      <c r="S513" s="692" t="n"/>
      <c r="T513" s="692" t="n"/>
      <c r="U513" s="692" t="n"/>
      <c r="V513" s="692" t="n"/>
      <c r="W513" s="692" t="n"/>
      <c r="X513" s="692" t="n"/>
      <c r="Y513" s="692" t="n"/>
      <c r="Z513" s="692" t="n"/>
      <c r="AA513" s="692" t="n"/>
      <c r="AB513" s="692" t="n"/>
      <c r="AC513" s="692" t="n"/>
      <c r="AD513" s="692" t="n"/>
      <c r="AE513" s="692" t="n"/>
      <c r="AF513" s="692" t="n"/>
      <c r="AG513" s="692" t="n"/>
      <c r="AH513" s="692" t="n"/>
      <c r="AI513" s="692" t="n"/>
      <c r="AJ513" s="692" t="n"/>
      <c r="AK513" s="692" t="n"/>
      <c r="AL513" s="692" t="n"/>
      <c r="AM513" s="692" t="n"/>
      <c r="AN513" s="692" t="n"/>
      <c r="AO513" s="692" t="n"/>
      <c r="AP513" s="692" t="n"/>
      <c r="AQ513" s="692" t="n"/>
      <c r="AR513" s="692" t="n"/>
      <c r="AS513" s="692" t="n"/>
    </row>
    <row r="514">
      <c r="A514" s="420" t="inlineStr">
        <is>
          <t>M</t>
        </is>
      </c>
      <c r="B514" s="593" t="inlineStr">
        <is>
          <t>200 Free</t>
        </is>
      </c>
      <c r="C514" s="593" t="n">
        <v>22</v>
      </c>
      <c r="D514" s="593" t="n">
        <v>3</v>
      </c>
      <c r="E514" s="128" t="inlineStr">
        <is>
          <t>1:46.88</t>
        </is>
      </c>
      <c r="F514" s="692" t="n"/>
      <c r="G514" s="692" t="n"/>
      <c r="H514" s="692" t="n"/>
      <c r="I514" s="692" t="n"/>
      <c r="J514" s="692" t="n"/>
      <c r="K514" s="692" t="n"/>
      <c r="L514" s="692" t="n"/>
      <c r="M514" s="692" t="n"/>
      <c r="N514" s="692" t="n"/>
      <c r="O514" s="692" t="n"/>
      <c r="P514" s="692" t="n"/>
      <c r="Q514" s="692" t="n"/>
      <c r="R514" s="692" t="n"/>
      <c r="S514" s="692" t="n"/>
      <c r="T514" s="692" t="n"/>
      <c r="U514" s="692" t="n"/>
      <c r="V514" s="692" t="n"/>
      <c r="W514" s="692" t="n"/>
      <c r="X514" s="692" t="n"/>
      <c r="Y514" s="692" t="n"/>
      <c r="Z514" s="692" t="n"/>
      <c r="AA514" s="692" t="n"/>
      <c r="AB514" s="692" t="n"/>
      <c r="AC514" s="692" t="n"/>
      <c r="AD514" s="692" t="n"/>
      <c r="AE514" s="692" t="n"/>
      <c r="AF514" s="692" t="n"/>
      <c r="AG514" s="692" t="n"/>
      <c r="AH514" s="692" t="n"/>
      <c r="AI514" s="692" t="n"/>
      <c r="AJ514" s="692" t="n"/>
      <c r="AK514" s="692" t="n"/>
      <c r="AL514" s="692" t="n"/>
      <c r="AM514" s="692" t="n"/>
      <c r="AN514" s="692" t="n"/>
      <c r="AO514" s="692" t="n"/>
      <c r="AP514" s="692" t="n"/>
      <c r="AQ514" s="692" t="n"/>
      <c r="AR514" s="692" t="n"/>
      <c r="AS514" s="692" t="n"/>
    </row>
    <row r="515">
      <c r="A515" s="427" t="inlineStr">
        <is>
          <t>M</t>
        </is>
      </c>
      <c r="B515" s="616" t="inlineStr">
        <is>
          <t>200 Free</t>
        </is>
      </c>
      <c r="C515" s="616" t="n">
        <v>23</v>
      </c>
      <c r="D515" s="616" t="n">
        <v>3</v>
      </c>
      <c r="E515" s="127" t="inlineStr">
        <is>
          <t>1:46.70</t>
        </is>
      </c>
      <c r="F515" s="692" t="n"/>
      <c r="G515" s="692" t="n"/>
      <c r="H515" s="692" t="n"/>
      <c r="I515" s="692" t="n"/>
      <c r="J515" s="692" t="n"/>
      <c r="K515" s="692" t="n"/>
      <c r="L515" s="692" t="n"/>
      <c r="M515" s="692" t="n"/>
      <c r="N515" s="692" t="n"/>
      <c r="O515" s="692" t="n"/>
      <c r="P515" s="692" t="n"/>
      <c r="Q515" s="692" t="n"/>
      <c r="R515" s="692" t="n"/>
      <c r="S515" s="692" t="n"/>
      <c r="T515" s="692" t="n"/>
      <c r="U515" s="692" t="n"/>
      <c r="V515" s="692" t="n"/>
      <c r="W515" s="692" t="n"/>
      <c r="X515" s="692" t="n"/>
      <c r="Y515" s="692" t="n"/>
      <c r="Z515" s="692" t="n"/>
      <c r="AA515" s="692" t="n"/>
      <c r="AB515" s="692" t="n"/>
      <c r="AC515" s="692" t="n"/>
      <c r="AD515" s="692" t="n"/>
      <c r="AE515" s="692" t="n"/>
      <c r="AF515" s="692" t="n"/>
      <c r="AG515" s="692" t="n"/>
      <c r="AH515" s="692" t="n"/>
      <c r="AI515" s="692" t="n"/>
      <c r="AJ515" s="692" t="n"/>
      <c r="AK515" s="692" t="n"/>
      <c r="AL515" s="692" t="n"/>
      <c r="AM515" s="692" t="n"/>
      <c r="AN515" s="692" t="n"/>
      <c r="AO515" s="692" t="n"/>
      <c r="AP515" s="692" t="n"/>
      <c r="AQ515" s="692" t="n"/>
      <c r="AR515" s="692" t="n"/>
      <c r="AS515" s="692" t="n"/>
    </row>
    <row r="516">
      <c r="A516" s="420" t="inlineStr">
        <is>
          <t>M</t>
        </is>
      </c>
      <c r="B516" s="593" t="inlineStr">
        <is>
          <t>400 Free</t>
        </is>
      </c>
      <c r="C516" s="593" t="n">
        <v>17</v>
      </c>
      <c r="D516" s="593" t="n">
        <v>3</v>
      </c>
      <c r="E516" s="128" t="inlineStr">
        <is>
          <t>3:58.24</t>
        </is>
      </c>
      <c r="F516" s="692" t="n"/>
      <c r="G516" s="692" t="n"/>
      <c r="H516" s="692" t="n"/>
      <c r="I516" s="692" t="n"/>
      <c r="J516" s="692" t="n"/>
      <c r="K516" s="692" t="n"/>
      <c r="L516" s="692" t="n"/>
      <c r="M516" s="692" t="n"/>
      <c r="N516" s="692" t="n"/>
      <c r="O516" s="692" t="n"/>
      <c r="P516" s="692" t="n"/>
      <c r="Q516" s="692" t="n"/>
      <c r="R516" s="692" t="n"/>
      <c r="S516" s="692" t="n"/>
      <c r="T516" s="692" t="n"/>
      <c r="U516" s="692" t="n"/>
      <c r="V516" s="692" t="n"/>
      <c r="W516" s="692" t="n"/>
      <c r="X516" s="692" t="n"/>
      <c r="Y516" s="692" t="n"/>
      <c r="Z516" s="692" t="n"/>
      <c r="AA516" s="692" t="n"/>
      <c r="AB516" s="692" t="n"/>
      <c r="AC516" s="692" t="n"/>
      <c r="AD516" s="692" t="n"/>
      <c r="AE516" s="692" t="n"/>
      <c r="AF516" s="692" t="n"/>
      <c r="AG516" s="692" t="n"/>
      <c r="AH516" s="692" t="n"/>
      <c r="AI516" s="692" t="n"/>
      <c r="AJ516" s="692" t="n"/>
      <c r="AK516" s="692" t="n"/>
      <c r="AL516" s="692" t="n"/>
      <c r="AM516" s="692" t="n"/>
      <c r="AN516" s="692" t="n"/>
      <c r="AO516" s="692" t="n"/>
      <c r="AP516" s="692" t="n"/>
      <c r="AQ516" s="692" t="n"/>
      <c r="AR516" s="692" t="n"/>
      <c r="AS516" s="692" t="n"/>
    </row>
    <row r="517">
      <c r="A517" s="427" t="inlineStr">
        <is>
          <t>M</t>
        </is>
      </c>
      <c r="B517" s="616" t="inlineStr">
        <is>
          <t>400 Free</t>
        </is>
      </c>
      <c r="C517" s="616" t="n">
        <v>18</v>
      </c>
      <c r="D517" s="616" t="n">
        <v>3</v>
      </c>
      <c r="E517" s="127" t="inlineStr">
        <is>
          <t>3:54.18</t>
        </is>
      </c>
      <c r="F517" s="692" t="n"/>
      <c r="G517" s="692" t="n"/>
      <c r="H517" s="692" t="n"/>
      <c r="I517" s="692" t="n"/>
      <c r="J517" s="692" t="n"/>
      <c r="K517" s="692" t="n"/>
      <c r="L517" s="692" t="n"/>
      <c r="M517" s="692" t="n"/>
      <c r="N517" s="692" t="n"/>
      <c r="O517" s="692" t="n"/>
      <c r="P517" s="692" t="n"/>
      <c r="Q517" s="692" t="n"/>
      <c r="R517" s="692" t="n"/>
      <c r="S517" s="692" t="n"/>
      <c r="T517" s="692" t="n"/>
      <c r="U517" s="692" t="n"/>
      <c r="V517" s="692" t="n"/>
      <c r="W517" s="692" t="n"/>
      <c r="X517" s="692" t="n"/>
      <c r="Y517" s="692" t="n"/>
      <c r="Z517" s="692" t="n"/>
      <c r="AA517" s="692" t="n"/>
      <c r="AB517" s="692" t="n"/>
      <c r="AC517" s="692" t="n"/>
      <c r="AD517" s="692" t="n"/>
      <c r="AE517" s="692" t="n"/>
      <c r="AF517" s="692" t="n"/>
      <c r="AG517" s="692" t="n"/>
      <c r="AH517" s="692" t="n"/>
      <c r="AI517" s="692" t="n"/>
      <c r="AJ517" s="692" t="n"/>
      <c r="AK517" s="692" t="n"/>
      <c r="AL517" s="692" t="n"/>
      <c r="AM517" s="692" t="n"/>
      <c r="AN517" s="692" t="n"/>
      <c r="AO517" s="692" t="n"/>
      <c r="AP517" s="692" t="n"/>
      <c r="AQ517" s="692" t="n"/>
      <c r="AR517" s="692" t="n"/>
      <c r="AS517" s="692" t="n"/>
    </row>
    <row r="518">
      <c r="A518" s="420" t="inlineStr">
        <is>
          <t>M</t>
        </is>
      </c>
      <c r="B518" s="593" t="inlineStr">
        <is>
          <t>400 Free</t>
        </is>
      </c>
      <c r="C518" s="593" t="n">
        <v>19</v>
      </c>
      <c r="D518" s="593" t="n">
        <v>3</v>
      </c>
      <c r="E518" s="128" t="inlineStr">
        <is>
          <t>3:51.45</t>
        </is>
      </c>
      <c r="F518" s="692" t="n"/>
      <c r="G518" s="692" t="n"/>
      <c r="H518" s="692" t="n"/>
      <c r="I518" s="692" t="n"/>
      <c r="J518" s="692" t="n"/>
      <c r="K518" s="692" t="n"/>
      <c r="L518" s="692" t="n"/>
      <c r="M518" s="692" t="n"/>
      <c r="N518" s="692" t="n"/>
      <c r="O518" s="692" t="n"/>
      <c r="P518" s="692" t="n"/>
      <c r="Q518" s="692" t="n"/>
      <c r="R518" s="692" t="n"/>
      <c r="S518" s="692" t="n"/>
      <c r="T518" s="692" t="n"/>
      <c r="U518" s="692" t="n"/>
      <c r="V518" s="692" t="n"/>
      <c r="W518" s="692" t="n"/>
      <c r="X518" s="692" t="n"/>
      <c r="Y518" s="692" t="n"/>
      <c r="Z518" s="692" t="n"/>
      <c r="AA518" s="692" t="n"/>
      <c r="AB518" s="692" t="n"/>
      <c r="AC518" s="692" t="n"/>
      <c r="AD518" s="692" t="n"/>
      <c r="AE518" s="692" t="n"/>
      <c r="AF518" s="692" t="n"/>
      <c r="AG518" s="692" t="n"/>
      <c r="AH518" s="692" t="n"/>
      <c r="AI518" s="692" t="n"/>
      <c r="AJ518" s="692" t="n"/>
      <c r="AK518" s="692" t="n"/>
      <c r="AL518" s="692" t="n"/>
      <c r="AM518" s="692" t="n"/>
      <c r="AN518" s="692" t="n"/>
      <c r="AO518" s="692" t="n"/>
      <c r="AP518" s="692" t="n"/>
      <c r="AQ518" s="692" t="n"/>
      <c r="AR518" s="692" t="n"/>
      <c r="AS518" s="692" t="n"/>
    </row>
    <row r="519">
      <c r="A519" s="427" t="inlineStr">
        <is>
          <t>M</t>
        </is>
      </c>
      <c r="B519" s="616" t="inlineStr">
        <is>
          <t>400 Free</t>
        </is>
      </c>
      <c r="C519" s="616" t="n">
        <v>20</v>
      </c>
      <c r="D519" s="616" t="n">
        <v>3</v>
      </c>
      <c r="E519" s="127" t="inlineStr">
        <is>
          <t>3:49.72</t>
        </is>
      </c>
      <c r="F519" s="692" t="n"/>
      <c r="G519" s="692" t="n"/>
      <c r="H519" s="692" t="n"/>
      <c r="I519" s="692" t="n"/>
      <c r="J519" s="692" t="n"/>
      <c r="K519" s="692" t="n"/>
      <c r="L519" s="692" t="n"/>
      <c r="M519" s="692" t="n"/>
      <c r="N519" s="692" t="n"/>
      <c r="O519" s="692" t="n"/>
      <c r="P519" s="692" t="n"/>
      <c r="Q519" s="692" t="n"/>
      <c r="R519" s="692" t="n"/>
      <c r="S519" s="692" t="n"/>
      <c r="T519" s="692" t="n"/>
      <c r="U519" s="692" t="n"/>
      <c r="V519" s="692" t="n"/>
      <c r="W519" s="692" t="n"/>
      <c r="X519" s="692" t="n"/>
      <c r="Y519" s="692" t="n"/>
      <c r="Z519" s="692" t="n"/>
      <c r="AA519" s="692" t="n"/>
      <c r="AB519" s="692" t="n"/>
      <c r="AC519" s="692" t="n"/>
      <c r="AD519" s="692" t="n"/>
      <c r="AE519" s="692" t="n"/>
      <c r="AF519" s="692" t="n"/>
      <c r="AG519" s="692" t="n"/>
      <c r="AH519" s="692" t="n"/>
      <c r="AI519" s="692" t="n"/>
      <c r="AJ519" s="692" t="n"/>
      <c r="AK519" s="692" t="n"/>
      <c r="AL519" s="692" t="n"/>
      <c r="AM519" s="692" t="n"/>
      <c r="AN519" s="692" t="n"/>
      <c r="AO519" s="692" t="n"/>
      <c r="AP519" s="692" t="n"/>
      <c r="AQ519" s="692" t="n"/>
      <c r="AR519" s="692" t="n"/>
      <c r="AS519" s="692" t="n"/>
    </row>
    <row r="520">
      <c r="A520" s="420" t="inlineStr">
        <is>
          <t>M</t>
        </is>
      </c>
      <c r="B520" s="593" t="inlineStr">
        <is>
          <t>400 Free</t>
        </is>
      </c>
      <c r="C520" s="593" t="n">
        <v>21</v>
      </c>
      <c r="D520" s="593" t="n">
        <v>3</v>
      </c>
      <c r="E520" s="128" t="inlineStr">
        <is>
          <t>3:48.75</t>
        </is>
      </c>
      <c r="F520" s="692" t="n"/>
      <c r="G520" s="692" t="n"/>
      <c r="H520" s="692" t="n"/>
      <c r="I520" s="692" t="n"/>
      <c r="J520" s="692" t="n"/>
      <c r="K520" s="692" t="n"/>
      <c r="L520" s="692" t="n"/>
      <c r="M520" s="692" t="n"/>
      <c r="N520" s="692" t="n"/>
      <c r="O520" s="692" t="n"/>
      <c r="P520" s="692" t="n"/>
      <c r="Q520" s="692" t="n"/>
      <c r="R520" s="692" t="n"/>
      <c r="S520" s="692" t="n"/>
      <c r="T520" s="692" t="n"/>
      <c r="U520" s="692" t="n"/>
      <c r="V520" s="692" t="n"/>
      <c r="W520" s="692" t="n"/>
      <c r="X520" s="692" t="n"/>
      <c r="Y520" s="692" t="n"/>
      <c r="Z520" s="692" t="n"/>
      <c r="AA520" s="692" t="n"/>
      <c r="AB520" s="692" t="n"/>
      <c r="AC520" s="692" t="n"/>
      <c r="AD520" s="692" t="n"/>
      <c r="AE520" s="692" t="n"/>
      <c r="AF520" s="692" t="n"/>
      <c r="AG520" s="692" t="n"/>
      <c r="AH520" s="692" t="n"/>
      <c r="AI520" s="692" t="n"/>
      <c r="AJ520" s="692" t="n"/>
      <c r="AK520" s="692" t="n"/>
      <c r="AL520" s="692" t="n"/>
      <c r="AM520" s="692" t="n"/>
      <c r="AN520" s="692" t="n"/>
      <c r="AO520" s="692" t="n"/>
      <c r="AP520" s="692" t="n"/>
      <c r="AQ520" s="692" t="n"/>
      <c r="AR520" s="692" t="n"/>
      <c r="AS520" s="692" t="n"/>
    </row>
    <row r="521">
      <c r="A521" s="427" t="inlineStr">
        <is>
          <t>M</t>
        </is>
      </c>
      <c r="B521" s="616" t="inlineStr">
        <is>
          <t>400 Free</t>
        </is>
      </c>
      <c r="C521" s="616" t="n">
        <v>22</v>
      </c>
      <c r="D521" s="616" t="n">
        <v>3</v>
      </c>
      <c r="E521" s="127" t="inlineStr">
        <is>
          <t>3:48.27</t>
        </is>
      </c>
      <c r="F521" s="692" t="n"/>
      <c r="G521" s="692" t="n"/>
      <c r="H521" s="692" t="n"/>
      <c r="I521" s="692" t="n"/>
      <c r="J521" s="692" t="n"/>
      <c r="K521" s="692" t="n"/>
      <c r="L521" s="692" t="n"/>
      <c r="M521" s="692" t="n"/>
      <c r="N521" s="692" t="n"/>
      <c r="O521" s="692" t="n"/>
      <c r="P521" s="692" t="n"/>
      <c r="Q521" s="692" t="n"/>
      <c r="R521" s="692" t="n"/>
      <c r="S521" s="692" t="n"/>
      <c r="T521" s="692" t="n"/>
      <c r="U521" s="692" t="n"/>
      <c r="V521" s="692" t="n"/>
      <c r="W521" s="692" t="n"/>
      <c r="X521" s="692" t="n"/>
      <c r="Y521" s="692" t="n"/>
      <c r="Z521" s="692" t="n"/>
      <c r="AA521" s="692" t="n"/>
      <c r="AB521" s="692" t="n"/>
      <c r="AC521" s="692" t="n"/>
      <c r="AD521" s="692" t="n"/>
      <c r="AE521" s="692" t="n"/>
      <c r="AF521" s="692" t="n"/>
      <c r="AG521" s="692" t="n"/>
      <c r="AH521" s="692" t="n"/>
      <c r="AI521" s="692" t="n"/>
      <c r="AJ521" s="692" t="n"/>
      <c r="AK521" s="692" t="n"/>
      <c r="AL521" s="692" t="n"/>
      <c r="AM521" s="692" t="n"/>
      <c r="AN521" s="692" t="n"/>
      <c r="AO521" s="692" t="n"/>
      <c r="AP521" s="692" t="n"/>
      <c r="AQ521" s="692" t="n"/>
      <c r="AR521" s="692" t="n"/>
      <c r="AS521" s="692" t="n"/>
    </row>
    <row r="522">
      <c r="A522" s="420" t="inlineStr">
        <is>
          <t>M</t>
        </is>
      </c>
      <c r="B522" s="593" t="inlineStr">
        <is>
          <t>400 Free</t>
        </is>
      </c>
      <c r="C522" s="593" t="n">
        <v>23</v>
      </c>
      <c r="D522" s="593" t="n">
        <v>3</v>
      </c>
      <c r="E522" s="128" t="inlineStr">
        <is>
          <t>3:48.15</t>
        </is>
      </c>
      <c r="F522" s="692" t="n"/>
      <c r="G522" s="692" t="n"/>
      <c r="H522" s="692" t="n"/>
      <c r="I522" s="692" t="n"/>
      <c r="J522" s="692" t="n"/>
      <c r="K522" s="692" t="n"/>
      <c r="L522" s="692" t="n"/>
      <c r="M522" s="692" t="n"/>
      <c r="N522" s="692" t="n"/>
      <c r="O522" s="692" t="n"/>
      <c r="P522" s="692" t="n"/>
      <c r="Q522" s="692" t="n"/>
      <c r="R522" s="692" t="n"/>
      <c r="S522" s="692" t="n"/>
      <c r="T522" s="692" t="n"/>
      <c r="U522" s="692" t="n"/>
      <c r="V522" s="692" t="n"/>
      <c r="W522" s="692" t="n"/>
      <c r="X522" s="692" t="n"/>
      <c r="Y522" s="692" t="n"/>
      <c r="Z522" s="692" t="n"/>
      <c r="AA522" s="692" t="n"/>
      <c r="AB522" s="692" t="n"/>
      <c r="AC522" s="692" t="n"/>
      <c r="AD522" s="692" t="n"/>
      <c r="AE522" s="692" t="n"/>
      <c r="AF522" s="692" t="n"/>
      <c r="AG522" s="692" t="n"/>
      <c r="AH522" s="692" t="n"/>
      <c r="AI522" s="692" t="n"/>
      <c r="AJ522" s="692" t="n"/>
      <c r="AK522" s="692" t="n"/>
      <c r="AL522" s="692" t="n"/>
      <c r="AM522" s="692" t="n"/>
      <c r="AN522" s="692" t="n"/>
      <c r="AO522" s="692" t="n"/>
      <c r="AP522" s="692" t="n"/>
      <c r="AQ522" s="692" t="n"/>
      <c r="AR522" s="692" t="n"/>
      <c r="AS522" s="692" t="n"/>
    </row>
    <row r="523">
      <c r="A523" s="427" t="inlineStr">
        <is>
          <t>M</t>
        </is>
      </c>
      <c r="B523" s="616" t="inlineStr">
        <is>
          <t>800 Free</t>
        </is>
      </c>
      <c r="C523" s="616" t="n">
        <v>17</v>
      </c>
      <c r="D523" s="616" t="n">
        <v>3</v>
      </c>
      <c r="E523" s="127" t="inlineStr">
        <is>
          <t>8:09.69</t>
        </is>
      </c>
      <c r="F523" s="692" t="n"/>
      <c r="G523" s="692" t="n"/>
      <c r="H523" s="692" t="n"/>
      <c r="I523" s="692" t="n"/>
      <c r="J523" s="692" t="n"/>
      <c r="K523" s="692" t="n"/>
      <c r="L523" s="692" t="n"/>
      <c r="M523" s="692" t="n"/>
      <c r="N523" s="692" t="n"/>
      <c r="O523" s="692" t="n"/>
      <c r="P523" s="692" t="n"/>
      <c r="Q523" s="692" t="n"/>
      <c r="R523" s="692" t="n"/>
      <c r="S523" s="692" t="n"/>
      <c r="T523" s="692" t="n"/>
      <c r="U523" s="692" t="n"/>
      <c r="V523" s="692" t="n"/>
      <c r="W523" s="692" t="n"/>
      <c r="X523" s="692" t="n"/>
      <c r="Y523" s="692" t="n"/>
      <c r="Z523" s="692" t="n"/>
      <c r="AA523" s="692" t="n"/>
      <c r="AB523" s="692" t="n"/>
      <c r="AC523" s="692" t="n"/>
      <c r="AD523" s="692" t="n"/>
      <c r="AE523" s="692" t="n"/>
      <c r="AF523" s="692" t="n"/>
      <c r="AG523" s="692" t="n"/>
      <c r="AH523" s="692" t="n"/>
      <c r="AI523" s="692" t="n"/>
      <c r="AJ523" s="692" t="n"/>
      <c r="AK523" s="692" t="n"/>
      <c r="AL523" s="692" t="n"/>
      <c r="AM523" s="692" t="n"/>
      <c r="AN523" s="692" t="n"/>
      <c r="AO523" s="692" t="n"/>
      <c r="AP523" s="692" t="n"/>
      <c r="AQ523" s="692" t="n"/>
      <c r="AR523" s="692" t="n"/>
      <c r="AS523" s="692" t="n"/>
    </row>
    <row r="524">
      <c r="A524" s="420" t="inlineStr">
        <is>
          <t>M</t>
        </is>
      </c>
      <c r="B524" s="593" t="inlineStr">
        <is>
          <t>800 Free</t>
        </is>
      </c>
      <c r="C524" s="593" t="n">
        <v>18</v>
      </c>
      <c r="D524" s="593" t="n">
        <v>3</v>
      </c>
      <c r="E524" s="128" t="inlineStr">
        <is>
          <t>8:01.16</t>
        </is>
      </c>
      <c r="F524" s="692" t="n"/>
      <c r="G524" s="692" t="n"/>
      <c r="H524" s="692" t="n"/>
      <c r="I524" s="692" t="n"/>
      <c r="J524" s="692" t="n"/>
      <c r="K524" s="692" t="n"/>
      <c r="L524" s="692" t="n"/>
      <c r="M524" s="692" t="n"/>
      <c r="N524" s="692" t="n"/>
      <c r="O524" s="692" t="n"/>
      <c r="P524" s="692" t="n"/>
      <c r="Q524" s="692" t="n"/>
      <c r="R524" s="692" t="n"/>
      <c r="S524" s="692" t="n"/>
      <c r="T524" s="692" t="n"/>
      <c r="U524" s="692" t="n"/>
      <c r="V524" s="692" t="n"/>
      <c r="W524" s="692" t="n"/>
      <c r="X524" s="692" t="n"/>
      <c r="Y524" s="692" t="n"/>
      <c r="Z524" s="692" t="n"/>
      <c r="AA524" s="692" t="n"/>
      <c r="AB524" s="692" t="n"/>
      <c r="AC524" s="692" t="n"/>
      <c r="AD524" s="692" t="n"/>
      <c r="AE524" s="692" t="n"/>
      <c r="AF524" s="692" t="n"/>
      <c r="AG524" s="692" t="n"/>
      <c r="AH524" s="692" t="n"/>
      <c r="AI524" s="692" t="n"/>
      <c r="AJ524" s="692" t="n"/>
      <c r="AK524" s="692" t="n"/>
      <c r="AL524" s="692" t="n"/>
      <c r="AM524" s="692" t="n"/>
      <c r="AN524" s="692" t="n"/>
      <c r="AO524" s="692" t="n"/>
      <c r="AP524" s="692" t="n"/>
      <c r="AQ524" s="692" t="n"/>
      <c r="AR524" s="692" t="n"/>
      <c r="AS524" s="692" t="n"/>
    </row>
    <row r="525">
      <c r="A525" s="427" t="inlineStr">
        <is>
          <t>M</t>
        </is>
      </c>
      <c r="B525" s="616" t="inlineStr">
        <is>
          <t>800 Free</t>
        </is>
      </c>
      <c r="C525" s="616" t="n">
        <v>19</v>
      </c>
      <c r="D525" s="616" t="n">
        <v>3</v>
      </c>
      <c r="E525" s="127" t="inlineStr">
        <is>
          <t>7:55.71</t>
        </is>
      </c>
      <c r="F525" s="692" t="n"/>
      <c r="G525" s="692" t="n"/>
      <c r="H525" s="692" t="n"/>
      <c r="I525" s="692" t="n"/>
      <c r="J525" s="692" t="n"/>
      <c r="K525" s="692" t="n"/>
      <c r="L525" s="692" t="n"/>
      <c r="M525" s="692" t="n"/>
      <c r="N525" s="692" t="n"/>
      <c r="O525" s="692" t="n"/>
      <c r="P525" s="692" t="n"/>
      <c r="Q525" s="692" t="n"/>
      <c r="R525" s="692" t="n"/>
      <c r="S525" s="692" t="n"/>
      <c r="T525" s="692" t="n"/>
      <c r="U525" s="692" t="n"/>
      <c r="V525" s="692" t="n"/>
      <c r="W525" s="692" t="n"/>
      <c r="X525" s="692" t="n"/>
      <c r="Y525" s="692" t="n"/>
      <c r="Z525" s="692" t="n"/>
      <c r="AA525" s="692" t="n"/>
      <c r="AB525" s="692" t="n"/>
      <c r="AC525" s="692" t="n"/>
      <c r="AD525" s="692" t="n"/>
      <c r="AE525" s="692" t="n"/>
      <c r="AF525" s="692" t="n"/>
      <c r="AG525" s="692" t="n"/>
      <c r="AH525" s="692" t="n"/>
      <c r="AI525" s="692" t="n"/>
      <c r="AJ525" s="692" t="n"/>
      <c r="AK525" s="692" t="n"/>
      <c r="AL525" s="692" t="n"/>
      <c r="AM525" s="692" t="n"/>
      <c r="AN525" s="692" t="n"/>
      <c r="AO525" s="692" t="n"/>
      <c r="AP525" s="692" t="n"/>
      <c r="AQ525" s="692" t="n"/>
      <c r="AR525" s="692" t="n"/>
      <c r="AS525" s="692" t="n"/>
    </row>
    <row r="526">
      <c r="A526" s="420" t="inlineStr">
        <is>
          <t>M</t>
        </is>
      </c>
      <c r="B526" s="593" t="inlineStr">
        <is>
          <t>800 Free</t>
        </is>
      </c>
      <c r="C526" s="593" t="n">
        <v>20</v>
      </c>
      <c r="D526" s="593" t="n">
        <v>3</v>
      </c>
      <c r="E526" s="128" t="inlineStr">
        <is>
          <t>7:52.43</t>
        </is>
      </c>
      <c r="F526" s="692" t="n"/>
      <c r="G526" s="692" t="n"/>
      <c r="H526" s="692" t="n"/>
      <c r="I526" s="692" t="n"/>
      <c r="J526" s="692" t="n"/>
      <c r="K526" s="692" t="n"/>
      <c r="L526" s="692" t="n"/>
      <c r="M526" s="692" t="n"/>
      <c r="N526" s="692" t="n"/>
      <c r="O526" s="692" t="n"/>
      <c r="P526" s="692" t="n"/>
      <c r="Q526" s="692" t="n"/>
      <c r="R526" s="692" t="n"/>
      <c r="S526" s="692" t="n"/>
      <c r="T526" s="692" t="n"/>
      <c r="U526" s="692" t="n"/>
      <c r="V526" s="692" t="n"/>
      <c r="W526" s="692" t="n"/>
      <c r="X526" s="692" t="n"/>
      <c r="Y526" s="692" t="n"/>
      <c r="Z526" s="692" t="n"/>
      <c r="AA526" s="692" t="n"/>
      <c r="AB526" s="692" t="n"/>
      <c r="AC526" s="692" t="n"/>
      <c r="AD526" s="692" t="n"/>
      <c r="AE526" s="692" t="n"/>
      <c r="AF526" s="692" t="n"/>
      <c r="AG526" s="692" t="n"/>
      <c r="AH526" s="692" t="n"/>
      <c r="AI526" s="692" t="n"/>
      <c r="AJ526" s="692" t="n"/>
      <c r="AK526" s="692" t="n"/>
      <c r="AL526" s="692" t="n"/>
      <c r="AM526" s="692" t="n"/>
      <c r="AN526" s="692" t="n"/>
      <c r="AO526" s="692" t="n"/>
      <c r="AP526" s="692" t="n"/>
      <c r="AQ526" s="692" t="n"/>
      <c r="AR526" s="692" t="n"/>
      <c r="AS526" s="692" t="n"/>
    </row>
    <row r="527">
      <c r="A527" s="427" t="inlineStr">
        <is>
          <t>M</t>
        </is>
      </c>
      <c r="B527" s="616" t="inlineStr">
        <is>
          <t>800 Free</t>
        </is>
      </c>
      <c r="C527" s="616" t="n">
        <v>21</v>
      </c>
      <c r="D527" s="616" t="n">
        <v>3</v>
      </c>
      <c r="E527" s="127" t="inlineStr">
        <is>
          <t>7:50.42</t>
        </is>
      </c>
      <c r="F527" s="692" t="n"/>
      <c r="G527" s="692" t="n"/>
      <c r="H527" s="692" t="n"/>
      <c r="I527" s="692" t="n"/>
      <c r="J527" s="692" t="n"/>
      <c r="K527" s="692" t="n"/>
      <c r="L527" s="692" t="n"/>
      <c r="M527" s="692" t="n"/>
      <c r="N527" s="692" t="n"/>
      <c r="O527" s="692" t="n"/>
      <c r="P527" s="692" t="n"/>
      <c r="Q527" s="692" t="n"/>
      <c r="R527" s="692" t="n"/>
      <c r="S527" s="692" t="n"/>
      <c r="T527" s="692" t="n"/>
      <c r="U527" s="692" t="n"/>
      <c r="V527" s="692" t="n"/>
      <c r="W527" s="692" t="n"/>
      <c r="X527" s="692" t="n"/>
      <c r="Y527" s="692" t="n"/>
      <c r="Z527" s="692" t="n"/>
      <c r="AA527" s="692" t="n"/>
      <c r="AB527" s="692" t="n"/>
      <c r="AC527" s="692" t="n"/>
      <c r="AD527" s="692" t="n"/>
      <c r="AE527" s="692" t="n"/>
      <c r="AF527" s="692" t="n"/>
      <c r="AG527" s="692" t="n"/>
      <c r="AH527" s="692" t="n"/>
      <c r="AI527" s="692" t="n"/>
      <c r="AJ527" s="692" t="n"/>
      <c r="AK527" s="692" t="n"/>
      <c r="AL527" s="692" t="n"/>
      <c r="AM527" s="692" t="n"/>
      <c r="AN527" s="692" t="n"/>
      <c r="AO527" s="692" t="n"/>
      <c r="AP527" s="692" t="n"/>
      <c r="AQ527" s="692" t="n"/>
      <c r="AR527" s="692" t="n"/>
      <c r="AS527" s="692" t="n"/>
    </row>
    <row r="528">
      <c r="A528" s="420" t="inlineStr">
        <is>
          <t>M</t>
        </is>
      </c>
      <c r="B528" s="593" t="inlineStr">
        <is>
          <t>800 Free</t>
        </is>
      </c>
      <c r="C528" s="593" t="n">
        <v>22</v>
      </c>
      <c r="D528" s="593" t="n">
        <v>3</v>
      </c>
      <c r="E528" s="128" t="inlineStr">
        <is>
          <t>7:49.18</t>
        </is>
      </c>
      <c r="F528" s="692" t="n"/>
      <c r="G528" s="692" t="n"/>
      <c r="H528" s="692" t="n"/>
      <c r="I528" s="692" t="n"/>
      <c r="J528" s="692" t="n"/>
      <c r="K528" s="692" t="n"/>
      <c r="L528" s="692" t="n"/>
      <c r="M528" s="692" t="n"/>
      <c r="N528" s="692" t="n"/>
      <c r="O528" s="692" t="n"/>
      <c r="P528" s="692" t="n"/>
      <c r="Q528" s="692" t="n"/>
      <c r="R528" s="692" t="n"/>
      <c r="S528" s="692" t="n"/>
      <c r="T528" s="692" t="n"/>
      <c r="U528" s="692" t="n"/>
      <c r="V528" s="692" t="n"/>
      <c r="W528" s="692" t="n"/>
      <c r="X528" s="692" t="n"/>
      <c r="Y528" s="692" t="n"/>
      <c r="Z528" s="692" t="n"/>
      <c r="AA528" s="692" t="n"/>
      <c r="AB528" s="692" t="n"/>
      <c r="AC528" s="692" t="n"/>
      <c r="AD528" s="692" t="n"/>
      <c r="AE528" s="692" t="n"/>
      <c r="AF528" s="692" t="n"/>
      <c r="AG528" s="692" t="n"/>
      <c r="AH528" s="692" t="n"/>
      <c r="AI528" s="692" t="n"/>
      <c r="AJ528" s="692" t="n"/>
      <c r="AK528" s="692" t="n"/>
      <c r="AL528" s="692" t="n"/>
      <c r="AM528" s="692" t="n"/>
      <c r="AN528" s="692" t="n"/>
      <c r="AO528" s="692" t="n"/>
      <c r="AP528" s="692" t="n"/>
      <c r="AQ528" s="692" t="n"/>
      <c r="AR528" s="692" t="n"/>
      <c r="AS528" s="692" t="n"/>
    </row>
    <row r="529">
      <c r="A529" s="427" t="inlineStr">
        <is>
          <t>M</t>
        </is>
      </c>
      <c r="B529" s="616" t="inlineStr">
        <is>
          <t>800 Free</t>
        </is>
      </c>
      <c r="C529" s="616" t="n">
        <v>23</v>
      </c>
      <c r="D529" s="616" t="n">
        <v>3</v>
      </c>
      <c r="E529" s="127" t="inlineStr">
        <is>
          <t>7:48.66</t>
        </is>
      </c>
      <c r="F529" s="692" t="n"/>
      <c r="G529" s="692" t="n"/>
      <c r="H529" s="692" t="n"/>
      <c r="I529" s="692" t="n"/>
      <c r="J529" s="692" t="n"/>
      <c r="K529" s="692" t="n"/>
      <c r="L529" s="692" t="n"/>
      <c r="M529" s="692" t="n"/>
      <c r="N529" s="692" t="n"/>
      <c r="O529" s="692" t="n"/>
      <c r="P529" s="692" t="n"/>
      <c r="Q529" s="692" t="n"/>
      <c r="R529" s="692" t="n"/>
      <c r="S529" s="692" t="n"/>
      <c r="T529" s="692" t="n"/>
      <c r="U529" s="692" t="n"/>
      <c r="V529" s="692" t="n"/>
      <c r="W529" s="692" t="n"/>
      <c r="X529" s="692" t="n"/>
      <c r="Y529" s="692" t="n"/>
      <c r="Z529" s="692" t="n"/>
      <c r="AA529" s="692" t="n"/>
      <c r="AB529" s="692" t="n"/>
      <c r="AC529" s="692" t="n"/>
      <c r="AD529" s="692" t="n"/>
      <c r="AE529" s="692" t="n"/>
      <c r="AF529" s="692" t="n"/>
      <c r="AG529" s="692" t="n"/>
      <c r="AH529" s="692" t="n"/>
      <c r="AI529" s="692" t="n"/>
      <c r="AJ529" s="692" t="n"/>
      <c r="AK529" s="692" t="n"/>
      <c r="AL529" s="692" t="n"/>
      <c r="AM529" s="692" t="n"/>
      <c r="AN529" s="692" t="n"/>
      <c r="AO529" s="692" t="n"/>
      <c r="AP529" s="692" t="n"/>
      <c r="AQ529" s="692" t="n"/>
      <c r="AR529" s="692" t="n"/>
      <c r="AS529" s="692" t="n"/>
    </row>
    <row r="530">
      <c r="A530" s="420" t="inlineStr">
        <is>
          <t>M</t>
        </is>
      </c>
      <c r="B530" s="593" t="inlineStr">
        <is>
          <t>1500 Free</t>
        </is>
      </c>
      <c r="C530" s="593" t="n">
        <v>17</v>
      </c>
      <c r="D530" s="593" t="n">
        <v>3</v>
      </c>
      <c r="E530" s="128" t="inlineStr">
        <is>
          <t>15:33.06</t>
        </is>
      </c>
      <c r="F530" s="692" t="n"/>
      <c r="G530" s="692" t="n"/>
      <c r="H530" s="692" t="n"/>
      <c r="I530" s="692" t="n"/>
      <c r="J530" s="692" t="n"/>
      <c r="K530" s="692" t="n"/>
      <c r="L530" s="692" t="n"/>
      <c r="M530" s="692" t="n"/>
      <c r="N530" s="692" t="n"/>
      <c r="O530" s="692" t="n"/>
      <c r="P530" s="692" t="n"/>
      <c r="Q530" s="692" t="n"/>
      <c r="R530" s="692" t="n"/>
      <c r="S530" s="692" t="n"/>
      <c r="T530" s="692" t="n"/>
      <c r="U530" s="692" t="n"/>
      <c r="V530" s="692" t="n"/>
      <c r="W530" s="692" t="n"/>
      <c r="X530" s="692" t="n"/>
      <c r="Y530" s="692" t="n"/>
      <c r="Z530" s="692" t="n"/>
      <c r="AA530" s="692" t="n"/>
      <c r="AB530" s="692" t="n"/>
      <c r="AC530" s="692" t="n"/>
      <c r="AD530" s="692" t="n"/>
      <c r="AE530" s="692" t="n"/>
      <c r="AF530" s="692" t="n"/>
      <c r="AG530" s="692" t="n"/>
      <c r="AH530" s="692" t="n"/>
      <c r="AI530" s="692" t="n"/>
      <c r="AJ530" s="692" t="n"/>
      <c r="AK530" s="692" t="n"/>
      <c r="AL530" s="692" t="n"/>
      <c r="AM530" s="692" t="n"/>
      <c r="AN530" s="692" t="n"/>
      <c r="AO530" s="692" t="n"/>
      <c r="AP530" s="692" t="n"/>
      <c r="AQ530" s="692" t="n"/>
      <c r="AR530" s="692" t="n"/>
      <c r="AS530" s="692" t="n"/>
    </row>
    <row r="531">
      <c r="A531" s="427" t="inlineStr">
        <is>
          <t>M</t>
        </is>
      </c>
      <c r="B531" s="616" t="inlineStr">
        <is>
          <t>1500 Free</t>
        </is>
      </c>
      <c r="C531" s="616" t="n">
        <v>18</v>
      </c>
      <c r="D531" s="616" t="n">
        <v>3</v>
      </c>
      <c r="E531" s="127" t="inlineStr">
        <is>
          <t>15:19.13</t>
        </is>
      </c>
      <c r="F531" s="692" t="n"/>
      <c r="G531" s="692" t="n"/>
      <c r="H531" s="692" t="n"/>
      <c r="I531" s="692" t="n"/>
      <c r="J531" s="692" t="n"/>
      <c r="K531" s="692" t="n"/>
      <c r="L531" s="692" t="n"/>
      <c r="M531" s="692" t="n"/>
      <c r="N531" s="692" t="n"/>
      <c r="O531" s="692" t="n"/>
      <c r="P531" s="692" t="n"/>
      <c r="Q531" s="692" t="n"/>
      <c r="R531" s="692" t="n"/>
      <c r="S531" s="692" t="n"/>
      <c r="T531" s="692" t="n"/>
      <c r="U531" s="692" t="n"/>
      <c r="V531" s="692" t="n"/>
      <c r="W531" s="692" t="n"/>
      <c r="X531" s="692" t="n"/>
      <c r="Y531" s="692" t="n"/>
      <c r="Z531" s="692" t="n"/>
      <c r="AA531" s="692" t="n"/>
      <c r="AB531" s="692" t="n"/>
      <c r="AC531" s="692" t="n"/>
      <c r="AD531" s="692" t="n"/>
      <c r="AE531" s="692" t="n"/>
      <c r="AF531" s="692" t="n"/>
      <c r="AG531" s="692" t="n"/>
      <c r="AH531" s="692" t="n"/>
      <c r="AI531" s="692" t="n"/>
      <c r="AJ531" s="692" t="n"/>
      <c r="AK531" s="692" t="n"/>
      <c r="AL531" s="692" t="n"/>
      <c r="AM531" s="692" t="n"/>
      <c r="AN531" s="692" t="n"/>
      <c r="AO531" s="692" t="n"/>
      <c r="AP531" s="692" t="n"/>
      <c r="AQ531" s="692" t="n"/>
      <c r="AR531" s="692" t="n"/>
      <c r="AS531" s="692" t="n"/>
    </row>
    <row r="532">
      <c r="A532" s="420" t="inlineStr">
        <is>
          <t>M</t>
        </is>
      </c>
      <c r="B532" s="593" t="inlineStr">
        <is>
          <t>1500 Free</t>
        </is>
      </c>
      <c r="C532" s="593" t="n">
        <v>19</v>
      </c>
      <c r="D532" s="593" t="n">
        <v>3</v>
      </c>
      <c r="E532" s="128" t="inlineStr">
        <is>
          <t>15:10.59</t>
        </is>
      </c>
      <c r="F532" s="692" t="n"/>
      <c r="G532" s="692" t="n"/>
      <c r="H532" s="692" t="n"/>
      <c r="I532" s="692" t="n"/>
      <c r="J532" s="692" t="n"/>
      <c r="K532" s="692" t="n"/>
      <c r="L532" s="692" t="n"/>
      <c r="M532" s="692" t="n"/>
      <c r="N532" s="692" t="n"/>
      <c r="O532" s="692" t="n"/>
      <c r="P532" s="692" t="n"/>
      <c r="Q532" s="692" t="n"/>
      <c r="R532" s="692" t="n"/>
      <c r="S532" s="692" t="n"/>
      <c r="T532" s="692" t="n"/>
      <c r="U532" s="692" t="n"/>
      <c r="V532" s="692" t="n"/>
      <c r="W532" s="692" t="n"/>
      <c r="X532" s="692" t="n"/>
      <c r="Y532" s="692" t="n"/>
      <c r="Z532" s="692" t="n"/>
      <c r="AA532" s="692" t="n"/>
      <c r="AB532" s="692" t="n"/>
      <c r="AC532" s="692" t="n"/>
      <c r="AD532" s="692" t="n"/>
      <c r="AE532" s="692" t="n"/>
      <c r="AF532" s="692" t="n"/>
      <c r="AG532" s="692" t="n"/>
      <c r="AH532" s="692" t="n"/>
      <c r="AI532" s="692" t="n"/>
      <c r="AJ532" s="692" t="n"/>
      <c r="AK532" s="692" t="n"/>
      <c r="AL532" s="692" t="n"/>
      <c r="AM532" s="692" t="n"/>
      <c r="AN532" s="692" t="n"/>
      <c r="AO532" s="692" t="n"/>
      <c r="AP532" s="692" t="n"/>
      <c r="AQ532" s="692" t="n"/>
      <c r="AR532" s="692" t="n"/>
      <c r="AS532" s="692" t="n"/>
    </row>
    <row r="533">
      <c r="A533" s="427" t="inlineStr">
        <is>
          <t>M</t>
        </is>
      </c>
      <c r="B533" s="616" t="inlineStr">
        <is>
          <t>1500 Free</t>
        </is>
      </c>
      <c r="C533" s="616" t="n">
        <v>20</v>
      </c>
      <c r="D533" s="616" t="n">
        <v>3</v>
      </c>
      <c r="E533" s="127" t="inlineStr">
        <is>
          <t>15:05.79</t>
        </is>
      </c>
      <c r="F533" s="692" t="n"/>
      <c r="G533" s="692" t="n"/>
      <c r="H533" s="692" t="n"/>
      <c r="I533" s="692" t="n"/>
      <c r="J533" s="692" t="n"/>
      <c r="K533" s="692" t="n"/>
      <c r="L533" s="692" t="n"/>
      <c r="M533" s="692" t="n"/>
      <c r="N533" s="692" t="n"/>
      <c r="O533" s="692" t="n"/>
      <c r="P533" s="692" t="n"/>
      <c r="Q533" s="692" t="n"/>
      <c r="R533" s="692" t="n"/>
      <c r="S533" s="692" t="n"/>
      <c r="T533" s="692" t="n"/>
      <c r="U533" s="692" t="n"/>
      <c r="V533" s="692" t="n"/>
      <c r="W533" s="692" t="n"/>
      <c r="X533" s="692" t="n"/>
      <c r="Y533" s="692" t="n"/>
      <c r="Z533" s="692" t="n"/>
      <c r="AA533" s="692" t="n"/>
      <c r="AB533" s="692" t="n"/>
      <c r="AC533" s="692" t="n"/>
      <c r="AD533" s="692" t="n"/>
      <c r="AE533" s="692" t="n"/>
      <c r="AF533" s="692" t="n"/>
      <c r="AG533" s="692" t="n"/>
      <c r="AH533" s="692" t="n"/>
      <c r="AI533" s="692" t="n"/>
      <c r="AJ533" s="692" t="n"/>
      <c r="AK533" s="692" t="n"/>
      <c r="AL533" s="692" t="n"/>
      <c r="AM533" s="692" t="n"/>
      <c r="AN533" s="692" t="n"/>
      <c r="AO533" s="692" t="n"/>
      <c r="AP533" s="692" t="n"/>
      <c r="AQ533" s="692" t="n"/>
      <c r="AR533" s="692" t="n"/>
      <c r="AS533" s="692" t="n"/>
    </row>
    <row r="534">
      <c r="A534" s="420" t="inlineStr">
        <is>
          <t>M</t>
        </is>
      </c>
      <c r="B534" s="593" t="inlineStr">
        <is>
          <t>1500 Free</t>
        </is>
      </c>
      <c r="C534" s="593" t="n">
        <v>21</v>
      </c>
      <c r="D534" s="593" t="n">
        <v>3</v>
      </c>
      <c r="E534" s="128" t="inlineStr">
        <is>
          <t>15:03.55</t>
        </is>
      </c>
      <c r="F534" s="692" t="n"/>
      <c r="G534" s="692" t="n"/>
      <c r="H534" s="692" t="n"/>
      <c r="I534" s="692" t="n"/>
      <c r="J534" s="692" t="n"/>
      <c r="K534" s="692" t="n"/>
      <c r="L534" s="692" t="n"/>
      <c r="M534" s="692" t="n"/>
      <c r="N534" s="692" t="n"/>
      <c r="O534" s="692" t="n"/>
      <c r="P534" s="692" t="n"/>
      <c r="Q534" s="692" t="n"/>
      <c r="R534" s="692" t="n"/>
      <c r="S534" s="692" t="n"/>
      <c r="T534" s="692" t="n"/>
      <c r="U534" s="692" t="n"/>
      <c r="V534" s="692" t="n"/>
      <c r="W534" s="692" t="n"/>
      <c r="X534" s="692" t="n"/>
      <c r="Y534" s="692" t="n"/>
      <c r="Z534" s="692" t="n"/>
      <c r="AA534" s="692" t="n"/>
      <c r="AB534" s="692" t="n"/>
      <c r="AC534" s="692" t="n"/>
      <c r="AD534" s="692" t="n"/>
      <c r="AE534" s="692" t="n"/>
      <c r="AF534" s="692" t="n"/>
      <c r="AG534" s="692" t="n"/>
    </row>
    <row r="535">
      <c r="A535" s="427" t="inlineStr">
        <is>
          <t>M</t>
        </is>
      </c>
      <c r="B535" s="616" t="inlineStr">
        <is>
          <t>1500 Free</t>
        </is>
      </c>
      <c r="C535" s="616" t="n">
        <v>22</v>
      </c>
      <c r="D535" s="616" t="n">
        <v>3</v>
      </c>
      <c r="E535" s="127" t="inlineStr">
        <is>
          <t>15:02.44</t>
        </is>
      </c>
      <c r="F535" s="692" t="n"/>
      <c r="G535" s="692" t="n"/>
      <c r="H535" s="692" t="n"/>
      <c r="I535" s="692" t="n"/>
      <c r="J535" s="692" t="n"/>
      <c r="K535" s="692" t="n"/>
      <c r="L535" s="692" t="n"/>
      <c r="M535" s="692" t="n"/>
      <c r="N535" s="692" t="n"/>
      <c r="O535" s="692" t="n"/>
      <c r="P535" s="692" t="n"/>
      <c r="Q535" s="692" t="n"/>
      <c r="R535" s="692" t="n"/>
      <c r="S535" s="692" t="n"/>
      <c r="T535" s="692" t="n"/>
      <c r="U535" s="692" t="n"/>
      <c r="V535" s="692" t="n"/>
      <c r="W535" s="692" t="n"/>
      <c r="X535" s="692" t="n"/>
      <c r="Y535" s="692" t="n"/>
      <c r="Z535" s="692" t="n"/>
      <c r="AA535" s="692" t="n"/>
      <c r="AB535" s="692" t="n"/>
      <c r="AC535" s="692" t="n"/>
      <c r="AD535" s="692" t="n"/>
      <c r="AE535" s="692" t="n"/>
      <c r="AF535" s="692" t="n"/>
    </row>
    <row r="536">
      <c r="A536" s="420" t="inlineStr">
        <is>
          <t>M</t>
        </is>
      </c>
      <c r="B536" s="593" t="inlineStr">
        <is>
          <t>1500 Free</t>
        </is>
      </c>
      <c r="C536" s="593" t="n">
        <v>23</v>
      </c>
      <c r="D536" s="593" t="n">
        <v>3</v>
      </c>
      <c r="E536" s="128" t="inlineStr">
        <is>
          <t>15:01.89</t>
        </is>
      </c>
      <c r="F536" s="692" t="n"/>
      <c r="G536" s="692" t="n"/>
      <c r="H536" s="692" t="n"/>
      <c r="I536" s="692" t="n"/>
      <c r="J536" s="692" t="n"/>
      <c r="K536" s="692" t="n"/>
      <c r="L536" s="692" t="n"/>
      <c r="M536" s="692" t="n"/>
      <c r="N536" s="692" t="n"/>
      <c r="O536" s="692" t="n"/>
      <c r="P536" s="692" t="n"/>
      <c r="Q536" s="692" t="n"/>
      <c r="R536" s="692" t="n"/>
      <c r="S536" s="692" t="n"/>
      <c r="T536" s="692" t="n"/>
      <c r="U536" s="692" t="n"/>
      <c r="V536" s="692" t="n"/>
      <c r="W536" s="692" t="n"/>
      <c r="X536" s="692" t="n"/>
      <c r="Y536" s="692" t="n"/>
      <c r="Z536" s="692" t="n"/>
      <c r="AA536" s="692" t="n"/>
      <c r="AB536" s="692" t="n"/>
      <c r="AC536" s="692" t="n"/>
      <c r="AD536" s="692" t="n"/>
      <c r="AE536" s="692" t="n"/>
      <c r="AF536" s="692" t="n"/>
    </row>
    <row r="537">
      <c r="A537" s="427" t="inlineStr">
        <is>
          <t>M</t>
        </is>
      </c>
      <c r="B537" s="616" t="inlineStr">
        <is>
          <t>50 Back</t>
        </is>
      </c>
      <c r="C537" s="616" t="n">
        <v>18</v>
      </c>
      <c r="D537" s="616" t="n">
        <v>3</v>
      </c>
      <c r="E537" s="127" t="inlineStr">
        <is>
          <t>26.15</t>
        </is>
      </c>
      <c r="F537" s="692" t="n"/>
      <c r="G537" s="692" t="n"/>
      <c r="H537" s="692" t="n"/>
      <c r="I537" s="692" t="n"/>
      <c r="J537" s="692" t="n"/>
      <c r="K537" s="158" t="n"/>
      <c r="L537" s="692" t="n"/>
      <c r="M537" s="692" t="n"/>
      <c r="N537" s="692" t="n"/>
      <c r="O537" s="692" t="n"/>
      <c r="P537" s="692" t="n"/>
      <c r="Q537" s="692" t="n"/>
      <c r="R537" s="692" t="n"/>
      <c r="S537" s="692" t="n"/>
      <c r="T537" s="692" t="n"/>
      <c r="U537" s="692" t="n"/>
      <c r="V537" s="692" t="n"/>
      <c r="W537" s="692" t="n"/>
      <c r="X537" s="692" t="n"/>
      <c r="Y537" s="692" t="n"/>
      <c r="Z537" s="692" t="n"/>
      <c r="AA537" s="692" t="n"/>
      <c r="AB537" s="692" t="n"/>
      <c r="AC537" s="692" t="n"/>
      <c r="AD537" s="692" t="n"/>
      <c r="AE537" s="692" t="n"/>
      <c r="AF537" s="692" t="n"/>
    </row>
    <row r="538">
      <c r="A538" s="420" t="inlineStr">
        <is>
          <t>M</t>
        </is>
      </c>
      <c r="B538" s="593" t="inlineStr">
        <is>
          <t>50 Back</t>
        </is>
      </c>
      <c r="C538" s="593" t="n">
        <v>19</v>
      </c>
      <c r="D538" s="593" t="n">
        <v>3</v>
      </c>
      <c r="E538" s="128" t="inlineStr">
        <is>
          <t>25.69</t>
        </is>
      </c>
      <c r="F538" s="692" t="n"/>
      <c r="G538" s="692" t="n"/>
      <c r="H538" s="692" t="n"/>
      <c r="I538" s="692" t="n"/>
      <c r="J538" s="692" t="n"/>
      <c r="K538" s="158" t="n"/>
      <c r="L538" s="692" t="n"/>
      <c r="M538" s="692" t="n"/>
      <c r="N538" s="692" t="n"/>
      <c r="O538" s="692" t="n"/>
      <c r="P538" s="692" t="n"/>
      <c r="Q538" s="692" t="n"/>
      <c r="R538" s="692" t="n"/>
      <c r="S538" s="692" t="n"/>
      <c r="T538" s="692" t="n"/>
      <c r="U538" s="692" t="n"/>
      <c r="V538" s="692" t="n"/>
      <c r="W538" s="692" t="n"/>
      <c r="X538" s="692" t="n"/>
      <c r="Y538" s="692" t="n"/>
      <c r="Z538" s="692" t="n"/>
      <c r="AA538" s="692" t="n"/>
      <c r="AB538" s="692" t="n"/>
      <c r="AC538" s="692" t="n"/>
      <c r="AD538" s="692" t="n"/>
      <c r="AE538" s="692" t="n"/>
      <c r="AF538" s="692" t="n"/>
    </row>
    <row r="539">
      <c r="A539" s="427" t="inlineStr">
        <is>
          <t>M</t>
        </is>
      </c>
      <c r="B539" s="616" t="inlineStr">
        <is>
          <t>50 Back</t>
        </is>
      </c>
      <c r="C539" s="616" t="n">
        <v>20</v>
      </c>
      <c r="D539" s="616" t="n">
        <v>3</v>
      </c>
      <c r="E539" s="127" t="inlineStr">
        <is>
          <t>25.40</t>
        </is>
      </c>
      <c r="F539" s="692" t="n"/>
      <c r="G539" s="692" t="n"/>
      <c r="H539" s="692" t="n"/>
      <c r="I539" s="692" t="n"/>
      <c r="J539" s="692" t="n"/>
      <c r="K539" s="158" t="n"/>
      <c r="L539" s="692" t="n"/>
      <c r="M539" s="692" t="n"/>
      <c r="N539" s="692" t="n"/>
      <c r="O539" s="692" t="n"/>
      <c r="P539" s="692" t="n"/>
      <c r="Q539" s="692" t="n"/>
      <c r="R539" s="692" t="n"/>
      <c r="S539" s="692" t="n"/>
      <c r="T539" s="692" t="n"/>
      <c r="U539" s="692" t="n"/>
      <c r="V539" s="692" t="n"/>
      <c r="W539" s="692" t="n"/>
      <c r="X539" s="692" t="n"/>
      <c r="Y539" s="692" t="n"/>
      <c r="Z539" s="692" t="n"/>
      <c r="AA539" s="692" t="n"/>
      <c r="AB539" s="692" t="n"/>
      <c r="AC539" s="692" t="n"/>
      <c r="AD539" s="692" t="n"/>
      <c r="AE539" s="692" t="n"/>
      <c r="AF539" s="692" t="n"/>
    </row>
    <row r="540">
      <c r="A540" s="420" t="inlineStr">
        <is>
          <t>M</t>
        </is>
      </c>
      <c r="B540" s="593" t="inlineStr">
        <is>
          <t>50 Back</t>
        </is>
      </c>
      <c r="C540" s="593" t="n">
        <v>21</v>
      </c>
      <c r="D540" s="593" t="n">
        <v>3</v>
      </c>
      <c r="E540" s="128" t="inlineStr">
        <is>
          <t>25.24</t>
        </is>
      </c>
      <c r="F540" s="692" t="n"/>
      <c r="G540" s="692" t="n"/>
      <c r="H540" s="692" t="n"/>
      <c r="I540" s="692" t="n"/>
      <c r="J540" s="692" t="n"/>
      <c r="K540" s="692" t="n"/>
      <c r="L540" s="692" t="n"/>
      <c r="M540" s="692" t="n"/>
      <c r="N540" s="692" t="n"/>
      <c r="O540" s="692" t="n"/>
      <c r="P540" s="692" t="n"/>
      <c r="Q540" s="692" t="n"/>
      <c r="R540" s="692" t="n"/>
      <c r="S540" s="692" t="n"/>
      <c r="T540" s="692" t="n"/>
      <c r="U540" s="692" t="n"/>
      <c r="V540" s="692" t="n"/>
      <c r="W540" s="692" t="n"/>
      <c r="X540" s="692" t="n"/>
      <c r="Y540" s="692" t="n"/>
      <c r="Z540" s="692" t="n"/>
      <c r="AA540" s="692" t="n"/>
      <c r="AB540" s="692" t="n"/>
      <c r="AC540" s="692" t="n"/>
      <c r="AD540" s="692" t="n"/>
      <c r="AE540" s="692" t="n"/>
      <c r="AF540" s="692" t="n"/>
    </row>
    <row r="541">
      <c r="A541" s="427" t="inlineStr">
        <is>
          <t>M</t>
        </is>
      </c>
      <c r="B541" s="616" t="inlineStr">
        <is>
          <t>50 Back</t>
        </is>
      </c>
      <c r="C541" s="616" t="n">
        <v>22</v>
      </c>
      <c r="D541" s="616" t="n">
        <v>3</v>
      </c>
      <c r="E541" s="127" t="inlineStr">
        <is>
          <t>25.15</t>
        </is>
      </c>
      <c r="F541" s="692" t="n"/>
      <c r="G541" s="692" t="n"/>
      <c r="H541" s="692" t="n"/>
      <c r="I541" s="692" t="n"/>
      <c r="J541" s="692" t="n"/>
      <c r="K541" s="692" t="n"/>
      <c r="L541" s="692" t="n"/>
      <c r="M541" s="692" t="n"/>
      <c r="N541" s="692" t="n"/>
      <c r="O541" s="692" t="n"/>
      <c r="P541" s="692" t="n"/>
      <c r="Q541" s="692" t="n"/>
      <c r="R541" s="692" t="n"/>
      <c r="S541" s="692" t="n"/>
      <c r="T541" s="692" t="n"/>
      <c r="U541" s="692" t="n"/>
      <c r="V541" s="692" t="n"/>
      <c r="W541" s="692" t="n"/>
      <c r="X541" s="692" t="n"/>
      <c r="Y541" s="692" t="n"/>
      <c r="Z541" s="692" t="n"/>
      <c r="AA541" s="692" t="n"/>
      <c r="AB541" s="692" t="n"/>
      <c r="AC541" s="692" t="n"/>
      <c r="AD541" s="692" t="n"/>
      <c r="AE541" s="692" t="n"/>
      <c r="AF541" s="692" t="n"/>
    </row>
    <row r="542">
      <c r="A542" s="420" t="inlineStr">
        <is>
          <t>M</t>
        </is>
      </c>
      <c r="B542" s="593" t="inlineStr">
        <is>
          <t>50 Back</t>
        </is>
      </c>
      <c r="C542" s="593" t="n">
        <v>23</v>
      </c>
      <c r="D542" s="593" t="n">
        <v>3</v>
      </c>
      <c r="E542" s="128" t="inlineStr">
        <is>
          <t>25.12</t>
        </is>
      </c>
      <c r="F542" s="692" t="n"/>
      <c r="G542" s="692" t="n"/>
      <c r="H542" s="692" t="n"/>
      <c r="I542" s="692" t="n"/>
      <c r="J542" s="692" t="n"/>
      <c r="K542" s="692" t="n"/>
      <c r="L542" s="692" t="n"/>
      <c r="M542" s="692" t="n"/>
      <c r="N542" s="692" t="n"/>
      <c r="O542" s="692" t="n"/>
      <c r="P542" s="692" t="n"/>
      <c r="Q542" s="692" t="n"/>
      <c r="R542" s="692" t="n"/>
      <c r="S542" s="692" t="n"/>
      <c r="T542" s="692" t="n"/>
      <c r="U542" s="692" t="n"/>
      <c r="V542" s="692" t="n"/>
      <c r="W542" s="692" t="n"/>
      <c r="X542" s="692" t="n"/>
      <c r="Y542" s="692" t="n"/>
      <c r="Z542" s="692" t="n"/>
      <c r="AA542" s="692" t="n"/>
      <c r="AB542" s="692" t="n"/>
      <c r="AC542" s="692" t="n"/>
      <c r="AD542" s="692" t="n"/>
      <c r="AE542" s="692" t="n"/>
      <c r="AF542" s="692" t="n"/>
    </row>
    <row r="543">
      <c r="A543" s="427" t="inlineStr">
        <is>
          <t>M</t>
        </is>
      </c>
      <c r="B543" s="616" t="inlineStr">
        <is>
          <t>50 Back</t>
        </is>
      </c>
      <c r="C543" s="616" t="n">
        <v>24</v>
      </c>
      <c r="D543" s="616" t="n">
        <v>3</v>
      </c>
      <c r="E543" s="127" t="inlineStr">
        <is>
          <t>25.11</t>
        </is>
      </c>
      <c r="F543" s="692" t="n"/>
      <c r="G543" s="692" t="n"/>
      <c r="H543" s="692" t="n"/>
      <c r="I543" s="692" t="n"/>
      <c r="J543" s="692" t="n"/>
      <c r="K543" s="692" t="n"/>
      <c r="L543" s="692" t="n"/>
      <c r="M543" s="692" t="n"/>
      <c r="N543" s="692" t="n"/>
      <c r="O543" s="692" t="n"/>
      <c r="P543" s="692" t="n"/>
      <c r="Q543" s="692" t="n"/>
      <c r="R543" s="692" t="n"/>
      <c r="S543" s="692" t="n"/>
      <c r="T543" s="692" t="n"/>
      <c r="U543" s="692" t="n"/>
      <c r="V543" s="692" t="n"/>
      <c r="W543" s="692" t="n"/>
      <c r="X543" s="692" t="n"/>
      <c r="Y543" s="692" t="n"/>
      <c r="Z543" s="692" t="n"/>
      <c r="AA543" s="692" t="n"/>
      <c r="AB543" s="692" t="n"/>
      <c r="AC543" s="692" t="n"/>
      <c r="AD543" s="692" t="n"/>
      <c r="AE543" s="692" t="n"/>
      <c r="AF543" s="692" t="n"/>
    </row>
    <row r="544">
      <c r="A544" s="420" t="inlineStr">
        <is>
          <t>M</t>
        </is>
      </c>
      <c r="B544" s="593" t="inlineStr">
        <is>
          <t>100 Back</t>
        </is>
      </c>
      <c r="C544" s="593" t="n">
        <v>18</v>
      </c>
      <c r="D544" s="593" t="n">
        <v>3</v>
      </c>
      <c r="E544" s="128" t="inlineStr">
        <is>
          <t>55.86</t>
        </is>
      </c>
      <c r="F544" s="692" t="n"/>
      <c r="G544" s="692" t="n"/>
      <c r="H544" s="692" t="n"/>
      <c r="I544" s="692" t="n"/>
      <c r="J544" s="692" t="n"/>
      <c r="K544" s="692" t="n"/>
      <c r="L544" s="692" t="n"/>
      <c r="M544" s="692" t="n"/>
      <c r="N544" s="692" t="n"/>
      <c r="O544" s="692" t="n"/>
      <c r="P544" s="692" t="n"/>
      <c r="Q544" s="692" t="n"/>
      <c r="R544" s="692" t="n"/>
      <c r="S544" s="692" t="n"/>
      <c r="T544" s="692" t="n"/>
      <c r="U544" s="692" t="n"/>
      <c r="V544" s="692" t="n"/>
      <c r="W544" s="692" t="n"/>
      <c r="X544" s="692" t="n"/>
      <c r="Y544" s="692" t="n"/>
      <c r="Z544" s="692" t="n"/>
      <c r="AA544" s="692" t="n"/>
      <c r="AB544" s="692" t="n"/>
      <c r="AC544" s="692" t="n"/>
      <c r="AD544" s="692" t="n"/>
      <c r="AE544" s="692" t="n"/>
      <c r="AF544" s="692" t="n"/>
    </row>
    <row r="545">
      <c r="A545" s="427" t="inlineStr">
        <is>
          <t>M</t>
        </is>
      </c>
      <c r="B545" s="616" t="inlineStr">
        <is>
          <t>100 Back</t>
        </is>
      </c>
      <c r="C545" s="616" t="n">
        <v>19</v>
      </c>
      <c r="D545" s="616" t="n">
        <v>3</v>
      </c>
      <c r="E545" s="127" t="inlineStr">
        <is>
          <t>55.12</t>
        </is>
      </c>
      <c r="F545" s="692" t="n"/>
      <c r="G545" s="692" t="n"/>
      <c r="H545" s="692" t="n"/>
      <c r="I545" s="692" t="n"/>
      <c r="J545" s="692" t="n"/>
      <c r="K545" s="692" t="n"/>
      <c r="L545" s="692" t="n"/>
      <c r="M545" s="692" t="n"/>
      <c r="N545" s="692" t="n"/>
      <c r="O545" s="692" t="n"/>
      <c r="P545" s="692" t="n"/>
      <c r="Q545" s="692" t="n"/>
      <c r="R545" s="692" t="n"/>
      <c r="S545" s="692" t="n"/>
      <c r="T545" s="692" t="n"/>
      <c r="U545" s="692" t="n"/>
      <c r="V545" s="692" t="n"/>
      <c r="W545" s="692" t="n"/>
      <c r="X545" s="692" t="n"/>
      <c r="Y545" s="692" t="n"/>
      <c r="Z545" s="692" t="n"/>
      <c r="AA545" s="692" t="n"/>
      <c r="AB545" s="692" t="n"/>
      <c r="AC545" s="692" t="n"/>
      <c r="AD545" s="692" t="n"/>
      <c r="AE545" s="692" t="n"/>
      <c r="AF545" s="692" t="n"/>
    </row>
    <row r="546">
      <c r="A546" s="420" t="inlineStr">
        <is>
          <t>M</t>
        </is>
      </c>
      <c r="B546" s="593" t="inlineStr">
        <is>
          <t>100 Back</t>
        </is>
      </c>
      <c r="C546" s="593" t="n">
        <v>20</v>
      </c>
      <c r="D546" s="593" t="n">
        <v>3</v>
      </c>
      <c r="E546" s="128" t="inlineStr">
        <is>
          <t>54.62</t>
        </is>
      </c>
      <c r="F546" s="692" t="n"/>
      <c r="G546" s="692" t="n"/>
      <c r="H546" s="692" t="n"/>
      <c r="I546" s="692" t="n"/>
      <c r="J546" s="692" t="n"/>
      <c r="K546" s="692" t="n"/>
      <c r="L546" s="692" t="n"/>
      <c r="M546" s="692" t="n"/>
      <c r="N546" s="692" t="n"/>
      <c r="O546" s="692" t="n"/>
      <c r="P546" s="692" t="n"/>
      <c r="Q546" s="692" t="n"/>
      <c r="R546" s="692" t="n"/>
      <c r="S546" s="692" t="n"/>
      <c r="T546" s="692" t="n"/>
      <c r="U546" s="692" t="n"/>
      <c r="V546" s="692" t="n"/>
      <c r="W546" s="692" t="n"/>
      <c r="X546" s="692" t="n"/>
      <c r="Y546" s="692" t="n"/>
      <c r="Z546" s="692" t="n"/>
      <c r="AA546" s="692" t="n"/>
      <c r="AB546" s="692" t="n"/>
      <c r="AC546" s="692" t="n"/>
      <c r="AD546" s="692" t="n"/>
      <c r="AE546" s="692" t="n"/>
      <c r="AF546" s="692" t="n"/>
    </row>
    <row r="547">
      <c r="A547" s="427" t="inlineStr">
        <is>
          <t>M</t>
        </is>
      </c>
      <c r="B547" s="616" t="inlineStr">
        <is>
          <t>100 Back</t>
        </is>
      </c>
      <c r="C547" s="616" t="n">
        <v>21</v>
      </c>
      <c r="D547" s="616" t="n">
        <v>3</v>
      </c>
      <c r="E547" s="127" t="inlineStr">
        <is>
          <t>54.28</t>
        </is>
      </c>
      <c r="F547" s="692" t="n"/>
      <c r="G547" s="692" t="n"/>
      <c r="H547" s="692" t="n"/>
      <c r="I547" s="692" t="n"/>
      <c r="J547" s="692" t="n"/>
      <c r="K547" s="692" t="n"/>
      <c r="L547" s="692" t="n"/>
      <c r="M547" s="692" t="n"/>
      <c r="N547" s="692" t="n"/>
      <c r="O547" s="692" t="n"/>
      <c r="P547" s="692" t="n"/>
      <c r="Q547" s="692" t="n"/>
      <c r="R547" s="692" t="n"/>
      <c r="S547" s="692" t="n"/>
      <c r="T547" s="692" t="n"/>
      <c r="U547" s="692" t="n"/>
      <c r="V547" s="692" t="n"/>
      <c r="W547" s="692" t="n"/>
      <c r="X547" s="692" t="n"/>
      <c r="Y547" s="692" t="n"/>
      <c r="Z547" s="692" t="n"/>
      <c r="AA547" s="692" t="n"/>
      <c r="AB547" s="692" t="n"/>
      <c r="AC547" s="692" t="n"/>
      <c r="AD547" s="692" t="n"/>
      <c r="AE547" s="692" t="n"/>
      <c r="AF547" s="692" t="n"/>
    </row>
    <row r="548">
      <c r="A548" s="420" t="inlineStr">
        <is>
          <t>M</t>
        </is>
      </c>
      <c r="B548" s="593" t="inlineStr">
        <is>
          <t>100 Back</t>
        </is>
      </c>
      <c r="C548" s="593" t="n">
        <v>22</v>
      </c>
      <c r="D548" s="593" t="n">
        <v>3</v>
      </c>
      <c r="E548" s="128" t="inlineStr">
        <is>
          <t>54.08</t>
        </is>
      </c>
      <c r="F548" s="692" t="n"/>
      <c r="G548" s="692" t="n"/>
      <c r="H548" s="692" t="n"/>
      <c r="I548" s="692" t="n"/>
      <c r="J548" s="692" t="n"/>
      <c r="K548" s="692" t="n"/>
      <c r="L548" s="692" t="n"/>
      <c r="M548" s="692" t="n"/>
      <c r="N548" s="692" t="n"/>
      <c r="O548" s="692" t="n"/>
      <c r="P548" s="692" t="n"/>
      <c r="Q548" s="692" t="n"/>
      <c r="R548" s="692" t="n"/>
      <c r="S548" s="692" t="n"/>
      <c r="T548" s="692" t="n"/>
      <c r="U548" s="692" t="n"/>
      <c r="V548" s="692" t="n"/>
      <c r="W548" s="692" t="n"/>
      <c r="X548" s="692" t="n"/>
      <c r="Y548" s="692" t="n"/>
      <c r="Z548" s="692" t="n"/>
      <c r="AA548" s="692" t="n"/>
      <c r="AB548" s="692" t="n"/>
      <c r="AC548" s="692" t="n"/>
      <c r="AD548" s="692" t="n"/>
      <c r="AE548" s="692" t="n"/>
      <c r="AF548" s="692" t="n"/>
      <c r="AG548" s="692" t="n"/>
      <c r="AH548" s="692" t="n"/>
      <c r="AI548" s="692" t="n"/>
      <c r="AJ548" s="692" t="n"/>
      <c r="AK548" s="692" t="n"/>
      <c r="AL548" s="692" t="n"/>
      <c r="AM548" s="692" t="n"/>
      <c r="AN548" s="692" t="n"/>
      <c r="AO548" s="692" t="n"/>
    </row>
    <row r="549">
      <c r="A549" s="427" t="inlineStr">
        <is>
          <t>M</t>
        </is>
      </c>
      <c r="B549" s="616" t="inlineStr">
        <is>
          <t>100 Back</t>
        </is>
      </c>
      <c r="C549" s="616" t="n">
        <v>23</v>
      </c>
      <c r="D549" s="616" t="n">
        <v>3</v>
      </c>
      <c r="E549" s="127" t="inlineStr">
        <is>
          <t>53.97</t>
        </is>
      </c>
      <c r="F549" s="692" t="n"/>
      <c r="G549" s="692" t="n"/>
      <c r="H549" s="692" t="n"/>
      <c r="I549" s="692" t="n"/>
      <c r="J549" s="692" t="n"/>
      <c r="K549" s="692" t="n"/>
      <c r="L549" s="692" t="n"/>
      <c r="M549" s="692" t="n"/>
      <c r="N549" s="692" t="n"/>
      <c r="O549" s="692" t="n"/>
      <c r="P549" s="692" t="n"/>
      <c r="Q549" s="692" t="n"/>
      <c r="R549" s="692" t="n"/>
      <c r="S549" s="692" t="n"/>
      <c r="T549" s="692" t="n"/>
      <c r="U549" s="692" t="n"/>
      <c r="V549" s="692" t="n"/>
      <c r="W549" s="692" t="n"/>
      <c r="X549" s="692" t="n"/>
      <c r="Y549" s="692" t="n"/>
      <c r="Z549" s="692" t="n"/>
      <c r="AA549" s="692" t="n"/>
      <c r="AB549" s="692" t="n"/>
      <c r="AC549" s="692" t="n"/>
      <c r="AD549" s="692" t="n"/>
      <c r="AE549" s="692" t="n"/>
      <c r="AF549" s="692" t="n"/>
      <c r="AG549" s="692" t="n"/>
      <c r="AH549" s="692" t="n"/>
      <c r="AI549" s="692" t="n"/>
      <c r="AJ549" s="692" t="n"/>
      <c r="AK549" s="692" t="n"/>
      <c r="AL549" s="692" t="n"/>
      <c r="AM549" s="692" t="n"/>
      <c r="AN549" s="692" t="n"/>
      <c r="AO549" s="692" t="n"/>
      <c r="AP549" s="692" t="n"/>
      <c r="AQ549" s="692" t="n"/>
      <c r="AR549" s="692" t="n"/>
    </row>
    <row r="550">
      <c r="A550" s="420" t="inlineStr">
        <is>
          <t>M</t>
        </is>
      </c>
      <c r="B550" s="593" t="inlineStr">
        <is>
          <t>100 Back</t>
        </is>
      </c>
      <c r="C550" s="593" t="n">
        <v>24</v>
      </c>
      <c r="D550" s="593" t="n">
        <v>3</v>
      </c>
      <c r="E550" s="128" t="inlineStr">
        <is>
          <t>53.94</t>
        </is>
      </c>
      <c r="F550" s="692" t="n"/>
      <c r="G550" s="692" t="n"/>
      <c r="H550" s="692" t="n"/>
      <c r="I550" s="692" t="n"/>
      <c r="J550" s="692" t="n"/>
      <c r="K550" s="692" t="n"/>
      <c r="L550" s="692" t="n"/>
      <c r="M550" s="692" t="n"/>
      <c r="N550" s="692" t="n"/>
      <c r="O550" s="692" t="n"/>
      <c r="P550" s="692" t="n"/>
      <c r="Q550" s="692" t="n"/>
      <c r="R550" s="692" t="n"/>
      <c r="S550" s="692" t="n"/>
      <c r="T550" s="692" t="n"/>
      <c r="U550" s="692" t="n"/>
      <c r="V550" s="692" t="n"/>
      <c r="W550" s="692" t="n"/>
      <c r="X550" s="692" t="n"/>
      <c r="Y550" s="692" t="n"/>
      <c r="Z550" s="692" t="n"/>
      <c r="AA550" s="692" t="n"/>
      <c r="AB550" s="692" t="n"/>
      <c r="AC550" s="692" t="n"/>
      <c r="AD550" s="692" t="n"/>
      <c r="AE550" s="692" t="n"/>
      <c r="AF550" s="692" t="n"/>
      <c r="AG550" s="692" t="n"/>
      <c r="AH550" s="692" t="n"/>
      <c r="AI550" s="692" t="n"/>
      <c r="AJ550" s="692" t="n"/>
      <c r="AK550" s="692" t="n"/>
      <c r="AL550" s="692" t="n"/>
      <c r="AM550" s="692" t="n"/>
      <c r="AN550" s="692" t="n"/>
      <c r="AO550" s="692" t="n"/>
      <c r="AP550" s="692" t="n"/>
      <c r="AQ550" s="692" t="n"/>
      <c r="AR550" s="692" t="n"/>
      <c r="AS550" s="692" t="n"/>
    </row>
    <row r="551">
      <c r="A551" s="427" t="inlineStr">
        <is>
          <t>M</t>
        </is>
      </c>
      <c r="B551" s="616" t="inlineStr">
        <is>
          <t>200 Back</t>
        </is>
      </c>
      <c r="C551" s="616" t="n">
        <v>17</v>
      </c>
      <c r="D551" s="616" t="n">
        <v>3</v>
      </c>
      <c r="E551" s="127" t="inlineStr">
        <is>
          <t>2:02.23</t>
        </is>
      </c>
      <c r="F551" s="692" t="n"/>
      <c r="G551" s="692" t="n"/>
      <c r="H551" s="692" t="n"/>
      <c r="I551" s="692" t="n"/>
      <c r="J551" s="692" t="n"/>
      <c r="K551" s="692" t="n"/>
      <c r="L551" s="692" t="n"/>
      <c r="M551" s="692" t="n"/>
      <c r="N551" s="692" t="n"/>
      <c r="O551" s="692" t="n"/>
      <c r="P551" s="692" t="n"/>
      <c r="Q551" s="692" t="n"/>
      <c r="R551" s="692" t="n"/>
      <c r="S551" s="692" t="n"/>
      <c r="T551" s="692" t="n"/>
      <c r="U551" s="692" t="n"/>
      <c r="V551" s="692" t="n"/>
      <c r="W551" s="692" t="n"/>
      <c r="X551" s="692" t="n"/>
      <c r="Y551" s="692" t="n"/>
      <c r="Z551" s="692" t="n"/>
      <c r="AA551" s="692" t="n"/>
      <c r="AB551" s="692" t="n"/>
      <c r="AC551" s="692" t="n"/>
      <c r="AD551" s="692" t="n"/>
      <c r="AE551" s="692" t="n"/>
      <c r="AF551" s="692" t="n"/>
      <c r="AG551" s="692" t="n"/>
      <c r="AH551" s="692" t="n"/>
      <c r="AI551" s="692" t="n"/>
      <c r="AJ551" s="692" t="n"/>
      <c r="AK551" s="692" t="n"/>
      <c r="AL551" s="692" t="n"/>
      <c r="AM551" s="692" t="n"/>
      <c r="AN551" s="692" t="n"/>
      <c r="AO551" s="692" t="n"/>
      <c r="AP551" s="692" t="n"/>
      <c r="AQ551" s="692" t="n"/>
      <c r="AR551" s="692" t="n"/>
      <c r="AS551" s="692" t="n"/>
    </row>
    <row r="552">
      <c r="A552" s="420" t="inlineStr">
        <is>
          <t>M</t>
        </is>
      </c>
      <c r="B552" s="593" t="inlineStr">
        <is>
          <t>200 Back</t>
        </is>
      </c>
      <c r="C552" s="593" t="n">
        <v>18</v>
      </c>
      <c r="D552" s="593" t="n">
        <v>3</v>
      </c>
      <c r="E552" s="128" t="inlineStr">
        <is>
          <t>2:00.51</t>
        </is>
      </c>
      <c r="F552" s="692" t="n"/>
      <c r="G552" s="692" t="n"/>
      <c r="H552" s="692" t="n"/>
      <c r="I552" s="692" t="n"/>
      <c r="J552" s="692" t="n"/>
      <c r="K552" s="692" t="n"/>
      <c r="L552" s="692" t="n"/>
      <c r="M552" s="692" t="n"/>
      <c r="N552" s="692" t="n"/>
      <c r="O552" s="692" t="n"/>
      <c r="P552" s="692" t="n"/>
      <c r="Q552" s="692" t="n"/>
      <c r="R552" s="692" t="n"/>
      <c r="S552" s="692" t="n"/>
      <c r="T552" s="692" t="n"/>
      <c r="U552" s="692" t="n"/>
      <c r="V552" s="692" t="n"/>
      <c r="W552" s="692" t="n"/>
      <c r="X552" s="692" t="n"/>
      <c r="Y552" s="692" t="n"/>
      <c r="Z552" s="692" t="n"/>
      <c r="AA552" s="692" t="n"/>
      <c r="AB552" s="692" t="n"/>
      <c r="AC552" s="692" t="n"/>
      <c r="AD552" s="692" t="n"/>
      <c r="AE552" s="692" t="n"/>
      <c r="AF552" s="692" t="n"/>
      <c r="AG552" s="692" t="n"/>
      <c r="AH552" s="692" t="n"/>
      <c r="AI552" s="692" t="n"/>
      <c r="AJ552" s="692" t="n"/>
      <c r="AK552" s="692" t="n"/>
      <c r="AL552" s="692" t="n"/>
      <c r="AM552" s="692" t="n"/>
      <c r="AN552" s="692" t="n"/>
      <c r="AO552" s="692" t="n"/>
      <c r="AP552" s="692" t="n"/>
      <c r="AQ552" s="692" t="n"/>
      <c r="AR552" s="692" t="n"/>
      <c r="AS552" s="692" t="n"/>
    </row>
    <row r="553">
      <c r="A553" s="427" t="inlineStr">
        <is>
          <t>M</t>
        </is>
      </c>
      <c r="B553" s="616" t="inlineStr">
        <is>
          <t>200 Back</t>
        </is>
      </c>
      <c r="C553" s="616" t="n">
        <v>19</v>
      </c>
      <c r="D553" s="616" t="n">
        <v>3</v>
      </c>
      <c r="E553" s="127" t="inlineStr">
        <is>
          <t>1:59.41</t>
        </is>
      </c>
      <c r="F553" s="692" t="n"/>
      <c r="G553" s="692" t="n"/>
      <c r="H553" s="692" t="n"/>
      <c r="I553" s="692" t="n"/>
      <c r="J553" s="692" t="n"/>
      <c r="K553" s="692" t="n"/>
      <c r="L553" s="692" t="n"/>
      <c r="M553" s="692" t="n"/>
      <c r="N553" s="692" t="n"/>
      <c r="O553" s="692" t="n"/>
      <c r="P553" s="692" t="n"/>
      <c r="Q553" s="692" t="n"/>
      <c r="R553" s="692" t="n"/>
      <c r="S553" s="692" t="n"/>
      <c r="T553" s="692" t="n"/>
      <c r="U553" s="692" t="n"/>
      <c r="V553" s="692" t="n"/>
      <c r="W553" s="692" t="n"/>
      <c r="X553" s="692" t="n"/>
      <c r="Y553" s="692" t="n"/>
      <c r="Z553" s="692" t="n"/>
      <c r="AA553" s="692" t="n"/>
      <c r="AB553" s="692" t="n"/>
      <c r="AC553" s="692" t="n"/>
      <c r="AD553" s="692" t="n"/>
      <c r="AE553" s="692" t="n"/>
      <c r="AF553" s="692" t="n"/>
      <c r="AG553" s="692" t="n"/>
      <c r="AH553" s="692" t="n"/>
      <c r="AI553" s="692" t="n"/>
      <c r="AJ553" s="692" t="n"/>
      <c r="AK553" s="692" t="n"/>
      <c r="AL553" s="692" t="n"/>
      <c r="AM553" s="692" t="n"/>
      <c r="AN553" s="692" t="n"/>
      <c r="AO553" s="692" t="n"/>
      <c r="AP553" s="692" t="n"/>
      <c r="AQ553" s="692" t="n"/>
      <c r="AR553" s="692" t="n"/>
      <c r="AS553" s="692" t="n"/>
    </row>
    <row r="554">
      <c r="A554" s="420" t="inlineStr">
        <is>
          <t>M</t>
        </is>
      </c>
      <c r="B554" s="593" t="inlineStr">
        <is>
          <t>200 Back</t>
        </is>
      </c>
      <c r="C554" s="593" t="n">
        <v>20</v>
      </c>
      <c r="D554" s="593" t="n">
        <v>3</v>
      </c>
      <c r="E554" s="128" t="inlineStr">
        <is>
          <t>1:58.77</t>
        </is>
      </c>
      <c r="F554" s="692" t="n"/>
      <c r="G554" s="692" t="n"/>
      <c r="H554" s="692" t="n"/>
      <c r="I554" s="692" t="n"/>
      <c r="J554" s="692" t="n"/>
      <c r="K554" s="692" t="n"/>
      <c r="L554" s="692" t="n"/>
      <c r="M554" s="692" t="n"/>
      <c r="N554" s="692" t="n"/>
      <c r="O554" s="692" t="n"/>
      <c r="P554" s="692" t="n"/>
      <c r="Q554" s="692" t="n"/>
      <c r="R554" s="692" t="n"/>
      <c r="S554" s="692" t="n"/>
      <c r="T554" s="692" t="n"/>
      <c r="U554" s="692" t="n"/>
      <c r="V554" s="692" t="n"/>
      <c r="W554" s="692" t="n"/>
      <c r="X554" s="692" t="n"/>
      <c r="Y554" s="692" t="n"/>
      <c r="Z554" s="692" t="n"/>
      <c r="AA554" s="692" t="n"/>
      <c r="AB554" s="692" t="n"/>
      <c r="AC554" s="692" t="n"/>
      <c r="AD554" s="692" t="n"/>
      <c r="AE554" s="692" t="n"/>
      <c r="AF554" s="692" t="n"/>
      <c r="AG554" s="692" t="n"/>
      <c r="AH554" s="692" t="n"/>
      <c r="AI554" s="692" t="n"/>
      <c r="AJ554" s="692" t="n"/>
      <c r="AK554" s="692" t="n"/>
      <c r="AL554" s="692" t="n"/>
      <c r="AM554" s="692" t="n"/>
      <c r="AN554" s="692" t="n"/>
      <c r="AO554" s="692" t="n"/>
      <c r="AP554" s="692" t="n"/>
      <c r="AQ554" s="692" t="n"/>
      <c r="AR554" s="692" t="n"/>
      <c r="AS554" s="692" t="n"/>
    </row>
    <row r="555">
      <c r="A555" s="427" t="inlineStr">
        <is>
          <t>M</t>
        </is>
      </c>
      <c r="B555" s="616" t="inlineStr">
        <is>
          <t>200 Back</t>
        </is>
      </c>
      <c r="C555" s="616" t="n">
        <v>21</v>
      </c>
      <c r="D555" s="616" t="n">
        <v>3</v>
      </c>
      <c r="E555" s="127" t="inlineStr">
        <is>
          <t>1:58.36</t>
        </is>
      </c>
      <c r="F555" s="692" t="n"/>
      <c r="G555" s="692" t="n"/>
      <c r="H555" s="692" t="n"/>
      <c r="I555" s="692" t="n"/>
      <c r="J555" s="692" t="n"/>
      <c r="K555" s="692" t="n"/>
      <c r="L555" s="692" t="n"/>
      <c r="M555" s="692" t="n"/>
      <c r="N555" s="692" t="n"/>
      <c r="O555" s="692" t="n"/>
      <c r="P555" s="692" t="n"/>
      <c r="Q555" s="692" t="n"/>
      <c r="R555" s="692" t="n"/>
      <c r="S555" s="692" t="n"/>
      <c r="T555" s="692" t="n"/>
      <c r="U555" s="692" t="n"/>
      <c r="V555" s="692" t="n"/>
      <c r="W555" s="692" t="n"/>
      <c r="X555" s="692" t="n"/>
      <c r="Y555" s="692" t="n"/>
      <c r="Z555" s="692" t="n"/>
      <c r="AA555" s="692" t="n"/>
      <c r="AB555" s="692" t="n"/>
      <c r="AC555" s="692" t="n"/>
      <c r="AD555" s="692" t="n"/>
      <c r="AE555" s="692" t="n"/>
      <c r="AF555" s="692" t="n"/>
      <c r="AG555" s="692" t="n"/>
      <c r="AH555" s="692" t="n"/>
      <c r="AI555" s="692" t="n"/>
      <c r="AJ555" s="692" t="n"/>
      <c r="AK555" s="692" t="n"/>
      <c r="AL555" s="692" t="n"/>
      <c r="AM555" s="692" t="n"/>
      <c r="AN555" s="692" t="n"/>
      <c r="AO555" s="692" t="n"/>
      <c r="AP555" s="692" t="n"/>
      <c r="AQ555" s="692" t="n"/>
      <c r="AR555" s="692" t="n"/>
      <c r="AS555" s="692" t="n"/>
    </row>
    <row r="556">
      <c r="A556" s="420" t="inlineStr">
        <is>
          <t>M</t>
        </is>
      </c>
      <c r="B556" s="593" t="inlineStr">
        <is>
          <t>200 Back</t>
        </is>
      </c>
      <c r="C556" s="593" t="n">
        <v>22</v>
      </c>
      <c r="D556" s="593" t="n">
        <v>3</v>
      </c>
      <c r="E556" s="128" t="inlineStr">
        <is>
          <t>1:58.13</t>
        </is>
      </c>
      <c r="F556" s="692" t="n"/>
      <c r="G556" s="692" t="n"/>
      <c r="H556" s="692" t="n"/>
      <c r="I556" s="692" t="n"/>
      <c r="J556" s="692" t="n"/>
      <c r="K556" s="692" t="n"/>
      <c r="L556" s="692" t="n"/>
      <c r="M556" s="692" t="n"/>
      <c r="N556" s="692" t="n"/>
      <c r="O556" s="692" t="n"/>
      <c r="P556" s="692" t="n"/>
      <c r="Q556" s="692" t="n"/>
      <c r="R556" s="692" t="n"/>
      <c r="S556" s="692" t="n"/>
      <c r="T556" s="692" t="n"/>
      <c r="U556" s="692" t="n"/>
      <c r="V556" s="692" t="n"/>
      <c r="W556" s="692" t="n"/>
      <c r="X556" s="692" t="n"/>
      <c r="Y556" s="692" t="n"/>
      <c r="Z556" s="692" t="n"/>
      <c r="AA556" s="692" t="n"/>
      <c r="AB556" s="692" t="n"/>
      <c r="AC556" s="692" t="n"/>
      <c r="AD556" s="692" t="n"/>
      <c r="AE556" s="692" t="n"/>
      <c r="AF556" s="692" t="n"/>
      <c r="AG556" s="692" t="n"/>
      <c r="AH556" s="692" t="n"/>
      <c r="AI556" s="692" t="n"/>
      <c r="AJ556" s="692" t="n"/>
      <c r="AK556" s="692" t="n"/>
      <c r="AL556" s="692" t="n"/>
      <c r="AM556" s="692" t="n"/>
      <c r="AN556" s="692" t="n"/>
      <c r="AO556" s="692" t="n"/>
      <c r="AP556" s="692" t="n"/>
      <c r="AQ556" s="692" t="n"/>
      <c r="AR556" s="692" t="n"/>
      <c r="AS556" s="692" t="n"/>
    </row>
    <row r="557">
      <c r="A557" s="427" t="inlineStr">
        <is>
          <t>M</t>
        </is>
      </c>
      <c r="B557" s="616" t="inlineStr">
        <is>
          <t>200 Back</t>
        </is>
      </c>
      <c r="C557" s="616" t="n">
        <v>23</v>
      </c>
      <c r="D557" s="616" t="n">
        <v>3</v>
      </c>
      <c r="E557" s="127" t="inlineStr">
        <is>
          <t>1:58.07</t>
        </is>
      </c>
      <c r="F557" s="692" t="n"/>
      <c r="G557" s="692" t="n"/>
      <c r="H557" s="692" t="n"/>
      <c r="I557" s="692" t="n"/>
      <c r="J557" s="692" t="n"/>
      <c r="K557" s="692" t="n"/>
      <c r="L557" s="692" t="n"/>
      <c r="M557" s="692" t="n"/>
      <c r="N557" s="692" t="n"/>
      <c r="O557" s="692" t="n"/>
      <c r="P557" s="692" t="n"/>
      <c r="Q557" s="692" t="n"/>
      <c r="R557" s="692" t="n"/>
      <c r="S557" s="692" t="n"/>
      <c r="T557" s="692" t="n"/>
      <c r="U557" s="692" t="n"/>
      <c r="V557" s="692" t="n"/>
      <c r="W557" s="692" t="n"/>
      <c r="X557" s="692" t="n"/>
      <c r="Y557" s="692" t="n"/>
      <c r="Z557" s="692" t="n"/>
      <c r="AA557" s="692" t="n"/>
      <c r="AB557" s="692" t="n"/>
      <c r="AC557" s="692" t="n"/>
      <c r="AD557" s="692" t="n"/>
      <c r="AE557" s="692" t="n"/>
      <c r="AF557" s="692" t="n"/>
      <c r="AG557" s="692" t="n"/>
      <c r="AH557" s="692" t="n"/>
      <c r="AI557" s="692" t="n"/>
      <c r="AJ557" s="692" t="n"/>
      <c r="AK557" s="692" t="n"/>
      <c r="AL557" s="692" t="n"/>
      <c r="AM557" s="692" t="n"/>
      <c r="AN557" s="692" t="n"/>
      <c r="AO557" s="692" t="n"/>
      <c r="AP557" s="692" t="n"/>
      <c r="AQ557" s="692" t="n"/>
      <c r="AR557" s="692" t="n"/>
      <c r="AS557" s="692" t="n"/>
    </row>
    <row r="558">
      <c r="A558" s="420" t="inlineStr">
        <is>
          <t>M</t>
        </is>
      </c>
      <c r="B558" s="593" t="inlineStr">
        <is>
          <t>50 Breast</t>
        </is>
      </c>
      <c r="C558" s="593" t="n">
        <v>20</v>
      </c>
      <c r="D558" s="593" t="n">
        <v>3</v>
      </c>
      <c r="E558" s="128" t="inlineStr">
        <is>
          <t>28.07</t>
        </is>
      </c>
      <c r="F558" s="692" t="n"/>
      <c r="G558" s="692" t="n"/>
      <c r="H558" s="692" t="n"/>
      <c r="I558" s="692" t="n"/>
      <c r="J558" s="692" t="n"/>
      <c r="K558" s="692" t="n"/>
      <c r="L558" s="692" t="n"/>
      <c r="M558" s="692" t="n"/>
      <c r="N558" s="692" t="n"/>
      <c r="O558" s="692" t="n"/>
      <c r="P558" s="692" t="n"/>
      <c r="Q558" s="692" t="n"/>
      <c r="R558" s="692" t="n"/>
      <c r="S558" s="692" t="n"/>
      <c r="T558" s="692" t="n"/>
      <c r="U558" s="692" t="n"/>
      <c r="V558" s="692" t="n"/>
      <c r="W558" s="692" t="n"/>
      <c r="X558" s="692" t="n"/>
      <c r="Y558" s="692" t="n"/>
      <c r="Z558" s="692" t="n"/>
      <c r="AA558" s="692" t="n"/>
      <c r="AB558" s="692" t="n"/>
      <c r="AC558" s="692" t="n"/>
      <c r="AD558" s="692" t="n"/>
      <c r="AE558" s="692" t="n"/>
      <c r="AF558" s="692" t="n"/>
      <c r="AG558" s="692" t="n"/>
      <c r="AH558" s="692" t="n"/>
      <c r="AI558" s="692" t="n"/>
      <c r="AJ558" s="692" t="n"/>
      <c r="AK558" s="692" t="n"/>
      <c r="AL558" s="692" t="n"/>
      <c r="AM558" s="692" t="n"/>
      <c r="AN558" s="692" t="n"/>
      <c r="AO558" s="692" t="n"/>
      <c r="AP558" s="692" t="n"/>
      <c r="AQ558" s="692" t="n"/>
      <c r="AR558" s="692" t="n"/>
      <c r="AS558" s="692" t="n"/>
    </row>
    <row r="559">
      <c r="A559" s="427" t="inlineStr">
        <is>
          <t>M</t>
        </is>
      </c>
      <c r="B559" s="616" t="inlineStr">
        <is>
          <t>50 Breast</t>
        </is>
      </c>
      <c r="C559" s="616" t="n">
        <v>21</v>
      </c>
      <c r="D559" s="616" t="n">
        <v>3</v>
      </c>
      <c r="E559" s="127" t="inlineStr">
        <is>
          <t>27.81</t>
        </is>
      </c>
      <c r="F559" s="692" t="n"/>
      <c r="G559" s="692" t="n"/>
      <c r="H559" s="692" t="n"/>
      <c r="I559" s="692" t="n"/>
      <c r="J559" s="692" t="n"/>
      <c r="K559" s="692" t="n"/>
      <c r="L559" s="692" t="n"/>
      <c r="M559" s="692" t="n"/>
      <c r="N559" s="692" t="n"/>
      <c r="O559" s="692" t="n"/>
      <c r="P559" s="692" t="n"/>
      <c r="Q559" s="692" t="n"/>
      <c r="R559" s="692" t="n"/>
      <c r="S559" s="692" t="n"/>
      <c r="T559" s="692" t="n"/>
      <c r="U559" s="692" t="n"/>
      <c r="V559" s="692" t="n"/>
      <c r="W559" s="692" t="n"/>
      <c r="X559" s="692" t="n"/>
      <c r="Y559" s="692" t="n"/>
      <c r="Z559" s="692" t="n"/>
      <c r="AA559" s="692" t="n"/>
      <c r="AB559" s="692" t="n"/>
      <c r="AC559" s="692" t="n"/>
      <c r="AD559" s="692" t="n"/>
      <c r="AE559" s="692" t="n"/>
      <c r="AF559" s="692" t="n"/>
      <c r="AG559" s="692" t="n"/>
      <c r="AH559" s="692" t="n"/>
      <c r="AI559" s="692" t="n"/>
      <c r="AJ559" s="692" t="n"/>
      <c r="AK559" s="692" t="n"/>
      <c r="AL559" s="692" t="n"/>
      <c r="AM559" s="692" t="n"/>
      <c r="AN559" s="692" t="n"/>
      <c r="AO559" s="692" t="n"/>
      <c r="AP559" s="692" t="n"/>
      <c r="AQ559" s="692" t="n"/>
      <c r="AR559" s="692" t="n"/>
      <c r="AS559" s="692" t="n"/>
    </row>
    <row r="560">
      <c r="A560" s="420" t="inlineStr">
        <is>
          <t>M</t>
        </is>
      </c>
      <c r="B560" s="593" t="inlineStr">
        <is>
          <t>50 Breast</t>
        </is>
      </c>
      <c r="C560" s="593" t="n">
        <v>22</v>
      </c>
      <c r="D560" s="593" t="n">
        <v>3</v>
      </c>
      <c r="E560" s="128" t="inlineStr">
        <is>
          <t>27.61</t>
        </is>
      </c>
      <c r="F560" s="692" t="n"/>
      <c r="G560" s="692" t="n"/>
      <c r="H560" s="692" t="n"/>
      <c r="I560" s="692" t="n"/>
      <c r="J560" s="692" t="n"/>
      <c r="K560" s="692" t="n"/>
      <c r="L560" s="692" t="n"/>
      <c r="M560" s="692" t="n"/>
      <c r="N560" s="692" t="n"/>
      <c r="O560" s="692" t="n"/>
      <c r="P560" s="692" t="n"/>
      <c r="Q560" s="692" t="n"/>
      <c r="R560" s="692" t="n"/>
      <c r="S560" s="692" t="n"/>
      <c r="T560" s="692" t="n"/>
      <c r="U560" s="692" t="n"/>
      <c r="V560" s="692" t="n"/>
      <c r="W560" s="692" t="n"/>
      <c r="X560" s="692" t="n"/>
      <c r="Y560" s="692" t="n"/>
      <c r="Z560" s="692" t="n"/>
      <c r="AA560" s="692" t="n"/>
      <c r="AB560" s="692" t="n"/>
      <c r="AC560" s="692" t="n"/>
      <c r="AD560" s="692" t="n"/>
      <c r="AE560" s="692" t="n"/>
      <c r="AF560" s="692" t="n"/>
      <c r="AG560" s="692" t="n"/>
      <c r="AH560" s="692" t="n"/>
      <c r="AI560" s="692" t="n"/>
      <c r="AJ560" s="692" t="n"/>
      <c r="AK560" s="692" t="n"/>
      <c r="AL560" s="692" t="n"/>
      <c r="AM560" s="692" t="n"/>
      <c r="AN560" s="692" t="n"/>
      <c r="AO560" s="692" t="n"/>
      <c r="AP560" s="692" t="n"/>
      <c r="AQ560" s="692" t="n"/>
      <c r="AR560" s="692" t="n"/>
      <c r="AS560" s="692" t="n"/>
    </row>
    <row r="561">
      <c r="A561" s="427" t="inlineStr">
        <is>
          <t>M</t>
        </is>
      </c>
      <c r="B561" s="616" t="inlineStr">
        <is>
          <t>50 Breast</t>
        </is>
      </c>
      <c r="C561" s="616" t="n">
        <v>23</v>
      </c>
      <c r="D561" s="616" t="n">
        <v>3</v>
      </c>
      <c r="E561" s="127" t="inlineStr">
        <is>
          <t>27.47</t>
        </is>
      </c>
      <c r="F561" s="692" t="n"/>
      <c r="G561" s="692" t="n"/>
      <c r="H561" s="692" t="n"/>
      <c r="I561" s="692" t="n"/>
      <c r="J561" s="692" t="n"/>
      <c r="K561" s="692" t="n"/>
      <c r="L561" s="692" t="n"/>
      <c r="M561" s="692" t="n"/>
      <c r="N561" s="692" t="n"/>
      <c r="O561" s="692" t="n"/>
      <c r="P561" s="692" t="n"/>
      <c r="Q561" s="692" t="n"/>
      <c r="R561" s="692" t="n"/>
      <c r="S561" s="692" t="n"/>
      <c r="T561" s="692" t="n"/>
      <c r="U561" s="692" t="n"/>
      <c r="V561" s="692" t="n"/>
      <c r="W561" s="692" t="n"/>
      <c r="X561" s="692" t="n"/>
      <c r="Y561" s="692" t="n"/>
      <c r="Z561" s="692" t="n"/>
      <c r="AA561" s="692" t="n"/>
      <c r="AB561" s="692" t="n"/>
      <c r="AC561" s="692" t="n"/>
      <c r="AD561" s="692" t="n"/>
      <c r="AE561" s="692" t="n"/>
      <c r="AF561" s="692" t="n"/>
      <c r="AG561" s="692" t="n"/>
      <c r="AH561" s="692" t="n"/>
      <c r="AI561" s="692" t="n"/>
      <c r="AJ561" s="692" t="n"/>
      <c r="AK561" s="692" t="n"/>
      <c r="AL561" s="692" t="n"/>
      <c r="AM561" s="692" t="n"/>
      <c r="AN561" s="692" t="n"/>
      <c r="AO561" s="692" t="n"/>
      <c r="AP561" s="692" t="n"/>
      <c r="AQ561" s="692" t="n"/>
      <c r="AR561" s="692" t="n"/>
      <c r="AS561" s="692" t="n"/>
    </row>
    <row r="562">
      <c r="A562" s="420" t="inlineStr">
        <is>
          <t>M</t>
        </is>
      </c>
      <c r="B562" s="593" t="inlineStr">
        <is>
          <t>50 Breast</t>
        </is>
      </c>
      <c r="C562" s="593" t="n">
        <v>24</v>
      </c>
      <c r="D562" s="593" t="n">
        <v>3</v>
      </c>
      <c r="E562" s="128" t="inlineStr">
        <is>
          <t>27.38</t>
        </is>
      </c>
      <c r="F562" s="692" t="n"/>
      <c r="G562" s="692" t="n"/>
      <c r="H562" s="692" t="n"/>
      <c r="I562" s="692" t="n"/>
      <c r="J562" s="692" t="n"/>
      <c r="K562" s="692" t="n"/>
      <c r="L562" s="692" t="n"/>
      <c r="M562" s="692" t="n"/>
      <c r="N562" s="692" t="n"/>
      <c r="O562" s="692" t="n"/>
      <c r="P562" s="692" t="n"/>
      <c r="Q562" s="692" t="n"/>
      <c r="R562" s="692" t="n"/>
      <c r="S562" s="692" t="n"/>
      <c r="T562" s="692" t="n"/>
      <c r="U562" s="692" t="n"/>
      <c r="V562" s="692" t="n"/>
      <c r="W562" s="692" t="n"/>
      <c r="X562" s="692" t="n"/>
      <c r="Y562" s="692" t="n"/>
      <c r="Z562" s="692" t="n"/>
      <c r="AA562" s="692" t="n"/>
      <c r="AB562" s="692" t="n"/>
      <c r="AC562" s="692" t="n"/>
      <c r="AD562" s="692" t="n"/>
      <c r="AE562" s="692" t="n"/>
      <c r="AF562" s="692" t="n"/>
      <c r="AG562" s="692" t="n"/>
      <c r="AH562" s="692" t="n"/>
      <c r="AI562" s="692" t="n"/>
      <c r="AJ562" s="692" t="n"/>
      <c r="AK562" s="692" t="n"/>
      <c r="AL562" s="692" t="n"/>
      <c r="AM562" s="692" t="n"/>
      <c r="AN562" s="692" t="n"/>
      <c r="AO562" s="692" t="n"/>
      <c r="AP562" s="692" t="n"/>
      <c r="AQ562" s="692" t="n"/>
      <c r="AR562" s="692" t="n"/>
      <c r="AS562" s="692" t="n"/>
    </row>
    <row r="563">
      <c r="A563" s="427" t="inlineStr">
        <is>
          <t>M</t>
        </is>
      </c>
      <c r="B563" s="616" t="inlineStr">
        <is>
          <t>50 Breast</t>
        </is>
      </c>
      <c r="C563" s="616" t="n">
        <v>25</v>
      </c>
      <c r="D563" s="616" t="n">
        <v>3</v>
      </c>
      <c r="E563" s="433" t="n">
        <v>27.34</v>
      </c>
      <c r="F563" s="692" t="n"/>
      <c r="G563" s="692" t="n"/>
      <c r="H563" s="692" t="n"/>
      <c r="I563" s="692" t="n"/>
      <c r="J563" s="692" t="n"/>
      <c r="K563" s="692" t="n"/>
      <c r="L563" s="692" t="n"/>
      <c r="M563" s="692" t="n"/>
      <c r="N563" s="692" t="n"/>
      <c r="O563" s="692" t="n"/>
      <c r="P563" s="692" t="n"/>
      <c r="Q563" s="692" t="n"/>
      <c r="R563" s="692" t="n"/>
      <c r="S563" s="692" t="n"/>
      <c r="T563" s="692" t="n"/>
      <c r="U563" s="692" t="n"/>
      <c r="V563" s="692" t="n"/>
      <c r="W563" s="692" t="n"/>
      <c r="X563" s="692" t="n"/>
      <c r="Y563" s="692" t="n"/>
      <c r="Z563" s="692" t="n"/>
      <c r="AA563" s="692" t="n"/>
      <c r="AB563" s="692" t="n"/>
      <c r="AC563" s="692" t="n"/>
      <c r="AD563" s="692" t="n"/>
      <c r="AE563" s="692" t="n"/>
      <c r="AF563" s="692" t="n"/>
      <c r="AG563" s="692" t="n"/>
      <c r="AH563" s="692" t="n"/>
      <c r="AI563" s="692" t="n"/>
      <c r="AJ563" s="692" t="n"/>
      <c r="AK563" s="692" t="n"/>
      <c r="AL563" s="692" t="n"/>
      <c r="AM563" s="692" t="n"/>
      <c r="AN563" s="692" t="n"/>
      <c r="AO563" s="692" t="n"/>
      <c r="AP563" s="692" t="n"/>
      <c r="AQ563" s="692" t="n"/>
      <c r="AR563" s="692" t="n"/>
      <c r="AS563" s="692" t="n"/>
    </row>
    <row r="564">
      <c r="A564" s="420" t="inlineStr">
        <is>
          <t>M</t>
        </is>
      </c>
      <c r="B564" s="593" t="inlineStr">
        <is>
          <t>50 Breast</t>
        </is>
      </c>
      <c r="C564" s="593" t="n">
        <v>26</v>
      </c>
      <c r="D564" s="593" t="n">
        <v>3</v>
      </c>
      <c r="E564" s="426" t="n">
        <v>27.33</v>
      </c>
      <c r="F564" s="692" t="n"/>
      <c r="G564" s="692" t="n"/>
      <c r="H564" s="692" t="n"/>
      <c r="I564" s="692" t="n"/>
      <c r="J564" s="692" t="n"/>
      <c r="K564" s="692" t="n"/>
      <c r="L564" s="692" t="n"/>
      <c r="M564" s="692" t="n"/>
      <c r="N564" s="692" t="n"/>
      <c r="O564" s="692" t="n"/>
      <c r="P564" s="692" t="n"/>
      <c r="Q564" s="692" t="n"/>
      <c r="R564" s="692" t="n"/>
      <c r="S564" s="692" t="n"/>
      <c r="T564" s="692" t="n"/>
      <c r="U564" s="692" t="n"/>
      <c r="V564" s="692" t="n"/>
      <c r="W564" s="692" t="n"/>
      <c r="X564" s="692" t="n"/>
      <c r="Y564" s="692" t="n"/>
      <c r="Z564" s="692" t="n"/>
      <c r="AA564" s="692" t="n"/>
      <c r="AB564" s="692" t="n"/>
      <c r="AC564" s="692" t="n"/>
      <c r="AD564" s="692" t="n"/>
      <c r="AE564" s="692" t="n"/>
      <c r="AF564" s="692" t="n"/>
      <c r="AG564" s="692" t="n"/>
      <c r="AH564" s="692" t="n"/>
      <c r="AI564" s="692" t="n"/>
      <c r="AJ564" s="692" t="n"/>
      <c r="AK564" s="692" t="n"/>
      <c r="AL564" s="692" t="n"/>
      <c r="AM564" s="692" t="n"/>
      <c r="AN564" s="692" t="n"/>
      <c r="AO564" s="692" t="n"/>
      <c r="AP564" s="692" t="n"/>
      <c r="AQ564" s="692" t="n"/>
      <c r="AR564" s="692" t="n"/>
      <c r="AS564" s="692" t="n"/>
    </row>
    <row r="565">
      <c r="A565" s="427" t="inlineStr">
        <is>
          <t>M</t>
        </is>
      </c>
      <c r="B565" s="616" t="inlineStr">
        <is>
          <t>100 Breast</t>
        </is>
      </c>
      <c r="C565" s="616" t="n">
        <v>18</v>
      </c>
      <c r="D565" s="616" t="n">
        <v>3</v>
      </c>
      <c r="E565" s="127" t="inlineStr">
        <is>
          <t>1:02.46</t>
        </is>
      </c>
      <c r="F565" s="692" t="n"/>
      <c r="G565" s="692" t="n"/>
      <c r="H565" s="692" t="n"/>
      <c r="I565" s="692" t="n"/>
      <c r="J565" s="692" t="n"/>
      <c r="K565" s="692" t="n"/>
      <c r="L565" s="692" t="n"/>
      <c r="M565" s="692" t="n"/>
      <c r="N565" s="692" t="n"/>
      <c r="O565" s="692" t="n"/>
      <c r="P565" s="692" t="n"/>
      <c r="Q565" s="692" t="n"/>
      <c r="R565" s="692" t="n"/>
      <c r="S565" s="692" t="n"/>
      <c r="T565" s="692" t="n"/>
      <c r="U565" s="692" t="n"/>
      <c r="V565" s="692" t="n"/>
      <c r="W565" s="692" t="n"/>
      <c r="X565" s="692" t="n"/>
      <c r="Y565" s="692" t="n"/>
      <c r="Z565" s="692" t="n"/>
      <c r="AA565" s="692" t="n"/>
      <c r="AB565" s="692" t="n"/>
      <c r="AC565" s="692" t="n"/>
      <c r="AD565" s="692" t="n"/>
      <c r="AE565" s="692" t="n"/>
      <c r="AF565" s="692" t="n"/>
      <c r="AG565" s="692" t="n"/>
      <c r="AH565" s="692" t="n"/>
      <c r="AI565" s="692" t="n"/>
      <c r="AJ565" s="692" t="n"/>
      <c r="AK565" s="692" t="n"/>
      <c r="AL565" s="692" t="n"/>
      <c r="AM565" s="692" t="n"/>
      <c r="AN565" s="692" t="n"/>
      <c r="AO565" s="692" t="n"/>
      <c r="AP565" s="692" t="n"/>
      <c r="AQ565" s="692" t="n"/>
      <c r="AR565" s="692" t="n"/>
      <c r="AS565" s="692" t="n"/>
    </row>
    <row r="566">
      <c r="A566" s="420" t="inlineStr">
        <is>
          <t>M</t>
        </is>
      </c>
      <c r="B566" s="593" t="inlineStr">
        <is>
          <t>100 Breast</t>
        </is>
      </c>
      <c r="C566" s="593" t="n">
        <v>19</v>
      </c>
      <c r="D566" s="593" t="n">
        <v>3</v>
      </c>
      <c r="E566" s="128" t="inlineStr">
        <is>
          <t>1:01.57</t>
        </is>
      </c>
      <c r="F566" s="692" t="n"/>
      <c r="G566" s="692" t="n"/>
      <c r="H566" s="692" t="n"/>
      <c r="I566" s="692" t="n"/>
      <c r="J566" s="692" t="n"/>
      <c r="K566" s="692" t="n"/>
      <c r="L566" s="692" t="n"/>
      <c r="M566" s="692" t="n"/>
      <c r="N566" s="692" t="n"/>
      <c r="O566" s="692" t="n"/>
      <c r="P566" s="692" t="n"/>
      <c r="Q566" s="692" t="n"/>
      <c r="R566" s="692" t="n"/>
      <c r="S566" s="692" t="n"/>
      <c r="T566" s="692" t="n"/>
      <c r="U566" s="692" t="n"/>
      <c r="V566" s="692" t="n"/>
      <c r="W566" s="692" t="n"/>
      <c r="X566" s="692" t="n"/>
      <c r="Y566" s="692" t="n"/>
      <c r="Z566" s="692" t="n"/>
      <c r="AA566" s="692" t="n"/>
      <c r="AB566" s="692" t="n"/>
      <c r="AC566" s="692" t="n"/>
      <c r="AD566" s="692" t="n"/>
      <c r="AE566" s="692" t="n"/>
      <c r="AF566" s="692" t="n"/>
      <c r="AG566" s="692" t="n"/>
      <c r="AH566" s="692" t="n"/>
      <c r="AI566" s="692" t="n"/>
      <c r="AJ566" s="692" t="n"/>
      <c r="AK566" s="692" t="n"/>
      <c r="AL566" s="692" t="n"/>
      <c r="AM566" s="692" t="n"/>
      <c r="AN566" s="692" t="n"/>
      <c r="AO566" s="692" t="n"/>
      <c r="AP566" s="692" t="n"/>
      <c r="AQ566" s="692" t="n"/>
      <c r="AR566" s="692" t="n"/>
      <c r="AS566" s="692" t="n"/>
    </row>
    <row r="567">
      <c r="A567" s="427" t="inlineStr">
        <is>
          <t>M</t>
        </is>
      </c>
      <c r="B567" s="616" t="inlineStr">
        <is>
          <t>100 Breast</t>
        </is>
      </c>
      <c r="C567" s="616" t="n">
        <v>20</v>
      </c>
      <c r="D567" s="616" t="n">
        <v>3</v>
      </c>
      <c r="E567" s="127" t="inlineStr">
        <is>
          <t>1:00.93</t>
        </is>
      </c>
      <c r="F567" s="692" t="n"/>
      <c r="G567" s="692" t="n"/>
      <c r="H567" s="692" t="n"/>
      <c r="I567" s="692" t="n"/>
      <c r="J567" s="692" t="n"/>
      <c r="K567" s="692" t="n"/>
      <c r="L567" s="692" t="n"/>
      <c r="M567" s="692" t="n"/>
      <c r="N567" s="692" t="n"/>
      <c r="O567" s="692" t="n"/>
      <c r="P567" s="692" t="n"/>
      <c r="Q567" s="692" t="n"/>
      <c r="R567" s="692" t="n"/>
      <c r="S567" s="692" t="n"/>
      <c r="T567" s="692" t="n"/>
      <c r="U567" s="692" t="n"/>
      <c r="V567" s="692" t="n"/>
      <c r="W567" s="692" t="n"/>
      <c r="X567" s="692" t="n"/>
      <c r="Y567" s="692" t="n"/>
      <c r="Z567" s="692" t="n"/>
      <c r="AA567" s="692" t="n"/>
      <c r="AB567" s="692" t="n"/>
      <c r="AC567" s="692" t="n"/>
      <c r="AD567" s="692" t="n"/>
      <c r="AE567" s="692" t="n"/>
      <c r="AF567" s="692" t="n"/>
      <c r="AG567" s="692" t="n"/>
      <c r="AH567" s="692" t="n"/>
      <c r="AI567" s="692" t="n"/>
      <c r="AJ567" s="692" t="n"/>
      <c r="AK567" s="692" t="n"/>
      <c r="AL567" s="692" t="n"/>
      <c r="AM567" s="692" t="n"/>
      <c r="AN567" s="692" t="n"/>
      <c r="AO567" s="692" t="n"/>
      <c r="AP567" s="692" t="n"/>
      <c r="AQ567" s="692" t="n"/>
      <c r="AR567" s="692" t="n"/>
      <c r="AS567" s="692" t="n"/>
    </row>
    <row r="568">
      <c r="A568" s="420" t="inlineStr">
        <is>
          <t>M</t>
        </is>
      </c>
      <c r="B568" s="593" t="inlineStr">
        <is>
          <t>100 Breast</t>
        </is>
      </c>
      <c r="C568" s="593" t="n">
        <v>21</v>
      </c>
      <c r="D568" s="593" t="n">
        <v>3</v>
      </c>
      <c r="E568" s="128" t="inlineStr">
        <is>
          <t>1:00.48</t>
        </is>
      </c>
      <c r="F568" s="692" t="n"/>
      <c r="G568" s="692" t="n"/>
      <c r="H568" s="692" t="n"/>
      <c r="I568" s="692" t="n"/>
      <c r="J568" s="692" t="n"/>
      <c r="K568" s="692" t="n"/>
      <c r="L568" s="692" t="n"/>
      <c r="M568" s="692" t="n"/>
      <c r="N568" s="692" t="n"/>
      <c r="O568" s="692" t="n"/>
      <c r="P568" s="692" t="n"/>
      <c r="Q568" s="692" t="n"/>
      <c r="R568" s="692" t="n"/>
      <c r="S568" s="692" t="n"/>
      <c r="T568" s="692" t="n"/>
      <c r="U568" s="692" t="n"/>
      <c r="V568" s="692" t="n"/>
      <c r="W568" s="692" t="n"/>
      <c r="X568" s="692" t="n"/>
      <c r="Y568" s="692" t="n"/>
      <c r="Z568" s="692" t="n"/>
      <c r="AA568" s="692" t="n"/>
      <c r="AB568" s="692" t="n"/>
      <c r="AC568" s="692" t="n"/>
      <c r="AD568" s="692" t="n"/>
      <c r="AE568" s="692" t="n"/>
      <c r="AF568" s="692" t="n"/>
      <c r="AG568" s="692" t="n"/>
      <c r="AH568" s="692" t="n"/>
      <c r="AI568" s="692" t="n"/>
      <c r="AJ568" s="692" t="n"/>
      <c r="AK568" s="692" t="n"/>
      <c r="AL568" s="692" t="n"/>
      <c r="AM568" s="692" t="n"/>
      <c r="AN568" s="692" t="n"/>
      <c r="AO568" s="692" t="n"/>
      <c r="AP568" s="692" t="n"/>
      <c r="AQ568" s="692" t="n"/>
      <c r="AR568" s="692" t="n"/>
      <c r="AS568" s="692" t="n"/>
    </row>
    <row r="569">
      <c r="A569" s="427" t="inlineStr">
        <is>
          <t>M</t>
        </is>
      </c>
      <c r="B569" s="616" t="inlineStr">
        <is>
          <t>100 Breast</t>
        </is>
      </c>
      <c r="C569" s="616" t="n">
        <v>22</v>
      </c>
      <c r="D569" s="616" t="n">
        <v>3</v>
      </c>
      <c r="E569" s="127" t="inlineStr">
        <is>
          <t>1:00.14</t>
        </is>
      </c>
      <c r="F569" s="692" t="n"/>
      <c r="G569" s="692" t="n"/>
      <c r="H569" s="692" t="n"/>
      <c r="I569" s="692" t="n"/>
      <c r="J569" s="692" t="n"/>
      <c r="K569" s="692" t="n"/>
      <c r="L569" s="692" t="n"/>
      <c r="M569" s="692" t="n"/>
      <c r="N569" s="692" t="n"/>
      <c r="O569" s="692" t="n"/>
      <c r="P569" s="692" t="n"/>
      <c r="Q569" s="692" t="n"/>
      <c r="R569" s="692" t="n"/>
      <c r="S569" s="692" t="n"/>
      <c r="T569" s="692" t="n"/>
      <c r="U569" s="692" t="n"/>
      <c r="V569" s="692" t="n"/>
      <c r="W569" s="692" t="n"/>
      <c r="X569" s="692" t="n"/>
      <c r="Y569" s="692" t="n"/>
      <c r="Z569" s="692" t="n"/>
      <c r="AA569" s="692" t="n"/>
      <c r="AB569" s="692" t="n"/>
      <c r="AC569" s="692" t="n"/>
      <c r="AD569" s="692" t="n"/>
      <c r="AE569" s="692" t="n"/>
      <c r="AF569" s="692" t="n"/>
      <c r="AG569" s="692" t="n"/>
      <c r="AH569" s="692" t="n"/>
      <c r="AI569" s="692" t="n"/>
      <c r="AJ569" s="692" t="n"/>
      <c r="AK569" s="692" t="n"/>
      <c r="AL569" s="692" t="n"/>
      <c r="AM569" s="692" t="n"/>
      <c r="AN569" s="692" t="n"/>
      <c r="AO569" s="692" t="n"/>
      <c r="AP569" s="692" t="n"/>
      <c r="AQ569" s="692" t="n"/>
      <c r="AR569" s="692" t="n"/>
      <c r="AS569" s="692" t="n"/>
    </row>
    <row r="570">
      <c r="A570" s="420" t="inlineStr">
        <is>
          <t>M</t>
        </is>
      </c>
      <c r="B570" s="593" t="inlineStr">
        <is>
          <t>100 Breast</t>
        </is>
      </c>
      <c r="C570" s="593" t="n">
        <v>23</v>
      </c>
      <c r="D570" s="593" t="n">
        <v>3</v>
      </c>
      <c r="E570" s="128" t="inlineStr">
        <is>
          <t>59.91</t>
        </is>
      </c>
      <c r="F570" s="692" t="n"/>
      <c r="G570" s="692" t="n"/>
      <c r="H570" s="692" t="n"/>
      <c r="I570" s="692" t="n"/>
      <c r="J570" s="692" t="n"/>
      <c r="K570" s="692" t="n"/>
      <c r="L570" s="692" t="n"/>
      <c r="M570" s="692" t="n"/>
      <c r="N570" s="692" t="n"/>
      <c r="O570" s="692" t="n"/>
      <c r="P570" s="692" t="n"/>
      <c r="Q570" s="692" t="n"/>
      <c r="R570" s="692" t="n"/>
      <c r="S570" s="692" t="n"/>
      <c r="T570" s="692" t="n"/>
      <c r="U570" s="692" t="n"/>
      <c r="V570" s="692" t="n"/>
      <c r="W570" s="692" t="n"/>
      <c r="X570" s="692" t="n"/>
      <c r="Y570" s="692" t="n"/>
      <c r="Z570" s="692" t="n"/>
      <c r="AA570" s="692" t="n"/>
      <c r="AB570" s="692" t="n"/>
      <c r="AC570" s="692" t="n"/>
      <c r="AD570" s="692" t="n"/>
      <c r="AE570" s="692" t="n"/>
      <c r="AF570" s="692" t="n"/>
      <c r="AG570" s="692" t="n"/>
      <c r="AH570" s="692" t="n"/>
      <c r="AI570" s="692" t="n"/>
      <c r="AJ570" s="692" t="n"/>
      <c r="AK570" s="692" t="n"/>
      <c r="AL570" s="692" t="n"/>
      <c r="AM570" s="692" t="n"/>
      <c r="AN570" s="692" t="n"/>
      <c r="AO570" s="692" t="n"/>
      <c r="AP570" s="692" t="n"/>
      <c r="AQ570" s="692" t="n"/>
      <c r="AR570" s="692" t="n"/>
      <c r="AS570" s="692" t="n"/>
    </row>
    <row r="571">
      <c r="A571" s="427" t="inlineStr">
        <is>
          <t>M</t>
        </is>
      </c>
      <c r="B571" s="616" t="inlineStr">
        <is>
          <t>100 Breast</t>
        </is>
      </c>
      <c r="C571" s="616" t="n">
        <v>24</v>
      </c>
      <c r="D571" s="616" t="n">
        <v>3</v>
      </c>
      <c r="E571" s="127" t="inlineStr">
        <is>
          <t>59.75</t>
        </is>
      </c>
      <c r="F571" s="692" t="n"/>
      <c r="G571" s="692" t="n"/>
      <c r="H571" s="692" t="n"/>
      <c r="I571" s="692" t="n"/>
      <c r="J571" s="692" t="n"/>
      <c r="K571" s="692" t="n"/>
      <c r="L571" s="692" t="n"/>
      <c r="M571" s="692" t="n"/>
      <c r="N571" s="692" t="n"/>
      <c r="O571" s="692" t="n"/>
      <c r="P571" s="692" t="n"/>
      <c r="Q571" s="692" t="n"/>
      <c r="R571" s="692" t="n"/>
      <c r="S571" s="692" t="n"/>
      <c r="T571" s="692" t="n"/>
      <c r="U571" s="692" t="n"/>
      <c r="V571" s="692" t="n"/>
      <c r="W571" s="692" t="n"/>
      <c r="X571" s="692" t="n"/>
      <c r="Y571" s="692" t="n"/>
      <c r="Z571" s="692" t="n"/>
      <c r="AA571" s="692" t="n"/>
      <c r="AB571" s="692" t="n"/>
      <c r="AC571" s="692" t="n"/>
      <c r="AD571" s="692" t="n"/>
      <c r="AE571" s="692" t="n"/>
      <c r="AF571" s="692" t="n"/>
      <c r="AG571" s="692" t="n"/>
      <c r="AH571" s="692" t="n"/>
      <c r="AI571" s="692" t="n"/>
      <c r="AJ571" s="692" t="n"/>
      <c r="AK571" s="692" t="n"/>
      <c r="AL571" s="692" t="n"/>
      <c r="AM571" s="692" t="n"/>
      <c r="AN571" s="692" t="n"/>
      <c r="AO571" s="692" t="n"/>
      <c r="AP571" s="692" t="n"/>
      <c r="AQ571" s="692" t="n"/>
      <c r="AR571" s="692" t="n"/>
      <c r="AS571" s="692" t="n"/>
    </row>
    <row r="572">
      <c r="A572" s="420" t="inlineStr">
        <is>
          <t>M</t>
        </is>
      </c>
      <c r="B572" s="593" t="inlineStr">
        <is>
          <t>200 Breast</t>
        </is>
      </c>
      <c r="C572" s="593" t="n">
        <v>17</v>
      </c>
      <c r="D572" s="593" t="n">
        <v>3</v>
      </c>
      <c r="E572" s="128" t="inlineStr">
        <is>
          <t>2:18.23</t>
        </is>
      </c>
      <c r="F572" s="692" t="n"/>
      <c r="G572" s="692" t="n"/>
      <c r="H572" s="692" t="n"/>
      <c r="I572" s="692" t="n"/>
      <c r="J572" s="692" t="n"/>
      <c r="K572" s="692" t="n"/>
      <c r="L572" s="692" t="n"/>
      <c r="M572" s="692" t="n"/>
      <c r="N572" s="692" t="n"/>
      <c r="O572" s="692" t="n"/>
      <c r="P572" s="692" t="n"/>
      <c r="Q572" s="692" t="n"/>
      <c r="R572" s="692" t="n"/>
      <c r="S572" s="692" t="n"/>
      <c r="T572" s="692" t="n"/>
      <c r="U572" s="692" t="n"/>
      <c r="V572" s="692" t="n"/>
      <c r="W572" s="692" t="n"/>
      <c r="X572" s="692" t="n"/>
      <c r="Y572" s="692" t="n"/>
      <c r="Z572" s="692" t="n"/>
      <c r="AA572" s="692" t="n"/>
      <c r="AB572" s="692" t="n"/>
      <c r="AC572" s="692" t="n"/>
      <c r="AD572" s="692" t="n"/>
      <c r="AE572" s="692" t="n"/>
      <c r="AF572" s="692" t="n"/>
      <c r="AG572" s="692" t="n"/>
      <c r="AH572" s="692" t="n"/>
      <c r="AI572" s="692" t="n"/>
      <c r="AJ572" s="692" t="n"/>
      <c r="AK572" s="692" t="n"/>
      <c r="AL572" s="692" t="n"/>
      <c r="AM572" s="692" t="n"/>
      <c r="AN572" s="692" t="n"/>
      <c r="AO572" s="692" t="n"/>
      <c r="AP572" s="692" t="n"/>
      <c r="AQ572" s="692" t="n"/>
      <c r="AR572" s="692" t="n"/>
      <c r="AS572" s="692" t="n"/>
    </row>
    <row r="573">
      <c r="A573" s="427" t="inlineStr">
        <is>
          <t>M</t>
        </is>
      </c>
      <c r="B573" s="616" t="inlineStr">
        <is>
          <t>200 Breast</t>
        </is>
      </c>
      <c r="C573" s="616" t="n">
        <v>18</v>
      </c>
      <c r="D573" s="616" t="n">
        <v>3</v>
      </c>
      <c r="E573" s="127" t="inlineStr">
        <is>
          <t>2:15.48</t>
        </is>
      </c>
      <c r="F573" s="692" t="n"/>
      <c r="G573" s="692" t="n"/>
      <c r="H573" s="692" t="n"/>
      <c r="I573" s="692" t="n"/>
      <c r="J573" s="692" t="n"/>
      <c r="K573" s="692" t="n"/>
      <c r="L573" s="692" t="n"/>
      <c r="M573" s="692" t="n"/>
      <c r="N573" s="692" t="n"/>
      <c r="O573" s="692" t="n"/>
      <c r="P573" s="692" t="n"/>
      <c r="Q573" s="692" t="n"/>
      <c r="R573" s="692" t="n"/>
      <c r="S573" s="692" t="n"/>
      <c r="T573" s="692" t="n"/>
      <c r="U573" s="692" t="n"/>
      <c r="V573" s="692" t="n"/>
      <c r="W573" s="692" t="n"/>
      <c r="X573" s="692" t="n"/>
      <c r="Y573" s="692" t="n"/>
      <c r="Z573" s="692" t="n"/>
      <c r="AA573" s="692" t="n"/>
      <c r="AB573" s="692" t="n"/>
      <c r="AC573" s="692" t="n"/>
      <c r="AD573" s="692" t="n"/>
      <c r="AE573" s="692" t="n"/>
      <c r="AF573" s="692" t="n"/>
      <c r="AG573" s="692" t="n"/>
      <c r="AH573" s="692" t="n"/>
      <c r="AI573" s="692" t="n"/>
      <c r="AJ573" s="692" t="n"/>
      <c r="AK573" s="692" t="n"/>
      <c r="AL573" s="692" t="n"/>
      <c r="AM573" s="692" t="n"/>
      <c r="AN573" s="692" t="n"/>
      <c r="AO573" s="692" t="n"/>
      <c r="AP573" s="692" t="n"/>
      <c r="AQ573" s="692" t="n"/>
      <c r="AR573" s="692" t="n"/>
      <c r="AS573" s="692" t="n"/>
    </row>
    <row r="574">
      <c r="A574" s="420" t="inlineStr">
        <is>
          <t>M</t>
        </is>
      </c>
      <c r="B574" s="593" t="inlineStr">
        <is>
          <t>200 Breast</t>
        </is>
      </c>
      <c r="C574" s="593" t="n">
        <v>19</v>
      </c>
      <c r="D574" s="593" t="n">
        <v>3</v>
      </c>
      <c r="E574" s="128" t="inlineStr">
        <is>
          <t>2:13.54</t>
        </is>
      </c>
      <c r="F574" s="692" t="n"/>
      <c r="G574" s="692" t="n"/>
      <c r="H574" s="692" t="n"/>
      <c r="I574" s="692" t="n"/>
      <c r="J574" s="692" t="n"/>
      <c r="K574" s="692" t="n"/>
      <c r="L574" s="692" t="n"/>
      <c r="M574" s="692" t="n"/>
      <c r="N574" s="692" t="n"/>
      <c r="O574" s="692" t="n"/>
      <c r="P574" s="692" t="n"/>
      <c r="Q574" s="692" t="n"/>
      <c r="R574" s="692" t="n"/>
      <c r="S574" s="692" t="n"/>
      <c r="T574" s="692" t="n"/>
      <c r="U574" s="692" t="n"/>
      <c r="V574" s="692" t="n"/>
      <c r="W574" s="692" t="n"/>
      <c r="X574" s="692" t="n"/>
      <c r="Y574" s="692" t="n"/>
      <c r="Z574" s="692" t="n"/>
      <c r="AA574" s="692" t="n"/>
      <c r="AB574" s="692" t="n"/>
      <c r="AC574" s="692" t="n"/>
      <c r="AD574" s="692" t="n"/>
      <c r="AE574" s="692" t="n"/>
      <c r="AF574" s="692" t="n"/>
      <c r="AG574" s="692" t="n"/>
      <c r="AH574" s="692" t="n"/>
      <c r="AI574" s="692" t="n"/>
      <c r="AJ574" s="692" t="n"/>
      <c r="AK574" s="692" t="n"/>
      <c r="AL574" s="692" t="n"/>
      <c r="AM574" s="692" t="n"/>
      <c r="AN574" s="692" t="n"/>
      <c r="AO574" s="692" t="n"/>
      <c r="AP574" s="692" t="n"/>
      <c r="AQ574" s="692" t="n"/>
      <c r="AR574" s="692" t="n"/>
      <c r="AS574" s="692" t="n"/>
    </row>
    <row r="575">
      <c r="A575" s="427" t="inlineStr">
        <is>
          <t>M</t>
        </is>
      </c>
      <c r="B575" s="616" t="inlineStr">
        <is>
          <t>200 Breast</t>
        </is>
      </c>
      <c r="C575" s="616" t="n">
        <v>20</v>
      </c>
      <c r="D575" s="616" t="n">
        <v>3</v>
      </c>
      <c r="E575" s="127" t="inlineStr">
        <is>
          <t>2:12.21</t>
        </is>
      </c>
      <c r="F575" s="692" t="n"/>
      <c r="G575" s="692" t="n"/>
      <c r="H575" s="692" t="n"/>
      <c r="I575" s="692" t="n"/>
      <c r="J575" s="692" t="n"/>
      <c r="K575" s="692" t="n"/>
      <c r="L575" s="692" t="n"/>
      <c r="M575" s="692" t="n"/>
      <c r="N575" s="692" t="n"/>
      <c r="O575" s="692" t="n"/>
      <c r="P575" s="692" t="n"/>
      <c r="Q575" s="692" t="n"/>
      <c r="R575" s="692" t="n"/>
      <c r="S575" s="692" t="n"/>
      <c r="T575" s="692" t="n"/>
      <c r="U575" s="692" t="n"/>
      <c r="V575" s="692" t="n"/>
      <c r="W575" s="692" t="n"/>
      <c r="X575" s="692" t="n"/>
      <c r="Y575" s="692" t="n"/>
      <c r="Z575" s="692" t="n"/>
      <c r="AA575" s="692" t="n"/>
      <c r="AB575" s="692" t="n"/>
      <c r="AC575" s="692" t="n"/>
      <c r="AD575" s="692" t="n"/>
      <c r="AE575" s="692" t="n"/>
      <c r="AF575" s="692" t="n"/>
      <c r="AG575" s="692" t="n"/>
      <c r="AH575" s="692" t="n"/>
      <c r="AI575" s="692" t="n"/>
      <c r="AJ575" s="692" t="n"/>
      <c r="AK575" s="692" t="n"/>
      <c r="AL575" s="692" t="n"/>
      <c r="AM575" s="692" t="n"/>
      <c r="AN575" s="692" t="n"/>
      <c r="AO575" s="692" t="n"/>
      <c r="AP575" s="692" t="n"/>
      <c r="AQ575" s="692" t="n"/>
      <c r="AR575" s="692" t="n"/>
      <c r="AS575" s="692" t="n"/>
    </row>
    <row r="576">
      <c r="A576" s="420" t="inlineStr">
        <is>
          <t>M</t>
        </is>
      </c>
      <c r="B576" s="593" t="inlineStr">
        <is>
          <t>200 Breast</t>
        </is>
      </c>
      <c r="C576" s="593" t="n">
        <v>21</v>
      </c>
      <c r="D576" s="593" t="n">
        <v>3</v>
      </c>
      <c r="E576" s="128" t="inlineStr">
        <is>
          <t>2:11.26</t>
        </is>
      </c>
      <c r="F576" s="692" t="n"/>
      <c r="G576" s="692" t="n"/>
      <c r="H576" s="692" t="n"/>
      <c r="I576" s="692" t="n"/>
      <c r="J576" s="692" t="n"/>
      <c r="K576" s="692" t="n"/>
      <c r="L576" s="692" t="n"/>
      <c r="M576" s="692" t="n"/>
      <c r="N576" s="692" t="n"/>
      <c r="O576" s="692" t="n"/>
      <c r="P576" s="692" t="n"/>
      <c r="Q576" s="692" t="n"/>
      <c r="R576" s="692" t="n"/>
      <c r="S576" s="692" t="n"/>
      <c r="T576" s="692" t="n"/>
      <c r="U576" s="692" t="n"/>
      <c r="V576" s="692" t="n"/>
      <c r="W576" s="692" t="n"/>
      <c r="X576" s="692" t="n"/>
      <c r="Y576" s="692" t="n"/>
      <c r="Z576" s="692" t="n"/>
      <c r="AA576" s="692" t="n"/>
      <c r="AB576" s="692" t="n"/>
      <c r="AC576" s="692" t="n"/>
      <c r="AD576" s="692" t="n"/>
      <c r="AE576" s="692" t="n"/>
      <c r="AF576" s="692" t="n"/>
      <c r="AG576" s="692" t="n"/>
      <c r="AH576" s="692" t="n"/>
      <c r="AI576" s="692" t="n"/>
      <c r="AJ576" s="692" t="n"/>
      <c r="AK576" s="692" t="n"/>
      <c r="AL576" s="692" t="n"/>
      <c r="AM576" s="692" t="n"/>
      <c r="AN576" s="692" t="n"/>
      <c r="AO576" s="692" t="n"/>
      <c r="AP576" s="692" t="n"/>
      <c r="AQ576" s="692" t="n"/>
      <c r="AR576" s="692" t="n"/>
      <c r="AS576" s="692" t="n"/>
    </row>
    <row r="577">
      <c r="A577" s="427" t="inlineStr">
        <is>
          <t>M</t>
        </is>
      </c>
      <c r="B577" s="616" t="inlineStr">
        <is>
          <t>200 Breast</t>
        </is>
      </c>
      <c r="C577" s="616" t="n">
        <v>22</v>
      </c>
      <c r="D577" s="616" t="n">
        <v>3</v>
      </c>
      <c r="E577" s="127" t="inlineStr">
        <is>
          <t>2:10.66</t>
        </is>
      </c>
      <c r="F577" s="692" t="n"/>
      <c r="G577" s="692" t="n"/>
      <c r="H577" s="692" t="n"/>
      <c r="I577" s="692" t="n"/>
      <c r="J577" s="692" t="n"/>
      <c r="K577" s="692" t="n"/>
      <c r="L577" s="692" t="n"/>
      <c r="M577" s="692" t="n"/>
      <c r="N577" s="692" t="n"/>
      <c r="O577" s="692" t="n"/>
      <c r="P577" s="692" t="n"/>
      <c r="Q577" s="692" t="n"/>
      <c r="R577" s="692" t="n"/>
      <c r="S577" s="692" t="n"/>
      <c r="T577" s="692" t="n"/>
      <c r="U577" s="692" t="n"/>
      <c r="V577" s="692" t="n"/>
      <c r="W577" s="692" t="n"/>
      <c r="X577" s="692" t="n"/>
      <c r="Y577" s="692" t="n"/>
      <c r="Z577" s="692" t="n"/>
      <c r="AA577" s="692" t="n"/>
      <c r="AB577" s="692" t="n"/>
      <c r="AC577" s="692" t="n"/>
      <c r="AD577" s="692" t="n"/>
      <c r="AE577" s="692" t="n"/>
      <c r="AF577" s="692" t="n"/>
      <c r="AG577" s="692" t="n"/>
      <c r="AH577" s="692" t="n"/>
      <c r="AI577" s="692" t="n"/>
      <c r="AJ577" s="692" t="n"/>
      <c r="AK577" s="692" t="n"/>
      <c r="AL577" s="692" t="n"/>
      <c r="AM577" s="692" t="n"/>
      <c r="AN577" s="692" t="n"/>
      <c r="AO577" s="692" t="n"/>
      <c r="AP577" s="692" t="n"/>
      <c r="AQ577" s="692" t="n"/>
      <c r="AR577" s="692" t="n"/>
      <c r="AS577" s="692" t="n"/>
    </row>
    <row r="578">
      <c r="A578" s="420" t="inlineStr">
        <is>
          <t>M</t>
        </is>
      </c>
      <c r="B578" s="593" t="inlineStr">
        <is>
          <t>200 Breast</t>
        </is>
      </c>
      <c r="C578" s="593" t="n">
        <v>23</v>
      </c>
      <c r="D578" s="593" t="n">
        <v>3</v>
      </c>
      <c r="E578" s="128" t="inlineStr">
        <is>
          <t>2:10.32</t>
        </is>
      </c>
      <c r="F578" s="692" t="n"/>
      <c r="G578" s="692" t="n"/>
      <c r="H578" s="692" t="n"/>
      <c r="I578" s="692" t="n"/>
      <c r="J578" s="692" t="n"/>
      <c r="K578" s="692" t="n"/>
      <c r="L578" s="692" t="n"/>
      <c r="M578" s="692" t="n"/>
      <c r="N578" s="692" t="n"/>
      <c r="O578" s="692" t="n"/>
      <c r="P578" s="692" t="n"/>
      <c r="Q578" s="692" t="n"/>
      <c r="R578" s="692" t="n"/>
      <c r="S578" s="692" t="n"/>
      <c r="T578" s="692" t="n"/>
      <c r="U578" s="692" t="n"/>
      <c r="V578" s="692" t="n"/>
      <c r="W578" s="692" t="n"/>
      <c r="X578" s="692" t="n"/>
      <c r="Y578" s="692" t="n"/>
      <c r="Z578" s="692" t="n"/>
      <c r="AA578" s="692" t="n"/>
      <c r="AB578" s="692" t="n"/>
      <c r="AC578" s="692" t="n"/>
      <c r="AD578" s="692" t="n"/>
      <c r="AE578" s="692" t="n"/>
      <c r="AF578" s="692" t="n"/>
      <c r="AG578" s="692" t="n"/>
      <c r="AH578" s="692" t="n"/>
      <c r="AI578" s="692" t="n"/>
      <c r="AJ578" s="692" t="n"/>
      <c r="AK578" s="692" t="n"/>
      <c r="AL578" s="692" t="n"/>
      <c r="AM578" s="692" t="n"/>
      <c r="AN578" s="692" t="n"/>
      <c r="AO578" s="692" t="n"/>
      <c r="AP578" s="692" t="n"/>
      <c r="AQ578" s="692" t="n"/>
      <c r="AR578" s="692" t="n"/>
      <c r="AS578" s="692" t="n"/>
    </row>
    <row r="579">
      <c r="A579" s="427" t="inlineStr">
        <is>
          <t>M</t>
        </is>
      </c>
      <c r="B579" s="616" t="inlineStr">
        <is>
          <t>50 Fly</t>
        </is>
      </c>
      <c r="C579" s="616" t="n">
        <v>19</v>
      </c>
      <c r="D579" s="616" t="n">
        <v>3</v>
      </c>
      <c r="E579" s="127" t="inlineStr">
        <is>
          <t>24.04</t>
        </is>
      </c>
      <c r="F579" s="692" t="n"/>
      <c r="G579" s="692" t="n"/>
      <c r="H579" s="692" t="n"/>
      <c r="I579" s="692" t="n"/>
      <c r="J579" s="692" t="n"/>
      <c r="K579" s="692" t="n"/>
      <c r="L579" s="692" t="n"/>
      <c r="M579" s="692" t="n"/>
      <c r="N579" s="692" t="n"/>
      <c r="O579" s="692" t="n"/>
      <c r="P579" s="692" t="n"/>
      <c r="Q579" s="692" t="n"/>
      <c r="R579" s="692" t="n"/>
      <c r="S579" s="692" t="n"/>
      <c r="T579" s="692" t="n"/>
      <c r="U579" s="692" t="n"/>
      <c r="V579" s="692" t="n"/>
      <c r="W579" s="692" t="n"/>
      <c r="X579" s="692" t="n"/>
      <c r="Y579" s="692" t="n"/>
      <c r="Z579" s="692" t="n"/>
      <c r="AA579" s="692" t="n"/>
      <c r="AB579" s="692" t="n"/>
      <c r="AC579" s="692" t="n"/>
      <c r="AD579" s="692" t="n"/>
      <c r="AE579" s="692" t="n"/>
      <c r="AF579" s="692" t="n"/>
      <c r="AG579" s="692" t="n"/>
      <c r="AH579" s="692" t="n"/>
      <c r="AI579" s="692" t="n"/>
      <c r="AJ579" s="692" t="n"/>
      <c r="AK579" s="692" t="n"/>
      <c r="AL579" s="692" t="n"/>
      <c r="AM579" s="692" t="n"/>
      <c r="AN579" s="692" t="n"/>
      <c r="AO579" s="692" t="n"/>
      <c r="AP579" s="692" t="n"/>
      <c r="AQ579" s="692" t="n"/>
      <c r="AR579" s="692" t="n"/>
      <c r="AS579" s="692" t="n"/>
    </row>
    <row r="580">
      <c r="A580" s="420" t="inlineStr">
        <is>
          <t>M</t>
        </is>
      </c>
      <c r="B580" s="593" t="inlineStr">
        <is>
          <t>50 Fly</t>
        </is>
      </c>
      <c r="C580" s="593" t="n">
        <v>20</v>
      </c>
      <c r="D580" s="593" t="n">
        <v>3</v>
      </c>
      <c r="E580" s="128" t="inlineStr">
        <is>
          <t>23.81</t>
        </is>
      </c>
      <c r="F580" s="692" t="n"/>
      <c r="G580" s="692" t="n"/>
      <c r="H580" s="692" t="n"/>
      <c r="I580" s="692" t="n"/>
      <c r="J580" s="692" t="n"/>
      <c r="K580" s="692" t="n"/>
      <c r="L580" s="692" t="n"/>
      <c r="M580" s="692" t="n"/>
      <c r="N580" s="692" t="n"/>
      <c r="O580" s="692" t="n"/>
      <c r="P580" s="692" t="n"/>
      <c r="Q580" s="692" t="n"/>
      <c r="R580" s="692" t="n"/>
      <c r="S580" s="692" t="n"/>
      <c r="T580" s="692" t="n"/>
      <c r="U580" s="692" t="n"/>
      <c r="V580" s="692" t="n"/>
      <c r="W580" s="692" t="n"/>
      <c r="X580" s="692" t="n"/>
      <c r="Y580" s="692" t="n"/>
      <c r="Z580" s="692" t="n"/>
      <c r="AA580" s="692" t="n"/>
      <c r="AB580" s="692" t="n"/>
      <c r="AC580" s="692" t="n"/>
      <c r="AD580" s="692" t="n"/>
      <c r="AE580" s="692" t="n"/>
      <c r="AF580" s="692" t="n"/>
      <c r="AG580" s="692" t="n"/>
      <c r="AH580" s="692" t="n"/>
      <c r="AI580" s="692" t="n"/>
      <c r="AJ580" s="692" t="n"/>
      <c r="AK580" s="692" t="n"/>
      <c r="AL580" s="692" t="n"/>
      <c r="AM580" s="692" t="n"/>
      <c r="AN580" s="692" t="n"/>
      <c r="AO580" s="692" t="n"/>
      <c r="AP580" s="692" t="n"/>
      <c r="AQ580" s="692" t="n"/>
      <c r="AR580" s="692" t="n"/>
      <c r="AS580" s="692" t="n"/>
    </row>
    <row r="581">
      <c r="A581" s="427" t="inlineStr">
        <is>
          <t>M</t>
        </is>
      </c>
      <c r="B581" s="616" t="inlineStr">
        <is>
          <t>50 Fly</t>
        </is>
      </c>
      <c r="C581" s="616" t="n">
        <v>21</v>
      </c>
      <c r="D581" s="616" t="n">
        <v>3</v>
      </c>
      <c r="E581" s="127" t="inlineStr">
        <is>
          <t>23.64</t>
        </is>
      </c>
      <c r="F581" s="692" t="n"/>
      <c r="G581" s="692" t="n"/>
      <c r="H581" s="692" t="n"/>
      <c r="I581" s="692" t="n"/>
      <c r="J581" s="692" t="n"/>
      <c r="K581" s="692" t="n"/>
      <c r="L581" s="692" t="n"/>
      <c r="M581" s="692" t="n"/>
      <c r="N581" s="692" t="n"/>
      <c r="O581" s="692" t="n"/>
      <c r="P581" s="692" t="n"/>
      <c r="Q581" s="692" t="n"/>
      <c r="R581" s="692" t="n"/>
      <c r="S581" s="692" t="n"/>
      <c r="T581" s="692" t="n"/>
      <c r="U581" s="692" t="n"/>
      <c r="V581" s="692" t="n"/>
      <c r="W581" s="692" t="n"/>
      <c r="X581" s="692" t="n"/>
      <c r="Y581" s="692" t="n"/>
      <c r="Z581" s="692" t="n"/>
      <c r="AA581" s="692" t="n"/>
      <c r="AB581" s="692" t="n"/>
      <c r="AC581" s="692" t="n"/>
      <c r="AD581" s="692" t="n"/>
      <c r="AE581" s="692" t="n"/>
      <c r="AF581" s="692" t="n"/>
      <c r="AG581" s="692" t="n"/>
      <c r="AH581" s="692" t="n"/>
      <c r="AI581" s="692" t="n"/>
      <c r="AJ581" s="692" t="n"/>
      <c r="AK581" s="692" t="n"/>
      <c r="AL581" s="692" t="n"/>
      <c r="AM581" s="692" t="n"/>
      <c r="AN581" s="692" t="n"/>
      <c r="AO581" s="692" t="n"/>
      <c r="AP581" s="692" t="n"/>
      <c r="AQ581" s="692" t="n"/>
      <c r="AR581" s="692" t="n"/>
      <c r="AS581" s="692" t="n"/>
    </row>
    <row r="582">
      <c r="A582" s="420" t="inlineStr">
        <is>
          <t>M</t>
        </is>
      </c>
      <c r="B582" s="593" t="inlineStr">
        <is>
          <t>50 Fly</t>
        </is>
      </c>
      <c r="C582" s="593" t="n">
        <v>22</v>
      </c>
      <c r="D582" s="593" t="n">
        <v>3</v>
      </c>
      <c r="E582" s="128" t="inlineStr">
        <is>
          <t>23.52</t>
        </is>
      </c>
      <c r="F582" s="692" t="n"/>
      <c r="G582" s="692" t="n"/>
      <c r="H582" s="692" t="n"/>
      <c r="I582" s="692" t="n"/>
      <c r="J582" s="692" t="n"/>
      <c r="K582" s="692" t="n"/>
      <c r="L582" s="692" t="n"/>
      <c r="M582" s="692" t="n"/>
      <c r="N582" s="692" t="n"/>
      <c r="O582" s="692" t="n"/>
      <c r="P582" s="692" t="n"/>
      <c r="Q582" s="692" t="n"/>
      <c r="R582" s="692" t="n"/>
      <c r="S582" s="692" t="n"/>
      <c r="T582" s="692" t="n"/>
      <c r="U582" s="692" t="n"/>
      <c r="V582" s="692" t="n"/>
      <c r="W582" s="692" t="n"/>
      <c r="X582" s="692" t="n"/>
      <c r="Y582" s="692" t="n"/>
      <c r="Z582" s="692" t="n"/>
      <c r="AA582" s="692" t="n"/>
      <c r="AB582" s="692" t="n"/>
      <c r="AC582" s="692" t="n"/>
      <c r="AD582" s="692" t="n"/>
      <c r="AE582" s="692" t="n"/>
      <c r="AF582" s="692" t="n"/>
      <c r="AG582" s="692" t="n"/>
      <c r="AH582" s="692" t="n"/>
      <c r="AI582" s="692" t="n"/>
      <c r="AJ582" s="692" t="n"/>
      <c r="AK582" s="692" t="n"/>
      <c r="AL582" s="692" t="n"/>
      <c r="AM582" s="692" t="n"/>
      <c r="AN582" s="692" t="n"/>
      <c r="AO582" s="692" t="n"/>
      <c r="AP582" s="692" t="n"/>
      <c r="AQ582" s="692" t="n"/>
      <c r="AR582" s="692" t="n"/>
      <c r="AS582" s="692" t="n"/>
    </row>
    <row r="583">
      <c r="A583" s="427" t="inlineStr">
        <is>
          <t>M</t>
        </is>
      </c>
      <c r="B583" s="616" t="inlineStr">
        <is>
          <t>50 Fly</t>
        </is>
      </c>
      <c r="C583" s="616" t="n">
        <v>23</v>
      </c>
      <c r="D583" s="616" t="n">
        <v>3</v>
      </c>
      <c r="E583" s="127" t="inlineStr">
        <is>
          <t>23.43</t>
        </is>
      </c>
      <c r="F583" s="692" t="n"/>
      <c r="G583" s="692" t="n"/>
      <c r="H583" s="692" t="n"/>
      <c r="I583" s="692" t="n"/>
      <c r="J583" s="692" t="n"/>
      <c r="K583" s="692" t="n"/>
      <c r="L583" s="692" t="n"/>
      <c r="M583" s="692" t="n"/>
      <c r="N583" s="692" t="n"/>
      <c r="O583" s="692" t="n"/>
      <c r="P583" s="692" t="n"/>
      <c r="Q583" s="692" t="n"/>
      <c r="R583" s="692" t="n"/>
      <c r="S583" s="692" t="n"/>
      <c r="T583" s="692" t="n"/>
      <c r="U583" s="692" t="n"/>
      <c r="V583" s="692" t="n"/>
      <c r="W583" s="692" t="n"/>
      <c r="X583" s="692" t="n"/>
      <c r="Y583" s="692" t="n"/>
      <c r="Z583" s="692" t="n"/>
      <c r="AA583" s="692" t="n"/>
      <c r="AB583" s="692" t="n"/>
      <c r="AC583" s="692" t="n"/>
      <c r="AD583" s="692" t="n"/>
      <c r="AE583" s="692" t="n"/>
      <c r="AF583" s="692" t="n"/>
      <c r="AG583" s="692" t="n"/>
      <c r="AH583" s="692" t="n"/>
      <c r="AI583" s="692" t="n"/>
      <c r="AJ583" s="692" t="n"/>
      <c r="AK583" s="692" t="n"/>
      <c r="AL583" s="692" t="n"/>
      <c r="AM583" s="692" t="n"/>
      <c r="AN583" s="692" t="n"/>
      <c r="AO583" s="692" t="n"/>
      <c r="AP583" s="692" t="n"/>
      <c r="AQ583" s="692" t="n"/>
      <c r="AR583" s="692" t="n"/>
      <c r="AS583" s="692" t="n"/>
    </row>
    <row r="584">
      <c r="A584" s="420" t="inlineStr">
        <is>
          <t>M</t>
        </is>
      </c>
      <c r="B584" s="593" t="inlineStr">
        <is>
          <t>50 Fly</t>
        </is>
      </c>
      <c r="C584" s="593" t="n">
        <v>24</v>
      </c>
      <c r="D584" s="593" t="n">
        <v>3</v>
      </c>
      <c r="E584" s="128" t="inlineStr">
        <is>
          <t>23.38</t>
        </is>
      </c>
      <c r="F584" s="692" t="n"/>
      <c r="G584" s="692" t="n"/>
      <c r="H584" s="692" t="n"/>
      <c r="I584" s="692" t="n"/>
      <c r="J584" s="692" t="n"/>
      <c r="K584" s="692" t="n"/>
      <c r="L584" s="692" t="n"/>
      <c r="M584" s="692" t="n"/>
      <c r="N584" s="692" t="n"/>
      <c r="O584" s="692" t="n"/>
      <c r="P584" s="692" t="n"/>
      <c r="Q584" s="692" t="n"/>
      <c r="R584" s="692" t="n"/>
      <c r="S584" s="692" t="n"/>
      <c r="T584" s="692" t="n"/>
      <c r="U584" s="692" t="n"/>
      <c r="V584" s="692" t="n"/>
      <c r="W584" s="692" t="n"/>
      <c r="X584" s="692" t="n"/>
      <c r="Y584" s="692" t="n"/>
      <c r="Z584" s="692" t="n"/>
      <c r="AA584" s="692" t="n"/>
      <c r="AB584" s="692" t="n"/>
      <c r="AC584" s="692" t="n"/>
      <c r="AD584" s="692" t="n"/>
      <c r="AE584" s="692" t="n"/>
      <c r="AF584" s="692" t="n"/>
      <c r="AG584" s="692" t="n"/>
      <c r="AH584" s="692" t="n"/>
      <c r="AI584" s="692" t="n"/>
      <c r="AJ584" s="692" t="n"/>
      <c r="AK584" s="692" t="n"/>
      <c r="AL584" s="692" t="n"/>
      <c r="AM584" s="692" t="n"/>
      <c r="AN584" s="692" t="n"/>
      <c r="AO584" s="692" t="n"/>
      <c r="AP584" s="692" t="n"/>
      <c r="AQ584" s="692" t="n"/>
      <c r="AR584" s="692" t="n"/>
      <c r="AS584" s="692" t="n"/>
    </row>
    <row r="585">
      <c r="A585" s="427" t="inlineStr">
        <is>
          <t>M</t>
        </is>
      </c>
      <c r="B585" s="616" t="inlineStr">
        <is>
          <t>50 Fly</t>
        </is>
      </c>
      <c r="C585" s="616" t="n">
        <v>25</v>
      </c>
      <c r="D585" s="616" t="n">
        <v>3</v>
      </c>
      <c r="E585" s="127" t="inlineStr">
        <is>
          <t>23.36</t>
        </is>
      </c>
      <c r="F585" s="692" t="n"/>
      <c r="G585" s="692" t="n"/>
      <c r="H585" s="692" t="n"/>
      <c r="I585" s="692" t="n"/>
      <c r="J585" s="692" t="n"/>
      <c r="K585" s="692" t="n"/>
      <c r="L585" s="692" t="n"/>
      <c r="M585" s="692" t="n"/>
      <c r="N585" s="692" t="n"/>
      <c r="O585" s="692" t="n"/>
      <c r="P585" s="692" t="n"/>
      <c r="Q585" s="692" t="n"/>
      <c r="R585" s="692" t="n"/>
      <c r="S585" s="692" t="n"/>
      <c r="T585" s="692" t="n"/>
      <c r="U585" s="692" t="n"/>
      <c r="V585" s="692" t="n"/>
      <c r="W585" s="692" t="n"/>
      <c r="X585" s="692" t="n"/>
      <c r="Y585" s="692" t="n"/>
      <c r="Z585" s="692" t="n"/>
      <c r="AA585" s="692" t="n"/>
      <c r="AB585" s="692" t="n"/>
      <c r="AC585" s="692" t="n"/>
      <c r="AD585" s="692" t="n"/>
      <c r="AE585" s="692" t="n"/>
      <c r="AF585" s="692" t="n"/>
      <c r="AG585" s="692" t="n"/>
      <c r="AH585" s="692" t="n"/>
      <c r="AI585" s="692" t="n"/>
      <c r="AJ585" s="692" t="n"/>
      <c r="AK585" s="692" t="n"/>
      <c r="AL585" s="692" t="n"/>
      <c r="AM585" s="692" t="n"/>
      <c r="AN585" s="692" t="n"/>
      <c r="AO585" s="692" t="n"/>
      <c r="AP585" s="692" t="n"/>
      <c r="AQ585" s="692" t="n"/>
      <c r="AR585" s="692" t="n"/>
      <c r="AS585" s="692" t="n"/>
    </row>
    <row r="586">
      <c r="A586" s="420" t="inlineStr">
        <is>
          <t>M</t>
        </is>
      </c>
      <c r="B586" s="593" t="inlineStr">
        <is>
          <t>100 Fly</t>
        </is>
      </c>
      <c r="C586" s="593" t="n">
        <v>18</v>
      </c>
      <c r="D586" s="593" t="n">
        <v>3</v>
      </c>
      <c r="E586" s="128" t="inlineStr">
        <is>
          <t>53.52</t>
        </is>
      </c>
      <c r="F586" s="692" t="n"/>
      <c r="G586" s="692" t="n"/>
      <c r="H586" s="692" t="n"/>
      <c r="I586" s="692" t="n"/>
      <c r="J586" s="692" t="n"/>
      <c r="K586" s="692" t="n"/>
      <c r="L586" s="692" t="n"/>
      <c r="M586" s="692" t="n"/>
      <c r="N586" s="692" t="n"/>
      <c r="O586" s="692" t="n"/>
      <c r="P586" s="692" t="n"/>
      <c r="Q586" s="692" t="n"/>
      <c r="R586" s="692" t="n"/>
      <c r="S586" s="692" t="n"/>
      <c r="T586" s="692" t="n"/>
      <c r="U586" s="692" t="n"/>
      <c r="V586" s="692" t="n"/>
      <c r="W586" s="692" t="n"/>
      <c r="X586" s="692" t="n"/>
      <c r="Y586" s="692" t="n"/>
      <c r="Z586" s="692" t="n"/>
      <c r="AA586" s="692" t="n"/>
      <c r="AB586" s="692" t="n"/>
      <c r="AC586" s="692" t="n"/>
      <c r="AD586" s="692" t="n"/>
      <c r="AE586" s="692" t="n"/>
      <c r="AF586" s="692" t="n"/>
      <c r="AG586" s="692" t="n"/>
      <c r="AH586" s="692" t="n"/>
      <c r="AI586" s="692" t="n"/>
      <c r="AJ586" s="692" t="n"/>
      <c r="AK586" s="692" t="n"/>
      <c r="AL586" s="692" t="n"/>
      <c r="AM586" s="692" t="n"/>
      <c r="AN586" s="692" t="n"/>
      <c r="AO586" s="692" t="n"/>
      <c r="AP586" s="692" t="n"/>
      <c r="AQ586" s="692" t="n"/>
      <c r="AR586" s="692" t="n"/>
      <c r="AS586" s="692" t="n"/>
    </row>
    <row r="587">
      <c r="A587" s="427" t="inlineStr">
        <is>
          <t>M</t>
        </is>
      </c>
      <c r="B587" s="616" t="inlineStr">
        <is>
          <t>100 Fly</t>
        </is>
      </c>
      <c r="C587" s="616" t="n">
        <v>19</v>
      </c>
      <c r="D587" s="616" t="n">
        <v>3</v>
      </c>
      <c r="E587" s="127" t="inlineStr">
        <is>
          <t>52.90</t>
        </is>
      </c>
      <c r="F587" s="692" t="n"/>
      <c r="G587" s="692" t="n"/>
      <c r="H587" s="692" t="n"/>
      <c r="I587" s="692" t="n"/>
      <c r="J587" s="692" t="n"/>
      <c r="K587" s="692" t="n"/>
      <c r="L587" s="692" t="n"/>
      <c r="M587" s="692" t="n"/>
      <c r="N587" s="692" t="n"/>
      <c r="O587" s="692" t="n"/>
      <c r="P587" s="692" t="n"/>
      <c r="Q587" s="692" t="n"/>
      <c r="R587" s="692" t="n"/>
      <c r="S587" s="692" t="n"/>
      <c r="T587" s="692" t="n"/>
      <c r="U587" s="692" t="n"/>
      <c r="V587" s="692" t="n"/>
      <c r="W587" s="692" t="n"/>
      <c r="X587" s="692" t="n"/>
      <c r="Y587" s="692" t="n"/>
      <c r="Z587" s="692" t="n"/>
      <c r="AA587" s="692" t="n"/>
      <c r="AB587" s="692" t="n"/>
      <c r="AC587" s="692" t="n"/>
      <c r="AD587" s="692" t="n"/>
      <c r="AE587" s="692" t="n"/>
      <c r="AF587" s="692" t="n"/>
      <c r="AG587" s="692" t="n"/>
      <c r="AH587" s="692" t="n"/>
      <c r="AI587" s="692" t="n"/>
      <c r="AJ587" s="692" t="n"/>
      <c r="AK587" s="692" t="n"/>
      <c r="AL587" s="692" t="n"/>
      <c r="AM587" s="692" t="n"/>
      <c r="AN587" s="692" t="n"/>
      <c r="AO587" s="692" t="n"/>
      <c r="AP587" s="692" t="n"/>
      <c r="AQ587" s="692" t="n"/>
      <c r="AR587" s="692" t="n"/>
      <c r="AS587" s="692" t="n"/>
    </row>
    <row r="588">
      <c r="A588" s="420" t="inlineStr">
        <is>
          <t>M</t>
        </is>
      </c>
      <c r="B588" s="593" t="inlineStr">
        <is>
          <t>100 Fly</t>
        </is>
      </c>
      <c r="C588" s="593" t="n">
        <v>20</v>
      </c>
      <c r="D588" s="593" t="n">
        <v>3</v>
      </c>
      <c r="E588" s="128" t="inlineStr">
        <is>
          <t>52.45</t>
        </is>
      </c>
      <c r="F588" s="692" t="n"/>
      <c r="G588" s="692" t="n"/>
      <c r="H588" s="692" t="n"/>
      <c r="I588" s="692" t="n"/>
      <c r="J588" s="692" t="n"/>
      <c r="K588" s="692" t="n"/>
      <c r="L588" s="692" t="n"/>
      <c r="M588" s="692" t="n"/>
      <c r="N588" s="692" t="n"/>
      <c r="O588" s="692" t="n"/>
      <c r="P588" s="692" t="n"/>
      <c r="Q588" s="692" t="n"/>
      <c r="R588" s="692" t="n"/>
      <c r="S588" s="692" t="n"/>
      <c r="T588" s="692" t="n"/>
      <c r="U588" s="692" t="n"/>
      <c r="V588" s="692" t="n"/>
      <c r="W588" s="692" t="n"/>
      <c r="X588" s="692" t="n"/>
      <c r="Y588" s="692" t="n"/>
      <c r="Z588" s="692" t="n"/>
      <c r="AA588" s="692" t="n"/>
      <c r="AB588" s="692" t="n"/>
      <c r="AC588" s="692" t="n"/>
      <c r="AD588" s="692" t="n"/>
      <c r="AE588" s="692" t="n"/>
      <c r="AF588" s="692" t="n"/>
      <c r="AG588" s="692" t="n"/>
      <c r="AH588" s="692" t="n"/>
      <c r="AI588" s="692" t="n"/>
      <c r="AJ588" s="692" t="n"/>
      <c r="AK588" s="692" t="n"/>
      <c r="AL588" s="692" t="n"/>
      <c r="AM588" s="692" t="n"/>
      <c r="AN588" s="692" t="n"/>
      <c r="AO588" s="692" t="n"/>
      <c r="AP588" s="692" t="n"/>
      <c r="AQ588" s="692" t="n"/>
      <c r="AR588" s="692" t="n"/>
      <c r="AS588" s="692" t="n"/>
    </row>
    <row r="589">
      <c r="A589" s="427" t="inlineStr">
        <is>
          <t>M</t>
        </is>
      </c>
      <c r="B589" s="616" t="inlineStr">
        <is>
          <t>100 Fly</t>
        </is>
      </c>
      <c r="C589" s="616" t="n">
        <v>21</v>
      </c>
      <c r="D589" s="616" t="n">
        <v>3</v>
      </c>
      <c r="E589" s="127" t="inlineStr">
        <is>
          <t>52.13</t>
        </is>
      </c>
      <c r="F589" s="692" t="n"/>
      <c r="G589" s="692" t="n"/>
      <c r="H589" s="692" t="n"/>
      <c r="I589" s="692" t="n"/>
      <c r="J589" s="692" t="n"/>
      <c r="K589" s="692" t="n"/>
      <c r="L589" s="692" t="n"/>
      <c r="M589" s="692" t="n"/>
      <c r="N589" s="692" t="n"/>
      <c r="O589" s="692" t="n"/>
      <c r="P589" s="692" t="n"/>
      <c r="Q589" s="692" t="n"/>
      <c r="R589" s="692" t="n"/>
      <c r="S589" s="692" t="n"/>
      <c r="T589" s="692" t="n"/>
      <c r="U589" s="692" t="n"/>
      <c r="V589" s="692" t="n"/>
      <c r="W589" s="692" t="n"/>
      <c r="X589" s="692" t="n"/>
      <c r="Y589" s="692" t="n"/>
      <c r="Z589" s="692" t="n"/>
      <c r="AA589" s="692" t="n"/>
      <c r="AB589" s="692" t="n"/>
      <c r="AC589" s="692" t="n"/>
      <c r="AD589" s="692" t="n"/>
      <c r="AE589" s="692" t="n"/>
      <c r="AF589" s="692" t="n"/>
      <c r="AG589" s="692" t="n"/>
      <c r="AH589" s="692" t="n"/>
      <c r="AI589" s="692" t="n"/>
      <c r="AJ589" s="692" t="n"/>
      <c r="AK589" s="692" t="n"/>
      <c r="AL589" s="692" t="n"/>
      <c r="AM589" s="692" t="n"/>
      <c r="AN589" s="692" t="n"/>
      <c r="AO589" s="692" t="n"/>
      <c r="AP589" s="692" t="n"/>
      <c r="AQ589" s="692" t="n"/>
      <c r="AR589" s="692" t="n"/>
      <c r="AS589" s="692" t="n"/>
    </row>
    <row r="590">
      <c r="A590" s="420" t="inlineStr">
        <is>
          <t>M</t>
        </is>
      </c>
      <c r="B590" s="593" t="inlineStr">
        <is>
          <t>100 Fly</t>
        </is>
      </c>
      <c r="C590" s="593" t="n">
        <v>22</v>
      </c>
      <c r="D590" s="593" t="n">
        <v>3</v>
      </c>
      <c r="E590" s="128" t="inlineStr">
        <is>
          <t>51.90</t>
        </is>
      </c>
      <c r="F590" s="692" t="n"/>
      <c r="G590" s="692" t="n"/>
      <c r="H590" s="692" t="n"/>
      <c r="I590" s="692" t="n"/>
      <c r="J590" s="692" t="n"/>
      <c r="K590" s="692" t="n"/>
      <c r="L590" s="692" t="n"/>
      <c r="M590" s="692" t="n"/>
      <c r="N590" s="692" t="n"/>
      <c r="O590" s="692" t="n"/>
      <c r="P590" s="692" t="n"/>
      <c r="Q590" s="692" t="n"/>
      <c r="R590" s="692" t="n"/>
      <c r="S590" s="692" t="n"/>
      <c r="T590" s="692" t="n"/>
      <c r="U590" s="692" t="n"/>
      <c r="V590" s="692" t="n"/>
      <c r="W590" s="692" t="n"/>
      <c r="X590" s="692" t="n"/>
      <c r="Y590" s="692" t="n"/>
      <c r="Z590" s="692" t="n"/>
      <c r="AA590" s="692" t="n"/>
      <c r="AB590" s="692" t="n"/>
      <c r="AC590" s="692" t="n"/>
      <c r="AD590" s="692" t="n"/>
      <c r="AE590" s="692" t="n"/>
      <c r="AF590" s="692" t="n"/>
      <c r="AG590" s="692" t="n"/>
      <c r="AH590" s="692" t="n"/>
      <c r="AI590" s="692" t="n"/>
      <c r="AJ590" s="692" t="n"/>
      <c r="AK590" s="692" t="n"/>
      <c r="AL590" s="692" t="n"/>
      <c r="AM590" s="692" t="n"/>
      <c r="AN590" s="692" t="n"/>
      <c r="AO590" s="692" t="n"/>
      <c r="AP590" s="692" t="n"/>
      <c r="AQ590" s="692" t="n"/>
      <c r="AR590" s="692" t="n"/>
      <c r="AS590" s="692" t="n"/>
    </row>
    <row r="591">
      <c r="A591" s="427" t="inlineStr">
        <is>
          <t>M</t>
        </is>
      </c>
      <c r="B591" s="616" t="inlineStr">
        <is>
          <t>100 Fly</t>
        </is>
      </c>
      <c r="C591" s="616" t="n">
        <v>23</v>
      </c>
      <c r="D591" s="616" t="n">
        <v>3</v>
      </c>
      <c r="E591" s="127" t="inlineStr">
        <is>
          <t>51.79</t>
        </is>
      </c>
      <c r="F591" s="692" t="n"/>
      <c r="G591" s="692" t="n"/>
      <c r="H591" s="692" t="n"/>
      <c r="I591" s="692" t="n"/>
      <c r="J591" s="692" t="n"/>
      <c r="K591" s="692" t="n"/>
      <c r="L591" s="692" t="n"/>
      <c r="M591" s="692" t="n"/>
      <c r="N591" s="692" t="n"/>
      <c r="O591" s="692" t="n"/>
      <c r="P591" s="692" t="n"/>
      <c r="Q591" s="692" t="n"/>
      <c r="R591" s="692" t="n"/>
      <c r="S591" s="692" t="n"/>
      <c r="T591" s="692" t="n"/>
      <c r="U591" s="692" t="n"/>
      <c r="V591" s="692" t="n"/>
      <c r="W591" s="692" t="n"/>
      <c r="X591" s="692" t="n"/>
      <c r="Y591" s="692" t="n"/>
      <c r="Z591" s="692" t="n"/>
      <c r="AA591" s="692" t="n"/>
      <c r="AB591" s="692" t="n"/>
      <c r="AC591" s="692" t="n"/>
      <c r="AD591" s="692" t="n"/>
      <c r="AE591" s="692" t="n"/>
      <c r="AF591" s="692" t="n"/>
      <c r="AG591" s="692" t="n"/>
      <c r="AH591" s="692" t="n"/>
      <c r="AI591" s="692" t="n"/>
      <c r="AJ591" s="692" t="n"/>
      <c r="AK591" s="692" t="n"/>
      <c r="AL591" s="692" t="n"/>
      <c r="AM591" s="692" t="n"/>
      <c r="AN591" s="692" t="n"/>
      <c r="AO591" s="692" t="n"/>
      <c r="AP591" s="692" t="n"/>
      <c r="AQ591" s="692" t="n"/>
      <c r="AR591" s="692" t="n"/>
      <c r="AS591" s="692" t="n"/>
    </row>
    <row r="592">
      <c r="A592" s="420" t="inlineStr">
        <is>
          <t>M</t>
        </is>
      </c>
      <c r="B592" s="593" t="inlineStr">
        <is>
          <t>100 Fly</t>
        </is>
      </c>
      <c r="C592" s="593" t="n">
        <v>24</v>
      </c>
      <c r="D592" s="593" t="n">
        <v>3</v>
      </c>
      <c r="E592" s="128" t="inlineStr">
        <is>
          <t>51.77</t>
        </is>
      </c>
      <c r="F592" s="692" t="n"/>
      <c r="G592" s="692" t="n"/>
      <c r="H592" s="692" t="n"/>
      <c r="I592" s="692" t="n"/>
      <c r="J592" s="692" t="n"/>
      <c r="K592" s="692" t="n"/>
      <c r="L592" s="692" t="n"/>
      <c r="M592" s="692" t="n"/>
      <c r="N592" s="692" t="n"/>
      <c r="O592" s="692" t="n"/>
      <c r="P592" s="692" t="n"/>
      <c r="Q592" s="692" t="n"/>
      <c r="R592" s="692" t="n"/>
      <c r="S592" s="692" t="n"/>
      <c r="T592" s="692" t="n"/>
      <c r="U592" s="692" t="n"/>
      <c r="V592" s="692" t="n"/>
      <c r="W592" s="692" t="n"/>
      <c r="X592" s="692" t="n"/>
      <c r="Y592" s="692" t="n"/>
      <c r="Z592" s="692" t="n"/>
      <c r="AA592" s="692" t="n"/>
      <c r="AB592" s="692" t="n"/>
      <c r="AC592" s="692" t="n"/>
      <c r="AD592" s="692" t="n"/>
      <c r="AE592" s="692" t="n"/>
      <c r="AF592" s="692" t="n"/>
      <c r="AG592" s="692" t="n"/>
      <c r="AH592" s="692" t="n"/>
      <c r="AI592" s="692" t="n"/>
      <c r="AJ592" s="692" t="n"/>
      <c r="AK592" s="692" t="n"/>
      <c r="AL592" s="692" t="n"/>
      <c r="AM592" s="692" t="n"/>
      <c r="AN592" s="692" t="n"/>
      <c r="AO592" s="692" t="n"/>
      <c r="AP592" s="692" t="n"/>
      <c r="AQ592" s="692" t="n"/>
      <c r="AR592" s="692" t="n"/>
      <c r="AS592" s="692" t="n"/>
    </row>
    <row r="593">
      <c r="A593" s="427" t="inlineStr">
        <is>
          <t>M</t>
        </is>
      </c>
      <c r="B593" s="616" t="inlineStr">
        <is>
          <t>200 Fly</t>
        </is>
      </c>
      <c r="C593" s="616" t="n">
        <v>17</v>
      </c>
      <c r="D593" s="616" t="n">
        <v>3</v>
      </c>
      <c r="E593" s="127" t="inlineStr">
        <is>
          <t>2:01.77</t>
        </is>
      </c>
      <c r="F593" s="692" t="n"/>
      <c r="G593" s="692" t="n"/>
      <c r="H593" s="692" t="n"/>
      <c r="I593" s="692" t="n"/>
      <c r="J593" s="692" t="n"/>
      <c r="K593" s="692" t="n"/>
      <c r="L593" s="692" t="n"/>
      <c r="M593" s="692" t="n"/>
      <c r="N593" s="692" t="n"/>
      <c r="O593" s="692" t="n"/>
      <c r="P593" s="692" t="n"/>
      <c r="Q593" s="692" t="n"/>
      <c r="R593" s="692" t="n"/>
      <c r="S593" s="692" t="n"/>
      <c r="T593" s="692" t="n"/>
      <c r="U593" s="692" t="n"/>
      <c r="V593" s="692" t="n"/>
      <c r="W593" s="692" t="n"/>
      <c r="X593" s="692" t="n"/>
      <c r="Y593" s="692" t="n"/>
      <c r="Z593" s="692" t="n"/>
      <c r="AA593" s="692" t="n"/>
      <c r="AB593" s="692" t="n"/>
      <c r="AC593" s="692" t="n"/>
      <c r="AD593" s="692" t="n"/>
      <c r="AE593" s="692" t="n"/>
      <c r="AF593" s="692" t="n"/>
      <c r="AG593" s="692" t="n"/>
      <c r="AH593" s="692" t="n"/>
      <c r="AI593" s="692" t="n"/>
      <c r="AJ593" s="692" t="n"/>
      <c r="AK593" s="692" t="n"/>
      <c r="AL593" s="692" t="n"/>
      <c r="AM593" s="692" t="n"/>
      <c r="AN593" s="692" t="n"/>
      <c r="AO593" s="692" t="n"/>
      <c r="AP593" s="692" t="n"/>
      <c r="AQ593" s="692" t="n"/>
      <c r="AR593" s="692" t="n"/>
      <c r="AS593" s="692" t="n"/>
    </row>
    <row r="594">
      <c r="A594" s="420" t="inlineStr">
        <is>
          <t>M</t>
        </is>
      </c>
      <c r="B594" s="593" t="inlineStr">
        <is>
          <t>200 Fly</t>
        </is>
      </c>
      <c r="C594" s="593" t="n">
        <v>18</v>
      </c>
      <c r="D594" s="593" t="n">
        <v>3</v>
      </c>
      <c r="E594" s="128" t="inlineStr">
        <is>
          <t>1:59.70</t>
        </is>
      </c>
      <c r="F594" s="692" t="n"/>
      <c r="G594" s="692" t="n"/>
      <c r="H594" s="692" t="n"/>
      <c r="I594" s="692" t="n"/>
      <c r="J594" s="692" t="n"/>
      <c r="K594" s="692" t="n"/>
      <c r="L594" s="692" t="n"/>
      <c r="M594" s="692" t="n"/>
      <c r="N594" s="692" t="n"/>
      <c r="O594" s="692" t="n"/>
      <c r="P594" s="692" t="n"/>
      <c r="Q594" s="692" t="n"/>
      <c r="R594" s="692" t="n"/>
      <c r="S594" s="692" t="n"/>
      <c r="T594" s="692" t="n"/>
      <c r="U594" s="692" t="n"/>
      <c r="V594" s="692" t="n"/>
      <c r="W594" s="692" t="n"/>
      <c r="X594" s="692" t="n"/>
      <c r="Y594" s="692" t="n"/>
      <c r="Z594" s="692" t="n"/>
      <c r="AA594" s="692" t="n"/>
      <c r="AB594" s="692" t="n"/>
      <c r="AC594" s="692" t="n"/>
      <c r="AD594" s="692" t="n"/>
      <c r="AE594" s="692" t="n"/>
      <c r="AF594" s="692" t="n"/>
      <c r="AG594" s="692" t="n"/>
      <c r="AH594" s="692" t="n"/>
      <c r="AI594" s="692" t="n"/>
      <c r="AJ594" s="692" t="n"/>
      <c r="AK594" s="692" t="n"/>
      <c r="AL594" s="692" t="n"/>
      <c r="AM594" s="692" t="n"/>
      <c r="AN594" s="692" t="n"/>
      <c r="AO594" s="692" t="n"/>
      <c r="AP594" s="692" t="n"/>
      <c r="AQ594" s="692" t="n"/>
      <c r="AR594" s="692" t="n"/>
      <c r="AS594" s="692" t="n"/>
    </row>
    <row r="595">
      <c r="A595" s="427" t="inlineStr">
        <is>
          <t>M</t>
        </is>
      </c>
      <c r="B595" s="616" t="inlineStr">
        <is>
          <t>200 Fly</t>
        </is>
      </c>
      <c r="C595" s="616" t="n">
        <v>19</v>
      </c>
      <c r="D595" s="616" t="n">
        <v>3</v>
      </c>
      <c r="E595" s="127" t="inlineStr">
        <is>
          <t>1:58.35</t>
        </is>
      </c>
      <c r="F595" s="692" t="n"/>
      <c r="G595" s="692" t="n"/>
      <c r="H595" s="692" t="n"/>
      <c r="I595" s="692" t="n"/>
      <c r="J595" s="692" t="n"/>
      <c r="K595" s="692" t="n"/>
      <c r="L595" s="692" t="n"/>
      <c r="M595" s="692" t="n"/>
      <c r="N595" s="692" t="n"/>
      <c r="O595" s="692" t="n"/>
      <c r="P595" s="692" t="n"/>
      <c r="Q595" s="692" t="n"/>
      <c r="R595" s="692" t="n"/>
      <c r="S595" s="692" t="n"/>
      <c r="T595" s="692" t="n"/>
      <c r="U595" s="692" t="n"/>
      <c r="V595" s="692" t="n"/>
      <c r="W595" s="692" t="n"/>
      <c r="X595" s="692" t="n"/>
      <c r="Y595" s="692" t="n"/>
      <c r="Z595" s="692" t="n"/>
      <c r="AA595" s="692" t="n"/>
      <c r="AB595" s="692" t="n"/>
      <c r="AC595" s="692" t="n"/>
      <c r="AD595" s="692" t="n"/>
      <c r="AE595" s="692" t="n"/>
      <c r="AF595" s="692" t="n"/>
      <c r="AG595" s="692" t="n"/>
      <c r="AH595" s="692" t="n"/>
      <c r="AI595" s="692" t="n"/>
      <c r="AJ595" s="692" t="n"/>
      <c r="AK595" s="692" t="n"/>
      <c r="AL595" s="692" t="n"/>
      <c r="AM595" s="692" t="n"/>
      <c r="AN595" s="692" t="n"/>
      <c r="AO595" s="692" t="n"/>
      <c r="AP595" s="692" t="n"/>
      <c r="AQ595" s="692" t="n"/>
      <c r="AR595" s="692" t="n"/>
      <c r="AS595" s="692" t="n"/>
    </row>
    <row r="596">
      <c r="A596" s="420" t="inlineStr">
        <is>
          <t>M</t>
        </is>
      </c>
      <c r="B596" s="593" t="inlineStr">
        <is>
          <t>200 Fly</t>
        </is>
      </c>
      <c r="C596" s="593" t="n">
        <v>20</v>
      </c>
      <c r="D596" s="593" t="n">
        <v>3</v>
      </c>
      <c r="E596" s="128" t="inlineStr">
        <is>
          <t>1:57.45</t>
        </is>
      </c>
      <c r="F596" s="692" t="n"/>
      <c r="G596" s="692" t="n"/>
      <c r="H596" s="692" t="n"/>
      <c r="I596" s="692" t="n"/>
      <c r="J596" s="692" t="n"/>
      <c r="K596" s="692" t="n"/>
      <c r="L596" s="692" t="n"/>
      <c r="M596" s="692" t="n"/>
      <c r="N596" s="692" t="n"/>
      <c r="O596" s="692" t="n"/>
      <c r="P596" s="692" t="n"/>
      <c r="Q596" s="692" t="n"/>
      <c r="R596" s="692" t="n"/>
      <c r="S596" s="692" t="n"/>
      <c r="T596" s="692" t="n"/>
      <c r="U596" s="692" t="n"/>
      <c r="V596" s="692" t="n"/>
      <c r="W596" s="692" t="n"/>
      <c r="X596" s="692" t="n"/>
      <c r="Y596" s="692" t="n"/>
      <c r="Z596" s="692" t="n"/>
      <c r="AA596" s="692" t="n"/>
      <c r="AB596" s="692" t="n"/>
      <c r="AC596" s="692" t="n"/>
      <c r="AD596" s="692" t="n"/>
      <c r="AE596" s="692" t="n"/>
      <c r="AF596" s="692" t="n"/>
      <c r="AG596" s="692" t="n"/>
      <c r="AH596" s="692" t="n"/>
      <c r="AI596" s="692" t="n"/>
      <c r="AJ596" s="692" t="n"/>
      <c r="AK596" s="692" t="n"/>
      <c r="AL596" s="692" t="n"/>
      <c r="AM596" s="692" t="n"/>
      <c r="AN596" s="692" t="n"/>
      <c r="AO596" s="692" t="n"/>
      <c r="AP596" s="692" t="n"/>
      <c r="AQ596" s="692" t="n"/>
      <c r="AR596" s="692" t="n"/>
      <c r="AS596" s="692" t="n"/>
    </row>
    <row r="597">
      <c r="A597" s="427" t="inlineStr">
        <is>
          <t>M</t>
        </is>
      </c>
      <c r="B597" s="616" t="inlineStr">
        <is>
          <t>200 Fly</t>
        </is>
      </c>
      <c r="C597" s="616" t="n">
        <v>21</v>
      </c>
      <c r="D597" s="616" t="n">
        <v>3</v>
      </c>
      <c r="E597" s="127" t="inlineStr">
        <is>
          <t>1:56.90</t>
        </is>
      </c>
      <c r="F597" s="692" t="n"/>
      <c r="G597" s="692" t="n"/>
      <c r="H597" s="692" t="n"/>
      <c r="I597" s="692" t="n"/>
      <c r="J597" s="692" t="n"/>
      <c r="K597" s="692" t="n"/>
      <c r="L597" s="692" t="n"/>
      <c r="M597" s="692" t="n"/>
      <c r="N597" s="692" t="n"/>
      <c r="O597" s="692" t="n"/>
      <c r="P597" s="692" t="n"/>
      <c r="Q597" s="692" t="n"/>
      <c r="R597" s="692" t="n"/>
      <c r="S597" s="692" t="n"/>
      <c r="T597" s="692" t="n"/>
      <c r="U597" s="692" t="n"/>
      <c r="V597" s="692" t="n"/>
      <c r="W597" s="692" t="n"/>
      <c r="X597" s="692" t="n"/>
      <c r="Y597" s="692" t="n"/>
      <c r="Z597" s="692" t="n"/>
      <c r="AA597" s="692" t="n"/>
      <c r="AB597" s="692" t="n"/>
      <c r="AC597" s="692" t="n"/>
      <c r="AD597" s="692" t="n"/>
      <c r="AE597" s="692" t="n"/>
      <c r="AF597" s="692" t="n"/>
      <c r="AG597" s="692" t="n"/>
      <c r="AH597" s="692" t="n"/>
      <c r="AI597" s="692" t="n"/>
      <c r="AJ597" s="692" t="n"/>
      <c r="AK597" s="692" t="n"/>
      <c r="AL597" s="692" t="n"/>
      <c r="AM597" s="692" t="n"/>
      <c r="AN597" s="692" t="n"/>
      <c r="AO597" s="692" t="n"/>
      <c r="AP597" s="692" t="n"/>
      <c r="AQ597" s="692" t="n"/>
      <c r="AR597" s="692" t="n"/>
      <c r="AS597" s="692" t="n"/>
    </row>
    <row r="598">
      <c r="A598" s="420" t="inlineStr">
        <is>
          <t>M</t>
        </is>
      </c>
      <c r="B598" s="593" t="inlineStr">
        <is>
          <t>200 Fly</t>
        </is>
      </c>
      <c r="C598" s="593" t="n">
        <v>22</v>
      </c>
      <c r="D598" s="593" t="n">
        <v>3</v>
      </c>
      <c r="E598" s="128" t="inlineStr">
        <is>
          <t>1:56.60</t>
        </is>
      </c>
      <c r="F598" s="692" t="n"/>
      <c r="G598" s="692" t="n"/>
      <c r="H598" s="692" t="n"/>
      <c r="I598" s="692" t="n"/>
      <c r="J598" s="692" t="n"/>
      <c r="K598" s="692" t="n"/>
      <c r="L598" s="692" t="n"/>
      <c r="M598" s="692" t="n"/>
      <c r="N598" s="692" t="n"/>
      <c r="O598" s="692" t="n"/>
      <c r="P598" s="692" t="n"/>
      <c r="Q598" s="692" t="n"/>
      <c r="R598" s="692" t="n"/>
      <c r="S598" s="692" t="n"/>
      <c r="T598" s="692" t="n"/>
      <c r="U598" s="692" t="n"/>
      <c r="V598" s="692" t="n"/>
      <c r="W598" s="692" t="n"/>
      <c r="X598" s="692" t="n"/>
      <c r="Y598" s="692" t="n"/>
      <c r="Z598" s="692" t="n"/>
      <c r="AA598" s="692" t="n"/>
      <c r="AB598" s="692" t="n"/>
      <c r="AC598" s="692" t="n"/>
      <c r="AD598" s="692" t="n"/>
      <c r="AE598" s="692" t="n"/>
      <c r="AF598" s="692" t="n"/>
      <c r="AG598" s="692" t="n"/>
      <c r="AH598" s="692" t="n"/>
      <c r="AI598" s="692" t="n"/>
      <c r="AJ598" s="692" t="n"/>
      <c r="AK598" s="692" t="n"/>
      <c r="AL598" s="692" t="n"/>
      <c r="AM598" s="692" t="n"/>
      <c r="AN598" s="692" t="n"/>
      <c r="AO598" s="692" t="n"/>
      <c r="AP598" s="692" t="n"/>
      <c r="AQ598" s="692" t="n"/>
      <c r="AR598" s="692" t="n"/>
      <c r="AS598" s="692" t="n"/>
    </row>
    <row r="599">
      <c r="A599" s="427" t="inlineStr">
        <is>
          <t>M</t>
        </is>
      </c>
      <c r="B599" s="616" t="inlineStr">
        <is>
          <t>200 Fly</t>
        </is>
      </c>
      <c r="C599" s="616" t="n">
        <v>23</v>
      </c>
      <c r="D599" s="616" t="n">
        <v>3</v>
      </c>
      <c r="E599" s="127" t="inlineStr">
        <is>
          <t>1:56.51</t>
        </is>
      </c>
      <c r="F599" s="692" t="n"/>
      <c r="G599" s="692" t="n"/>
      <c r="H599" s="692" t="n"/>
      <c r="I599" s="692" t="n"/>
      <c r="J599" s="692" t="n"/>
      <c r="K599" s="692" t="n"/>
      <c r="L599" s="692" t="n"/>
      <c r="M599" s="692" t="n"/>
      <c r="N599" s="692" t="n"/>
      <c r="O599" s="692" t="n"/>
      <c r="P599" s="692" t="n"/>
      <c r="Q599" s="692" t="n"/>
      <c r="R599" s="692" t="n"/>
      <c r="S599" s="692" t="n"/>
      <c r="T599" s="692" t="n"/>
      <c r="U599" s="692" t="n"/>
      <c r="V599" s="692" t="n"/>
      <c r="W599" s="692" t="n"/>
      <c r="X599" s="692" t="n"/>
      <c r="Y599" s="692" t="n"/>
      <c r="Z599" s="692" t="n"/>
      <c r="AA599" s="692" t="n"/>
      <c r="AB599" s="692" t="n"/>
      <c r="AC599" s="692" t="n"/>
      <c r="AD599" s="692" t="n"/>
      <c r="AE599" s="692" t="n"/>
      <c r="AF599" s="692" t="n"/>
      <c r="AG599" s="692" t="n"/>
      <c r="AH599" s="692" t="n"/>
      <c r="AI599" s="692" t="n"/>
      <c r="AJ599" s="692" t="n"/>
      <c r="AK599" s="692" t="n"/>
      <c r="AL599" s="692" t="n"/>
      <c r="AM599" s="692" t="n"/>
      <c r="AN599" s="692" t="n"/>
      <c r="AO599" s="692" t="n"/>
      <c r="AP599" s="692" t="n"/>
      <c r="AQ599" s="692" t="n"/>
      <c r="AR599" s="692" t="n"/>
      <c r="AS599" s="692" t="n"/>
    </row>
    <row r="600">
      <c r="A600" s="420" t="inlineStr">
        <is>
          <t>M</t>
        </is>
      </c>
      <c r="B600" s="593" t="inlineStr">
        <is>
          <t>200 IM</t>
        </is>
      </c>
      <c r="C600" s="593" t="n">
        <v>18</v>
      </c>
      <c r="D600" s="593" t="n">
        <v>3</v>
      </c>
      <c r="E600" s="128" t="inlineStr">
        <is>
          <t>2:02.59</t>
        </is>
      </c>
      <c r="F600" s="692" t="n"/>
      <c r="G600" s="692" t="n"/>
      <c r="H600" s="692" t="n"/>
      <c r="I600" s="692" t="n"/>
      <c r="J600" s="692" t="n"/>
      <c r="K600" s="692" t="n"/>
      <c r="L600" s="692" t="n"/>
      <c r="M600" s="692" t="n"/>
      <c r="N600" s="692" t="n"/>
      <c r="O600" s="692" t="n"/>
      <c r="P600" s="692" t="n"/>
      <c r="Q600" s="692" t="n"/>
      <c r="R600" s="692" t="n"/>
      <c r="S600" s="692" t="n"/>
      <c r="T600" s="692" t="n"/>
      <c r="U600" s="692" t="n"/>
      <c r="V600" s="692" t="n"/>
      <c r="W600" s="692" t="n"/>
      <c r="X600" s="692" t="n"/>
      <c r="Y600" s="692" t="n"/>
      <c r="Z600" s="692" t="n"/>
      <c r="AA600" s="692" t="n"/>
      <c r="AB600" s="692" t="n"/>
      <c r="AC600" s="692" t="n"/>
      <c r="AD600" s="692" t="n"/>
      <c r="AE600" s="692" t="n"/>
      <c r="AF600" s="692" t="n"/>
      <c r="AG600" s="692" t="n"/>
      <c r="AH600" s="692" t="n"/>
      <c r="AI600" s="692" t="n"/>
      <c r="AJ600" s="692" t="n"/>
      <c r="AK600" s="692" t="n"/>
      <c r="AL600" s="692" t="n"/>
      <c r="AM600" s="692" t="n"/>
      <c r="AN600" s="692" t="n"/>
      <c r="AO600" s="692" t="n"/>
      <c r="AP600" s="692" t="n"/>
      <c r="AQ600" s="692" t="n"/>
      <c r="AR600" s="692" t="n"/>
      <c r="AS600" s="692" t="n"/>
    </row>
    <row r="601">
      <c r="A601" s="427" t="inlineStr">
        <is>
          <t>M</t>
        </is>
      </c>
      <c r="B601" s="616" t="inlineStr">
        <is>
          <t>200 IM</t>
        </is>
      </c>
      <c r="C601" s="616" t="n">
        <v>19</v>
      </c>
      <c r="D601" s="616" t="n">
        <v>3</v>
      </c>
      <c r="E601" s="127" t="inlineStr">
        <is>
          <t>2:01.22</t>
        </is>
      </c>
      <c r="F601" s="692" t="n"/>
      <c r="G601" s="692" t="n"/>
      <c r="H601" s="692" t="n"/>
      <c r="I601" s="692" t="n"/>
      <c r="J601" s="692" t="n"/>
      <c r="K601" s="692" t="n"/>
      <c r="L601" s="692" t="n"/>
      <c r="M601" s="692" t="n"/>
      <c r="N601" s="692" t="n"/>
      <c r="O601" s="692" t="n"/>
      <c r="P601" s="692" t="n"/>
      <c r="Q601" s="692" t="n"/>
      <c r="R601" s="692" t="n"/>
      <c r="S601" s="692" t="n"/>
      <c r="T601" s="692" t="n"/>
      <c r="U601" s="692" t="n"/>
      <c r="V601" s="692" t="n"/>
      <c r="W601" s="692" t="n"/>
      <c r="X601" s="692" t="n"/>
      <c r="Y601" s="692" t="n"/>
      <c r="Z601" s="692" t="n"/>
      <c r="AA601" s="692" t="n"/>
      <c r="AB601" s="692" t="n"/>
      <c r="AC601" s="692" t="n"/>
      <c r="AD601" s="692" t="n"/>
      <c r="AE601" s="692" t="n"/>
      <c r="AF601" s="692" t="n"/>
      <c r="AG601" s="692" t="n"/>
      <c r="AH601" s="692" t="n"/>
      <c r="AI601" s="692" t="n"/>
      <c r="AJ601" s="692" t="n"/>
      <c r="AK601" s="692" t="n"/>
      <c r="AL601" s="692" t="n"/>
      <c r="AM601" s="692" t="n"/>
      <c r="AN601" s="692" t="n"/>
      <c r="AO601" s="692" t="n"/>
      <c r="AP601" s="692" t="n"/>
      <c r="AQ601" s="692" t="n"/>
      <c r="AR601" s="692" t="n"/>
      <c r="AS601" s="692" t="n"/>
    </row>
    <row r="602">
      <c r="A602" s="420" t="inlineStr">
        <is>
          <t>M</t>
        </is>
      </c>
      <c r="B602" s="593" t="inlineStr">
        <is>
          <t>200 IM</t>
        </is>
      </c>
      <c r="C602" s="593" t="n">
        <v>20</v>
      </c>
      <c r="D602" s="593" t="n">
        <v>3</v>
      </c>
      <c r="E602" s="128" t="inlineStr">
        <is>
          <t>2:00.31</t>
        </is>
      </c>
      <c r="F602" s="692" t="n"/>
      <c r="G602" s="692" t="n"/>
      <c r="H602" s="692" t="n"/>
      <c r="I602" s="692" t="n"/>
      <c r="J602" s="692" t="n"/>
      <c r="K602" s="692" t="n"/>
      <c r="L602" s="692" t="n"/>
      <c r="M602" s="692" t="n"/>
      <c r="N602" s="692" t="n"/>
      <c r="O602" s="692" t="n"/>
      <c r="P602" s="692" t="n"/>
      <c r="Q602" s="692" t="n"/>
      <c r="R602" s="692" t="n"/>
      <c r="S602" s="692" t="n"/>
      <c r="T602" s="692" t="n"/>
      <c r="U602" s="692" t="n"/>
      <c r="V602" s="692" t="n"/>
      <c r="W602" s="692" t="n"/>
      <c r="X602" s="692" t="n"/>
      <c r="Y602" s="692" t="n"/>
      <c r="Z602" s="692" t="n"/>
      <c r="AA602" s="692" t="n"/>
      <c r="AB602" s="692" t="n"/>
      <c r="AC602" s="692" t="n"/>
      <c r="AD602" s="692" t="n"/>
      <c r="AE602" s="692" t="n"/>
      <c r="AF602" s="692" t="n"/>
      <c r="AG602" s="692" t="n"/>
      <c r="AH602" s="692" t="n"/>
      <c r="AI602" s="692" t="n"/>
      <c r="AJ602" s="692" t="n"/>
      <c r="AK602" s="692" t="n"/>
      <c r="AL602" s="692" t="n"/>
      <c r="AM602" s="692" t="n"/>
      <c r="AN602" s="692" t="n"/>
      <c r="AO602" s="692" t="n"/>
      <c r="AP602" s="692" t="n"/>
      <c r="AQ602" s="692" t="n"/>
      <c r="AR602" s="692" t="n"/>
      <c r="AS602" s="692" t="n"/>
    </row>
    <row r="603">
      <c r="A603" s="427" t="inlineStr">
        <is>
          <t>M</t>
        </is>
      </c>
      <c r="B603" s="616" t="inlineStr">
        <is>
          <t>200 IM</t>
        </is>
      </c>
      <c r="C603" s="616" t="n">
        <v>21</v>
      </c>
      <c r="D603" s="616" t="n">
        <v>3</v>
      </c>
      <c r="E603" s="127" t="inlineStr">
        <is>
          <t>1:59.69</t>
        </is>
      </c>
      <c r="F603" s="692" t="n"/>
      <c r="G603" s="692" t="n"/>
      <c r="H603" s="692" t="n"/>
      <c r="I603" s="692" t="n"/>
      <c r="J603" s="692" t="n"/>
      <c r="K603" s="692" t="n"/>
      <c r="L603" s="692" t="n"/>
      <c r="M603" s="692" t="n"/>
      <c r="N603" s="692" t="n"/>
      <c r="O603" s="692" t="n"/>
      <c r="P603" s="692" t="n"/>
      <c r="Q603" s="692" t="n"/>
      <c r="R603" s="692" t="n"/>
      <c r="S603" s="692" t="n"/>
      <c r="T603" s="692" t="n"/>
      <c r="U603" s="692" t="n"/>
      <c r="V603" s="692" t="n"/>
      <c r="W603" s="692" t="n"/>
      <c r="X603" s="692" t="n"/>
      <c r="Y603" s="692" t="n"/>
      <c r="Z603" s="692" t="n"/>
      <c r="AA603" s="692" t="n"/>
      <c r="AB603" s="692" t="n"/>
      <c r="AC603" s="692" t="n"/>
      <c r="AD603" s="692" t="n"/>
      <c r="AE603" s="692" t="n"/>
      <c r="AF603" s="692" t="n"/>
      <c r="AG603" s="692" t="n"/>
      <c r="AH603" s="692" t="n"/>
      <c r="AI603" s="692" t="n"/>
      <c r="AJ603" s="692" t="n"/>
      <c r="AK603" s="692" t="n"/>
      <c r="AL603" s="692" t="n"/>
      <c r="AM603" s="692" t="n"/>
      <c r="AN603" s="692" t="n"/>
      <c r="AO603" s="692" t="n"/>
      <c r="AP603" s="692" t="n"/>
      <c r="AQ603" s="692" t="n"/>
      <c r="AR603" s="692" t="n"/>
      <c r="AS603" s="692" t="n"/>
    </row>
    <row r="604">
      <c r="A604" s="420" t="inlineStr">
        <is>
          <t>M</t>
        </is>
      </c>
      <c r="B604" s="593" t="inlineStr">
        <is>
          <t>200 IM</t>
        </is>
      </c>
      <c r="C604" s="593" t="n">
        <v>22</v>
      </c>
      <c r="D604" s="593" t="n">
        <v>3</v>
      </c>
      <c r="E604" s="128" t="inlineStr">
        <is>
          <t>1:59.24</t>
        </is>
      </c>
      <c r="F604" s="692" t="n"/>
      <c r="G604" s="692" t="n"/>
      <c r="H604" s="692" t="n"/>
      <c r="I604" s="692" t="n"/>
      <c r="J604" s="692" t="n"/>
      <c r="K604" s="692" t="n"/>
      <c r="L604" s="692" t="n"/>
      <c r="M604" s="692" t="n"/>
      <c r="N604" s="692" t="n"/>
      <c r="O604" s="692" t="n"/>
      <c r="P604" s="692" t="n"/>
      <c r="Q604" s="692" t="n"/>
      <c r="R604" s="692" t="n"/>
      <c r="S604" s="692" t="n"/>
      <c r="T604" s="692" t="n"/>
      <c r="U604" s="692" t="n"/>
      <c r="V604" s="692" t="n"/>
      <c r="W604" s="692" t="n"/>
      <c r="X604" s="692" t="n"/>
      <c r="Y604" s="692" t="n"/>
      <c r="Z604" s="692" t="n"/>
      <c r="AA604" s="692" t="n"/>
      <c r="AB604" s="692" t="n"/>
      <c r="AC604" s="692" t="n"/>
      <c r="AD604" s="692" t="n"/>
      <c r="AE604" s="692" t="n"/>
      <c r="AF604" s="692" t="n"/>
      <c r="AG604" s="692" t="n"/>
      <c r="AH604" s="692" t="n"/>
      <c r="AI604" s="692" t="n"/>
      <c r="AJ604" s="692" t="n"/>
      <c r="AK604" s="692" t="n"/>
      <c r="AL604" s="692" t="n"/>
      <c r="AM604" s="692" t="n"/>
      <c r="AN604" s="692" t="n"/>
      <c r="AO604" s="692" t="n"/>
      <c r="AP604" s="692" t="n"/>
      <c r="AQ604" s="692" t="n"/>
      <c r="AR604" s="692" t="n"/>
      <c r="AS604" s="692" t="n"/>
    </row>
    <row r="605">
      <c r="A605" s="427" t="inlineStr">
        <is>
          <t>M</t>
        </is>
      </c>
      <c r="B605" s="616" t="inlineStr">
        <is>
          <t>200 IM</t>
        </is>
      </c>
      <c r="C605" s="616" t="n">
        <v>23</v>
      </c>
      <c r="D605" s="616" t="n">
        <v>3</v>
      </c>
      <c r="E605" s="127" t="inlineStr">
        <is>
          <t>1:59.05</t>
        </is>
      </c>
      <c r="F605" s="692" t="n"/>
      <c r="G605" s="692" t="n"/>
      <c r="H605" s="692" t="n"/>
      <c r="I605" s="692" t="n"/>
      <c r="J605" s="692" t="n"/>
      <c r="K605" s="692" t="n"/>
      <c r="L605" s="692" t="n"/>
      <c r="M605" s="692" t="n"/>
      <c r="N605" s="692" t="n"/>
      <c r="O605" s="692" t="n"/>
      <c r="P605" s="692" t="n"/>
      <c r="Q605" s="692" t="n"/>
      <c r="R605" s="692" t="n"/>
      <c r="S605" s="692" t="n"/>
      <c r="T605" s="692" t="n"/>
      <c r="U605" s="692" t="n"/>
      <c r="V605" s="692" t="n"/>
      <c r="W605" s="692" t="n"/>
      <c r="X605" s="692" t="n"/>
      <c r="Y605" s="692" t="n"/>
      <c r="Z605" s="692" t="n"/>
      <c r="AA605" s="692" t="n"/>
      <c r="AB605" s="692" t="n"/>
      <c r="AC605" s="692" t="n"/>
      <c r="AD605" s="692" t="n"/>
      <c r="AE605" s="692" t="n"/>
      <c r="AF605" s="692" t="n"/>
      <c r="AG605" s="692" t="n"/>
      <c r="AH605" s="692" t="n"/>
      <c r="AI605" s="692" t="n"/>
      <c r="AJ605" s="692" t="n"/>
      <c r="AK605" s="692" t="n"/>
      <c r="AL605" s="692" t="n"/>
      <c r="AM605" s="692" t="n"/>
      <c r="AN605" s="692" t="n"/>
      <c r="AO605" s="692" t="n"/>
      <c r="AP605" s="692" t="n"/>
      <c r="AQ605" s="692" t="n"/>
      <c r="AR605" s="692" t="n"/>
      <c r="AS605" s="692" t="n"/>
    </row>
    <row r="606">
      <c r="A606" s="420" t="inlineStr">
        <is>
          <t>M</t>
        </is>
      </c>
      <c r="B606" s="593" t="inlineStr">
        <is>
          <t>200 IM</t>
        </is>
      </c>
      <c r="C606" s="593" t="n">
        <v>24</v>
      </c>
      <c r="D606" s="593" t="n">
        <v>3</v>
      </c>
      <c r="E606" s="128" t="inlineStr">
        <is>
          <t>1:59.05</t>
        </is>
      </c>
      <c r="F606" s="692" t="n"/>
      <c r="G606" s="692" t="n"/>
      <c r="H606" s="692" t="n"/>
      <c r="I606" s="692" t="n"/>
      <c r="J606" s="692" t="n"/>
      <c r="K606" s="692" t="n"/>
      <c r="L606" s="692" t="n"/>
      <c r="M606" s="692" t="n"/>
      <c r="N606" s="692" t="n"/>
      <c r="O606" s="692" t="n"/>
      <c r="P606" s="692" t="n"/>
      <c r="Q606" s="692" t="n"/>
      <c r="R606" s="692" t="n"/>
      <c r="S606" s="692" t="n"/>
      <c r="T606" s="692" t="n"/>
      <c r="U606" s="692" t="n"/>
      <c r="V606" s="692" t="n"/>
      <c r="W606" s="692" t="n"/>
      <c r="X606" s="692" t="n"/>
      <c r="Y606" s="692" t="n"/>
      <c r="Z606" s="692" t="n"/>
      <c r="AA606" s="692" t="n"/>
      <c r="AB606" s="692" t="n"/>
      <c r="AC606" s="692" t="n"/>
      <c r="AD606" s="692" t="n"/>
      <c r="AE606" s="692" t="n"/>
      <c r="AF606" s="692" t="n"/>
      <c r="AG606" s="692" t="n"/>
      <c r="AH606" s="692" t="n"/>
      <c r="AI606" s="692" t="n"/>
      <c r="AJ606" s="692" t="n"/>
      <c r="AK606" s="692" t="n"/>
      <c r="AL606" s="692" t="n"/>
      <c r="AM606" s="692" t="n"/>
      <c r="AN606" s="692" t="n"/>
      <c r="AO606" s="692" t="n"/>
      <c r="AP606" s="692" t="n"/>
      <c r="AQ606" s="692" t="n"/>
      <c r="AR606" s="692" t="n"/>
      <c r="AS606" s="692" t="n"/>
    </row>
    <row r="607">
      <c r="A607" s="427" t="inlineStr">
        <is>
          <t>M</t>
        </is>
      </c>
      <c r="B607" s="616" t="inlineStr">
        <is>
          <t>400 IM</t>
        </is>
      </c>
      <c r="C607" s="616" t="n">
        <v>17</v>
      </c>
      <c r="D607" s="616" t="n">
        <v>3</v>
      </c>
      <c r="E607" s="127" t="inlineStr">
        <is>
          <t>4:28.61</t>
        </is>
      </c>
      <c r="F607" s="692" t="n"/>
      <c r="G607" s="692" t="n"/>
      <c r="H607" s="692" t="n"/>
      <c r="I607" s="692" t="n"/>
      <c r="J607" s="692" t="n"/>
      <c r="K607" s="692" t="n"/>
      <c r="L607" s="692" t="n"/>
      <c r="M607" s="692" t="n"/>
      <c r="N607" s="692" t="n"/>
      <c r="O607" s="692" t="n"/>
      <c r="P607" s="692" t="n"/>
      <c r="Q607" s="692" t="n"/>
      <c r="R607" s="692" t="n"/>
      <c r="S607" s="692" t="n"/>
      <c r="T607" s="692" t="n"/>
      <c r="U607" s="692" t="n"/>
      <c r="V607" s="692" t="n"/>
      <c r="W607" s="692" t="n"/>
      <c r="X607" s="692" t="n"/>
      <c r="Y607" s="692" t="n"/>
      <c r="Z607" s="692" t="n"/>
      <c r="AA607" s="692" t="n"/>
      <c r="AB607" s="692" t="n"/>
      <c r="AC607" s="692" t="n"/>
      <c r="AD607" s="692" t="n"/>
      <c r="AE607" s="692" t="n"/>
      <c r="AF607" s="692" t="n"/>
      <c r="AG607" s="692" t="n"/>
      <c r="AH607" s="692" t="n"/>
      <c r="AI607" s="692" t="n"/>
      <c r="AJ607" s="692" t="n"/>
      <c r="AK607" s="692" t="n"/>
      <c r="AL607" s="692" t="n"/>
      <c r="AM607" s="692" t="n"/>
      <c r="AN607" s="692" t="n"/>
      <c r="AO607" s="692" t="n"/>
      <c r="AP607" s="692" t="n"/>
      <c r="AQ607" s="692" t="n"/>
      <c r="AR607" s="692" t="n"/>
      <c r="AS607" s="692" t="n"/>
    </row>
    <row r="608">
      <c r="A608" s="420" t="inlineStr">
        <is>
          <t>M</t>
        </is>
      </c>
      <c r="B608" s="593" t="inlineStr">
        <is>
          <t>400 IM</t>
        </is>
      </c>
      <c r="C608" s="593" t="n">
        <v>18</v>
      </c>
      <c r="D608" s="593" t="n">
        <v>3</v>
      </c>
      <c r="E608" s="128" t="inlineStr">
        <is>
          <t>4:24.63</t>
        </is>
      </c>
      <c r="F608" s="692" t="n"/>
      <c r="G608" s="692" t="n"/>
      <c r="H608" s="692" t="n"/>
      <c r="I608" s="692" t="n"/>
      <c r="J608" s="692" t="n"/>
      <c r="K608" s="692" t="n"/>
      <c r="L608" s="692" t="n"/>
      <c r="M608" s="692" t="n"/>
      <c r="N608" s="692" t="n"/>
      <c r="O608" s="692" t="n"/>
      <c r="P608" s="692" t="n"/>
      <c r="Q608" s="692" t="n"/>
      <c r="R608" s="692" t="n"/>
      <c r="S608" s="692" t="n"/>
      <c r="T608" s="692" t="n"/>
      <c r="U608" s="692" t="n"/>
      <c r="V608" s="692" t="n"/>
      <c r="W608" s="692" t="n"/>
      <c r="X608" s="692" t="n"/>
      <c r="Y608" s="692" t="n"/>
      <c r="Z608" s="692" t="n"/>
      <c r="AA608" s="692" t="n"/>
      <c r="AB608" s="692" t="n"/>
      <c r="AC608" s="692" t="n"/>
      <c r="AD608" s="692" t="n"/>
      <c r="AE608" s="692" t="n"/>
      <c r="AF608" s="692" t="n"/>
      <c r="AG608" s="692" t="n"/>
      <c r="AH608" s="692" t="n"/>
      <c r="AI608" s="692" t="n"/>
      <c r="AJ608" s="692" t="n"/>
      <c r="AK608" s="692" t="n"/>
      <c r="AL608" s="692" t="n"/>
      <c r="AM608" s="692" t="n"/>
      <c r="AN608" s="692" t="n"/>
      <c r="AO608" s="692" t="n"/>
      <c r="AP608" s="692" t="n"/>
      <c r="AQ608" s="692" t="n"/>
      <c r="AR608" s="692" t="n"/>
      <c r="AS608" s="692" t="n"/>
    </row>
    <row r="609">
      <c r="A609" s="427" t="inlineStr">
        <is>
          <t>M</t>
        </is>
      </c>
      <c r="B609" s="616" t="inlineStr">
        <is>
          <t>400 IM</t>
        </is>
      </c>
      <c r="C609" s="616" t="n">
        <v>19</v>
      </c>
      <c r="D609" s="616" t="n">
        <v>3</v>
      </c>
      <c r="E609" s="127" t="inlineStr">
        <is>
          <t>4:21.66</t>
        </is>
      </c>
      <c r="F609" s="692" t="n"/>
      <c r="G609" s="692" t="n"/>
      <c r="H609" s="692" t="n"/>
      <c r="I609" s="692" t="n"/>
      <c r="J609" s="692" t="n"/>
      <c r="K609" s="692" t="n"/>
      <c r="L609" s="692" t="n"/>
      <c r="M609" s="692" t="n"/>
      <c r="N609" s="692" t="n"/>
      <c r="O609" s="692" t="n"/>
      <c r="P609" s="692" t="n"/>
      <c r="Q609" s="692" t="n"/>
      <c r="R609" s="692" t="n"/>
      <c r="S609" s="692" t="n"/>
      <c r="T609" s="692" t="n"/>
      <c r="U609" s="692" t="n"/>
      <c r="V609" s="692" t="n"/>
      <c r="W609" s="692" t="n"/>
      <c r="X609" s="692" t="n"/>
      <c r="Y609" s="692" t="n"/>
      <c r="Z609" s="692" t="n"/>
      <c r="AA609" s="692" t="n"/>
      <c r="AB609" s="692" t="n"/>
      <c r="AC609" s="692" t="n"/>
      <c r="AD609" s="692" t="n"/>
      <c r="AE609" s="692" t="n"/>
      <c r="AF609" s="692" t="n"/>
      <c r="AG609" s="692" t="n"/>
      <c r="AH609" s="692" t="n"/>
      <c r="AI609" s="692" t="n"/>
      <c r="AJ609" s="692" t="n"/>
      <c r="AK609" s="692" t="n"/>
      <c r="AL609" s="692" t="n"/>
      <c r="AM609" s="692" t="n"/>
      <c r="AN609" s="692" t="n"/>
      <c r="AO609" s="692" t="n"/>
      <c r="AP609" s="692" t="n"/>
      <c r="AQ609" s="692" t="n"/>
      <c r="AR609" s="692" t="n"/>
      <c r="AS609" s="692" t="n"/>
    </row>
    <row r="610">
      <c r="A610" s="420" t="inlineStr">
        <is>
          <t>M</t>
        </is>
      </c>
      <c r="B610" s="593" t="inlineStr">
        <is>
          <t>400 IM</t>
        </is>
      </c>
      <c r="C610" s="593" t="n">
        <v>20</v>
      </c>
      <c r="D610" s="593" t="n">
        <v>3</v>
      </c>
      <c r="E610" s="128" t="inlineStr">
        <is>
          <t>4:19.53</t>
        </is>
      </c>
      <c r="F610" s="692" t="n"/>
      <c r="G610" s="692" t="n"/>
      <c r="H610" s="692" t="n"/>
      <c r="I610" s="692" t="n"/>
      <c r="J610" s="692" t="n"/>
      <c r="K610" s="692" t="n"/>
      <c r="L610" s="692" t="n"/>
      <c r="M610" s="692" t="n"/>
      <c r="N610" s="692" t="n"/>
      <c r="O610" s="692" t="n"/>
      <c r="P610" s="692" t="n"/>
      <c r="Q610" s="692" t="n"/>
      <c r="R610" s="692" t="n"/>
      <c r="S610" s="692" t="n"/>
      <c r="T610" s="692" t="n"/>
      <c r="U610" s="692" t="n"/>
      <c r="V610" s="692" t="n"/>
      <c r="W610" s="692" t="n"/>
      <c r="X610" s="692" t="n"/>
      <c r="Y610" s="692" t="n"/>
      <c r="Z610" s="692" t="n"/>
      <c r="AA610" s="692" t="n"/>
      <c r="AB610" s="692" t="n"/>
      <c r="AC610" s="692" t="n"/>
      <c r="AD610" s="692" t="n"/>
      <c r="AE610" s="692" t="n"/>
      <c r="AF610" s="692" t="n"/>
      <c r="AG610" s="692" t="n"/>
      <c r="AH610" s="692" t="n"/>
      <c r="AI610" s="692" t="n"/>
      <c r="AJ610" s="692" t="n"/>
      <c r="AK610" s="692" t="n"/>
      <c r="AL610" s="692" t="n"/>
      <c r="AM610" s="692" t="n"/>
      <c r="AN610" s="692" t="n"/>
      <c r="AO610" s="692" t="n"/>
      <c r="AP610" s="692" t="n"/>
      <c r="AQ610" s="692" t="n"/>
      <c r="AR610" s="692" t="n"/>
      <c r="AS610" s="692" t="n"/>
    </row>
    <row r="611">
      <c r="A611" s="427" t="inlineStr">
        <is>
          <t>M</t>
        </is>
      </c>
      <c r="B611" s="616" t="inlineStr">
        <is>
          <t>400 IM</t>
        </is>
      </c>
      <c r="C611" s="616" t="n">
        <v>21</v>
      </c>
      <c r="D611" s="616" t="n">
        <v>3</v>
      </c>
      <c r="E611" s="127" t="inlineStr">
        <is>
          <t>4:18.15</t>
        </is>
      </c>
      <c r="F611" s="692" t="n"/>
      <c r="G611" s="692" t="n"/>
      <c r="H611" s="692" t="n"/>
      <c r="I611" s="692" t="n"/>
      <c r="J611" s="692" t="n"/>
      <c r="K611" s="692" t="n"/>
      <c r="L611" s="692" t="n"/>
      <c r="M611" s="692" t="n"/>
      <c r="N611" s="692" t="n"/>
      <c r="O611" s="692" t="n"/>
      <c r="P611" s="692" t="n"/>
      <c r="Q611" s="692" t="n"/>
      <c r="R611" s="692" t="n"/>
      <c r="S611" s="692" t="n"/>
      <c r="T611" s="692" t="n"/>
      <c r="U611" s="692" t="n"/>
      <c r="V611" s="692" t="n"/>
      <c r="W611" s="692" t="n"/>
      <c r="X611" s="692" t="n"/>
      <c r="Y611" s="692" t="n"/>
      <c r="Z611" s="692" t="n"/>
      <c r="AA611" s="692" t="n"/>
      <c r="AB611" s="692" t="n"/>
      <c r="AC611" s="692" t="n"/>
      <c r="AD611" s="692" t="n"/>
      <c r="AE611" s="692" t="n"/>
      <c r="AF611" s="692" t="n"/>
      <c r="AG611" s="692" t="n"/>
      <c r="AH611" s="692" t="n"/>
      <c r="AI611" s="692" t="n"/>
      <c r="AJ611" s="692" t="n"/>
      <c r="AK611" s="692" t="n"/>
      <c r="AL611" s="692" t="n"/>
      <c r="AM611" s="692" t="n"/>
      <c r="AN611" s="692" t="n"/>
      <c r="AO611" s="692" t="n"/>
      <c r="AP611" s="692" t="n"/>
      <c r="AQ611" s="692" t="n"/>
      <c r="AR611" s="692" t="n"/>
      <c r="AS611" s="692" t="n"/>
    </row>
    <row r="612">
      <c r="A612" s="420" t="inlineStr">
        <is>
          <t>M</t>
        </is>
      </c>
      <c r="B612" s="593" t="inlineStr">
        <is>
          <t>400 IM</t>
        </is>
      </c>
      <c r="C612" s="593" t="n">
        <v>22</v>
      </c>
      <c r="D612" s="593" t="n">
        <v>3</v>
      </c>
      <c r="E612" s="128" t="inlineStr">
        <is>
          <t>4:17.46</t>
        </is>
      </c>
      <c r="F612" s="692" t="n"/>
      <c r="G612" s="692" t="n"/>
      <c r="H612" s="692" t="n"/>
      <c r="I612" s="692" t="n"/>
      <c r="J612" s="692" t="n"/>
      <c r="K612" s="692" t="n"/>
      <c r="L612" s="692" t="n"/>
      <c r="M612" s="692" t="n"/>
      <c r="N612" s="692" t="n"/>
      <c r="O612" s="692" t="n"/>
      <c r="P612" s="692" t="n"/>
      <c r="Q612" s="692" t="n"/>
      <c r="R612" s="692" t="n"/>
      <c r="S612" s="692" t="n"/>
      <c r="T612" s="692" t="n"/>
      <c r="U612" s="692" t="n"/>
      <c r="V612" s="692" t="n"/>
      <c r="W612" s="692" t="n"/>
      <c r="X612" s="692" t="n"/>
      <c r="Y612" s="692" t="n"/>
      <c r="Z612" s="692" t="n"/>
      <c r="AA612" s="692" t="n"/>
      <c r="AB612" s="692" t="n"/>
      <c r="AC612" s="692" t="n"/>
      <c r="AD612" s="692" t="n"/>
      <c r="AE612" s="692" t="n"/>
      <c r="AF612" s="692" t="n"/>
      <c r="AG612" s="692" t="n"/>
      <c r="AH612" s="692" t="n"/>
      <c r="AI612" s="692" t="n"/>
      <c r="AJ612" s="692" t="n"/>
      <c r="AK612" s="692" t="n"/>
      <c r="AL612" s="692" t="n"/>
      <c r="AM612" s="692" t="n"/>
      <c r="AN612" s="692" t="n"/>
      <c r="AO612" s="692" t="n"/>
      <c r="AP612" s="692" t="n"/>
      <c r="AQ612" s="692" t="n"/>
      <c r="AR612" s="692" t="n"/>
      <c r="AS612" s="692" t="n"/>
    </row>
    <row r="613">
      <c r="A613" s="131" t="inlineStr">
        <is>
          <t>M</t>
        </is>
      </c>
      <c r="B613" s="718" t="inlineStr">
        <is>
          <t>400 IM</t>
        </is>
      </c>
      <c r="C613" s="718" t="n">
        <v>23</v>
      </c>
      <c r="D613" s="718" t="n">
        <v>3</v>
      </c>
      <c r="E613" s="133" t="inlineStr">
        <is>
          <t>4:17.46</t>
        </is>
      </c>
      <c r="F613" s="692" t="n"/>
      <c r="G613" s="692" t="n"/>
      <c r="H613" s="692" t="n"/>
      <c r="I613" s="692" t="n"/>
      <c r="J613" s="692" t="n"/>
      <c r="K613" s="692" t="n"/>
      <c r="L613" s="692" t="n"/>
      <c r="M613" s="692" t="n"/>
      <c r="N613" s="692" t="n"/>
      <c r="O613" s="692" t="n"/>
      <c r="P613" s="692" t="n"/>
      <c r="Q613" s="692" t="n"/>
      <c r="R613" s="692" t="n"/>
      <c r="S613" s="692" t="n"/>
      <c r="T613" s="692" t="n"/>
      <c r="U613" s="692" t="n"/>
      <c r="V613" s="692" t="n"/>
      <c r="W613" s="692" t="n"/>
      <c r="X613" s="692" t="n"/>
      <c r="Y613" s="692" t="n"/>
      <c r="Z613" s="692" t="n"/>
      <c r="AA613" s="692" t="n"/>
      <c r="AB613" s="692" t="n"/>
      <c r="AC613" s="692" t="n"/>
      <c r="AD613" s="692" t="n"/>
      <c r="AE613" s="692" t="n"/>
      <c r="AF613" s="692" t="n"/>
      <c r="AG613" s="692" t="n"/>
      <c r="AH613" s="692" t="n"/>
      <c r="AI613" s="692" t="n"/>
      <c r="AJ613" s="692" t="n"/>
      <c r="AK613" s="692" t="n"/>
      <c r="AL613" s="692" t="n"/>
      <c r="AM613" s="692" t="n"/>
      <c r="AN613" s="692" t="n"/>
      <c r="AO613" s="692" t="n"/>
      <c r="AP613" s="692" t="n"/>
      <c r="AQ613" s="692" t="n"/>
      <c r="AR613" s="692" t="n"/>
      <c r="AS613" s="692" t="n"/>
    </row>
    <row r="614">
      <c r="A614" s="692" t="n"/>
      <c r="B614" s="692" t="n"/>
      <c r="C614" s="692" t="n"/>
      <c r="D614" s="692" t="n"/>
      <c r="E614" s="692" t="n"/>
      <c r="F614" s="692" t="n"/>
      <c r="G614" s="692" t="n"/>
      <c r="H614" s="692" t="n"/>
      <c r="I614" s="692" t="n"/>
      <c r="J614" s="692" t="n"/>
      <c r="K614" s="692" t="n"/>
      <c r="L614" s="692" t="n"/>
      <c r="M614" s="692" t="n"/>
      <c r="N614" s="692" t="n"/>
      <c r="O614" s="692" t="n"/>
      <c r="P614" s="692" t="n"/>
      <c r="Q614" s="692" t="n"/>
      <c r="R614" s="692" t="n"/>
      <c r="S614" s="692" t="n"/>
      <c r="T614" s="692" t="n"/>
      <c r="U614" s="692" t="n"/>
      <c r="V614" s="692" t="n"/>
      <c r="W614" s="692" t="n"/>
      <c r="X614" s="692" t="n"/>
      <c r="Y614" s="692" t="n"/>
      <c r="Z614" s="692" t="n"/>
      <c r="AA614" s="692" t="n"/>
      <c r="AB614" s="692" t="n"/>
      <c r="AC614" s="692" t="n"/>
      <c r="AD614" s="692" t="n"/>
      <c r="AE614" s="692" t="n"/>
      <c r="AF614" s="692" t="n"/>
      <c r="AG614" s="692" t="n"/>
      <c r="AH614" s="692" t="n"/>
      <c r="AI614" s="692" t="n"/>
      <c r="AJ614" s="692" t="n"/>
      <c r="AK614" s="692" t="n"/>
      <c r="AL614" s="692" t="n"/>
      <c r="AM614" s="692" t="n"/>
      <c r="AN614" s="692" t="n"/>
      <c r="AO614" s="692" t="n"/>
      <c r="AP614" s="692" t="n"/>
      <c r="AQ614" s="692" t="n"/>
      <c r="AR614" s="692" t="n"/>
      <c r="AS614" s="692" t="n"/>
    </row>
    <row r="615">
      <c r="A615" s="692" t="n"/>
      <c r="B615" s="692" t="n"/>
      <c r="C615" s="692" t="n"/>
      <c r="D615" s="692" t="n"/>
      <c r="E615" s="692" t="n"/>
      <c r="F615" s="692" t="n"/>
      <c r="G615" s="692" t="n"/>
      <c r="H615" s="692" t="n"/>
      <c r="I615" s="692" t="n"/>
      <c r="J615" s="692" t="n"/>
      <c r="K615" s="692" t="n"/>
      <c r="L615" s="692" t="n"/>
      <c r="M615" s="692" t="n"/>
      <c r="N615" s="692" t="n"/>
      <c r="O615" s="692" t="n"/>
      <c r="P615" s="692" t="n"/>
      <c r="Q615" s="692" t="n"/>
      <c r="R615" s="692" t="n"/>
      <c r="S615" s="692" t="n"/>
      <c r="T615" s="692" t="n"/>
      <c r="U615" s="692" t="n"/>
      <c r="V615" s="692" t="n"/>
      <c r="W615" s="692" t="n"/>
      <c r="X615" s="692" t="n"/>
      <c r="Y615" s="692" t="n"/>
      <c r="Z615" s="692" t="n"/>
      <c r="AA615" s="692" t="n"/>
      <c r="AB615" s="692" t="n"/>
      <c r="AC615" s="692" t="n"/>
      <c r="AD615" s="692" t="n"/>
      <c r="AE615" s="692" t="n"/>
      <c r="AF615" s="692" t="n"/>
      <c r="AG615" s="692" t="n"/>
      <c r="AH615" s="692" t="n"/>
      <c r="AI615" s="692" t="n"/>
      <c r="AJ615" s="692" t="n"/>
      <c r="AK615" s="692" t="n"/>
      <c r="AL615" s="692" t="n"/>
      <c r="AM615" s="692" t="n"/>
      <c r="AN615" s="692" t="n"/>
      <c r="AO615" s="692" t="n"/>
      <c r="AP615" s="692" t="n"/>
      <c r="AQ615" s="692" t="n"/>
      <c r="AR615" s="692" t="n"/>
      <c r="AS615" s="692" t="n"/>
    </row>
    <row r="616">
      <c r="A616" s="692" t="n"/>
      <c r="B616" s="692" t="n"/>
      <c r="C616" s="692" t="n"/>
      <c r="D616" s="692" t="n"/>
      <c r="E616" s="692" t="n"/>
      <c r="F616" s="692" t="n"/>
      <c r="G616" s="692" t="n"/>
      <c r="H616" s="692" t="n"/>
      <c r="I616" s="692" t="n"/>
      <c r="J616" s="692" t="n"/>
      <c r="K616" s="692" t="n"/>
      <c r="L616" s="692" t="n"/>
      <c r="M616" s="692" t="n"/>
      <c r="N616" s="692" t="n"/>
      <c r="O616" s="692" t="n"/>
      <c r="P616" s="692" t="n"/>
      <c r="Q616" s="692" t="n"/>
      <c r="R616" s="692" t="n"/>
      <c r="S616" s="692" t="n"/>
      <c r="T616" s="692" t="n"/>
      <c r="U616" s="692" t="n"/>
      <c r="V616" s="692" t="n"/>
      <c r="W616" s="692" t="n"/>
      <c r="X616" s="692" t="n"/>
      <c r="Y616" s="692" t="n"/>
      <c r="Z616" s="692" t="n"/>
      <c r="AA616" s="692" t="n"/>
      <c r="AB616" s="692" t="n"/>
      <c r="AC616" s="692" t="n"/>
      <c r="AD616" s="692" t="n"/>
      <c r="AE616" s="692" t="n"/>
      <c r="AF616" s="692" t="n"/>
      <c r="AG616" s="692" t="n"/>
      <c r="AH616" s="692" t="n"/>
      <c r="AI616" s="692" t="n"/>
      <c r="AJ616" s="692" t="n"/>
      <c r="AK616" s="692" t="n"/>
      <c r="AL616" s="692" t="n"/>
      <c r="AM616" s="692" t="n"/>
      <c r="AN616" s="692" t="n"/>
      <c r="AO616" s="692" t="n"/>
      <c r="AP616" s="692" t="n"/>
      <c r="AQ616" s="692" t="n"/>
      <c r="AR616" s="692" t="n"/>
      <c r="AS616" s="692" t="n"/>
    </row>
    <row r="617">
      <c r="A617" s="692" t="n"/>
      <c r="B617" s="692" t="n"/>
      <c r="C617" s="692" t="n"/>
      <c r="D617" s="692" t="n"/>
      <c r="E617" s="692" t="n"/>
      <c r="F617" s="692" t="n"/>
      <c r="G617" s="692" t="n"/>
      <c r="H617" s="692" t="n"/>
      <c r="I617" s="692" t="n"/>
      <c r="J617" s="692" t="n"/>
      <c r="K617" s="692" t="n"/>
      <c r="L617" s="692" t="n"/>
      <c r="M617" s="692" t="n"/>
      <c r="N617" s="692" t="n"/>
      <c r="O617" s="692" t="n"/>
      <c r="P617" s="692" t="n"/>
      <c r="Q617" s="692" t="n"/>
      <c r="R617" s="692" t="n"/>
      <c r="S617" s="692" t="n"/>
      <c r="T617" s="692" t="n"/>
      <c r="U617" s="692" t="n"/>
      <c r="V617" s="692" t="n"/>
      <c r="W617" s="692" t="n"/>
      <c r="X617" s="692" t="n"/>
      <c r="Y617" s="692" t="n"/>
      <c r="Z617" s="692" t="n"/>
      <c r="AA617" s="692" t="n"/>
      <c r="AB617" s="692" t="n"/>
      <c r="AC617" s="692" t="n"/>
      <c r="AD617" s="692" t="n"/>
      <c r="AE617" s="692" t="n"/>
      <c r="AF617" s="692" t="n"/>
      <c r="AG617" s="692" t="n"/>
      <c r="AH617" s="692" t="n"/>
      <c r="AI617" s="692" t="n"/>
      <c r="AJ617" s="692" t="n"/>
      <c r="AK617" s="692" t="n"/>
      <c r="AL617" s="692" t="n"/>
      <c r="AM617" s="692" t="n"/>
      <c r="AN617" s="692" t="n"/>
      <c r="AO617" s="692" t="n"/>
      <c r="AP617" s="692" t="n"/>
      <c r="AQ617" s="692" t="n"/>
      <c r="AR617" s="692" t="n"/>
      <c r="AS617" s="692" t="n"/>
    </row>
    <row r="618">
      <c r="A618" s="692" t="n"/>
      <c r="B618" s="692" t="n"/>
      <c r="C618" s="692" t="n"/>
      <c r="D618" s="692" t="n"/>
      <c r="E618" s="692" t="n"/>
      <c r="F618" s="692" t="n"/>
      <c r="G618" s="692" t="n"/>
      <c r="H618" s="692" t="n"/>
      <c r="I618" s="692" t="n"/>
      <c r="J618" s="692" t="n"/>
      <c r="K618" s="692" t="n"/>
      <c r="L618" s="692" t="n"/>
      <c r="M618" s="692" t="n"/>
      <c r="N618" s="692" t="n"/>
      <c r="O618" s="692" t="n"/>
      <c r="P618" s="692" t="n"/>
      <c r="Q618" s="692" t="n"/>
      <c r="R618" s="692" t="n"/>
      <c r="S618" s="692" t="n"/>
      <c r="T618" s="692" t="n"/>
      <c r="U618" s="692" t="n"/>
      <c r="V618" s="692" t="n"/>
      <c r="W618" s="692" t="n"/>
      <c r="X618" s="692" t="n"/>
      <c r="Y618" s="692" t="n"/>
      <c r="Z618" s="692" t="n"/>
      <c r="AA618" s="692" t="n"/>
      <c r="AB618" s="692" t="n"/>
      <c r="AC618" s="692" t="n"/>
      <c r="AD618" s="692" t="n"/>
      <c r="AE618" s="692" t="n"/>
      <c r="AF618" s="692" t="n"/>
      <c r="AG618" s="692" t="n"/>
      <c r="AH618" s="692" t="n"/>
      <c r="AI618" s="692" t="n"/>
      <c r="AJ618" s="692" t="n"/>
      <c r="AK618" s="692" t="n"/>
      <c r="AL618" s="692" t="n"/>
      <c r="AM618" s="692" t="n"/>
      <c r="AN618" s="692" t="n"/>
      <c r="AO618" s="692" t="n"/>
      <c r="AP618" s="692" t="n"/>
      <c r="AQ618" s="692" t="n"/>
      <c r="AR618" s="692" t="n"/>
      <c r="AS618" s="692" t="n"/>
    </row>
    <row r="619">
      <c r="A619" s="692" t="n"/>
      <c r="B619" s="692" t="n"/>
      <c r="C619" s="692" t="n"/>
      <c r="D619" s="692" t="n"/>
      <c r="E619" s="692" t="n"/>
      <c r="F619" s="692" t="n"/>
      <c r="G619" s="692" t="n"/>
      <c r="H619" s="692" t="n"/>
      <c r="I619" s="692" t="n"/>
      <c r="J619" s="692" t="n"/>
      <c r="K619" s="692" t="n"/>
      <c r="L619" s="692" t="n"/>
      <c r="M619" s="692" t="n"/>
      <c r="N619" s="692" t="n"/>
      <c r="O619" s="692" t="n"/>
      <c r="P619" s="692" t="n"/>
      <c r="Q619" s="692" t="n"/>
      <c r="R619" s="692" t="n"/>
      <c r="S619" s="692" t="n"/>
      <c r="T619" s="692" t="n"/>
      <c r="U619" s="692" t="n"/>
      <c r="V619" s="692" t="n"/>
      <c r="W619" s="692" t="n"/>
      <c r="X619" s="692" t="n"/>
      <c r="Y619" s="692" t="n"/>
      <c r="Z619" s="692" t="n"/>
      <c r="AA619" s="692" t="n"/>
      <c r="AB619" s="692" t="n"/>
      <c r="AC619" s="692" t="n"/>
      <c r="AD619" s="692" t="n"/>
      <c r="AE619" s="692" t="n"/>
      <c r="AF619" s="692" t="n"/>
      <c r="AG619" s="692" t="n"/>
      <c r="AH619" s="692" t="n"/>
      <c r="AI619" s="692" t="n"/>
      <c r="AJ619" s="692" t="n"/>
      <c r="AK619" s="692" t="n"/>
      <c r="AL619" s="692" t="n"/>
      <c r="AM619" s="692" t="n"/>
      <c r="AN619" s="692" t="n"/>
      <c r="AO619" s="692" t="n"/>
      <c r="AP619" s="692" t="n"/>
      <c r="AQ619" s="692" t="n"/>
      <c r="AR619" s="692" t="n"/>
      <c r="AS619" s="692" t="n"/>
    </row>
    <row r="620">
      <c r="A620" s="692" t="n"/>
      <c r="B620" s="692" t="n"/>
      <c r="C620" s="692" t="n"/>
      <c r="D620" s="692" t="n"/>
      <c r="E620" s="692" t="n"/>
      <c r="F620" s="692" t="n"/>
      <c r="G620" s="692" t="n"/>
      <c r="H620" s="692" t="n"/>
      <c r="I620" s="692" t="n"/>
      <c r="J620" s="692" t="n"/>
      <c r="K620" s="692" t="n"/>
      <c r="L620" s="692" t="n"/>
      <c r="M620" s="692" t="n"/>
      <c r="N620" s="692" t="n"/>
      <c r="O620" s="692" t="n"/>
      <c r="P620" s="692" t="n"/>
      <c r="Q620" s="692" t="n"/>
      <c r="R620" s="692" t="n"/>
      <c r="S620" s="692" t="n"/>
      <c r="T620" s="692" t="n"/>
      <c r="U620" s="692" t="n"/>
      <c r="V620" s="692" t="n"/>
      <c r="W620" s="692" t="n"/>
      <c r="X620" s="692" t="n"/>
      <c r="Y620" s="692" t="n"/>
      <c r="Z620" s="692" t="n"/>
      <c r="AA620" s="692" t="n"/>
      <c r="AB620" s="692" t="n"/>
      <c r="AC620" s="692" t="n"/>
      <c r="AD620" s="692" t="n"/>
      <c r="AE620" s="692" t="n"/>
      <c r="AF620" s="692" t="n"/>
      <c r="AG620" s="692" t="n"/>
      <c r="AH620" s="692" t="n"/>
      <c r="AI620" s="692" t="n"/>
      <c r="AJ620" s="692" t="n"/>
      <c r="AK620" s="692" t="n"/>
      <c r="AL620" s="692" t="n"/>
      <c r="AM620" s="692" t="n"/>
      <c r="AN620" s="692" t="n"/>
      <c r="AO620" s="692" t="n"/>
      <c r="AP620" s="692" t="n"/>
      <c r="AQ620" s="692" t="n"/>
      <c r="AR620" s="692" t="n"/>
      <c r="AS620" s="692" t="n"/>
    </row>
    <row r="621">
      <c r="A621" s="692" t="n"/>
      <c r="B621" s="692" t="n"/>
      <c r="C621" s="692" t="n"/>
      <c r="D621" s="692" t="n"/>
      <c r="E621" s="692" t="n"/>
      <c r="F621" s="692" t="n"/>
      <c r="G621" s="692" t="n"/>
      <c r="H621" s="692" t="n"/>
      <c r="I621" s="692" t="n"/>
      <c r="J621" s="692" t="n"/>
      <c r="K621" s="692" t="n"/>
      <c r="L621" s="692" t="n"/>
      <c r="M621" s="692" t="n"/>
      <c r="N621" s="692" t="n"/>
      <c r="O621" s="692" t="n"/>
      <c r="P621" s="692" t="n"/>
      <c r="Q621" s="692" t="n"/>
      <c r="R621" s="692" t="n"/>
      <c r="S621" s="692" t="n"/>
      <c r="T621" s="692" t="n"/>
      <c r="U621" s="692" t="n"/>
      <c r="V621" s="692" t="n"/>
      <c r="W621" s="692" t="n"/>
      <c r="X621" s="692" t="n"/>
      <c r="Y621" s="692" t="n"/>
      <c r="Z621" s="692" t="n"/>
      <c r="AA621" s="692" t="n"/>
      <c r="AB621" s="692" t="n"/>
      <c r="AC621" s="692" t="n"/>
      <c r="AD621" s="692" t="n"/>
      <c r="AE621" s="692" t="n"/>
      <c r="AF621" s="692" t="n"/>
      <c r="AG621" s="692" t="n"/>
      <c r="AH621" s="692" t="n"/>
      <c r="AI621" s="692" t="n"/>
      <c r="AJ621" s="692" t="n"/>
      <c r="AK621" s="692" t="n"/>
      <c r="AL621" s="692" t="n"/>
      <c r="AM621" s="692" t="n"/>
      <c r="AN621" s="692" t="n"/>
      <c r="AO621" s="692" t="n"/>
      <c r="AP621" s="692" t="n"/>
      <c r="AQ621" s="692" t="n"/>
      <c r="AR621" s="692" t="n"/>
      <c r="AS621" s="692" t="n"/>
    </row>
    <row r="622">
      <c r="A622" s="692" t="n"/>
      <c r="B622" s="692" t="n"/>
      <c r="C622" s="692" t="n"/>
      <c r="D622" s="692" t="n"/>
      <c r="E622" s="692" t="n"/>
      <c r="F622" s="692" t="n"/>
      <c r="G622" s="692" t="n"/>
      <c r="H622" s="692" t="n"/>
      <c r="I622" s="692" t="n"/>
      <c r="J622" s="692" t="n"/>
      <c r="K622" s="692" t="n"/>
      <c r="L622" s="692" t="n"/>
      <c r="M622" s="692" t="n"/>
      <c r="N622" s="692" t="n"/>
      <c r="O622" s="692" t="n"/>
      <c r="P622" s="692" t="n"/>
      <c r="Q622" s="692" t="n"/>
      <c r="R622" s="692" t="n"/>
      <c r="S622" s="692" t="n"/>
      <c r="T622" s="692" t="n"/>
      <c r="U622" s="692" t="n"/>
      <c r="V622" s="692" t="n"/>
      <c r="W622" s="692" t="n"/>
      <c r="X622" s="692" t="n"/>
      <c r="Y622" s="692" t="n"/>
      <c r="Z622" s="692" t="n"/>
      <c r="AA622" s="692" t="n"/>
      <c r="AB622" s="692" t="n"/>
      <c r="AC622" s="692" t="n"/>
      <c r="AD622" s="692" t="n"/>
      <c r="AE622" s="692" t="n"/>
      <c r="AF622" s="692" t="n"/>
      <c r="AG622" s="692" t="n"/>
      <c r="AH622" s="692" t="n"/>
      <c r="AI622" s="692" t="n"/>
      <c r="AJ622" s="692" t="n"/>
      <c r="AK622" s="692" t="n"/>
      <c r="AL622" s="692" t="n"/>
      <c r="AM622" s="692" t="n"/>
      <c r="AN622" s="692" t="n"/>
      <c r="AO622" s="692" t="n"/>
      <c r="AP622" s="692" t="n"/>
      <c r="AQ622" s="692" t="n"/>
      <c r="AR622" s="692" t="n"/>
      <c r="AS622" s="692" t="n"/>
    </row>
    <row r="623">
      <c r="A623" s="692" t="n"/>
      <c r="B623" s="692" t="n"/>
      <c r="C623" s="692" t="n"/>
      <c r="D623" s="692" t="n"/>
      <c r="E623" s="692" t="n"/>
      <c r="F623" s="692" t="n"/>
      <c r="G623" s="692" t="n"/>
      <c r="H623" s="692" t="n"/>
      <c r="I623" s="692" t="n"/>
      <c r="J623" s="692" t="n"/>
      <c r="K623" s="692" t="n"/>
      <c r="L623" s="692" t="n"/>
      <c r="M623" s="692" t="n"/>
      <c r="N623" s="692" t="n"/>
      <c r="O623" s="692" t="n"/>
      <c r="P623" s="692" t="n"/>
      <c r="Q623" s="692" t="n"/>
      <c r="R623" s="692" t="n"/>
      <c r="S623" s="692" t="n"/>
      <c r="T623" s="692" t="n"/>
      <c r="U623" s="692" t="n"/>
      <c r="V623" s="692" t="n"/>
      <c r="W623" s="692" t="n"/>
      <c r="X623" s="692" t="n"/>
      <c r="Y623" s="692" t="n"/>
      <c r="Z623" s="692" t="n"/>
      <c r="AA623" s="692" t="n"/>
      <c r="AB623" s="692" t="n"/>
      <c r="AC623" s="692" t="n"/>
      <c r="AD623" s="692" t="n"/>
      <c r="AE623" s="692" t="n"/>
      <c r="AF623" s="692" t="n"/>
      <c r="AG623" s="692" t="n"/>
      <c r="AH623" s="692" t="n"/>
      <c r="AI623" s="692" t="n"/>
      <c r="AJ623" s="692" t="n"/>
      <c r="AK623" s="692" t="n"/>
      <c r="AL623" s="692" t="n"/>
      <c r="AM623" s="692" t="n"/>
      <c r="AN623" s="692" t="n"/>
      <c r="AO623" s="692" t="n"/>
      <c r="AP623" s="692" t="n"/>
      <c r="AQ623" s="692" t="n"/>
      <c r="AR623" s="692" t="n"/>
      <c r="AS623" s="692" t="n"/>
    </row>
    <row r="624">
      <c r="A624" s="692" t="n"/>
      <c r="B624" s="692" t="n"/>
      <c r="C624" s="692" t="n"/>
      <c r="D624" s="692" t="n"/>
      <c r="E624" s="692" t="n"/>
      <c r="F624" s="692" t="n"/>
      <c r="G624" s="692" t="n"/>
      <c r="H624" s="692" t="n"/>
      <c r="I624" s="692" t="n"/>
      <c r="J624" s="692" t="n"/>
      <c r="K624" s="692" t="n"/>
      <c r="L624" s="692" t="n"/>
      <c r="M624" s="692" t="n"/>
      <c r="N624" s="692" t="n"/>
      <c r="O624" s="692" t="n"/>
      <c r="P624" s="692" t="n"/>
      <c r="Q624" s="692" t="n"/>
      <c r="R624" s="692" t="n"/>
      <c r="S624" s="692" t="n"/>
      <c r="T624" s="692" t="n"/>
      <c r="U624" s="692" t="n"/>
      <c r="V624" s="692" t="n"/>
      <c r="W624" s="692" t="n"/>
      <c r="X624" s="692" t="n"/>
      <c r="Y624" s="692" t="n"/>
      <c r="Z624" s="692" t="n"/>
      <c r="AA624" s="692" t="n"/>
      <c r="AB624" s="692" t="n"/>
      <c r="AC624" s="692" t="n"/>
      <c r="AD624" s="692" t="n"/>
      <c r="AE624" s="692" t="n"/>
      <c r="AF624" s="692" t="n"/>
      <c r="AG624" s="692" t="n"/>
      <c r="AH624" s="692" t="n"/>
      <c r="AI624" s="692" t="n"/>
      <c r="AJ624" s="692" t="n"/>
      <c r="AK624" s="692" t="n"/>
      <c r="AL624" s="692" t="n"/>
      <c r="AM624" s="692" t="n"/>
      <c r="AN624" s="692" t="n"/>
      <c r="AO624" s="692" t="n"/>
      <c r="AP624" s="692" t="n"/>
      <c r="AQ624" s="692" t="n"/>
      <c r="AR624" s="692" t="n"/>
      <c r="AS624" s="692" t="n"/>
    </row>
    <row r="625">
      <c r="A625" s="692" t="n"/>
      <c r="B625" s="692" t="n"/>
      <c r="C625" s="692" t="n"/>
      <c r="D625" s="692" t="n"/>
      <c r="E625" s="692" t="n"/>
      <c r="F625" s="692" t="n"/>
      <c r="G625" s="692" t="n"/>
      <c r="H625" s="692" t="n"/>
      <c r="I625" s="692" t="n"/>
      <c r="J625" s="692" t="n"/>
      <c r="K625" s="692" t="n"/>
      <c r="L625" s="692" t="n"/>
      <c r="M625" s="692" t="n"/>
      <c r="N625" s="692" t="n"/>
      <c r="O625" s="692" t="n"/>
      <c r="P625" s="692" t="n"/>
      <c r="Q625" s="692" t="n"/>
      <c r="R625" s="692" t="n"/>
      <c r="S625" s="692" t="n"/>
      <c r="T625" s="692" t="n"/>
      <c r="U625" s="692" t="n"/>
      <c r="V625" s="692" t="n"/>
      <c r="W625" s="692" t="n"/>
      <c r="X625" s="692" t="n"/>
      <c r="Y625" s="692" t="n"/>
      <c r="Z625" s="692" t="n"/>
      <c r="AA625" s="692" t="n"/>
      <c r="AB625" s="692" t="n"/>
      <c r="AC625" s="692" t="n"/>
      <c r="AD625" s="692" t="n"/>
      <c r="AE625" s="692" t="n"/>
      <c r="AF625" s="692" t="n"/>
      <c r="AG625" s="692" t="n"/>
      <c r="AH625" s="692" t="n"/>
      <c r="AI625" s="692" t="n"/>
      <c r="AJ625" s="692" t="n"/>
      <c r="AK625" s="692" t="n"/>
      <c r="AL625" s="692" t="n"/>
      <c r="AM625" s="692" t="n"/>
      <c r="AN625" s="692" t="n"/>
      <c r="AO625" s="692" t="n"/>
      <c r="AP625" s="692" t="n"/>
      <c r="AQ625" s="692" t="n"/>
      <c r="AR625" s="692" t="n"/>
      <c r="AS625" s="692" t="n"/>
    </row>
    <row r="626">
      <c r="A626" s="692" t="n"/>
      <c r="B626" s="692" t="n"/>
      <c r="C626" s="692" t="n"/>
      <c r="D626" s="692" t="n"/>
      <c r="E626" s="692" t="n"/>
      <c r="F626" s="692" t="n"/>
      <c r="G626" s="692" t="n"/>
      <c r="H626" s="692" t="n"/>
      <c r="I626" s="692" t="n"/>
      <c r="J626" s="692" t="n"/>
      <c r="K626" s="692" t="n"/>
      <c r="L626" s="692" t="n"/>
      <c r="M626" s="692" t="n"/>
      <c r="N626" s="692" t="n"/>
      <c r="O626" s="692" t="n"/>
      <c r="P626" s="692" t="n"/>
      <c r="Q626" s="692" t="n"/>
      <c r="R626" s="692" t="n"/>
      <c r="S626" s="692" t="n"/>
      <c r="T626" s="692" t="n"/>
      <c r="U626" s="692" t="n"/>
      <c r="V626" s="692" t="n"/>
      <c r="W626" s="692" t="n"/>
      <c r="X626" s="692" t="n"/>
      <c r="Y626" s="692" t="n"/>
      <c r="Z626" s="692" t="n"/>
      <c r="AA626" s="692" t="n"/>
      <c r="AB626" s="692" t="n"/>
      <c r="AC626" s="692" t="n"/>
      <c r="AD626" s="692" t="n"/>
      <c r="AE626" s="692" t="n"/>
      <c r="AF626" s="692" t="n"/>
      <c r="AG626" s="692" t="n"/>
      <c r="AH626" s="692" t="n"/>
      <c r="AI626" s="692" t="n"/>
      <c r="AJ626" s="692" t="n"/>
      <c r="AK626" s="692" t="n"/>
      <c r="AL626" s="692" t="n"/>
      <c r="AM626" s="692" t="n"/>
      <c r="AN626" s="692" t="n"/>
      <c r="AO626" s="692" t="n"/>
      <c r="AP626" s="692" t="n"/>
      <c r="AQ626" s="692" t="n"/>
      <c r="AR626" s="692" t="n"/>
      <c r="AS626" s="692" t="n"/>
    </row>
    <row r="627">
      <c r="A627" s="692" t="n"/>
      <c r="B627" s="692" t="n"/>
      <c r="C627" s="692" t="n"/>
      <c r="D627" s="692" t="n"/>
      <c r="E627" s="692" t="n"/>
      <c r="F627" s="692" t="n"/>
      <c r="G627" s="692" t="n"/>
      <c r="H627" s="692" t="n"/>
      <c r="I627" s="692" t="n"/>
      <c r="J627" s="692" t="n"/>
      <c r="K627" s="692" t="n"/>
      <c r="L627" s="692" t="n"/>
      <c r="M627" s="692" t="n"/>
      <c r="N627" s="692" t="n"/>
      <c r="O627" s="692" t="n"/>
      <c r="P627" s="692" t="n"/>
      <c r="Q627" s="692" t="n"/>
      <c r="R627" s="692" t="n"/>
      <c r="S627" s="692" t="n"/>
      <c r="T627" s="692" t="n"/>
      <c r="U627" s="692" t="n"/>
      <c r="V627" s="692" t="n"/>
      <c r="W627" s="692" t="n"/>
      <c r="X627" s="692" t="n"/>
      <c r="Y627" s="692" t="n"/>
      <c r="Z627" s="692" t="n"/>
      <c r="AA627" s="692" t="n"/>
      <c r="AB627" s="692" t="n"/>
      <c r="AC627" s="692" t="n"/>
      <c r="AD627" s="692" t="n"/>
      <c r="AE627" s="692" t="n"/>
      <c r="AF627" s="692" t="n"/>
      <c r="AG627" s="692" t="n"/>
      <c r="AH627" s="692" t="n"/>
      <c r="AI627" s="692" t="n"/>
      <c r="AJ627" s="692" t="n"/>
      <c r="AK627" s="692" t="n"/>
      <c r="AL627" s="692" t="n"/>
      <c r="AM627" s="692" t="n"/>
      <c r="AN627" s="692" t="n"/>
      <c r="AO627" s="692" t="n"/>
      <c r="AP627" s="692" t="n"/>
      <c r="AQ627" s="692" t="n"/>
      <c r="AR627" s="692" t="n"/>
      <c r="AS627" s="692" t="n"/>
    </row>
    <row r="628">
      <c r="A628" s="692" t="n"/>
      <c r="B628" s="692" t="n"/>
      <c r="C628" s="692" t="n"/>
      <c r="D628" s="692" t="n"/>
      <c r="E628" s="692" t="n"/>
      <c r="F628" s="692" t="n"/>
      <c r="G628" s="692" t="n"/>
      <c r="H628" s="692" t="n"/>
      <c r="I628" s="692" t="n"/>
      <c r="J628" s="692" t="n"/>
      <c r="K628" s="692" t="n"/>
      <c r="L628" s="692" t="n"/>
      <c r="M628" s="692" t="n"/>
      <c r="N628" s="692" t="n"/>
      <c r="O628" s="692" t="n"/>
      <c r="P628" s="692" t="n"/>
      <c r="Q628" s="692" t="n"/>
      <c r="R628" s="692" t="n"/>
      <c r="S628" s="692" t="n"/>
      <c r="T628" s="692" t="n"/>
      <c r="U628" s="692" t="n"/>
      <c r="V628" s="692" t="n"/>
      <c r="W628" s="692" t="n"/>
      <c r="X628" s="692" t="n"/>
      <c r="Y628" s="692" t="n"/>
      <c r="Z628" s="692" t="n"/>
      <c r="AA628" s="692" t="n"/>
      <c r="AB628" s="692" t="n"/>
      <c r="AC628" s="692" t="n"/>
      <c r="AD628" s="692" t="n"/>
      <c r="AE628" s="692" t="n"/>
      <c r="AF628" s="692" t="n"/>
      <c r="AG628" s="692" t="n"/>
      <c r="AH628" s="692" t="n"/>
      <c r="AI628" s="692" t="n"/>
      <c r="AJ628" s="692" t="n"/>
      <c r="AK628" s="692" t="n"/>
      <c r="AL628" s="692" t="n"/>
      <c r="AM628" s="692" t="n"/>
      <c r="AN628" s="692" t="n"/>
      <c r="AO628" s="692" t="n"/>
      <c r="AP628" s="692" t="n"/>
      <c r="AQ628" s="692" t="n"/>
      <c r="AR628" s="692" t="n"/>
      <c r="AS628" s="692" t="n"/>
    </row>
    <row r="629">
      <c r="A629" s="692" t="n"/>
      <c r="B629" s="692" t="n"/>
      <c r="C629" s="692" t="n"/>
      <c r="D629" s="692" t="n"/>
      <c r="E629" s="692" t="n"/>
      <c r="F629" s="692" t="n"/>
      <c r="G629" s="692" t="n"/>
      <c r="H629" s="692" t="n"/>
      <c r="I629" s="692" t="n"/>
      <c r="J629" s="692" t="n"/>
      <c r="K629" s="692" t="n"/>
      <c r="L629" s="692" t="n"/>
      <c r="M629" s="692" t="n"/>
      <c r="N629" s="692" t="n"/>
      <c r="O629" s="692" t="n"/>
      <c r="P629" s="692" t="n"/>
      <c r="Q629" s="692" t="n"/>
      <c r="R629" s="692" t="n"/>
      <c r="S629" s="692" t="n"/>
      <c r="T629" s="692" t="n"/>
      <c r="U629" s="692" t="n"/>
      <c r="V629" s="692" t="n"/>
      <c r="W629" s="692" t="n"/>
      <c r="X629" s="692" t="n"/>
      <c r="Y629" s="692" t="n"/>
      <c r="Z629" s="692" t="n"/>
      <c r="AA629" s="692" t="n"/>
      <c r="AB629" s="692" t="n"/>
      <c r="AC629" s="692" t="n"/>
      <c r="AD629" s="692" t="n"/>
      <c r="AE629" s="692" t="n"/>
      <c r="AF629" s="692" t="n"/>
      <c r="AG629" s="692" t="n"/>
      <c r="AH629" s="692" t="n"/>
      <c r="AI629" s="692" t="n"/>
      <c r="AJ629" s="692" t="n"/>
      <c r="AK629" s="692" t="n"/>
      <c r="AL629" s="692" t="n"/>
      <c r="AM629" s="692" t="n"/>
      <c r="AN629" s="692" t="n"/>
      <c r="AO629" s="692" t="n"/>
      <c r="AP629" s="692" t="n"/>
      <c r="AQ629" s="692" t="n"/>
      <c r="AR629" s="692" t="n"/>
      <c r="AS629" s="692" t="n"/>
    </row>
    <row r="630">
      <c r="A630" s="692" t="n"/>
      <c r="B630" s="692" t="n"/>
      <c r="C630" s="692" t="n"/>
      <c r="D630" s="692" t="n"/>
      <c r="E630" s="692" t="n"/>
      <c r="F630" s="692" t="n"/>
      <c r="G630" s="692" t="n"/>
      <c r="H630" s="692" t="n"/>
      <c r="I630" s="692" t="n"/>
      <c r="J630" s="692" t="n"/>
      <c r="K630" s="692" t="n"/>
      <c r="L630" s="692" t="n"/>
      <c r="M630" s="692" t="n"/>
      <c r="N630" s="692" t="n"/>
      <c r="O630" s="692" t="n"/>
      <c r="P630" s="692" t="n"/>
      <c r="Q630" s="692" t="n"/>
      <c r="R630" s="692" t="n"/>
      <c r="S630" s="692" t="n"/>
      <c r="T630" s="692" t="n"/>
      <c r="U630" s="692" t="n"/>
      <c r="V630" s="692" t="n"/>
      <c r="W630" s="692" t="n"/>
      <c r="X630" s="692" t="n"/>
      <c r="Y630" s="692" t="n"/>
      <c r="Z630" s="692" t="n"/>
      <c r="AA630" s="692" t="n"/>
      <c r="AB630" s="692" t="n"/>
      <c r="AC630" s="692" t="n"/>
      <c r="AD630" s="692" t="n"/>
      <c r="AE630" s="692" t="n"/>
      <c r="AF630" s="692" t="n"/>
      <c r="AG630" s="692" t="n"/>
      <c r="AH630" s="692" t="n"/>
      <c r="AI630" s="692" t="n"/>
      <c r="AJ630" s="692" t="n"/>
      <c r="AK630" s="692" t="n"/>
      <c r="AL630" s="692" t="n"/>
      <c r="AM630" s="692" t="n"/>
      <c r="AN630" s="692" t="n"/>
      <c r="AO630" s="692" t="n"/>
      <c r="AP630" s="692" t="n"/>
      <c r="AQ630" s="692" t="n"/>
      <c r="AR630" s="692" t="n"/>
      <c r="AS630" s="692" t="n"/>
    </row>
    <row r="631">
      <c r="A631" s="692" t="n"/>
      <c r="B631" s="692" t="n"/>
      <c r="C631" s="692" t="n"/>
      <c r="D631" s="692" t="n"/>
      <c r="E631" s="692" t="n"/>
      <c r="F631" s="692" t="n"/>
      <c r="G631" s="692" t="n"/>
      <c r="H631" s="692" t="n"/>
      <c r="I631" s="692" t="n"/>
      <c r="J631" s="692" t="n"/>
      <c r="K631" s="692" t="n"/>
      <c r="L631" s="692" t="n"/>
      <c r="M631" s="692" t="n"/>
      <c r="N631" s="692" t="n"/>
      <c r="O631" s="692" t="n"/>
      <c r="P631" s="692" t="n"/>
      <c r="Q631" s="692" t="n"/>
      <c r="R631" s="692" t="n"/>
      <c r="S631" s="692" t="n"/>
      <c r="T631" s="692" t="n"/>
      <c r="U631" s="692" t="n"/>
      <c r="V631" s="692" t="n"/>
      <c r="W631" s="692" t="n"/>
      <c r="X631" s="692" t="n"/>
      <c r="Y631" s="692" t="n"/>
      <c r="Z631" s="692" t="n"/>
      <c r="AA631" s="692" t="n"/>
      <c r="AB631" s="692" t="n"/>
      <c r="AC631" s="692" t="n"/>
      <c r="AD631" s="692" t="n"/>
      <c r="AE631" s="692" t="n"/>
      <c r="AF631" s="692" t="n"/>
      <c r="AG631" s="692" t="n"/>
      <c r="AH631" s="692" t="n"/>
      <c r="AI631" s="692" t="n"/>
      <c r="AJ631" s="692" t="n"/>
      <c r="AK631" s="692" t="n"/>
      <c r="AL631" s="692" t="n"/>
      <c r="AM631" s="692" t="n"/>
      <c r="AN631" s="692" t="n"/>
      <c r="AO631" s="692" t="n"/>
      <c r="AP631" s="692" t="n"/>
      <c r="AQ631" s="692" t="n"/>
      <c r="AR631" s="692" t="n"/>
      <c r="AS631" s="692" t="n"/>
    </row>
    <row r="632">
      <c r="A632" s="692" t="n"/>
      <c r="B632" s="692" t="n"/>
      <c r="C632" s="692" t="n"/>
      <c r="D632" s="692" t="n"/>
      <c r="E632" s="692" t="n"/>
      <c r="F632" s="692" t="n"/>
      <c r="G632" s="692" t="n"/>
      <c r="H632" s="692" t="n"/>
      <c r="I632" s="692" t="n"/>
      <c r="J632" s="692" t="n"/>
      <c r="K632" s="692" t="n"/>
      <c r="L632" s="692" t="n"/>
      <c r="M632" s="692" t="n"/>
      <c r="N632" s="692" t="n"/>
      <c r="O632" s="692" t="n"/>
      <c r="P632" s="692" t="n"/>
      <c r="Q632" s="692" t="n"/>
      <c r="R632" s="692" t="n"/>
      <c r="S632" s="692" t="n"/>
      <c r="T632" s="692" t="n"/>
      <c r="U632" s="692" t="n"/>
      <c r="V632" s="692" t="n"/>
      <c r="W632" s="692" t="n"/>
      <c r="X632" s="692" t="n"/>
      <c r="Y632" s="692" t="n"/>
      <c r="Z632" s="692" t="n"/>
      <c r="AA632" s="692" t="n"/>
      <c r="AB632" s="692" t="n"/>
      <c r="AC632" s="692" t="n"/>
      <c r="AD632" s="692" t="n"/>
      <c r="AE632" s="692" t="n"/>
      <c r="AF632" s="692" t="n"/>
      <c r="AG632" s="692" t="n"/>
      <c r="AH632" s="692" t="n"/>
      <c r="AI632" s="692" t="n"/>
      <c r="AJ632" s="692" t="n"/>
      <c r="AK632" s="692" t="n"/>
      <c r="AL632" s="692" t="n"/>
      <c r="AM632" s="692" t="n"/>
      <c r="AN632" s="692" t="n"/>
      <c r="AO632" s="692" t="n"/>
      <c r="AP632" s="692" t="n"/>
      <c r="AQ632" s="692" t="n"/>
      <c r="AR632" s="692" t="n"/>
      <c r="AS632" s="692" t="n"/>
    </row>
    <row r="633">
      <c r="A633" s="692" t="n"/>
      <c r="B633" s="692" t="n"/>
      <c r="C633" s="692" t="n"/>
      <c r="D633" s="692" t="n"/>
      <c r="E633" s="692" t="n"/>
      <c r="F633" s="692" t="n"/>
      <c r="G633" s="692" t="n"/>
      <c r="H633" s="692" t="n"/>
      <c r="I633" s="692" t="n"/>
      <c r="J633" s="692" t="n"/>
      <c r="K633" s="692" t="n"/>
      <c r="L633" s="692" t="n"/>
      <c r="M633" s="692" t="n"/>
      <c r="N633" s="692" t="n"/>
      <c r="O633" s="692" t="n"/>
      <c r="P633" s="692" t="n"/>
      <c r="Q633" s="692" t="n"/>
      <c r="R633" s="692" t="n"/>
      <c r="S633" s="692" t="n"/>
      <c r="T633" s="692" t="n"/>
      <c r="U633" s="692" t="n"/>
      <c r="V633" s="692" t="n"/>
      <c r="W633" s="692" t="n"/>
      <c r="X633" s="692" t="n"/>
      <c r="Y633" s="692" t="n"/>
      <c r="Z633" s="692" t="n"/>
      <c r="AA633" s="692" t="n"/>
      <c r="AB633" s="692" t="n"/>
      <c r="AC633" s="692" t="n"/>
      <c r="AD633" s="692" t="n"/>
      <c r="AE633" s="692" t="n"/>
      <c r="AF633" s="692" t="n"/>
      <c r="AG633" s="692" t="n"/>
      <c r="AH633" s="692" t="n"/>
      <c r="AI633" s="692" t="n"/>
      <c r="AJ633" s="692" t="n"/>
      <c r="AK633" s="692" t="n"/>
      <c r="AL633" s="692" t="n"/>
      <c r="AM633" s="692" t="n"/>
      <c r="AN633" s="692" t="n"/>
      <c r="AO633" s="692" t="n"/>
      <c r="AP633" s="692" t="n"/>
      <c r="AQ633" s="692" t="n"/>
      <c r="AR633" s="692" t="n"/>
      <c r="AS633" s="692" t="n"/>
    </row>
    <row r="634">
      <c r="A634" s="692" t="n"/>
      <c r="B634" s="692" t="n"/>
      <c r="C634" s="692" t="n"/>
      <c r="D634" s="692" t="n"/>
      <c r="E634" s="692" t="n"/>
      <c r="F634" s="692" t="n"/>
      <c r="G634" s="692" t="n"/>
      <c r="H634" s="692" t="n"/>
      <c r="I634" s="692" t="n"/>
      <c r="J634" s="692" t="n"/>
      <c r="K634" s="692" t="n"/>
      <c r="L634" s="692" t="n"/>
      <c r="M634" s="692" t="n"/>
      <c r="N634" s="692" t="n"/>
      <c r="O634" s="692" t="n"/>
      <c r="P634" s="692" t="n"/>
      <c r="Q634" s="692" t="n"/>
      <c r="R634" s="692" t="n"/>
      <c r="S634" s="692" t="n"/>
      <c r="T634" s="692" t="n"/>
      <c r="U634" s="692" t="n"/>
      <c r="V634" s="692" t="n"/>
      <c r="W634" s="692" t="n"/>
      <c r="X634" s="692" t="n"/>
      <c r="Y634" s="692" t="n"/>
      <c r="Z634" s="692" t="n"/>
      <c r="AA634" s="692" t="n"/>
      <c r="AB634" s="692" t="n"/>
      <c r="AC634" s="692" t="n"/>
      <c r="AD634" s="692" t="n"/>
      <c r="AE634" s="692" t="n"/>
      <c r="AF634" s="692" t="n"/>
      <c r="AG634" s="692" t="n"/>
      <c r="AH634" s="692" t="n"/>
      <c r="AI634" s="692" t="n"/>
      <c r="AJ634" s="692" t="n"/>
      <c r="AK634" s="692" t="n"/>
      <c r="AL634" s="692" t="n"/>
      <c r="AM634" s="692" t="n"/>
      <c r="AN634" s="692" t="n"/>
      <c r="AO634" s="692" t="n"/>
      <c r="AP634" s="692" t="n"/>
      <c r="AQ634" s="692" t="n"/>
      <c r="AR634" s="692" t="n"/>
      <c r="AS634" s="692" t="n"/>
    </row>
    <row r="635">
      <c r="A635" s="692" t="n"/>
      <c r="B635" s="692" t="n"/>
      <c r="C635" s="692" t="n"/>
      <c r="D635" s="692" t="n"/>
      <c r="E635" s="692" t="n"/>
      <c r="F635" s="692" t="n"/>
      <c r="G635" s="692" t="n"/>
      <c r="H635" s="692" t="n"/>
      <c r="I635" s="692" t="n"/>
      <c r="J635" s="692" t="n"/>
      <c r="K635" s="692" t="n"/>
      <c r="L635" s="692" t="n"/>
      <c r="M635" s="692" t="n"/>
      <c r="N635" s="692" t="n"/>
      <c r="O635" s="692" t="n"/>
      <c r="P635" s="692" t="n"/>
      <c r="Q635" s="692" t="n"/>
      <c r="R635" s="692" t="n"/>
      <c r="S635" s="692" t="n"/>
      <c r="T635" s="692" t="n"/>
      <c r="U635" s="692" t="n"/>
      <c r="V635" s="692" t="n"/>
      <c r="W635" s="692" t="n"/>
      <c r="X635" s="692" t="n"/>
      <c r="Y635" s="692" t="n"/>
      <c r="Z635" s="692" t="n"/>
      <c r="AA635" s="692" t="n"/>
      <c r="AB635" s="692" t="n"/>
      <c r="AC635" s="692" t="n"/>
      <c r="AD635" s="692" t="n"/>
      <c r="AE635" s="692" t="n"/>
      <c r="AF635" s="692" t="n"/>
      <c r="AG635" s="692" t="n"/>
      <c r="AH635" s="692" t="n"/>
      <c r="AI635" s="692" t="n"/>
      <c r="AJ635" s="692" t="n"/>
      <c r="AK635" s="692" t="n"/>
      <c r="AL635" s="692" t="n"/>
      <c r="AM635" s="692" t="n"/>
      <c r="AN635" s="692" t="n"/>
      <c r="AO635" s="692" t="n"/>
      <c r="AP635" s="692" t="n"/>
      <c r="AQ635" s="692" t="n"/>
      <c r="AR635" s="692" t="n"/>
      <c r="AS635" s="692" t="n"/>
    </row>
    <row r="636">
      <c r="A636" s="692" t="n"/>
      <c r="B636" s="692" t="n"/>
      <c r="C636" s="692" t="n"/>
      <c r="D636" s="692" t="n"/>
      <c r="E636" s="692" t="n"/>
      <c r="F636" s="692" t="n"/>
      <c r="G636" s="692" t="n"/>
      <c r="H636" s="692" t="n"/>
      <c r="I636" s="692" t="n"/>
      <c r="J636" s="692" t="n"/>
      <c r="K636" s="692" t="n"/>
      <c r="L636" s="692" t="n"/>
      <c r="M636" s="692" t="n"/>
      <c r="N636" s="692" t="n"/>
      <c r="O636" s="692" t="n"/>
      <c r="P636" s="692" t="n"/>
      <c r="Q636" s="692" t="n"/>
      <c r="R636" s="692" t="n"/>
      <c r="S636" s="692" t="n"/>
      <c r="T636" s="692" t="n"/>
      <c r="U636" s="692" t="n"/>
      <c r="V636" s="692" t="n"/>
      <c r="W636" s="692" t="n"/>
      <c r="X636" s="692" t="n"/>
      <c r="Y636" s="692" t="n"/>
      <c r="Z636" s="692" t="n"/>
      <c r="AA636" s="692" t="n"/>
      <c r="AB636" s="692" t="n"/>
      <c r="AC636" s="692" t="n"/>
      <c r="AD636" s="692" t="n"/>
      <c r="AE636" s="692" t="n"/>
      <c r="AF636" s="692" t="n"/>
      <c r="AG636" s="692" t="n"/>
      <c r="AH636" s="692" t="n"/>
      <c r="AI636" s="692" t="n"/>
      <c r="AJ636" s="692" t="n"/>
      <c r="AK636" s="692" t="n"/>
      <c r="AL636" s="692" t="n"/>
      <c r="AM636" s="692" t="n"/>
      <c r="AN636" s="692" t="n"/>
      <c r="AO636" s="692" t="n"/>
      <c r="AP636" s="692" t="n"/>
      <c r="AQ636" s="692" t="n"/>
      <c r="AR636" s="692" t="n"/>
      <c r="AS636" s="692" t="n"/>
    </row>
    <row r="637">
      <c r="A637" s="692" t="n"/>
      <c r="B637" s="692" t="n"/>
      <c r="C637" s="692" t="n"/>
      <c r="D637" s="692" t="n"/>
      <c r="E637" s="692" t="n"/>
      <c r="F637" s="692" t="n"/>
      <c r="G637" s="692" t="n"/>
      <c r="H637" s="692" t="n"/>
      <c r="I637" s="692" t="n"/>
      <c r="J637" s="692" t="n"/>
      <c r="K637" s="692" t="n"/>
      <c r="L637" s="692" t="n"/>
      <c r="M637" s="692" t="n"/>
      <c r="N637" s="692" t="n"/>
      <c r="O637" s="692" t="n"/>
      <c r="P637" s="692" t="n"/>
      <c r="Q637" s="692" t="n"/>
      <c r="R637" s="692" t="n"/>
      <c r="S637" s="692" t="n"/>
      <c r="T637" s="692" t="n"/>
      <c r="U637" s="692" t="n"/>
      <c r="V637" s="692" t="n"/>
      <c r="W637" s="692" t="n"/>
      <c r="X637" s="692" t="n"/>
      <c r="Y637" s="692" t="n"/>
      <c r="Z637" s="692" t="n"/>
      <c r="AA637" s="692" t="n"/>
      <c r="AB637" s="692" t="n"/>
      <c r="AC637" s="692" t="n"/>
      <c r="AD637" s="692" t="n"/>
      <c r="AE637" s="692" t="n"/>
      <c r="AF637" s="692" t="n"/>
      <c r="AG637" s="692" t="n"/>
      <c r="AH637" s="692" t="n"/>
      <c r="AI637" s="692" t="n"/>
      <c r="AJ637" s="692" t="n"/>
      <c r="AK637" s="692" t="n"/>
      <c r="AL637" s="692" t="n"/>
      <c r="AM637" s="692" t="n"/>
      <c r="AN637" s="692" t="n"/>
      <c r="AO637" s="692" t="n"/>
      <c r="AP637" s="692" t="n"/>
      <c r="AQ637" s="692" t="n"/>
      <c r="AR637" s="692" t="n"/>
      <c r="AS637" s="692" t="n"/>
    </row>
    <row r="638">
      <c r="A638" s="692" t="n"/>
      <c r="B638" s="692" t="n"/>
      <c r="C638" s="692" t="n"/>
      <c r="D638" s="692" t="n"/>
      <c r="E638" s="692" t="n"/>
      <c r="F638" s="692" t="n"/>
      <c r="G638" s="692" t="n"/>
      <c r="H638" s="692" t="n"/>
      <c r="I638" s="692" t="n"/>
      <c r="J638" s="692" t="n"/>
      <c r="K638" s="692" t="n"/>
      <c r="L638" s="692" t="n"/>
      <c r="M638" s="692" t="n"/>
      <c r="N638" s="692" t="n"/>
      <c r="O638" s="692" t="n"/>
      <c r="P638" s="692" t="n"/>
      <c r="Q638" s="692" t="n"/>
      <c r="R638" s="692" t="n"/>
      <c r="S638" s="692" t="n"/>
      <c r="T638" s="692" t="n"/>
      <c r="U638" s="692" t="n"/>
      <c r="V638" s="692" t="n"/>
      <c r="W638" s="692" t="n"/>
      <c r="X638" s="692" t="n"/>
      <c r="Y638" s="692" t="n"/>
      <c r="Z638" s="692" t="n"/>
      <c r="AA638" s="692" t="n"/>
      <c r="AB638" s="692" t="n"/>
      <c r="AC638" s="692" t="n"/>
      <c r="AD638" s="692" t="n"/>
      <c r="AE638" s="692" t="n"/>
      <c r="AF638" s="692" t="n"/>
      <c r="AG638" s="692" t="n"/>
      <c r="AH638" s="692" t="n"/>
      <c r="AI638" s="692" t="n"/>
      <c r="AJ638" s="692" t="n"/>
      <c r="AK638" s="692" t="n"/>
      <c r="AL638" s="692" t="n"/>
      <c r="AM638" s="692" t="n"/>
      <c r="AN638" s="692" t="n"/>
      <c r="AO638" s="692" t="n"/>
      <c r="AP638" s="692" t="n"/>
      <c r="AQ638" s="692" t="n"/>
      <c r="AR638" s="692" t="n"/>
      <c r="AS638" s="692" t="n"/>
    </row>
    <row r="639">
      <c r="A639" s="692" t="n"/>
      <c r="B639" s="692" t="n"/>
      <c r="C639" s="692" t="n"/>
      <c r="D639" s="692" t="n"/>
      <c r="E639" s="692" t="n"/>
      <c r="F639" s="692" t="n"/>
      <c r="G639" s="692" t="n"/>
      <c r="H639" s="692" t="n"/>
      <c r="I639" s="692" t="n"/>
      <c r="J639" s="692" t="n"/>
      <c r="K639" s="692" t="n"/>
      <c r="L639" s="692" t="n"/>
      <c r="M639" s="692" t="n"/>
      <c r="N639" s="692" t="n"/>
      <c r="O639" s="692" t="n"/>
      <c r="P639" s="692" t="n"/>
      <c r="Q639" s="692" t="n"/>
      <c r="R639" s="692" t="n"/>
      <c r="S639" s="692" t="n"/>
      <c r="T639" s="692" t="n"/>
      <c r="U639" s="692" t="n"/>
      <c r="V639" s="692" t="n"/>
      <c r="W639" s="692" t="n"/>
      <c r="X639" s="692" t="n"/>
      <c r="Y639" s="692" t="n"/>
      <c r="Z639" s="692" t="n"/>
      <c r="AA639" s="692" t="n"/>
      <c r="AB639" s="692" t="n"/>
      <c r="AC639" s="692" t="n"/>
      <c r="AD639" s="692" t="n"/>
      <c r="AE639" s="692" t="n"/>
      <c r="AF639" s="692" t="n"/>
      <c r="AG639" s="692" t="n"/>
      <c r="AH639" s="692" t="n"/>
      <c r="AI639" s="692" t="n"/>
      <c r="AJ639" s="692" t="n"/>
      <c r="AK639" s="692" t="n"/>
      <c r="AL639" s="692" t="n"/>
      <c r="AM639" s="692" t="n"/>
      <c r="AN639" s="692" t="n"/>
      <c r="AO639" s="692" t="n"/>
      <c r="AP639" s="692" t="n"/>
      <c r="AQ639" s="692" t="n"/>
      <c r="AR639" s="692" t="n"/>
      <c r="AS639" s="692" t="n"/>
    </row>
    <row r="640">
      <c r="A640" s="692" t="n"/>
      <c r="B640" s="692" t="n"/>
      <c r="C640" s="692" t="n"/>
      <c r="D640" s="692" t="n"/>
      <c r="E640" s="692" t="n"/>
      <c r="F640" s="692" t="n"/>
      <c r="G640" s="692" t="n"/>
      <c r="H640" s="692" t="n"/>
      <c r="I640" s="692" t="n"/>
      <c r="J640" s="692" t="n"/>
      <c r="K640" s="692" t="n"/>
      <c r="L640" s="692" t="n"/>
      <c r="M640" s="692" t="n"/>
      <c r="N640" s="692" t="n"/>
      <c r="O640" s="692" t="n"/>
      <c r="P640" s="692" t="n"/>
      <c r="Q640" s="692" t="n"/>
      <c r="R640" s="692" t="n"/>
      <c r="S640" s="692" t="n"/>
      <c r="T640" s="692" t="n"/>
      <c r="U640" s="692" t="n"/>
      <c r="V640" s="692" t="n"/>
      <c r="W640" s="692" t="n"/>
      <c r="X640" s="692" t="n"/>
      <c r="Y640" s="692" t="n"/>
      <c r="Z640" s="692" t="n"/>
      <c r="AA640" s="692" t="n"/>
      <c r="AB640" s="692" t="n"/>
      <c r="AC640" s="692" t="n"/>
      <c r="AD640" s="692" t="n"/>
      <c r="AE640" s="692" t="n"/>
      <c r="AF640" s="692" t="n"/>
      <c r="AG640" s="692" t="n"/>
      <c r="AH640" s="692" t="n"/>
      <c r="AI640" s="692" t="n"/>
      <c r="AJ640" s="692" t="n"/>
      <c r="AK640" s="692" t="n"/>
      <c r="AL640" s="692" t="n"/>
      <c r="AM640" s="692" t="n"/>
      <c r="AN640" s="692" t="n"/>
      <c r="AO640" s="692" t="n"/>
      <c r="AP640" s="692" t="n"/>
      <c r="AQ640" s="692" t="n"/>
      <c r="AR640" s="692" t="n"/>
      <c r="AS640" s="692" t="n"/>
    </row>
    <row r="641">
      <c r="A641" s="692" t="n"/>
      <c r="B641" s="692" t="n"/>
      <c r="C641" s="692" t="n"/>
      <c r="D641" s="692" t="n"/>
      <c r="E641" s="692" t="n"/>
      <c r="F641" s="692" t="n"/>
      <c r="G641" s="692" t="n"/>
      <c r="H641" s="692" t="n"/>
      <c r="I641" s="692" t="n"/>
      <c r="J641" s="692" t="n"/>
      <c r="K641" s="692" t="n"/>
      <c r="L641" s="692" t="n"/>
      <c r="M641" s="692" t="n"/>
      <c r="N641" s="692" t="n"/>
      <c r="O641" s="692" t="n"/>
      <c r="P641" s="692" t="n"/>
      <c r="Q641" s="692" t="n"/>
      <c r="R641" s="692" t="n"/>
      <c r="S641" s="692" t="n"/>
      <c r="T641" s="692" t="n"/>
      <c r="U641" s="692" t="n"/>
      <c r="V641" s="692" t="n"/>
      <c r="W641" s="692" t="n"/>
      <c r="X641" s="692" t="n"/>
      <c r="Y641" s="692" t="n"/>
      <c r="Z641" s="692" t="n"/>
      <c r="AA641" s="692" t="n"/>
      <c r="AB641" s="692" t="n"/>
      <c r="AC641" s="692" t="n"/>
      <c r="AD641" s="692" t="n"/>
      <c r="AE641" s="692" t="n"/>
      <c r="AF641" s="692" t="n"/>
      <c r="AG641" s="692" t="n"/>
      <c r="AH641" s="692" t="n"/>
      <c r="AI641" s="692" t="n"/>
      <c r="AJ641" s="692" t="n"/>
      <c r="AK641" s="692" t="n"/>
      <c r="AL641" s="692" t="n"/>
      <c r="AM641" s="692" t="n"/>
      <c r="AN641" s="692" t="n"/>
      <c r="AO641" s="692" t="n"/>
      <c r="AP641" s="692" t="n"/>
      <c r="AQ641" s="692" t="n"/>
      <c r="AR641" s="692" t="n"/>
      <c r="AS641" s="692" t="n"/>
    </row>
    <row r="642">
      <c r="A642" s="692" t="n"/>
      <c r="B642" s="692" t="n"/>
      <c r="C642" s="692" t="n"/>
      <c r="D642" s="692" t="n"/>
      <c r="E642" s="692" t="n"/>
      <c r="F642" s="692" t="n"/>
      <c r="G642" s="692" t="n"/>
      <c r="H642" s="692" t="n"/>
      <c r="I642" s="692" t="n"/>
      <c r="J642" s="692" t="n"/>
      <c r="K642" s="692" t="n"/>
      <c r="L642" s="692" t="n"/>
      <c r="M642" s="692" t="n"/>
      <c r="N642" s="692" t="n"/>
      <c r="O642" s="692" t="n"/>
      <c r="P642" s="692" t="n"/>
      <c r="Q642" s="692" t="n"/>
      <c r="R642" s="692" t="n"/>
      <c r="S642" s="692" t="n"/>
      <c r="T642" s="692" t="n"/>
      <c r="U642" s="692" t="n"/>
      <c r="V642" s="692" t="n"/>
      <c r="W642" s="692" t="n"/>
      <c r="X642" s="692" t="n"/>
      <c r="Y642" s="692" t="n"/>
      <c r="Z642" s="692" t="n"/>
      <c r="AA642" s="692" t="n"/>
      <c r="AB642" s="692" t="n"/>
      <c r="AC642" s="692" t="n"/>
      <c r="AD642" s="692" t="n"/>
      <c r="AE642" s="692" t="n"/>
      <c r="AF642" s="692" t="n"/>
      <c r="AG642" s="692" t="n"/>
      <c r="AH642" s="692" t="n"/>
      <c r="AI642" s="692" t="n"/>
      <c r="AJ642" s="692" t="n"/>
      <c r="AK642" s="692" t="n"/>
      <c r="AL642" s="692" t="n"/>
      <c r="AM642" s="692" t="n"/>
      <c r="AN642" s="692" t="n"/>
      <c r="AO642" s="692" t="n"/>
      <c r="AP642" s="692" t="n"/>
      <c r="AQ642" s="692" t="n"/>
      <c r="AR642" s="692" t="n"/>
      <c r="AS642" s="692" t="n"/>
    </row>
    <row r="643">
      <c r="A643" s="692" t="n"/>
      <c r="B643" s="692" t="n"/>
      <c r="C643" s="692" t="n"/>
      <c r="D643" s="692" t="n"/>
      <c r="E643" s="692" t="n"/>
      <c r="F643" s="692" t="n"/>
      <c r="G643" s="692" t="n"/>
      <c r="H643" s="692" t="n"/>
      <c r="I643" s="692" t="n"/>
      <c r="J643" s="692" t="n"/>
      <c r="K643" s="692" t="n"/>
      <c r="L643" s="692" t="n"/>
      <c r="M643" s="692" t="n"/>
      <c r="N643" s="692" t="n"/>
      <c r="O643" s="692" t="n"/>
      <c r="P643" s="692" t="n"/>
      <c r="Q643" s="692" t="n"/>
      <c r="R643" s="692" t="n"/>
      <c r="S643" s="692" t="n"/>
      <c r="T643" s="692" t="n"/>
      <c r="U643" s="692" t="n"/>
      <c r="V643" s="692" t="n"/>
      <c r="W643" s="692" t="n"/>
      <c r="X643" s="692" t="n"/>
      <c r="Y643" s="692" t="n"/>
      <c r="Z643" s="692" t="n"/>
      <c r="AA643" s="692" t="n"/>
      <c r="AB643" s="692" t="n"/>
      <c r="AC643" s="692" t="n"/>
      <c r="AD643" s="692" t="n"/>
      <c r="AE643" s="692" t="n"/>
      <c r="AF643" s="692" t="n"/>
      <c r="AG643" s="692" t="n"/>
      <c r="AH643" s="692" t="n"/>
      <c r="AI643" s="692" t="n"/>
      <c r="AJ643" s="692" t="n"/>
      <c r="AK643" s="692" t="n"/>
      <c r="AL643" s="692" t="n"/>
      <c r="AM643" s="692" t="n"/>
      <c r="AN643" s="692" t="n"/>
      <c r="AO643" s="692" t="n"/>
      <c r="AP643" s="692" t="n"/>
      <c r="AQ643" s="692" t="n"/>
      <c r="AR643" s="692" t="n"/>
      <c r="AS643" s="692" t="n"/>
    </row>
    <row r="644">
      <c r="A644" s="692" t="n"/>
      <c r="B644" s="692" t="n"/>
      <c r="C644" s="692" t="n"/>
      <c r="D644" s="692" t="n"/>
      <c r="E644" s="692" t="n"/>
      <c r="F644" s="692" t="n"/>
      <c r="G644" s="692" t="n"/>
      <c r="H644" s="692" t="n"/>
      <c r="I644" s="692" t="n"/>
      <c r="J644" s="692" t="n"/>
      <c r="K644" s="692" t="n"/>
      <c r="L644" s="692" t="n"/>
      <c r="M644" s="692" t="n"/>
      <c r="N644" s="692" t="n"/>
      <c r="O644" s="692" t="n"/>
      <c r="P644" s="692" t="n"/>
      <c r="Q644" s="692" t="n"/>
      <c r="R644" s="692" t="n"/>
      <c r="S644" s="692" t="n"/>
      <c r="T644" s="692" t="n"/>
      <c r="U644" s="692" t="n"/>
      <c r="V644" s="692" t="n"/>
      <c r="W644" s="692" t="n"/>
      <c r="X644" s="692" t="n"/>
      <c r="Y644" s="692" t="n"/>
      <c r="Z644" s="692" t="n"/>
      <c r="AA644" s="692" t="n"/>
      <c r="AB644" s="692" t="n"/>
      <c r="AC644" s="692" t="n"/>
      <c r="AD644" s="692" t="n"/>
      <c r="AE644" s="692" t="n"/>
      <c r="AF644" s="692" t="n"/>
      <c r="AG644" s="692" t="n"/>
      <c r="AH644" s="692" t="n"/>
      <c r="AI644" s="692" t="n"/>
      <c r="AJ644" s="692" t="n"/>
      <c r="AK644" s="692" t="n"/>
      <c r="AL644" s="692" t="n"/>
      <c r="AM644" s="692" t="n"/>
      <c r="AN644" s="692" t="n"/>
      <c r="AO644" s="692" t="n"/>
      <c r="AP644" s="692" t="n"/>
      <c r="AQ644" s="692" t="n"/>
      <c r="AR644" s="692" t="n"/>
      <c r="AS644" s="692" t="n"/>
    </row>
    <row r="645">
      <c r="A645" s="692" t="n"/>
      <c r="B645" s="692" t="n"/>
      <c r="C645" s="692" t="n"/>
      <c r="D645" s="692" t="n"/>
      <c r="E645" s="692" t="n"/>
      <c r="F645" s="692" t="n"/>
      <c r="G645" s="692" t="n"/>
      <c r="H645" s="692" t="n"/>
      <c r="I645" s="692" t="n"/>
      <c r="J645" s="692" t="n"/>
      <c r="K645" s="692" t="n"/>
      <c r="L645" s="692" t="n"/>
      <c r="M645" s="692" t="n"/>
      <c r="N645" s="692" t="n"/>
      <c r="O645" s="692" t="n"/>
      <c r="P645" s="692" t="n"/>
      <c r="Q645" s="692" t="n"/>
      <c r="R645" s="692" t="n"/>
      <c r="S645" s="692" t="n"/>
      <c r="T645" s="692" t="n"/>
      <c r="U645" s="692" t="n"/>
      <c r="V645" s="692" t="n"/>
      <c r="W645" s="692" t="n"/>
      <c r="X645" s="692" t="n"/>
      <c r="Y645" s="692" t="n"/>
      <c r="Z645" s="692" t="n"/>
      <c r="AA645" s="692" t="n"/>
      <c r="AB645" s="692" t="n"/>
      <c r="AC645" s="692" t="n"/>
      <c r="AD645" s="692" t="n"/>
      <c r="AE645" s="692" t="n"/>
      <c r="AF645" s="692" t="n"/>
      <c r="AG645" s="692" t="n"/>
      <c r="AH645" s="692" t="n"/>
      <c r="AI645" s="692" t="n"/>
      <c r="AJ645" s="692" t="n"/>
      <c r="AK645" s="692" t="n"/>
      <c r="AL645" s="692" t="n"/>
      <c r="AM645" s="692" t="n"/>
      <c r="AN645" s="692" t="n"/>
      <c r="AO645" s="692" t="n"/>
      <c r="AP645" s="692" t="n"/>
      <c r="AQ645" s="692" t="n"/>
      <c r="AR645" s="692" t="n"/>
      <c r="AS645" s="692" t="n"/>
    </row>
    <row r="646">
      <c r="A646" s="692" t="n"/>
      <c r="B646" s="692" t="n"/>
      <c r="C646" s="692" t="n"/>
      <c r="D646" s="692" t="n"/>
      <c r="E646" s="692" t="n"/>
      <c r="F646" s="692" t="n"/>
      <c r="G646" s="692" t="n"/>
      <c r="H646" s="692" t="n"/>
      <c r="I646" s="692" t="n"/>
      <c r="J646" s="692" t="n"/>
      <c r="K646" s="692" t="n"/>
      <c r="L646" s="692" t="n"/>
      <c r="M646" s="692" t="n"/>
      <c r="N646" s="692" t="n"/>
      <c r="O646" s="692" t="n"/>
      <c r="P646" s="692" t="n"/>
      <c r="Q646" s="692" t="n"/>
      <c r="R646" s="692" t="n"/>
      <c r="S646" s="692" t="n"/>
      <c r="T646" s="692" t="n"/>
      <c r="U646" s="692" t="n"/>
      <c r="V646" s="692" t="n"/>
      <c r="W646" s="692" t="n"/>
      <c r="X646" s="692" t="n"/>
      <c r="Y646" s="692" t="n"/>
      <c r="Z646" s="692" t="n"/>
      <c r="AA646" s="692" t="n"/>
      <c r="AB646" s="692" t="n"/>
      <c r="AC646" s="692" t="n"/>
      <c r="AD646" s="692" t="n"/>
      <c r="AE646" s="692" t="n"/>
      <c r="AF646" s="692" t="n"/>
      <c r="AG646" s="692" t="n"/>
      <c r="AH646" s="692" t="n"/>
      <c r="AI646" s="692" t="n"/>
      <c r="AJ646" s="692" t="n"/>
      <c r="AK646" s="692" t="n"/>
      <c r="AL646" s="692" t="n"/>
      <c r="AM646" s="692" t="n"/>
      <c r="AN646" s="692" t="n"/>
      <c r="AO646" s="692" t="n"/>
      <c r="AP646" s="692" t="n"/>
      <c r="AQ646" s="692" t="n"/>
      <c r="AR646" s="692" t="n"/>
      <c r="AS646" s="692" t="n"/>
    </row>
    <row r="647">
      <c r="A647" s="692" t="n"/>
      <c r="B647" s="692" t="n"/>
      <c r="C647" s="692" t="n"/>
      <c r="D647" s="692" t="n"/>
      <c r="E647" s="692" t="n"/>
      <c r="F647" s="692" t="n"/>
      <c r="G647" s="692" t="n"/>
      <c r="H647" s="692" t="n"/>
      <c r="I647" s="692" t="n"/>
      <c r="J647" s="692" t="n"/>
      <c r="K647" s="692" t="n"/>
      <c r="L647" s="692" t="n"/>
      <c r="M647" s="692" t="n"/>
      <c r="N647" s="692" t="n"/>
      <c r="O647" s="692" t="n"/>
      <c r="P647" s="692" t="n"/>
      <c r="Q647" s="692" t="n"/>
      <c r="R647" s="692" t="n"/>
      <c r="S647" s="692" t="n"/>
      <c r="T647" s="692" t="n"/>
      <c r="U647" s="692" t="n"/>
      <c r="V647" s="692" t="n"/>
      <c r="W647" s="692" t="n"/>
      <c r="X647" s="692" t="n"/>
      <c r="Y647" s="692" t="n"/>
      <c r="Z647" s="692" t="n"/>
      <c r="AA647" s="692" t="n"/>
      <c r="AB647" s="692" t="n"/>
      <c r="AC647" s="692" t="n"/>
      <c r="AD647" s="692" t="n"/>
      <c r="AE647" s="692" t="n"/>
      <c r="AF647" s="692" t="n"/>
      <c r="AG647" s="692" t="n"/>
      <c r="AH647" s="692" t="n"/>
      <c r="AI647" s="692" t="n"/>
      <c r="AJ647" s="692" t="n"/>
      <c r="AK647" s="692" t="n"/>
      <c r="AL647" s="692" t="n"/>
      <c r="AM647" s="692" t="n"/>
      <c r="AN647" s="692" t="n"/>
      <c r="AO647" s="692" t="n"/>
      <c r="AP647" s="692" t="n"/>
      <c r="AQ647" s="692" t="n"/>
      <c r="AR647" s="692" t="n"/>
      <c r="AS647" s="692" t="n"/>
    </row>
    <row r="648">
      <c r="A648" s="692" t="n"/>
      <c r="B648" s="692" t="n"/>
      <c r="C648" s="692" t="n"/>
      <c r="D648" s="692" t="n"/>
      <c r="E648" s="692" t="n"/>
      <c r="F648" s="692" t="n"/>
      <c r="G648" s="692" t="n"/>
      <c r="H648" s="692" t="n"/>
      <c r="I648" s="692" t="n"/>
      <c r="J648" s="692" t="n"/>
      <c r="K648" s="692" t="n"/>
      <c r="L648" s="692" t="n"/>
      <c r="M648" s="692" t="n"/>
      <c r="N648" s="692" t="n"/>
      <c r="O648" s="692" t="n"/>
      <c r="P648" s="692" t="n"/>
      <c r="Q648" s="692" t="n"/>
      <c r="R648" s="692" t="n"/>
      <c r="S648" s="692" t="n"/>
      <c r="T648" s="692" t="n"/>
      <c r="U648" s="692" t="n"/>
      <c r="V648" s="692" t="n"/>
      <c r="W648" s="692" t="n"/>
      <c r="X648" s="692" t="n"/>
      <c r="Y648" s="692" t="n"/>
      <c r="Z648" s="692" t="n"/>
      <c r="AA648" s="692" t="n"/>
      <c r="AB648" s="692" t="n"/>
      <c r="AC648" s="692" t="n"/>
      <c r="AD648" s="692" t="n"/>
      <c r="AE648" s="692" t="n"/>
      <c r="AF648" s="692" t="n"/>
      <c r="AG648" s="692" t="n"/>
      <c r="AH648" s="692" t="n"/>
      <c r="AI648" s="692" t="n"/>
      <c r="AJ648" s="692" t="n"/>
      <c r="AK648" s="692" t="n"/>
      <c r="AL648" s="692" t="n"/>
      <c r="AM648" s="692" t="n"/>
      <c r="AN648" s="692" t="n"/>
      <c r="AO648" s="692" t="n"/>
      <c r="AP648" s="692" t="n"/>
      <c r="AQ648" s="692" t="n"/>
      <c r="AR648" s="692" t="n"/>
      <c r="AS648" s="692" t="n"/>
    </row>
    <row r="649">
      <c r="A649" s="692" t="n"/>
      <c r="B649" s="692" t="n"/>
      <c r="C649" s="692" t="n"/>
      <c r="D649" s="692" t="n"/>
      <c r="E649" s="692" t="n"/>
      <c r="F649" s="692" t="n"/>
      <c r="G649" s="692" t="n"/>
      <c r="H649" s="692" t="n"/>
      <c r="I649" s="692" t="n"/>
      <c r="J649" s="692" t="n"/>
      <c r="K649" s="692" t="n"/>
      <c r="L649" s="692" t="n"/>
      <c r="M649" s="692" t="n"/>
      <c r="N649" s="692" t="n"/>
      <c r="O649" s="692" t="n"/>
      <c r="P649" s="692" t="n"/>
      <c r="Q649" s="692" t="n"/>
      <c r="R649" s="692" t="n"/>
      <c r="S649" s="692" t="n"/>
      <c r="T649" s="692" t="n"/>
      <c r="U649" s="692" t="n"/>
      <c r="V649" s="692" t="n"/>
      <c r="W649" s="692" t="n"/>
      <c r="X649" s="692" t="n"/>
      <c r="Y649" s="692" t="n"/>
      <c r="Z649" s="692" t="n"/>
      <c r="AA649" s="692" t="n"/>
      <c r="AB649" s="692" t="n"/>
      <c r="AC649" s="692" t="n"/>
      <c r="AD649" s="692" t="n"/>
      <c r="AE649" s="692" t="n"/>
      <c r="AF649" s="692" t="n"/>
      <c r="AG649" s="692" t="n"/>
      <c r="AH649" s="692" t="n"/>
      <c r="AI649" s="692" t="n"/>
      <c r="AJ649" s="692" t="n"/>
      <c r="AK649" s="692" t="n"/>
      <c r="AL649" s="692" t="n"/>
      <c r="AM649" s="692" t="n"/>
      <c r="AN649" s="692" t="n"/>
      <c r="AO649" s="692" t="n"/>
      <c r="AP649" s="692" t="n"/>
      <c r="AQ649" s="692" t="n"/>
      <c r="AR649" s="692" t="n"/>
      <c r="AS649" s="692" t="n"/>
    </row>
    <row r="650">
      <c r="A650" s="692" t="n"/>
      <c r="B650" s="692" t="n"/>
      <c r="C650" s="692" t="n"/>
      <c r="D650" s="692" t="n"/>
      <c r="E650" s="692" t="n"/>
      <c r="F650" s="692" t="n"/>
      <c r="G650" s="692" t="n"/>
      <c r="H650" s="692" t="n"/>
      <c r="I650" s="692" t="n"/>
      <c r="J650" s="692" t="n"/>
      <c r="K650" s="692" t="n"/>
      <c r="L650" s="692" t="n"/>
      <c r="M650" s="692" t="n"/>
      <c r="N650" s="692" t="n"/>
      <c r="O650" s="692" t="n"/>
      <c r="P650" s="692" t="n"/>
      <c r="Q650" s="692" t="n"/>
      <c r="R650" s="692" t="n"/>
      <c r="S650" s="692" t="n"/>
      <c r="T650" s="692" t="n"/>
      <c r="U650" s="692" t="n"/>
      <c r="V650" s="692" t="n"/>
      <c r="W650" s="692" t="n"/>
      <c r="X650" s="692" t="n"/>
      <c r="Y650" s="692" t="n"/>
      <c r="Z650" s="692" t="n"/>
      <c r="AA650" s="692" t="n"/>
      <c r="AB650" s="692" t="n"/>
      <c r="AC650" s="692" t="n"/>
      <c r="AD650" s="692" t="n"/>
      <c r="AE650" s="692" t="n"/>
      <c r="AF650" s="692" t="n"/>
      <c r="AG650" s="692" t="n"/>
      <c r="AH650" s="692" t="n"/>
      <c r="AI650" s="692" t="n"/>
      <c r="AJ650" s="692" t="n"/>
      <c r="AK650" s="692" t="n"/>
      <c r="AL650" s="692" t="n"/>
      <c r="AM650" s="692" t="n"/>
      <c r="AN650" s="692" t="n"/>
      <c r="AO650" s="692" t="n"/>
      <c r="AP650" s="692" t="n"/>
      <c r="AQ650" s="692" t="n"/>
      <c r="AR650" s="692" t="n"/>
      <c r="AS650" s="692" t="n"/>
    </row>
    <row r="651">
      <c r="A651" s="692" t="n"/>
      <c r="B651" s="692" t="n"/>
      <c r="C651" s="692" t="n"/>
      <c r="D651" s="692" t="n"/>
      <c r="E651" s="692" t="n"/>
      <c r="F651" s="692" t="n"/>
      <c r="G651" s="692" t="n"/>
      <c r="H651" s="692" t="n"/>
      <c r="I651" s="692" t="n"/>
      <c r="J651" s="692" t="n"/>
      <c r="K651" s="692" t="n"/>
      <c r="L651" s="692" t="n"/>
      <c r="M651" s="692" t="n"/>
      <c r="N651" s="692" t="n"/>
      <c r="O651" s="692" t="n"/>
      <c r="P651" s="692" t="n"/>
      <c r="Q651" s="692" t="n"/>
      <c r="R651" s="692" t="n"/>
      <c r="S651" s="692" t="n"/>
      <c r="T651" s="692" t="n"/>
      <c r="U651" s="692" t="n"/>
      <c r="V651" s="692" t="n"/>
      <c r="W651" s="692" t="n"/>
      <c r="X651" s="692" t="n"/>
      <c r="Y651" s="692" t="n"/>
      <c r="Z651" s="692" t="n"/>
      <c r="AA651" s="692" t="n"/>
      <c r="AB651" s="692" t="n"/>
      <c r="AC651" s="692" t="n"/>
      <c r="AD651" s="692" t="n"/>
      <c r="AE651" s="692" t="n"/>
      <c r="AF651" s="692" t="n"/>
      <c r="AG651" s="692" t="n"/>
      <c r="AH651" s="692" t="n"/>
      <c r="AI651" s="692" t="n"/>
      <c r="AJ651" s="692" t="n"/>
      <c r="AK651" s="692" t="n"/>
      <c r="AL651" s="692" t="n"/>
      <c r="AM651" s="692" t="n"/>
      <c r="AN651" s="692" t="n"/>
      <c r="AO651" s="692" t="n"/>
      <c r="AP651" s="692" t="n"/>
      <c r="AQ651" s="692" t="n"/>
      <c r="AR651" s="692" t="n"/>
      <c r="AS651" s="692" t="n"/>
    </row>
    <row r="652">
      <c r="A652" s="692" t="n"/>
      <c r="B652" s="692" t="n"/>
      <c r="C652" s="692" t="n"/>
      <c r="D652" s="692" t="n"/>
      <c r="E652" s="692" t="n"/>
      <c r="F652" s="692" t="n"/>
      <c r="G652" s="692" t="n"/>
      <c r="H652" s="692" t="n"/>
      <c r="I652" s="692" t="n"/>
      <c r="J652" s="692" t="n"/>
      <c r="K652" s="692" t="n"/>
      <c r="L652" s="692" t="n"/>
      <c r="M652" s="692" t="n"/>
      <c r="N652" s="692" t="n"/>
      <c r="O652" s="692" t="n"/>
      <c r="P652" s="692" t="n"/>
      <c r="Q652" s="692" t="n"/>
      <c r="R652" s="692" t="n"/>
      <c r="S652" s="692" t="n"/>
      <c r="T652" s="692" t="n"/>
      <c r="U652" s="692" t="n"/>
      <c r="V652" s="692" t="n"/>
      <c r="W652" s="692" t="n"/>
      <c r="X652" s="692" t="n"/>
      <c r="Y652" s="692" t="n"/>
      <c r="Z652" s="692" t="n"/>
      <c r="AA652" s="692" t="n"/>
      <c r="AB652" s="692" t="n"/>
      <c r="AC652" s="692" t="n"/>
      <c r="AD652" s="692" t="n"/>
      <c r="AE652" s="692" t="n"/>
      <c r="AF652" s="692" t="n"/>
      <c r="AG652" s="692" t="n"/>
      <c r="AH652" s="692" t="n"/>
      <c r="AI652" s="692" t="n"/>
      <c r="AJ652" s="692" t="n"/>
      <c r="AK652" s="692" t="n"/>
      <c r="AL652" s="692" t="n"/>
      <c r="AM652" s="692" t="n"/>
      <c r="AN652" s="692" t="n"/>
      <c r="AO652" s="692" t="n"/>
      <c r="AP652" s="692" t="n"/>
      <c r="AQ652" s="692" t="n"/>
      <c r="AR652" s="692" t="n"/>
      <c r="AS652" s="692" t="n"/>
    </row>
    <row r="653">
      <c r="A653" s="692" t="n"/>
      <c r="B653" s="692" t="n"/>
      <c r="C653" s="692" t="n"/>
      <c r="D653" s="692" t="n"/>
      <c r="E653" s="692" t="n"/>
      <c r="F653" s="692" t="n"/>
      <c r="G653" s="692" t="n"/>
      <c r="H653" s="692" t="n"/>
      <c r="I653" s="692" t="n"/>
      <c r="J653" s="692" t="n"/>
      <c r="K653" s="692" t="n"/>
      <c r="L653" s="692" t="n"/>
      <c r="M653" s="692" t="n"/>
      <c r="N653" s="692" t="n"/>
      <c r="O653" s="692" t="n"/>
      <c r="P653" s="692" t="n"/>
      <c r="Q653" s="692" t="n"/>
      <c r="R653" s="692" t="n"/>
      <c r="S653" s="692" t="n"/>
      <c r="T653" s="692" t="n"/>
      <c r="U653" s="692" t="n"/>
      <c r="V653" s="692" t="n"/>
      <c r="W653" s="692" t="n"/>
      <c r="X653" s="692" t="n"/>
      <c r="Y653" s="692" t="n"/>
      <c r="Z653" s="692" t="n"/>
      <c r="AA653" s="692" t="n"/>
      <c r="AB653" s="692" t="n"/>
      <c r="AC653" s="692" t="n"/>
      <c r="AD653" s="692" t="n"/>
      <c r="AE653" s="692" t="n"/>
      <c r="AF653" s="692" t="n"/>
      <c r="AG653" s="692" t="n"/>
      <c r="AH653" s="692" t="n"/>
      <c r="AI653" s="692" t="n"/>
      <c r="AJ653" s="692" t="n"/>
      <c r="AK653" s="692" t="n"/>
      <c r="AL653" s="692" t="n"/>
      <c r="AM653" s="692" t="n"/>
      <c r="AN653" s="692" t="n"/>
      <c r="AO653" s="692" t="n"/>
      <c r="AP653" s="692" t="n"/>
      <c r="AQ653" s="692" t="n"/>
      <c r="AR653" s="692" t="n"/>
      <c r="AS653" s="692" t="n"/>
    </row>
    <row r="654">
      <c r="A654" s="692" t="n"/>
      <c r="B654" s="692" t="n"/>
      <c r="C654" s="692" t="n"/>
      <c r="D654" s="692" t="n"/>
      <c r="E654" s="692" t="n"/>
      <c r="F654" s="692" t="n"/>
      <c r="G654" s="692" t="n"/>
      <c r="H654" s="692" t="n"/>
      <c r="I654" s="692" t="n"/>
      <c r="J654" s="692" t="n"/>
      <c r="K654" s="692" t="n"/>
      <c r="L654" s="692" t="n"/>
      <c r="M654" s="692" t="n"/>
      <c r="N654" s="692" t="n"/>
      <c r="O654" s="692" t="n"/>
      <c r="P654" s="692" t="n"/>
      <c r="Q654" s="692" t="n"/>
      <c r="R654" s="692" t="n"/>
      <c r="S654" s="692" t="n"/>
      <c r="T654" s="692" t="n"/>
      <c r="U654" s="692" t="n"/>
      <c r="V654" s="692" t="n"/>
      <c r="W654" s="692" t="n"/>
      <c r="X654" s="692" t="n"/>
      <c r="Y654" s="692" t="n"/>
      <c r="Z654" s="692" t="n"/>
      <c r="AA654" s="692" t="n"/>
      <c r="AB654" s="692" t="n"/>
      <c r="AC654" s="692" t="n"/>
      <c r="AD654" s="692" t="n"/>
      <c r="AE654" s="692" t="n"/>
      <c r="AF654" s="692" t="n"/>
      <c r="AG654" s="692" t="n"/>
      <c r="AH654" s="692" t="n"/>
      <c r="AI654" s="692" t="n"/>
      <c r="AJ654" s="692" t="n"/>
      <c r="AK654" s="692" t="n"/>
      <c r="AL654" s="692" t="n"/>
      <c r="AM654" s="692" t="n"/>
      <c r="AN654" s="692" t="n"/>
      <c r="AO654" s="692" t="n"/>
      <c r="AP654" s="692" t="n"/>
      <c r="AQ654" s="692" t="n"/>
      <c r="AR654" s="692" t="n"/>
      <c r="AS654" s="692" t="n"/>
    </row>
    <row r="655">
      <c r="A655" s="692" t="n"/>
      <c r="B655" s="692" t="n"/>
      <c r="C655" s="692" t="n"/>
      <c r="D655" s="692" t="n"/>
      <c r="E655" s="692" t="n"/>
      <c r="F655" s="692" t="n"/>
      <c r="G655" s="692" t="n"/>
      <c r="H655" s="692" t="n"/>
      <c r="I655" s="692" t="n"/>
      <c r="J655" s="692" t="n"/>
      <c r="K655" s="692" t="n"/>
      <c r="L655" s="692" t="n"/>
      <c r="M655" s="692" t="n"/>
      <c r="N655" s="692" t="n"/>
      <c r="O655" s="692" t="n"/>
      <c r="P655" s="692" t="n"/>
      <c r="Q655" s="692" t="n"/>
      <c r="R655" s="692" t="n"/>
      <c r="S655" s="692" t="n"/>
      <c r="T655" s="692" t="n"/>
      <c r="U655" s="692" t="n"/>
      <c r="V655" s="692" t="n"/>
      <c r="W655" s="692" t="n"/>
      <c r="X655" s="692" t="n"/>
      <c r="Y655" s="692" t="n"/>
      <c r="Z655" s="692" t="n"/>
      <c r="AA655" s="692" t="n"/>
      <c r="AB655" s="692" t="n"/>
      <c r="AC655" s="692" t="n"/>
      <c r="AD655" s="692" t="n"/>
      <c r="AE655" s="692" t="n"/>
      <c r="AF655" s="692" t="n"/>
      <c r="AG655" s="692" t="n"/>
      <c r="AH655" s="692" t="n"/>
      <c r="AI655" s="692" t="n"/>
      <c r="AJ655" s="692" t="n"/>
      <c r="AK655" s="692" t="n"/>
      <c r="AL655" s="692" t="n"/>
      <c r="AM655" s="692" t="n"/>
      <c r="AN655" s="692" t="n"/>
      <c r="AO655" s="692" t="n"/>
      <c r="AP655" s="692" t="n"/>
      <c r="AQ655" s="692" t="n"/>
      <c r="AR655" s="692" t="n"/>
      <c r="AS655" s="692" t="n"/>
    </row>
    <row r="656">
      <c r="A656" s="692" t="n"/>
      <c r="B656" s="692" t="n"/>
      <c r="C656" s="692" t="n"/>
      <c r="D656" s="692" t="n"/>
      <c r="E656" s="692" t="n"/>
      <c r="F656" s="692" t="n"/>
      <c r="G656" s="692" t="n"/>
      <c r="H656" s="692" t="n"/>
      <c r="I656" s="692" t="n"/>
      <c r="J656" s="692" t="n"/>
      <c r="K656" s="692" t="n"/>
      <c r="L656" s="692" t="n"/>
      <c r="M656" s="692" t="n"/>
      <c r="N656" s="692" t="n"/>
      <c r="O656" s="692" t="n"/>
      <c r="P656" s="692" t="n"/>
      <c r="Q656" s="692" t="n"/>
      <c r="R656" s="692" t="n"/>
      <c r="S656" s="692" t="n"/>
      <c r="T656" s="692" t="n"/>
      <c r="U656" s="692" t="n"/>
      <c r="V656" s="692" t="n"/>
      <c r="W656" s="692" t="n"/>
      <c r="X656" s="692" t="n"/>
      <c r="Y656" s="692" t="n"/>
      <c r="Z656" s="692" t="n"/>
      <c r="AA656" s="692" t="n"/>
      <c r="AB656" s="692" t="n"/>
      <c r="AC656" s="692" t="n"/>
      <c r="AD656" s="692" t="n"/>
      <c r="AE656" s="692" t="n"/>
      <c r="AF656" s="692" t="n"/>
      <c r="AG656" s="692" t="n"/>
      <c r="AH656" s="692" t="n"/>
      <c r="AI656" s="692" t="n"/>
      <c r="AJ656" s="692" t="n"/>
      <c r="AK656" s="692" t="n"/>
      <c r="AL656" s="692" t="n"/>
      <c r="AM656" s="692" t="n"/>
      <c r="AN656" s="692" t="n"/>
      <c r="AO656" s="692" t="n"/>
      <c r="AP656" s="692" t="n"/>
      <c r="AQ656" s="692" t="n"/>
      <c r="AR656" s="692" t="n"/>
      <c r="AS656" s="692" t="n"/>
    </row>
    <row r="657">
      <c r="A657" s="692" t="n"/>
      <c r="B657" s="692" t="n"/>
      <c r="C657" s="692" t="n"/>
      <c r="D657" s="692" t="n"/>
      <c r="E657" s="692" t="n"/>
      <c r="F657" s="692" t="n"/>
      <c r="G657" s="692" t="n"/>
      <c r="H657" s="692" t="n"/>
      <c r="I657" s="692" t="n"/>
      <c r="J657" s="692" t="n"/>
      <c r="K657" s="692" t="n"/>
      <c r="L657" s="692" t="n"/>
      <c r="M657" s="692" t="n"/>
      <c r="N657" s="692" t="n"/>
      <c r="O657" s="692" t="n"/>
      <c r="P657" s="692" t="n"/>
      <c r="Q657" s="692" t="n"/>
      <c r="R657" s="692" t="n"/>
      <c r="S657" s="692" t="n"/>
      <c r="T657" s="692" t="n"/>
      <c r="U657" s="692" t="n"/>
      <c r="V657" s="692" t="n"/>
      <c r="W657" s="692" t="n"/>
      <c r="X657" s="692" t="n"/>
      <c r="Y657" s="692" t="n"/>
      <c r="Z657" s="692" t="n"/>
      <c r="AA657" s="692" t="n"/>
      <c r="AB657" s="692" t="n"/>
      <c r="AC657" s="692" t="n"/>
      <c r="AD657" s="692" t="n"/>
      <c r="AE657" s="692" t="n"/>
      <c r="AF657" s="692" t="n"/>
      <c r="AG657" s="692" t="n"/>
      <c r="AH657" s="692" t="n"/>
      <c r="AI657" s="692" t="n"/>
      <c r="AJ657" s="692" t="n"/>
      <c r="AK657" s="692" t="n"/>
      <c r="AL657" s="692" t="n"/>
      <c r="AM657" s="692" t="n"/>
      <c r="AN657" s="692" t="n"/>
      <c r="AO657" s="692" t="n"/>
      <c r="AP657" s="692" t="n"/>
      <c r="AQ657" s="692" t="n"/>
      <c r="AR657" s="692" t="n"/>
      <c r="AS657" s="692" t="n"/>
    </row>
    <row r="658">
      <c r="A658" s="692" t="n"/>
      <c r="B658" s="692" t="n"/>
      <c r="C658" s="692" t="n"/>
      <c r="D658" s="692" t="n"/>
      <c r="E658" s="692" t="n"/>
      <c r="F658" s="692" t="n"/>
      <c r="G658" s="692" t="n"/>
      <c r="H658" s="692" t="n"/>
      <c r="I658" s="692" t="n"/>
      <c r="J658" s="692" t="n"/>
      <c r="K658" s="692" t="n"/>
      <c r="L658" s="692" t="n"/>
      <c r="M658" s="692" t="n"/>
      <c r="N658" s="692" t="n"/>
      <c r="O658" s="692" t="n"/>
      <c r="P658" s="692" t="n"/>
      <c r="Q658" s="692" t="n"/>
      <c r="R658" s="692" t="n"/>
      <c r="S658" s="692" t="n"/>
      <c r="T658" s="692" t="n"/>
      <c r="U658" s="692" t="n"/>
      <c r="V658" s="692" t="n"/>
      <c r="W658" s="692" t="n"/>
      <c r="X658" s="692" t="n"/>
      <c r="Y658" s="692" t="n"/>
      <c r="Z658" s="692" t="n"/>
      <c r="AA658" s="692" t="n"/>
      <c r="AB658" s="692" t="n"/>
      <c r="AC658" s="692" t="n"/>
      <c r="AD658" s="692" t="n"/>
      <c r="AE658" s="692" t="n"/>
      <c r="AF658" s="692" t="n"/>
      <c r="AG658" s="692" t="n"/>
      <c r="AH658" s="692" t="n"/>
      <c r="AI658" s="692" t="n"/>
      <c r="AJ658" s="692" t="n"/>
      <c r="AK658" s="692" t="n"/>
      <c r="AL658" s="692" t="n"/>
      <c r="AM658" s="692" t="n"/>
      <c r="AN658" s="692" t="n"/>
      <c r="AO658" s="692" t="n"/>
      <c r="AP658" s="692" t="n"/>
      <c r="AQ658" s="692" t="n"/>
      <c r="AR658" s="692" t="n"/>
      <c r="AS658" s="692" t="n"/>
    </row>
    <row r="659">
      <c r="A659" s="692" t="n"/>
      <c r="B659" s="692" t="n"/>
      <c r="C659" s="692" t="n"/>
      <c r="D659" s="692" t="n"/>
      <c r="E659" s="692" t="n"/>
      <c r="F659" s="692" t="n"/>
      <c r="G659" s="692" t="n"/>
      <c r="H659" s="692" t="n"/>
      <c r="I659" s="692" t="n"/>
      <c r="J659" s="692" t="n"/>
      <c r="K659" s="692" t="n"/>
      <c r="L659" s="692" t="n"/>
      <c r="M659" s="692" t="n"/>
      <c r="N659" s="692" t="n"/>
      <c r="O659" s="692" t="n"/>
      <c r="P659" s="692" t="n"/>
      <c r="Q659" s="692" t="n"/>
      <c r="R659" s="692" t="n"/>
      <c r="S659" s="692" t="n"/>
      <c r="T659" s="692" t="n"/>
      <c r="U659" s="692" t="n"/>
      <c r="V659" s="692" t="n"/>
      <c r="W659" s="692" t="n"/>
      <c r="X659" s="692" t="n"/>
      <c r="Y659" s="692" t="n"/>
      <c r="Z659" s="692" t="n"/>
      <c r="AA659" s="692" t="n"/>
      <c r="AB659" s="692" t="n"/>
      <c r="AC659" s="692" t="n"/>
      <c r="AD659" s="692" t="n"/>
      <c r="AE659" s="692" t="n"/>
      <c r="AF659" s="692" t="n"/>
      <c r="AG659" s="692" t="n"/>
      <c r="AH659" s="692" t="n"/>
      <c r="AI659" s="692" t="n"/>
      <c r="AJ659" s="692" t="n"/>
      <c r="AK659" s="692" t="n"/>
      <c r="AL659" s="692" t="n"/>
      <c r="AM659" s="692" t="n"/>
      <c r="AN659" s="692" t="n"/>
      <c r="AO659" s="692" t="n"/>
      <c r="AP659" s="692" t="n"/>
      <c r="AQ659" s="692" t="n"/>
      <c r="AR659" s="692" t="n"/>
      <c r="AS659" s="692" t="n"/>
    </row>
    <row r="660">
      <c r="A660" s="692" t="n"/>
      <c r="B660" s="692" t="n"/>
      <c r="C660" s="692" t="n"/>
      <c r="D660" s="692" t="n"/>
      <c r="E660" s="692" t="n"/>
      <c r="F660" s="692" t="n"/>
      <c r="G660" s="692" t="n"/>
      <c r="H660" s="692" t="n"/>
      <c r="I660" s="692" t="n"/>
      <c r="J660" s="692" t="n"/>
      <c r="K660" s="692" t="n"/>
      <c r="L660" s="692" t="n"/>
      <c r="M660" s="692" t="n"/>
      <c r="N660" s="692" t="n"/>
      <c r="O660" s="692" t="n"/>
      <c r="P660" s="692" t="n"/>
      <c r="Q660" s="692" t="n"/>
      <c r="R660" s="692" t="n"/>
      <c r="S660" s="692" t="n"/>
      <c r="T660" s="692" t="n"/>
      <c r="U660" s="692" t="n"/>
      <c r="V660" s="692" t="n"/>
      <c r="W660" s="692" t="n"/>
      <c r="X660" s="692" t="n"/>
      <c r="Y660" s="692" t="n"/>
      <c r="Z660" s="692" t="n"/>
      <c r="AA660" s="692" t="n"/>
      <c r="AB660" s="692" t="n"/>
      <c r="AC660" s="692" t="n"/>
      <c r="AD660" s="692" t="n"/>
      <c r="AE660" s="692" t="n"/>
      <c r="AF660" s="692" t="n"/>
      <c r="AG660" s="692" t="n"/>
      <c r="AH660" s="692" t="n"/>
      <c r="AI660" s="692" t="n"/>
      <c r="AJ660" s="692" t="n"/>
      <c r="AK660" s="692" t="n"/>
      <c r="AL660" s="692" t="n"/>
      <c r="AM660" s="692" t="n"/>
      <c r="AN660" s="692" t="n"/>
      <c r="AO660" s="692" t="n"/>
      <c r="AP660" s="692" t="n"/>
      <c r="AQ660" s="692" t="n"/>
      <c r="AR660" s="692" t="n"/>
      <c r="AS660" s="692" t="n"/>
    </row>
    <row r="661">
      <c r="A661" s="692" t="n"/>
      <c r="B661" s="692" t="n"/>
      <c r="C661" s="692" t="n"/>
      <c r="D661" s="692" t="n"/>
      <c r="E661" s="692" t="n"/>
      <c r="F661" s="692" t="n"/>
      <c r="G661" s="692" t="n"/>
      <c r="H661" s="692" t="n"/>
      <c r="I661" s="692" t="n"/>
      <c r="J661" s="692" t="n"/>
      <c r="K661" s="692" t="n"/>
      <c r="L661" s="692" t="n"/>
      <c r="M661" s="692" t="n"/>
      <c r="N661" s="692" t="n"/>
      <c r="O661" s="692" t="n"/>
      <c r="P661" s="692" t="n"/>
      <c r="Q661" s="692" t="n"/>
      <c r="R661" s="692" t="n"/>
      <c r="S661" s="692" t="n"/>
      <c r="T661" s="692" t="n"/>
      <c r="U661" s="692" t="n"/>
      <c r="V661" s="692" t="n"/>
      <c r="W661" s="692" t="n"/>
      <c r="X661" s="692" t="n"/>
      <c r="Y661" s="692" t="n"/>
      <c r="Z661" s="692" t="n"/>
      <c r="AA661" s="692" t="n"/>
      <c r="AB661" s="692" t="n"/>
      <c r="AC661" s="692" t="n"/>
      <c r="AD661" s="692" t="n"/>
      <c r="AE661" s="692" t="n"/>
      <c r="AF661" s="692" t="n"/>
      <c r="AG661" s="692" t="n"/>
      <c r="AH661" s="692" t="n"/>
      <c r="AI661" s="692" t="n"/>
      <c r="AJ661" s="692" t="n"/>
      <c r="AK661" s="692" t="n"/>
      <c r="AL661" s="692" t="n"/>
      <c r="AM661" s="692" t="n"/>
      <c r="AN661" s="692" t="n"/>
      <c r="AO661" s="692" t="n"/>
      <c r="AP661" s="692" t="n"/>
      <c r="AQ661" s="692" t="n"/>
      <c r="AR661" s="692" t="n"/>
      <c r="AS661" s="692" t="n"/>
    </row>
    <row r="662">
      <c r="A662" s="692" t="n"/>
      <c r="B662" s="692" t="n"/>
      <c r="C662" s="692" t="n"/>
      <c r="D662" s="692" t="n"/>
      <c r="E662" s="692" t="n"/>
      <c r="F662" s="692" t="n"/>
      <c r="G662" s="692" t="n"/>
      <c r="H662" s="692" t="n"/>
      <c r="I662" s="692" t="n"/>
      <c r="J662" s="692" t="n"/>
      <c r="K662" s="692" t="n"/>
      <c r="L662" s="692" t="n"/>
      <c r="M662" s="692" t="n"/>
      <c r="N662" s="692" t="n"/>
      <c r="O662" s="692" t="n"/>
      <c r="P662" s="692" t="n"/>
      <c r="Q662" s="692" t="n"/>
      <c r="R662" s="692" t="n"/>
      <c r="S662" s="692" t="n"/>
      <c r="T662" s="692" t="n"/>
      <c r="U662" s="692" t="n"/>
      <c r="V662" s="692" t="n"/>
      <c r="W662" s="692" t="n"/>
      <c r="X662" s="692" t="n"/>
      <c r="Y662" s="692" t="n"/>
      <c r="Z662" s="692" t="n"/>
      <c r="AA662" s="692" t="n"/>
      <c r="AB662" s="692" t="n"/>
      <c r="AC662" s="692" t="n"/>
      <c r="AD662" s="692" t="n"/>
      <c r="AE662" s="692" t="n"/>
      <c r="AF662" s="692" t="n"/>
      <c r="AG662" s="692" t="n"/>
      <c r="AH662" s="692" t="n"/>
      <c r="AI662" s="692" t="n"/>
      <c r="AJ662" s="692" t="n"/>
      <c r="AK662" s="692" t="n"/>
      <c r="AL662" s="692" t="n"/>
      <c r="AM662" s="692" t="n"/>
      <c r="AN662" s="692" t="n"/>
      <c r="AO662" s="692" t="n"/>
      <c r="AP662" s="692" t="n"/>
      <c r="AQ662" s="692" t="n"/>
      <c r="AR662" s="692" t="n"/>
      <c r="AS662" s="692" t="n"/>
    </row>
    <row r="663">
      <c r="A663" s="692" t="n"/>
      <c r="B663" s="692" t="n"/>
      <c r="C663" s="692" t="n"/>
      <c r="D663" s="692" t="n"/>
      <c r="E663" s="692" t="n"/>
      <c r="F663" s="692" t="n"/>
      <c r="G663" s="692" t="n"/>
      <c r="H663" s="692" t="n"/>
      <c r="I663" s="692" t="n"/>
      <c r="J663" s="692" t="n"/>
      <c r="K663" s="692" t="n"/>
      <c r="L663" s="692" t="n"/>
      <c r="M663" s="692" t="n"/>
      <c r="N663" s="692" t="n"/>
      <c r="O663" s="692" t="n"/>
      <c r="P663" s="692" t="n"/>
      <c r="Q663" s="692" t="n"/>
      <c r="R663" s="692" t="n"/>
      <c r="S663" s="692" t="n"/>
      <c r="T663" s="692" t="n"/>
      <c r="U663" s="692" t="n"/>
      <c r="V663" s="692" t="n"/>
      <c r="W663" s="692" t="n"/>
      <c r="X663" s="692" t="n"/>
      <c r="Y663" s="692" t="n"/>
      <c r="Z663" s="692" t="n"/>
      <c r="AA663" s="692" t="n"/>
      <c r="AB663" s="692" t="n"/>
      <c r="AC663" s="692" t="n"/>
      <c r="AD663" s="692" t="n"/>
      <c r="AE663" s="692" t="n"/>
      <c r="AF663" s="692" t="n"/>
      <c r="AG663" s="692" t="n"/>
      <c r="AH663" s="692" t="n"/>
      <c r="AI663" s="692" t="n"/>
      <c r="AJ663" s="692" t="n"/>
      <c r="AK663" s="692" t="n"/>
      <c r="AL663" s="692" t="n"/>
      <c r="AM663" s="692" t="n"/>
      <c r="AN663" s="692" t="n"/>
      <c r="AO663" s="692" t="n"/>
      <c r="AP663" s="692" t="n"/>
      <c r="AQ663" s="692" t="n"/>
      <c r="AR663" s="692" t="n"/>
      <c r="AS663" s="692" t="n"/>
    </row>
    <row r="664">
      <c r="A664" s="692" t="n"/>
      <c r="B664" s="692" t="n"/>
      <c r="C664" s="692" t="n"/>
      <c r="D664" s="692" t="n"/>
      <c r="E664" s="692" t="n"/>
      <c r="F664" s="692" t="n"/>
      <c r="G664" s="692" t="n"/>
      <c r="H664" s="692" t="n"/>
      <c r="I664" s="692" t="n"/>
      <c r="J664" s="692" t="n"/>
      <c r="K664" s="692" t="n"/>
      <c r="L664" s="692" t="n"/>
      <c r="M664" s="692" t="n"/>
      <c r="N664" s="692" t="n"/>
      <c r="O664" s="692" t="n"/>
      <c r="P664" s="692" t="n"/>
      <c r="Q664" s="692" t="n"/>
      <c r="R664" s="692" t="n"/>
      <c r="S664" s="692" t="n"/>
      <c r="T664" s="692" t="n"/>
      <c r="U664" s="692" t="n"/>
      <c r="V664" s="692" t="n"/>
      <c r="W664" s="692" t="n"/>
      <c r="X664" s="692" t="n"/>
      <c r="Y664" s="692" t="n"/>
      <c r="Z664" s="692" t="n"/>
      <c r="AA664" s="692" t="n"/>
      <c r="AB664" s="692" t="n"/>
      <c r="AC664" s="692" t="n"/>
      <c r="AD664" s="692" t="n"/>
      <c r="AE664" s="692" t="n"/>
      <c r="AF664" s="692" t="n"/>
      <c r="AG664" s="692" t="n"/>
      <c r="AH664" s="692" t="n"/>
      <c r="AI664" s="692" t="n"/>
      <c r="AJ664" s="692" t="n"/>
      <c r="AK664" s="692" t="n"/>
      <c r="AL664" s="692" t="n"/>
      <c r="AM664" s="692" t="n"/>
      <c r="AN664" s="692" t="n"/>
      <c r="AO664" s="692" t="n"/>
      <c r="AP664" s="692" t="n"/>
      <c r="AQ664" s="692" t="n"/>
      <c r="AR664" s="692" t="n"/>
      <c r="AS664" s="692" t="n"/>
    </row>
    <row r="665">
      <c r="A665" s="692" t="n"/>
      <c r="B665" s="692" t="n"/>
      <c r="C665" s="692" t="n"/>
      <c r="D665" s="692" t="n"/>
      <c r="E665" s="692" t="n"/>
      <c r="F665" s="692" t="n"/>
      <c r="G665" s="692" t="n"/>
      <c r="H665" s="692" t="n"/>
      <c r="I665" s="692" t="n"/>
      <c r="J665" s="692" t="n"/>
      <c r="K665" s="692" t="n"/>
      <c r="L665" s="692" t="n"/>
      <c r="M665" s="692" t="n"/>
      <c r="N665" s="692" t="n"/>
      <c r="O665" s="692" t="n"/>
      <c r="P665" s="692" t="n"/>
      <c r="Q665" s="692" t="n"/>
      <c r="R665" s="692" t="n"/>
      <c r="S665" s="692" t="n"/>
      <c r="T665" s="692" t="n"/>
      <c r="U665" s="692" t="n"/>
      <c r="V665" s="692" t="n"/>
      <c r="W665" s="692" t="n"/>
      <c r="X665" s="692" t="n"/>
      <c r="Y665" s="692" t="n"/>
      <c r="Z665" s="692" t="n"/>
      <c r="AA665" s="692" t="n"/>
      <c r="AB665" s="692" t="n"/>
      <c r="AC665" s="692" t="n"/>
      <c r="AD665" s="692" t="n"/>
      <c r="AE665" s="692" t="n"/>
      <c r="AF665" s="692" t="n"/>
      <c r="AG665" s="692" t="n"/>
      <c r="AH665" s="692" t="n"/>
      <c r="AI665" s="692" t="n"/>
      <c r="AJ665" s="692" t="n"/>
      <c r="AK665" s="692" t="n"/>
      <c r="AL665" s="692" t="n"/>
      <c r="AM665" s="692" t="n"/>
      <c r="AN665" s="692" t="n"/>
      <c r="AO665" s="692" t="n"/>
      <c r="AP665" s="692" t="n"/>
      <c r="AQ665" s="692" t="n"/>
      <c r="AR665" s="692" t="n"/>
      <c r="AS665" s="692" t="n"/>
    </row>
    <row r="666">
      <c r="A666" s="692" t="n"/>
      <c r="B666" s="692" t="n"/>
      <c r="C666" s="692" t="n"/>
      <c r="D666" s="692" t="n"/>
      <c r="E666" s="692" t="n"/>
      <c r="F666" s="692" t="n"/>
      <c r="G666" s="692" t="n"/>
      <c r="H666" s="692" t="n"/>
      <c r="I666" s="692" t="n"/>
      <c r="J666" s="692" t="n"/>
      <c r="K666" s="692" t="n"/>
      <c r="L666" s="692" t="n"/>
      <c r="M666" s="692" t="n"/>
      <c r="N666" s="692" t="n"/>
      <c r="O666" s="692" t="n"/>
      <c r="P666" s="692" t="n"/>
      <c r="Q666" s="692" t="n"/>
      <c r="R666" s="692" t="n"/>
      <c r="S666" s="692" t="n"/>
      <c r="T666" s="692" t="n"/>
      <c r="U666" s="692" t="n"/>
      <c r="V666" s="692" t="n"/>
      <c r="W666" s="692" t="n"/>
      <c r="X666" s="692" t="n"/>
      <c r="Y666" s="692" t="n"/>
      <c r="Z666" s="692" t="n"/>
      <c r="AA666" s="692" t="n"/>
      <c r="AB666" s="692" t="n"/>
      <c r="AC666" s="692" t="n"/>
      <c r="AD666" s="692" t="n"/>
      <c r="AE666" s="692" t="n"/>
      <c r="AF666" s="692" t="n"/>
      <c r="AG666" s="692" t="n"/>
      <c r="AH666" s="692" t="n"/>
      <c r="AI666" s="692" t="n"/>
      <c r="AJ666" s="692" t="n"/>
      <c r="AK666" s="692" t="n"/>
      <c r="AL666" s="692" t="n"/>
      <c r="AM666" s="692" t="n"/>
      <c r="AN666" s="692" t="n"/>
      <c r="AO666" s="692" t="n"/>
      <c r="AP666" s="692" t="n"/>
      <c r="AQ666" s="692" t="n"/>
      <c r="AR666" s="692" t="n"/>
      <c r="AS666" s="692" t="n"/>
    </row>
    <row r="667">
      <c r="A667" s="692" t="n"/>
      <c r="B667" s="692" t="n"/>
      <c r="C667" s="692" t="n"/>
      <c r="D667" s="692" t="n"/>
      <c r="E667" s="692" t="n"/>
      <c r="F667" s="692" t="n"/>
      <c r="G667" s="692" t="n"/>
      <c r="H667" s="692" t="n"/>
      <c r="I667" s="692" t="n"/>
      <c r="J667" s="692" t="n"/>
      <c r="K667" s="692" t="n"/>
      <c r="L667" s="692" t="n"/>
      <c r="M667" s="692" t="n"/>
      <c r="N667" s="692" t="n"/>
      <c r="O667" s="692" t="n"/>
      <c r="P667" s="692" t="n"/>
      <c r="Q667" s="692" t="n"/>
      <c r="R667" s="692" t="n"/>
      <c r="S667" s="692" t="n"/>
      <c r="T667" s="692" t="n"/>
      <c r="U667" s="692" t="n"/>
      <c r="V667" s="692" t="n"/>
      <c r="W667" s="692" t="n"/>
      <c r="X667" s="692" t="n"/>
      <c r="Y667" s="692" t="n"/>
      <c r="Z667" s="692" t="n"/>
      <c r="AA667" s="692" t="n"/>
      <c r="AB667" s="692" t="n"/>
      <c r="AC667" s="692" t="n"/>
      <c r="AD667" s="692" t="n"/>
      <c r="AE667" s="692" t="n"/>
      <c r="AF667" s="692" t="n"/>
      <c r="AG667" s="692" t="n"/>
      <c r="AH667" s="692" t="n"/>
      <c r="AI667" s="692" t="n"/>
      <c r="AJ667" s="692" t="n"/>
      <c r="AK667" s="692" t="n"/>
      <c r="AL667" s="692" t="n"/>
      <c r="AM667" s="692" t="n"/>
      <c r="AN667" s="692" t="n"/>
      <c r="AO667" s="692" t="n"/>
      <c r="AP667" s="692" t="n"/>
      <c r="AQ667" s="692" t="n"/>
      <c r="AR667" s="692" t="n"/>
      <c r="AS667" s="692" t="n"/>
    </row>
    <row r="668">
      <c r="A668" s="692" t="n"/>
      <c r="B668" s="692" t="n"/>
      <c r="C668" s="692" t="n"/>
      <c r="D668" s="692" t="n"/>
      <c r="E668" s="692" t="n"/>
      <c r="F668" s="692" t="n"/>
      <c r="G668" s="692" t="n"/>
      <c r="H668" s="692" t="n"/>
      <c r="I668" s="692" t="n"/>
      <c r="J668" s="692" t="n"/>
      <c r="K668" s="692" t="n"/>
      <c r="L668" s="692" t="n"/>
      <c r="M668" s="692" t="n"/>
      <c r="N668" s="692" t="n"/>
      <c r="O668" s="692" t="n"/>
      <c r="P668" s="692" t="n"/>
      <c r="Q668" s="692" t="n"/>
      <c r="R668" s="692" t="n"/>
      <c r="S668" s="692" t="n"/>
      <c r="T668" s="692" t="n"/>
      <c r="U668" s="692" t="n"/>
      <c r="V668" s="692" t="n"/>
      <c r="W668" s="692" t="n"/>
      <c r="X668" s="692" t="n"/>
      <c r="Y668" s="692" t="n"/>
      <c r="Z668" s="692" t="n"/>
      <c r="AA668" s="692" t="n"/>
      <c r="AB668" s="692" t="n"/>
      <c r="AC668" s="692" t="n"/>
      <c r="AD668" s="692" t="n"/>
      <c r="AE668" s="692" t="n"/>
      <c r="AF668" s="692" t="n"/>
      <c r="AG668" s="692" t="n"/>
      <c r="AH668" s="692" t="n"/>
      <c r="AI668" s="692" t="n"/>
      <c r="AJ668" s="692" t="n"/>
      <c r="AK668" s="692" t="n"/>
      <c r="AL668" s="692" t="n"/>
      <c r="AM668" s="692" t="n"/>
      <c r="AN668" s="692" t="n"/>
      <c r="AO668" s="692" t="n"/>
      <c r="AP668" s="692" t="n"/>
      <c r="AQ668" s="692" t="n"/>
      <c r="AR668" s="692" t="n"/>
      <c r="AS668" s="692" t="n"/>
    </row>
    <row r="669">
      <c r="A669" s="692" t="n"/>
      <c r="B669" s="692" t="n"/>
      <c r="C669" s="692" t="n"/>
      <c r="D669" s="692" t="n"/>
      <c r="E669" s="692" t="n"/>
      <c r="F669" s="692" t="n"/>
      <c r="G669" s="692" t="n"/>
      <c r="H669" s="692" t="n"/>
      <c r="I669" s="692" t="n"/>
      <c r="J669" s="692" t="n"/>
      <c r="K669" s="692" t="n"/>
      <c r="L669" s="692" t="n"/>
      <c r="M669" s="692" t="n"/>
      <c r="N669" s="692" t="n"/>
      <c r="O669" s="692" t="n"/>
      <c r="P669" s="692" t="n"/>
      <c r="Q669" s="692" t="n"/>
      <c r="R669" s="692" t="n"/>
      <c r="S669" s="692" t="n"/>
      <c r="T669" s="692" t="n"/>
      <c r="U669" s="692" t="n"/>
      <c r="V669" s="692" t="n"/>
      <c r="W669" s="692" t="n"/>
      <c r="X669" s="692" t="n"/>
      <c r="Y669" s="692" t="n"/>
      <c r="Z669" s="692" t="n"/>
      <c r="AA669" s="692" t="n"/>
      <c r="AB669" s="692" t="n"/>
      <c r="AC669" s="692" t="n"/>
      <c r="AD669" s="692" t="n"/>
      <c r="AE669" s="692" t="n"/>
      <c r="AF669" s="692" t="n"/>
      <c r="AG669" s="692" t="n"/>
      <c r="AH669" s="692" t="n"/>
      <c r="AI669" s="692" t="n"/>
      <c r="AJ669" s="692" t="n"/>
      <c r="AK669" s="692" t="n"/>
      <c r="AL669" s="692" t="n"/>
      <c r="AM669" s="692" t="n"/>
      <c r="AN669" s="692" t="n"/>
      <c r="AO669" s="692" t="n"/>
      <c r="AP669" s="692" t="n"/>
      <c r="AQ669" s="692" t="n"/>
      <c r="AR669" s="692" t="n"/>
      <c r="AS669" s="692" t="n"/>
    </row>
    <row r="670">
      <c r="A670" s="692" t="n"/>
      <c r="B670" s="692" t="n"/>
      <c r="C670" s="692" t="n"/>
      <c r="D670" s="692" t="n"/>
      <c r="E670" s="692" t="n"/>
      <c r="F670" s="692" t="n"/>
      <c r="G670" s="692" t="n"/>
      <c r="H670" s="692" t="n"/>
      <c r="I670" s="692" t="n"/>
      <c r="J670" s="692" t="n"/>
      <c r="K670" s="692" t="n"/>
      <c r="L670" s="692" t="n"/>
      <c r="M670" s="692" t="n"/>
      <c r="N670" s="692" t="n"/>
      <c r="O670" s="692" t="n"/>
      <c r="P670" s="692" t="n"/>
      <c r="Q670" s="692" t="n"/>
      <c r="R670" s="692" t="n"/>
      <c r="S670" s="692" t="n"/>
      <c r="T670" s="692" t="n"/>
      <c r="U670" s="692" t="n"/>
      <c r="V670" s="692" t="n"/>
      <c r="W670" s="692" t="n"/>
      <c r="X670" s="692" t="n"/>
      <c r="Y670" s="692" t="n"/>
      <c r="Z670" s="692" t="n"/>
      <c r="AA670" s="692" t="n"/>
      <c r="AB670" s="692" t="n"/>
      <c r="AC670" s="692" t="n"/>
      <c r="AD670" s="692" t="n"/>
      <c r="AE670" s="692" t="n"/>
      <c r="AF670" s="692" t="n"/>
      <c r="AG670" s="692" t="n"/>
      <c r="AH670" s="692" t="n"/>
      <c r="AI670" s="692" t="n"/>
      <c r="AJ670" s="692" t="n"/>
      <c r="AK670" s="692" t="n"/>
      <c r="AL670" s="692" t="n"/>
      <c r="AM670" s="692" t="n"/>
      <c r="AN670" s="692" t="n"/>
      <c r="AO670" s="692" t="n"/>
      <c r="AP670" s="692" t="n"/>
      <c r="AQ670" s="692" t="n"/>
      <c r="AR670" s="692" t="n"/>
      <c r="AS670" s="692" t="n"/>
    </row>
    <row r="671">
      <c r="A671" s="692" t="n"/>
      <c r="B671" s="692" t="n"/>
      <c r="C671" s="692" t="n"/>
      <c r="D671" s="692" t="n"/>
      <c r="E671" s="692" t="n"/>
      <c r="F671" s="692" t="n"/>
      <c r="G671" s="692" t="n"/>
      <c r="H671" s="692" t="n"/>
      <c r="I671" s="692" t="n"/>
      <c r="J671" s="692" t="n"/>
      <c r="K671" s="692" t="n"/>
      <c r="L671" s="692" t="n"/>
      <c r="M671" s="692" t="n"/>
      <c r="N671" s="692" t="n"/>
      <c r="O671" s="692" t="n"/>
      <c r="P671" s="692" t="n"/>
      <c r="Q671" s="692" t="n"/>
      <c r="R671" s="692" t="n"/>
      <c r="S671" s="692" t="n"/>
      <c r="T671" s="692" t="n"/>
      <c r="U671" s="692" t="n"/>
      <c r="V671" s="692" t="n"/>
      <c r="W671" s="692" t="n"/>
      <c r="X671" s="692" t="n"/>
      <c r="Y671" s="692" t="n"/>
      <c r="Z671" s="692" t="n"/>
      <c r="AA671" s="692" t="n"/>
      <c r="AB671" s="692" t="n"/>
      <c r="AC671" s="692" t="n"/>
      <c r="AD671" s="692" t="n"/>
      <c r="AE671" s="692" t="n"/>
      <c r="AF671" s="692" t="n"/>
      <c r="AG671" s="692" t="n"/>
      <c r="AH671" s="692" t="n"/>
      <c r="AI671" s="692" t="n"/>
      <c r="AJ671" s="692" t="n"/>
      <c r="AK671" s="692" t="n"/>
      <c r="AL671" s="692" t="n"/>
      <c r="AM671" s="692" t="n"/>
      <c r="AN671" s="692" t="n"/>
      <c r="AO671" s="692" t="n"/>
      <c r="AP671" s="692" t="n"/>
      <c r="AQ671" s="692" t="n"/>
      <c r="AR671" s="692" t="n"/>
      <c r="AS671" s="692" t="n"/>
    </row>
    <row r="672">
      <c r="A672" s="692" t="n"/>
      <c r="B672" s="692" t="n"/>
      <c r="C672" s="692" t="n"/>
      <c r="D672" s="692" t="n"/>
      <c r="E672" s="692" t="n"/>
      <c r="F672" s="692" t="n"/>
      <c r="G672" s="692" t="n"/>
      <c r="H672" s="692" t="n"/>
      <c r="I672" s="692" t="n"/>
      <c r="J672" s="692" t="n"/>
      <c r="K672" s="692" t="n"/>
      <c r="L672" s="692" t="n"/>
      <c r="M672" s="692" t="n"/>
      <c r="N672" s="692" t="n"/>
      <c r="O672" s="692" t="n"/>
      <c r="P672" s="692" t="n"/>
      <c r="Q672" s="692" t="n"/>
      <c r="R672" s="692" t="n"/>
      <c r="S672" s="692" t="n"/>
      <c r="T672" s="692" t="n"/>
      <c r="U672" s="692" t="n"/>
      <c r="V672" s="692" t="n"/>
      <c r="W672" s="692" t="n"/>
      <c r="X672" s="692" t="n"/>
      <c r="Y672" s="692" t="n"/>
      <c r="Z672" s="692" t="n"/>
      <c r="AA672" s="692" t="n"/>
      <c r="AB672" s="692" t="n"/>
      <c r="AC672" s="692" t="n"/>
      <c r="AD672" s="692" t="n"/>
      <c r="AE672" s="692" t="n"/>
      <c r="AF672" s="692" t="n"/>
      <c r="AG672" s="692" t="n"/>
      <c r="AH672" s="692" t="n"/>
      <c r="AI672" s="692" t="n"/>
      <c r="AJ672" s="692" t="n"/>
      <c r="AK672" s="692" t="n"/>
      <c r="AL672" s="692" t="n"/>
      <c r="AM672" s="692" t="n"/>
      <c r="AN672" s="692" t="n"/>
      <c r="AO672" s="692" t="n"/>
      <c r="AP672" s="692" t="n"/>
      <c r="AQ672" s="692" t="n"/>
      <c r="AR672" s="692" t="n"/>
      <c r="AS672" s="692" t="n"/>
    </row>
    <row r="673">
      <c r="A673" s="692" t="n"/>
      <c r="B673" s="692" t="n"/>
      <c r="C673" s="692" t="n"/>
      <c r="D673" s="692" t="n"/>
      <c r="E673" s="692" t="n"/>
      <c r="F673" s="692" t="n"/>
      <c r="G673" s="692" t="n"/>
      <c r="H673" s="692" t="n"/>
      <c r="I673" s="692" t="n"/>
      <c r="J673" s="692" t="n"/>
      <c r="K673" s="692" t="n"/>
      <c r="L673" s="692" t="n"/>
      <c r="M673" s="692" t="n"/>
      <c r="N673" s="692" t="n"/>
      <c r="O673" s="692" t="n"/>
      <c r="P673" s="692" t="n"/>
      <c r="Q673" s="692" t="n"/>
      <c r="R673" s="692" t="n"/>
      <c r="S673" s="692" t="n"/>
      <c r="T673" s="692" t="n"/>
      <c r="U673" s="692" t="n"/>
      <c r="V673" s="692" t="n"/>
      <c r="W673" s="692" t="n"/>
      <c r="X673" s="692" t="n"/>
      <c r="Y673" s="692" t="n"/>
      <c r="Z673" s="692" t="n"/>
      <c r="AA673" s="692" t="n"/>
      <c r="AB673" s="692" t="n"/>
      <c r="AC673" s="692" t="n"/>
      <c r="AD673" s="692" t="n"/>
      <c r="AE673" s="692" t="n"/>
      <c r="AF673" s="692" t="n"/>
      <c r="AG673" s="692" t="n"/>
      <c r="AH673" s="692" t="n"/>
      <c r="AI673" s="692" t="n"/>
      <c r="AJ673" s="692" t="n"/>
      <c r="AK673" s="692" t="n"/>
      <c r="AL673" s="692" t="n"/>
      <c r="AM673" s="692" t="n"/>
      <c r="AN673" s="692" t="n"/>
      <c r="AO673" s="692" t="n"/>
      <c r="AP673" s="692" t="n"/>
      <c r="AQ673" s="692" t="n"/>
      <c r="AR673" s="692" t="n"/>
      <c r="AS673" s="692" t="n"/>
    </row>
    <row r="674">
      <c r="A674" s="692" t="n"/>
      <c r="B674" s="692" t="n"/>
      <c r="C674" s="692" t="n"/>
      <c r="D674" s="692" t="n"/>
      <c r="E674" s="692" t="n"/>
      <c r="F674" s="692" t="n"/>
      <c r="G674" s="692" t="n"/>
      <c r="H674" s="692" t="n"/>
      <c r="I674" s="692" t="n"/>
      <c r="J674" s="692" t="n"/>
      <c r="K674" s="692" t="n"/>
      <c r="L674" s="692" t="n"/>
      <c r="M674" s="692" t="n"/>
      <c r="N674" s="692" t="n"/>
      <c r="O674" s="692" t="n"/>
      <c r="P674" s="692" t="n"/>
      <c r="Q674" s="692" t="n"/>
      <c r="R674" s="692" t="n"/>
      <c r="S674" s="692" t="n"/>
      <c r="T674" s="692" t="n"/>
      <c r="U674" s="692" t="n"/>
      <c r="V674" s="692" t="n"/>
      <c r="W674" s="692" t="n"/>
      <c r="X674" s="692" t="n"/>
      <c r="Y674" s="692" t="n"/>
      <c r="Z674" s="692" t="n"/>
      <c r="AA674" s="692" t="n"/>
      <c r="AB674" s="692" t="n"/>
      <c r="AC674" s="692" t="n"/>
      <c r="AD674" s="692" t="n"/>
      <c r="AE674" s="692" t="n"/>
      <c r="AF674" s="692" t="n"/>
      <c r="AG674" s="692" t="n"/>
      <c r="AH674" s="692" t="n"/>
      <c r="AI674" s="692" t="n"/>
      <c r="AJ674" s="692" t="n"/>
      <c r="AK674" s="692" t="n"/>
      <c r="AL674" s="692" t="n"/>
      <c r="AM674" s="692" t="n"/>
      <c r="AN674" s="692" t="n"/>
      <c r="AO674" s="692" t="n"/>
      <c r="AP674" s="692" t="n"/>
      <c r="AQ674" s="692" t="n"/>
      <c r="AR674" s="692" t="n"/>
      <c r="AS674" s="692" t="n"/>
    </row>
    <row r="675">
      <c r="A675" s="692" t="n"/>
      <c r="B675" s="692" t="n"/>
      <c r="C675" s="692" t="n"/>
      <c r="D675" s="692" t="n"/>
      <c r="E675" s="692" t="n"/>
      <c r="F675" s="692" t="n"/>
      <c r="G675" s="692" t="n"/>
      <c r="H675" s="692" t="n"/>
      <c r="I675" s="692" t="n"/>
      <c r="J675" s="692" t="n"/>
      <c r="K675" s="692" t="n"/>
      <c r="L675" s="692" t="n"/>
      <c r="M675" s="692" t="n"/>
      <c r="N675" s="692" t="n"/>
      <c r="O675" s="692" t="n"/>
      <c r="P675" s="692" t="n"/>
      <c r="Q675" s="692" t="n"/>
      <c r="R675" s="692" t="n"/>
      <c r="S675" s="692" t="n"/>
      <c r="T675" s="692" t="n"/>
      <c r="U675" s="692" t="n"/>
      <c r="V675" s="692" t="n"/>
      <c r="W675" s="692" t="n"/>
      <c r="X675" s="692" t="n"/>
      <c r="Y675" s="692" t="n"/>
      <c r="Z675" s="692" t="n"/>
      <c r="AA675" s="692" t="n"/>
      <c r="AB675" s="692" t="n"/>
      <c r="AC675" s="692" t="n"/>
      <c r="AD675" s="692" t="n"/>
      <c r="AE675" s="692" t="n"/>
      <c r="AF675" s="692" t="n"/>
      <c r="AG675" s="692" t="n"/>
      <c r="AH675" s="692" t="n"/>
      <c r="AI675" s="692" t="n"/>
      <c r="AJ675" s="692" t="n"/>
      <c r="AK675" s="692" t="n"/>
      <c r="AL675" s="692" t="n"/>
      <c r="AM675" s="692" t="n"/>
      <c r="AN675" s="692" t="n"/>
      <c r="AO675" s="692" t="n"/>
      <c r="AP675" s="692" t="n"/>
      <c r="AQ675" s="692" t="n"/>
      <c r="AR675" s="692" t="n"/>
      <c r="AS675" s="692" t="n"/>
    </row>
    <row r="676">
      <c r="A676" s="692" t="n"/>
      <c r="B676" s="692" t="n"/>
      <c r="C676" s="692" t="n"/>
      <c r="D676" s="692" t="n"/>
      <c r="E676" s="692" t="n"/>
      <c r="F676" s="692" t="n"/>
      <c r="G676" s="692" t="n"/>
      <c r="H676" s="692" t="n"/>
      <c r="I676" s="692" t="n"/>
      <c r="J676" s="692" t="n"/>
      <c r="K676" s="692" t="n"/>
      <c r="L676" s="692" t="n"/>
      <c r="M676" s="692" t="n"/>
      <c r="N676" s="692" t="n"/>
      <c r="O676" s="692" t="n"/>
      <c r="P676" s="692" t="n"/>
      <c r="Q676" s="692" t="n"/>
      <c r="R676" s="692" t="n"/>
      <c r="S676" s="692" t="n"/>
      <c r="T676" s="692" t="n"/>
      <c r="U676" s="692" t="n"/>
      <c r="V676" s="692" t="n"/>
      <c r="W676" s="692" t="n"/>
      <c r="X676" s="692" t="n"/>
      <c r="Y676" s="692" t="n"/>
      <c r="Z676" s="692" t="n"/>
      <c r="AA676" s="692" t="n"/>
      <c r="AB676" s="692" t="n"/>
      <c r="AC676" s="692" t="n"/>
      <c r="AD676" s="692" t="n"/>
      <c r="AE676" s="692" t="n"/>
      <c r="AF676" s="692" t="n"/>
      <c r="AG676" s="692" t="n"/>
      <c r="AH676" s="692" t="n"/>
      <c r="AI676" s="692" t="n"/>
      <c r="AJ676" s="692" t="n"/>
      <c r="AK676" s="692" t="n"/>
      <c r="AL676" s="692" t="n"/>
      <c r="AM676" s="692" t="n"/>
      <c r="AN676" s="692" t="n"/>
      <c r="AO676" s="692" t="n"/>
      <c r="AP676" s="692" t="n"/>
      <c r="AQ676" s="692" t="n"/>
      <c r="AR676" s="692" t="n"/>
      <c r="AS676" s="692" t="n"/>
    </row>
    <row r="677">
      <c r="A677" s="692" t="n"/>
      <c r="B677" s="692" t="n"/>
      <c r="C677" s="692" t="n"/>
      <c r="D677" s="692" t="n"/>
      <c r="E677" s="692" t="n"/>
      <c r="F677" s="692" t="n"/>
      <c r="G677" s="692" t="n"/>
      <c r="H677" s="692" t="n"/>
      <c r="I677" s="692" t="n"/>
      <c r="J677" s="692" t="n"/>
      <c r="K677" s="692" t="n"/>
      <c r="L677" s="692" t="n"/>
      <c r="M677" s="692" t="n"/>
      <c r="N677" s="692" t="n"/>
      <c r="O677" s="692" t="n"/>
      <c r="P677" s="692" t="n"/>
      <c r="Q677" s="692" t="n"/>
      <c r="R677" s="692" t="n"/>
      <c r="S677" s="692" t="n"/>
      <c r="T677" s="692" t="n"/>
      <c r="U677" s="692" t="n"/>
      <c r="V677" s="692" t="n"/>
      <c r="W677" s="692" t="n"/>
      <c r="X677" s="692" t="n"/>
      <c r="Y677" s="692" t="n"/>
      <c r="Z677" s="692" t="n"/>
      <c r="AA677" s="692" t="n"/>
      <c r="AB677" s="692" t="n"/>
      <c r="AC677" s="692" t="n"/>
      <c r="AD677" s="692" t="n"/>
      <c r="AE677" s="692" t="n"/>
      <c r="AF677" s="692" t="n"/>
      <c r="AG677" s="692" t="n"/>
      <c r="AH677" s="692" t="n"/>
      <c r="AI677" s="692" t="n"/>
      <c r="AJ677" s="692" t="n"/>
      <c r="AK677" s="692" t="n"/>
      <c r="AL677" s="692" t="n"/>
      <c r="AM677" s="692" t="n"/>
      <c r="AN677" s="692" t="n"/>
      <c r="AO677" s="692" t="n"/>
      <c r="AP677" s="692" t="n"/>
      <c r="AQ677" s="692" t="n"/>
      <c r="AR677" s="692" t="n"/>
      <c r="AS677" s="692" t="n"/>
    </row>
    <row r="678">
      <c r="A678" s="692" t="n"/>
      <c r="B678" s="692" t="n"/>
      <c r="C678" s="692" t="n"/>
      <c r="D678" s="692" t="n"/>
      <c r="E678" s="692" t="n"/>
      <c r="F678" s="692" t="n"/>
      <c r="G678" s="692" t="n"/>
      <c r="H678" s="692" t="n"/>
      <c r="I678" s="692" t="n"/>
      <c r="J678" s="692" t="n"/>
      <c r="K678" s="692" t="n"/>
      <c r="L678" s="692" t="n"/>
      <c r="M678" s="692" t="n"/>
      <c r="N678" s="692" t="n"/>
      <c r="O678" s="692" t="n"/>
      <c r="P678" s="692" t="n"/>
      <c r="Q678" s="692" t="n"/>
      <c r="R678" s="692" t="n"/>
      <c r="S678" s="692" t="n"/>
      <c r="T678" s="692" t="n"/>
      <c r="U678" s="692" t="n"/>
      <c r="V678" s="692" t="n"/>
      <c r="W678" s="692" t="n"/>
      <c r="X678" s="692" t="n"/>
      <c r="Y678" s="692" t="n"/>
      <c r="Z678" s="692" t="n"/>
      <c r="AA678" s="692" t="n"/>
      <c r="AB678" s="692" t="n"/>
      <c r="AC678" s="692" t="n"/>
      <c r="AD678" s="692" t="n"/>
      <c r="AE678" s="692" t="n"/>
      <c r="AF678" s="692" t="n"/>
      <c r="AG678" s="692" t="n"/>
      <c r="AH678" s="692" t="n"/>
      <c r="AI678" s="692" t="n"/>
      <c r="AJ678" s="692" t="n"/>
      <c r="AK678" s="692" t="n"/>
      <c r="AL678" s="692" t="n"/>
      <c r="AM678" s="692" t="n"/>
      <c r="AN678" s="692" t="n"/>
      <c r="AO678" s="692" t="n"/>
      <c r="AP678" s="692" t="n"/>
      <c r="AQ678" s="692" t="n"/>
      <c r="AR678" s="692" t="n"/>
      <c r="AS678" s="692" t="n"/>
    </row>
    <row r="679">
      <c r="A679" s="692" t="n"/>
      <c r="B679" s="692" t="n"/>
      <c r="C679" s="692" t="n"/>
      <c r="D679" s="692" t="n"/>
      <c r="E679" s="692" t="n"/>
      <c r="F679" s="692" t="n"/>
      <c r="G679" s="692" t="n"/>
      <c r="H679" s="692" t="n"/>
      <c r="I679" s="692" t="n"/>
      <c r="J679" s="692" t="n"/>
      <c r="K679" s="692" t="n"/>
      <c r="L679" s="692" t="n"/>
      <c r="M679" s="692" t="n"/>
      <c r="N679" s="692" t="n"/>
      <c r="O679" s="692" t="n"/>
      <c r="P679" s="692" t="n"/>
      <c r="Q679" s="692" t="n"/>
      <c r="R679" s="692" t="n"/>
      <c r="S679" s="692" t="n"/>
      <c r="T679" s="692" t="n"/>
      <c r="U679" s="692" t="n"/>
      <c r="V679" s="692" t="n"/>
      <c r="W679" s="692" t="n"/>
      <c r="X679" s="692" t="n"/>
      <c r="Y679" s="692" t="n"/>
      <c r="Z679" s="692" t="n"/>
      <c r="AA679" s="692" t="n"/>
      <c r="AB679" s="692" t="n"/>
      <c r="AC679" s="692" t="n"/>
      <c r="AD679" s="692" t="n"/>
      <c r="AE679" s="692" t="n"/>
      <c r="AF679" s="692" t="n"/>
      <c r="AG679" s="692" t="n"/>
      <c r="AH679" s="692" t="n"/>
      <c r="AI679" s="692" t="n"/>
      <c r="AJ679" s="692" t="n"/>
      <c r="AK679" s="692" t="n"/>
      <c r="AL679" s="692" t="n"/>
      <c r="AM679" s="692" t="n"/>
      <c r="AN679" s="692" t="n"/>
      <c r="AO679" s="692" t="n"/>
      <c r="AP679" s="692" t="n"/>
      <c r="AQ679" s="692" t="n"/>
      <c r="AR679" s="692" t="n"/>
      <c r="AS679" s="692" t="n"/>
    </row>
    <row r="680">
      <c r="A680" s="692" t="n"/>
      <c r="B680" s="692" t="n"/>
      <c r="C680" s="692" t="n"/>
      <c r="D680" s="692" t="n"/>
      <c r="E680" s="692" t="n"/>
      <c r="F680" s="692" t="n"/>
      <c r="G680" s="692" t="n"/>
      <c r="H680" s="692" t="n"/>
      <c r="I680" s="692" t="n"/>
      <c r="J680" s="692" t="n"/>
      <c r="K680" s="692" t="n"/>
      <c r="L680" s="692" t="n"/>
      <c r="M680" s="692" t="n"/>
      <c r="N680" s="692" t="n"/>
      <c r="O680" s="692" t="n"/>
      <c r="P680" s="692" t="n"/>
      <c r="Q680" s="692" t="n"/>
      <c r="R680" s="692" t="n"/>
      <c r="S680" s="692" t="n"/>
      <c r="T680" s="692" t="n"/>
      <c r="U680" s="692" t="n"/>
      <c r="V680" s="692" t="n"/>
      <c r="W680" s="692" t="n"/>
      <c r="X680" s="692" t="n"/>
      <c r="Y680" s="692" t="n"/>
      <c r="Z680" s="692" t="n"/>
      <c r="AA680" s="692" t="n"/>
      <c r="AB680" s="692" t="n"/>
      <c r="AC680" s="692" t="n"/>
      <c r="AD680" s="692" t="n"/>
      <c r="AE680" s="692" t="n"/>
      <c r="AF680" s="692" t="n"/>
      <c r="AG680" s="692" t="n"/>
      <c r="AH680" s="692" t="n"/>
      <c r="AI680" s="692" t="n"/>
      <c r="AJ680" s="692" t="n"/>
      <c r="AK680" s="692" t="n"/>
      <c r="AL680" s="692" t="n"/>
      <c r="AM680" s="692" t="n"/>
      <c r="AN680" s="692" t="n"/>
      <c r="AO680" s="692" t="n"/>
      <c r="AP680" s="692" t="n"/>
      <c r="AQ680" s="692" t="n"/>
      <c r="AR680" s="692" t="n"/>
      <c r="AS680" s="692" t="n"/>
    </row>
    <row r="681">
      <c r="A681" s="692" t="n"/>
      <c r="B681" s="692" t="n"/>
      <c r="C681" s="692" t="n"/>
      <c r="D681" s="692" t="n"/>
      <c r="E681" s="692" t="n"/>
      <c r="F681" s="692" t="n"/>
      <c r="G681" s="692" t="n"/>
      <c r="H681" s="692" t="n"/>
      <c r="I681" s="692" t="n"/>
      <c r="J681" s="692" t="n"/>
      <c r="K681" s="692" t="n"/>
      <c r="L681" s="692" t="n"/>
      <c r="M681" s="692" t="n"/>
      <c r="N681" s="692" t="n"/>
      <c r="O681" s="692" t="n"/>
      <c r="P681" s="692" t="n"/>
      <c r="Q681" s="692" t="n"/>
      <c r="R681" s="692" t="n"/>
      <c r="S681" s="692" t="n"/>
      <c r="T681" s="692" t="n"/>
      <c r="U681" s="692" t="n"/>
      <c r="V681" s="692" t="n"/>
      <c r="W681" s="692" t="n"/>
      <c r="X681" s="692" t="n"/>
      <c r="Y681" s="692" t="n"/>
      <c r="Z681" s="692" t="n"/>
      <c r="AA681" s="692" t="n"/>
      <c r="AB681" s="692" t="n"/>
      <c r="AC681" s="692" t="n"/>
      <c r="AD681" s="692" t="n"/>
      <c r="AE681" s="692" t="n"/>
      <c r="AF681" s="692" t="n"/>
      <c r="AG681" s="692" t="n"/>
      <c r="AH681" s="692" t="n"/>
      <c r="AI681" s="692" t="n"/>
      <c r="AJ681" s="692" t="n"/>
      <c r="AK681" s="692" t="n"/>
      <c r="AL681" s="692" t="n"/>
      <c r="AM681" s="692" t="n"/>
      <c r="AN681" s="692" t="n"/>
      <c r="AO681" s="692" t="n"/>
      <c r="AP681" s="692" t="n"/>
      <c r="AQ681" s="692" t="n"/>
      <c r="AR681" s="692" t="n"/>
      <c r="AS681" s="692" t="n"/>
    </row>
    <row r="682">
      <c r="A682" s="692" t="n"/>
      <c r="B682" s="692" t="n"/>
      <c r="C682" s="692" t="n"/>
      <c r="D682" s="692" t="n"/>
      <c r="E682" s="692" t="n"/>
      <c r="F682" s="692" t="n"/>
      <c r="G682" s="692" t="n"/>
      <c r="H682" s="692" t="n"/>
      <c r="I682" s="692" t="n"/>
      <c r="J682" s="692" t="n"/>
      <c r="K682" s="692" t="n"/>
      <c r="L682" s="692" t="n"/>
      <c r="M682" s="692" t="n"/>
      <c r="N682" s="692" t="n"/>
      <c r="O682" s="692" t="n"/>
      <c r="P682" s="692" t="n"/>
      <c r="Q682" s="692" t="n"/>
      <c r="R682" s="692" t="n"/>
      <c r="S682" s="692" t="n"/>
      <c r="T682" s="692" t="n"/>
      <c r="U682" s="692" t="n"/>
      <c r="V682" s="692" t="n"/>
      <c r="W682" s="692" t="n"/>
      <c r="X682" s="692" t="n"/>
      <c r="Y682" s="692" t="n"/>
      <c r="Z682" s="692" t="n"/>
      <c r="AA682" s="692" t="n"/>
      <c r="AB682" s="692" t="n"/>
      <c r="AC682" s="692" t="n"/>
      <c r="AD682" s="692" t="n"/>
      <c r="AE682" s="692" t="n"/>
      <c r="AF682" s="692" t="n"/>
      <c r="AG682" s="692" t="n"/>
      <c r="AH682" s="692" t="n"/>
      <c r="AI682" s="692" t="n"/>
      <c r="AJ682" s="692" t="n"/>
      <c r="AK682" s="692" t="n"/>
      <c r="AL682" s="692" t="n"/>
      <c r="AM682" s="692" t="n"/>
      <c r="AN682" s="692" t="n"/>
      <c r="AO682" s="692" t="n"/>
      <c r="AP682" s="692" t="n"/>
      <c r="AQ682" s="692" t="n"/>
      <c r="AR682" s="692" t="n"/>
      <c r="AS682" s="692" t="n"/>
    </row>
    <row r="683">
      <c r="A683" s="692" t="n"/>
      <c r="B683" s="692" t="n"/>
      <c r="C683" s="692" t="n"/>
      <c r="D683" s="692" t="n"/>
      <c r="E683" s="692" t="n"/>
      <c r="F683" s="692" t="n"/>
      <c r="G683" s="692" t="n"/>
      <c r="H683" s="692" t="n"/>
      <c r="I683" s="692" t="n"/>
      <c r="J683" s="692" t="n"/>
      <c r="K683" s="692" t="n"/>
      <c r="L683" s="692" t="n"/>
      <c r="M683" s="692" t="n"/>
      <c r="N683" s="692" t="n"/>
      <c r="O683" s="692" t="n"/>
      <c r="P683" s="692" t="n"/>
      <c r="Q683" s="692" t="n"/>
      <c r="R683" s="692" t="n"/>
      <c r="S683" s="692" t="n"/>
      <c r="T683" s="692" t="n"/>
      <c r="U683" s="692" t="n"/>
      <c r="V683" s="692" t="n"/>
      <c r="W683" s="692" t="n"/>
      <c r="X683" s="692" t="n"/>
      <c r="Y683" s="692" t="n"/>
      <c r="Z683" s="692" t="n"/>
      <c r="AA683" s="692" t="n"/>
      <c r="AB683" s="692" t="n"/>
      <c r="AC683" s="692" t="n"/>
      <c r="AD683" s="692" t="n"/>
      <c r="AE683" s="692" t="n"/>
      <c r="AF683" s="692" t="n"/>
      <c r="AG683" s="692" t="n"/>
      <c r="AH683" s="692" t="n"/>
      <c r="AI683" s="692" t="n"/>
      <c r="AJ683" s="692" t="n"/>
      <c r="AK683" s="692" t="n"/>
      <c r="AL683" s="692" t="n"/>
      <c r="AM683" s="692" t="n"/>
      <c r="AN683" s="692" t="n"/>
      <c r="AO683" s="692" t="n"/>
      <c r="AP683" s="692" t="n"/>
      <c r="AQ683" s="692" t="n"/>
      <c r="AR683" s="692" t="n"/>
      <c r="AS683" s="692" t="n"/>
    </row>
    <row r="684">
      <c r="A684" s="692" t="n"/>
      <c r="B684" s="692" t="n"/>
      <c r="C684" s="692" t="n"/>
      <c r="D684" s="692" t="n"/>
      <c r="E684" s="692" t="n"/>
      <c r="F684" s="692" t="n"/>
      <c r="G684" s="692" t="n"/>
      <c r="H684" s="692" t="n"/>
      <c r="I684" s="692" t="n"/>
      <c r="J684" s="692" t="n"/>
      <c r="K684" s="692" t="n"/>
      <c r="L684" s="692" t="n"/>
      <c r="M684" s="692" t="n"/>
      <c r="N684" s="692" t="n"/>
      <c r="O684" s="692" t="n"/>
      <c r="P684" s="692" t="n"/>
      <c r="Q684" s="692" t="n"/>
      <c r="R684" s="692" t="n"/>
      <c r="S684" s="692" t="n"/>
      <c r="T684" s="692" t="n"/>
      <c r="U684" s="692" t="n"/>
      <c r="V684" s="692" t="n"/>
      <c r="W684" s="692" t="n"/>
      <c r="X684" s="692" t="n"/>
      <c r="Y684" s="692" t="n"/>
      <c r="Z684" s="692" t="n"/>
      <c r="AA684" s="692" t="n"/>
      <c r="AB684" s="692" t="n"/>
      <c r="AC684" s="692" t="n"/>
      <c r="AD684" s="692" t="n"/>
      <c r="AE684" s="692" t="n"/>
      <c r="AF684" s="692" t="n"/>
      <c r="AG684" s="692" t="n"/>
      <c r="AH684" s="692" t="n"/>
      <c r="AI684" s="692" t="n"/>
      <c r="AJ684" s="692" t="n"/>
      <c r="AK684" s="692" t="n"/>
      <c r="AL684" s="692" t="n"/>
      <c r="AM684" s="692" t="n"/>
      <c r="AN684" s="692" t="n"/>
      <c r="AO684" s="692" t="n"/>
      <c r="AP684" s="692" t="n"/>
      <c r="AQ684" s="692" t="n"/>
      <c r="AR684" s="692" t="n"/>
      <c r="AS684" s="692" t="n"/>
    </row>
    <row r="685">
      <c r="A685" s="692" t="n"/>
      <c r="B685" s="692" t="n"/>
      <c r="C685" s="692" t="n"/>
      <c r="D685" s="692" t="n"/>
      <c r="E685" s="692" t="n"/>
      <c r="F685" s="692" t="n"/>
      <c r="G685" s="692" t="n"/>
      <c r="H685" s="692" t="n"/>
      <c r="I685" s="692" t="n"/>
      <c r="J685" s="692" t="n"/>
      <c r="K685" s="692" t="n"/>
      <c r="L685" s="692" t="n"/>
      <c r="M685" s="692" t="n"/>
      <c r="N685" s="692" t="n"/>
      <c r="O685" s="692" t="n"/>
      <c r="P685" s="692" t="n"/>
      <c r="Q685" s="692" t="n"/>
      <c r="R685" s="692" t="n"/>
      <c r="S685" s="692" t="n"/>
      <c r="T685" s="692" t="n"/>
      <c r="U685" s="692" t="n"/>
      <c r="V685" s="692" t="n"/>
      <c r="W685" s="692" t="n"/>
      <c r="X685" s="692" t="n"/>
      <c r="Y685" s="692" t="n"/>
      <c r="Z685" s="692" t="n"/>
      <c r="AA685" s="692" t="n"/>
      <c r="AB685" s="692" t="n"/>
      <c r="AC685" s="692" t="n"/>
      <c r="AD685" s="692" t="n"/>
      <c r="AE685" s="692" t="n"/>
      <c r="AF685" s="692" t="n"/>
      <c r="AG685" s="692" t="n"/>
      <c r="AH685" s="692" t="n"/>
      <c r="AI685" s="692" t="n"/>
      <c r="AJ685" s="692" t="n"/>
      <c r="AK685" s="692" t="n"/>
      <c r="AL685" s="692" t="n"/>
      <c r="AM685" s="692" t="n"/>
      <c r="AN685" s="692" t="n"/>
      <c r="AO685" s="692" t="n"/>
      <c r="AP685" s="692" t="n"/>
      <c r="AQ685" s="692" t="n"/>
      <c r="AR685" s="692" t="n"/>
      <c r="AS685" s="692" t="n"/>
    </row>
    <row r="686">
      <c r="A686" s="692" t="n"/>
      <c r="B686" s="692" t="n"/>
      <c r="C686" s="692" t="n"/>
      <c r="D686" s="692" t="n"/>
      <c r="E686" s="692" t="n"/>
      <c r="F686" s="692" t="n"/>
      <c r="G686" s="692" t="n"/>
      <c r="H686" s="692" t="n"/>
      <c r="I686" s="692" t="n"/>
      <c r="J686" s="692" t="n"/>
      <c r="K686" s="692" t="n"/>
      <c r="L686" s="692" t="n"/>
      <c r="M686" s="692" t="n"/>
      <c r="N686" s="692" t="n"/>
      <c r="O686" s="692" t="n"/>
      <c r="P686" s="692" t="n"/>
      <c r="Q686" s="692" t="n"/>
      <c r="R686" s="692" t="n"/>
      <c r="S686" s="692" t="n"/>
      <c r="T686" s="692" t="n"/>
      <c r="U686" s="692" t="n"/>
      <c r="V686" s="692" t="n"/>
      <c r="W686" s="692" t="n"/>
      <c r="X686" s="692" t="n"/>
      <c r="Y686" s="692" t="n"/>
      <c r="Z686" s="692" t="n"/>
      <c r="AA686" s="692" t="n"/>
      <c r="AB686" s="692" t="n"/>
      <c r="AC686" s="692" t="n"/>
      <c r="AD686" s="692" t="n"/>
      <c r="AE686" s="692" t="n"/>
      <c r="AF686" s="692" t="n"/>
      <c r="AG686" s="692" t="n"/>
      <c r="AH686" s="692" t="n"/>
      <c r="AI686" s="692" t="n"/>
      <c r="AJ686" s="692" t="n"/>
      <c r="AK686" s="692" t="n"/>
      <c r="AL686" s="692" t="n"/>
      <c r="AM686" s="692" t="n"/>
      <c r="AN686" s="692" t="n"/>
      <c r="AO686" s="692" t="n"/>
      <c r="AP686" s="692" t="n"/>
      <c r="AQ686" s="692" t="n"/>
      <c r="AR686" s="692" t="n"/>
      <c r="AS686" s="692" t="n"/>
    </row>
    <row r="687">
      <c r="A687" s="692" t="n"/>
      <c r="B687" s="692" t="n"/>
      <c r="C687" s="692" t="n"/>
      <c r="D687" s="692" t="n"/>
      <c r="E687" s="692" t="n"/>
      <c r="F687" s="692" t="n"/>
      <c r="G687" s="692" t="n"/>
      <c r="H687" s="692" t="n"/>
      <c r="I687" s="692" t="n"/>
      <c r="J687" s="692" t="n"/>
      <c r="K687" s="692" t="n"/>
      <c r="L687" s="692" t="n"/>
      <c r="M687" s="692" t="n"/>
      <c r="N687" s="692" t="n"/>
      <c r="O687" s="692" t="n"/>
      <c r="P687" s="692" t="n"/>
      <c r="Q687" s="692" t="n"/>
      <c r="R687" s="692" t="n"/>
      <c r="S687" s="692" t="n"/>
      <c r="T687" s="692" t="n"/>
      <c r="U687" s="692" t="n"/>
      <c r="V687" s="692" t="n"/>
      <c r="W687" s="692" t="n"/>
      <c r="X687" s="692" t="n"/>
      <c r="Y687" s="692" t="n"/>
      <c r="Z687" s="692" t="n"/>
      <c r="AA687" s="692" t="n"/>
      <c r="AB687" s="692" t="n"/>
      <c r="AC687" s="692" t="n"/>
      <c r="AD687" s="692" t="n"/>
      <c r="AE687" s="692" t="n"/>
      <c r="AF687" s="692" t="n"/>
      <c r="AG687" s="692" t="n"/>
      <c r="AH687" s="692" t="n"/>
      <c r="AI687" s="692" t="n"/>
      <c r="AJ687" s="692" t="n"/>
      <c r="AK687" s="692" t="n"/>
      <c r="AL687" s="692" t="n"/>
      <c r="AM687" s="692" t="n"/>
      <c r="AN687" s="692" t="n"/>
      <c r="AO687" s="692" t="n"/>
      <c r="AP687" s="692" t="n"/>
      <c r="AQ687" s="692" t="n"/>
      <c r="AR687" s="692" t="n"/>
      <c r="AS687" s="692" t="n"/>
    </row>
    <row r="688">
      <c r="A688" s="692" t="n"/>
      <c r="B688" s="692" t="n"/>
      <c r="C688" s="692" t="n"/>
      <c r="D688" s="692" t="n"/>
      <c r="E688" s="692" t="n"/>
      <c r="F688" s="692" t="n"/>
      <c r="G688" s="692" t="n"/>
      <c r="H688" s="692" t="n"/>
      <c r="I688" s="692" t="n"/>
      <c r="J688" s="692" t="n"/>
      <c r="K688" s="692" t="n"/>
      <c r="L688" s="692" t="n"/>
      <c r="M688" s="692" t="n"/>
      <c r="N688" s="692" t="n"/>
      <c r="O688" s="692" t="n"/>
      <c r="P688" s="692" t="n"/>
      <c r="Q688" s="692" t="n"/>
      <c r="R688" s="692" t="n"/>
      <c r="S688" s="692" t="n"/>
      <c r="T688" s="692" t="n"/>
      <c r="U688" s="692" t="n"/>
      <c r="V688" s="692" t="n"/>
      <c r="W688" s="692" t="n"/>
      <c r="X688" s="692" t="n"/>
      <c r="Y688" s="692" t="n"/>
      <c r="Z688" s="692" t="n"/>
      <c r="AA688" s="692" t="n"/>
      <c r="AB688" s="692" t="n"/>
      <c r="AC688" s="692" t="n"/>
      <c r="AD688" s="692" t="n"/>
      <c r="AE688" s="692" t="n"/>
      <c r="AF688" s="692" t="n"/>
      <c r="AG688" s="692" t="n"/>
      <c r="AH688" s="692" t="n"/>
      <c r="AI688" s="692" t="n"/>
      <c r="AJ688" s="692" t="n"/>
      <c r="AK688" s="692" t="n"/>
      <c r="AL688" s="692" t="n"/>
      <c r="AM688" s="692" t="n"/>
      <c r="AN688" s="692" t="n"/>
      <c r="AO688" s="692" t="n"/>
      <c r="AP688" s="692" t="n"/>
      <c r="AQ688" s="692" t="n"/>
      <c r="AR688" s="692" t="n"/>
      <c r="AS688" s="692" t="n"/>
    </row>
    <row r="689">
      <c r="A689" s="692" t="n"/>
      <c r="B689" s="692" t="n"/>
      <c r="C689" s="692" t="n"/>
      <c r="D689" s="692" t="n"/>
      <c r="E689" s="692" t="n"/>
      <c r="F689" s="692" t="n"/>
      <c r="G689" s="692" t="n"/>
      <c r="H689" s="692" t="n"/>
      <c r="I689" s="692" t="n"/>
      <c r="J689" s="692" t="n"/>
      <c r="K689" s="692" t="n"/>
      <c r="L689" s="692" t="n"/>
      <c r="M689" s="692" t="n"/>
      <c r="N689" s="692" t="n"/>
      <c r="O689" s="692" t="n"/>
      <c r="P689" s="692" t="n"/>
      <c r="Q689" s="692" t="n"/>
      <c r="R689" s="692" t="n"/>
      <c r="S689" s="692" t="n"/>
      <c r="T689" s="692" t="n"/>
      <c r="U689" s="692" t="n"/>
      <c r="V689" s="692" t="n"/>
      <c r="W689" s="692" t="n"/>
      <c r="X689" s="692" t="n"/>
      <c r="Y689" s="692" t="n"/>
      <c r="Z689" s="692" t="n"/>
      <c r="AA689" s="692" t="n"/>
      <c r="AB689" s="692" t="n"/>
      <c r="AC689" s="692" t="n"/>
      <c r="AD689" s="692" t="n"/>
      <c r="AE689" s="692" t="n"/>
      <c r="AF689" s="692" t="n"/>
      <c r="AG689" s="692" t="n"/>
      <c r="AH689" s="692" t="n"/>
      <c r="AI689" s="692" t="n"/>
      <c r="AJ689" s="692" t="n"/>
      <c r="AK689" s="692" t="n"/>
      <c r="AL689" s="692" t="n"/>
      <c r="AM689" s="692" t="n"/>
      <c r="AN689" s="692" t="n"/>
      <c r="AO689" s="692" t="n"/>
      <c r="AP689" s="692" t="n"/>
      <c r="AQ689" s="692" t="n"/>
      <c r="AR689" s="692" t="n"/>
      <c r="AS689" s="692" t="n"/>
    </row>
    <row r="690">
      <c r="A690" s="692" t="n"/>
      <c r="B690" s="692" t="n"/>
      <c r="C690" s="692" t="n"/>
      <c r="D690" s="692" t="n"/>
      <c r="E690" s="692" t="n"/>
      <c r="F690" s="692" t="n"/>
      <c r="G690" s="692" t="n"/>
      <c r="H690" s="692" t="n"/>
      <c r="I690" s="692" t="n"/>
      <c r="J690" s="692" t="n"/>
      <c r="K690" s="692" t="n"/>
      <c r="L690" s="692" t="n"/>
      <c r="M690" s="692" t="n"/>
      <c r="N690" s="692" t="n"/>
      <c r="O690" s="692" t="n"/>
      <c r="P690" s="692" t="n"/>
      <c r="Q690" s="692" t="n"/>
      <c r="R690" s="692" t="n"/>
      <c r="S690" s="692" t="n"/>
      <c r="T690" s="692" t="n"/>
      <c r="U690" s="692" t="n"/>
      <c r="V690" s="692" t="n"/>
      <c r="W690" s="692" t="n"/>
      <c r="X690" s="692" t="n"/>
      <c r="Y690" s="692" t="n"/>
      <c r="Z690" s="692" t="n"/>
      <c r="AA690" s="692" t="n"/>
      <c r="AB690" s="692" t="n"/>
      <c r="AC690" s="692" t="n"/>
      <c r="AD690" s="692" t="n"/>
      <c r="AE690" s="692" t="n"/>
      <c r="AF690" s="692" t="n"/>
      <c r="AG690" s="692" t="n"/>
      <c r="AH690" s="692" t="n"/>
      <c r="AI690" s="692" t="n"/>
      <c r="AJ690" s="692" t="n"/>
      <c r="AK690" s="692" t="n"/>
      <c r="AL690" s="692" t="n"/>
      <c r="AM690" s="692" t="n"/>
      <c r="AN690" s="692" t="n"/>
      <c r="AO690" s="692" t="n"/>
      <c r="AP690" s="692" t="n"/>
      <c r="AQ690" s="692" t="n"/>
      <c r="AR690" s="692" t="n"/>
      <c r="AS690" s="692" t="n"/>
    </row>
    <row r="691">
      <c r="A691" s="692" t="n"/>
      <c r="B691" s="692" t="n"/>
      <c r="C691" s="692" t="n"/>
      <c r="D691" s="692" t="n"/>
      <c r="E691" s="692" t="n"/>
      <c r="F691" s="692" t="n"/>
      <c r="G691" s="692" t="n"/>
      <c r="H691" s="692" t="n"/>
      <c r="I691" s="692" t="n"/>
      <c r="J691" s="692" t="n"/>
      <c r="K691" s="692" t="n"/>
      <c r="L691" s="692" t="n"/>
      <c r="M691" s="692" t="n"/>
      <c r="N691" s="692" t="n"/>
      <c r="O691" s="692" t="n"/>
      <c r="P691" s="692" t="n"/>
      <c r="Q691" s="692" t="n"/>
      <c r="R691" s="692" t="n"/>
      <c r="S691" s="692" t="n"/>
      <c r="T691" s="692" t="n"/>
      <c r="U691" s="692" t="n"/>
      <c r="V691" s="692" t="n"/>
      <c r="W691" s="692" t="n"/>
      <c r="X691" s="692" t="n"/>
      <c r="Y691" s="692" t="n"/>
      <c r="Z691" s="692" t="n"/>
      <c r="AA691" s="692" t="n"/>
      <c r="AB691" s="692" t="n"/>
      <c r="AC691" s="692" t="n"/>
      <c r="AD691" s="692" t="n"/>
      <c r="AE691" s="692" t="n"/>
      <c r="AF691" s="692" t="n"/>
      <c r="AG691" s="692" t="n"/>
      <c r="AH691" s="692" t="n"/>
      <c r="AI691" s="692" t="n"/>
      <c r="AJ691" s="692" t="n"/>
      <c r="AK691" s="692" t="n"/>
      <c r="AL691" s="692" t="n"/>
      <c r="AM691" s="692" t="n"/>
      <c r="AN691" s="692" t="n"/>
      <c r="AO691" s="692" t="n"/>
      <c r="AP691" s="692" t="n"/>
      <c r="AQ691" s="692" t="n"/>
      <c r="AR691" s="692" t="n"/>
      <c r="AS691" s="692" t="n"/>
    </row>
    <row r="692">
      <c r="A692" s="692" t="n"/>
      <c r="B692" s="692" t="n"/>
      <c r="C692" s="692" t="n"/>
      <c r="D692" s="692" t="n"/>
      <c r="E692" s="692" t="n"/>
      <c r="F692" s="692" t="n"/>
      <c r="G692" s="692" t="n"/>
      <c r="H692" s="692" t="n"/>
      <c r="I692" s="692" t="n"/>
      <c r="J692" s="692" t="n"/>
      <c r="K692" s="692" t="n"/>
      <c r="L692" s="692" t="n"/>
      <c r="M692" s="692" t="n"/>
      <c r="N692" s="692" t="n"/>
      <c r="O692" s="692" t="n"/>
      <c r="P692" s="692" t="n"/>
      <c r="Q692" s="692" t="n"/>
      <c r="R692" s="692" t="n"/>
      <c r="S692" s="692" t="n"/>
      <c r="T692" s="692" t="n"/>
      <c r="U692" s="692" t="n"/>
      <c r="V692" s="692" t="n"/>
      <c r="W692" s="692" t="n"/>
      <c r="X692" s="692" t="n"/>
      <c r="Y692" s="692" t="n"/>
      <c r="Z692" s="692" t="n"/>
      <c r="AA692" s="692" t="n"/>
      <c r="AB692" s="692" t="n"/>
      <c r="AC692" s="692" t="n"/>
      <c r="AD692" s="692" t="n"/>
      <c r="AE692" s="692" t="n"/>
      <c r="AF692" s="692" t="n"/>
      <c r="AG692" s="692" t="n"/>
      <c r="AH692" s="692" t="n"/>
      <c r="AI692" s="692" t="n"/>
      <c r="AJ692" s="692" t="n"/>
      <c r="AK692" s="692" t="n"/>
      <c r="AL692" s="692" t="n"/>
      <c r="AM692" s="692" t="n"/>
      <c r="AN692" s="692" t="n"/>
      <c r="AO692" s="692" t="n"/>
      <c r="AP692" s="692" t="n"/>
      <c r="AQ692" s="692" t="n"/>
      <c r="AR692" s="692" t="n"/>
      <c r="AS692" s="692" t="n"/>
    </row>
    <row r="693">
      <c r="A693" s="692" t="n"/>
      <c r="B693" s="692" t="n"/>
      <c r="C693" s="692" t="n"/>
      <c r="D693" s="692" t="n"/>
      <c r="E693" s="692" t="n"/>
      <c r="F693" s="692" t="n"/>
      <c r="G693" s="692" t="n"/>
      <c r="H693" s="692" t="n"/>
      <c r="I693" s="692" t="n"/>
      <c r="J693" s="692" t="n"/>
      <c r="K693" s="692" t="n"/>
      <c r="L693" s="692" t="n"/>
      <c r="M693" s="692" t="n"/>
      <c r="N693" s="692" t="n"/>
      <c r="O693" s="692" t="n"/>
      <c r="P693" s="692" t="n"/>
      <c r="Q693" s="692" t="n"/>
      <c r="R693" s="692" t="n"/>
      <c r="S693" s="692" t="n"/>
      <c r="T693" s="692" t="n"/>
      <c r="U693" s="692" t="n"/>
      <c r="V693" s="692" t="n"/>
      <c r="W693" s="692" t="n"/>
      <c r="X693" s="692" t="n"/>
      <c r="Y693" s="692" t="n"/>
      <c r="Z693" s="692" t="n"/>
      <c r="AA693" s="692" t="n"/>
      <c r="AB693" s="692" t="n"/>
      <c r="AC693" s="692" t="n"/>
      <c r="AD693" s="692" t="n"/>
      <c r="AE693" s="692" t="n"/>
      <c r="AF693" s="692" t="n"/>
      <c r="AG693" s="692" t="n"/>
      <c r="AH693" s="692" t="n"/>
      <c r="AI693" s="692" t="n"/>
      <c r="AJ693" s="692" t="n"/>
      <c r="AK693" s="692" t="n"/>
      <c r="AL693" s="692" t="n"/>
      <c r="AM693" s="692" t="n"/>
      <c r="AN693" s="692" t="n"/>
      <c r="AO693" s="692" t="n"/>
      <c r="AP693" s="692" t="n"/>
      <c r="AQ693" s="692" t="n"/>
      <c r="AR693" s="692" t="n"/>
      <c r="AS693" s="692" t="n"/>
    </row>
    <row r="694">
      <c r="A694" s="692" t="n"/>
      <c r="B694" s="692" t="n"/>
      <c r="C694" s="692" t="n"/>
      <c r="D694" s="692" t="n"/>
      <c r="E694" s="692" t="n"/>
      <c r="F694" s="692" t="n"/>
      <c r="G694" s="692" t="n"/>
      <c r="H694" s="692" t="n"/>
      <c r="I694" s="692" t="n"/>
      <c r="J694" s="692" t="n"/>
      <c r="K694" s="692" t="n"/>
      <c r="L694" s="692" t="n"/>
      <c r="M694" s="692" t="n"/>
      <c r="N694" s="692" t="n"/>
      <c r="O694" s="692" t="n"/>
      <c r="P694" s="692" t="n"/>
      <c r="Q694" s="692" t="n"/>
      <c r="R694" s="692" t="n"/>
      <c r="S694" s="692" t="n"/>
      <c r="T694" s="692" t="n"/>
      <c r="U694" s="692" t="n"/>
      <c r="V694" s="692" t="n"/>
      <c r="W694" s="692" t="n"/>
      <c r="X694" s="692" t="n"/>
      <c r="Y694" s="692" t="n"/>
      <c r="Z694" s="692" t="n"/>
      <c r="AA694" s="692" t="n"/>
      <c r="AB694" s="692" t="n"/>
      <c r="AC694" s="692" t="n"/>
      <c r="AD694" s="692" t="n"/>
      <c r="AE694" s="692" t="n"/>
      <c r="AF694" s="692" t="n"/>
      <c r="AG694" s="692" t="n"/>
      <c r="AH694" s="692" t="n"/>
      <c r="AI694" s="692" t="n"/>
      <c r="AJ694" s="692" t="n"/>
      <c r="AK694" s="692" t="n"/>
      <c r="AL694" s="692" t="n"/>
      <c r="AM694" s="692" t="n"/>
      <c r="AN694" s="692" t="n"/>
      <c r="AO694" s="692" t="n"/>
      <c r="AP694" s="692" t="n"/>
      <c r="AQ694" s="692" t="n"/>
      <c r="AR694" s="692" t="n"/>
      <c r="AS694" s="692" t="n"/>
    </row>
    <row r="695">
      <c r="A695" s="692" t="n"/>
      <c r="B695" s="692" t="n"/>
      <c r="C695" s="692" t="n"/>
      <c r="D695" s="692" t="n"/>
      <c r="E695" s="692" t="n"/>
      <c r="F695" s="692" t="n"/>
      <c r="G695" s="692" t="n"/>
      <c r="H695" s="692" t="n"/>
      <c r="I695" s="692" t="n"/>
      <c r="J695" s="692" t="n"/>
      <c r="K695" s="692" t="n"/>
      <c r="L695" s="692" t="n"/>
      <c r="M695" s="692" t="n"/>
      <c r="N695" s="692" t="n"/>
      <c r="O695" s="692" t="n"/>
      <c r="P695" s="692" t="n"/>
      <c r="Q695" s="692" t="n"/>
      <c r="R695" s="692" t="n"/>
      <c r="S695" s="692" t="n"/>
      <c r="T695" s="692" t="n"/>
      <c r="U695" s="692" t="n"/>
      <c r="V695" s="692" t="n"/>
      <c r="W695" s="692" t="n"/>
      <c r="X695" s="692" t="n"/>
      <c r="Y695" s="692" t="n"/>
      <c r="Z695" s="692" t="n"/>
      <c r="AA695" s="692" t="n"/>
      <c r="AB695" s="692" t="n"/>
      <c r="AC695" s="692" t="n"/>
      <c r="AD695" s="692" t="n"/>
      <c r="AE695" s="692" t="n"/>
      <c r="AF695" s="692" t="n"/>
      <c r="AG695" s="692" t="n"/>
      <c r="AH695" s="692" t="n"/>
      <c r="AI695" s="692" t="n"/>
      <c r="AJ695" s="692" t="n"/>
      <c r="AK695" s="692" t="n"/>
      <c r="AL695" s="692" t="n"/>
      <c r="AM695" s="692" t="n"/>
      <c r="AN695" s="692" t="n"/>
      <c r="AO695" s="692" t="n"/>
      <c r="AP695" s="692" t="n"/>
      <c r="AQ695" s="692" t="n"/>
      <c r="AR695" s="692" t="n"/>
      <c r="AS695" s="692" t="n"/>
    </row>
    <row r="696">
      <c r="A696" s="692" t="n"/>
      <c r="B696" s="692" t="n"/>
      <c r="C696" s="692" t="n"/>
      <c r="D696" s="692" t="n"/>
      <c r="E696" s="692" t="n"/>
      <c r="F696" s="692" t="n"/>
      <c r="G696" s="692" t="n"/>
      <c r="H696" s="692" t="n"/>
      <c r="I696" s="692" t="n"/>
      <c r="J696" s="692" t="n"/>
      <c r="K696" s="692" t="n"/>
      <c r="L696" s="692" t="n"/>
      <c r="M696" s="692" t="n"/>
      <c r="N696" s="692" t="n"/>
      <c r="O696" s="692" t="n"/>
      <c r="P696" s="692" t="n"/>
      <c r="Q696" s="692" t="n"/>
      <c r="R696" s="692" t="n"/>
      <c r="S696" s="692" t="n"/>
      <c r="T696" s="692" t="n"/>
      <c r="U696" s="692" t="n"/>
      <c r="V696" s="692" t="n"/>
      <c r="W696" s="692" t="n"/>
      <c r="X696" s="692" t="n"/>
      <c r="Y696" s="692" t="n"/>
      <c r="Z696" s="692" t="n"/>
      <c r="AA696" s="692" t="n"/>
      <c r="AB696" s="692" t="n"/>
      <c r="AC696" s="692" t="n"/>
      <c r="AD696" s="692" t="n"/>
      <c r="AE696" s="692" t="n"/>
      <c r="AF696" s="692" t="n"/>
      <c r="AG696" s="692" t="n"/>
      <c r="AH696" s="692" t="n"/>
      <c r="AI696" s="692" t="n"/>
      <c r="AJ696" s="692" t="n"/>
      <c r="AK696" s="692" t="n"/>
      <c r="AL696" s="692" t="n"/>
      <c r="AM696" s="692" t="n"/>
      <c r="AN696" s="692" t="n"/>
      <c r="AO696" s="692" t="n"/>
      <c r="AP696" s="692" t="n"/>
      <c r="AQ696" s="692" t="n"/>
      <c r="AR696" s="692" t="n"/>
      <c r="AS696" s="692" t="n"/>
    </row>
    <row r="697">
      <c r="A697" s="692" t="n"/>
      <c r="B697" s="692" t="n"/>
      <c r="C697" s="692" t="n"/>
      <c r="D697" s="692" t="n"/>
      <c r="E697" s="692" t="n"/>
      <c r="F697" s="692" t="n"/>
      <c r="G697" s="692" t="n"/>
      <c r="H697" s="692" t="n"/>
      <c r="I697" s="692" t="n"/>
      <c r="J697" s="692" t="n"/>
      <c r="K697" s="692" t="n"/>
      <c r="L697" s="692" t="n"/>
      <c r="M697" s="692" t="n"/>
      <c r="N697" s="692" t="n"/>
      <c r="O697" s="692" t="n"/>
      <c r="P697" s="692" t="n"/>
      <c r="Q697" s="692" t="n"/>
      <c r="R697" s="692" t="n"/>
      <c r="S697" s="692" t="n"/>
      <c r="T697" s="692" t="n"/>
      <c r="U697" s="692" t="n"/>
      <c r="V697" s="692" t="n"/>
      <c r="W697" s="692" t="n"/>
      <c r="X697" s="692" t="n"/>
      <c r="Y697" s="692" t="n"/>
      <c r="Z697" s="692" t="n"/>
      <c r="AA697" s="692" t="n"/>
      <c r="AB697" s="692" t="n"/>
      <c r="AC697" s="692" t="n"/>
      <c r="AD697" s="692" t="n"/>
      <c r="AE697" s="692" t="n"/>
      <c r="AF697" s="692" t="n"/>
      <c r="AG697" s="692" t="n"/>
      <c r="AH697" s="692" t="n"/>
      <c r="AI697" s="692" t="n"/>
      <c r="AJ697" s="692" t="n"/>
      <c r="AK697" s="692" t="n"/>
      <c r="AL697" s="692" t="n"/>
      <c r="AM697" s="692" t="n"/>
      <c r="AN697" s="692" t="n"/>
      <c r="AO697" s="692" t="n"/>
      <c r="AP697" s="692" t="n"/>
      <c r="AQ697" s="692" t="n"/>
      <c r="AR697" s="692" t="n"/>
      <c r="AS697" s="692" t="n"/>
    </row>
    <row r="698">
      <c r="A698" s="692" t="n"/>
      <c r="B698" s="692" t="n"/>
      <c r="C698" s="692" t="n"/>
      <c r="D698" s="692" t="n"/>
      <c r="E698" s="692" t="n"/>
      <c r="F698" s="692" t="n"/>
      <c r="G698" s="692" t="n"/>
      <c r="H698" s="692" t="n"/>
      <c r="I698" s="692" t="n"/>
      <c r="J698" s="692" t="n"/>
      <c r="K698" s="692" t="n"/>
      <c r="L698" s="692" t="n"/>
      <c r="M698" s="692" t="n"/>
      <c r="N698" s="692" t="n"/>
      <c r="O698" s="692" t="n"/>
      <c r="P698" s="692" t="n"/>
      <c r="Q698" s="692" t="n"/>
      <c r="R698" s="692" t="n"/>
      <c r="S698" s="692" t="n"/>
      <c r="T698" s="692" t="n"/>
      <c r="U698" s="692" t="n"/>
      <c r="V698" s="692" t="n"/>
      <c r="W698" s="692" t="n"/>
      <c r="X698" s="692" t="n"/>
      <c r="Y698" s="692" t="n"/>
      <c r="Z698" s="692" t="n"/>
      <c r="AA698" s="692" t="n"/>
      <c r="AB698" s="692" t="n"/>
      <c r="AC698" s="692" t="n"/>
      <c r="AD698" s="692" t="n"/>
      <c r="AE698" s="692" t="n"/>
      <c r="AF698" s="692" t="n"/>
      <c r="AG698" s="692" t="n"/>
      <c r="AH698" s="692" t="n"/>
      <c r="AI698" s="692" t="n"/>
      <c r="AJ698" s="692" t="n"/>
      <c r="AK698" s="692" t="n"/>
      <c r="AL698" s="692" t="n"/>
      <c r="AM698" s="692" t="n"/>
      <c r="AN698" s="692" t="n"/>
      <c r="AO698" s="692" t="n"/>
      <c r="AP698" s="692" t="n"/>
      <c r="AQ698" s="692" t="n"/>
      <c r="AR698" s="692" t="n"/>
      <c r="AS698" s="692" t="n"/>
    </row>
    <row r="699">
      <c r="A699" s="692" t="n"/>
      <c r="B699" s="692" t="n"/>
      <c r="C699" s="692" t="n"/>
      <c r="D699" s="692" t="n"/>
      <c r="E699" s="692" t="n"/>
      <c r="F699" s="692" t="n"/>
      <c r="G699" s="692" t="n"/>
      <c r="H699" s="692" t="n"/>
      <c r="I699" s="692" t="n"/>
      <c r="J699" s="692" t="n"/>
      <c r="K699" s="692" t="n"/>
      <c r="L699" s="692" t="n"/>
      <c r="M699" s="692" t="n"/>
      <c r="N699" s="692" t="n"/>
      <c r="O699" s="692" t="n"/>
      <c r="P699" s="692" t="n"/>
      <c r="Q699" s="692" t="n"/>
      <c r="R699" s="692" t="n"/>
      <c r="S699" s="692" t="n"/>
      <c r="T699" s="692" t="n"/>
      <c r="U699" s="692" t="n"/>
      <c r="V699" s="692" t="n"/>
      <c r="W699" s="692" t="n"/>
      <c r="X699" s="692" t="n"/>
      <c r="Y699" s="692" t="n"/>
      <c r="Z699" s="692" t="n"/>
      <c r="AA699" s="692" t="n"/>
      <c r="AB699" s="692" t="n"/>
      <c r="AC699" s="692" t="n"/>
      <c r="AD699" s="692" t="n"/>
      <c r="AE699" s="692" t="n"/>
      <c r="AF699" s="692" t="n"/>
      <c r="AG699" s="692" t="n"/>
      <c r="AH699" s="692" t="n"/>
      <c r="AI699" s="692" t="n"/>
      <c r="AJ699" s="692" t="n"/>
      <c r="AK699" s="692" t="n"/>
      <c r="AL699" s="692" t="n"/>
      <c r="AM699" s="692" t="n"/>
      <c r="AN699" s="692" t="n"/>
      <c r="AO699" s="692" t="n"/>
      <c r="AP699" s="692" t="n"/>
      <c r="AQ699" s="692" t="n"/>
      <c r="AR699" s="692" t="n"/>
      <c r="AS699" s="692" t="n"/>
    </row>
    <row r="700">
      <c r="A700" s="692" t="n"/>
      <c r="B700" s="692" t="n"/>
      <c r="C700" s="692" t="n"/>
      <c r="D700" s="692" t="n"/>
      <c r="E700" s="692" t="n"/>
      <c r="F700" s="692" t="n"/>
      <c r="G700" s="692" t="n"/>
      <c r="H700" s="692" t="n"/>
      <c r="I700" s="692" t="n"/>
      <c r="J700" s="692" t="n"/>
      <c r="K700" s="692" t="n"/>
      <c r="L700" s="692" t="n"/>
      <c r="M700" s="692" t="n"/>
      <c r="N700" s="692" t="n"/>
      <c r="O700" s="692" t="n"/>
      <c r="P700" s="692" t="n"/>
      <c r="Q700" s="692" t="n"/>
      <c r="R700" s="692" t="n"/>
      <c r="S700" s="692" t="n"/>
      <c r="T700" s="692" t="n"/>
      <c r="U700" s="692" t="n"/>
      <c r="V700" s="692" t="n"/>
      <c r="W700" s="692" t="n"/>
      <c r="X700" s="692" t="n"/>
      <c r="Y700" s="692" t="n"/>
      <c r="Z700" s="692" t="n"/>
      <c r="AA700" s="692" t="n"/>
      <c r="AB700" s="692" t="n"/>
      <c r="AC700" s="692" t="n"/>
      <c r="AD700" s="692" t="n"/>
      <c r="AE700" s="692" t="n"/>
      <c r="AF700" s="692" t="n"/>
      <c r="AG700" s="692" t="n"/>
      <c r="AH700" s="692" t="n"/>
      <c r="AI700" s="692" t="n"/>
      <c r="AJ700" s="692" t="n"/>
      <c r="AK700" s="692" t="n"/>
      <c r="AL700" s="692" t="n"/>
      <c r="AM700" s="692" t="n"/>
      <c r="AN700" s="692" t="n"/>
      <c r="AO700" s="692" t="n"/>
      <c r="AP700" s="692" t="n"/>
      <c r="AQ700" s="692" t="n"/>
      <c r="AR700" s="692" t="n"/>
      <c r="AS700" s="692" t="n"/>
    </row>
    <row r="701">
      <c r="A701" s="692" t="n"/>
      <c r="B701" s="692" t="n"/>
      <c r="C701" s="692" t="n"/>
      <c r="D701" s="692" t="n"/>
      <c r="E701" s="692" t="n"/>
      <c r="F701" s="692" t="n"/>
      <c r="G701" s="692" t="n"/>
      <c r="H701" s="692" t="n"/>
      <c r="I701" s="692" t="n"/>
      <c r="J701" s="692" t="n"/>
      <c r="K701" s="692" t="n"/>
      <c r="L701" s="692" t="n"/>
      <c r="M701" s="692" t="n"/>
      <c r="N701" s="692" t="n"/>
      <c r="O701" s="692" t="n"/>
      <c r="P701" s="692" t="n"/>
      <c r="Q701" s="692" t="n"/>
      <c r="R701" s="692" t="n"/>
      <c r="S701" s="692" t="n"/>
      <c r="T701" s="692" t="n"/>
      <c r="U701" s="692" t="n"/>
      <c r="V701" s="692" t="n"/>
      <c r="W701" s="692" t="n"/>
      <c r="X701" s="692" t="n"/>
      <c r="Y701" s="692" t="n"/>
      <c r="Z701" s="692" t="n"/>
      <c r="AA701" s="692" t="n"/>
      <c r="AB701" s="692" t="n"/>
      <c r="AC701" s="692" t="n"/>
      <c r="AD701" s="692" t="n"/>
      <c r="AE701" s="692" t="n"/>
      <c r="AF701" s="692" t="n"/>
      <c r="AG701" s="692" t="n"/>
      <c r="AH701" s="692" t="n"/>
      <c r="AI701" s="692" t="n"/>
      <c r="AJ701" s="692" t="n"/>
      <c r="AK701" s="692" t="n"/>
      <c r="AL701" s="692" t="n"/>
      <c r="AM701" s="692" t="n"/>
      <c r="AN701" s="692" t="n"/>
      <c r="AO701" s="692" t="n"/>
      <c r="AP701" s="692" t="n"/>
      <c r="AQ701" s="692" t="n"/>
      <c r="AR701" s="692" t="n"/>
      <c r="AS701" s="692" t="n"/>
    </row>
    <row r="702">
      <c r="A702" s="692" t="n"/>
      <c r="B702" s="692" t="n"/>
      <c r="C702" s="692" t="n"/>
      <c r="D702" s="692" t="n"/>
      <c r="E702" s="692" t="n"/>
      <c r="F702" s="692" t="n"/>
      <c r="G702" s="692" t="n"/>
      <c r="H702" s="692" t="n"/>
      <c r="I702" s="692" t="n"/>
      <c r="J702" s="692" t="n"/>
      <c r="K702" s="692" t="n"/>
      <c r="L702" s="692" t="n"/>
      <c r="M702" s="692" t="n"/>
      <c r="N702" s="692" t="n"/>
      <c r="O702" s="692" t="n"/>
      <c r="P702" s="692" t="n"/>
      <c r="Q702" s="692" t="n"/>
      <c r="R702" s="692" t="n"/>
      <c r="S702" s="692" t="n"/>
      <c r="T702" s="692" t="n"/>
      <c r="U702" s="692" t="n"/>
      <c r="V702" s="692" t="n"/>
      <c r="W702" s="692" t="n"/>
      <c r="X702" s="692" t="n"/>
      <c r="Y702" s="692" t="n"/>
      <c r="Z702" s="692" t="n"/>
      <c r="AA702" s="692" t="n"/>
      <c r="AB702" s="692" t="n"/>
      <c r="AC702" s="692" t="n"/>
      <c r="AD702" s="692" t="n"/>
      <c r="AE702" s="692" t="n"/>
      <c r="AF702" s="692" t="n"/>
      <c r="AG702" s="692" t="n"/>
      <c r="AH702" s="692" t="n"/>
      <c r="AI702" s="692" t="n"/>
      <c r="AJ702" s="692" t="n"/>
      <c r="AK702" s="692" t="n"/>
      <c r="AL702" s="692" t="n"/>
      <c r="AM702" s="692" t="n"/>
      <c r="AN702" s="692" t="n"/>
      <c r="AO702" s="692" t="n"/>
      <c r="AP702" s="692" t="n"/>
      <c r="AQ702" s="692" t="n"/>
      <c r="AR702" s="692" t="n"/>
      <c r="AS702" s="692" t="n"/>
    </row>
    <row r="703">
      <c r="A703" s="692" t="n"/>
      <c r="B703" s="692" t="n"/>
      <c r="C703" s="692" t="n"/>
      <c r="D703" s="692" t="n"/>
      <c r="E703" s="692" t="n"/>
      <c r="F703" s="692" t="n"/>
      <c r="G703" s="692" t="n"/>
      <c r="H703" s="692" t="n"/>
      <c r="I703" s="692" t="n"/>
      <c r="J703" s="692" t="n"/>
      <c r="K703" s="692" t="n"/>
      <c r="L703" s="692" t="n"/>
      <c r="M703" s="692" t="n"/>
      <c r="N703" s="692" t="n"/>
      <c r="O703" s="692" t="n"/>
      <c r="P703" s="692" t="n"/>
      <c r="Q703" s="692" t="n"/>
      <c r="R703" s="692" t="n"/>
      <c r="S703" s="692" t="n"/>
      <c r="T703" s="692" t="n"/>
      <c r="U703" s="692" t="n"/>
      <c r="V703" s="692" t="n"/>
      <c r="W703" s="692" t="n"/>
      <c r="X703" s="692" t="n"/>
      <c r="Y703" s="692" t="n"/>
      <c r="Z703" s="692" t="n"/>
      <c r="AA703" s="692" t="n"/>
      <c r="AB703" s="692" t="n"/>
      <c r="AC703" s="692" t="n"/>
      <c r="AD703" s="692" t="n"/>
      <c r="AE703" s="692" t="n"/>
      <c r="AF703" s="692" t="n"/>
      <c r="AG703" s="692" t="n"/>
      <c r="AH703" s="692" t="n"/>
      <c r="AI703" s="692" t="n"/>
      <c r="AJ703" s="692" t="n"/>
      <c r="AK703" s="692" t="n"/>
      <c r="AL703" s="692" t="n"/>
      <c r="AM703" s="692" t="n"/>
      <c r="AN703" s="692" t="n"/>
      <c r="AO703" s="692" t="n"/>
      <c r="AP703" s="692" t="n"/>
      <c r="AQ703" s="692" t="n"/>
      <c r="AR703" s="692" t="n"/>
      <c r="AS703" s="692" t="n"/>
    </row>
    <row r="704">
      <c r="A704" s="692" t="n"/>
      <c r="B704" s="692" t="n"/>
      <c r="C704" s="692" t="n"/>
      <c r="D704" s="692" t="n"/>
      <c r="E704" s="692" t="n"/>
      <c r="F704" s="692" t="n"/>
      <c r="G704" s="692" t="n"/>
      <c r="H704" s="692" t="n"/>
      <c r="I704" s="692" t="n"/>
      <c r="J704" s="692" t="n"/>
      <c r="K704" s="692" t="n"/>
      <c r="L704" s="692" t="n"/>
      <c r="M704" s="692" t="n"/>
      <c r="N704" s="692" t="n"/>
      <c r="O704" s="692" t="n"/>
      <c r="P704" s="692" t="n"/>
      <c r="Q704" s="692" t="n"/>
      <c r="R704" s="692" t="n"/>
      <c r="S704" s="692" t="n"/>
      <c r="T704" s="692" t="n"/>
      <c r="U704" s="692" t="n"/>
      <c r="V704" s="692" t="n"/>
      <c r="W704" s="692" t="n"/>
      <c r="X704" s="692" t="n"/>
      <c r="Y704" s="692" t="n"/>
      <c r="Z704" s="692" t="n"/>
      <c r="AA704" s="692" t="n"/>
      <c r="AB704" s="692" t="n"/>
      <c r="AC704" s="692" t="n"/>
      <c r="AD704" s="692" t="n"/>
      <c r="AE704" s="692" t="n"/>
      <c r="AF704" s="692" t="n"/>
      <c r="AG704" s="692" t="n"/>
      <c r="AH704" s="692" t="n"/>
      <c r="AI704" s="692" t="n"/>
      <c r="AJ704" s="692" t="n"/>
      <c r="AK704" s="692" t="n"/>
      <c r="AL704" s="692" t="n"/>
      <c r="AM704" s="692" t="n"/>
      <c r="AN704" s="692" t="n"/>
      <c r="AO704" s="692" t="n"/>
      <c r="AP704" s="692" t="n"/>
      <c r="AQ704" s="692" t="n"/>
      <c r="AR704" s="692" t="n"/>
      <c r="AS704" s="692" t="n"/>
    </row>
    <row r="705">
      <c r="A705" s="692" t="n"/>
      <c r="B705" s="692" t="n"/>
      <c r="C705" s="692" t="n"/>
      <c r="D705" s="692" t="n"/>
      <c r="E705" s="692" t="n"/>
      <c r="F705" s="692" t="n"/>
      <c r="G705" s="692" t="n"/>
      <c r="H705" s="692" t="n"/>
      <c r="I705" s="692" t="n"/>
      <c r="J705" s="692" t="n"/>
      <c r="K705" s="692" t="n"/>
      <c r="L705" s="692" t="n"/>
      <c r="M705" s="692" t="n"/>
      <c r="N705" s="692" t="n"/>
      <c r="O705" s="692" t="n"/>
      <c r="P705" s="692" t="n"/>
      <c r="Q705" s="692" t="n"/>
      <c r="R705" s="692" t="n"/>
      <c r="S705" s="692" t="n"/>
      <c r="T705" s="692" t="n"/>
      <c r="U705" s="692" t="n"/>
      <c r="V705" s="692" t="n"/>
      <c r="W705" s="692" t="n"/>
      <c r="X705" s="692" t="n"/>
      <c r="Y705" s="692" t="n"/>
      <c r="Z705" s="692" t="n"/>
      <c r="AA705" s="692" t="n"/>
      <c r="AB705" s="692" t="n"/>
      <c r="AC705" s="692" t="n"/>
      <c r="AD705" s="692" t="n"/>
      <c r="AE705" s="692" t="n"/>
      <c r="AF705" s="692" t="n"/>
      <c r="AG705" s="692" t="n"/>
      <c r="AH705" s="692" t="n"/>
      <c r="AI705" s="692" t="n"/>
      <c r="AJ705" s="692" t="n"/>
      <c r="AK705" s="692" t="n"/>
      <c r="AL705" s="692" t="n"/>
      <c r="AM705" s="692" t="n"/>
      <c r="AN705" s="692" t="n"/>
      <c r="AO705" s="692" t="n"/>
      <c r="AP705" s="692" t="n"/>
      <c r="AQ705" s="692" t="n"/>
      <c r="AR705" s="692" t="n"/>
      <c r="AS705" s="692" t="n"/>
    </row>
    <row r="706">
      <c r="A706" s="692" t="n"/>
      <c r="B706" s="692" t="n"/>
      <c r="C706" s="692" t="n"/>
      <c r="D706" s="692" t="n"/>
      <c r="E706" s="692" t="n"/>
      <c r="F706" s="692" t="n"/>
      <c r="G706" s="692" t="n"/>
      <c r="H706" s="692" t="n"/>
      <c r="I706" s="692" t="n"/>
      <c r="J706" s="692" t="n"/>
      <c r="K706" s="692" t="n"/>
      <c r="L706" s="692" t="n"/>
      <c r="M706" s="692" t="n"/>
      <c r="N706" s="692" t="n"/>
      <c r="O706" s="692" t="n"/>
      <c r="P706" s="692" t="n"/>
      <c r="Q706" s="692" t="n"/>
      <c r="R706" s="692" t="n"/>
      <c r="S706" s="692" t="n"/>
      <c r="T706" s="692" t="n"/>
      <c r="U706" s="692" t="n"/>
      <c r="V706" s="692" t="n"/>
      <c r="W706" s="692" t="n"/>
      <c r="X706" s="692" t="n"/>
      <c r="Y706" s="692" t="n"/>
      <c r="Z706" s="692" t="n"/>
      <c r="AA706" s="692" t="n"/>
      <c r="AB706" s="692" t="n"/>
      <c r="AC706" s="692" t="n"/>
      <c r="AD706" s="692" t="n"/>
      <c r="AE706" s="692" t="n"/>
      <c r="AF706" s="692" t="n"/>
      <c r="AG706" s="692" t="n"/>
      <c r="AH706" s="692" t="n"/>
      <c r="AI706" s="692" t="n"/>
      <c r="AJ706" s="692" t="n"/>
      <c r="AK706" s="692" t="n"/>
      <c r="AL706" s="692" t="n"/>
      <c r="AM706" s="692" t="n"/>
      <c r="AN706" s="692" t="n"/>
      <c r="AO706" s="692" t="n"/>
      <c r="AP706" s="692" t="n"/>
      <c r="AQ706" s="692" t="n"/>
      <c r="AR706" s="692" t="n"/>
      <c r="AS706" s="692" t="n"/>
    </row>
    <row r="707">
      <c r="A707" s="692" t="n"/>
      <c r="B707" s="692" t="n"/>
      <c r="C707" s="692" t="n"/>
      <c r="D707" s="692" t="n"/>
      <c r="E707" s="692" t="n"/>
      <c r="F707" s="692" t="n"/>
      <c r="G707" s="692" t="n"/>
      <c r="H707" s="692" t="n"/>
      <c r="I707" s="692" t="n"/>
      <c r="J707" s="692" t="n"/>
      <c r="K707" s="692" t="n"/>
      <c r="L707" s="692" t="n"/>
      <c r="M707" s="692" t="n"/>
      <c r="N707" s="692" t="n"/>
      <c r="O707" s="692" t="n"/>
      <c r="P707" s="692" t="n"/>
      <c r="Q707" s="692" t="n"/>
      <c r="R707" s="692" t="n"/>
      <c r="S707" s="692" t="n"/>
      <c r="T707" s="692" t="n"/>
      <c r="U707" s="692" t="n"/>
      <c r="V707" s="692" t="n"/>
      <c r="W707" s="692" t="n"/>
      <c r="X707" s="692" t="n"/>
      <c r="Y707" s="692" t="n"/>
      <c r="Z707" s="692" t="n"/>
      <c r="AA707" s="692" t="n"/>
      <c r="AB707" s="692" t="n"/>
      <c r="AC707" s="692" t="n"/>
      <c r="AD707" s="692" t="n"/>
      <c r="AE707" s="692" t="n"/>
      <c r="AF707" s="692" t="n"/>
      <c r="AG707" s="692" t="n"/>
      <c r="AH707" s="692" t="n"/>
      <c r="AI707" s="692" t="n"/>
      <c r="AJ707" s="692" t="n"/>
      <c r="AK707" s="692" t="n"/>
      <c r="AL707" s="692" t="n"/>
      <c r="AM707" s="692" t="n"/>
      <c r="AN707" s="692" t="n"/>
      <c r="AO707" s="692" t="n"/>
      <c r="AP707" s="692" t="n"/>
      <c r="AQ707" s="692" t="n"/>
      <c r="AR707" s="692" t="n"/>
      <c r="AS707" s="692" t="n"/>
    </row>
    <row r="708">
      <c r="A708" s="692" t="n"/>
      <c r="B708" s="692" t="n"/>
      <c r="C708" s="692" t="n"/>
      <c r="D708" s="692" t="n"/>
      <c r="E708" s="692" t="n"/>
      <c r="F708" s="692" t="n"/>
      <c r="G708" s="692" t="n"/>
      <c r="H708" s="692" t="n"/>
      <c r="I708" s="692" t="n"/>
      <c r="J708" s="692" t="n"/>
      <c r="K708" s="692" t="n"/>
      <c r="L708" s="692" t="n"/>
      <c r="M708" s="692" t="n"/>
      <c r="N708" s="692" t="n"/>
      <c r="O708" s="692" t="n"/>
      <c r="P708" s="692" t="n"/>
      <c r="Q708" s="692" t="n"/>
      <c r="R708" s="692" t="n"/>
      <c r="S708" s="692" t="n"/>
      <c r="T708" s="692" t="n"/>
      <c r="U708" s="692" t="n"/>
      <c r="V708" s="692" t="n"/>
      <c r="W708" s="692" t="n"/>
      <c r="X708" s="692" t="n"/>
      <c r="Y708" s="692" t="n"/>
      <c r="Z708" s="692" t="n"/>
      <c r="AA708" s="692" t="n"/>
      <c r="AB708" s="692" t="n"/>
      <c r="AC708" s="692" t="n"/>
      <c r="AD708" s="692" t="n"/>
      <c r="AE708" s="692" t="n"/>
      <c r="AF708" s="692" t="n"/>
      <c r="AG708" s="692" t="n"/>
      <c r="AH708" s="692" t="n"/>
      <c r="AI708" s="692" t="n"/>
      <c r="AJ708" s="692" t="n"/>
      <c r="AK708" s="692" t="n"/>
      <c r="AL708" s="692" t="n"/>
      <c r="AM708" s="692" t="n"/>
      <c r="AN708" s="692" t="n"/>
      <c r="AO708" s="692" t="n"/>
      <c r="AP708" s="692" t="n"/>
      <c r="AQ708" s="692" t="n"/>
      <c r="AR708" s="692" t="n"/>
      <c r="AS708" s="692" t="n"/>
    </row>
    <row r="709">
      <c r="A709" s="692" t="n"/>
      <c r="B709" s="692" t="n"/>
      <c r="C709" s="692" t="n"/>
      <c r="D709" s="692" t="n"/>
      <c r="E709" s="692" t="n"/>
      <c r="F709" s="692" t="n"/>
      <c r="G709" s="692" t="n"/>
      <c r="H709" s="692" t="n"/>
      <c r="I709" s="692" t="n"/>
      <c r="J709" s="692" t="n"/>
      <c r="K709" s="692" t="n"/>
      <c r="L709" s="692" t="n"/>
      <c r="M709" s="692" t="n"/>
      <c r="N709" s="692" t="n"/>
      <c r="O709" s="692" t="n"/>
      <c r="P709" s="692" t="n"/>
      <c r="Q709" s="692" t="n"/>
      <c r="R709" s="692" t="n"/>
      <c r="S709" s="692" t="n"/>
      <c r="T709" s="692" t="n"/>
      <c r="U709" s="692" t="n"/>
      <c r="V709" s="692" t="n"/>
      <c r="W709" s="692" t="n"/>
      <c r="X709" s="692" t="n"/>
      <c r="Y709" s="692" t="n"/>
      <c r="Z709" s="692" t="n"/>
      <c r="AA709" s="692" t="n"/>
      <c r="AB709" s="692" t="n"/>
      <c r="AC709" s="692" t="n"/>
      <c r="AD709" s="692" t="n"/>
      <c r="AE709" s="692" t="n"/>
      <c r="AF709" s="692" t="n"/>
      <c r="AG709" s="692" t="n"/>
      <c r="AH709" s="692" t="n"/>
      <c r="AI709" s="692" t="n"/>
      <c r="AJ709" s="692" t="n"/>
      <c r="AK709" s="692" t="n"/>
      <c r="AL709" s="692" t="n"/>
      <c r="AM709" s="692" t="n"/>
      <c r="AN709" s="692" t="n"/>
      <c r="AO709" s="692" t="n"/>
      <c r="AP709" s="692" t="n"/>
      <c r="AQ709" s="692" t="n"/>
      <c r="AR709" s="692" t="n"/>
      <c r="AS709" s="692" t="n"/>
    </row>
    <row r="710">
      <c r="A710" s="692" t="n"/>
      <c r="B710" s="692" t="n"/>
      <c r="C710" s="692" t="n"/>
      <c r="D710" s="692" t="n"/>
      <c r="E710" s="692" t="n"/>
      <c r="F710" s="692" t="n"/>
      <c r="G710" s="692" t="n"/>
      <c r="H710" s="692" t="n"/>
      <c r="I710" s="692" t="n"/>
      <c r="J710" s="692" t="n"/>
      <c r="K710" s="692" t="n"/>
      <c r="L710" s="692" t="n"/>
      <c r="M710" s="692" t="n"/>
      <c r="N710" s="692" t="n"/>
      <c r="O710" s="692" t="n"/>
      <c r="P710" s="692" t="n"/>
      <c r="Q710" s="692" t="n"/>
      <c r="R710" s="692" t="n"/>
      <c r="S710" s="692" t="n"/>
      <c r="T710" s="692" t="n"/>
      <c r="U710" s="692" t="n"/>
      <c r="V710" s="692" t="n"/>
      <c r="W710" s="692" t="n"/>
      <c r="X710" s="692" t="n"/>
      <c r="Y710" s="692" t="n"/>
      <c r="Z710" s="692" t="n"/>
      <c r="AA710" s="692" t="n"/>
      <c r="AB710" s="692" t="n"/>
      <c r="AC710" s="692" t="n"/>
      <c r="AD710" s="692" t="n"/>
      <c r="AE710" s="692" t="n"/>
      <c r="AF710" s="692" t="n"/>
      <c r="AG710" s="692" t="n"/>
      <c r="AH710" s="692" t="n"/>
      <c r="AI710" s="692" t="n"/>
      <c r="AJ710" s="692" t="n"/>
      <c r="AK710" s="692" t="n"/>
      <c r="AL710" s="692" t="n"/>
      <c r="AM710" s="692" t="n"/>
      <c r="AN710" s="692" t="n"/>
      <c r="AO710" s="692" t="n"/>
      <c r="AP710" s="692" t="n"/>
      <c r="AQ710" s="692" t="n"/>
      <c r="AR710" s="692" t="n"/>
      <c r="AS710" s="692" t="n"/>
    </row>
    <row r="711">
      <c r="A711" s="692" t="n"/>
      <c r="B711" s="692" t="n"/>
      <c r="C711" s="692" t="n"/>
      <c r="D711" s="692" t="n"/>
      <c r="E711" s="692" t="n"/>
      <c r="F711" s="692" t="n"/>
      <c r="G711" s="692" t="n"/>
      <c r="H711" s="692" t="n"/>
      <c r="I711" s="692" t="n"/>
      <c r="J711" s="692" t="n"/>
      <c r="K711" s="692" t="n"/>
      <c r="L711" s="692" t="n"/>
      <c r="M711" s="692" t="n"/>
      <c r="N711" s="692" t="n"/>
      <c r="O711" s="692" t="n"/>
      <c r="P711" s="692" t="n"/>
      <c r="Q711" s="692" t="n"/>
      <c r="R711" s="692" t="n"/>
      <c r="S711" s="692" t="n"/>
      <c r="T711" s="692" t="n"/>
      <c r="U711" s="692" t="n"/>
      <c r="V711" s="692" t="n"/>
      <c r="W711" s="692" t="n"/>
      <c r="X711" s="692" t="n"/>
      <c r="Y711" s="692" t="n"/>
      <c r="Z711" s="692" t="n"/>
      <c r="AA711" s="692" t="n"/>
      <c r="AB711" s="692" t="n"/>
      <c r="AC711" s="692" t="n"/>
      <c r="AD711" s="692" t="n"/>
      <c r="AE711" s="692" t="n"/>
      <c r="AF711" s="692" t="n"/>
      <c r="AG711" s="692" t="n"/>
      <c r="AH711" s="692" t="n"/>
      <c r="AI711" s="692" t="n"/>
      <c r="AJ711" s="692" t="n"/>
      <c r="AK711" s="692" t="n"/>
      <c r="AL711" s="692" t="n"/>
      <c r="AM711" s="692" t="n"/>
      <c r="AN711" s="692" t="n"/>
      <c r="AO711" s="692" t="n"/>
      <c r="AP711" s="692" t="n"/>
      <c r="AQ711" s="692" t="n"/>
      <c r="AR711" s="692" t="n"/>
      <c r="AS711" s="692" t="n"/>
    </row>
    <row r="712">
      <c r="A712" s="692" t="n"/>
      <c r="B712" s="692" t="n"/>
      <c r="C712" s="692" t="n"/>
      <c r="D712" s="692" t="n"/>
      <c r="E712" s="692" t="n"/>
      <c r="F712" s="692" t="n"/>
      <c r="G712" s="692" t="n"/>
      <c r="H712" s="692" t="n"/>
      <c r="I712" s="692" t="n"/>
      <c r="J712" s="692" t="n"/>
      <c r="K712" s="692" t="n"/>
      <c r="L712" s="692" t="n"/>
      <c r="M712" s="692" t="n"/>
      <c r="N712" s="692" t="n"/>
      <c r="O712" s="692" t="n"/>
      <c r="P712" s="692" t="n"/>
      <c r="Q712" s="692" t="n"/>
      <c r="R712" s="692" t="n"/>
      <c r="S712" s="692" t="n"/>
      <c r="T712" s="692" t="n"/>
      <c r="U712" s="692" t="n"/>
      <c r="V712" s="692" t="n"/>
      <c r="W712" s="692" t="n"/>
      <c r="X712" s="692" t="n"/>
      <c r="Y712" s="692" t="n"/>
      <c r="Z712" s="692" t="n"/>
      <c r="AA712" s="692" t="n"/>
      <c r="AB712" s="692" t="n"/>
      <c r="AC712" s="692" t="n"/>
      <c r="AD712" s="692" t="n"/>
      <c r="AE712" s="692" t="n"/>
      <c r="AF712" s="692" t="n"/>
      <c r="AG712" s="692" t="n"/>
      <c r="AH712" s="692" t="n"/>
      <c r="AI712" s="692" t="n"/>
      <c r="AJ712" s="692" t="n"/>
      <c r="AK712" s="692" t="n"/>
      <c r="AL712" s="692" t="n"/>
      <c r="AM712" s="692" t="n"/>
      <c r="AN712" s="692" t="n"/>
      <c r="AO712" s="692" t="n"/>
      <c r="AP712" s="692" t="n"/>
      <c r="AQ712" s="692" t="n"/>
      <c r="AR712" s="692" t="n"/>
      <c r="AS712" s="692" t="n"/>
    </row>
    <row r="713">
      <c r="A713" s="692" t="n"/>
      <c r="B713" s="692" t="n"/>
      <c r="C713" s="692" t="n"/>
      <c r="D713" s="692" t="n"/>
      <c r="E713" s="692" t="n"/>
      <c r="F713" s="692" t="n"/>
      <c r="G713" s="692" t="n"/>
      <c r="H713" s="692" t="n"/>
      <c r="I713" s="692" t="n"/>
      <c r="J713" s="692" t="n"/>
      <c r="K713" s="692" t="n"/>
      <c r="L713" s="692" t="n"/>
      <c r="M713" s="692" t="n"/>
      <c r="N713" s="692" t="n"/>
      <c r="O713" s="692" t="n"/>
      <c r="P713" s="692" t="n"/>
      <c r="Q713" s="692" t="n"/>
      <c r="R713" s="692" t="n"/>
      <c r="S713" s="692" t="n"/>
      <c r="T713" s="692" t="n"/>
      <c r="U713" s="692" t="n"/>
      <c r="V713" s="692" t="n"/>
      <c r="W713" s="692" t="n"/>
      <c r="X713" s="692" t="n"/>
      <c r="Y713" s="692" t="n"/>
      <c r="Z713" s="692" t="n"/>
      <c r="AA713" s="692" t="n"/>
      <c r="AB713" s="692" t="n"/>
      <c r="AC713" s="692" t="n"/>
      <c r="AD713" s="692" t="n"/>
      <c r="AE713" s="692" t="n"/>
      <c r="AF713" s="692" t="n"/>
      <c r="AG713" s="692" t="n"/>
      <c r="AH713" s="692" t="n"/>
      <c r="AI713" s="692" t="n"/>
      <c r="AJ713" s="692" t="n"/>
      <c r="AK713" s="692" t="n"/>
      <c r="AL713" s="692" t="n"/>
      <c r="AM713" s="692" t="n"/>
      <c r="AN713" s="692" t="n"/>
      <c r="AO713" s="692" t="n"/>
      <c r="AP713" s="692" t="n"/>
      <c r="AQ713" s="692" t="n"/>
      <c r="AR713" s="692" t="n"/>
      <c r="AS713" s="692" t="n"/>
    </row>
    <row r="714">
      <c r="A714" s="692" t="n"/>
      <c r="B714" s="692" t="n"/>
      <c r="C714" s="692" t="n"/>
      <c r="D714" s="692" t="n"/>
      <c r="E714" s="692" t="n"/>
      <c r="F714" s="692" t="n"/>
      <c r="G714" s="692" t="n"/>
      <c r="H714" s="692" t="n"/>
      <c r="I714" s="692" t="n"/>
      <c r="J714" s="692" t="n"/>
      <c r="K714" s="692" t="n"/>
      <c r="L714" s="692" t="n"/>
      <c r="M714" s="692" t="n"/>
      <c r="N714" s="692" t="n"/>
      <c r="O714" s="692" t="n"/>
      <c r="P714" s="692" t="n"/>
      <c r="Q714" s="692" t="n"/>
      <c r="R714" s="692" t="n"/>
      <c r="S714" s="692" t="n"/>
      <c r="T714" s="692" t="n"/>
      <c r="U714" s="692" t="n"/>
      <c r="V714" s="692" t="n"/>
      <c r="W714" s="692" t="n"/>
      <c r="X714" s="692" t="n"/>
      <c r="Y714" s="692" t="n"/>
      <c r="Z714" s="692" t="n"/>
      <c r="AA714" s="692" t="n"/>
      <c r="AB714" s="692" t="n"/>
      <c r="AC714" s="692" t="n"/>
      <c r="AD714" s="692" t="n"/>
      <c r="AE714" s="692" t="n"/>
      <c r="AF714" s="692" t="n"/>
      <c r="AG714" s="692" t="n"/>
      <c r="AH714" s="692" t="n"/>
      <c r="AI714" s="692" t="n"/>
      <c r="AJ714" s="692" t="n"/>
      <c r="AK714" s="692" t="n"/>
      <c r="AL714" s="692" t="n"/>
      <c r="AM714" s="692" t="n"/>
      <c r="AN714" s="692" t="n"/>
      <c r="AO714" s="692" t="n"/>
      <c r="AP714" s="692" t="n"/>
      <c r="AQ714" s="692" t="n"/>
      <c r="AR714" s="692" t="n"/>
      <c r="AS714" s="692" t="n"/>
    </row>
    <row r="715">
      <c r="A715" s="692" t="n"/>
      <c r="B715" s="692" t="n"/>
      <c r="C715" s="692" t="n"/>
      <c r="D715" s="692" t="n"/>
      <c r="E715" s="692" t="n"/>
      <c r="F715" s="692" t="n"/>
      <c r="G715" s="692" t="n"/>
      <c r="H715" s="692" t="n"/>
      <c r="I715" s="692" t="n"/>
      <c r="J715" s="692" t="n"/>
      <c r="K715" s="692" t="n"/>
      <c r="L715" s="692" t="n"/>
      <c r="M715" s="692" t="n"/>
      <c r="N715" s="692" t="n"/>
      <c r="O715" s="692" t="n"/>
      <c r="P715" s="692" t="n"/>
      <c r="Q715" s="692" t="n"/>
      <c r="R715" s="692" t="n"/>
      <c r="S715" s="692" t="n"/>
      <c r="T715" s="692" t="n"/>
      <c r="U715" s="692" t="n"/>
      <c r="V715" s="692" t="n"/>
      <c r="W715" s="692" t="n"/>
      <c r="X715" s="692" t="n"/>
      <c r="Y715" s="692" t="n"/>
      <c r="Z715" s="692" t="n"/>
      <c r="AA715" s="692" t="n"/>
      <c r="AB715" s="692" t="n"/>
      <c r="AC715" s="692" t="n"/>
      <c r="AD715" s="692" t="n"/>
      <c r="AE715" s="692" t="n"/>
      <c r="AF715" s="692" t="n"/>
      <c r="AG715" s="692" t="n"/>
      <c r="AH715" s="692" t="n"/>
      <c r="AI715" s="692" t="n"/>
      <c r="AJ715" s="692" t="n"/>
      <c r="AK715" s="692" t="n"/>
      <c r="AL715" s="692" t="n"/>
      <c r="AM715" s="692" t="n"/>
      <c r="AN715" s="692" t="n"/>
      <c r="AO715" s="692" t="n"/>
      <c r="AP715" s="692" t="n"/>
      <c r="AQ715" s="692" t="n"/>
      <c r="AR715" s="692" t="n"/>
      <c r="AS715" s="692" t="n"/>
    </row>
    <row r="716">
      <c r="A716" s="692" t="n"/>
      <c r="B716" s="692" t="n"/>
      <c r="C716" s="692" t="n"/>
      <c r="D716" s="692" t="n"/>
      <c r="E716" s="692" t="n"/>
      <c r="F716" s="692" t="n"/>
      <c r="G716" s="692" t="n"/>
      <c r="H716" s="692" t="n"/>
      <c r="I716" s="692" t="n"/>
      <c r="J716" s="692" t="n"/>
      <c r="K716" s="692" t="n"/>
      <c r="L716" s="692" t="n"/>
      <c r="M716" s="692" t="n"/>
      <c r="N716" s="692" t="n"/>
      <c r="O716" s="692" t="n"/>
      <c r="P716" s="692" t="n"/>
      <c r="Q716" s="692" t="n"/>
      <c r="R716" s="692" t="n"/>
      <c r="S716" s="692" t="n"/>
      <c r="T716" s="692" t="n"/>
      <c r="U716" s="692" t="n"/>
      <c r="V716" s="692" t="n"/>
      <c r="W716" s="692" t="n"/>
      <c r="X716" s="692" t="n"/>
      <c r="Y716" s="692" t="n"/>
      <c r="Z716" s="692" t="n"/>
      <c r="AA716" s="692" t="n"/>
      <c r="AB716" s="692" t="n"/>
      <c r="AC716" s="692" t="n"/>
      <c r="AD716" s="692" t="n"/>
      <c r="AE716" s="692" t="n"/>
      <c r="AF716" s="692" t="n"/>
      <c r="AG716" s="692" t="n"/>
      <c r="AH716" s="692" t="n"/>
      <c r="AI716" s="692" t="n"/>
      <c r="AJ716" s="692" t="n"/>
      <c r="AK716" s="692" t="n"/>
      <c r="AL716" s="692" t="n"/>
      <c r="AM716" s="692" t="n"/>
      <c r="AN716" s="692" t="n"/>
      <c r="AO716" s="692" t="n"/>
      <c r="AP716" s="692" t="n"/>
      <c r="AQ716" s="692" t="n"/>
      <c r="AR716" s="692" t="n"/>
      <c r="AS716" s="692" t="n"/>
    </row>
    <row r="717">
      <c r="A717" s="692" t="n"/>
      <c r="B717" s="692" t="n"/>
      <c r="C717" s="692" t="n"/>
      <c r="D717" s="692" t="n"/>
      <c r="E717" s="692" t="n"/>
      <c r="F717" s="692" t="n"/>
      <c r="G717" s="692" t="n"/>
      <c r="H717" s="692" t="n"/>
      <c r="I717" s="692" t="n"/>
      <c r="J717" s="692" t="n"/>
      <c r="K717" s="692" t="n"/>
      <c r="L717" s="692" t="n"/>
      <c r="M717" s="692" t="n"/>
      <c r="N717" s="692" t="n"/>
      <c r="O717" s="692" t="n"/>
      <c r="P717" s="692" t="n"/>
      <c r="Q717" s="692" t="n"/>
      <c r="R717" s="692" t="n"/>
      <c r="S717" s="692" t="n"/>
      <c r="T717" s="692" t="n"/>
      <c r="U717" s="692" t="n"/>
      <c r="V717" s="692" t="n"/>
      <c r="W717" s="692" t="n"/>
      <c r="X717" s="692" t="n"/>
      <c r="Y717" s="692" t="n"/>
      <c r="Z717" s="692" t="n"/>
      <c r="AA717" s="692" t="n"/>
      <c r="AB717" s="692" t="n"/>
      <c r="AC717" s="692" t="n"/>
      <c r="AD717" s="692" t="n"/>
      <c r="AE717" s="692" t="n"/>
      <c r="AF717" s="692" t="n"/>
      <c r="AG717" s="692" t="n"/>
      <c r="AH717" s="692" t="n"/>
      <c r="AI717" s="692" t="n"/>
      <c r="AJ717" s="692" t="n"/>
      <c r="AK717" s="692" t="n"/>
      <c r="AL717" s="692" t="n"/>
      <c r="AM717" s="692" t="n"/>
      <c r="AN717" s="692" t="n"/>
      <c r="AO717" s="692" t="n"/>
      <c r="AP717" s="692" t="n"/>
      <c r="AQ717" s="692" t="n"/>
      <c r="AR717" s="692" t="n"/>
      <c r="AS717" s="692" t="n"/>
    </row>
    <row r="718">
      <c r="A718" s="692" t="n"/>
      <c r="B718" s="692" t="n"/>
      <c r="C718" s="692" t="n"/>
      <c r="D718" s="692" t="n"/>
      <c r="E718" s="692" t="n"/>
      <c r="F718" s="692" t="n"/>
      <c r="G718" s="692" t="n"/>
      <c r="H718" s="692" t="n"/>
      <c r="I718" s="692" t="n"/>
      <c r="J718" s="692" t="n"/>
      <c r="K718" s="692" t="n"/>
      <c r="L718" s="692" t="n"/>
      <c r="M718" s="692" t="n"/>
      <c r="N718" s="692" t="n"/>
      <c r="O718" s="692" t="n"/>
      <c r="P718" s="692" t="n"/>
      <c r="Q718" s="692" t="n"/>
      <c r="R718" s="692" t="n"/>
      <c r="S718" s="692" t="n"/>
      <c r="T718" s="692" t="n"/>
      <c r="U718" s="692" t="n"/>
      <c r="V718" s="692" t="n"/>
      <c r="W718" s="692" t="n"/>
      <c r="X718" s="692" t="n"/>
      <c r="Y718" s="692" t="n"/>
      <c r="Z718" s="692" t="n"/>
      <c r="AA718" s="692" t="n"/>
      <c r="AB718" s="692" t="n"/>
      <c r="AC718" s="692" t="n"/>
      <c r="AD718" s="692" t="n"/>
      <c r="AE718" s="692" t="n"/>
      <c r="AF718" s="692" t="n"/>
      <c r="AG718" s="692" t="n"/>
      <c r="AH718" s="692" t="n"/>
      <c r="AI718" s="692" t="n"/>
      <c r="AJ718" s="692" t="n"/>
      <c r="AK718" s="692" t="n"/>
      <c r="AL718" s="692" t="n"/>
      <c r="AM718" s="692" t="n"/>
      <c r="AN718" s="692" t="n"/>
      <c r="AO718" s="692" t="n"/>
      <c r="AP718" s="692" t="n"/>
      <c r="AQ718" s="692" t="n"/>
      <c r="AR718" s="692" t="n"/>
      <c r="AS718" s="692" t="n"/>
    </row>
    <row r="719">
      <c r="A719" s="692" t="n"/>
      <c r="B719" s="692" t="n"/>
      <c r="C719" s="692" t="n"/>
      <c r="D719" s="692" t="n"/>
      <c r="E719" s="692" t="n"/>
      <c r="F719" s="692" t="n"/>
      <c r="G719" s="692" t="n"/>
      <c r="H719" s="692" t="n"/>
      <c r="I719" s="692" t="n"/>
      <c r="J719" s="692" t="n"/>
      <c r="K719" s="692" t="n"/>
      <c r="L719" s="692" t="n"/>
      <c r="M719" s="692" t="n"/>
      <c r="N719" s="692" t="n"/>
      <c r="O719" s="692" t="n"/>
      <c r="P719" s="692" t="n"/>
      <c r="Q719" s="692" t="n"/>
      <c r="R719" s="692" t="n"/>
      <c r="S719" s="692" t="n"/>
      <c r="T719" s="692" t="n"/>
      <c r="U719" s="692" t="n"/>
      <c r="V719" s="692" t="n"/>
      <c r="W719" s="692" t="n"/>
      <c r="X719" s="692" t="n"/>
      <c r="Y719" s="692" t="n"/>
      <c r="Z719" s="692" t="n"/>
      <c r="AA719" s="692" t="n"/>
      <c r="AB719" s="692" t="n"/>
      <c r="AC719" s="692" t="n"/>
      <c r="AD719" s="692" t="n"/>
      <c r="AE719" s="692" t="n"/>
      <c r="AF719" s="692" t="n"/>
      <c r="AG719" s="692" t="n"/>
      <c r="AH719" s="692" t="n"/>
      <c r="AI719" s="692" t="n"/>
      <c r="AJ719" s="692" t="n"/>
      <c r="AK719" s="692" t="n"/>
      <c r="AL719" s="692" t="n"/>
      <c r="AM719" s="692" t="n"/>
      <c r="AN719" s="692" t="n"/>
      <c r="AO719" s="692" t="n"/>
      <c r="AP719" s="692" t="n"/>
      <c r="AQ719" s="692" t="n"/>
      <c r="AR719" s="692" t="n"/>
      <c r="AS719" s="692" t="n"/>
    </row>
    <row r="720">
      <c r="A720" s="692" t="n"/>
      <c r="B720" s="692" t="n"/>
      <c r="C720" s="692" t="n"/>
      <c r="D720" s="692" t="n"/>
      <c r="E720" s="692" t="n"/>
      <c r="F720" s="692" t="n"/>
      <c r="G720" s="692" t="n"/>
      <c r="H720" s="692" t="n"/>
      <c r="I720" s="692" t="n"/>
      <c r="J720" s="692" t="n"/>
      <c r="K720" s="692" t="n"/>
      <c r="L720" s="692" t="n"/>
      <c r="M720" s="692" t="n"/>
      <c r="N720" s="692" t="n"/>
      <c r="O720" s="692" t="n"/>
      <c r="P720" s="692" t="n"/>
      <c r="Q720" s="692" t="n"/>
      <c r="R720" s="692" t="n"/>
      <c r="S720" s="692" t="n"/>
      <c r="T720" s="692" t="n"/>
      <c r="U720" s="692" t="n"/>
      <c r="V720" s="692" t="n"/>
      <c r="W720" s="692" t="n"/>
      <c r="X720" s="692" t="n"/>
      <c r="Y720" s="692" t="n"/>
      <c r="Z720" s="692" t="n"/>
      <c r="AA720" s="692" t="n"/>
      <c r="AB720" s="692" t="n"/>
      <c r="AC720" s="692" t="n"/>
      <c r="AD720" s="692" t="n"/>
      <c r="AE720" s="692" t="n"/>
      <c r="AF720" s="692" t="n"/>
      <c r="AG720" s="692" t="n"/>
      <c r="AH720" s="692" t="n"/>
      <c r="AI720" s="692" t="n"/>
      <c r="AJ720" s="692" t="n"/>
      <c r="AK720" s="692" t="n"/>
      <c r="AL720" s="692" t="n"/>
      <c r="AM720" s="692" t="n"/>
      <c r="AN720" s="692" t="n"/>
      <c r="AO720" s="692" t="n"/>
      <c r="AP720" s="692" t="n"/>
      <c r="AQ720" s="692" t="n"/>
      <c r="AR720" s="692" t="n"/>
      <c r="AS720" s="692" t="n"/>
    </row>
    <row r="721">
      <c r="A721" s="692" t="n"/>
      <c r="B721" s="692" t="n"/>
      <c r="C721" s="692" t="n"/>
      <c r="D721" s="692" t="n"/>
      <c r="E721" s="692" t="n"/>
      <c r="F721" s="692" t="n"/>
      <c r="G721" s="692" t="n"/>
      <c r="H721" s="692" t="n"/>
      <c r="I721" s="692" t="n"/>
      <c r="J721" s="692" t="n"/>
      <c r="K721" s="692" t="n"/>
      <c r="L721" s="692" t="n"/>
      <c r="M721" s="692" t="n"/>
      <c r="N721" s="692" t="n"/>
      <c r="O721" s="692" t="n"/>
      <c r="P721" s="692" t="n"/>
      <c r="Q721" s="692" t="n"/>
      <c r="R721" s="692" t="n"/>
      <c r="S721" s="692" t="n"/>
      <c r="T721" s="692" t="n"/>
      <c r="U721" s="692" t="n"/>
      <c r="V721" s="692" t="n"/>
      <c r="W721" s="692" t="n"/>
      <c r="X721" s="692" t="n"/>
      <c r="Y721" s="692" t="n"/>
      <c r="Z721" s="692" t="n"/>
      <c r="AA721" s="692" t="n"/>
      <c r="AB721" s="692" t="n"/>
      <c r="AC721" s="692" t="n"/>
      <c r="AD721" s="692" t="n"/>
      <c r="AE721" s="692" t="n"/>
      <c r="AF721" s="692" t="n"/>
      <c r="AG721" s="692" t="n"/>
      <c r="AH721" s="692" t="n"/>
      <c r="AI721" s="692" t="n"/>
      <c r="AJ721" s="692" t="n"/>
      <c r="AK721" s="692" t="n"/>
      <c r="AL721" s="692" t="n"/>
      <c r="AM721" s="692" t="n"/>
      <c r="AN721" s="692" t="n"/>
      <c r="AO721" s="692" t="n"/>
      <c r="AP721" s="692" t="n"/>
      <c r="AQ721" s="692" t="n"/>
      <c r="AR721" s="692" t="n"/>
      <c r="AS721" s="692" t="n"/>
    </row>
    <row r="722">
      <c r="A722" s="692" t="n"/>
      <c r="B722" s="692" t="n"/>
      <c r="C722" s="692" t="n"/>
      <c r="D722" s="692" t="n"/>
      <c r="E722" s="692" t="n"/>
      <c r="F722" s="692" t="n"/>
      <c r="G722" s="692" t="n"/>
      <c r="H722" s="692" t="n"/>
      <c r="I722" s="692" t="n"/>
      <c r="J722" s="692" t="n"/>
      <c r="K722" s="692" t="n"/>
      <c r="L722" s="692" t="n"/>
      <c r="M722" s="692" t="n"/>
      <c r="N722" s="692" t="n"/>
      <c r="O722" s="692" t="n"/>
      <c r="P722" s="692" t="n"/>
      <c r="Q722" s="692" t="n"/>
      <c r="R722" s="692" t="n"/>
      <c r="S722" s="692" t="n"/>
      <c r="T722" s="692" t="n"/>
      <c r="U722" s="692" t="n"/>
      <c r="V722" s="692" t="n"/>
      <c r="W722" s="692" t="n"/>
      <c r="X722" s="692" t="n"/>
      <c r="Y722" s="692" t="n"/>
      <c r="Z722" s="692" t="n"/>
      <c r="AA722" s="692" t="n"/>
      <c r="AB722" s="692" t="n"/>
      <c r="AC722" s="692" t="n"/>
      <c r="AD722" s="692" t="n"/>
      <c r="AE722" s="692" t="n"/>
      <c r="AF722" s="692" t="n"/>
      <c r="AG722" s="692" t="n"/>
      <c r="AH722" s="692" t="n"/>
      <c r="AI722" s="692" t="n"/>
      <c r="AJ722" s="692" t="n"/>
      <c r="AK722" s="692" t="n"/>
      <c r="AL722" s="692" t="n"/>
      <c r="AM722" s="692" t="n"/>
      <c r="AN722" s="692" t="n"/>
      <c r="AO722" s="692" t="n"/>
      <c r="AP722" s="692" t="n"/>
      <c r="AQ722" s="692" t="n"/>
      <c r="AR722" s="692" t="n"/>
      <c r="AS722" s="692" t="n"/>
    </row>
    <row r="723">
      <c r="A723" s="692" t="n"/>
      <c r="B723" s="692" t="n"/>
      <c r="C723" s="692" t="n"/>
      <c r="D723" s="692" t="n"/>
      <c r="E723" s="692" t="n"/>
      <c r="F723" s="692" t="n"/>
      <c r="G723" s="692" t="n"/>
      <c r="H723" s="692" t="n"/>
      <c r="I723" s="692" t="n"/>
      <c r="J723" s="692" t="n"/>
      <c r="K723" s="692" t="n"/>
      <c r="L723" s="692" t="n"/>
      <c r="M723" s="692" t="n"/>
      <c r="N723" s="692" t="n"/>
      <c r="O723" s="692" t="n"/>
      <c r="P723" s="692" t="n"/>
      <c r="Q723" s="692" t="n"/>
      <c r="R723" s="692" t="n"/>
      <c r="S723" s="692" t="n"/>
      <c r="T723" s="692" t="n"/>
      <c r="U723" s="692" t="n"/>
      <c r="V723" s="692" t="n"/>
      <c r="W723" s="692" t="n"/>
      <c r="X723" s="692" t="n"/>
      <c r="Y723" s="692" t="n"/>
      <c r="Z723" s="692" t="n"/>
      <c r="AA723" s="692" t="n"/>
      <c r="AB723" s="692" t="n"/>
      <c r="AC723" s="692" t="n"/>
      <c r="AD723" s="692" t="n"/>
      <c r="AE723" s="692" t="n"/>
      <c r="AF723" s="692" t="n"/>
      <c r="AG723" s="692" t="n"/>
      <c r="AH723" s="692" t="n"/>
      <c r="AI723" s="692" t="n"/>
      <c r="AJ723" s="692" t="n"/>
      <c r="AK723" s="692" t="n"/>
      <c r="AL723" s="692" t="n"/>
      <c r="AM723" s="692" t="n"/>
      <c r="AN723" s="692" t="n"/>
      <c r="AO723" s="692" t="n"/>
      <c r="AP723" s="692" t="n"/>
      <c r="AQ723" s="692" t="n"/>
      <c r="AR723" s="692" t="n"/>
      <c r="AS723" s="692" t="n"/>
    </row>
    <row r="724">
      <c r="A724" s="692" t="n"/>
      <c r="B724" s="692" t="n"/>
      <c r="C724" s="692" t="n"/>
      <c r="D724" s="692" t="n"/>
      <c r="E724" s="692" t="n"/>
      <c r="F724" s="692" t="n"/>
      <c r="G724" s="692" t="n"/>
      <c r="H724" s="692" t="n"/>
      <c r="I724" s="692" t="n"/>
      <c r="J724" s="692" t="n"/>
      <c r="K724" s="692" t="n"/>
      <c r="L724" s="692" t="n"/>
      <c r="M724" s="692" t="n"/>
      <c r="N724" s="692" t="n"/>
      <c r="O724" s="692" t="n"/>
      <c r="P724" s="692" t="n"/>
      <c r="Q724" s="692" t="n"/>
      <c r="R724" s="692" t="n"/>
      <c r="S724" s="692" t="n"/>
      <c r="T724" s="692" t="n"/>
      <c r="U724" s="692" t="n"/>
      <c r="V724" s="692" t="n"/>
      <c r="W724" s="692" t="n"/>
      <c r="X724" s="692" t="n"/>
      <c r="Y724" s="692" t="n"/>
      <c r="Z724" s="692" t="n"/>
      <c r="AA724" s="692" t="n"/>
      <c r="AB724" s="692" t="n"/>
      <c r="AC724" s="692" t="n"/>
      <c r="AD724" s="692" t="n"/>
      <c r="AE724" s="692" t="n"/>
      <c r="AF724" s="692" t="n"/>
      <c r="AG724" s="692" t="n"/>
      <c r="AH724" s="692" t="n"/>
      <c r="AI724" s="692" t="n"/>
      <c r="AJ724" s="692" t="n"/>
      <c r="AK724" s="692" t="n"/>
      <c r="AL724" s="692" t="n"/>
      <c r="AM724" s="692" t="n"/>
      <c r="AN724" s="692" t="n"/>
      <c r="AO724" s="692" t="n"/>
      <c r="AP724" s="692" t="n"/>
      <c r="AQ724" s="692" t="n"/>
      <c r="AR724" s="692" t="n"/>
      <c r="AS724" s="692" t="n"/>
    </row>
    <row r="725">
      <c r="A725" s="692" t="n"/>
      <c r="B725" s="692" t="n"/>
      <c r="C725" s="692" t="n"/>
      <c r="D725" s="692" t="n"/>
      <c r="E725" s="692" t="n"/>
      <c r="F725" s="692" t="n"/>
      <c r="G725" s="692" t="n"/>
      <c r="H725" s="692" t="n"/>
      <c r="I725" s="692" t="n"/>
      <c r="J725" s="692" t="n"/>
      <c r="K725" s="692" t="n"/>
      <c r="L725" s="692" t="n"/>
      <c r="M725" s="692" t="n"/>
      <c r="N725" s="692" t="n"/>
      <c r="O725" s="692" t="n"/>
      <c r="P725" s="692" t="n"/>
      <c r="Q725" s="692" t="n"/>
      <c r="R725" s="692" t="n"/>
      <c r="S725" s="692" t="n"/>
      <c r="T725" s="692" t="n"/>
      <c r="U725" s="692" t="n"/>
      <c r="V725" s="692" t="n"/>
      <c r="W725" s="692" t="n"/>
      <c r="X725" s="692" t="n"/>
      <c r="Y725" s="692" t="n"/>
      <c r="Z725" s="692" t="n"/>
      <c r="AA725" s="692" t="n"/>
      <c r="AB725" s="692" t="n"/>
      <c r="AC725" s="692" t="n"/>
      <c r="AD725" s="692" t="n"/>
      <c r="AE725" s="692" t="n"/>
      <c r="AF725" s="692" t="n"/>
      <c r="AG725" s="692" t="n"/>
      <c r="AH725" s="692" t="n"/>
      <c r="AI725" s="692" t="n"/>
      <c r="AJ725" s="692" t="n"/>
      <c r="AK725" s="692" t="n"/>
      <c r="AL725" s="692" t="n"/>
      <c r="AM725" s="692" t="n"/>
      <c r="AN725" s="692" t="n"/>
      <c r="AO725" s="692" t="n"/>
      <c r="AP725" s="692" t="n"/>
      <c r="AQ725" s="692" t="n"/>
      <c r="AR725" s="692" t="n"/>
      <c r="AS725" s="692" t="n"/>
    </row>
    <row r="726">
      <c r="A726" s="692" t="n"/>
      <c r="B726" s="692" t="n"/>
      <c r="C726" s="692" t="n"/>
      <c r="D726" s="692" t="n"/>
      <c r="E726" s="692" t="n"/>
      <c r="F726" s="692" t="n"/>
      <c r="G726" s="692" t="n"/>
      <c r="H726" s="692" t="n"/>
      <c r="I726" s="692" t="n"/>
      <c r="J726" s="692" t="n"/>
      <c r="K726" s="692" t="n"/>
      <c r="L726" s="692" t="n"/>
      <c r="M726" s="692" t="n"/>
      <c r="N726" s="692" t="n"/>
      <c r="O726" s="692" t="n"/>
      <c r="P726" s="692" t="n"/>
      <c r="Q726" s="692" t="n"/>
      <c r="R726" s="692" t="n"/>
      <c r="S726" s="692" t="n"/>
      <c r="T726" s="692" t="n"/>
      <c r="U726" s="692" t="n"/>
      <c r="V726" s="692" t="n"/>
      <c r="W726" s="692" t="n"/>
      <c r="X726" s="692" t="n"/>
      <c r="Y726" s="692" t="n"/>
      <c r="Z726" s="692" t="n"/>
      <c r="AA726" s="692" t="n"/>
      <c r="AB726" s="692" t="n"/>
      <c r="AC726" s="692" t="n"/>
      <c r="AD726" s="692" t="n"/>
      <c r="AE726" s="692" t="n"/>
      <c r="AF726" s="692" t="n"/>
      <c r="AG726" s="692" t="n"/>
      <c r="AH726" s="692" t="n"/>
      <c r="AI726" s="692" t="n"/>
      <c r="AJ726" s="692" t="n"/>
      <c r="AK726" s="692" t="n"/>
      <c r="AL726" s="692" t="n"/>
      <c r="AM726" s="692" t="n"/>
      <c r="AN726" s="692" t="n"/>
      <c r="AO726" s="692" t="n"/>
      <c r="AP726" s="692" t="n"/>
      <c r="AQ726" s="692" t="n"/>
      <c r="AR726" s="692" t="n"/>
      <c r="AS726" s="692" t="n"/>
    </row>
    <row r="727">
      <c r="A727" s="692" t="n"/>
      <c r="B727" s="692" t="n"/>
      <c r="C727" s="692" t="n"/>
      <c r="D727" s="692" t="n"/>
      <c r="E727" s="692" t="n"/>
      <c r="F727" s="692" t="n"/>
      <c r="G727" s="692" t="n"/>
      <c r="H727" s="692" t="n"/>
      <c r="I727" s="692" t="n"/>
      <c r="J727" s="692" t="n"/>
      <c r="K727" s="692" t="n"/>
      <c r="L727" s="692" t="n"/>
      <c r="M727" s="692" t="n"/>
      <c r="N727" s="692" t="n"/>
      <c r="O727" s="692" t="n"/>
      <c r="P727" s="692" t="n"/>
      <c r="Q727" s="692" t="n"/>
      <c r="R727" s="692" t="n"/>
      <c r="S727" s="692" t="n"/>
      <c r="T727" s="692" t="n"/>
      <c r="U727" s="692" t="n"/>
      <c r="V727" s="692" t="n"/>
      <c r="W727" s="692" t="n"/>
      <c r="X727" s="692" t="n"/>
      <c r="Y727" s="692" t="n"/>
      <c r="Z727" s="692" t="n"/>
      <c r="AA727" s="692" t="n"/>
      <c r="AB727" s="692" t="n"/>
      <c r="AC727" s="692" t="n"/>
      <c r="AD727" s="692" t="n"/>
      <c r="AE727" s="692" t="n"/>
      <c r="AF727" s="692" t="n"/>
      <c r="AG727" s="692" t="n"/>
      <c r="AH727" s="692" t="n"/>
      <c r="AI727" s="692" t="n"/>
      <c r="AJ727" s="692" t="n"/>
      <c r="AK727" s="692" t="n"/>
      <c r="AL727" s="692" t="n"/>
      <c r="AM727" s="692" t="n"/>
      <c r="AN727" s="692" t="n"/>
      <c r="AO727" s="692" t="n"/>
      <c r="AP727" s="692" t="n"/>
      <c r="AQ727" s="692" t="n"/>
      <c r="AR727" s="692" t="n"/>
      <c r="AS727" s="692" t="n"/>
    </row>
    <row r="728">
      <c r="A728" s="692" t="n"/>
      <c r="B728" s="692" t="n"/>
      <c r="C728" s="692" t="n"/>
      <c r="D728" s="692" t="n"/>
      <c r="E728" s="692" t="n"/>
      <c r="F728" s="692" t="n"/>
      <c r="G728" s="692" t="n"/>
      <c r="H728" s="692" t="n"/>
      <c r="I728" s="692" t="n"/>
      <c r="J728" s="692" t="n"/>
      <c r="K728" s="692" t="n"/>
      <c r="L728" s="692" t="n"/>
      <c r="M728" s="692" t="n"/>
      <c r="N728" s="692" t="n"/>
      <c r="O728" s="692" t="n"/>
      <c r="P728" s="692" t="n"/>
      <c r="Q728" s="692" t="n"/>
      <c r="R728" s="692" t="n"/>
      <c r="S728" s="692" t="n"/>
      <c r="T728" s="692" t="n"/>
      <c r="U728" s="692" t="n"/>
      <c r="V728" s="692" t="n"/>
      <c r="W728" s="692" t="n"/>
      <c r="X728" s="692" t="n"/>
      <c r="Y728" s="692" t="n"/>
      <c r="Z728" s="692" t="n"/>
      <c r="AA728" s="692" t="n"/>
      <c r="AB728" s="692" t="n"/>
      <c r="AC728" s="692" t="n"/>
      <c r="AD728" s="692" t="n"/>
      <c r="AE728" s="692" t="n"/>
      <c r="AF728" s="692" t="n"/>
      <c r="AG728" s="692" t="n"/>
      <c r="AH728" s="692" t="n"/>
      <c r="AI728" s="692" t="n"/>
      <c r="AJ728" s="692" t="n"/>
      <c r="AK728" s="692" t="n"/>
      <c r="AL728" s="692" t="n"/>
      <c r="AM728" s="692" t="n"/>
      <c r="AN728" s="692" t="n"/>
      <c r="AO728" s="692" t="n"/>
      <c r="AP728" s="692" t="n"/>
      <c r="AQ728" s="692" t="n"/>
      <c r="AR728" s="692" t="n"/>
      <c r="AS728" s="692" t="n"/>
    </row>
    <row r="729">
      <c r="A729" s="692" t="n"/>
      <c r="B729" s="692" t="n"/>
      <c r="C729" s="692" t="n"/>
      <c r="D729" s="692" t="n"/>
      <c r="E729" s="692" t="n"/>
      <c r="F729" s="692" t="n"/>
      <c r="G729" s="692" t="n"/>
      <c r="H729" s="692" t="n"/>
      <c r="I729" s="692" t="n"/>
      <c r="J729" s="692" t="n"/>
      <c r="K729" s="692" t="n"/>
      <c r="L729" s="692" t="n"/>
      <c r="M729" s="692" t="n"/>
      <c r="N729" s="692" t="n"/>
      <c r="O729" s="692" t="n"/>
      <c r="P729" s="692" t="n"/>
      <c r="Q729" s="692" t="n"/>
      <c r="R729" s="692" t="n"/>
      <c r="S729" s="692" t="n"/>
      <c r="T729" s="692" t="n"/>
      <c r="U729" s="692" t="n"/>
      <c r="V729" s="692" t="n"/>
      <c r="W729" s="692" t="n"/>
      <c r="X729" s="692" t="n"/>
      <c r="Y729" s="692" t="n"/>
      <c r="Z729" s="692" t="n"/>
      <c r="AA729" s="692" t="n"/>
      <c r="AB729" s="692" t="n"/>
      <c r="AC729" s="692" t="n"/>
      <c r="AD729" s="692" t="n"/>
      <c r="AE729" s="692" t="n"/>
      <c r="AF729" s="692" t="n"/>
      <c r="AG729" s="692" t="n"/>
      <c r="AH729" s="692" t="n"/>
      <c r="AI729" s="692" t="n"/>
      <c r="AJ729" s="692" t="n"/>
      <c r="AK729" s="692" t="n"/>
      <c r="AL729" s="692" t="n"/>
      <c r="AM729" s="692" t="n"/>
      <c r="AN729" s="692" t="n"/>
      <c r="AO729" s="692" t="n"/>
      <c r="AP729" s="692" t="n"/>
      <c r="AQ729" s="692" t="n"/>
      <c r="AR729" s="692" t="n"/>
      <c r="AS729" s="692" t="n"/>
    </row>
    <row r="730">
      <c r="A730" s="692" t="n"/>
      <c r="B730" s="692" t="n"/>
      <c r="C730" s="692" t="n"/>
      <c r="D730" s="692" t="n"/>
      <c r="E730" s="692" t="n"/>
      <c r="F730" s="692" t="n"/>
      <c r="G730" s="692" t="n"/>
      <c r="H730" s="692" t="n"/>
      <c r="I730" s="692" t="n"/>
      <c r="J730" s="692" t="n"/>
      <c r="K730" s="692" t="n"/>
      <c r="L730" s="692" t="n"/>
      <c r="M730" s="692" t="n"/>
      <c r="N730" s="692" t="n"/>
      <c r="O730" s="692" t="n"/>
      <c r="P730" s="692" t="n"/>
      <c r="Q730" s="692" t="n"/>
      <c r="R730" s="692" t="n"/>
      <c r="S730" s="692" t="n"/>
      <c r="T730" s="692" t="n"/>
      <c r="U730" s="692" t="n"/>
      <c r="V730" s="692" t="n"/>
      <c r="W730" s="692" t="n"/>
      <c r="X730" s="692" t="n"/>
      <c r="Y730" s="692" t="n"/>
      <c r="Z730" s="692" t="n"/>
      <c r="AA730" s="692" t="n"/>
      <c r="AB730" s="692" t="n"/>
      <c r="AC730" s="692" t="n"/>
      <c r="AD730" s="692" t="n"/>
      <c r="AE730" s="692" t="n"/>
      <c r="AF730" s="692" t="n"/>
      <c r="AG730" s="692" t="n"/>
      <c r="AH730" s="692" t="n"/>
      <c r="AI730" s="692" t="n"/>
      <c r="AJ730" s="692" t="n"/>
      <c r="AK730" s="692" t="n"/>
      <c r="AL730" s="692" t="n"/>
      <c r="AM730" s="692" t="n"/>
      <c r="AN730" s="692" t="n"/>
      <c r="AO730" s="692" t="n"/>
      <c r="AP730" s="692" t="n"/>
      <c r="AQ730" s="692" t="n"/>
      <c r="AR730" s="692" t="n"/>
      <c r="AS730" s="692" t="n"/>
    </row>
    <row r="731">
      <c r="A731" s="692" t="n"/>
      <c r="B731" s="692" t="n"/>
      <c r="C731" s="692" t="n"/>
      <c r="D731" s="692" t="n"/>
      <c r="E731" s="692" t="n"/>
      <c r="F731" s="692" t="n"/>
      <c r="G731" s="692" t="n"/>
      <c r="H731" s="692" t="n"/>
      <c r="I731" s="692" t="n"/>
      <c r="J731" s="692" t="n"/>
      <c r="K731" s="692" t="n"/>
      <c r="L731" s="692" t="n"/>
      <c r="M731" s="692" t="n"/>
      <c r="N731" s="692" t="n"/>
      <c r="O731" s="692" t="n"/>
      <c r="P731" s="692" t="n"/>
      <c r="Q731" s="692" t="n"/>
      <c r="R731" s="692" t="n"/>
      <c r="S731" s="692" t="n"/>
      <c r="T731" s="692" t="n"/>
      <c r="U731" s="692" t="n"/>
      <c r="V731" s="692" t="n"/>
      <c r="W731" s="692" t="n"/>
      <c r="X731" s="692" t="n"/>
      <c r="Y731" s="692" t="n"/>
      <c r="Z731" s="692" t="n"/>
      <c r="AA731" s="692" t="n"/>
      <c r="AB731" s="692" t="n"/>
      <c r="AC731" s="692" t="n"/>
      <c r="AD731" s="692" t="n"/>
      <c r="AE731" s="692" t="n"/>
      <c r="AF731" s="692" t="n"/>
      <c r="AG731" s="692" t="n"/>
      <c r="AH731" s="692" t="n"/>
      <c r="AI731" s="692" t="n"/>
      <c r="AJ731" s="692" t="n"/>
      <c r="AK731" s="692" t="n"/>
      <c r="AL731" s="692" t="n"/>
      <c r="AM731" s="692" t="n"/>
      <c r="AN731" s="692" t="n"/>
      <c r="AO731" s="692" t="n"/>
      <c r="AP731" s="692" t="n"/>
      <c r="AQ731" s="692" t="n"/>
      <c r="AR731" s="692" t="n"/>
      <c r="AS731" s="692" t="n"/>
    </row>
    <row r="732">
      <c r="A732" s="692" t="n"/>
      <c r="B732" s="692" t="n"/>
      <c r="C732" s="692" t="n"/>
      <c r="D732" s="692" t="n"/>
      <c r="E732" s="692" t="n"/>
      <c r="F732" s="692" t="n"/>
      <c r="G732" s="692" t="n"/>
      <c r="H732" s="692" t="n"/>
      <c r="I732" s="692" t="n"/>
      <c r="J732" s="692" t="n"/>
      <c r="K732" s="692" t="n"/>
      <c r="L732" s="692" t="n"/>
      <c r="M732" s="692" t="n"/>
      <c r="N732" s="692" t="n"/>
      <c r="O732" s="692" t="n"/>
      <c r="P732" s="692" t="n"/>
      <c r="Q732" s="692" t="n"/>
      <c r="R732" s="692" t="n"/>
      <c r="S732" s="692" t="n"/>
      <c r="T732" s="692" t="n"/>
      <c r="U732" s="692" t="n"/>
      <c r="V732" s="692" t="n"/>
      <c r="W732" s="692" t="n"/>
      <c r="X732" s="692" t="n"/>
      <c r="Y732" s="692" t="n"/>
      <c r="Z732" s="692" t="n"/>
      <c r="AA732" s="692" t="n"/>
      <c r="AB732" s="692" t="n"/>
      <c r="AC732" s="692" t="n"/>
      <c r="AD732" s="692" t="n"/>
      <c r="AE732" s="692" t="n"/>
      <c r="AF732" s="692" t="n"/>
      <c r="AG732" s="692" t="n"/>
      <c r="AH732" s="692" t="n"/>
      <c r="AI732" s="692" t="n"/>
      <c r="AJ732" s="692" t="n"/>
      <c r="AK732" s="692" t="n"/>
      <c r="AL732" s="692" t="n"/>
      <c r="AM732" s="692" t="n"/>
      <c r="AN732" s="692" t="n"/>
      <c r="AO732" s="692" t="n"/>
      <c r="AP732" s="692" t="n"/>
      <c r="AQ732" s="692" t="n"/>
      <c r="AR732" s="692" t="n"/>
      <c r="AS732" s="692" t="n"/>
    </row>
    <row r="733">
      <c r="A733" s="692" t="n"/>
      <c r="B733" s="692" t="n"/>
      <c r="C733" s="692" t="n"/>
      <c r="D733" s="692" t="n"/>
      <c r="E733" s="692" t="n"/>
      <c r="F733" s="692" t="n"/>
      <c r="G733" s="692" t="n"/>
      <c r="H733" s="692" t="n"/>
      <c r="I733" s="692" t="n"/>
      <c r="J733" s="692" t="n"/>
      <c r="K733" s="692" t="n"/>
      <c r="L733" s="692" t="n"/>
      <c r="M733" s="692" t="n"/>
      <c r="N733" s="692" t="n"/>
      <c r="O733" s="692" t="n"/>
      <c r="P733" s="692" t="n"/>
      <c r="Q733" s="692" t="n"/>
      <c r="R733" s="692" t="n"/>
      <c r="S733" s="692" t="n"/>
      <c r="T733" s="692" t="n"/>
      <c r="U733" s="692" t="n"/>
      <c r="V733" s="692" t="n"/>
      <c r="W733" s="692" t="n"/>
      <c r="X733" s="692" t="n"/>
      <c r="Y733" s="692" t="n"/>
      <c r="Z733" s="692" t="n"/>
      <c r="AA733" s="692" t="n"/>
      <c r="AB733" s="692" t="n"/>
      <c r="AC733" s="692" t="n"/>
      <c r="AD733" s="692" t="n"/>
      <c r="AE733" s="692" t="n"/>
      <c r="AF733" s="692" t="n"/>
      <c r="AG733" s="692" t="n"/>
      <c r="AH733" s="692" t="n"/>
      <c r="AI733" s="692" t="n"/>
      <c r="AJ733" s="692" t="n"/>
      <c r="AK733" s="692" t="n"/>
      <c r="AL733" s="692" t="n"/>
      <c r="AM733" s="692" t="n"/>
      <c r="AN733" s="692" t="n"/>
      <c r="AO733" s="692" t="n"/>
      <c r="AP733" s="692" t="n"/>
      <c r="AQ733" s="692" t="n"/>
      <c r="AR733" s="692" t="n"/>
      <c r="AS733" s="692" t="n"/>
    </row>
    <row r="734">
      <c r="A734" s="692" t="n"/>
      <c r="B734" s="692" t="n"/>
      <c r="C734" s="692" t="n"/>
      <c r="D734" s="692" t="n"/>
      <c r="E734" s="692" t="n"/>
      <c r="F734" s="692" t="n"/>
      <c r="G734" s="692" t="n"/>
      <c r="H734" s="692" t="n"/>
      <c r="I734" s="692" t="n"/>
      <c r="J734" s="692" t="n"/>
      <c r="K734" s="692" t="n"/>
      <c r="L734" s="692" t="n"/>
      <c r="M734" s="692" t="n"/>
      <c r="N734" s="692" t="n"/>
      <c r="O734" s="692" t="n"/>
      <c r="P734" s="692" t="n"/>
      <c r="Q734" s="692" t="n"/>
      <c r="R734" s="692" t="n"/>
      <c r="S734" s="692" t="n"/>
      <c r="T734" s="692" t="n"/>
      <c r="U734" s="692" t="n"/>
      <c r="V734" s="692" t="n"/>
      <c r="W734" s="692" t="n"/>
      <c r="X734" s="692" t="n"/>
      <c r="Y734" s="692" t="n"/>
      <c r="Z734" s="692" t="n"/>
      <c r="AA734" s="692" t="n"/>
      <c r="AB734" s="692" t="n"/>
      <c r="AC734" s="692" t="n"/>
      <c r="AD734" s="692" t="n"/>
      <c r="AE734" s="692" t="n"/>
      <c r="AF734" s="692" t="n"/>
      <c r="AG734" s="692" t="n"/>
      <c r="AH734" s="692" t="n"/>
      <c r="AI734" s="692" t="n"/>
      <c r="AJ734" s="692" t="n"/>
      <c r="AK734" s="692" t="n"/>
      <c r="AL734" s="692" t="n"/>
      <c r="AM734" s="692" t="n"/>
      <c r="AN734" s="692" t="n"/>
      <c r="AO734" s="692" t="n"/>
      <c r="AP734" s="692" t="n"/>
      <c r="AQ734" s="692" t="n"/>
      <c r="AR734" s="692" t="n"/>
      <c r="AS734" s="692" t="n"/>
    </row>
    <row r="735">
      <c r="A735" s="692" t="n"/>
      <c r="B735" s="692" t="n"/>
      <c r="C735" s="692" t="n"/>
      <c r="D735" s="692" t="n"/>
      <c r="E735" s="692" t="n"/>
      <c r="F735" s="692" t="n"/>
      <c r="G735" s="692" t="n"/>
      <c r="H735" s="692" t="n"/>
      <c r="I735" s="692" t="n"/>
      <c r="J735" s="692" t="n"/>
      <c r="K735" s="692" t="n"/>
      <c r="L735" s="692" t="n"/>
      <c r="M735" s="692" t="n"/>
      <c r="N735" s="692" t="n"/>
      <c r="O735" s="692" t="n"/>
      <c r="P735" s="692" t="n"/>
      <c r="Q735" s="692" t="n"/>
      <c r="R735" s="692" t="n"/>
      <c r="S735" s="692" t="n"/>
      <c r="T735" s="692" t="n"/>
      <c r="U735" s="692" t="n"/>
      <c r="V735" s="692" t="n"/>
      <c r="W735" s="692" t="n"/>
      <c r="X735" s="692" t="n"/>
      <c r="Y735" s="692" t="n"/>
      <c r="Z735" s="692" t="n"/>
      <c r="AA735" s="692" t="n"/>
      <c r="AB735" s="692" t="n"/>
      <c r="AC735" s="692" t="n"/>
      <c r="AD735" s="692" t="n"/>
      <c r="AE735" s="692" t="n"/>
      <c r="AF735" s="692" t="n"/>
      <c r="AG735" s="692" t="n"/>
      <c r="AH735" s="692" t="n"/>
      <c r="AI735" s="692" t="n"/>
      <c r="AJ735" s="692" t="n"/>
      <c r="AK735" s="692" t="n"/>
      <c r="AL735" s="692" t="n"/>
      <c r="AM735" s="692" t="n"/>
      <c r="AN735" s="692" t="n"/>
      <c r="AO735" s="692" t="n"/>
      <c r="AP735" s="692" t="n"/>
      <c r="AQ735" s="692" t="n"/>
      <c r="AR735" s="692" t="n"/>
      <c r="AS735" s="692" t="n"/>
    </row>
    <row r="736">
      <c r="A736" s="692" t="n"/>
      <c r="B736" s="692" t="n"/>
      <c r="C736" s="692" t="n"/>
      <c r="D736" s="692" t="n"/>
      <c r="E736" s="692" t="n"/>
      <c r="F736" s="692" t="n"/>
      <c r="G736" s="692" t="n"/>
      <c r="H736" s="692" t="n"/>
      <c r="I736" s="692" t="n"/>
      <c r="J736" s="692" t="n"/>
      <c r="K736" s="692" t="n"/>
      <c r="L736" s="692" t="n"/>
      <c r="M736" s="692" t="n"/>
      <c r="N736" s="692" t="n"/>
      <c r="O736" s="692" t="n"/>
      <c r="P736" s="692" t="n"/>
      <c r="Q736" s="692" t="n"/>
      <c r="R736" s="692" t="n"/>
      <c r="S736" s="692" t="n"/>
      <c r="T736" s="692" t="n"/>
      <c r="U736" s="692" t="n"/>
      <c r="V736" s="692" t="n"/>
      <c r="W736" s="692" t="n"/>
      <c r="X736" s="692" t="n"/>
      <c r="Y736" s="692" t="n"/>
      <c r="Z736" s="692" t="n"/>
      <c r="AA736" s="692" t="n"/>
      <c r="AB736" s="692" t="n"/>
      <c r="AC736" s="692" t="n"/>
      <c r="AD736" s="692" t="n"/>
      <c r="AE736" s="692" t="n"/>
      <c r="AF736" s="692" t="n"/>
      <c r="AG736" s="692" t="n"/>
      <c r="AH736" s="692" t="n"/>
      <c r="AI736" s="692" t="n"/>
      <c r="AJ736" s="692" t="n"/>
      <c r="AK736" s="692" t="n"/>
      <c r="AL736" s="692" t="n"/>
      <c r="AM736" s="692" t="n"/>
      <c r="AN736" s="692" t="n"/>
      <c r="AO736" s="692" t="n"/>
      <c r="AP736" s="692" t="n"/>
      <c r="AQ736" s="692" t="n"/>
      <c r="AR736" s="692" t="n"/>
      <c r="AS736" s="692" t="n"/>
    </row>
    <row r="737">
      <c r="A737" s="692" t="n"/>
      <c r="B737" s="692" t="n"/>
      <c r="C737" s="692" t="n"/>
      <c r="D737" s="692" t="n"/>
      <c r="E737" s="692" t="n"/>
      <c r="F737" s="692" t="n"/>
      <c r="G737" s="692" t="n"/>
      <c r="H737" s="692" t="n"/>
      <c r="I737" s="692" t="n"/>
      <c r="J737" s="692" t="n"/>
      <c r="K737" s="692" t="n"/>
      <c r="L737" s="692" t="n"/>
      <c r="M737" s="692" t="n"/>
      <c r="N737" s="692" t="n"/>
      <c r="O737" s="692" t="n"/>
      <c r="P737" s="692" t="n"/>
      <c r="Q737" s="692" t="n"/>
      <c r="R737" s="692" t="n"/>
      <c r="S737" s="692" t="n"/>
      <c r="T737" s="692" t="n"/>
      <c r="U737" s="692" t="n"/>
      <c r="V737" s="692" t="n"/>
      <c r="W737" s="692" t="n"/>
      <c r="X737" s="692" t="n"/>
      <c r="Y737" s="692" t="n"/>
      <c r="Z737" s="692" t="n"/>
      <c r="AA737" s="692" t="n"/>
      <c r="AB737" s="692" t="n"/>
      <c r="AC737" s="692" t="n"/>
      <c r="AD737" s="692" t="n"/>
      <c r="AE737" s="692" t="n"/>
      <c r="AF737" s="692" t="n"/>
      <c r="AG737" s="692" t="n"/>
      <c r="AH737" s="692" t="n"/>
      <c r="AI737" s="692" t="n"/>
      <c r="AJ737" s="692" t="n"/>
      <c r="AK737" s="692" t="n"/>
      <c r="AL737" s="692" t="n"/>
      <c r="AM737" s="692" t="n"/>
      <c r="AN737" s="692" t="n"/>
      <c r="AO737" s="692" t="n"/>
      <c r="AP737" s="692" t="n"/>
      <c r="AQ737" s="692" t="n"/>
      <c r="AR737" s="692" t="n"/>
      <c r="AS737" s="692" t="n"/>
    </row>
    <row r="738">
      <c r="A738" s="692" t="n"/>
      <c r="B738" s="692" t="n"/>
      <c r="C738" s="692" t="n"/>
      <c r="D738" s="692" t="n"/>
      <c r="E738" s="692" t="n"/>
      <c r="F738" s="692" t="n"/>
      <c r="G738" s="692" t="n"/>
      <c r="H738" s="692" t="n"/>
      <c r="I738" s="692" t="n"/>
      <c r="J738" s="692" t="n"/>
      <c r="K738" s="692" t="n"/>
      <c r="L738" s="692" t="n"/>
      <c r="M738" s="692" t="n"/>
      <c r="N738" s="692" t="n"/>
      <c r="O738" s="692" t="n"/>
      <c r="P738" s="692" t="n"/>
      <c r="Q738" s="692" t="n"/>
      <c r="R738" s="692" t="n"/>
      <c r="S738" s="692" t="n"/>
      <c r="T738" s="692" t="n"/>
      <c r="U738" s="692" t="n"/>
      <c r="V738" s="692" t="n"/>
      <c r="W738" s="692" t="n"/>
      <c r="X738" s="692" t="n"/>
      <c r="Y738" s="692" t="n"/>
      <c r="Z738" s="692" t="n"/>
      <c r="AA738" s="692" t="n"/>
      <c r="AB738" s="692" t="n"/>
      <c r="AC738" s="692" t="n"/>
      <c r="AD738" s="692" t="n"/>
      <c r="AE738" s="692" t="n"/>
      <c r="AF738" s="692" t="n"/>
      <c r="AG738" s="692" t="n"/>
      <c r="AH738" s="692" t="n"/>
      <c r="AI738" s="692" t="n"/>
      <c r="AJ738" s="692" t="n"/>
      <c r="AK738" s="692" t="n"/>
      <c r="AL738" s="692" t="n"/>
      <c r="AM738" s="692" t="n"/>
      <c r="AN738" s="692" t="n"/>
      <c r="AO738" s="692" t="n"/>
      <c r="AP738" s="692" t="n"/>
      <c r="AQ738" s="692" t="n"/>
      <c r="AR738" s="692" t="n"/>
      <c r="AS738" s="692" t="n"/>
    </row>
    <row r="739">
      <c r="A739" s="692" t="n"/>
      <c r="B739" s="692" t="n"/>
      <c r="C739" s="692" t="n"/>
      <c r="D739" s="692" t="n"/>
      <c r="E739" s="692" t="n"/>
      <c r="F739" s="692" t="n"/>
      <c r="G739" s="692" t="n"/>
      <c r="H739" s="692" t="n"/>
      <c r="I739" s="692" t="n"/>
      <c r="J739" s="692" t="n"/>
      <c r="K739" s="692" t="n"/>
      <c r="L739" s="692" t="n"/>
      <c r="M739" s="692" t="n"/>
      <c r="N739" s="692" t="n"/>
      <c r="O739" s="692" t="n"/>
      <c r="P739" s="692" t="n"/>
      <c r="Q739" s="692" t="n"/>
      <c r="R739" s="692" t="n"/>
      <c r="S739" s="692" t="n"/>
      <c r="T739" s="692" t="n"/>
      <c r="U739" s="692" t="n"/>
      <c r="V739" s="692" t="n"/>
      <c r="W739" s="692" t="n"/>
      <c r="X739" s="692" t="n"/>
      <c r="Y739" s="692" t="n"/>
      <c r="Z739" s="692" t="n"/>
      <c r="AA739" s="692" t="n"/>
      <c r="AB739" s="692" t="n"/>
      <c r="AC739" s="692" t="n"/>
      <c r="AD739" s="692" t="n"/>
      <c r="AE739" s="692" t="n"/>
      <c r="AF739" s="692" t="n"/>
      <c r="AG739" s="692" t="n"/>
      <c r="AH739" s="692" t="n"/>
      <c r="AI739" s="692" t="n"/>
      <c r="AJ739" s="692" t="n"/>
      <c r="AK739" s="692" t="n"/>
      <c r="AL739" s="692" t="n"/>
      <c r="AM739" s="692" t="n"/>
      <c r="AN739" s="692" t="n"/>
      <c r="AO739" s="692" t="n"/>
      <c r="AP739" s="692" t="n"/>
      <c r="AQ739" s="692" t="n"/>
      <c r="AR739" s="692" t="n"/>
      <c r="AS739" s="692" t="n"/>
    </row>
    <row r="740">
      <c r="A740" s="692" t="n"/>
      <c r="B740" s="692" t="n"/>
      <c r="C740" s="692" t="n"/>
      <c r="D740" s="692" t="n"/>
      <c r="E740" s="692" t="n"/>
      <c r="F740" s="692" t="n"/>
      <c r="G740" s="692" t="n"/>
      <c r="H740" s="692" t="n"/>
      <c r="I740" s="692" t="n"/>
      <c r="J740" s="692" t="n"/>
      <c r="K740" s="692" t="n"/>
      <c r="L740" s="692" t="n"/>
      <c r="M740" s="692" t="n"/>
      <c r="N740" s="692" t="n"/>
      <c r="O740" s="692" t="n"/>
      <c r="P740" s="692" t="n"/>
      <c r="Q740" s="692" t="n"/>
      <c r="R740" s="692" t="n"/>
      <c r="S740" s="692" t="n"/>
      <c r="T740" s="692" t="n"/>
      <c r="U740" s="692" t="n"/>
      <c r="V740" s="692" t="n"/>
      <c r="W740" s="692" t="n"/>
      <c r="X740" s="692" t="n"/>
      <c r="Y740" s="692" t="n"/>
      <c r="Z740" s="692" t="n"/>
      <c r="AA740" s="692" t="n"/>
      <c r="AB740" s="692" t="n"/>
      <c r="AC740" s="692" t="n"/>
      <c r="AD740" s="692" t="n"/>
      <c r="AE740" s="692" t="n"/>
      <c r="AF740" s="692" t="n"/>
      <c r="AG740" s="692" t="n"/>
      <c r="AH740" s="692" t="n"/>
      <c r="AI740" s="692" t="n"/>
      <c r="AJ740" s="692" t="n"/>
      <c r="AK740" s="692" t="n"/>
      <c r="AL740" s="692" t="n"/>
      <c r="AM740" s="692" t="n"/>
      <c r="AN740" s="692" t="n"/>
      <c r="AO740" s="692" t="n"/>
      <c r="AP740" s="692" t="n"/>
      <c r="AQ740" s="692" t="n"/>
      <c r="AR740" s="692" t="n"/>
      <c r="AS740" s="692" t="n"/>
    </row>
    <row r="741">
      <c r="A741" s="692" t="n"/>
      <c r="B741" s="692" t="n"/>
      <c r="C741" s="692" t="n"/>
      <c r="D741" s="692" t="n"/>
      <c r="E741" s="692" t="n"/>
      <c r="F741" s="692" t="n"/>
      <c r="G741" s="692" t="n"/>
      <c r="H741" s="692" t="n"/>
      <c r="I741" s="692" t="n"/>
      <c r="J741" s="692" t="n"/>
      <c r="K741" s="692" t="n"/>
      <c r="L741" s="692" t="n"/>
      <c r="M741" s="692" t="n"/>
      <c r="N741" s="692" t="n"/>
      <c r="O741" s="692" t="n"/>
      <c r="P741" s="692" t="n"/>
      <c r="Q741" s="692" t="n"/>
      <c r="R741" s="692" t="n"/>
      <c r="S741" s="692" t="n"/>
      <c r="T741" s="692" t="n"/>
      <c r="U741" s="692" t="n"/>
      <c r="V741" s="692" t="n"/>
      <c r="W741" s="692" t="n"/>
      <c r="X741" s="692" t="n"/>
      <c r="Y741" s="692" t="n"/>
      <c r="Z741" s="692" t="n"/>
      <c r="AA741" s="692" t="n"/>
      <c r="AB741" s="692" t="n"/>
      <c r="AC741" s="692" t="n"/>
      <c r="AD741" s="692" t="n"/>
      <c r="AE741" s="692" t="n"/>
      <c r="AF741" s="692" t="n"/>
      <c r="AG741" s="692" t="n"/>
      <c r="AH741" s="692" t="n"/>
      <c r="AI741" s="692" t="n"/>
      <c r="AJ741" s="692" t="n"/>
      <c r="AK741" s="692" t="n"/>
      <c r="AL741" s="692" t="n"/>
      <c r="AM741" s="692" t="n"/>
      <c r="AN741" s="692" t="n"/>
      <c r="AO741" s="692" t="n"/>
      <c r="AP741" s="692" t="n"/>
      <c r="AQ741" s="692" t="n"/>
      <c r="AR741" s="692" t="n"/>
      <c r="AS741" s="692" t="n"/>
    </row>
    <row r="742">
      <c r="A742" s="692" t="n"/>
      <c r="B742" s="692" t="n"/>
      <c r="C742" s="692" t="n"/>
      <c r="D742" s="692" t="n"/>
      <c r="E742" s="692" t="n"/>
      <c r="F742" s="692" t="n"/>
      <c r="G742" s="692" t="n"/>
      <c r="H742" s="692" t="n"/>
      <c r="I742" s="692" t="n"/>
      <c r="J742" s="692" t="n"/>
      <c r="K742" s="692" t="n"/>
      <c r="L742" s="692" t="n"/>
      <c r="M742" s="692" t="n"/>
      <c r="N742" s="692" t="n"/>
      <c r="O742" s="692" t="n"/>
      <c r="P742" s="692" t="n"/>
      <c r="Q742" s="692" t="n"/>
      <c r="R742" s="692" t="n"/>
      <c r="S742" s="692" t="n"/>
      <c r="T742" s="692" t="n"/>
      <c r="U742" s="692" t="n"/>
      <c r="V742" s="692" t="n"/>
      <c r="W742" s="692" t="n"/>
      <c r="X742" s="692" t="n"/>
      <c r="Y742" s="692" t="n"/>
      <c r="Z742" s="692" t="n"/>
      <c r="AA742" s="692" t="n"/>
      <c r="AB742" s="692" t="n"/>
      <c r="AC742" s="692" t="n"/>
      <c r="AD742" s="692" t="n"/>
      <c r="AE742" s="692" t="n"/>
      <c r="AF742" s="692" t="n"/>
      <c r="AG742" s="692" t="n"/>
      <c r="AH742" s="692" t="n"/>
      <c r="AI742" s="692" t="n"/>
      <c r="AJ742" s="692" t="n"/>
      <c r="AK742" s="692" t="n"/>
      <c r="AL742" s="692" t="n"/>
      <c r="AM742" s="692" t="n"/>
      <c r="AN742" s="692" t="n"/>
      <c r="AO742" s="692" t="n"/>
      <c r="AP742" s="692" t="n"/>
      <c r="AQ742" s="692" t="n"/>
      <c r="AR742" s="692" t="n"/>
      <c r="AS742" s="692" t="n"/>
    </row>
    <row r="743">
      <c r="A743" s="692" t="n"/>
      <c r="B743" s="692" t="n"/>
      <c r="C743" s="692" t="n"/>
      <c r="D743" s="692" t="n"/>
      <c r="E743" s="692" t="n"/>
      <c r="F743" s="692" t="n"/>
      <c r="G743" s="692" t="n"/>
      <c r="H743" s="692" t="n"/>
      <c r="I743" s="692" t="n"/>
      <c r="J743" s="692" t="n"/>
      <c r="K743" s="692" t="n"/>
      <c r="L743" s="692" t="n"/>
      <c r="M743" s="692" t="n"/>
      <c r="N743" s="692" t="n"/>
      <c r="O743" s="692" t="n"/>
      <c r="P743" s="692" t="n"/>
      <c r="Q743" s="692" t="n"/>
      <c r="R743" s="692" t="n"/>
      <c r="S743" s="692" t="n"/>
      <c r="T743" s="692" t="n"/>
      <c r="U743" s="692" t="n"/>
      <c r="V743" s="692" t="n"/>
      <c r="W743" s="692" t="n"/>
      <c r="X743" s="692" t="n"/>
      <c r="Y743" s="692" t="n"/>
      <c r="Z743" s="692" t="n"/>
      <c r="AA743" s="692" t="n"/>
      <c r="AB743" s="692" t="n"/>
      <c r="AC743" s="692" t="n"/>
      <c r="AD743" s="692" t="n"/>
      <c r="AE743" s="692" t="n"/>
      <c r="AF743" s="692" t="n"/>
      <c r="AG743" s="692" t="n"/>
      <c r="AH743" s="692" t="n"/>
      <c r="AI743" s="692" t="n"/>
      <c r="AJ743" s="692" t="n"/>
      <c r="AK743" s="692" t="n"/>
      <c r="AL743" s="692" t="n"/>
      <c r="AM743" s="692" t="n"/>
      <c r="AN743" s="692" t="n"/>
      <c r="AO743" s="692" t="n"/>
      <c r="AP743" s="692" t="n"/>
      <c r="AQ743" s="692" t="n"/>
      <c r="AR743" s="692" t="n"/>
      <c r="AS743" s="692" t="n"/>
    </row>
    <row r="744">
      <c r="A744" s="692" t="n"/>
      <c r="B744" s="692" t="n"/>
      <c r="C744" s="692" t="n"/>
      <c r="D744" s="692" t="n"/>
      <c r="E744" s="692" t="n"/>
      <c r="F744" s="692" t="n"/>
      <c r="G744" s="692" t="n"/>
      <c r="H744" s="692" t="n"/>
      <c r="I744" s="692" t="n"/>
      <c r="J744" s="692" t="n"/>
      <c r="K744" s="692" t="n"/>
      <c r="L744" s="692" t="n"/>
      <c r="M744" s="692" t="n"/>
      <c r="N744" s="692" t="n"/>
      <c r="O744" s="692" t="n"/>
      <c r="P744" s="692" t="n"/>
      <c r="Q744" s="692" t="n"/>
      <c r="R744" s="692" t="n"/>
      <c r="S744" s="692" t="n"/>
      <c r="T744" s="692" t="n"/>
      <c r="U744" s="692" t="n"/>
      <c r="V744" s="692" t="n"/>
      <c r="W744" s="692" t="n"/>
      <c r="X744" s="692" t="n"/>
      <c r="Y744" s="692" t="n"/>
      <c r="Z744" s="692" t="n"/>
      <c r="AA744" s="692" t="n"/>
      <c r="AB744" s="692" t="n"/>
      <c r="AC744" s="692" t="n"/>
      <c r="AD744" s="692" t="n"/>
      <c r="AE744" s="692" t="n"/>
      <c r="AF744" s="692" t="n"/>
      <c r="AG744" s="692" t="n"/>
      <c r="AH744" s="692" t="n"/>
      <c r="AI744" s="692" t="n"/>
      <c r="AJ744" s="692" t="n"/>
      <c r="AK744" s="692" t="n"/>
      <c r="AL744" s="692" t="n"/>
      <c r="AM744" s="692" t="n"/>
      <c r="AN744" s="692" t="n"/>
      <c r="AO744" s="692" t="n"/>
      <c r="AP744" s="692" t="n"/>
      <c r="AQ744" s="692" t="n"/>
      <c r="AR744" s="692" t="n"/>
      <c r="AS744" s="692" t="n"/>
    </row>
    <row r="745">
      <c r="A745" s="692" t="n"/>
      <c r="B745" s="692" t="n"/>
      <c r="C745" s="692" t="n"/>
      <c r="D745" s="692" t="n"/>
      <c r="E745" s="692" t="n"/>
      <c r="F745" s="692" t="n"/>
      <c r="G745" s="692" t="n"/>
      <c r="H745" s="692" t="n"/>
      <c r="I745" s="692" t="n"/>
      <c r="J745" s="692" t="n"/>
      <c r="K745" s="692" t="n"/>
      <c r="L745" s="692" t="n"/>
      <c r="M745" s="692" t="n"/>
      <c r="N745" s="692" t="n"/>
      <c r="O745" s="692" t="n"/>
      <c r="P745" s="692" t="n"/>
      <c r="Q745" s="692" t="n"/>
      <c r="R745" s="692" t="n"/>
      <c r="S745" s="692" t="n"/>
      <c r="T745" s="692" t="n"/>
      <c r="U745" s="692" t="n"/>
      <c r="V745" s="692" t="n"/>
      <c r="W745" s="692" t="n"/>
      <c r="X745" s="692" t="n"/>
      <c r="Y745" s="692" t="n"/>
      <c r="Z745" s="692" t="n"/>
      <c r="AA745" s="692" t="n"/>
      <c r="AB745" s="692" t="n"/>
      <c r="AC745" s="692" t="n"/>
      <c r="AD745" s="692" t="n"/>
      <c r="AE745" s="692" t="n"/>
      <c r="AF745" s="692" t="n"/>
      <c r="AG745" s="692" t="n"/>
      <c r="AH745" s="692" t="n"/>
      <c r="AI745" s="692" t="n"/>
      <c r="AJ745" s="692" t="n"/>
      <c r="AK745" s="692" t="n"/>
      <c r="AL745" s="692" t="n"/>
      <c r="AM745" s="692" t="n"/>
      <c r="AN745" s="692" t="n"/>
      <c r="AO745" s="692" t="n"/>
      <c r="AP745" s="692" t="n"/>
      <c r="AQ745" s="692" t="n"/>
      <c r="AR745" s="692" t="n"/>
      <c r="AS745" s="692" t="n"/>
    </row>
    <row r="746">
      <c r="A746" s="692" t="n"/>
      <c r="B746" s="692" t="n"/>
      <c r="C746" s="692" t="n"/>
      <c r="D746" s="692" t="n"/>
      <c r="E746" s="692" t="n"/>
      <c r="F746" s="692" t="n"/>
      <c r="G746" s="692" t="n"/>
      <c r="H746" s="692" t="n"/>
      <c r="I746" s="692" t="n"/>
      <c r="J746" s="692" t="n"/>
      <c r="K746" s="692" t="n"/>
      <c r="L746" s="692" t="n"/>
      <c r="M746" s="692" t="n"/>
      <c r="N746" s="692" t="n"/>
      <c r="O746" s="692" t="n"/>
      <c r="P746" s="692" t="n"/>
      <c r="Q746" s="692" t="n"/>
      <c r="R746" s="692" t="n"/>
      <c r="S746" s="692" t="n"/>
      <c r="T746" s="692" t="n"/>
      <c r="U746" s="692" t="n"/>
      <c r="V746" s="692" t="n"/>
      <c r="W746" s="692" t="n"/>
      <c r="X746" s="692" t="n"/>
      <c r="Y746" s="692" t="n"/>
      <c r="Z746" s="692" t="n"/>
      <c r="AA746" s="692" t="n"/>
      <c r="AB746" s="692" t="n"/>
      <c r="AC746" s="692" t="n"/>
      <c r="AD746" s="692" t="n"/>
      <c r="AE746" s="692" t="n"/>
      <c r="AF746" s="692" t="n"/>
      <c r="AG746" s="692" t="n"/>
      <c r="AH746" s="692" t="n"/>
      <c r="AI746" s="692" t="n"/>
      <c r="AJ746" s="692" t="n"/>
      <c r="AK746" s="692" t="n"/>
      <c r="AL746" s="692" t="n"/>
      <c r="AM746" s="692" t="n"/>
      <c r="AN746" s="692" t="n"/>
      <c r="AO746" s="692" t="n"/>
      <c r="AP746" s="692" t="n"/>
      <c r="AQ746" s="692" t="n"/>
      <c r="AR746" s="692" t="n"/>
      <c r="AS746" s="692" t="n"/>
    </row>
    <row r="747">
      <c r="A747" s="692" t="n"/>
      <c r="B747" s="692" t="n"/>
      <c r="C747" s="692" t="n"/>
      <c r="D747" s="692" t="n"/>
      <c r="E747" s="692" t="n"/>
      <c r="F747" s="692" t="n"/>
      <c r="G747" s="692" t="n"/>
      <c r="H747" s="692" t="n"/>
      <c r="I747" s="692" t="n"/>
      <c r="J747" s="692" t="n"/>
      <c r="K747" s="692" t="n"/>
      <c r="L747" s="692" t="n"/>
      <c r="M747" s="692" t="n"/>
      <c r="N747" s="692" t="n"/>
      <c r="O747" s="692" t="n"/>
      <c r="P747" s="692" t="n"/>
      <c r="Q747" s="692" t="n"/>
      <c r="R747" s="692" t="n"/>
      <c r="S747" s="692" t="n"/>
      <c r="T747" s="692" t="n"/>
      <c r="U747" s="692" t="n"/>
      <c r="V747" s="692" t="n"/>
      <c r="W747" s="692" t="n"/>
      <c r="X747" s="692" t="n"/>
      <c r="Y747" s="692" t="n"/>
      <c r="Z747" s="692" t="n"/>
      <c r="AA747" s="692" t="n"/>
      <c r="AB747" s="692" t="n"/>
      <c r="AC747" s="692" t="n"/>
      <c r="AD747" s="692" t="n"/>
      <c r="AE747" s="692" t="n"/>
      <c r="AF747" s="692" t="n"/>
      <c r="AG747" s="692" t="n"/>
      <c r="AH747" s="692" t="n"/>
      <c r="AI747" s="692" t="n"/>
      <c r="AJ747" s="692" t="n"/>
      <c r="AK747" s="692" t="n"/>
      <c r="AL747" s="692" t="n"/>
      <c r="AM747" s="692" t="n"/>
      <c r="AN747" s="692" t="n"/>
      <c r="AO747" s="692" t="n"/>
      <c r="AP747" s="692" t="n"/>
      <c r="AQ747" s="692" t="n"/>
      <c r="AR747" s="692" t="n"/>
      <c r="AS747" s="692" t="n"/>
    </row>
    <row r="748">
      <c r="A748" s="692" t="n"/>
      <c r="B748" s="692" t="n"/>
      <c r="C748" s="692" t="n"/>
      <c r="D748" s="692" t="n"/>
      <c r="E748" s="692" t="n"/>
      <c r="F748" s="692" t="n"/>
      <c r="G748" s="692" t="n"/>
      <c r="H748" s="692" t="n"/>
      <c r="I748" s="692" t="n"/>
      <c r="J748" s="692" t="n"/>
      <c r="K748" s="692" t="n"/>
      <c r="L748" s="692" t="n"/>
      <c r="M748" s="692" t="n"/>
      <c r="N748" s="692" t="n"/>
      <c r="O748" s="692" t="n"/>
      <c r="P748" s="692" t="n"/>
      <c r="Q748" s="692" t="n"/>
      <c r="R748" s="692" t="n"/>
      <c r="S748" s="692" t="n"/>
      <c r="T748" s="692" t="n"/>
      <c r="U748" s="692" t="n"/>
      <c r="V748" s="692" t="n"/>
      <c r="W748" s="692" t="n"/>
      <c r="X748" s="692" t="n"/>
      <c r="Y748" s="692" t="n"/>
      <c r="Z748" s="692" t="n"/>
      <c r="AA748" s="692" t="n"/>
      <c r="AB748" s="692" t="n"/>
      <c r="AC748" s="692" t="n"/>
      <c r="AD748" s="692" t="n"/>
      <c r="AE748" s="692" t="n"/>
      <c r="AF748" s="692" t="n"/>
      <c r="AG748" s="692" t="n"/>
      <c r="AH748" s="692" t="n"/>
      <c r="AI748" s="692" t="n"/>
      <c r="AJ748" s="692" t="n"/>
      <c r="AK748" s="692" t="n"/>
      <c r="AL748" s="692" t="n"/>
      <c r="AM748" s="692" t="n"/>
      <c r="AN748" s="692" t="n"/>
      <c r="AO748" s="692" t="n"/>
      <c r="AP748" s="692" t="n"/>
      <c r="AQ748" s="692" t="n"/>
      <c r="AR748" s="692" t="n"/>
      <c r="AS748" s="692" t="n"/>
    </row>
    <row r="749">
      <c r="A749" s="692" t="n"/>
      <c r="B749" s="692" t="n"/>
      <c r="C749" s="692" t="n"/>
      <c r="D749" s="692" t="n"/>
      <c r="E749" s="692" t="n"/>
      <c r="F749" s="692" t="n"/>
      <c r="G749" s="692" t="n"/>
      <c r="H749" s="692" t="n"/>
      <c r="I749" s="692" t="n"/>
      <c r="J749" s="692" t="n"/>
      <c r="K749" s="692" t="n"/>
      <c r="L749" s="692" t="n"/>
      <c r="M749" s="692" t="n"/>
      <c r="N749" s="692" t="n"/>
      <c r="O749" s="692" t="n"/>
      <c r="P749" s="692" t="n"/>
      <c r="Q749" s="692" t="n"/>
      <c r="R749" s="692" t="n"/>
      <c r="S749" s="692" t="n"/>
      <c r="T749" s="692" t="n"/>
      <c r="U749" s="692" t="n"/>
      <c r="V749" s="692" t="n"/>
      <c r="W749" s="692" t="n"/>
      <c r="X749" s="692" t="n"/>
      <c r="Y749" s="692" t="n"/>
      <c r="Z749" s="692" t="n"/>
      <c r="AA749" s="692" t="n"/>
      <c r="AB749" s="692" t="n"/>
      <c r="AC749" s="692" t="n"/>
      <c r="AD749" s="692" t="n"/>
      <c r="AE749" s="692" t="n"/>
      <c r="AF749" s="692" t="n"/>
      <c r="AG749" s="692" t="n"/>
      <c r="AH749" s="692" t="n"/>
      <c r="AI749" s="692" t="n"/>
      <c r="AJ749" s="692" t="n"/>
      <c r="AK749" s="692" t="n"/>
      <c r="AL749" s="692" t="n"/>
      <c r="AM749" s="692" t="n"/>
      <c r="AN749" s="692" t="n"/>
      <c r="AO749" s="692" t="n"/>
      <c r="AP749" s="692" t="n"/>
      <c r="AQ749" s="692" t="n"/>
      <c r="AR749" s="692" t="n"/>
      <c r="AS749" s="692" t="n"/>
    </row>
    <row r="750">
      <c r="A750" s="692" t="n"/>
      <c r="B750" s="692" t="n"/>
      <c r="C750" s="692" t="n"/>
      <c r="D750" s="692" t="n"/>
      <c r="E750" s="692" t="n"/>
      <c r="F750" s="692" t="n"/>
      <c r="G750" s="692" t="n"/>
      <c r="H750" s="692" t="n"/>
      <c r="I750" s="692" t="n"/>
      <c r="J750" s="692" t="n"/>
      <c r="K750" s="692" t="n"/>
      <c r="L750" s="692" t="n"/>
      <c r="M750" s="692" t="n"/>
      <c r="N750" s="692" t="n"/>
      <c r="O750" s="692" t="n"/>
      <c r="P750" s="692" t="n"/>
      <c r="Q750" s="692" t="n"/>
      <c r="R750" s="692" t="n"/>
      <c r="S750" s="692" t="n"/>
      <c r="T750" s="692" t="n"/>
      <c r="U750" s="692" t="n"/>
      <c r="V750" s="692" t="n"/>
      <c r="W750" s="692" t="n"/>
      <c r="X750" s="692" t="n"/>
      <c r="Y750" s="692" t="n"/>
      <c r="Z750" s="692" t="n"/>
      <c r="AA750" s="692" t="n"/>
      <c r="AB750" s="692" t="n"/>
      <c r="AC750" s="692" t="n"/>
      <c r="AD750" s="692" t="n"/>
      <c r="AE750" s="692" t="n"/>
      <c r="AF750" s="692" t="n"/>
      <c r="AG750" s="692" t="n"/>
      <c r="AH750" s="692" t="n"/>
      <c r="AI750" s="692" t="n"/>
      <c r="AJ750" s="692" t="n"/>
      <c r="AK750" s="692" t="n"/>
      <c r="AL750" s="692" t="n"/>
      <c r="AM750" s="692" t="n"/>
      <c r="AN750" s="692" t="n"/>
      <c r="AO750" s="692" t="n"/>
      <c r="AP750" s="692" t="n"/>
      <c r="AQ750" s="692" t="n"/>
      <c r="AR750" s="692" t="n"/>
      <c r="AS750" s="692" t="n"/>
    </row>
    <row r="751">
      <c r="A751" s="692" t="n"/>
      <c r="B751" s="692" t="n"/>
      <c r="C751" s="692" t="n"/>
      <c r="D751" s="692" t="n"/>
      <c r="E751" s="692" t="n"/>
      <c r="F751" s="692" t="n"/>
      <c r="G751" s="692" t="n"/>
      <c r="H751" s="692" t="n"/>
      <c r="I751" s="692" t="n"/>
      <c r="J751" s="692" t="n"/>
      <c r="K751" s="692" t="n"/>
      <c r="L751" s="692" t="n"/>
      <c r="M751" s="692" t="n"/>
      <c r="N751" s="692" t="n"/>
      <c r="O751" s="692" t="n"/>
      <c r="P751" s="692" t="n"/>
      <c r="Q751" s="692" t="n"/>
      <c r="R751" s="692" t="n"/>
      <c r="S751" s="692" t="n"/>
      <c r="T751" s="692" t="n"/>
      <c r="U751" s="692" t="n"/>
      <c r="V751" s="692" t="n"/>
      <c r="W751" s="692" t="n"/>
      <c r="X751" s="692" t="n"/>
      <c r="Y751" s="692" t="n"/>
      <c r="Z751" s="692" t="n"/>
      <c r="AA751" s="692" t="n"/>
      <c r="AB751" s="692" t="n"/>
      <c r="AC751" s="692" t="n"/>
      <c r="AD751" s="692" t="n"/>
      <c r="AE751" s="692" t="n"/>
      <c r="AF751" s="692" t="n"/>
      <c r="AG751" s="692" t="n"/>
      <c r="AH751" s="692" t="n"/>
      <c r="AI751" s="692" t="n"/>
      <c r="AJ751" s="692" t="n"/>
      <c r="AK751" s="692" t="n"/>
      <c r="AL751" s="692" t="n"/>
      <c r="AM751" s="692" t="n"/>
      <c r="AN751" s="692" t="n"/>
      <c r="AO751" s="692" t="n"/>
      <c r="AP751" s="692" t="n"/>
      <c r="AQ751" s="692" t="n"/>
      <c r="AR751" s="692" t="n"/>
      <c r="AS751" s="692" t="n"/>
    </row>
    <row r="752">
      <c r="A752" s="692" t="n"/>
      <c r="B752" s="692" t="n"/>
      <c r="C752" s="692" t="n"/>
      <c r="D752" s="692" t="n"/>
      <c r="E752" s="692" t="n"/>
      <c r="F752" s="692" t="n"/>
      <c r="G752" s="692" t="n"/>
      <c r="H752" s="692" t="n"/>
      <c r="I752" s="692" t="n"/>
      <c r="J752" s="692" t="n"/>
      <c r="K752" s="692" t="n"/>
      <c r="L752" s="692" t="n"/>
      <c r="M752" s="692" t="n"/>
      <c r="N752" s="692" t="n"/>
      <c r="O752" s="692" t="n"/>
      <c r="P752" s="692" t="n"/>
      <c r="Q752" s="692" t="n"/>
      <c r="R752" s="692" t="n"/>
      <c r="S752" s="692" t="n"/>
      <c r="T752" s="692" t="n"/>
      <c r="U752" s="692" t="n"/>
      <c r="V752" s="692" t="n"/>
      <c r="W752" s="692" t="n"/>
      <c r="X752" s="692" t="n"/>
      <c r="Y752" s="692" t="n"/>
      <c r="Z752" s="692" t="n"/>
      <c r="AA752" s="692" t="n"/>
      <c r="AB752" s="692" t="n"/>
      <c r="AC752" s="692" t="n"/>
      <c r="AD752" s="692" t="n"/>
      <c r="AE752" s="692" t="n"/>
      <c r="AF752" s="692" t="n"/>
      <c r="AG752" s="692" t="n"/>
      <c r="AH752" s="692" t="n"/>
      <c r="AI752" s="692" t="n"/>
      <c r="AJ752" s="692" t="n"/>
      <c r="AK752" s="692" t="n"/>
      <c r="AL752" s="692" t="n"/>
      <c r="AM752" s="692" t="n"/>
      <c r="AN752" s="692" t="n"/>
      <c r="AO752" s="692" t="n"/>
      <c r="AP752" s="692" t="n"/>
      <c r="AQ752" s="692" t="n"/>
      <c r="AR752" s="692" t="n"/>
      <c r="AS752" s="692" t="n"/>
    </row>
    <row r="753">
      <c r="A753" s="692" t="n"/>
      <c r="B753" s="692" t="n"/>
      <c r="C753" s="692" t="n"/>
      <c r="D753" s="692" t="n"/>
      <c r="E753" s="692" t="n"/>
      <c r="F753" s="692" t="n"/>
      <c r="G753" s="692" t="n"/>
      <c r="H753" s="692" t="n"/>
      <c r="I753" s="692" t="n"/>
      <c r="J753" s="692" t="n"/>
      <c r="K753" s="692" t="n"/>
      <c r="L753" s="692" t="n"/>
      <c r="M753" s="692" t="n"/>
      <c r="N753" s="692" t="n"/>
      <c r="O753" s="692" t="n"/>
      <c r="P753" s="692" t="n"/>
      <c r="Q753" s="692" t="n"/>
      <c r="R753" s="692" t="n"/>
      <c r="S753" s="692" t="n"/>
      <c r="T753" s="692" t="n"/>
      <c r="U753" s="692" t="n"/>
      <c r="V753" s="692" t="n"/>
      <c r="W753" s="692" t="n"/>
      <c r="X753" s="692" t="n"/>
      <c r="Y753" s="692" t="n"/>
      <c r="Z753" s="692" t="n"/>
      <c r="AA753" s="692" t="n"/>
      <c r="AB753" s="692" t="n"/>
      <c r="AC753" s="692" t="n"/>
      <c r="AD753" s="692" t="n"/>
      <c r="AE753" s="692" t="n"/>
      <c r="AF753" s="692" t="n"/>
      <c r="AG753" s="692" t="n"/>
      <c r="AH753" s="692" t="n"/>
      <c r="AI753" s="692" t="n"/>
      <c r="AJ753" s="692" t="n"/>
      <c r="AK753" s="692" t="n"/>
      <c r="AL753" s="692" t="n"/>
      <c r="AM753" s="692" t="n"/>
      <c r="AN753" s="692" t="n"/>
      <c r="AO753" s="692" t="n"/>
      <c r="AP753" s="692" t="n"/>
      <c r="AQ753" s="692" t="n"/>
      <c r="AR753" s="692" t="n"/>
      <c r="AS753" s="692" t="n"/>
    </row>
    <row r="754">
      <c r="A754" s="692" t="n"/>
      <c r="B754" s="692" t="n"/>
      <c r="C754" s="692" t="n"/>
      <c r="D754" s="692" t="n"/>
      <c r="E754" s="692" t="n"/>
      <c r="F754" s="692" t="n"/>
      <c r="G754" s="692" t="n"/>
      <c r="H754" s="692" t="n"/>
      <c r="I754" s="692" t="n"/>
      <c r="J754" s="692" t="n"/>
      <c r="K754" s="692" t="n"/>
      <c r="L754" s="692" t="n"/>
      <c r="M754" s="692" t="n"/>
      <c r="N754" s="692" t="n"/>
      <c r="O754" s="692" t="n"/>
      <c r="P754" s="692" t="n"/>
      <c r="Q754" s="692" t="n"/>
      <c r="R754" s="692" t="n"/>
      <c r="S754" s="692" t="n"/>
      <c r="T754" s="692" t="n"/>
      <c r="U754" s="692" t="n"/>
      <c r="V754" s="692" t="n"/>
      <c r="W754" s="692" t="n"/>
      <c r="X754" s="692" t="n"/>
      <c r="Y754" s="692" t="n"/>
      <c r="Z754" s="692" t="n"/>
      <c r="AA754" s="692" t="n"/>
      <c r="AB754" s="692" t="n"/>
      <c r="AC754" s="692" t="n"/>
      <c r="AD754" s="692" t="n"/>
      <c r="AE754" s="692" t="n"/>
      <c r="AF754" s="692" t="n"/>
      <c r="AG754" s="692" t="n"/>
      <c r="AH754" s="692" t="n"/>
      <c r="AI754" s="692" t="n"/>
      <c r="AJ754" s="692" t="n"/>
      <c r="AK754" s="692" t="n"/>
      <c r="AL754" s="692" t="n"/>
      <c r="AM754" s="692" t="n"/>
      <c r="AN754" s="692" t="n"/>
      <c r="AO754" s="692" t="n"/>
      <c r="AP754" s="692" t="n"/>
      <c r="AQ754" s="692" t="n"/>
      <c r="AR754" s="692" t="n"/>
      <c r="AS754" s="692" t="n"/>
    </row>
    <row r="755">
      <c r="A755" s="692" t="n"/>
      <c r="B755" s="692" t="n"/>
      <c r="C755" s="692" t="n"/>
      <c r="D755" s="692" t="n"/>
      <c r="E755" s="692" t="n"/>
      <c r="F755" s="692" t="n"/>
      <c r="G755" s="692" t="n"/>
      <c r="H755" s="692" t="n"/>
      <c r="I755" s="692" t="n"/>
      <c r="J755" s="692" t="n"/>
      <c r="K755" s="692" t="n"/>
      <c r="L755" s="692" t="n"/>
      <c r="M755" s="692" t="n"/>
      <c r="N755" s="692" t="n"/>
      <c r="O755" s="692" t="n"/>
      <c r="P755" s="692" t="n"/>
      <c r="Q755" s="692" t="n"/>
      <c r="R755" s="692" t="n"/>
      <c r="S755" s="692" t="n"/>
      <c r="T755" s="692" t="n"/>
      <c r="U755" s="692" t="n"/>
      <c r="V755" s="692" t="n"/>
      <c r="W755" s="692" t="n"/>
      <c r="X755" s="692" t="n"/>
      <c r="Y755" s="692" t="n"/>
      <c r="Z755" s="692" t="n"/>
      <c r="AA755" s="692" t="n"/>
      <c r="AB755" s="692" t="n"/>
      <c r="AC755" s="692" t="n"/>
      <c r="AD755" s="692" t="n"/>
      <c r="AE755" s="692" t="n"/>
      <c r="AF755" s="692" t="n"/>
      <c r="AG755" s="692" t="n"/>
      <c r="AH755" s="692" t="n"/>
      <c r="AI755" s="692" t="n"/>
      <c r="AJ755" s="692" t="n"/>
      <c r="AK755" s="692" t="n"/>
      <c r="AL755" s="692" t="n"/>
      <c r="AM755" s="692" t="n"/>
      <c r="AN755" s="692" t="n"/>
      <c r="AO755" s="692" t="n"/>
      <c r="AP755" s="692" t="n"/>
      <c r="AQ755" s="692" t="n"/>
      <c r="AR755" s="692" t="n"/>
      <c r="AS755" s="692" t="n"/>
    </row>
    <row r="756">
      <c r="A756" s="692" t="n"/>
      <c r="B756" s="692" t="n"/>
      <c r="C756" s="692" t="n"/>
      <c r="D756" s="692" t="n"/>
      <c r="E756" s="692" t="n"/>
      <c r="F756" s="692" t="n"/>
      <c r="G756" s="692" t="n"/>
      <c r="H756" s="692" t="n"/>
      <c r="I756" s="692" t="n"/>
      <c r="J756" s="692" t="n"/>
      <c r="K756" s="692" t="n"/>
      <c r="L756" s="692" t="n"/>
      <c r="M756" s="692" t="n"/>
      <c r="N756" s="692" t="n"/>
      <c r="O756" s="692" t="n"/>
      <c r="P756" s="692" t="n"/>
      <c r="Q756" s="692" t="n"/>
      <c r="R756" s="692" t="n"/>
      <c r="S756" s="692" t="n"/>
      <c r="T756" s="692" t="n"/>
      <c r="U756" s="692" t="n"/>
      <c r="V756" s="692" t="n"/>
      <c r="W756" s="692" t="n"/>
      <c r="X756" s="692" t="n"/>
      <c r="Y756" s="692" t="n"/>
      <c r="Z756" s="692" t="n"/>
      <c r="AA756" s="692" t="n"/>
      <c r="AB756" s="692" t="n"/>
      <c r="AC756" s="692" t="n"/>
      <c r="AD756" s="692" t="n"/>
      <c r="AE756" s="692" t="n"/>
      <c r="AF756" s="692" t="n"/>
      <c r="AG756" s="692" t="n"/>
      <c r="AH756" s="692" t="n"/>
      <c r="AI756" s="692" t="n"/>
      <c r="AJ756" s="692" t="n"/>
      <c r="AK756" s="692" t="n"/>
      <c r="AL756" s="692" t="n"/>
      <c r="AM756" s="692" t="n"/>
      <c r="AN756" s="692" t="n"/>
      <c r="AO756" s="692" t="n"/>
      <c r="AP756" s="692" t="n"/>
      <c r="AQ756" s="692" t="n"/>
      <c r="AR756" s="692" t="n"/>
      <c r="AS756" s="692" t="n"/>
    </row>
    <row r="757">
      <c r="A757" s="692" t="n"/>
      <c r="B757" s="692" t="n"/>
      <c r="C757" s="692" t="n"/>
      <c r="D757" s="692" t="n"/>
      <c r="E757" s="692" t="n"/>
      <c r="F757" s="692" t="n"/>
      <c r="G757" s="692" t="n"/>
      <c r="H757" s="692" t="n"/>
      <c r="I757" s="692" t="n"/>
      <c r="J757" s="692" t="n"/>
      <c r="K757" s="692" t="n"/>
      <c r="L757" s="692" t="n"/>
      <c r="M757" s="692" t="n"/>
      <c r="N757" s="692" t="n"/>
      <c r="O757" s="692" t="n"/>
      <c r="P757" s="692" t="n"/>
      <c r="Q757" s="692" t="n"/>
      <c r="R757" s="692" t="n"/>
      <c r="S757" s="692" t="n"/>
      <c r="T757" s="692" t="n"/>
      <c r="U757" s="692" t="n"/>
      <c r="V757" s="692" t="n"/>
      <c r="W757" s="692" t="n"/>
      <c r="X757" s="692" t="n"/>
      <c r="Y757" s="692" t="n"/>
      <c r="Z757" s="692" t="n"/>
      <c r="AA757" s="692" t="n"/>
      <c r="AB757" s="692" t="n"/>
      <c r="AC757" s="692" t="n"/>
      <c r="AD757" s="692" t="n"/>
      <c r="AE757" s="692" t="n"/>
      <c r="AF757" s="692" t="n"/>
      <c r="AG757" s="692" t="n"/>
      <c r="AH757" s="692" t="n"/>
      <c r="AI757" s="692" t="n"/>
      <c r="AJ757" s="692" t="n"/>
      <c r="AK757" s="692" t="n"/>
      <c r="AL757" s="692" t="n"/>
      <c r="AM757" s="692" t="n"/>
      <c r="AN757" s="692" t="n"/>
      <c r="AO757" s="692" t="n"/>
      <c r="AP757" s="692" t="n"/>
      <c r="AQ757" s="692" t="n"/>
      <c r="AR757" s="692" t="n"/>
      <c r="AS757" s="692" t="n"/>
    </row>
    <row r="758">
      <c r="A758" s="692" t="n"/>
      <c r="B758" s="692" t="n"/>
      <c r="C758" s="692" t="n"/>
      <c r="D758" s="692" t="n"/>
      <c r="E758" s="692" t="n"/>
      <c r="F758" s="692" t="n"/>
      <c r="G758" s="692" t="n"/>
      <c r="H758" s="692" t="n"/>
      <c r="I758" s="692" t="n"/>
      <c r="J758" s="692" t="n"/>
      <c r="K758" s="692" t="n"/>
      <c r="L758" s="692" t="n"/>
      <c r="M758" s="692" t="n"/>
      <c r="N758" s="692" t="n"/>
      <c r="O758" s="692" t="n"/>
      <c r="P758" s="692" t="n"/>
      <c r="Q758" s="692" t="n"/>
      <c r="R758" s="692" t="n"/>
      <c r="S758" s="692" t="n"/>
      <c r="T758" s="692" t="n"/>
      <c r="U758" s="692" t="n"/>
      <c r="V758" s="692" t="n"/>
      <c r="W758" s="692" t="n"/>
      <c r="X758" s="692" t="n"/>
      <c r="Y758" s="692" t="n"/>
      <c r="Z758" s="692" t="n"/>
      <c r="AA758" s="692" t="n"/>
      <c r="AB758" s="692" t="n"/>
      <c r="AC758" s="692" t="n"/>
      <c r="AD758" s="692" t="n"/>
      <c r="AE758" s="692" t="n"/>
      <c r="AF758" s="692" t="n"/>
      <c r="AG758" s="692" t="n"/>
      <c r="AH758" s="692" t="n"/>
      <c r="AI758" s="692" t="n"/>
      <c r="AJ758" s="692" t="n"/>
      <c r="AK758" s="692" t="n"/>
      <c r="AL758" s="692" t="n"/>
      <c r="AM758" s="692" t="n"/>
      <c r="AN758" s="692" t="n"/>
      <c r="AO758" s="692" t="n"/>
      <c r="AP758" s="692" t="n"/>
      <c r="AQ758" s="692" t="n"/>
      <c r="AR758" s="692" t="n"/>
      <c r="AS758" s="692" t="n"/>
    </row>
    <row r="759">
      <c r="A759" s="692" t="n"/>
      <c r="B759" s="692" t="n"/>
      <c r="C759" s="692" t="n"/>
      <c r="D759" s="692" t="n"/>
      <c r="E759" s="692" t="n"/>
      <c r="F759" s="692" t="n"/>
      <c r="G759" s="692" t="n"/>
      <c r="H759" s="692" t="n"/>
      <c r="I759" s="692" t="n"/>
      <c r="J759" s="692" t="n"/>
      <c r="K759" s="692" t="n"/>
      <c r="L759" s="692" t="n"/>
      <c r="M759" s="692" t="n"/>
      <c r="N759" s="692" t="n"/>
      <c r="O759" s="692" t="n"/>
      <c r="P759" s="692" t="n"/>
      <c r="Q759" s="692" t="n"/>
      <c r="R759" s="692" t="n"/>
      <c r="S759" s="692" t="n"/>
      <c r="T759" s="692" t="n"/>
      <c r="U759" s="692" t="n"/>
      <c r="V759" s="692" t="n"/>
      <c r="W759" s="692" t="n"/>
      <c r="X759" s="692" t="n"/>
      <c r="Y759" s="692" t="n"/>
      <c r="Z759" s="692" t="n"/>
      <c r="AA759" s="692" t="n"/>
      <c r="AB759" s="692" t="n"/>
      <c r="AC759" s="692" t="n"/>
      <c r="AD759" s="692" t="n"/>
      <c r="AE759" s="692" t="n"/>
      <c r="AF759" s="692" t="n"/>
      <c r="AG759" s="692" t="n"/>
      <c r="AH759" s="692" t="n"/>
      <c r="AI759" s="692" t="n"/>
      <c r="AJ759" s="692" t="n"/>
      <c r="AK759" s="692" t="n"/>
      <c r="AL759" s="692" t="n"/>
      <c r="AM759" s="692" t="n"/>
      <c r="AN759" s="692" t="n"/>
      <c r="AO759" s="692" t="n"/>
      <c r="AP759" s="692" t="n"/>
      <c r="AQ759" s="692" t="n"/>
      <c r="AR759" s="692" t="n"/>
      <c r="AS759" s="692" t="n"/>
    </row>
    <row r="760">
      <c r="A760" s="692" t="n"/>
      <c r="B760" s="692" t="n"/>
      <c r="C760" s="692" t="n"/>
      <c r="D760" s="692" t="n"/>
      <c r="E760" s="692" t="n"/>
      <c r="F760" s="692" t="n"/>
      <c r="G760" s="692" t="n"/>
      <c r="H760" s="692" t="n"/>
      <c r="I760" s="692" t="n"/>
      <c r="J760" s="692" t="n"/>
      <c r="K760" s="692" t="n"/>
      <c r="L760" s="692" t="n"/>
      <c r="M760" s="692" t="n"/>
      <c r="N760" s="692" t="n"/>
      <c r="O760" s="692" t="n"/>
      <c r="P760" s="692" t="n"/>
      <c r="Q760" s="692" t="n"/>
      <c r="R760" s="692" t="n"/>
      <c r="S760" s="692" t="n"/>
      <c r="T760" s="692" t="n"/>
      <c r="U760" s="692" t="n"/>
      <c r="V760" s="692" t="n"/>
      <c r="W760" s="692" t="n"/>
      <c r="X760" s="692" t="n"/>
      <c r="Y760" s="692" t="n"/>
      <c r="Z760" s="692" t="n"/>
      <c r="AA760" s="692" t="n"/>
      <c r="AB760" s="692" t="n"/>
      <c r="AC760" s="692" t="n"/>
      <c r="AD760" s="692" t="n"/>
      <c r="AE760" s="692" t="n"/>
      <c r="AF760" s="692" t="n"/>
      <c r="AG760" s="692" t="n"/>
      <c r="AH760" s="692" t="n"/>
      <c r="AI760" s="692" t="n"/>
      <c r="AJ760" s="692" t="n"/>
      <c r="AK760" s="692" t="n"/>
      <c r="AL760" s="692" t="n"/>
      <c r="AM760" s="692" t="n"/>
      <c r="AN760" s="692" t="n"/>
      <c r="AO760" s="692" t="n"/>
      <c r="AP760" s="692" t="n"/>
      <c r="AQ760" s="692" t="n"/>
      <c r="AR760" s="692" t="n"/>
      <c r="AS760" s="692" t="n"/>
    </row>
    <row r="761">
      <c r="A761" s="692" t="n"/>
      <c r="B761" s="692" t="n"/>
      <c r="C761" s="692" t="n"/>
      <c r="D761" s="692" t="n"/>
      <c r="E761" s="692" t="n"/>
      <c r="F761" s="692" t="n"/>
      <c r="G761" s="692" t="n"/>
      <c r="H761" s="692" t="n"/>
      <c r="I761" s="692" t="n"/>
      <c r="J761" s="692" t="n"/>
      <c r="K761" s="692" t="n"/>
      <c r="L761" s="692" t="n"/>
      <c r="M761" s="692" t="n"/>
      <c r="N761" s="692" t="n"/>
      <c r="O761" s="692" t="n"/>
      <c r="P761" s="692" t="n"/>
      <c r="Q761" s="692" t="n"/>
      <c r="R761" s="692" t="n"/>
      <c r="S761" s="692" t="n"/>
      <c r="T761" s="692" t="n"/>
      <c r="U761" s="692" t="n"/>
      <c r="V761" s="692" t="n"/>
      <c r="W761" s="692" t="n"/>
      <c r="X761" s="692" t="n"/>
      <c r="Y761" s="692" t="n"/>
      <c r="Z761" s="692" t="n"/>
      <c r="AA761" s="692" t="n"/>
      <c r="AB761" s="692" t="n"/>
      <c r="AC761" s="692" t="n"/>
      <c r="AD761" s="692" t="n"/>
      <c r="AE761" s="692" t="n"/>
      <c r="AF761" s="692" t="n"/>
      <c r="AG761" s="692" t="n"/>
      <c r="AH761" s="692" t="n"/>
      <c r="AI761" s="692" t="n"/>
      <c r="AJ761" s="692" t="n"/>
      <c r="AK761" s="692" t="n"/>
      <c r="AL761" s="692" t="n"/>
      <c r="AM761" s="692" t="n"/>
      <c r="AN761" s="692" t="n"/>
      <c r="AO761" s="692" t="n"/>
      <c r="AP761" s="692" t="n"/>
      <c r="AQ761" s="692" t="n"/>
      <c r="AR761" s="692" t="n"/>
      <c r="AS761" s="692" t="n"/>
    </row>
    <row r="762">
      <c r="A762" s="692" t="n"/>
      <c r="B762" s="692" t="n"/>
      <c r="C762" s="692" t="n"/>
      <c r="D762" s="692" t="n"/>
      <c r="E762" s="692" t="n"/>
      <c r="F762" s="692" t="n"/>
      <c r="G762" s="692" t="n"/>
      <c r="H762" s="692" t="n"/>
      <c r="I762" s="692" t="n"/>
      <c r="J762" s="692" t="n"/>
      <c r="K762" s="692" t="n"/>
      <c r="L762" s="692" t="n"/>
      <c r="M762" s="692" t="n"/>
      <c r="N762" s="692" t="n"/>
      <c r="O762" s="692" t="n"/>
      <c r="P762" s="692" t="n"/>
      <c r="Q762" s="692" t="n"/>
      <c r="R762" s="692" t="n"/>
      <c r="S762" s="692" t="n"/>
      <c r="T762" s="692" t="n"/>
      <c r="U762" s="692" t="n"/>
      <c r="V762" s="692" t="n"/>
      <c r="W762" s="692" t="n"/>
      <c r="X762" s="692" t="n"/>
      <c r="Y762" s="692" t="n"/>
      <c r="Z762" s="692" t="n"/>
      <c r="AA762" s="692" t="n"/>
      <c r="AB762" s="692" t="n"/>
      <c r="AC762" s="692" t="n"/>
      <c r="AD762" s="692" t="n"/>
      <c r="AE762" s="692" t="n"/>
      <c r="AF762" s="692" t="n"/>
      <c r="AG762" s="692" t="n"/>
      <c r="AH762" s="692" t="n"/>
      <c r="AI762" s="692" t="n"/>
      <c r="AJ762" s="692" t="n"/>
      <c r="AK762" s="692" t="n"/>
      <c r="AL762" s="692" t="n"/>
      <c r="AM762" s="692" t="n"/>
      <c r="AN762" s="692" t="n"/>
      <c r="AO762" s="692" t="n"/>
      <c r="AP762" s="692" t="n"/>
      <c r="AQ762" s="692" t="n"/>
      <c r="AR762" s="692" t="n"/>
      <c r="AS762" s="692" t="n"/>
    </row>
    <row r="763">
      <c r="A763" s="692" t="n"/>
      <c r="B763" s="692" t="n"/>
      <c r="C763" s="692" t="n"/>
      <c r="D763" s="692" t="n"/>
      <c r="E763" s="692" t="n"/>
      <c r="F763" s="692" t="n"/>
      <c r="G763" s="692" t="n"/>
      <c r="H763" s="692" t="n"/>
      <c r="I763" s="692" t="n"/>
      <c r="J763" s="692" t="n"/>
      <c r="K763" s="692" t="n"/>
      <c r="L763" s="692" t="n"/>
      <c r="M763" s="692" t="n"/>
      <c r="N763" s="692" t="n"/>
      <c r="O763" s="692" t="n"/>
      <c r="P763" s="692" t="n"/>
      <c r="Q763" s="692" t="n"/>
      <c r="R763" s="692" t="n"/>
      <c r="S763" s="692" t="n"/>
      <c r="T763" s="692" t="n"/>
      <c r="U763" s="692" t="n"/>
      <c r="V763" s="692" t="n"/>
      <c r="W763" s="692" t="n"/>
      <c r="X763" s="692" t="n"/>
      <c r="Y763" s="692" t="n"/>
      <c r="Z763" s="692" t="n"/>
      <c r="AA763" s="692" t="n"/>
      <c r="AB763" s="692" t="n"/>
      <c r="AC763" s="692" t="n"/>
      <c r="AD763" s="692" t="n"/>
      <c r="AE763" s="692" t="n"/>
      <c r="AF763" s="692" t="n"/>
      <c r="AG763" s="692" t="n"/>
      <c r="AH763" s="692" t="n"/>
      <c r="AI763" s="692" t="n"/>
      <c r="AJ763" s="692" t="n"/>
      <c r="AK763" s="692" t="n"/>
      <c r="AL763" s="692" t="n"/>
      <c r="AM763" s="692" t="n"/>
      <c r="AN763" s="692" t="n"/>
      <c r="AO763" s="692" t="n"/>
      <c r="AP763" s="692" t="n"/>
      <c r="AQ763" s="692" t="n"/>
      <c r="AR763" s="692" t="n"/>
      <c r="AS763" s="692" t="n"/>
    </row>
    <row r="764">
      <c r="A764" s="692" t="n"/>
      <c r="B764" s="692" t="n"/>
      <c r="C764" s="692" t="n"/>
      <c r="D764" s="692" t="n"/>
      <c r="E764" s="692" t="n"/>
      <c r="F764" s="692" t="n"/>
      <c r="G764" s="692" t="n"/>
      <c r="H764" s="692" t="n"/>
      <c r="I764" s="692" t="n"/>
      <c r="J764" s="692" t="n"/>
      <c r="K764" s="692" t="n"/>
      <c r="L764" s="692" t="n"/>
      <c r="M764" s="692" t="n"/>
      <c r="N764" s="692" t="n"/>
      <c r="O764" s="692" t="n"/>
      <c r="P764" s="692" t="n"/>
      <c r="Q764" s="692" t="n"/>
      <c r="R764" s="692" t="n"/>
      <c r="S764" s="692" t="n"/>
      <c r="T764" s="692" t="n"/>
      <c r="U764" s="692" t="n"/>
      <c r="V764" s="692" t="n"/>
      <c r="W764" s="692" t="n"/>
      <c r="X764" s="692" t="n"/>
      <c r="Y764" s="692" t="n"/>
      <c r="Z764" s="692" t="n"/>
      <c r="AA764" s="692" t="n"/>
      <c r="AB764" s="692" t="n"/>
      <c r="AC764" s="692" t="n"/>
      <c r="AD764" s="692" t="n"/>
      <c r="AE764" s="692" t="n"/>
      <c r="AF764" s="692" t="n"/>
      <c r="AG764" s="692" t="n"/>
      <c r="AH764" s="692" t="n"/>
      <c r="AI764" s="692" t="n"/>
      <c r="AJ764" s="692" t="n"/>
      <c r="AK764" s="692" t="n"/>
      <c r="AL764" s="692" t="n"/>
      <c r="AM764" s="692" t="n"/>
      <c r="AN764" s="692" t="n"/>
      <c r="AO764" s="692" t="n"/>
      <c r="AP764" s="692" t="n"/>
      <c r="AQ764" s="692" t="n"/>
      <c r="AR764" s="692" t="n"/>
      <c r="AS764" s="692" t="n"/>
    </row>
    <row r="765">
      <c r="A765" s="692" t="n"/>
      <c r="B765" s="692" t="n"/>
      <c r="C765" s="692" t="n"/>
      <c r="D765" s="692" t="n"/>
      <c r="E765" s="692" t="n"/>
      <c r="F765" s="692" t="n"/>
      <c r="G765" s="692" t="n"/>
      <c r="H765" s="692" t="n"/>
      <c r="I765" s="692" t="n"/>
      <c r="J765" s="692" t="n"/>
      <c r="K765" s="692" t="n"/>
      <c r="L765" s="692" t="n"/>
      <c r="M765" s="692" t="n"/>
      <c r="N765" s="692" t="n"/>
      <c r="O765" s="692" t="n"/>
      <c r="P765" s="692" t="n"/>
      <c r="Q765" s="692" t="n"/>
      <c r="R765" s="692" t="n"/>
      <c r="S765" s="692" t="n"/>
      <c r="T765" s="692" t="n"/>
      <c r="U765" s="692" t="n"/>
      <c r="V765" s="692" t="n"/>
      <c r="W765" s="692" t="n"/>
      <c r="X765" s="692" t="n"/>
      <c r="Y765" s="692" t="n"/>
      <c r="Z765" s="692" t="n"/>
      <c r="AA765" s="692" t="n"/>
      <c r="AB765" s="692" t="n"/>
      <c r="AC765" s="692" t="n"/>
      <c r="AD765" s="692" t="n"/>
      <c r="AE765" s="692" t="n"/>
      <c r="AF765" s="692" t="n"/>
      <c r="AG765" s="692" t="n"/>
      <c r="AH765" s="692" t="n"/>
      <c r="AI765" s="692" t="n"/>
      <c r="AJ765" s="692" t="n"/>
      <c r="AK765" s="692" t="n"/>
      <c r="AL765" s="692" t="n"/>
      <c r="AM765" s="692" t="n"/>
      <c r="AN765" s="692" t="n"/>
      <c r="AO765" s="692" t="n"/>
      <c r="AP765" s="692" t="n"/>
      <c r="AQ765" s="692" t="n"/>
      <c r="AR765" s="692" t="n"/>
      <c r="AS765" s="692" t="n"/>
    </row>
    <row r="766">
      <c r="A766" s="692" t="n"/>
      <c r="B766" s="692" t="n"/>
      <c r="C766" s="692" t="n"/>
      <c r="D766" s="692" t="n"/>
      <c r="E766" s="692" t="n"/>
      <c r="F766" s="692" t="n"/>
      <c r="G766" s="692" t="n"/>
      <c r="H766" s="692" t="n"/>
      <c r="I766" s="692" t="n"/>
      <c r="J766" s="692" t="n"/>
      <c r="K766" s="692" t="n"/>
      <c r="L766" s="692" t="n"/>
      <c r="M766" s="692" t="n"/>
      <c r="N766" s="692" t="n"/>
      <c r="O766" s="692" t="n"/>
      <c r="P766" s="692" t="n"/>
      <c r="Q766" s="692" t="n"/>
      <c r="R766" s="692" t="n"/>
      <c r="S766" s="692" t="n"/>
      <c r="T766" s="692" t="n"/>
      <c r="U766" s="692" t="n"/>
      <c r="V766" s="692" t="n"/>
      <c r="W766" s="692" t="n"/>
      <c r="X766" s="692" t="n"/>
      <c r="Y766" s="692" t="n"/>
      <c r="Z766" s="692" t="n"/>
      <c r="AA766" s="692" t="n"/>
      <c r="AB766" s="692" t="n"/>
      <c r="AC766" s="692" t="n"/>
      <c r="AD766" s="692" t="n"/>
      <c r="AE766" s="692" t="n"/>
      <c r="AF766" s="692" t="n"/>
      <c r="AG766" s="692" t="n"/>
      <c r="AH766" s="692" t="n"/>
      <c r="AI766" s="692" t="n"/>
      <c r="AJ766" s="692" t="n"/>
      <c r="AK766" s="692" t="n"/>
      <c r="AL766" s="692" t="n"/>
      <c r="AM766" s="692" t="n"/>
      <c r="AN766" s="692" t="n"/>
      <c r="AO766" s="692" t="n"/>
      <c r="AP766" s="692" t="n"/>
      <c r="AQ766" s="692" t="n"/>
      <c r="AR766" s="692" t="n"/>
      <c r="AS766" s="692" t="n"/>
    </row>
    <row r="767">
      <c r="A767" s="692" t="n"/>
      <c r="B767" s="692" t="n"/>
      <c r="C767" s="692" t="n"/>
      <c r="D767" s="692" t="n"/>
      <c r="E767" s="692" t="n"/>
      <c r="F767" s="692" t="n"/>
      <c r="G767" s="692" t="n"/>
      <c r="H767" s="692" t="n"/>
      <c r="I767" s="692" t="n"/>
      <c r="J767" s="692" t="n"/>
      <c r="K767" s="692" t="n"/>
      <c r="L767" s="692" t="n"/>
      <c r="M767" s="692" t="n"/>
      <c r="N767" s="692" t="n"/>
      <c r="O767" s="692" t="n"/>
      <c r="P767" s="692" t="n"/>
      <c r="Q767" s="692" t="n"/>
      <c r="R767" s="692" t="n"/>
      <c r="S767" s="692" t="n"/>
      <c r="T767" s="692" t="n"/>
      <c r="U767" s="692" t="n"/>
      <c r="V767" s="692" t="n"/>
      <c r="W767" s="692" t="n"/>
      <c r="X767" s="692" t="n"/>
      <c r="Y767" s="692" t="n"/>
      <c r="Z767" s="692" t="n"/>
      <c r="AA767" s="692" t="n"/>
      <c r="AB767" s="692" t="n"/>
      <c r="AC767" s="692" t="n"/>
      <c r="AD767" s="692" t="n"/>
      <c r="AE767" s="692" t="n"/>
      <c r="AF767" s="692" t="n"/>
      <c r="AG767" s="692" t="n"/>
      <c r="AH767" s="692" t="n"/>
      <c r="AI767" s="692" t="n"/>
      <c r="AJ767" s="692" t="n"/>
      <c r="AK767" s="692" t="n"/>
      <c r="AL767" s="692" t="n"/>
      <c r="AM767" s="692" t="n"/>
      <c r="AN767" s="692" t="n"/>
      <c r="AO767" s="692" t="n"/>
      <c r="AP767" s="692" t="n"/>
      <c r="AQ767" s="692" t="n"/>
      <c r="AR767" s="692" t="n"/>
      <c r="AS767" s="692" t="n"/>
    </row>
    <row r="768">
      <c r="A768" s="692" t="n"/>
      <c r="B768" s="692" t="n"/>
      <c r="C768" s="692" t="n"/>
      <c r="D768" s="692" t="n"/>
      <c r="E768" s="692" t="n"/>
      <c r="F768" s="692" t="n"/>
      <c r="G768" s="692" t="n"/>
      <c r="H768" s="692" t="n"/>
      <c r="I768" s="692" t="n"/>
      <c r="J768" s="692" t="n"/>
      <c r="K768" s="692" t="n"/>
      <c r="L768" s="692" t="n"/>
      <c r="M768" s="692" t="n"/>
      <c r="N768" s="692" t="n"/>
      <c r="O768" s="692" t="n"/>
      <c r="P768" s="692" t="n"/>
      <c r="Q768" s="692" t="n"/>
      <c r="R768" s="692" t="n"/>
      <c r="S768" s="692" t="n"/>
      <c r="T768" s="692" t="n"/>
      <c r="U768" s="692" t="n"/>
      <c r="V768" s="692" t="n"/>
      <c r="W768" s="692" t="n"/>
      <c r="X768" s="692" t="n"/>
      <c r="Y768" s="692" t="n"/>
      <c r="Z768" s="692" t="n"/>
      <c r="AA768" s="692" t="n"/>
      <c r="AB768" s="692" t="n"/>
      <c r="AC768" s="692" t="n"/>
      <c r="AD768" s="692" t="n"/>
      <c r="AE768" s="692" t="n"/>
      <c r="AF768" s="692" t="n"/>
      <c r="AG768" s="692" t="n"/>
      <c r="AH768" s="692" t="n"/>
      <c r="AI768" s="692" t="n"/>
      <c r="AJ768" s="692" t="n"/>
      <c r="AK768" s="692" t="n"/>
      <c r="AL768" s="692" t="n"/>
      <c r="AM768" s="692" t="n"/>
      <c r="AN768" s="692" t="n"/>
      <c r="AO768" s="692" t="n"/>
      <c r="AP768" s="692" t="n"/>
      <c r="AQ768" s="692" t="n"/>
      <c r="AR768" s="692" t="n"/>
      <c r="AS768" s="692" t="n"/>
    </row>
    <row r="769">
      <c r="A769" s="692" t="n"/>
      <c r="B769" s="692" t="n"/>
      <c r="C769" s="692" t="n"/>
      <c r="D769" s="692" t="n"/>
      <c r="E769" s="692" t="n"/>
      <c r="F769" s="692" t="n"/>
      <c r="G769" s="692" t="n"/>
      <c r="H769" s="692" t="n"/>
      <c r="I769" s="692" t="n"/>
      <c r="J769" s="692" t="n"/>
      <c r="K769" s="692" t="n"/>
      <c r="L769" s="692" t="n"/>
      <c r="M769" s="692" t="n"/>
      <c r="N769" s="692" t="n"/>
      <c r="O769" s="692" t="n"/>
      <c r="P769" s="692" t="n"/>
      <c r="Q769" s="692" t="n"/>
      <c r="R769" s="692" t="n"/>
      <c r="S769" s="692" t="n"/>
      <c r="T769" s="692" t="n"/>
      <c r="U769" s="692" t="n"/>
      <c r="V769" s="692" t="n"/>
      <c r="W769" s="692" t="n"/>
      <c r="X769" s="692" t="n"/>
      <c r="Y769" s="692" t="n"/>
      <c r="Z769" s="692" t="n"/>
      <c r="AA769" s="692" t="n"/>
      <c r="AB769" s="692" t="n"/>
      <c r="AC769" s="692" t="n"/>
      <c r="AD769" s="692" t="n"/>
      <c r="AE769" s="692" t="n"/>
      <c r="AF769" s="692" t="n"/>
      <c r="AG769" s="692" t="n"/>
      <c r="AH769" s="692" t="n"/>
      <c r="AI769" s="692" t="n"/>
      <c r="AJ769" s="692" t="n"/>
      <c r="AK769" s="692" t="n"/>
      <c r="AL769" s="692" t="n"/>
      <c r="AM769" s="692" t="n"/>
      <c r="AN769" s="692" t="n"/>
      <c r="AO769" s="692" t="n"/>
      <c r="AP769" s="692" t="n"/>
      <c r="AQ769" s="692" t="n"/>
      <c r="AR769" s="692" t="n"/>
      <c r="AS769" s="692" t="n"/>
    </row>
    <row r="770">
      <c r="A770" s="692" t="n"/>
      <c r="B770" s="692" t="n"/>
      <c r="C770" s="692" t="n"/>
      <c r="D770" s="692" t="n"/>
      <c r="E770" s="692" t="n"/>
      <c r="F770" s="692" t="n"/>
      <c r="G770" s="692" t="n"/>
      <c r="H770" s="692" t="n"/>
      <c r="I770" s="692" t="n"/>
      <c r="J770" s="692" t="n"/>
      <c r="K770" s="692" t="n"/>
      <c r="L770" s="692" t="n"/>
      <c r="M770" s="692" t="n"/>
      <c r="N770" s="692" t="n"/>
      <c r="O770" s="692" t="n"/>
      <c r="P770" s="692" t="n"/>
      <c r="Q770" s="692" t="n"/>
      <c r="R770" s="692" t="n"/>
      <c r="S770" s="692" t="n"/>
      <c r="T770" s="692" t="n"/>
      <c r="U770" s="692" t="n"/>
      <c r="V770" s="692" t="n"/>
      <c r="W770" s="692" t="n"/>
      <c r="X770" s="692" t="n"/>
      <c r="Y770" s="692" t="n"/>
      <c r="Z770" s="692" t="n"/>
      <c r="AA770" s="692" t="n"/>
      <c r="AB770" s="692" t="n"/>
      <c r="AC770" s="692" t="n"/>
      <c r="AD770" s="692" t="n"/>
      <c r="AE770" s="692" t="n"/>
      <c r="AF770" s="692" t="n"/>
      <c r="AG770" s="692" t="n"/>
      <c r="AH770" s="692" t="n"/>
      <c r="AI770" s="692" t="n"/>
      <c r="AJ770" s="692" t="n"/>
      <c r="AK770" s="692" t="n"/>
      <c r="AL770" s="692" t="n"/>
      <c r="AM770" s="692" t="n"/>
      <c r="AN770" s="692" t="n"/>
      <c r="AO770" s="692" t="n"/>
      <c r="AP770" s="692" t="n"/>
      <c r="AQ770" s="692" t="n"/>
      <c r="AR770" s="692" t="n"/>
      <c r="AS770" s="692" t="n"/>
    </row>
    <row r="771">
      <c r="A771" s="692" t="n"/>
      <c r="B771" s="692" t="n"/>
      <c r="C771" s="692" t="n"/>
      <c r="D771" s="692" t="n"/>
      <c r="E771" s="692" t="n"/>
      <c r="F771" s="692" t="n"/>
      <c r="G771" s="692" t="n"/>
      <c r="H771" s="692" t="n"/>
      <c r="I771" s="692" t="n"/>
      <c r="J771" s="692" t="n"/>
      <c r="K771" s="692" t="n"/>
      <c r="L771" s="692" t="n"/>
      <c r="M771" s="692" t="n"/>
      <c r="N771" s="692" t="n"/>
      <c r="O771" s="692" t="n"/>
      <c r="P771" s="692" t="n"/>
      <c r="Q771" s="692" t="n"/>
      <c r="R771" s="692" t="n"/>
      <c r="S771" s="692" t="n"/>
      <c r="T771" s="692" t="n"/>
      <c r="U771" s="692" t="n"/>
      <c r="V771" s="692" t="n"/>
      <c r="W771" s="692" t="n"/>
      <c r="X771" s="692" t="n"/>
      <c r="Y771" s="692" t="n"/>
      <c r="Z771" s="692" t="n"/>
      <c r="AA771" s="692" t="n"/>
      <c r="AB771" s="692" t="n"/>
      <c r="AC771" s="692" t="n"/>
      <c r="AD771" s="692" t="n"/>
      <c r="AE771" s="692" t="n"/>
      <c r="AF771" s="692" t="n"/>
      <c r="AG771" s="692" t="n"/>
      <c r="AH771" s="692" t="n"/>
      <c r="AI771" s="692" t="n"/>
      <c r="AJ771" s="692" t="n"/>
      <c r="AK771" s="692" t="n"/>
      <c r="AL771" s="692" t="n"/>
      <c r="AM771" s="692" t="n"/>
      <c r="AN771" s="692" t="n"/>
      <c r="AO771" s="692" t="n"/>
      <c r="AP771" s="692" t="n"/>
      <c r="AQ771" s="692" t="n"/>
      <c r="AR771" s="692" t="n"/>
      <c r="AS771" s="692" t="n"/>
    </row>
    <row r="772">
      <c r="A772" s="692" t="n"/>
      <c r="B772" s="692" t="n"/>
      <c r="C772" s="692" t="n"/>
      <c r="D772" s="692" t="n"/>
      <c r="E772" s="692" t="n"/>
      <c r="F772" s="692" t="n"/>
      <c r="G772" s="692" t="n"/>
      <c r="H772" s="692" t="n"/>
      <c r="I772" s="692" t="n"/>
      <c r="J772" s="692" t="n"/>
      <c r="K772" s="692" t="n"/>
      <c r="L772" s="692" t="n"/>
      <c r="M772" s="692" t="n"/>
      <c r="N772" s="692" t="n"/>
      <c r="O772" s="692" t="n"/>
      <c r="P772" s="692" t="n"/>
      <c r="Q772" s="692" t="n"/>
      <c r="R772" s="692" t="n"/>
      <c r="S772" s="692" t="n"/>
      <c r="T772" s="692" t="n"/>
      <c r="U772" s="692" t="n"/>
      <c r="V772" s="692" t="n"/>
      <c r="W772" s="692" t="n"/>
      <c r="X772" s="692" t="n"/>
      <c r="Y772" s="692" t="n"/>
      <c r="Z772" s="692" t="n"/>
      <c r="AA772" s="692" t="n"/>
      <c r="AB772" s="692" t="n"/>
      <c r="AC772" s="692" t="n"/>
      <c r="AD772" s="692" t="n"/>
      <c r="AE772" s="692" t="n"/>
      <c r="AF772" s="692" t="n"/>
      <c r="AG772" s="692" t="n"/>
      <c r="AH772" s="692" t="n"/>
      <c r="AI772" s="692" t="n"/>
      <c r="AJ772" s="692" t="n"/>
      <c r="AK772" s="692" t="n"/>
      <c r="AL772" s="692" t="n"/>
      <c r="AM772" s="692" t="n"/>
      <c r="AN772" s="692" t="n"/>
      <c r="AO772" s="692" t="n"/>
      <c r="AP772" s="692" t="n"/>
      <c r="AQ772" s="692" t="n"/>
      <c r="AR772" s="692" t="n"/>
      <c r="AS772" s="692" t="n"/>
    </row>
    <row r="773">
      <c r="A773" s="692" t="n"/>
      <c r="B773" s="692" t="n"/>
      <c r="C773" s="692" t="n"/>
      <c r="D773" s="692" t="n"/>
      <c r="E773" s="692" t="n"/>
      <c r="F773" s="692" t="n"/>
      <c r="G773" s="692" t="n"/>
      <c r="H773" s="692" t="n"/>
      <c r="I773" s="692" t="n"/>
      <c r="J773" s="692" t="n"/>
      <c r="K773" s="692" t="n"/>
      <c r="L773" s="692" t="n"/>
      <c r="M773" s="692" t="n"/>
      <c r="N773" s="692" t="n"/>
      <c r="O773" s="692" t="n"/>
      <c r="P773" s="692" t="n"/>
      <c r="Q773" s="692" t="n"/>
      <c r="R773" s="692" t="n"/>
      <c r="S773" s="692" t="n"/>
      <c r="T773" s="692" t="n"/>
      <c r="U773" s="692" t="n"/>
      <c r="V773" s="692" t="n"/>
      <c r="W773" s="692" t="n"/>
      <c r="X773" s="692" t="n"/>
      <c r="Y773" s="692" t="n"/>
      <c r="Z773" s="692" t="n"/>
      <c r="AA773" s="692" t="n"/>
      <c r="AB773" s="692" t="n"/>
      <c r="AC773" s="692" t="n"/>
      <c r="AD773" s="692" t="n"/>
      <c r="AE773" s="692" t="n"/>
      <c r="AF773" s="692" t="n"/>
      <c r="AG773" s="692" t="n"/>
      <c r="AH773" s="692" t="n"/>
      <c r="AI773" s="692" t="n"/>
      <c r="AJ773" s="692" t="n"/>
      <c r="AK773" s="692" t="n"/>
      <c r="AL773" s="692" t="n"/>
      <c r="AM773" s="692" t="n"/>
      <c r="AN773" s="692" t="n"/>
      <c r="AO773" s="692" t="n"/>
      <c r="AP773" s="692" t="n"/>
      <c r="AQ773" s="692" t="n"/>
      <c r="AR773" s="692" t="n"/>
      <c r="AS773" s="692" t="n"/>
    </row>
    <row r="774">
      <c r="A774" s="692" t="n"/>
      <c r="B774" s="692" t="n"/>
      <c r="C774" s="692" t="n"/>
      <c r="D774" s="692" t="n"/>
      <c r="E774" s="692" t="n"/>
      <c r="F774" s="692" t="n"/>
      <c r="G774" s="692" t="n"/>
      <c r="H774" s="692" t="n"/>
      <c r="I774" s="692" t="n"/>
      <c r="J774" s="692" t="n"/>
      <c r="K774" s="692" t="n"/>
      <c r="L774" s="692" t="n"/>
      <c r="M774" s="692" t="n"/>
      <c r="N774" s="692" t="n"/>
      <c r="O774" s="692" t="n"/>
      <c r="P774" s="692" t="n"/>
      <c r="Q774" s="692" t="n"/>
      <c r="R774" s="692" t="n"/>
      <c r="S774" s="692" t="n"/>
      <c r="T774" s="692" t="n"/>
      <c r="U774" s="692" t="n"/>
      <c r="V774" s="692" t="n"/>
      <c r="W774" s="692" t="n"/>
      <c r="X774" s="692" t="n"/>
      <c r="Y774" s="692" t="n"/>
      <c r="Z774" s="692" t="n"/>
      <c r="AA774" s="692" t="n"/>
      <c r="AB774" s="692" t="n"/>
      <c r="AC774" s="692" t="n"/>
      <c r="AD774" s="692" t="n"/>
      <c r="AE774" s="692" t="n"/>
      <c r="AF774" s="692" t="n"/>
      <c r="AG774" s="692" t="n"/>
      <c r="AH774" s="692" t="n"/>
      <c r="AI774" s="692" t="n"/>
      <c r="AJ774" s="692" t="n"/>
      <c r="AK774" s="692" t="n"/>
      <c r="AL774" s="692" t="n"/>
      <c r="AM774" s="692" t="n"/>
      <c r="AN774" s="692" t="n"/>
      <c r="AO774" s="692" t="n"/>
      <c r="AP774" s="692" t="n"/>
      <c r="AQ774" s="692" t="n"/>
      <c r="AR774" s="692" t="n"/>
      <c r="AS774" s="692" t="n"/>
    </row>
    <row r="775">
      <c r="A775" s="692" t="n"/>
      <c r="B775" s="692" t="n"/>
      <c r="C775" s="692" t="n"/>
      <c r="D775" s="692" t="n"/>
      <c r="E775" s="692" t="n"/>
      <c r="F775" s="692" t="n"/>
      <c r="G775" s="692" t="n"/>
      <c r="H775" s="692" t="n"/>
      <c r="I775" s="692" t="n"/>
      <c r="J775" s="692" t="n"/>
      <c r="K775" s="692" t="n"/>
      <c r="L775" s="692" t="n"/>
      <c r="M775" s="692" t="n"/>
      <c r="N775" s="692" t="n"/>
      <c r="O775" s="692" t="n"/>
      <c r="P775" s="692" t="n"/>
      <c r="Q775" s="692" t="n"/>
      <c r="R775" s="692" t="n"/>
      <c r="S775" s="692" t="n"/>
      <c r="T775" s="692" t="n"/>
      <c r="U775" s="692" t="n"/>
      <c r="V775" s="692" t="n"/>
      <c r="W775" s="692" t="n"/>
      <c r="X775" s="692" t="n"/>
      <c r="Y775" s="692" t="n"/>
      <c r="Z775" s="692" t="n"/>
      <c r="AA775" s="692" t="n"/>
      <c r="AB775" s="692" t="n"/>
      <c r="AC775" s="692" t="n"/>
      <c r="AD775" s="692" t="n"/>
      <c r="AE775" s="692" t="n"/>
      <c r="AF775" s="692" t="n"/>
      <c r="AG775" s="692" t="n"/>
      <c r="AH775" s="692" t="n"/>
      <c r="AI775" s="692" t="n"/>
      <c r="AJ775" s="692" t="n"/>
      <c r="AK775" s="692" t="n"/>
      <c r="AL775" s="692" t="n"/>
      <c r="AM775" s="692" t="n"/>
      <c r="AN775" s="692" t="n"/>
      <c r="AO775" s="692" t="n"/>
      <c r="AP775" s="692" t="n"/>
      <c r="AQ775" s="692" t="n"/>
      <c r="AR775" s="692" t="n"/>
      <c r="AS775" s="692" t="n"/>
    </row>
    <row r="776">
      <c r="A776" s="692" t="n"/>
      <c r="B776" s="692" t="n"/>
      <c r="C776" s="692" t="n"/>
      <c r="D776" s="692" t="n"/>
      <c r="E776" s="692" t="n"/>
      <c r="F776" s="692" t="n"/>
      <c r="G776" s="692" t="n"/>
      <c r="H776" s="692" t="n"/>
      <c r="I776" s="692" t="n"/>
      <c r="J776" s="692" t="n"/>
      <c r="K776" s="692" t="n"/>
      <c r="L776" s="692" t="n"/>
      <c r="M776" s="692" t="n"/>
      <c r="N776" s="692" t="n"/>
      <c r="O776" s="692" t="n"/>
      <c r="P776" s="692" t="n"/>
      <c r="Q776" s="692" t="n"/>
      <c r="R776" s="692" t="n"/>
      <c r="S776" s="692" t="n"/>
      <c r="T776" s="692" t="n"/>
      <c r="U776" s="692" t="n"/>
      <c r="V776" s="692" t="n"/>
      <c r="W776" s="692" t="n"/>
      <c r="X776" s="692" t="n"/>
      <c r="Y776" s="692" t="n"/>
      <c r="Z776" s="692" t="n"/>
      <c r="AA776" s="692" t="n"/>
      <c r="AB776" s="692" t="n"/>
      <c r="AC776" s="692" t="n"/>
      <c r="AD776" s="692" t="n"/>
      <c r="AE776" s="692" t="n"/>
      <c r="AF776" s="692" t="n"/>
      <c r="AG776" s="692" t="n"/>
      <c r="AH776" s="692" t="n"/>
      <c r="AI776" s="692" t="n"/>
      <c r="AJ776" s="692" t="n"/>
      <c r="AK776" s="692" t="n"/>
      <c r="AL776" s="692" t="n"/>
      <c r="AM776" s="692" t="n"/>
      <c r="AN776" s="692" t="n"/>
      <c r="AO776" s="692" t="n"/>
      <c r="AP776" s="692" t="n"/>
      <c r="AQ776" s="692" t="n"/>
      <c r="AR776" s="692" t="n"/>
      <c r="AS776" s="692" t="n"/>
    </row>
    <row r="777">
      <c r="A777" s="692" t="n"/>
      <c r="B777" s="692" t="n"/>
      <c r="C777" s="692" t="n"/>
      <c r="D777" s="692" t="n"/>
      <c r="E777" s="692" t="n"/>
      <c r="F777" s="692" t="n"/>
      <c r="G777" s="692" t="n"/>
      <c r="H777" s="692" t="n"/>
      <c r="I777" s="692" t="n"/>
      <c r="J777" s="692" t="n"/>
      <c r="K777" s="692" t="n"/>
      <c r="L777" s="692" t="n"/>
      <c r="M777" s="692" t="n"/>
      <c r="N777" s="692" t="n"/>
      <c r="O777" s="692" t="n"/>
      <c r="P777" s="692" t="n"/>
      <c r="Q777" s="692" t="n"/>
      <c r="R777" s="692" t="n"/>
      <c r="S777" s="692" t="n"/>
      <c r="T777" s="692" t="n"/>
      <c r="U777" s="692" t="n"/>
      <c r="V777" s="692" t="n"/>
      <c r="W777" s="692" t="n"/>
      <c r="X777" s="692" t="n"/>
      <c r="Y777" s="692" t="n"/>
      <c r="Z777" s="692" t="n"/>
      <c r="AA777" s="692" t="n"/>
      <c r="AB777" s="692" t="n"/>
      <c r="AC777" s="692" t="n"/>
      <c r="AD777" s="692" t="n"/>
      <c r="AE777" s="692" t="n"/>
      <c r="AF777" s="692" t="n"/>
      <c r="AG777" s="692" t="n"/>
      <c r="AH777" s="692" t="n"/>
      <c r="AI777" s="692" t="n"/>
      <c r="AJ777" s="692" t="n"/>
      <c r="AK777" s="692" t="n"/>
      <c r="AL777" s="692" t="n"/>
      <c r="AM777" s="692" t="n"/>
      <c r="AN777" s="692" t="n"/>
      <c r="AO777" s="692" t="n"/>
      <c r="AP777" s="692" t="n"/>
      <c r="AQ777" s="692" t="n"/>
      <c r="AR777" s="692" t="n"/>
      <c r="AS777" s="692" t="n"/>
    </row>
    <row r="778">
      <c r="A778" s="692" t="n"/>
      <c r="B778" s="692" t="n"/>
      <c r="C778" s="692" t="n"/>
      <c r="D778" s="692" t="n"/>
      <c r="E778" s="692" t="n"/>
      <c r="F778" s="692" t="n"/>
      <c r="G778" s="692" t="n"/>
      <c r="H778" s="692" t="n"/>
      <c r="I778" s="692" t="n"/>
      <c r="J778" s="692" t="n"/>
      <c r="K778" s="692" t="n"/>
      <c r="L778" s="692" t="n"/>
      <c r="M778" s="692" t="n"/>
      <c r="N778" s="692" t="n"/>
      <c r="O778" s="692" t="n"/>
      <c r="P778" s="692" t="n"/>
      <c r="Q778" s="692" t="n"/>
      <c r="R778" s="692" t="n"/>
      <c r="S778" s="692" t="n"/>
      <c r="T778" s="692" t="n"/>
      <c r="U778" s="692" t="n"/>
      <c r="V778" s="692" t="n"/>
      <c r="W778" s="692" t="n"/>
      <c r="X778" s="692" t="n"/>
      <c r="Y778" s="692" t="n"/>
      <c r="Z778" s="692" t="n"/>
      <c r="AA778" s="692" t="n"/>
      <c r="AB778" s="692" t="n"/>
      <c r="AC778" s="692" t="n"/>
      <c r="AD778" s="692" t="n"/>
      <c r="AE778" s="692" t="n"/>
      <c r="AF778" s="692" t="n"/>
      <c r="AG778" s="692" t="n"/>
      <c r="AH778" s="692" t="n"/>
      <c r="AI778" s="692" t="n"/>
      <c r="AJ778" s="692" t="n"/>
      <c r="AK778" s="692" t="n"/>
      <c r="AL778" s="692" t="n"/>
      <c r="AM778" s="692" t="n"/>
      <c r="AN778" s="692" t="n"/>
      <c r="AO778" s="692" t="n"/>
      <c r="AP778" s="692" t="n"/>
      <c r="AQ778" s="692" t="n"/>
      <c r="AR778" s="692" t="n"/>
      <c r="AS778" s="692" t="n"/>
    </row>
    <row r="779">
      <c r="A779" s="692" t="n"/>
      <c r="B779" s="692" t="n"/>
      <c r="C779" s="692" t="n"/>
      <c r="D779" s="692" t="n"/>
      <c r="E779" s="692" t="n"/>
      <c r="F779" s="692" t="n"/>
      <c r="G779" s="692" t="n"/>
      <c r="H779" s="692" t="n"/>
      <c r="I779" s="692" t="n"/>
      <c r="J779" s="692" t="n"/>
      <c r="K779" s="692" t="n"/>
      <c r="L779" s="692" t="n"/>
      <c r="M779" s="692" t="n"/>
      <c r="N779" s="692" t="n"/>
      <c r="O779" s="692" t="n"/>
      <c r="P779" s="692" t="n"/>
      <c r="Q779" s="692" t="n"/>
      <c r="R779" s="692" t="n"/>
      <c r="S779" s="692" t="n"/>
      <c r="T779" s="692" t="n"/>
      <c r="U779" s="692" t="n"/>
      <c r="V779" s="692" t="n"/>
      <c r="W779" s="692" t="n"/>
      <c r="X779" s="692" t="n"/>
      <c r="Y779" s="692" t="n"/>
      <c r="Z779" s="692" t="n"/>
      <c r="AA779" s="692" t="n"/>
      <c r="AB779" s="692" t="n"/>
      <c r="AC779" s="692" t="n"/>
      <c r="AD779" s="692" t="n"/>
      <c r="AE779" s="692" t="n"/>
      <c r="AF779" s="692" t="n"/>
      <c r="AG779" s="692" t="n"/>
      <c r="AH779" s="692" t="n"/>
      <c r="AI779" s="692" t="n"/>
      <c r="AJ779" s="692" t="n"/>
      <c r="AK779" s="692" t="n"/>
      <c r="AL779" s="692" t="n"/>
      <c r="AM779" s="692" t="n"/>
      <c r="AN779" s="692" t="n"/>
      <c r="AO779" s="692" t="n"/>
      <c r="AP779" s="692" t="n"/>
      <c r="AQ779" s="692" t="n"/>
      <c r="AR779" s="692" t="n"/>
      <c r="AS779" s="692" t="n"/>
    </row>
    <row r="780">
      <c r="A780" s="692" t="n"/>
      <c r="B780" s="692" t="n"/>
      <c r="C780" s="692" t="n"/>
      <c r="D780" s="692" t="n"/>
      <c r="E780" s="692" t="n"/>
      <c r="F780" s="692" t="n"/>
      <c r="G780" s="692" t="n"/>
      <c r="H780" s="692" t="n"/>
      <c r="I780" s="692" t="n"/>
      <c r="J780" s="692" t="n"/>
      <c r="K780" s="692" t="n"/>
      <c r="L780" s="692" t="n"/>
      <c r="M780" s="692" t="n"/>
      <c r="N780" s="692" t="n"/>
      <c r="O780" s="692" t="n"/>
      <c r="P780" s="692" t="n"/>
      <c r="Q780" s="692" t="n"/>
      <c r="R780" s="692" t="n"/>
      <c r="S780" s="692" t="n"/>
      <c r="T780" s="692" t="n"/>
      <c r="U780" s="692" t="n"/>
      <c r="V780" s="692" t="n"/>
      <c r="W780" s="692" t="n"/>
      <c r="X780" s="692" t="n"/>
      <c r="Y780" s="692" t="n"/>
      <c r="Z780" s="692" t="n"/>
      <c r="AA780" s="692" t="n"/>
      <c r="AB780" s="692" t="n"/>
      <c r="AC780" s="692" t="n"/>
      <c r="AD780" s="692" t="n"/>
      <c r="AE780" s="692" t="n"/>
      <c r="AF780" s="692" t="n"/>
      <c r="AG780" s="692" t="n"/>
      <c r="AH780" s="692" t="n"/>
      <c r="AI780" s="692" t="n"/>
      <c r="AJ780" s="692" t="n"/>
      <c r="AK780" s="692" t="n"/>
      <c r="AL780" s="692" t="n"/>
      <c r="AM780" s="692" t="n"/>
      <c r="AN780" s="692" t="n"/>
      <c r="AO780" s="692" t="n"/>
      <c r="AP780" s="692" t="n"/>
      <c r="AQ780" s="692" t="n"/>
      <c r="AR780" s="692" t="n"/>
      <c r="AS780" s="692" t="n"/>
    </row>
    <row r="781">
      <c r="A781" s="692" t="n"/>
      <c r="B781" s="692" t="n"/>
      <c r="C781" s="692" t="n"/>
      <c r="D781" s="692" t="n"/>
      <c r="E781" s="692" t="n"/>
      <c r="F781" s="692" t="n"/>
      <c r="G781" s="692" t="n"/>
      <c r="H781" s="692" t="n"/>
      <c r="I781" s="692" t="n"/>
      <c r="J781" s="692" t="n"/>
      <c r="K781" s="692" t="n"/>
      <c r="L781" s="692" t="n"/>
      <c r="M781" s="692" t="n"/>
      <c r="N781" s="692" t="n"/>
      <c r="O781" s="692" t="n"/>
      <c r="P781" s="692" t="n"/>
      <c r="Q781" s="692" t="n"/>
      <c r="R781" s="692" t="n"/>
      <c r="S781" s="692" t="n"/>
      <c r="T781" s="692" t="n"/>
      <c r="U781" s="692" t="n"/>
      <c r="V781" s="692" t="n"/>
      <c r="W781" s="692" t="n"/>
      <c r="X781" s="692" t="n"/>
      <c r="Y781" s="692" t="n"/>
      <c r="Z781" s="692" t="n"/>
      <c r="AA781" s="692" t="n"/>
      <c r="AB781" s="692" t="n"/>
      <c r="AC781" s="692" t="n"/>
      <c r="AD781" s="692" t="n"/>
      <c r="AE781" s="692" t="n"/>
      <c r="AF781" s="692" t="n"/>
      <c r="AG781" s="692" t="n"/>
      <c r="AH781" s="692" t="n"/>
      <c r="AI781" s="692" t="n"/>
      <c r="AJ781" s="692" t="n"/>
      <c r="AK781" s="692" t="n"/>
      <c r="AL781" s="692" t="n"/>
      <c r="AM781" s="692" t="n"/>
      <c r="AN781" s="692" t="n"/>
      <c r="AO781" s="692" t="n"/>
      <c r="AP781" s="692" t="n"/>
      <c r="AQ781" s="692" t="n"/>
      <c r="AR781" s="692" t="n"/>
      <c r="AS781" s="692" t="n"/>
    </row>
    <row r="782">
      <c r="A782" s="692" t="n"/>
      <c r="B782" s="692" t="n"/>
      <c r="C782" s="692" t="n"/>
      <c r="D782" s="692" t="n"/>
      <c r="E782" s="692" t="n"/>
      <c r="F782" s="692" t="n"/>
      <c r="G782" s="692" t="n"/>
      <c r="H782" s="692" t="n"/>
      <c r="I782" s="692" t="n"/>
      <c r="J782" s="692" t="n"/>
      <c r="K782" s="692" t="n"/>
      <c r="L782" s="692" t="n"/>
      <c r="M782" s="692" t="n"/>
      <c r="N782" s="692" t="n"/>
      <c r="O782" s="692" t="n"/>
      <c r="P782" s="692" t="n"/>
      <c r="Q782" s="692" t="n"/>
      <c r="R782" s="692" t="n"/>
      <c r="S782" s="692" t="n"/>
      <c r="T782" s="692" t="n"/>
      <c r="U782" s="692" t="n"/>
      <c r="V782" s="692" t="n"/>
      <c r="W782" s="692" t="n"/>
      <c r="X782" s="692" t="n"/>
      <c r="Y782" s="692" t="n"/>
      <c r="Z782" s="692" t="n"/>
      <c r="AA782" s="692" t="n"/>
      <c r="AB782" s="692" t="n"/>
      <c r="AC782" s="692" t="n"/>
      <c r="AD782" s="692" t="n"/>
      <c r="AE782" s="692" t="n"/>
      <c r="AF782" s="692" t="n"/>
      <c r="AG782" s="692" t="n"/>
      <c r="AH782" s="692" t="n"/>
      <c r="AI782" s="692" t="n"/>
      <c r="AJ782" s="692" t="n"/>
      <c r="AK782" s="692" t="n"/>
      <c r="AL782" s="692" t="n"/>
      <c r="AM782" s="692" t="n"/>
      <c r="AN782" s="692" t="n"/>
      <c r="AO782" s="692" t="n"/>
      <c r="AP782" s="692" t="n"/>
      <c r="AQ782" s="692" t="n"/>
      <c r="AR782" s="692" t="n"/>
      <c r="AS782" s="692" t="n"/>
    </row>
    <row r="783">
      <c r="A783" s="692" t="n"/>
      <c r="B783" s="692" t="n"/>
      <c r="C783" s="692" t="n"/>
      <c r="D783" s="692" t="n"/>
      <c r="E783" s="692" t="n"/>
      <c r="F783" s="692" t="n"/>
      <c r="G783" s="692" t="n"/>
      <c r="H783" s="692" t="n"/>
      <c r="I783" s="692" t="n"/>
      <c r="J783" s="692" t="n"/>
      <c r="K783" s="692" t="n"/>
      <c r="L783" s="692" t="n"/>
      <c r="M783" s="692" t="n"/>
      <c r="N783" s="692" t="n"/>
      <c r="O783" s="692" t="n"/>
      <c r="P783" s="692" t="n"/>
      <c r="Q783" s="692" t="n"/>
      <c r="R783" s="692" t="n"/>
      <c r="S783" s="692" t="n"/>
      <c r="T783" s="692" t="n"/>
      <c r="U783" s="692" t="n"/>
      <c r="V783" s="692" t="n"/>
      <c r="W783" s="692" t="n"/>
      <c r="X783" s="692" t="n"/>
      <c r="Y783" s="692" t="n"/>
      <c r="Z783" s="692" t="n"/>
      <c r="AA783" s="692" t="n"/>
      <c r="AB783" s="692" t="n"/>
      <c r="AC783" s="692" t="n"/>
      <c r="AD783" s="692" t="n"/>
      <c r="AE783" s="692" t="n"/>
      <c r="AF783" s="692" t="n"/>
      <c r="AG783" s="692" t="n"/>
      <c r="AH783" s="692" t="n"/>
      <c r="AI783" s="692" t="n"/>
      <c r="AJ783" s="692" t="n"/>
      <c r="AK783" s="692" t="n"/>
      <c r="AL783" s="692" t="n"/>
      <c r="AM783" s="692" t="n"/>
      <c r="AN783" s="692" t="n"/>
      <c r="AO783" s="692" t="n"/>
      <c r="AP783" s="692" t="n"/>
      <c r="AQ783" s="692" t="n"/>
      <c r="AR783" s="692" t="n"/>
      <c r="AS783" s="692" t="n"/>
    </row>
    <row r="784">
      <c r="A784" s="692" t="n"/>
      <c r="B784" s="692" t="n"/>
      <c r="C784" s="692" t="n"/>
      <c r="D784" s="692" t="n"/>
      <c r="E784" s="692" t="n"/>
      <c r="F784" s="692" t="n"/>
      <c r="G784" s="692" t="n"/>
      <c r="H784" s="692" t="n"/>
      <c r="I784" s="692" t="n"/>
      <c r="J784" s="692" t="n"/>
      <c r="K784" s="692" t="n"/>
      <c r="L784" s="692" t="n"/>
      <c r="M784" s="692" t="n"/>
      <c r="N784" s="692" t="n"/>
      <c r="O784" s="692" t="n"/>
      <c r="P784" s="692" t="n"/>
      <c r="Q784" s="692" t="n"/>
      <c r="R784" s="692" t="n"/>
      <c r="S784" s="692" t="n"/>
      <c r="T784" s="692" t="n"/>
      <c r="U784" s="692" t="n"/>
      <c r="V784" s="692" t="n"/>
      <c r="W784" s="692" t="n"/>
      <c r="X784" s="692" t="n"/>
      <c r="Y784" s="692" t="n"/>
      <c r="Z784" s="692" t="n"/>
      <c r="AA784" s="692" t="n"/>
      <c r="AB784" s="692" t="n"/>
      <c r="AC784" s="692" t="n"/>
      <c r="AD784" s="692" t="n"/>
      <c r="AE784" s="692" t="n"/>
      <c r="AF784" s="692" t="n"/>
      <c r="AG784" s="692" t="n"/>
      <c r="AH784" s="692" t="n"/>
      <c r="AI784" s="692" t="n"/>
      <c r="AJ784" s="692" t="n"/>
      <c r="AK784" s="692" t="n"/>
      <c r="AL784" s="692" t="n"/>
      <c r="AM784" s="692" t="n"/>
      <c r="AN784" s="692" t="n"/>
      <c r="AO784" s="692" t="n"/>
      <c r="AP784" s="692" t="n"/>
      <c r="AQ784" s="692" t="n"/>
      <c r="AR784" s="692" t="n"/>
      <c r="AS784" s="692" t="n"/>
    </row>
    <row r="785">
      <c r="A785" s="692" t="n"/>
      <c r="B785" s="692" t="n"/>
      <c r="C785" s="692" t="n"/>
      <c r="D785" s="692" t="n"/>
      <c r="E785" s="692" t="n"/>
      <c r="F785" s="692" t="n"/>
      <c r="G785" s="692" t="n"/>
      <c r="H785" s="692" t="n"/>
      <c r="I785" s="692" t="n"/>
      <c r="J785" s="692" t="n"/>
      <c r="K785" s="692" t="n"/>
      <c r="L785" s="692" t="n"/>
      <c r="M785" s="692" t="n"/>
      <c r="N785" s="692" t="n"/>
      <c r="O785" s="692" t="n"/>
      <c r="P785" s="692" t="n"/>
      <c r="Q785" s="692" t="n"/>
      <c r="R785" s="692" t="n"/>
      <c r="S785" s="692" t="n"/>
      <c r="T785" s="692" t="n"/>
      <c r="U785" s="692" t="n"/>
      <c r="V785" s="692" t="n"/>
      <c r="W785" s="692" t="n"/>
      <c r="X785" s="692" t="n"/>
      <c r="Y785" s="692" t="n"/>
      <c r="Z785" s="692" t="n"/>
      <c r="AA785" s="692" t="n"/>
      <c r="AB785" s="692" t="n"/>
      <c r="AC785" s="692" t="n"/>
      <c r="AD785" s="692" t="n"/>
      <c r="AE785" s="692" t="n"/>
      <c r="AF785" s="692" t="n"/>
      <c r="AG785" s="692" t="n"/>
      <c r="AH785" s="692" t="n"/>
      <c r="AI785" s="692" t="n"/>
      <c r="AJ785" s="692" t="n"/>
      <c r="AK785" s="692" t="n"/>
      <c r="AL785" s="692" t="n"/>
      <c r="AM785" s="692" t="n"/>
      <c r="AN785" s="692" t="n"/>
      <c r="AO785" s="692" t="n"/>
      <c r="AP785" s="692" t="n"/>
      <c r="AQ785" s="692" t="n"/>
      <c r="AR785" s="692" t="n"/>
      <c r="AS785" s="692" t="n"/>
    </row>
    <row r="786">
      <c r="A786" s="692" t="n"/>
      <c r="B786" s="692" t="n"/>
      <c r="C786" s="692" t="n"/>
      <c r="D786" s="692" t="n"/>
      <c r="E786" s="692" t="n"/>
      <c r="F786" s="692" t="n"/>
      <c r="G786" s="692" t="n"/>
      <c r="H786" s="692" t="n"/>
      <c r="I786" s="692" t="n"/>
      <c r="J786" s="692" t="n"/>
      <c r="K786" s="692" t="n"/>
      <c r="L786" s="692" t="n"/>
      <c r="M786" s="692" t="n"/>
      <c r="N786" s="692" t="n"/>
      <c r="O786" s="692" t="n"/>
      <c r="P786" s="692" t="n"/>
      <c r="Q786" s="692" t="n"/>
      <c r="R786" s="692" t="n"/>
      <c r="S786" s="692" t="n"/>
      <c r="T786" s="692" t="n"/>
      <c r="U786" s="692" t="n"/>
      <c r="V786" s="692" t="n"/>
      <c r="W786" s="692" t="n"/>
      <c r="X786" s="692" t="n"/>
      <c r="Y786" s="692" t="n"/>
      <c r="Z786" s="692" t="n"/>
      <c r="AA786" s="692" t="n"/>
      <c r="AB786" s="692" t="n"/>
      <c r="AC786" s="692" t="n"/>
      <c r="AD786" s="692" t="n"/>
      <c r="AE786" s="692" t="n"/>
      <c r="AF786" s="692" t="n"/>
      <c r="AG786" s="692" t="n"/>
      <c r="AH786" s="692" t="n"/>
      <c r="AI786" s="692" t="n"/>
      <c r="AJ786" s="692" t="n"/>
      <c r="AK786" s="692" t="n"/>
      <c r="AL786" s="692" t="n"/>
      <c r="AM786" s="692" t="n"/>
      <c r="AN786" s="692" t="n"/>
      <c r="AO786" s="692" t="n"/>
      <c r="AP786" s="692" t="n"/>
      <c r="AQ786" s="692" t="n"/>
      <c r="AR786" s="692" t="n"/>
      <c r="AS786" s="692" t="n"/>
    </row>
    <row r="787">
      <c r="A787" s="692" t="n"/>
      <c r="B787" s="692" t="n"/>
      <c r="C787" s="692" t="n"/>
      <c r="D787" s="692" t="n"/>
      <c r="E787" s="692" t="n"/>
      <c r="F787" s="692" t="n"/>
      <c r="G787" s="692" t="n"/>
      <c r="H787" s="692" t="n"/>
      <c r="I787" s="692" t="n"/>
      <c r="J787" s="692" t="n"/>
      <c r="K787" s="692" t="n"/>
      <c r="L787" s="692" t="n"/>
      <c r="M787" s="692" t="n"/>
      <c r="N787" s="692" t="n"/>
      <c r="O787" s="692" t="n"/>
      <c r="P787" s="692" t="n"/>
      <c r="Q787" s="692" t="n"/>
      <c r="R787" s="692" t="n"/>
      <c r="S787" s="692" t="n"/>
      <c r="T787" s="692" t="n"/>
      <c r="U787" s="692" t="n"/>
      <c r="V787" s="692" t="n"/>
      <c r="W787" s="692" t="n"/>
      <c r="X787" s="692" t="n"/>
      <c r="Y787" s="692" t="n"/>
      <c r="Z787" s="692" t="n"/>
      <c r="AA787" s="692" t="n"/>
      <c r="AB787" s="692" t="n"/>
      <c r="AC787" s="692" t="n"/>
      <c r="AD787" s="692" t="n"/>
      <c r="AE787" s="692" t="n"/>
      <c r="AF787" s="692" t="n"/>
      <c r="AG787" s="692" t="n"/>
      <c r="AH787" s="692" t="n"/>
      <c r="AI787" s="692" t="n"/>
      <c r="AJ787" s="692" t="n"/>
      <c r="AK787" s="692" t="n"/>
      <c r="AL787" s="692" t="n"/>
      <c r="AM787" s="692" t="n"/>
      <c r="AN787" s="692" t="n"/>
      <c r="AO787" s="692" t="n"/>
      <c r="AP787" s="692" t="n"/>
      <c r="AQ787" s="692" t="n"/>
      <c r="AR787" s="692" t="n"/>
      <c r="AS787" s="692" t="n"/>
    </row>
    <row r="788">
      <c r="A788" s="692" t="n"/>
      <c r="B788" s="692" t="n"/>
      <c r="C788" s="692" t="n"/>
      <c r="D788" s="692" t="n"/>
      <c r="E788" s="692" t="n"/>
      <c r="F788" s="692" t="n"/>
      <c r="G788" s="692" t="n"/>
      <c r="H788" s="692" t="n"/>
      <c r="I788" s="692" t="n"/>
      <c r="J788" s="692" t="n"/>
      <c r="K788" s="692" t="n"/>
      <c r="L788" s="692" t="n"/>
      <c r="M788" s="692" t="n"/>
      <c r="N788" s="692" t="n"/>
      <c r="O788" s="692" t="n"/>
      <c r="P788" s="692" t="n"/>
      <c r="Q788" s="692" t="n"/>
      <c r="R788" s="692" t="n"/>
      <c r="S788" s="692" t="n"/>
      <c r="T788" s="692" t="n"/>
      <c r="U788" s="692" t="n"/>
      <c r="V788" s="692" t="n"/>
      <c r="W788" s="692" t="n"/>
      <c r="X788" s="692" t="n"/>
      <c r="Y788" s="692" t="n"/>
      <c r="Z788" s="692" t="n"/>
      <c r="AA788" s="692" t="n"/>
      <c r="AB788" s="692" t="n"/>
      <c r="AC788" s="692" t="n"/>
      <c r="AD788" s="692" t="n"/>
      <c r="AE788" s="692" t="n"/>
      <c r="AF788" s="692" t="n"/>
      <c r="AG788" s="692" t="n"/>
      <c r="AH788" s="692" t="n"/>
      <c r="AI788" s="692" t="n"/>
      <c r="AJ788" s="692" t="n"/>
      <c r="AK788" s="692" t="n"/>
      <c r="AL788" s="692" t="n"/>
      <c r="AM788" s="692" t="n"/>
      <c r="AN788" s="692" t="n"/>
      <c r="AO788" s="692" t="n"/>
      <c r="AP788" s="692" t="n"/>
      <c r="AQ788" s="692" t="n"/>
      <c r="AR788" s="692" t="n"/>
      <c r="AS788" s="692" t="n"/>
    </row>
    <row r="789">
      <c r="A789" s="692" t="n"/>
      <c r="B789" s="692" t="n"/>
      <c r="C789" s="692" t="n"/>
      <c r="D789" s="692" t="n"/>
      <c r="E789" s="692" t="n"/>
      <c r="F789" s="692" t="n"/>
      <c r="G789" s="692" t="n"/>
      <c r="H789" s="692" t="n"/>
      <c r="I789" s="692" t="n"/>
      <c r="J789" s="692" t="n"/>
      <c r="K789" s="692" t="n"/>
      <c r="L789" s="692" t="n"/>
      <c r="M789" s="692" t="n"/>
      <c r="N789" s="692" t="n"/>
      <c r="O789" s="692" t="n"/>
      <c r="P789" s="692" t="n"/>
      <c r="Q789" s="692" t="n"/>
      <c r="R789" s="692" t="n"/>
      <c r="S789" s="692" t="n"/>
      <c r="T789" s="692" t="n"/>
      <c r="U789" s="692" t="n"/>
      <c r="V789" s="692" t="n"/>
      <c r="W789" s="692" t="n"/>
      <c r="X789" s="692" t="n"/>
      <c r="Y789" s="692" t="n"/>
      <c r="Z789" s="692" t="n"/>
      <c r="AA789" s="692" t="n"/>
      <c r="AB789" s="692" t="n"/>
      <c r="AC789" s="692" t="n"/>
      <c r="AD789" s="692" t="n"/>
      <c r="AE789" s="692" t="n"/>
      <c r="AF789" s="692" t="n"/>
      <c r="AG789" s="692" t="n"/>
      <c r="AH789" s="692" t="n"/>
      <c r="AI789" s="692" t="n"/>
      <c r="AJ789" s="692" t="n"/>
      <c r="AK789" s="692" t="n"/>
      <c r="AL789" s="692" t="n"/>
      <c r="AM789" s="692" t="n"/>
      <c r="AN789" s="692" t="n"/>
      <c r="AO789" s="692" t="n"/>
      <c r="AP789" s="692" t="n"/>
      <c r="AQ789" s="692" t="n"/>
      <c r="AR789" s="692" t="n"/>
      <c r="AS789" s="692" t="n"/>
    </row>
    <row r="790">
      <c r="A790" s="692" t="n"/>
      <c r="B790" s="692" t="n"/>
      <c r="C790" s="692" t="n"/>
      <c r="D790" s="692" t="n"/>
      <c r="E790" s="692" t="n"/>
      <c r="F790" s="692" t="n"/>
      <c r="G790" s="692" t="n"/>
      <c r="H790" s="692" t="n"/>
      <c r="I790" s="692" t="n"/>
      <c r="J790" s="692" t="n"/>
      <c r="K790" s="692" t="n"/>
      <c r="L790" s="692" t="n"/>
      <c r="M790" s="692" t="n"/>
      <c r="N790" s="692" t="n"/>
      <c r="O790" s="692" t="n"/>
      <c r="P790" s="692" t="n"/>
      <c r="Q790" s="692" t="n"/>
      <c r="R790" s="692" t="n"/>
      <c r="S790" s="692" t="n"/>
      <c r="T790" s="692" t="n"/>
      <c r="U790" s="692" t="n"/>
      <c r="V790" s="692" t="n"/>
      <c r="W790" s="692" t="n"/>
      <c r="X790" s="692" t="n"/>
      <c r="Y790" s="692" t="n"/>
      <c r="Z790" s="692" t="n"/>
      <c r="AA790" s="692" t="n"/>
      <c r="AB790" s="692" t="n"/>
      <c r="AC790" s="692" t="n"/>
      <c r="AD790" s="692" t="n"/>
      <c r="AE790" s="692" t="n"/>
      <c r="AF790" s="692" t="n"/>
      <c r="AG790" s="692" t="n"/>
      <c r="AH790" s="692" t="n"/>
      <c r="AI790" s="692" t="n"/>
      <c r="AJ790" s="692" t="n"/>
      <c r="AK790" s="692" t="n"/>
      <c r="AL790" s="692" t="n"/>
      <c r="AM790" s="692" t="n"/>
      <c r="AN790" s="692" t="n"/>
      <c r="AO790" s="692" t="n"/>
      <c r="AP790" s="692" t="n"/>
      <c r="AQ790" s="692" t="n"/>
      <c r="AR790" s="692" t="n"/>
      <c r="AS790" s="692" t="n"/>
    </row>
    <row r="791">
      <c r="A791" s="692" t="n"/>
      <c r="B791" s="692" t="n"/>
      <c r="C791" s="692" t="n"/>
      <c r="D791" s="692" t="n"/>
      <c r="E791" s="692" t="n"/>
      <c r="F791" s="692" t="n"/>
      <c r="G791" s="692" t="n"/>
      <c r="H791" s="692" t="n"/>
      <c r="I791" s="692" t="n"/>
      <c r="J791" s="692" t="n"/>
      <c r="K791" s="692" t="n"/>
      <c r="L791" s="692" t="n"/>
      <c r="M791" s="692" t="n"/>
      <c r="N791" s="692" t="n"/>
      <c r="O791" s="692" t="n"/>
      <c r="P791" s="692" t="n"/>
      <c r="Q791" s="692" t="n"/>
      <c r="R791" s="692" t="n"/>
      <c r="S791" s="692" t="n"/>
      <c r="T791" s="692" t="n"/>
      <c r="U791" s="692" t="n"/>
      <c r="V791" s="692" t="n"/>
      <c r="W791" s="692" t="n"/>
      <c r="X791" s="692" t="n"/>
      <c r="Y791" s="692" t="n"/>
      <c r="Z791" s="692" t="n"/>
      <c r="AA791" s="692" t="n"/>
      <c r="AB791" s="692" t="n"/>
      <c r="AC791" s="692" t="n"/>
      <c r="AD791" s="692" t="n"/>
      <c r="AE791" s="692" t="n"/>
      <c r="AF791" s="692" t="n"/>
      <c r="AG791" s="692" t="n"/>
      <c r="AH791" s="692" t="n"/>
      <c r="AI791" s="692" t="n"/>
      <c r="AJ791" s="692" t="n"/>
      <c r="AK791" s="692" t="n"/>
      <c r="AL791" s="692" t="n"/>
      <c r="AM791" s="692" t="n"/>
      <c r="AN791" s="692" t="n"/>
      <c r="AO791" s="692" t="n"/>
      <c r="AP791" s="692" t="n"/>
      <c r="AQ791" s="692" t="n"/>
      <c r="AR791" s="692" t="n"/>
      <c r="AS791" s="692" t="n"/>
    </row>
    <row r="792">
      <c r="A792" s="692" t="n"/>
      <c r="B792" s="692" t="n"/>
      <c r="C792" s="692" t="n"/>
      <c r="D792" s="692" t="n"/>
      <c r="E792" s="692" t="n"/>
      <c r="F792" s="692" t="n"/>
      <c r="G792" s="692" t="n"/>
      <c r="H792" s="692" t="n"/>
      <c r="I792" s="692" t="n"/>
      <c r="J792" s="692" t="n"/>
      <c r="K792" s="692" t="n"/>
      <c r="L792" s="692" t="n"/>
      <c r="M792" s="692" t="n"/>
      <c r="N792" s="692" t="n"/>
      <c r="O792" s="692" t="n"/>
      <c r="P792" s="692" t="n"/>
      <c r="Q792" s="692" t="n"/>
      <c r="R792" s="692" t="n"/>
      <c r="S792" s="692" t="n"/>
      <c r="T792" s="692" t="n"/>
      <c r="U792" s="692" t="n"/>
      <c r="V792" s="692" t="n"/>
      <c r="W792" s="692" t="n"/>
      <c r="X792" s="692" t="n"/>
      <c r="Y792" s="692" t="n"/>
      <c r="Z792" s="692" t="n"/>
      <c r="AA792" s="692" t="n"/>
      <c r="AB792" s="692" t="n"/>
      <c r="AC792" s="692" t="n"/>
      <c r="AD792" s="692" t="n"/>
      <c r="AE792" s="692" t="n"/>
      <c r="AF792" s="692" t="n"/>
      <c r="AG792" s="692" t="n"/>
      <c r="AH792" s="692" t="n"/>
      <c r="AI792" s="692" t="n"/>
      <c r="AJ792" s="692" t="n"/>
      <c r="AK792" s="692" t="n"/>
      <c r="AL792" s="692" t="n"/>
      <c r="AM792" s="692" t="n"/>
      <c r="AN792" s="692" t="n"/>
      <c r="AO792" s="692" t="n"/>
      <c r="AP792" s="692" t="n"/>
      <c r="AQ792" s="692" t="n"/>
      <c r="AR792" s="692" t="n"/>
      <c r="AS792" s="692" t="n"/>
    </row>
    <row r="793">
      <c r="A793" s="692" t="n"/>
      <c r="B793" s="692" t="n"/>
      <c r="C793" s="692" t="n"/>
      <c r="D793" s="692" t="n"/>
      <c r="E793" s="692" t="n"/>
      <c r="F793" s="692" t="n"/>
      <c r="G793" s="692" t="n"/>
      <c r="H793" s="692" t="n"/>
      <c r="I793" s="692" t="n"/>
      <c r="J793" s="692" t="n"/>
      <c r="K793" s="692" t="n"/>
      <c r="L793" s="692" t="n"/>
      <c r="M793" s="692" t="n"/>
      <c r="N793" s="692" t="n"/>
      <c r="O793" s="692" t="n"/>
      <c r="P793" s="692" t="n"/>
      <c r="Q793" s="692" t="n"/>
      <c r="R793" s="692" t="n"/>
      <c r="S793" s="692" t="n"/>
      <c r="T793" s="692" t="n"/>
      <c r="U793" s="692" t="n"/>
      <c r="V793" s="692" t="n"/>
      <c r="W793" s="692" t="n"/>
      <c r="X793" s="692" t="n"/>
      <c r="Y793" s="692" t="n"/>
      <c r="Z793" s="692" t="n"/>
      <c r="AA793" s="692" t="n"/>
      <c r="AB793" s="692" t="n"/>
      <c r="AC793" s="692" t="n"/>
      <c r="AD793" s="692" t="n"/>
      <c r="AE793" s="692" t="n"/>
      <c r="AF793" s="692" t="n"/>
      <c r="AG793" s="692" t="n"/>
      <c r="AH793" s="692" t="n"/>
      <c r="AI793" s="692" t="n"/>
      <c r="AJ793" s="692" t="n"/>
      <c r="AK793" s="692" t="n"/>
      <c r="AL793" s="692" t="n"/>
      <c r="AM793" s="692" t="n"/>
      <c r="AN793" s="692" t="n"/>
      <c r="AO793" s="692" t="n"/>
      <c r="AP793" s="692" t="n"/>
      <c r="AQ793" s="692" t="n"/>
      <c r="AR793" s="692" t="n"/>
      <c r="AS793" s="692" t="n"/>
    </row>
    <row r="794">
      <c r="A794" s="692" t="n"/>
      <c r="B794" s="692" t="n"/>
      <c r="C794" s="692" t="n"/>
      <c r="D794" s="692" t="n"/>
      <c r="E794" s="692" t="n"/>
      <c r="F794" s="692" t="n"/>
      <c r="G794" s="692" t="n"/>
      <c r="H794" s="692" t="n"/>
      <c r="I794" s="692" t="n"/>
      <c r="J794" s="692" t="n"/>
      <c r="K794" s="692" t="n"/>
      <c r="L794" s="692" t="n"/>
      <c r="M794" s="692" t="n"/>
      <c r="N794" s="692" t="n"/>
      <c r="O794" s="692" t="n"/>
      <c r="P794" s="692" t="n"/>
      <c r="Q794" s="692" t="n"/>
      <c r="R794" s="692" t="n"/>
      <c r="S794" s="692" t="n"/>
      <c r="T794" s="692" t="n"/>
      <c r="U794" s="692" t="n"/>
      <c r="V794" s="692" t="n"/>
      <c r="W794" s="692" t="n"/>
      <c r="X794" s="692" t="n"/>
      <c r="Y794" s="692" t="n"/>
      <c r="Z794" s="692" t="n"/>
      <c r="AA794" s="692" t="n"/>
      <c r="AB794" s="692" t="n"/>
      <c r="AC794" s="692" t="n"/>
      <c r="AD794" s="692" t="n"/>
      <c r="AE794" s="692" t="n"/>
      <c r="AF794" s="692" t="n"/>
      <c r="AG794" s="692" t="n"/>
      <c r="AH794" s="692" t="n"/>
      <c r="AI794" s="692" t="n"/>
      <c r="AJ794" s="692" t="n"/>
      <c r="AK794" s="692" t="n"/>
      <c r="AL794" s="692" t="n"/>
      <c r="AM794" s="692" t="n"/>
      <c r="AN794" s="692" t="n"/>
      <c r="AO794" s="692" t="n"/>
      <c r="AP794" s="692" t="n"/>
      <c r="AQ794" s="692" t="n"/>
      <c r="AR794" s="692" t="n"/>
      <c r="AS794" s="692" t="n"/>
    </row>
    <row r="795">
      <c r="A795" s="692" t="n"/>
      <c r="B795" s="692" t="n"/>
      <c r="C795" s="692" t="n"/>
      <c r="D795" s="692" t="n"/>
      <c r="E795" s="692" t="n"/>
      <c r="F795" s="692" t="n"/>
      <c r="G795" s="692" t="n"/>
      <c r="H795" s="692" t="n"/>
      <c r="I795" s="692" t="n"/>
      <c r="J795" s="692" t="n"/>
      <c r="K795" s="692" t="n"/>
      <c r="L795" s="692" t="n"/>
      <c r="M795" s="692" t="n"/>
      <c r="N795" s="692" t="n"/>
      <c r="O795" s="692" t="n"/>
      <c r="P795" s="692" t="n"/>
      <c r="Q795" s="692" t="n"/>
      <c r="R795" s="692" t="n"/>
      <c r="S795" s="692" t="n"/>
      <c r="T795" s="692" t="n"/>
      <c r="U795" s="692" t="n"/>
      <c r="V795" s="692" t="n"/>
      <c r="W795" s="692" t="n"/>
      <c r="X795" s="692" t="n"/>
      <c r="Y795" s="692" t="n"/>
      <c r="Z795" s="692" t="n"/>
      <c r="AA795" s="692" t="n"/>
      <c r="AB795" s="692" t="n"/>
      <c r="AC795" s="692" t="n"/>
      <c r="AD795" s="692" t="n"/>
      <c r="AE795" s="692" t="n"/>
      <c r="AF795" s="692" t="n"/>
      <c r="AG795" s="692" t="n"/>
      <c r="AH795" s="692" t="n"/>
      <c r="AI795" s="692" t="n"/>
      <c r="AJ795" s="692" t="n"/>
      <c r="AK795" s="692" t="n"/>
      <c r="AL795" s="692" t="n"/>
      <c r="AM795" s="692" t="n"/>
      <c r="AN795" s="692" t="n"/>
      <c r="AO795" s="692" t="n"/>
      <c r="AP795" s="692" t="n"/>
      <c r="AQ795" s="692" t="n"/>
      <c r="AR795" s="692" t="n"/>
      <c r="AS795" s="692" t="n"/>
    </row>
    <row r="796">
      <c r="A796" s="692" t="n"/>
      <c r="B796" s="692" t="n"/>
      <c r="C796" s="692" t="n"/>
      <c r="D796" s="692" t="n"/>
      <c r="E796" s="692" t="n"/>
      <c r="F796" s="692" t="n"/>
      <c r="G796" s="692" t="n"/>
      <c r="H796" s="692" t="n"/>
      <c r="I796" s="692" t="n"/>
      <c r="J796" s="692" t="n"/>
      <c r="K796" s="692" t="n"/>
      <c r="L796" s="692" t="n"/>
      <c r="M796" s="692" t="n"/>
      <c r="N796" s="692" t="n"/>
      <c r="O796" s="692" t="n"/>
      <c r="P796" s="692" t="n"/>
      <c r="Q796" s="692" t="n"/>
      <c r="R796" s="692" t="n"/>
      <c r="S796" s="692" t="n"/>
      <c r="T796" s="692" t="n"/>
      <c r="U796" s="692" t="n"/>
      <c r="V796" s="692" t="n"/>
      <c r="W796" s="692" t="n"/>
      <c r="X796" s="692" t="n"/>
      <c r="Y796" s="692" t="n"/>
      <c r="Z796" s="692" t="n"/>
      <c r="AA796" s="692" t="n"/>
      <c r="AB796" s="692" t="n"/>
      <c r="AC796" s="692" t="n"/>
      <c r="AD796" s="692" t="n"/>
      <c r="AE796" s="692" t="n"/>
      <c r="AF796" s="692" t="n"/>
      <c r="AG796" s="692" t="n"/>
      <c r="AH796" s="692" t="n"/>
      <c r="AI796" s="692" t="n"/>
      <c r="AJ796" s="692" t="n"/>
      <c r="AK796" s="692" t="n"/>
      <c r="AL796" s="692" t="n"/>
      <c r="AM796" s="692" t="n"/>
      <c r="AN796" s="692" t="n"/>
      <c r="AO796" s="692" t="n"/>
      <c r="AP796" s="692" t="n"/>
      <c r="AQ796" s="692" t="n"/>
      <c r="AR796" s="692" t="n"/>
      <c r="AS796" s="692" t="n"/>
    </row>
    <row r="797">
      <c r="A797" s="692" t="n"/>
      <c r="B797" s="692" t="n"/>
      <c r="C797" s="692" t="n"/>
      <c r="D797" s="692" t="n"/>
      <c r="E797" s="692" t="n"/>
      <c r="F797" s="692" t="n"/>
      <c r="G797" s="692" t="n"/>
      <c r="H797" s="692" t="n"/>
      <c r="I797" s="692" t="n"/>
      <c r="J797" s="692" t="n"/>
      <c r="K797" s="692" t="n"/>
      <c r="L797" s="692" t="n"/>
      <c r="M797" s="692" t="n"/>
      <c r="N797" s="692" t="n"/>
      <c r="O797" s="692" t="n"/>
      <c r="P797" s="692" t="n"/>
      <c r="Q797" s="692" t="n"/>
      <c r="R797" s="692" t="n"/>
      <c r="S797" s="692" t="n"/>
      <c r="T797" s="692" t="n"/>
      <c r="U797" s="692" t="n"/>
      <c r="V797" s="692" t="n"/>
      <c r="W797" s="692" t="n"/>
      <c r="X797" s="692" t="n"/>
      <c r="Y797" s="692" t="n"/>
      <c r="Z797" s="692" t="n"/>
      <c r="AA797" s="692" t="n"/>
      <c r="AB797" s="692" t="n"/>
      <c r="AC797" s="692" t="n"/>
      <c r="AD797" s="692" t="n"/>
      <c r="AE797" s="692" t="n"/>
      <c r="AF797" s="692" t="n"/>
      <c r="AG797" s="692" t="n"/>
      <c r="AH797" s="692" t="n"/>
      <c r="AI797" s="692" t="n"/>
      <c r="AJ797" s="692" t="n"/>
      <c r="AK797" s="692" t="n"/>
      <c r="AL797" s="692" t="n"/>
      <c r="AM797" s="692" t="n"/>
      <c r="AN797" s="692" t="n"/>
      <c r="AO797" s="692" t="n"/>
      <c r="AP797" s="692" t="n"/>
      <c r="AQ797" s="692" t="n"/>
      <c r="AR797" s="692" t="n"/>
      <c r="AS797" s="692" t="n"/>
    </row>
    <row r="798">
      <c r="A798" s="692" t="n"/>
      <c r="B798" s="692" t="n"/>
      <c r="C798" s="692" t="n"/>
      <c r="D798" s="692" t="n"/>
      <c r="E798" s="692" t="n"/>
      <c r="F798" s="692" t="n"/>
      <c r="G798" s="692" t="n"/>
      <c r="H798" s="692" t="n"/>
      <c r="I798" s="692" t="n"/>
      <c r="J798" s="692" t="n"/>
      <c r="K798" s="692" t="n"/>
      <c r="L798" s="692" t="n"/>
      <c r="M798" s="692" t="n"/>
      <c r="N798" s="692" t="n"/>
      <c r="O798" s="692" t="n"/>
      <c r="P798" s="692" t="n"/>
      <c r="Q798" s="692" t="n"/>
      <c r="R798" s="692" t="n"/>
      <c r="S798" s="692" t="n"/>
      <c r="T798" s="692" t="n"/>
      <c r="U798" s="692" t="n"/>
      <c r="V798" s="692" t="n"/>
      <c r="W798" s="692" t="n"/>
      <c r="X798" s="692" t="n"/>
      <c r="Y798" s="692" t="n"/>
      <c r="Z798" s="692" t="n"/>
      <c r="AA798" s="692" t="n"/>
      <c r="AB798" s="692" t="n"/>
      <c r="AC798" s="692" t="n"/>
      <c r="AD798" s="692" t="n"/>
      <c r="AE798" s="692" t="n"/>
      <c r="AF798" s="692" t="n"/>
      <c r="AG798" s="692" t="n"/>
      <c r="AH798" s="692" t="n"/>
      <c r="AI798" s="692" t="n"/>
      <c r="AJ798" s="692" t="n"/>
      <c r="AK798" s="692" t="n"/>
      <c r="AL798" s="692" t="n"/>
      <c r="AM798" s="692" t="n"/>
      <c r="AN798" s="692" t="n"/>
      <c r="AO798" s="692" t="n"/>
      <c r="AP798" s="692" t="n"/>
      <c r="AQ798" s="692" t="n"/>
      <c r="AR798" s="692" t="n"/>
      <c r="AS798" s="692" t="n"/>
    </row>
    <row r="799">
      <c r="A799" s="692" t="n"/>
      <c r="B799" s="692" t="n"/>
      <c r="C799" s="692" t="n"/>
      <c r="D799" s="692" t="n"/>
      <c r="E799" s="692" t="n"/>
      <c r="F799" s="692" t="n"/>
      <c r="G799" s="692" t="n"/>
      <c r="H799" s="692" t="n"/>
      <c r="I799" s="692" t="n"/>
      <c r="J799" s="692" t="n"/>
      <c r="K799" s="692" t="n"/>
      <c r="L799" s="692" t="n"/>
      <c r="M799" s="692" t="n"/>
      <c r="N799" s="692" t="n"/>
      <c r="O799" s="692" t="n"/>
      <c r="P799" s="692" t="n"/>
      <c r="Q799" s="692" t="n"/>
      <c r="R799" s="692" t="n"/>
      <c r="S799" s="692" t="n"/>
      <c r="T799" s="692" t="n"/>
      <c r="U799" s="692" t="n"/>
      <c r="V799" s="692" t="n"/>
      <c r="W799" s="692" t="n"/>
      <c r="X799" s="692" t="n"/>
      <c r="Y799" s="692" t="n"/>
      <c r="Z799" s="692" t="n"/>
      <c r="AA799" s="692" t="n"/>
      <c r="AB799" s="692" t="n"/>
      <c r="AC799" s="692" t="n"/>
      <c r="AD799" s="692" t="n"/>
      <c r="AE799" s="692" t="n"/>
      <c r="AF799" s="692" t="n"/>
      <c r="AG799" s="692" t="n"/>
      <c r="AH799" s="692" t="n"/>
      <c r="AI799" s="692" t="n"/>
      <c r="AJ799" s="692" t="n"/>
      <c r="AK799" s="692" t="n"/>
      <c r="AL799" s="692" t="n"/>
      <c r="AM799" s="692" t="n"/>
      <c r="AN799" s="692" t="n"/>
      <c r="AO799" s="692" t="n"/>
      <c r="AP799" s="692" t="n"/>
      <c r="AQ799" s="692" t="n"/>
      <c r="AR799" s="692" t="n"/>
      <c r="AS799" s="692" t="n"/>
    </row>
    <row r="800">
      <c r="A800" s="692" t="n"/>
      <c r="B800" s="692" t="n"/>
      <c r="C800" s="692" t="n"/>
      <c r="D800" s="692" t="n"/>
      <c r="E800" s="692" t="n"/>
      <c r="F800" s="692" t="n"/>
      <c r="G800" s="692" t="n"/>
      <c r="H800" s="692" t="n"/>
      <c r="I800" s="692" t="n"/>
      <c r="J800" s="692" t="n"/>
      <c r="K800" s="692" t="n"/>
      <c r="L800" s="692" t="n"/>
      <c r="M800" s="692" t="n"/>
      <c r="N800" s="692" t="n"/>
      <c r="O800" s="692" t="n"/>
      <c r="P800" s="692" t="n"/>
      <c r="Q800" s="692" t="n"/>
      <c r="R800" s="692" t="n"/>
      <c r="S800" s="692" t="n"/>
      <c r="T800" s="692" t="n"/>
      <c r="U800" s="692" t="n"/>
      <c r="V800" s="692" t="n"/>
      <c r="W800" s="692" t="n"/>
      <c r="X800" s="692" t="n"/>
      <c r="Y800" s="692" t="n"/>
      <c r="Z800" s="692" t="n"/>
      <c r="AA800" s="692" t="n"/>
      <c r="AB800" s="692" t="n"/>
      <c r="AC800" s="692" t="n"/>
      <c r="AD800" s="692" t="n"/>
      <c r="AE800" s="692" t="n"/>
      <c r="AF800" s="692" t="n"/>
      <c r="AG800" s="692" t="n"/>
      <c r="AH800" s="692" t="n"/>
      <c r="AI800" s="692" t="n"/>
      <c r="AJ800" s="692" t="n"/>
      <c r="AK800" s="692" t="n"/>
      <c r="AL800" s="692" t="n"/>
      <c r="AM800" s="692" t="n"/>
      <c r="AN800" s="692" t="n"/>
      <c r="AO800" s="692" t="n"/>
      <c r="AP800" s="692" t="n"/>
      <c r="AQ800" s="692" t="n"/>
      <c r="AR800" s="692" t="n"/>
      <c r="AS800" s="692" t="n"/>
    </row>
    <row r="801">
      <c r="A801" s="692" t="n"/>
      <c r="B801" s="692" t="n"/>
      <c r="C801" s="692" t="n"/>
      <c r="D801" s="692" t="n"/>
      <c r="E801" s="692" t="n"/>
      <c r="F801" s="692" t="n"/>
      <c r="G801" s="692" t="n"/>
      <c r="H801" s="692" t="n"/>
      <c r="I801" s="692" t="n"/>
      <c r="J801" s="692" t="n"/>
      <c r="K801" s="692" t="n"/>
      <c r="L801" s="692" t="n"/>
      <c r="M801" s="692" t="n"/>
      <c r="N801" s="692" t="n"/>
      <c r="O801" s="692" t="n"/>
      <c r="P801" s="692" t="n"/>
      <c r="Q801" s="692" t="n"/>
      <c r="R801" s="692" t="n"/>
      <c r="S801" s="692" t="n"/>
      <c r="T801" s="692" t="n"/>
      <c r="U801" s="692" t="n"/>
      <c r="V801" s="692" t="n"/>
      <c r="W801" s="692" t="n"/>
      <c r="X801" s="692" t="n"/>
      <c r="Y801" s="692" t="n"/>
      <c r="Z801" s="692" t="n"/>
      <c r="AA801" s="692" t="n"/>
      <c r="AB801" s="692" t="n"/>
      <c r="AC801" s="692" t="n"/>
      <c r="AD801" s="692" t="n"/>
      <c r="AE801" s="692" t="n"/>
      <c r="AF801" s="692" t="n"/>
      <c r="AG801" s="692" t="n"/>
      <c r="AH801" s="692" t="n"/>
      <c r="AI801" s="692" t="n"/>
      <c r="AJ801" s="692" t="n"/>
      <c r="AK801" s="692" t="n"/>
      <c r="AL801" s="692" t="n"/>
      <c r="AM801" s="692" t="n"/>
      <c r="AN801" s="692" t="n"/>
      <c r="AO801" s="692" t="n"/>
      <c r="AP801" s="692" t="n"/>
      <c r="AQ801" s="692" t="n"/>
      <c r="AR801" s="692" t="n"/>
      <c r="AS801" s="692" t="n"/>
    </row>
    <row r="802">
      <c r="A802" s="692" t="n"/>
      <c r="B802" s="692" t="n"/>
      <c r="C802" s="692" t="n"/>
      <c r="D802" s="692" t="n"/>
      <c r="E802" s="692" t="n"/>
      <c r="F802" s="692" t="n"/>
      <c r="G802" s="692" t="n"/>
      <c r="H802" s="692" t="n"/>
      <c r="I802" s="692" t="n"/>
      <c r="J802" s="692" t="n"/>
      <c r="K802" s="692" t="n"/>
      <c r="L802" s="692" t="n"/>
      <c r="M802" s="692" t="n"/>
      <c r="N802" s="692" t="n"/>
      <c r="O802" s="692" t="n"/>
      <c r="P802" s="692" t="n"/>
      <c r="Q802" s="692" t="n"/>
      <c r="R802" s="692" t="n"/>
      <c r="S802" s="692" t="n"/>
      <c r="T802" s="692" t="n"/>
      <c r="U802" s="692" t="n"/>
      <c r="V802" s="692" t="n"/>
      <c r="W802" s="692" t="n"/>
      <c r="X802" s="692" t="n"/>
      <c r="Y802" s="692" t="n"/>
      <c r="Z802" s="692" t="n"/>
      <c r="AA802" s="692" t="n"/>
      <c r="AB802" s="692" t="n"/>
      <c r="AC802" s="692" t="n"/>
      <c r="AD802" s="692" t="n"/>
      <c r="AE802" s="692" t="n"/>
      <c r="AF802" s="692" t="n"/>
      <c r="AG802" s="692" t="n"/>
      <c r="AH802" s="692" t="n"/>
      <c r="AI802" s="692" t="n"/>
      <c r="AJ802" s="692" t="n"/>
      <c r="AK802" s="692" t="n"/>
      <c r="AL802" s="692" t="n"/>
      <c r="AM802" s="692" t="n"/>
      <c r="AN802" s="692" t="n"/>
      <c r="AO802" s="692" t="n"/>
      <c r="AP802" s="692" t="n"/>
      <c r="AQ802" s="692" t="n"/>
      <c r="AR802" s="692" t="n"/>
      <c r="AS802" s="692" t="n"/>
    </row>
    <row r="803">
      <c r="A803" s="692" t="n"/>
      <c r="B803" s="692" t="n"/>
      <c r="C803" s="692" t="n"/>
      <c r="D803" s="692" t="n"/>
      <c r="E803" s="692" t="n"/>
      <c r="F803" s="692" t="n"/>
      <c r="G803" s="692" t="n"/>
      <c r="H803" s="692" t="n"/>
      <c r="I803" s="692" t="n"/>
      <c r="J803" s="692" t="n"/>
      <c r="K803" s="692" t="n"/>
      <c r="L803" s="692" t="n"/>
      <c r="M803" s="692" t="n"/>
      <c r="N803" s="692" t="n"/>
      <c r="O803" s="692" t="n"/>
      <c r="P803" s="692" t="n"/>
      <c r="Q803" s="692" t="n"/>
      <c r="R803" s="692" t="n"/>
      <c r="S803" s="692" t="n"/>
      <c r="T803" s="692" t="n"/>
      <c r="U803" s="692" t="n"/>
      <c r="V803" s="692" t="n"/>
      <c r="W803" s="692" t="n"/>
      <c r="X803" s="692" t="n"/>
      <c r="Y803" s="692" t="n"/>
      <c r="Z803" s="692" t="n"/>
      <c r="AA803" s="692" t="n"/>
      <c r="AB803" s="692" t="n"/>
      <c r="AC803" s="692" t="n"/>
      <c r="AD803" s="692" t="n"/>
      <c r="AE803" s="692" t="n"/>
      <c r="AF803" s="692" t="n"/>
      <c r="AG803" s="692" t="n"/>
      <c r="AH803" s="692" t="n"/>
      <c r="AI803" s="692" t="n"/>
      <c r="AJ803" s="692" t="n"/>
      <c r="AK803" s="692" t="n"/>
      <c r="AL803" s="692" t="n"/>
      <c r="AM803" s="692" t="n"/>
      <c r="AN803" s="692" t="n"/>
      <c r="AO803" s="692" t="n"/>
      <c r="AP803" s="692" t="n"/>
      <c r="AQ803" s="692" t="n"/>
      <c r="AR803" s="692" t="n"/>
      <c r="AS803" s="692" t="n"/>
    </row>
    <row r="804">
      <c r="A804" s="692" t="n"/>
      <c r="B804" s="692" t="n"/>
      <c r="C804" s="692" t="n"/>
      <c r="D804" s="692" t="n"/>
      <c r="E804" s="692" t="n"/>
      <c r="F804" s="692" t="n"/>
      <c r="G804" s="692" t="n"/>
      <c r="H804" s="692" t="n"/>
      <c r="I804" s="692" t="n"/>
      <c r="J804" s="692" t="n"/>
      <c r="K804" s="692" t="n"/>
      <c r="L804" s="692" t="n"/>
      <c r="M804" s="692" t="n"/>
      <c r="N804" s="692" t="n"/>
      <c r="O804" s="692" t="n"/>
      <c r="P804" s="692" t="n"/>
      <c r="Q804" s="692" t="n"/>
      <c r="R804" s="692" t="n"/>
      <c r="S804" s="692" t="n"/>
      <c r="T804" s="692" t="n"/>
      <c r="U804" s="692" t="n"/>
      <c r="V804" s="692" t="n"/>
      <c r="W804" s="692" t="n"/>
      <c r="X804" s="692" t="n"/>
      <c r="Y804" s="692" t="n"/>
      <c r="Z804" s="692" t="n"/>
      <c r="AA804" s="692" t="n"/>
      <c r="AB804" s="692" t="n"/>
      <c r="AC804" s="692" t="n"/>
      <c r="AD804" s="692" t="n"/>
      <c r="AE804" s="692" t="n"/>
      <c r="AF804" s="692" t="n"/>
      <c r="AG804" s="692" t="n"/>
      <c r="AH804" s="692" t="n"/>
      <c r="AI804" s="692" t="n"/>
      <c r="AJ804" s="692" t="n"/>
      <c r="AK804" s="692" t="n"/>
      <c r="AL804" s="692" t="n"/>
      <c r="AM804" s="692" t="n"/>
      <c r="AN804" s="692" t="n"/>
      <c r="AO804" s="692" t="n"/>
      <c r="AP804" s="692" t="n"/>
      <c r="AQ804" s="692" t="n"/>
      <c r="AR804" s="692" t="n"/>
      <c r="AS804" s="692" t="n"/>
    </row>
    <row r="805">
      <c r="A805" s="692" t="n"/>
      <c r="B805" s="692" t="n"/>
      <c r="C805" s="692" t="n"/>
      <c r="D805" s="692" t="n"/>
      <c r="E805" s="692" t="n"/>
      <c r="F805" s="692" t="n"/>
      <c r="G805" s="692" t="n"/>
      <c r="H805" s="692" t="n"/>
      <c r="I805" s="692" t="n"/>
      <c r="J805" s="692" t="n"/>
      <c r="K805" s="692" t="n"/>
      <c r="L805" s="692" t="n"/>
      <c r="M805" s="692" t="n"/>
      <c r="N805" s="692" t="n"/>
      <c r="O805" s="692" t="n"/>
      <c r="P805" s="692" t="n"/>
      <c r="Q805" s="692" t="n"/>
      <c r="R805" s="692" t="n"/>
      <c r="S805" s="692" t="n"/>
      <c r="T805" s="692" t="n"/>
      <c r="U805" s="692" t="n"/>
      <c r="V805" s="692" t="n"/>
      <c r="W805" s="692" t="n"/>
      <c r="X805" s="692" t="n"/>
      <c r="Y805" s="692" t="n"/>
      <c r="Z805" s="692" t="n"/>
      <c r="AA805" s="692" t="n"/>
      <c r="AB805" s="692" t="n"/>
      <c r="AC805" s="692" t="n"/>
      <c r="AD805" s="692" t="n"/>
      <c r="AE805" s="692" t="n"/>
      <c r="AF805" s="692" t="n"/>
      <c r="AG805" s="692" t="n"/>
      <c r="AH805" s="692" t="n"/>
      <c r="AI805" s="692" t="n"/>
      <c r="AJ805" s="692" t="n"/>
      <c r="AK805" s="692" t="n"/>
      <c r="AL805" s="692" t="n"/>
      <c r="AM805" s="692" t="n"/>
      <c r="AN805" s="692" t="n"/>
      <c r="AO805" s="692" t="n"/>
      <c r="AP805" s="692" t="n"/>
      <c r="AQ805" s="692" t="n"/>
      <c r="AR805" s="692" t="n"/>
      <c r="AS805" s="692" t="n"/>
    </row>
    <row r="806">
      <c r="A806" s="692" t="n"/>
      <c r="B806" s="692" t="n"/>
      <c r="C806" s="692" t="n"/>
      <c r="D806" s="692" t="n"/>
      <c r="E806" s="692" t="n"/>
      <c r="F806" s="692" t="n"/>
      <c r="G806" s="692" t="n"/>
      <c r="H806" s="692" t="n"/>
      <c r="I806" s="692" t="n"/>
      <c r="J806" s="692" t="n"/>
      <c r="K806" s="692" t="n"/>
      <c r="L806" s="692" t="n"/>
      <c r="M806" s="692" t="n"/>
      <c r="N806" s="692" t="n"/>
      <c r="O806" s="692" t="n"/>
      <c r="P806" s="692" t="n"/>
      <c r="Q806" s="692" t="n"/>
      <c r="R806" s="692" t="n"/>
      <c r="S806" s="692" t="n"/>
      <c r="T806" s="692" t="n"/>
      <c r="U806" s="692" t="n"/>
      <c r="V806" s="692" t="n"/>
      <c r="W806" s="692" t="n"/>
      <c r="X806" s="692" t="n"/>
      <c r="Y806" s="692" t="n"/>
      <c r="Z806" s="692" t="n"/>
      <c r="AA806" s="692" t="n"/>
      <c r="AB806" s="692" t="n"/>
      <c r="AC806" s="692" t="n"/>
      <c r="AD806" s="692" t="n"/>
      <c r="AE806" s="692" t="n"/>
      <c r="AF806" s="692" t="n"/>
      <c r="AG806" s="692" t="n"/>
      <c r="AH806" s="692" t="n"/>
      <c r="AI806" s="692" t="n"/>
      <c r="AJ806" s="692" t="n"/>
      <c r="AK806" s="692" t="n"/>
      <c r="AL806" s="692" t="n"/>
      <c r="AM806" s="692" t="n"/>
      <c r="AN806" s="692" t="n"/>
      <c r="AO806" s="692" t="n"/>
      <c r="AP806" s="692" t="n"/>
      <c r="AQ806" s="692" t="n"/>
      <c r="AR806" s="692" t="n"/>
      <c r="AS806" s="692" t="n"/>
    </row>
    <row r="807">
      <c r="A807" s="692" t="n"/>
      <c r="B807" s="692" t="n"/>
      <c r="C807" s="692" t="n"/>
      <c r="D807" s="692" t="n"/>
      <c r="E807" s="692" t="n"/>
      <c r="F807" s="692" t="n"/>
      <c r="G807" s="692" t="n"/>
      <c r="H807" s="692" t="n"/>
      <c r="I807" s="692" t="n"/>
      <c r="J807" s="692" t="n"/>
      <c r="K807" s="692" t="n"/>
      <c r="L807" s="692" t="n"/>
      <c r="M807" s="692" t="n"/>
      <c r="N807" s="692" t="n"/>
      <c r="O807" s="692" t="n"/>
      <c r="P807" s="692" t="n"/>
      <c r="Q807" s="692" t="n"/>
      <c r="R807" s="692" t="n"/>
      <c r="S807" s="692" t="n"/>
      <c r="T807" s="692" t="n"/>
      <c r="U807" s="692" t="n"/>
      <c r="V807" s="692" t="n"/>
      <c r="W807" s="692" t="n"/>
      <c r="X807" s="692" t="n"/>
      <c r="Y807" s="692" t="n"/>
      <c r="Z807" s="692" t="n"/>
      <c r="AA807" s="692" t="n"/>
      <c r="AB807" s="692" t="n"/>
      <c r="AC807" s="692" t="n"/>
      <c r="AD807" s="692" t="n"/>
      <c r="AE807" s="692" t="n"/>
      <c r="AF807" s="692" t="n"/>
      <c r="AG807" s="692" t="n"/>
      <c r="AH807" s="692" t="n"/>
      <c r="AI807" s="692" t="n"/>
      <c r="AJ807" s="692" t="n"/>
      <c r="AK807" s="692" t="n"/>
      <c r="AL807" s="692" t="n"/>
      <c r="AM807" s="692" t="n"/>
      <c r="AN807" s="692" t="n"/>
      <c r="AO807" s="692" t="n"/>
      <c r="AP807" s="692" t="n"/>
      <c r="AQ807" s="692" t="n"/>
      <c r="AR807" s="692" t="n"/>
      <c r="AS807" s="692" t="n"/>
    </row>
    <row r="808">
      <c r="A808" s="692" t="n"/>
      <c r="B808" s="692" t="n"/>
      <c r="C808" s="692" t="n"/>
      <c r="D808" s="692" t="n"/>
      <c r="E808" s="692" t="n"/>
      <c r="F808" s="692" t="n"/>
      <c r="G808" s="692" t="n"/>
      <c r="H808" s="692" t="n"/>
      <c r="I808" s="692" t="n"/>
      <c r="J808" s="692" t="n"/>
      <c r="K808" s="692" t="n"/>
      <c r="L808" s="692" t="n"/>
      <c r="M808" s="692" t="n"/>
      <c r="N808" s="692" t="n"/>
      <c r="O808" s="692" t="n"/>
      <c r="P808" s="692" t="n"/>
      <c r="Q808" s="692" t="n"/>
      <c r="R808" s="692" t="n"/>
      <c r="S808" s="692" t="n"/>
      <c r="T808" s="692" t="n"/>
      <c r="U808" s="692" t="n"/>
      <c r="V808" s="692" t="n"/>
      <c r="W808" s="692" t="n"/>
      <c r="X808" s="692" t="n"/>
      <c r="Y808" s="692" t="n"/>
      <c r="Z808" s="692" t="n"/>
      <c r="AA808" s="692" t="n"/>
      <c r="AB808" s="692" t="n"/>
      <c r="AC808" s="692" t="n"/>
      <c r="AD808" s="692" t="n"/>
      <c r="AE808" s="692" t="n"/>
      <c r="AF808" s="692" t="n"/>
      <c r="AG808" s="692" t="n"/>
      <c r="AH808" s="692" t="n"/>
      <c r="AI808" s="692" t="n"/>
      <c r="AJ808" s="692" t="n"/>
      <c r="AK808" s="692" t="n"/>
      <c r="AL808" s="692" t="n"/>
      <c r="AM808" s="692" t="n"/>
      <c r="AN808" s="692" t="n"/>
      <c r="AO808" s="692" t="n"/>
      <c r="AP808" s="692" t="n"/>
      <c r="AQ808" s="692" t="n"/>
      <c r="AR808" s="692" t="n"/>
      <c r="AS808" s="692" t="n"/>
    </row>
    <row r="809">
      <c r="A809" s="692" t="n"/>
      <c r="B809" s="692" t="n"/>
      <c r="C809" s="692" t="n"/>
      <c r="D809" s="692" t="n"/>
      <c r="E809" s="692" t="n"/>
      <c r="F809" s="692" t="n"/>
      <c r="G809" s="692" t="n"/>
      <c r="H809" s="692" t="n"/>
      <c r="I809" s="692" t="n"/>
      <c r="J809" s="692" t="n"/>
      <c r="K809" s="692" t="n"/>
      <c r="L809" s="692" t="n"/>
      <c r="M809" s="692" t="n"/>
      <c r="N809" s="692" t="n"/>
      <c r="O809" s="692" t="n"/>
      <c r="P809" s="692" t="n"/>
      <c r="Q809" s="692" t="n"/>
      <c r="R809" s="692" t="n"/>
      <c r="S809" s="692" t="n"/>
      <c r="T809" s="692" t="n"/>
      <c r="U809" s="692" t="n"/>
      <c r="V809" s="692" t="n"/>
      <c r="W809" s="692" t="n"/>
      <c r="X809" s="692" t="n"/>
      <c r="Y809" s="692" t="n"/>
      <c r="Z809" s="692" t="n"/>
      <c r="AA809" s="692" t="n"/>
      <c r="AB809" s="692" t="n"/>
      <c r="AC809" s="692" t="n"/>
      <c r="AD809" s="692" t="n"/>
      <c r="AE809" s="692" t="n"/>
      <c r="AF809" s="692" t="n"/>
      <c r="AG809" s="692" t="n"/>
      <c r="AH809" s="692" t="n"/>
      <c r="AI809" s="692" t="n"/>
      <c r="AJ809" s="692" t="n"/>
      <c r="AK809" s="692" t="n"/>
      <c r="AL809" s="692" t="n"/>
      <c r="AM809" s="692" t="n"/>
      <c r="AN809" s="692" t="n"/>
      <c r="AO809" s="692" t="n"/>
      <c r="AP809" s="692" t="n"/>
      <c r="AQ809" s="692" t="n"/>
      <c r="AR809" s="692" t="n"/>
      <c r="AS809" s="692" t="n"/>
    </row>
    <row r="810">
      <c r="A810" s="692" t="n"/>
      <c r="B810" s="692" t="n"/>
      <c r="C810" s="692" t="n"/>
      <c r="D810" s="692" t="n"/>
      <c r="E810" s="692" t="n"/>
      <c r="F810" s="692" t="n"/>
      <c r="G810" s="692" t="n"/>
      <c r="H810" s="692" t="n"/>
      <c r="I810" s="692" t="n"/>
      <c r="J810" s="692" t="n"/>
      <c r="K810" s="692" t="n"/>
      <c r="L810" s="692" t="n"/>
      <c r="M810" s="692" t="n"/>
      <c r="N810" s="692" t="n"/>
      <c r="O810" s="692" t="n"/>
      <c r="P810" s="692" t="n"/>
      <c r="Q810" s="692" t="n"/>
      <c r="R810" s="692" t="n"/>
      <c r="S810" s="692" t="n"/>
      <c r="T810" s="692" t="n"/>
      <c r="U810" s="692" t="n"/>
      <c r="V810" s="692" t="n"/>
      <c r="W810" s="692" t="n"/>
      <c r="X810" s="692" t="n"/>
      <c r="Y810" s="692" t="n"/>
      <c r="Z810" s="692" t="n"/>
      <c r="AA810" s="692" t="n"/>
      <c r="AB810" s="692" t="n"/>
      <c r="AC810" s="692" t="n"/>
      <c r="AD810" s="692" t="n"/>
      <c r="AE810" s="692" t="n"/>
      <c r="AF810" s="692" t="n"/>
      <c r="AG810" s="692" t="n"/>
      <c r="AH810" s="692" t="n"/>
      <c r="AI810" s="692" t="n"/>
      <c r="AJ810" s="692" t="n"/>
      <c r="AK810" s="692" t="n"/>
      <c r="AL810" s="692" t="n"/>
      <c r="AM810" s="692" t="n"/>
      <c r="AN810" s="692" t="n"/>
      <c r="AO810" s="692" t="n"/>
      <c r="AP810" s="692" t="n"/>
      <c r="AQ810" s="692" t="n"/>
      <c r="AR810" s="692" t="n"/>
      <c r="AS810" s="692" t="n"/>
    </row>
    <row r="811">
      <c r="A811" s="692" t="n"/>
      <c r="B811" s="692" t="n"/>
      <c r="C811" s="692" t="n"/>
      <c r="D811" s="692" t="n"/>
      <c r="E811" s="692" t="n"/>
      <c r="F811" s="692" t="n"/>
      <c r="G811" s="692" t="n"/>
      <c r="H811" s="692" t="n"/>
      <c r="I811" s="692" t="n"/>
      <c r="J811" s="692" t="n"/>
      <c r="K811" s="692" t="n"/>
      <c r="L811" s="692" t="n"/>
      <c r="M811" s="692" t="n"/>
      <c r="N811" s="692" t="n"/>
      <c r="O811" s="692" t="n"/>
      <c r="P811" s="692" t="n"/>
      <c r="Q811" s="692" t="n"/>
      <c r="R811" s="692" t="n"/>
      <c r="S811" s="692" t="n"/>
      <c r="T811" s="692" t="n"/>
      <c r="U811" s="692" t="n"/>
      <c r="V811" s="692" t="n"/>
      <c r="W811" s="692" t="n"/>
      <c r="X811" s="692" t="n"/>
      <c r="Y811" s="692" t="n"/>
      <c r="Z811" s="692" t="n"/>
      <c r="AA811" s="692" t="n"/>
      <c r="AB811" s="692" t="n"/>
      <c r="AC811" s="692" t="n"/>
      <c r="AD811" s="692" t="n"/>
      <c r="AE811" s="692" t="n"/>
      <c r="AF811" s="692" t="n"/>
      <c r="AG811" s="692" t="n"/>
      <c r="AH811" s="692" t="n"/>
      <c r="AI811" s="692" t="n"/>
      <c r="AJ811" s="692" t="n"/>
      <c r="AK811" s="692" t="n"/>
      <c r="AL811" s="692" t="n"/>
      <c r="AM811" s="692" t="n"/>
      <c r="AN811" s="692" t="n"/>
      <c r="AO811" s="692" t="n"/>
      <c r="AP811" s="692" t="n"/>
      <c r="AQ811" s="692" t="n"/>
      <c r="AR811" s="692" t="n"/>
      <c r="AS811" s="692" t="n"/>
    </row>
    <row r="812">
      <c r="A812" s="692" t="n"/>
      <c r="B812" s="692" t="n"/>
      <c r="C812" s="692" t="n"/>
      <c r="D812" s="692" t="n"/>
      <c r="E812" s="692" t="n"/>
      <c r="F812" s="692" t="n"/>
      <c r="G812" s="692" t="n"/>
      <c r="H812" s="692" t="n"/>
      <c r="I812" s="692" t="n"/>
      <c r="J812" s="692" t="n"/>
      <c r="K812" s="692" t="n"/>
      <c r="L812" s="692" t="n"/>
      <c r="M812" s="692" t="n"/>
      <c r="N812" s="692" t="n"/>
      <c r="O812" s="692" t="n"/>
      <c r="P812" s="692" t="n"/>
      <c r="Q812" s="692" t="n"/>
      <c r="R812" s="692" t="n"/>
      <c r="S812" s="692" t="n"/>
      <c r="T812" s="692" t="n"/>
      <c r="U812" s="692" t="n"/>
      <c r="V812" s="692" t="n"/>
      <c r="W812" s="692" t="n"/>
      <c r="X812" s="692" t="n"/>
      <c r="Y812" s="692" t="n"/>
      <c r="Z812" s="692" t="n"/>
      <c r="AA812" s="692" t="n"/>
      <c r="AB812" s="692" t="n"/>
      <c r="AC812" s="692" t="n"/>
      <c r="AD812" s="692" t="n"/>
      <c r="AE812" s="692" t="n"/>
      <c r="AF812" s="692" t="n"/>
      <c r="AG812" s="692" t="n"/>
      <c r="AH812" s="692" t="n"/>
      <c r="AI812" s="692" t="n"/>
      <c r="AJ812" s="692" t="n"/>
      <c r="AK812" s="692" t="n"/>
      <c r="AL812" s="692" t="n"/>
      <c r="AM812" s="692" t="n"/>
      <c r="AN812" s="692" t="n"/>
      <c r="AO812" s="692" t="n"/>
      <c r="AP812" s="692" t="n"/>
      <c r="AQ812" s="692" t="n"/>
      <c r="AR812" s="692" t="n"/>
      <c r="AS812" s="692" t="n"/>
    </row>
    <row r="813">
      <c r="A813" s="692" t="n"/>
      <c r="B813" s="692" t="n"/>
      <c r="C813" s="692" t="n"/>
      <c r="D813" s="692" t="n"/>
      <c r="E813" s="692" t="n"/>
      <c r="F813" s="692" t="n"/>
      <c r="G813" s="692" t="n"/>
      <c r="H813" s="692" t="n"/>
      <c r="I813" s="692" t="n"/>
      <c r="J813" s="692" t="n"/>
      <c r="K813" s="692" t="n"/>
      <c r="L813" s="692" t="n"/>
      <c r="M813" s="692" t="n"/>
      <c r="N813" s="692" t="n"/>
      <c r="O813" s="692" t="n"/>
      <c r="P813" s="692" t="n"/>
      <c r="Q813" s="692" t="n"/>
      <c r="R813" s="692" t="n"/>
      <c r="S813" s="692" t="n"/>
      <c r="T813" s="692" t="n"/>
      <c r="U813" s="692" t="n"/>
      <c r="V813" s="692" t="n"/>
      <c r="W813" s="692" t="n"/>
      <c r="X813" s="692" t="n"/>
      <c r="Y813" s="692" t="n"/>
      <c r="Z813" s="692" t="n"/>
      <c r="AA813" s="692" t="n"/>
      <c r="AB813" s="692" t="n"/>
      <c r="AC813" s="692" t="n"/>
      <c r="AD813" s="692" t="n"/>
      <c r="AE813" s="692" t="n"/>
      <c r="AF813" s="692" t="n"/>
      <c r="AG813" s="692" t="n"/>
      <c r="AH813" s="692" t="n"/>
      <c r="AI813" s="692" t="n"/>
      <c r="AJ813" s="692" t="n"/>
      <c r="AK813" s="692" t="n"/>
      <c r="AL813" s="692" t="n"/>
      <c r="AM813" s="692" t="n"/>
      <c r="AN813" s="692" t="n"/>
      <c r="AO813" s="692" t="n"/>
      <c r="AP813" s="692" t="n"/>
      <c r="AQ813" s="692" t="n"/>
      <c r="AR813" s="692" t="n"/>
      <c r="AS813" s="692" t="n"/>
    </row>
    <row r="814">
      <c r="A814" s="692" t="n"/>
      <c r="B814" s="692" t="n"/>
      <c r="C814" s="692" t="n"/>
      <c r="D814" s="692" t="n"/>
      <c r="E814" s="692" t="n"/>
      <c r="F814" s="692" t="n"/>
      <c r="G814" s="692" t="n"/>
      <c r="H814" s="692" t="n"/>
      <c r="I814" s="692" t="n"/>
      <c r="J814" s="692" t="n"/>
      <c r="K814" s="692" t="n"/>
      <c r="L814" s="692" t="n"/>
      <c r="M814" s="692" t="n"/>
      <c r="N814" s="692" t="n"/>
      <c r="O814" s="692" t="n"/>
      <c r="P814" s="692" t="n"/>
      <c r="Q814" s="692" t="n"/>
      <c r="R814" s="692" t="n"/>
      <c r="S814" s="692" t="n"/>
      <c r="T814" s="692" t="n"/>
      <c r="U814" s="692" t="n"/>
      <c r="V814" s="692" t="n"/>
      <c r="W814" s="692" t="n"/>
      <c r="X814" s="692" t="n"/>
      <c r="Y814" s="692" t="n"/>
      <c r="Z814" s="692" t="n"/>
      <c r="AA814" s="692" t="n"/>
      <c r="AB814" s="692" t="n"/>
      <c r="AC814" s="692" t="n"/>
      <c r="AD814" s="692" t="n"/>
      <c r="AE814" s="692" t="n"/>
      <c r="AF814" s="692" t="n"/>
      <c r="AG814" s="692" t="n"/>
      <c r="AH814" s="692" t="n"/>
      <c r="AI814" s="692" t="n"/>
      <c r="AJ814" s="692" t="n"/>
      <c r="AK814" s="692" t="n"/>
      <c r="AL814" s="692" t="n"/>
      <c r="AM814" s="692" t="n"/>
      <c r="AN814" s="692" t="n"/>
      <c r="AO814" s="692" t="n"/>
      <c r="AP814" s="692" t="n"/>
      <c r="AQ814" s="692" t="n"/>
      <c r="AR814" s="692" t="n"/>
      <c r="AS814" s="692" t="n"/>
    </row>
    <row r="815">
      <c r="A815" s="692" t="n"/>
      <c r="B815" s="692" t="n"/>
      <c r="C815" s="692" t="n"/>
      <c r="D815" s="692" t="n"/>
      <c r="E815" s="692" t="n"/>
      <c r="F815" s="692" t="n"/>
      <c r="G815" s="692" t="n"/>
      <c r="H815" s="692" t="n"/>
      <c r="I815" s="692" t="n"/>
      <c r="J815" s="692" t="n"/>
      <c r="K815" s="692" t="n"/>
      <c r="L815" s="692" t="n"/>
      <c r="M815" s="692" t="n"/>
      <c r="N815" s="692" t="n"/>
      <c r="O815" s="692" t="n"/>
      <c r="P815" s="692" t="n"/>
      <c r="Q815" s="692" t="n"/>
      <c r="R815" s="692" t="n"/>
      <c r="S815" s="692" t="n"/>
      <c r="T815" s="692" t="n"/>
      <c r="U815" s="692" t="n"/>
      <c r="V815" s="692" t="n"/>
      <c r="W815" s="692" t="n"/>
      <c r="X815" s="692" t="n"/>
      <c r="Y815" s="692" t="n"/>
      <c r="Z815" s="692" t="n"/>
      <c r="AA815" s="692" t="n"/>
      <c r="AB815" s="692" t="n"/>
      <c r="AC815" s="692" t="n"/>
      <c r="AD815" s="692" t="n"/>
      <c r="AE815" s="692" t="n"/>
      <c r="AF815" s="692" t="n"/>
      <c r="AG815" s="692" t="n"/>
      <c r="AH815" s="692" t="n"/>
      <c r="AI815" s="692" t="n"/>
      <c r="AJ815" s="692" t="n"/>
      <c r="AK815" s="692" t="n"/>
      <c r="AL815" s="692" t="n"/>
      <c r="AM815" s="692" t="n"/>
      <c r="AN815" s="692" t="n"/>
      <c r="AO815" s="692" t="n"/>
      <c r="AP815" s="692" t="n"/>
      <c r="AQ815" s="692" t="n"/>
      <c r="AR815" s="692" t="n"/>
      <c r="AS815" s="692" t="n"/>
    </row>
    <row r="816">
      <c r="A816" s="692" t="n"/>
      <c r="B816" s="692" t="n"/>
      <c r="C816" s="692" t="n"/>
      <c r="D816" s="692" t="n"/>
      <c r="E816" s="692" t="n"/>
      <c r="F816" s="692" t="n"/>
      <c r="G816" s="692" t="n"/>
      <c r="H816" s="692" t="n"/>
      <c r="I816" s="692" t="n"/>
      <c r="J816" s="692" t="n"/>
      <c r="K816" s="692" t="n"/>
      <c r="L816" s="692" t="n"/>
      <c r="M816" s="692" t="n"/>
      <c r="N816" s="692" t="n"/>
      <c r="O816" s="692" t="n"/>
      <c r="P816" s="692" t="n"/>
      <c r="Q816" s="692" t="n"/>
      <c r="R816" s="692" t="n"/>
      <c r="S816" s="692" t="n"/>
      <c r="T816" s="692" t="n"/>
      <c r="U816" s="692" t="n"/>
      <c r="V816" s="692" t="n"/>
      <c r="W816" s="692" t="n"/>
      <c r="X816" s="692" t="n"/>
      <c r="Y816" s="692" t="n"/>
      <c r="Z816" s="692" t="n"/>
      <c r="AA816" s="692" t="n"/>
      <c r="AB816" s="692" t="n"/>
      <c r="AC816" s="692" t="n"/>
      <c r="AD816" s="692" t="n"/>
      <c r="AE816" s="692" t="n"/>
      <c r="AF816" s="692" t="n"/>
      <c r="AG816" s="692" t="n"/>
      <c r="AH816" s="692" t="n"/>
      <c r="AI816" s="692" t="n"/>
      <c r="AJ816" s="692" t="n"/>
      <c r="AK816" s="692" t="n"/>
      <c r="AL816" s="692" t="n"/>
      <c r="AM816" s="692" t="n"/>
      <c r="AN816" s="692" t="n"/>
      <c r="AO816" s="692" t="n"/>
      <c r="AP816" s="692" t="n"/>
      <c r="AQ816" s="692" t="n"/>
      <c r="AR816" s="692" t="n"/>
      <c r="AS816" s="692" t="n"/>
    </row>
    <row r="817">
      <c r="A817" s="692" t="n"/>
      <c r="B817" s="692" t="n"/>
      <c r="C817" s="692" t="n"/>
      <c r="D817" s="692" t="n"/>
      <c r="E817" s="692" t="n"/>
      <c r="F817" s="692" t="n"/>
      <c r="G817" s="692" t="n"/>
      <c r="H817" s="692" t="n"/>
      <c r="I817" s="692" t="n"/>
      <c r="J817" s="692" t="n"/>
      <c r="K817" s="692" t="n"/>
      <c r="L817" s="692" t="n"/>
      <c r="M817" s="692" t="n"/>
      <c r="N817" s="692" t="n"/>
      <c r="O817" s="692" t="n"/>
      <c r="P817" s="692" t="n"/>
      <c r="Q817" s="692" t="n"/>
      <c r="R817" s="692" t="n"/>
      <c r="S817" s="692" t="n"/>
      <c r="T817" s="692" t="n"/>
      <c r="U817" s="692" t="n"/>
      <c r="V817" s="692" t="n"/>
      <c r="W817" s="692" t="n"/>
      <c r="X817" s="692" t="n"/>
      <c r="Y817" s="692" t="n"/>
      <c r="Z817" s="692" t="n"/>
      <c r="AA817" s="692" t="n"/>
      <c r="AB817" s="692" t="n"/>
      <c r="AC817" s="692" t="n"/>
      <c r="AD817" s="692" t="n"/>
      <c r="AE817" s="692" t="n"/>
      <c r="AF817" s="692" t="n"/>
      <c r="AG817" s="692" t="n"/>
      <c r="AH817" s="692" t="n"/>
      <c r="AI817" s="692" t="n"/>
      <c r="AJ817" s="692" t="n"/>
      <c r="AK817" s="692" t="n"/>
      <c r="AL817" s="692" t="n"/>
      <c r="AM817" s="692" t="n"/>
      <c r="AN817" s="692" t="n"/>
      <c r="AO817" s="692" t="n"/>
      <c r="AP817" s="692" t="n"/>
      <c r="AQ817" s="692" t="n"/>
      <c r="AR817" s="692" t="n"/>
      <c r="AS817" s="692" t="n"/>
    </row>
    <row r="818">
      <c r="A818" s="692" t="n"/>
      <c r="B818" s="692" t="n"/>
      <c r="C818" s="692" t="n"/>
      <c r="D818" s="692" t="n"/>
      <c r="E818" s="692" t="n"/>
      <c r="F818" s="692" t="n"/>
      <c r="G818" s="692" t="n"/>
      <c r="H818" s="692" t="n"/>
      <c r="I818" s="692" t="n"/>
      <c r="J818" s="692" t="n"/>
      <c r="K818" s="692" t="n"/>
      <c r="L818" s="692" t="n"/>
      <c r="M818" s="692" t="n"/>
      <c r="N818" s="692" t="n"/>
      <c r="O818" s="692" t="n"/>
      <c r="P818" s="692" t="n"/>
      <c r="Q818" s="692" t="n"/>
      <c r="R818" s="692" t="n"/>
      <c r="S818" s="692" t="n"/>
      <c r="T818" s="692" t="n"/>
      <c r="U818" s="692" t="n"/>
      <c r="V818" s="692" t="n"/>
      <c r="W818" s="692" t="n"/>
      <c r="X818" s="692" t="n"/>
      <c r="Y818" s="692" t="n"/>
      <c r="Z818" s="692" t="n"/>
      <c r="AA818" s="692" t="n"/>
      <c r="AB818" s="692" t="n"/>
      <c r="AC818" s="692" t="n"/>
      <c r="AD818" s="692" t="n"/>
      <c r="AE818" s="692" t="n"/>
      <c r="AF818" s="692" t="n"/>
      <c r="AG818" s="692" t="n"/>
      <c r="AH818" s="692" t="n"/>
      <c r="AI818" s="692" t="n"/>
      <c r="AJ818" s="692" t="n"/>
      <c r="AK818" s="692" t="n"/>
      <c r="AL818" s="692" t="n"/>
      <c r="AM818" s="692" t="n"/>
      <c r="AN818" s="692" t="n"/>
      <c r="AO818" s="692" t="n"/>
      <c r="AP818" s="692" t="n"/>
      <c r="AQ818" s="692" t="n"/>
      <c r="AR818" s="692" t="n"/>
      <c r="AS818" s="692" t="n"/>
    </row>
    <row r="819">
      <c r="A819" s="692" t="n"/>
      <c r="B819" s="692" t="n"/>
      <c r="C819" s="692" t="n"/>
      <c r="D819" s="692" t="n"/>
      <c r="E819" s="692" t="n"/>
      <c r="F819" s="692" t="n"/>
      <c r="G819" s="692" t="n"/>
      <c r="H819" s="692" t="n"/>
      <c r="I819" s="692" t="n"/>
      <c r="J819" s="692" t="n"/>
      <c r="K819" s="692" t="n"/>
      <c r="L819" s="692" t="n"/>
      <c r="M819" s="692" t="n"/>
      <c r="N819" s="692" t="n"/>
      <c r="O819" s="692" t="n"/>
      <c r="P819" s="692" t="n"/>
      <c r="Q819" s="692" t="n"/>
      <c r="R819" s="692" t="n"/>
      <c r="S819" s="692" t="n"/>
      <c r="T819" s="692" t="n"/>
      <c r="U819" s="692" t="n"/>
      <c r="V819" s="692" t="n"/>
      <c r="W819" s="692" t="n"/>
      <c r="X819" s="692" t="n"/>
      <c r="Y819" s="692" t="n"/>
      <c r="Z819" s="692" t="n"/>
      <c r="AA819" s="692" t="n"/>
      <c r="AB819" s="692" t="n"/>
      <c r="AC819" s="692" t="n"/>
      <c r="AD819" s="692" t="n"/>
      <c r="AE819" s="692" t="n"/>
      <c r="AF819" s="692" t="n"/>
      <c r="AG819" s="692" t="n"/>
      <c r="AH819" s="692" t="n"/>
      <c r="AI819" s="692" t="n"/>
      <c r="AJ819" s="692" t="n"/>
      <c r="AK819" s="692" t="n"/>
      <c r="AL819" s="692" t="n"/>
      <c r="AM819" s="692" t="n"/>
      <c r="AN819" s="692" t="n"/>
      <c r="AO819" s="692" t="n"/>
      <c r="AP819" s="692" t="n"/>
      <c r="AQ819" s="692" t="n"/>
      <c r="AR819" s="692" t="n"/>
      <c r="AS819" s="692" t="n"/>
    </row>
    <row r="820">
      <c r="A820" s="692" t="n"/>
      <c r="B820" s="692" t="n"/>
      <c r="C820" s="692" t="n"/>
      <c r="D820" s="692" t="n"/>
      <c r="E820" s="692" t="n"/>
      <c r="F820" s="692" t="n"/>
      <c r="G820" s="692" t="n"/>
      <c r="H820" s="692" t="n"/>
      <c r="I820" s="692" t="n"/>
      <c r="J820" s="692" t="n"/>
      <c r="K820" s="692" t="n"/>
      <c r="L820" s="692" t="n"/>
      <c r="M820" s="692" t="n"/>
      <c r="N820" s="692" t="n"/>
      <c r="O820" s="692" t="n"/>
      <c r="P820" s="692" t="n"/>
      <c r="Q820" s="692" t="n"/>
      <c r="R820" s="692" t="n"/>
      <c r="S820" s="692" t="n"/>
      <c r="T820" s="692" t="n"/>
      <c r="U820" s="692" t="n"/>
      <c r="V820" s="692" t="n"/>
      <c r="W820" s="692" t="n"/>
      <c r="X820" s="692" t="n"/>
      <c r="Y820" s="692" t="n"/>
      <c r="Z820" s="692" t="n"/>
      <c r="AA820" s="692" t="n"/>
      <c r="AB820" s="692" t="n"/>
      <c r="AC820" s="692" t="n"/>
      <c r="AD820" s="692" t="n"/>
      <c r="AE820" s="692" t="n"/>
      <c r="AF820" s="692" t="n"/>
      <c r="AG820" s="692" t="n"/>
      <c r="AH820" s="692" t="n"/>
      <c r="AI820" s="692" t="n"/>
      <c r="AJ820" s="692" t="n"/>
      <c r="AK820" s="692" t="n"/>
      <c r="AL820" s="692" t="n"/>
      <c r="AM820" s="692" t="n"/>
      <c r="AN820" s="692" t="n"/>
      <c r="AO820" s="692" t="n"/>
      <c r="AP820" s="692" t="n"/>
      <c r="AQ820" s="692" t="n"/>
      <c r="AR820" s="692" t="n"/>
      <c r="AS820" s="692" t="n"/>
    </row>
    <row r="821">
      <c r="A821" s="692" t="n"/>
      <c r="B821" s="692" t="n"/>
      <c r="C821" s="692" t="n"/>
      <c r="D821" s="692" t="n"/>
      <c r="E821" s="692" t="n"/>
      <c r="F821" s="692" t="n"/>
      <c r="G821" s="692" t="n"/>
      <c r="H821" s="692" t="n"/>
      <c r="I821" s="692" t="n"/>
      <c r="J821" s="692" t="n"/>
      <c r="K821" s="692" t="n"/>
      <c r="L821" s="692" t="n"/>
      <c r="M821" s="692" t="n"/>
      <c r="N821" s="692" t="n"/>
      <c r="O821" s="692" t="n"/>
      <c r="P821" s="692" t="n"/>
      <c r="Q821" s="692" t="n"/>
      <c r="R821" s="692" t="n"/>
      <c r="S821" s="692" t="n"/>
      <c r="T821" s="692" t="n"/>
      <c r="U821" s="692" t="n"/>
      <c r="V821" s="692" t="n"/>
      <c r="W821" s="692" t="n"/>
      <c r="X821" s="692" t="n"/>
      <c r="Y821" s="692" t="n"/>
      <c r="Z821" s="692" t="n"/>
      <c r="AA821" s="692" t="n"/>
      <c r="AB821" s="692" t="n"/>
      <c r="AC821" s="692" t="n"/>
      <c r="AD821" s="692" t="n"/>
      <c r="AE821" s="692" t="n"/>
      <c r="AF821" s="692" t="n"/>
      <c r="AG821" s="692" t="n"/>
      <c r="AH821" s="692" t="n"/>
      <c r="AI821" s="692" t="n"/>
      <c r="AJ821" s="692" t="n"/>
      <c r="AK821" s="692" t="n"/>
      <c r="AL821" s="692" t="n"/>
      <c r="AM821" s="692" t="n"/>
      <c r="AN821" s="692" t="n"/>
      <c r="AO821" s="692" t="n"/>
      <c r="AP821" s="692" t="n"/>
      <c r="AQ821" s="692" t="n"/>
      <c r="AR821" s="692" t="n"/>
      <c r="AS821" s="692" t="n"/>
    </row>
    <row r="822">
      <c r="A822" s="692" t="n"/>
      <c r="B822" s="692" t="n"/>
      <c r="C822" s="692" t="n"/>
      <c r="D822" s="692" t="n"/>
      <c r="E822" s="692" t="n"/>
      <c r="F822" s="692" t="n"/>
      <c r="G822" s="692" t="n"/>
      <c r="H822" s="692" t="n"/>
      <c r="I822" s="692" t="n"/>
      <c r="J822" s="692" t="n"/>
      <c r="K822" s="692" t="n"/>
      <c r="L822" s="692" t="n"/>
      <c r="M822" s="692" t="n"/>
      <c r="N822" s="692" t="n"/>
      <c r="O822" s="692" t="n"/>
      <c r="P822" s="692" t="n"/>
      <c r="Q822" s="692" t="n"/>
      <c r="R822" s="692" t="n"/>
      <c r="S822" s="692" t="n"/>
      <c r="T822" s="692" t="n"/>
      <c r="U822" s="692" t="n"/>
      <c r="V822" s="692" t="n"/>
      <c r="W822" s="692" t="n"/>
      <c r="X822" s="692" t="n"/>
      <c r="Y822" s="692" t="n"/>
      <c r="Z822" s="692" t="n"/>
      <c r="AA822" s="692" t="n"/>
      <c r="AB822" s="692" t="n"/>
      <c r="AC822" s="692" t="n"/>
      <c r="AD822" s="692" t="n"/>
      <c r="AE822" s="692" t="n"/>
      <c r="AF822" s="692" t="n"/>
      <c r="AG822" s="692" t="n"/>
      <c r="AH822" s="692" t="n"/>
      <c r="AI822" s="692" t="n"/>
      <c r="AJ822" s="692" t="n"/>
      <c r="AK822" s="692" t="n"/>
      <c r="AL822" s="692" t="n"/>
      <c r="AM822" s="692" t="n"/>
      <c r="AN822" s="692" t="n"/>
      <c r="AO822" s="692" t="n"/>
      <c r="AP822" s="692" t="n"/>
      <c r="AQ822" s="692" t="n"/>
      <c r="AR822" s="692" t="n"/>
      <c r="AS822" s="692" t="n"/>
    </row>
    <row r="823">
      <c r="A823" s="692" t="n"/>
      <c r="B823" s="692" t="n"/>
      <c r="C823" s="692" t="n"/>
      <c r="D823" s="692" t="n"/>
      <c r="E823" s="692" t="n"/>
      <c r="F823" s="692" t="n"/>
      <c r="G823" s="692" t="n"/>
      <c r="H823" s="692" t="n"/>
      <c r="I823" s="692" t="n"/>
      <c r="J823" s="692" t="n"/>
      <c r="K823" s="692" t="n"/>
      <c r="L823" s="692" t="n"/>
      <c r="M823" s="692" t="n"/>
      <c r="N823" s="692" t="n"/>
      <c r="O823" s="692" t="n"/>
      <c r="P823" s="692" t="n"/>
      <c r="Q823" s="692" t="n"/>
      <c r="R823" s="692" t="n"/>
      <c r="S823" s="692" t="n"/>
      <c r="T823" s="692" t="n"/>
      <c r="U823" s="692" t="n"/>
      <c r="V823" s="692" t="n"/>
      <c r="W823" s="692" t="n"/>
      <c r="X823" s="692" t="n"/>
      <c r="Y823" s="692" t="n"/>
      <c r="Z823" s="692" t="n"/>
      <c r="AA823" s="692" t="n"/>
      <c r="AB823" s="692" t="n"/>
      <c r="AC823" s="692" t="n"/>
      <c r="AD823" s="692" t="n"/>
      <c r="AE823" s="692" t="n"/>
      <c r="AF823" s="692" t="n"/>
      <c r="AG823" s="692" t="n"/>
      <c r="AH823" s="692" t="n"/>
      <c r="AI823" s="692" t="n"/>
      <c r="AJ823" s="692" t="n"/>
      <c r="AK823" s="692" t="n"/>
      <c r="AL823" s="692" t="n"/>
      <c r="AM823" s="692" t="n"/>
      <c r="AN823" s="692" t="n"/>
      <c r="AO823" s="692" t="n"/>
      <c r="AP823" s="692" t="n"/>
      <c r="AQ823" s="692" t="n"/>
      <c r="AR823" s="692" t="n"/>
      <c r="AS823" s="692" t="n"/>
    </row>
    <row r="824">
      <c r="A824" s="692" t="n"/>
      <c r="B824" s="692" t="n"/>
      <c r="C824" s="692" t="n"/>
      <c r="D824" s="692" t="n"/>
      <c r="E824" s="692" t="n"/>
      <c r="F824" s="692" t="n"/>
      <c r="G824" s="692" t="n"/>
      <c r="H824" s="692" t="n"/>
      <c r="I824" s="692" t="n"/>
      <c r="J824" s="692" t="n"/>
      <c r="K824" s="692" t="n"/>
      <c r="L824" s="692" t="n"/>
      <c r="M824" s="692" t="n"/>
      <c r="N824" s="692" t="n"/>
      <c r="O824" s="692" t="n"/>
      <c r="P824" s="692" t="n"/>
      <c r="Q824" s="692" t="n"/>
      <c r="R824" s="692" t="n"/>
      <c r="S824" s="692" t="n"/>
      <c r="T824" s="692" t="n"/>
      <c r="U824" s="692" t="n"/>
      <c r="V824" s="692" t="n"/>
      <c r="W824" s="692" t="n"/>
      <c r="X824" s="692" t="n"/>
      <c r="Y824" s="692" t="n"/>
      <c r="Z824" s="692" t="n"/>
      <c r="AA824" s="692" t="n"/>
      <c r="AB824" s="692" t="n"/>
      <c r="AC824" s="692" t="n"/>
      <c r="AD824" s="692" t="n"/>
      <c r="AE824" s="692" t="n"/>
      <c r="AF824" s="692" t="n"/>
      <c r="AG824" s="692" t="n"/>
      <c r="AH824" s="692" t="n"/>
      <c r="AI824" s="692" t="n"/>
      <c r="AJ824" s="692" t="n"/>
      <c r="AK824" s="692" t="n"/>
      <c r="AL824" s="692" t="n"/>
      <c r="AM824" s="692" t="n"/>
      <c r="AN824" s="692" t="n"/>
      <c r="AO824" s="692" t="n"/>
      <c r="AP824" s="692" t="n"/>
      <c r="AQ824" s="692" t="n"/>
      <c r="AR824" s="692" t="n"/>
      <c r="AS824" s="692" t="n"/>
    </row>
    <row r="825">
      <c r="A825" s="692" t="n"/>
      <c r="B825" s="692" t="n"/>
      <c r="C825" s="692" t="n"/>
      <c r="D825" s="692" t="n"/>
      <c r="E825" s="692" t="n"/>
      <c r="F825" s="692" t="n"/>
      <c r="G825" s="692" t="n"/>
      <c r="H825" s="692" t="n"/>
      <c r="I825" s="692" t="n"/>
      <c r="J825" s="692" t="n"/>
      <c r="K825" s="692" t="n"/>
      <c r="L825" s="692" t="n"/>
      <c r="M825" s="692" t="n"/>
      <c r="N825" s="692" t="n"/>
      <c r="O825" s="692" t="n"/>
      <c r="P825" s="692" t="n"/>
      <c r="Q825" s="692" t="n"/>
      <c r="R825" s="692" t="n"/>
      <c r="S825" s="692" t="n"/>
      <c r="T825" s="692" t="n"/>
      <c r="U825" s="692" t="n"/>
      <c r="V825" s="692" t="n"/>
      <c r="W825" s="692" t="n"/>
      <c r="X825" s="692" t="n"/>
      <c r="Y825" s="692" t="n"/>
      <c r="Z825" s="692" t="n"/>
      <c r="AA825" s="692" t="n"/>
      <c r="AB825" s="692" t="n"/>
      <c r="AC825" s="692" t="n"/>
      <c r="AD825" s="692" t="n"/>
      <c r="AE825" s="692" t="n"/>
      <c r="AF825" s="692" t="n"/>
      <c r="AG825" s="692" t="n"/>
      <c r="AH825" s="692" t="n"/>
      <c r="AI825" s="692" t="n"/>
      <c r="AJ825" s="692" t="n"/>
      <c r="AK825" s="692" t="n"/>
      <c r="AL825" s="692" t="n"/>
      <c r="AM825" s="692" t="n"/>
      <c r="AN825" s="692" t="n"/>
      <c r="AO825" s="692" t="n"/>
      <c r="AP825" s="692" t="n"/>
      <c r="AQ825" s="692" t="n"/>
      <c r="AR825" s="692" t="n"/>
      <c r="AS825" s="692" t="n"/>
    </row>
    <row r="826">
      <c r="A826" s="692" t="n"/>
      <c r="B826" s="692" t="n"/>
      <c r="C826" s="692" t="n"/>
      <c r="D826" s="692" t="n"/>
      <c r="E826" s="692" t="n"/>
      <c r="F826" s="692" t="n"/>
      <c r="G826" s="692" t="n"/>
      <c r="H826" s="692" t="n"/>
      <c r="I826" s="692" t="n"/>
      <c r="J826" s="692" t="n"/>
      <c r="K826" s="692" t="n"/>
      <c r="L826" s="692" t="n"/>
      <c r="M826" s="692" t="n"/>
      <c r="N826" s="692" t="n"/>
      <c r="O826" s="692" t="n"/>
      <c r="P826" s="692" t="n"/>
      <c r="Q826" s="692" t="n"/>
      <c r="R826" s="692" t="n"/>
      <c r="S826" s="692" t="n"/>
      <c r="T826" s="692" t="n"/>
      <c r="U826" s="692" t="n"/>
      <c r="V826" s="692" t="n"/>
      <c r="W826" s="692" t="n"/>
      <c r="X826" s="692" t="n"/>
      <c r="Y826" s="692" t="n"/>
      <c r="Z826" s="692" t="n"/>
      <c r="AA826" s="692" t="n"/>
      <c r="AB826" s="692" t="n"/>
      <c r="AC826" s="692" t="n"/>
      <c r="AD826" s="692" t="n"/>
      <c r="AE826" s="692" t="n"/>
      <c r="AF826" s="692" t="n"/>
      <c r="AG826" s="692" t="n"/>
      <c r="AH826" s="692" t="n"/>
      <c r="AI826" s="692" t="n"/>
      <c r="AJ826" s="692" t="n"/>
      <c r="AK826" s="692" t="n"/>
      <c r="AL826" s="692" t="n"/>
      <c r="AM826" s="692" t="n"/>
      <c r="AN826" s="692" t="n"/>
      <c r="AO826" s="692" t="n"/>
      <c r="AP826" s="692" t="n"/>
      <c r="AQ826" s="692" t="n"/>
      <c r="AR826" s="692" t="n"/>
      <c r="AS826" s="692" t="n"/>
    </row>
    <row r="827">
      <c r="A827" s="692" t="n"/>
      <c r="B827" s="692" t="n"/>
      <c r="C827" s="692" t="n"/>
      <c r="D827" s="692" t="n"/>
      <c r="E827" s="692" t="n"/>
      <c r="F827" s="692" t="n"/>
      <c r="G827" s="692" t="n"/>
      <c r="H827" s="692" t="n"/>
      <c r="I827" s="692" t="n"/>
      <c r="J827" s="692" t="n"/>
      <c r="K827" s="692" t="n"/>
      <c r="L827" s="692" t="n"/>
      <c r="M827" s="692" t="n"/>
      <c r="N827" s="692" t="n"/>
      <c r="O827" s="692" t="n"/>
      <c r="P827" s="692" t="n"/>
      <c r="Q827" s="692" t="n"/>
      <c r="R827" s="692" t="n"/>
      <c r="S827" s="692" t="n"/>
      <c r="T827" s="692" t="n"/>
      <c r="U827" s="692" t="n"/>
      <c r="V827" s="692" t="n"/>
      <c r="W827" s="692" t="n"/>
      <c r="X827" s="692" t="n"/>
      <c r="Y827" s="692" t="n"/>
      <c r="Z827" s="692" t="n"/>
      <c r="AA827" s="692" t="n"/>
      <c r="AB827" s="692" t="n"/>
      <c r="AC827" s="692" t="n"/>
      <c r="AD827" s="692" t="n"/>
      <c r="AE827" s="692" t="n"/>
      <c r="AF827" s="692" t="n"/>
      <c r="AG827" s="692" t="n"/>
      <c r="AH827" s="692" t="n"/>
      <c r="AI827" s="692" t="n"/>
      <c r="AJ827" s="692" t="n"/>
      <c r="AK827" s="692" t="n"/>
      <c r="AL827" s="692" t="n"/>
      <c r="AM827" s="692" t="n"/>
      <c r="AN827" s="692" t="n"/>
      <c r="AO827" s="692" t="n"/>
      <c r="AP827" s="692" t="n"/>
      <c r="AQ827" s="692" t="n"/>
      <c r="AR827" s="692" t="n"/>
      <c r="AS827" s="692" t="n"/>
    </row>
    <row r="828">
      <c r="A828" s="692" t="n"/>
      <c r="B828" s="692" t="n"/>
      <c r="C828" s="692" t="n"/>
      <c r="D828" s="692" t="n"/>
      <c r="E828" s="692" t="n"/>
      <c r="F828" s="692" t="n"/>
      <c r="G828" s="692" t="n"/>
      <c r="H828" s="692" t="n"/>
      <c r="I828" s="692" t="n"/>
      <c r="J828" s="692" t="n"/>
      <c r="K828" s="692" t="n"/>
      <c r="L828" s="692" t="n"/>
      <c r="M828" s="692" t="n"/>
      <c r="N828" s="692" t="n"/>
      <c r="O828" s="692" t="n"/>
      <c r="P828" s="692" t="n"/>
      <c r="Q828" s="692" t="n"/>
      <c r="R828" s="692" t="n"/>
      <c r="S828" s="692" t="n"/>
      <c r="T828" s="692" t="n"/>
      <c r="U828" s="692" t="n"/>
      <c r="V828" s="692" t="n"/>
      <c r="W828" s="692" t="n"/>
      <c r="X828" s="692" t="n"/>
      <c r="Y828" s="692" t="n"/>
      <c r="Z828" s="692" t="n"/>
      <c r="AA828" s="692" t="n"/>
      <c r="AB828" s="692" t="n"/>
      <c r="AC828" s="692" t="n"/>
      <c r="AD828" s="692" t="n"/>
      <c r="AE828" s="692" t="n"/>
      <c r="AF828" s="692" t="n"/>
      <c r="AG828" s="692" t="n"/>
      <c r="AH828" s="692" t="n"/>
      <c r="AI828" s="692" t="n"/>
      <c r="AJ828" s="692" t="n"/>
      <c r="AK828" s="692" t="n"/>
      <c r="AL828" s="692" t="n"/>
      <c r="AM828" s="692" t="n"/>
      <c r="AN828" s="692" t="n"/>
      <c r="AO828" s="692" t="n"/>
      <c r="AP828" s="692" t="n"/>
      <c r="AQ828" s="692" t="n"/>
      <c r="AR828" s="692" t="n"/>
      <c r="AS828" s="692" t="n"/>
    </row>
    <row r="829">
      <c r="A829" s="692" t="n"/>
      <c r="B829" s="692" t="n"/>
      <c r="C829" s="692" t="n"/>
      <c r="D829" s="692" t="n"/>
      <c r="E829" s="692" t="n"/>
      <c r="F829" s="692" t="n"/>
      <c r="G829" s="692" t="n"/>
      <c r="H829" s="692" t="n"/>
      <c r="I829" s="692" t="n"/>
      <c r="J829" s="692" t="n"/>
      <c r="K829" s="692" t="n"/>
      <c r="L829" s="692" t="n"/>
      <c r="M829" s="692" t="n"/>
      <c r="N829" s="692" t="n"/>
      <c r="O829" s="692" t="n"/>
      <c r="P829" s="692" t="n"/>
      <c r="Q829" s="692" t="n"/>
      <c r="R829" s="692" t="n"/>
      <c r="S829" s="692" t="n"/>
      <c r="T829" s="692" t="n"/>
      <c r="U829" s="692" t="n"/>
      <c r="V829" s="692" t="n"/>
      <c r="W829" s="692" t="n"/>
      <c r="X829" s="692" t="n"/>
      <c r="Y829" s="692" t="n"/>
      <c r="Z829" s="692" t="n"/>
      <c r="AA829" s="692" t="n"/>
      <c r="AB829" s="692" t="n"/>
      <c r="AC829" s="692" t="n"/>
      <c r="AD829" s="692" t="n"/>
      <c r="AE829" s="692" t="n"/>
      <c r="AF829" s="692" t="n"/>
      <c r="AG829" s="692" t="n"/>
      <c r="AH829" s="692" t="n"/>
      <c r="AI829" s="692" t="n"/>
      <c r="AJ829" s="692" t="n"/>
      <c r="AK829" s="692" t="n"/>
      <c r="AL829" s="692" t="n"/>
      <c r="AM829" s="692" t="n"/>
      <c r="AN829" s="692" t="n"/>
      <c r="AO829" s="692" t="n"/>
      <c r="AP829" s="692" t="n"/>
      <c r="AQ829" s="692" t="n"/>
      <c r="AR829" s="692" t="n"/>
      <c r="AS829" s="692" t="n"/>
    </row>
    <row r="830">
      <c r="A830" s="692" t="n"/>
      <c r="B830" s="692" t="n"/>
      <c r="C830" s="692" t="n"/>
      <c r="D830" s="692" t="n"/>
      <c r="E830" s="692" t="n"/>
      <c r="F830" s="692" t="n"/>
      <c r="G830" s="692" t="n"/>
      <c r="H830" s="692" t="n"/>
      <c r="I830" s="692" t="n"/>
      <c r="J830" s="692" t="n"/>
      <c r="K830" s="692" t="n"/>
      <c r="L830" s="692" t="n"/>
      <c r="M830" s="692" t="n"/>
      <c r="N830" s="692" t="n"/>
      <c r="O830" s="692" t="n"/>
      <c r="P830" s="692" t="n"/>
      <c r="Q830" s="692" t="n"/>
      <c r="R830" s="692" t="n"/>
      <c r="S830" s="692" t="n"/>
      <c r="T830" s="692" t="n"/>
      <c r="U830" s="692" t="n"/>
      <c r="V830" s="692" t="n"/>
      <c r="W830" s="692" t="n"/>
      <c r="X830" s="692" t="n"/>
      <c r="Y830" s="692" t="n"/>
      <c r="Z830" s="692" t="n"/>
      <c r="AA830" s="692" t="n"/>
      <c r="AB830" s="692" t="n"/>
      <c r="AC830" s="692" t="n"/>
      <c r="AD830" s="692" t="n"/>
      <c r="AE830" s="692" t="n"/>
      <c r="AF830" s="692" t="n"/>
      <c r="AG830" s="692" t="n"/>
      <c r="AH830" s="692" t="n"/>
      <c r="AI830" s="692" t="n"/>
      <c r="AJ830" s="692" t="n"/>
      <c r="AK830" s="692" t="n"/>
      <c r="AL830" s="692" t="n"/>
      <c r="AM830" s="692" t="n"/>
      <c r="AN830" s="692" t="n"/>
      <c r="AO830" s="692" t="n"/>
      <c r="AP830" s="692" t="n"/>
      <c r="AQ830" s="692" t="n"/>
      <c r="AR830" s="692" t="n"/>
      <c r="AS830" s="692" t="n"/>
    </row>
    <row r="831">
      <c r="A831" s="692" t="n"/>
      <c r="B831" s="692" t="n"/>
      <c r="C831" s="692" t="n"/>
      <c r="D831" s="692" t="n"/>
      <c r="E831" s="692" t="n"/>
      <c r="F831" s="692" t="n"/>
      <c r="G831" s="692" t="n"/>
      <c r="H831" s="692" t="n"/>
      <c r="I831" s="692" t="n"/>
      <c r="J831" s="692" t="n"/>
      <c r="K831" s="692" t="n"/>
      <c r="L831" s="692" t="n"/>
      <c r="M831" s="692" t="n"/>
      <c r="N831" s="692" t="n"/>
      <c r="O831" s="692" t="n"/>
      <c r="P831" s="692" t="n"/>
      <c r="Q831" s="692" t="n"/>
      <c r="R831" s="692" t="n"/>
      <c r="S831" s="692" t="n"/>
      <c r="T831" s="692" t="n"/>
      <c r="U831" s="692" t="n"/>
      <c r="V831" s="692" t="n"/>
      <c r="W831" s="692" t="n"/>
      <c r="X831" s="692" t="n"/>
      <c r="Y831" s="692" t="n"/>
      <c r="Z831" s="692" t="n"/>
      <c r="AA831" s="692" t="n"/>
      <c r="AB831" s="692" t="n"/>
      <c r="AC831" s="692" t="n"/>
      <c r="AD831" s="692" t="n"/>
      <c r="AE831" s="692" t="n"/>
      <c r="AF831" s="692" t="n"/>
      <c r="AG831" s="692" t="n"/>
      <c r="AH831" s="692" t="n"/>
      <c r="AI831" s="692" t="n"/>
      <c r="AJ831" s="692" t="n"/>
      <c r="AK831" s="692" t="n"/>
      <c r="AL831" s="692" t="n"/>
      <c r="AM831" s="692" t="n"/>
      <c r="AN831" s="692" t="n"/>
      <c r="AO831" s="692" t="n"/>
      <c r="AP831" s="692" t="n"/>
      <c r="AQ831" s="692" t="n"/>
      <c r="AR831" s="692" t="n"/>
      <c r="AS831" s="692" t="n"/>
    </row>
    <row r="832">
      <c r="A832" s="692" t="n"/>
      <c r="B832" s="692" t="n"/>
      <c r="C832" s="692" t="n"/>
      <c r="D832" s="692" t="n"/>
      <c r="E832" s="692" t="n"/>
      <c r="F832" s="692" t="n"/>
      <c r="G832" s="692" t="n"/>
      <c r="H832" s="692" t="n"/>
      <c r="I832" s="692" t="n"/>
      <c r="J832" s="692" t="n"/>
      <c r="K832" s="692" t="n"/>
      <c r="L832" s="692" t="n"/>
      <c r="M832" s="692" t="n"/>
      <c r="N832" s="692" t="n"/>
      <c r="O832" s="692" t="n"/>
      <c r="P832" s="692" t="n"/>
      <c r="Q832" s="692" t="n"/>
      <c r="R832" s="692" t="n"/>
      <c r="S832" s="692" t="n"/>
      <c r="T832" s="692" t="n"/>
      <c r="U832" s="692" t="n"/>
      <c r="V832" s="692" t="n"/>
      <c r="W832" s="692" t="n"/>
      <c r="X832" s="692" t="n"/>
      <c r="Y832" s="692" t="n"/>
      <c r="Z832" s="692" t="n"/>
      <c r="AA832" s="692" t="n"/>
      <c r="AB832" s="692" t="n"/>
      <c r="AC832" s="692" t="n"/>
      <c r="AD832" s="692" t="n"/>
      <c r="AE832" s="692" t="n"/>
      <c r="AF832" s="692" t="n"/>
      <c r="AG832" s="692" t="n"/>
      <c r="AH832" s="692" t="n"/>
      <c r="AI832" s="692" t="n"/>
      <c r="AJ832" s="692" t="n"/>
      <c r="AK832" s="692" t="n"/>
      <c r="AL832" s="692" t="n"/>
      <c r="AM832" s="692" t="n"/>
      <c r="AN832" s="692" t="n"/>
      <c r="AO832" s="692" t="n"/>
      <c r="AP832" s="692" t="n"/>
      <c r="AQ832" s="692" t="n"/>
      <c r="AR832" s="692" t="n"/>
      <c r="AS832" s="692" t="n"/>
    </row>
    <row r="833">
      <c r="A833" s="692" t="n"/>
      <c r="B833" s="692" t="n"/>
      <c r="C833" s="692" t="n"/>
      <c r="D833" s="692" t="n"/>
      <c r="E833" s="692" t="n"/>
      <c r="F833" s="692" t="n"/>
      <c r="G833" s="692" t="n"/>
      <c r="H833" s="692" t="n"/>
      <c r="I833" s="692" t="n"/>
      <c r="J833" s="692" t="n"/>
      <c r="K833" s="692" t="n"/>
      <c r="L833" s="692" t="n"/>
      <c r="M833" s="692" t="n"/>
      <c r="N833" s="692" t="n"/>
      <c r="O833" s="692" t="n"/>
      <c r="P833" s="692" t="n"/>
      <c r="Q833" s="692" t="n"/>
      <c r="R833" s="692" t="n"/>
      <c r="S833" s="692" t="n"/>
      <c r="T833" s="692" t="n"/>
      <c r="U833" s="692" t="n"/>
      <c r="V833" s="692" t="n"/>
      <c r="W833" s="692" t="n"/>
      <c r="X833" s="692" t="n"/>
      <c r="Y833" s="692" t="n"/>
      <c r="Z833" s="692" t="n"/>
      <c r="AA833" s="692" t="n"/>
      <c r="AB833" s="692" t="n"/>
      <c r="AC833" s="692" t="n"/>
      <c r="AD833" s="692" t="n"/>
      <c r="AE833" s="692" t="n"/>
      <c r="AF833" s="692" t="n"/>
      <c r="AG833" s="692" t="n"/>
      <c r="AH833" s="692" t="n"/>
      <c r="AI833" s="692" t="n"/>
      <c r="AJ833" s="692" t="n"/>
      <c r="AK833" s="692" t="n"/>
      <c r="AL833" s="692" t="n"/>
      <c r="AM833" s="692" t="n"/>
      <c r="AN833" s="692" t="n"/>
      <c r="AO833" s="692" t="n"/>
      <c r="AP833" s="692" t="n"/>
      <c r="AQ833" s="692" t="n"/>
      <c r="AR833" s="692" t="n"/>
      <c r="AS833" s="692" t="n"/>
    </row>
    <row r="834">
      <c r="A834" s="692" t="n"/>
      <c r="B834" s="692" t="n"/>
      <c r="C834" s="692" t="n"/>
      <c r="D834" s="692" t="n"/>
      <c r="E834" s="692" t="n"/>
      <c r="F834" s="692" t="n"/>
      <c r="G834" s="692" t="n"/>
      <c r="H834" s="692" t="n"/>
      <c r="I834" s="692" t="n"/>
      <c r="J834" s="692" t="n"/>
      <c r="K834" s="692" t="n"/>
      <c r="L834" s="692" t="n"/>
      <c r="M834" s="692" t="n"/>
      <c r="N834" s="692" t="n"/>
      <c r="O834" s="692" t="n"/>
      <c r="P834" s="692" t="n"/>
      <c r="Q834" s="692" t="n"/>
      <c r="R834" s="692" t="n"/>
      <c r="S834" s="692" t="n"/>
      <c r="T834" s="692" t="n"/>
      <c r="U834" s="692" t="n"/>
      <c r="V834" s="692" t="n"/>
      <c r="W834" s="692" t="n"/>
      <c r="X834" s="692" t="n"/>
      <c r="Y834" s="692" t="n"/>
      <c r="Z834" s="692" t="n"/>
      <c r="AA834" s="692" t="n"/>
      <c r="AB834" s="692" t="n"/>
      <c r="AC834" s="692" t="n"/>
      <c r="AD834" s="692" t="n"/>
      <c r="AE834" s="692" t="n"/>
      <c r="AF834" s="692" t="n"/>
      <c r="AG834" s="692" t="n"/>
      <c r="AH834" s="692" t="n"/>
      <c r="AI834" s="692" t="n"/>
      <c r="AJ834" s="692" t="n"/>
      <c r="AK834" s="692" t="n"/>
      <c r="AL834" s="692" t="n"/>
      <c r="AM834" s="692" t="n"/>
      <c r="AN834" s="692" t="n"/>
      <c r="AO834" s="692" t="n"/>
      <c r="AP834" s="692" t="n"/>
      <c r="AQ834" s="692" t="n"/>
      <c r="AR834" s="692" t="n"/>
      <c r="AS834" s="692" t="n"/>
    </row>
    <row r="835">
      <c r="A835" s="692" t="n"/>
      <c r="B835" s="692" t="n"/>
      <c r="C835" s="692" t="n"/>
      <c r="D835" s="692" t="n"/>
      <c r="E835" s="692" t="n"/>
      <c r="F835" s="692" t="n"/>
      <c r="G835" s="692" t="n"/>
      <c r="H835" s="692" t="n"/>
      <c r="I835" s="692" t="n"/>
      <c r="J835" s="692" t="n"/>
      <c r="K835" s="692" t="n"/>
      <c r="L835" s="692" t="n"/>
      <c r="M835" s="692" t="n"/>
      <c r="N835" s="692" t="n"/>
      <c r="O835" s="692" t="n"/>
      <c r="P835" s="692" t="n"/>
      <c r="Q835" s="692" t="n"/>
      <c r="R835" s="692" t="n"/>
      <c r="S835" s="692" t="n"/>
      <c r="T835" s="692" t="n"/>
      <c r="U835" s="692" t="n"/>
      <c r="V835" s="692" t="n"/>
      <c r="W835" s="692" t="n"/>
      <c r="X835" s="692" t="n"/>
      <c r="Y835" s="692" t="n"/>
      <c r="Z835" s="692" t="n"/>
      <c r="AA835" s="692" t="n"/>
      <c r="AB835" s="692" t="n"/>
      <c r="AC835" s="692" t="n"/>
      <c r="AD835" s="692" t="n"/>
      <c r="AE835" s="692" t="n"/>
      <c r="AF835" s="692" t="n"/>
      <c r="AG835" s="692" t="n"/>
      <c r="AH835" s="692" t="n"/>
      <c r="AI835" s="692" t="n"/>
      <c r="AJ835" s="692" t="n"/>
      <c r="AK835" s="692" t="n"/>
      <c r="AL835" s="692" t="n"/>
      <c r="AM835" s="692" t="n"/>
      <c r="AN835" s="692" t="n"/>
      <c r="AO835" s="692" t="n"/>
      <c r="AP835" s="692" t="n"/>
      <c r="AQ835" s="692" t="n"/>
      <c r="AR835" s="692" t="n"/>
      <c r="AS835" s="692" t="n"/>
    </row>
    <row r="836">
      <c r="A836" s="692" t="n"/>
      <c r="B836" s="692" t="n"/>
      <c r="C836" s="692" t="n"/>
      <c r="D836" s="692" t="n"/>
      <c r="E836" s="692" t="n"/>
      <c r="F836" s="692" t="n"/>
      <c r="G836" s="692" t="n"/>
      <c r="H836" s="692" t="n"/>
      <c r="I836" s="692" t="n"/>
      <c r="J836" s="692" t="n"/>
      <c r="K836" s="692" t="n"/>
      <c r="L836" s="692" t="n"/>
      <c r="M836" s="692" t="n"/>
      <c r="N836" s="692" t="n"/>
      <c r="O836" s="692" t="n"/>
      <c r="P836" s="692" t="n"/>
      <c r="Q836" s="692" t="n"/>
      <c r="R836" s="692" t="n"/>
      <c r="S836" s="692" t="n"/>
      <c r="T836" s="692" t="n"/>
      <c r="U836" s="692" t="n"/>
      <c r="V836" s="692" t="n"/>
      <c r="W836" s="692" t="n"/>
      <c r="X836" s="692" t="n"/>
      <c r="Y836" s="692" t="n"/>
      <c r="Z836" s="692" t="n"/>
      <c r="AA836" s="692" t="n"/>
      <c r="AB836" s="692" t="n"/>
      <c r="AC836" s="692" t="n"/>
      <c r="AD836" s="692" t="n"/>
      <c r="AE836" s="692" t="n"/>
      <c r="AF836" s="692" t="n"/>
      <c r="AG836" s="692" t="n"/>
      <c r="AH836" s="692" t="n"/>
      <c r="AI836" s="692" t="n"/>
      <c r="AJ836" s="692" t="n"/>
      <c r="AK836" s="692" t="n"/>
      <c r="AL836" s="692" t="n"/>
      <c r="AM836" s="692" t="n"/>
      <c r="AN836" s="692" t="n"/>
      <c r="AO836" s="692" t="n"/>
      <c r="AP836" s="692" t="n"/>
      <c r="AQ836" s="692" t="n"/>
      <c r="AR836" s="692" t="n"/>
      <c r="AS836" s="692" t="n"/>
    </row>
    <row r="837">
      <c r="A837" s="692" t="n"/>
      <c r="B837" s="692" t="n"/>
      <c r="C837" s="692" t="n"/>
      <c r="D837" s="692" t="n"/>
      <c r="E837" s="692" t="n"/>
      <c r="F837" s="692" t="n"/>
      <c r="G837" s="692" t="n"/>
      <c r="H837" s="692" t="n"/>
      <c r="I837" s="692" t="n"/>
      <c r="J837" s="692" t="n"/>
      <c r="K837" s="692" t="n"/>
      <c r="L837" s="692" t="n"/>
      <c r="M837" s="692" t="n"/>
      <c r="N837" s="692" t="n"/>
      <c r="O837" s="692" t="n"/>
      <c r="P837" s="692" t="n"/>
      <c r="Q837" s="692" t="n"/>
      <c r="R837" s="692" t="n"/>
      <c r="S837" s="692" t="n"/>
      <c r="T837" s="692" t="n"/>
      <c r="U837" s="692" t="n"/>
      <c r="V837" s="692" t="n"/>
      <c r="W837" s="692" t="n"/>
      <c r="X837" s="692" t="n"/>
      <c r="Y837" s="692" t="n"/>
      <c r="Z837" s="692" t="n"/>
      <c r="AA837" s="692" t="n"/>
      <c r="AB837" s="692" t="n"/>
      <c r="AC837" s="692" t="n"/>
      <c r="AD837" s="692" t="n"/>
      <c r="AE837" s="692" t="n"/>
      <c r="AF837" s="692" t="n"/>
      <c r="AG837" s="692" t="n"/>
      <c r="AH837" s="692" t="n"/>
      <c r="AI837" s="692" t="n"/>
      <c r="AJ837" s="692" t="n"/>
      <c r="AK837" s="692" t="n"/>
      <c r="AL837" s="692" t="n"/>
      <c r="AM837" s="692" t="n"/>
      <c r="AN837" s="692" t="n"/>
      <c r="AO837" s="692" t="n"/>
      <c r="AP837" s="692" t="n"/>
      <c r="AQ837" s="692" t="n"/>
      <c r="AR837" s="692" t="n"/>
      <c r="AS837" s="692" t="n"/>
    </row>
    <row r="838">
      <c r="A838" s="692" t="n"/>
      <c r="B838" s="692" t="n"/>
      <c r="C838" s="692" t="n"/>
      <c r="D838" s="692" t="n"/>
      <c r="E838" s="692" t="n"/>
      <c r="F838" s="692" t="n"/>
      <c r="G838" s="692" t="n"/>
      <c r="H838" s="692" t="n"/>
      <c r="I838" s="692" t="n"/>
      <c r="J838" s="692" t="n"/>
      <c r="K838" s="692" t="n"/>
      <c r="L838" s="692" t="n"/>
      <c r="M838" s="692" t="n"/>
      <c r="N838" s="692" t="n"/>
      <c r="O838" s="692" t="n"/>
      <c r="P838" s="692" t="n"/>
      <c r="Q838" s="692" t="n"/>
      <c r="R838" s="692" t="n"/>
      <c r="S838" s="692" t="n"/>
      <c r="T838" s="692" t="n"/>
      <c r="U838" s="692" t="n"/>
      <c r="V838" s="692" t="n"/>
      <c r="W838" s="692" t="n"/>
      <c r="X838" s="692" t="n"/>
      <c r="Y838" s="692" t="n"/>
      <c r="Z838" s="692" t="n"/>
      <c r="AA838" s="692" t="n"/>
      <c r="AB838" s="692" t="n"/>
      <c r="AC838" s="692" t="n"/>
      <c r="AD838" s="692" t="n"/>
      <c r="AE838" s="692" t="n"/>
      <c r="AF838" s="692" t="n"/>
      <c r="AG838" s="692" t="n"/>
      <c r="AH838" s="692" t="n"/>
      <c r="AI838" s="692" t="n"/>
      <c r="AJ838" s="692" t="n"/>
      <c r="AK838" s="692" t="n"/>
      <c r="AL838" s="692" t="n"/>
      <c r="AM838" s="692" t="n"/>
      <c r="AN838" s="692" t="n"/>
      <c r="AO838" s="692" t="n"/>
      <c r="AP838" s="692" t="n"/>
      <c r="AQ838" s="692" t="n"/>
      <c r="AR838" s="692" t="n"/>
      <c r="AS838" s="692" t="n"/>
    </row>
    <row r="839">
      <c r="A839" s="692" t="n"/>
      <c r="B839" s="692" t="n"/>
      <c r="C839" s="692" t="n"/>
      <c r="D839" s="692" t="n"/>
      <c r="E839" s="692" t="n"/>
      <c r="F839" s="692" t="n"/>
      <c r="G839" s="692" t="n"/>
      <c r="H839" s="692" t="n"/>
      <c r="I839" s="692" t="n"/>
      <c r="J839" s="692" t="n"/>
      <c r="K839" s="692" t="n"/>
      <c r="L839" s="692" t="n"/>
      <c r="M839" s="692" t="n"/>
      <c r="N839" s="692" t="n"/>
      <c r="O839" s="692" t="n"/>
      <c r="P839" s="692" t="n"/>
      <c r="Q839" s="692" t="n"/>
      <c r="R839" s="692" t="n"/>
      <c r="S839" s="692" t="n"/>
      <c r="T839" s="692" t="n"/>
      <c r="U839" s="692" t="n"/>
      <c r="V839" s="692" t="n"/>
      <c r="W839" s="692" t="n"/>
      <c r="X839" s="692" t="n"/>
      <c r="Y839" s="692" t="n"/>
      <c r="Z839" s="692" t="n"/>
      <c r="AA839" s="692" t="n"/>
      <c r="AB839" s="692" t="n"/>
      <c r="AC839" s="692" t="n"/>
      <c r="AD839" s="692" t="n"/>
      <c r="AE839" s="692" t="n"/>
      <c r="AF839" s="692" t="n"/>
      <c r="AG839" s="692" t="n"/>
      <c r="AH839" s="692" t="n"/>
      <c r="AI839" s="692" t="n"/>
      <c r="AJ839" s="692" t="n"/>
      <c r="AK839" s="692" t="n"/>
      <c r="AL839" s="692" t="n"/>
      <c r="AM839" s="692" t="n"/>
      <c r="AN839" s="692" t="n"/>
      <c r="AO839" s="692" t="n"/>
      <c r="AP839" s="692" t="n"/>
      <c r="AQ839" s="692" t="n"/>
      <c r="AR839" s="692" t="n"/>
      <c r="AS839" s="692" t="n"/>
    </row>
    <row r="840">
      <c r="A840" s="692" t="n"/>
      <c r="B840" s="692" t="n"/>
      <c r="C840" s="692" t="n"/>
      <c r="D840" s="692" t="n"/>
      <c r="E840" s="692" t="n"/>
      <c r="F840" s="692" t="n"/>
      <c r="G840" s="692" t="n"/>
      <c r="H840" s="692" t="n"/>
      <c r="I840" s="692" t="n"/>
      <c r="J840" s="692" t="n"/>
      <c r="K840" s="692" t="n"/>
      <c r="L840" s="692" t="n"/>
      <c r="M840" s="692" t="n"/>
      <c r="N840" s="692" t="n"/>
      <c r="O840" s="692" t="n"/>
      <c r="P840" s="692" t="n"/>
      <c r="Q840" s="692" t="n"/>
      <c r="R840" s="692" t="n"/>
      <c r="S840" s="692" t="n"/>
      <c r="T840" s="692" t="n"/>
      <c r="U840" s="692" t="n"/>
      <c r="V840" s="692" t="n"/>
      <c r="W840" s="692" t="n"/>
      <c r="X840" s="692" t="n"/>
      <c r="Y840" s="692" t="n"/>
      <c r="Z840" s="692" t="n"/>
      <c r="AA840" s="692" t="n"/>
      <c r="AB840" s="692" t="n"/>
      <c r="AC840" s="692" t="n"/>
      <c r="AD840" s="692" t="n"/>
      <c r="AE840" s="692" t="n"/>
      <c r="AF840" s="692" t="n"/>
      <c r="AG840" s="692" t="n"/>
      <c r="AH840" s="692" t="n"/>
      <c r="AI840" s="692" t="n"/>
      <c r="AJ840" s="692" t="n"/>
      <c r="AK840" s="692" t="n"/>
      <c r="AL840" s="692" t="n"/>
      <c r="AM840" s="692" t="n"/>
      <c r="AN840" s="692" t="n"/>
      <c r="AO840" s="692" t="n"/>
      <c r="AP840" s="692" t="n"/>
      <c r="AQ840" s="692" t="n"/>
      <c r="AR840" s="692" t="n"/>
      <c r="AS840" s="692" t="n"/>
    </row>
    <row r="841">
      <c r="A841" s="692" t="n"/>
      <c r="B841" s="692" t="n"/>
      <c r="C841" s="692" t="n"/>
      <c r="D841" s="692" t="n"/>
      <c r="E841" s="692" t="n"/>
      <c r="F841" s="692" t="n"/>
      <c r="G841" s="692" t="n"/>
      <c r="H841" s="692" t="n"/>
      <c r="I841" s="692" t="n"/>
      <c r="J841" s="692" t="n"/>
      <c r="K841" s="692" t="n"/>
      <c r="L841" s="692" t="n"/>
      <c r="M841" s="692" t="n"/>
      <c r="N841" s="692" t="n"/>
      <c r="O841" s="692" t="n"/>
      <c r="P841" s="692" t="n"/>
      <c r="Q841" s="692" t="n"/>
      <c r="R841" s="692" t="n"/>
      <c r="S841" s="692" t="n"/>
      <c r="T841" s="692" t="n"/>
      <c r="U841" s="692" t="n"/>
      <c r="V841" s="692" t="n"/>
      <c r="W841" s="692" t="n"/>
      <c r="X841" s="692" t="n"/>
      <c r="Y841" s="692" t="n"/>
      <c r="Z841" s="692" t="n"/>
      <c r="AA841" s="692" t="n"/>
      <c r="AB841" s="692" t="n"/>
      <c r="AC841" s="692" t="n"/>
      <c r="AD841" s="692" t="n"/>
      <c r="AE841" s="692" t="n"/>
      <c r="AF841" s="692" t="n"/>
      <c r="AG841" s="692" t="n"/>
      <c r="AH841" s="692" t="n"/>
      <c r="AI841" s="692" t="n"/>
      <c r="AJ841" s="692" t="n"/>
      <c r="AK841" s="692" t="n"/>
      <c r="AL841" s="692" t="n"/>
      <c r="AM841" s="692" t="n"/>
      <c r="AN841" s="692" t="n"/>
      <c r="AO841" s="692" t="n"/>
      <c r="AP841" s="692" t="n"/>
      <c r="AQ841" s="692" t="n"/>
      <c r="AR841" s="692" t="n"/>
      <c r="AS841" s="692" t="n"/>
    </row>
    <row r="842">
      <c r="A842" s="692" t="n"/>
      <c r="B842" s="692" t="n"/>
      <c r="C842" s="692" t="n"/>
      <c r="D842" s="692" t="n"/>
      <c r="E842" s="692" t="n"/>
      <c r="F842" s="692" t="n"/>
      <c r="G842" s="692" t="n"/>
      <c r="H842" s="692" t="n"/>
      <c r="I842" s="692" t="n"/>
      <c r="J842" s="692" t="n"/>
      <c r="K842" s="692" t="n"/>
      <c r="L842" s="692" t="n"/>
      <c r="M842" s="692" t="n"/>
      <c r="N842" s="692" t="n"/>
      <c r="O842" s="692" t="n"/>
      <c r="P842" s="692" t="n"/>
      <c r="Q842" s="692" t="n"/>
      <c r="R842" s="692" t="n"/>
      <c r="S842" s="692" t="n"/>
      <c r="T842" s="692" t="n"/>
      <c r="U842" s="692" t="n"/>
      <c r="V842" s="692" t="n"/>
      <c r="W842" s="692" t="n"/>
      <c r="X842" s="692" t="n"/>
      <c r="Y842" s="692" t="n"/>
      <c r="Z842" s="692" t="n"/>
      <c r="AA842" s="692" t="n"/>
      <c r="AB842" s="692" t="n"/>
      <c r="AC842" s="692" t="n"/>
      <c r="AD842" s="692" t="n"/>
      <c r="AE842" s="692" t="n"/>
      <c r="AF842" s="692" t="n"/>
      <c r="AG842" s="692" t="n"/>
      <c r="AH842" s="692" t="n"/>
      <c r="AI842" s="692" t="n"/>
      <c r="AJ842" s="692" t="n"/>
      <c r="AK842" s="692" t="n"/>
      <c r="AL842" s="692" t="n"/>
      <c r="AM842" s="692" t="n"/>
      <c r="AN842" s="692" t="n"/>
      <c r="AO842" s="692" t="n"/>
      <c r="AP842" s="692" t="n"/>
      <c r="AQ842" s="692" t="n"/>
      <c r="AR842" s="692" t="n"/>
      <c r="AS842" s="692" t="n"/>
    </row>
    <row r="843">
      <c r="A843" s="692" t="n"/>
      <c r="B843" s="692" t="n"/>
      <c r="C843" s="692" t="n"/>
      <c r="D843" s="692" t="n"/>
      <c r="E843" s="692" t="n"/>
      <c r="F843" s="692" t="n"/>
      <c r="G843" s="692" t="n"/>
      <c r="H843" s="692" t="n"/>
      <c r="I843" s="692" t="n"/>
      <c r="J843" s="692" t="n"/>
      <c r="K843" s="692" t="n"/>
      <c r="L843" s="692" t="n"/>
      <c r="M843" s="692" t="n"/>
      <c r="N843" s="692" t="n"/>
      <c r="O843" s="692" t="n"/>
      <c r="P843" s="692" t="n"/>
      <c r="Q843" s="692" t="n"/>
      <c r="R843" s="692" t="n"/>
      <c r="S843" s="692" t="n"/>
      <c r="T843" s="692" t="n"/>
      <c r="U843" s="692" t="n"/>
      <c r="V843" s="692" t="n"/>
      <c r="W843" s="692" t="n"/>
      <c r="X843" s="692" t="n"/>
      <c r="Y843" s="692" t="n"/>
      <c r="Z843" s="692" t="n"/>
      <c r="AA843" s="692" t="n"/>
      <c r="AB843" s="692" t="n"/>
      <c r="AC843" s="692" t="n"/>
      <c r="AD843" s="692" t="n"/>
      <c r="AE843" s="692" t="n"/>
      <c r="AF843" s="692" t="n"/>
      <c r="AG843" s="692" t="n"/>
      <c r="AH843" s="692" t="n"/>
      <c r="AI843" s="692" t="n"/>
      <c r="AJ843" s="692" t="n"/>
      <c r="AK843" s="692" t="n"/>
      <c r="AL843" s="692" t="n"/>
      <c r="AM843" s="692" t="n"/>
      <c r="AN843" s="692" t="n"/>
      <c r="AO843" s="692" t="n"/>
      <c r="AP843" s="692" t="n"/>
      <c r="AQ843" s="692" t="n"/>
      <c r="AR843" s="692" t="n"/>
      <c r="AS843" s="692" t="n"/>
    </row>
    <row r="844">
      <c r="A844" s="692" t="n"/>
      <c r="B844" s="692" t="n"/>
      <c r="C844" s="692" t="n"/>
      <c r="D844" s="692" t="n"/>
      <c r="E844" s="692" t="n"/>
      <c r="F844" s="692" t="n"/>
      <c r="G844" s="692" t="n"/>
      <c r="H844" s="692" t="n"/>
      <c r="I844" s="692" t="n"/>
      <c r="J844" s="692" t="n"/>
      <c r="K844" s="692" t="n"/>
      <c r="L844" s="692" t="n"/>
      <c r="M844" s="692" t="n"/>
      <c r="N844" s="692" t="n"/>
      <c r="O844" s="692" t="n"/>
      <c r="P844" s="692" t="n"/>
      <c r="Q844" s="692" t="n"/>
      <c r="R844" s="692" t="n"/>
      <c r="S844" s="692" t="n"/>
      <c r="T844" s="692" t="n"/>
      <c r="U844" s="692" t="n"/>
      <c r="V844" s="692" t="n"/>
      <c r="W844" s="692" t="n"/>
      <c r="X844" s="692" t="n"/>
      <c r="Y844" s="692" t="n"/>
      <c r="Z844" s="692" t="n"/>
      <c r="AA844" s="692" t="n"/>
      <c r="AB844" s="692" t="n"/>
      <c r="AC844" s="692" t="n"/>
      <c r="AD844" s="692" t="n"/>
      <c r="AE844" s="692" t="n"/>
      <c r="AF844" s="692" t="n"/>
      <c r="AG844" s="692" t="n"/>
      <c r="AH844" s="692" t="n"/>
      <c r="AI844" s="692" t="n"/>
      <c r="AJ844" s="692" t="n"/>
      <c r="AK844" s="692" t="n"/>
      <c r="AL844" s="692" t="n"/>
      <c r="AM844" s="692" t="n"/>
      <c r="AN844" s="692" t="n"/>
      <c r="AO844" s="692" t="n"/>
      <c r="AP844" s="692" t="n"/>
      <c r="AQ844" s="692" t="n"/>
      <c r="AR844" s="692" t="n"/>
      <c r="AS844" s="692" t="n"/>
    </row>
    <row r="845">
      <c r="A845" s="692" t="n"/>
      <c r="B845" s="692" t="n"/>
      <c r="C845" s="692" t="n"/>
      <c r="D845" s="692" t="n"/>
      <c r="E845" s="692" t="n"/>
      <c r="F845" s="692" t="n"/>
      <c r="G845" s="692" t="n"/>
      <c r="H845" s="692" t="n"/>
      <c r="I845" s="692" t="n"/>
      <c r="J845" s="692" t="n"/>
      <c r="K845" s="692" t="n"/>
      <c r="L845" s="692" t="n"/>
      <c r="M845" s="692" t="n"/>
      <c r="N845" s="692" t="n"/>
      <c r="O845" s="692" t="n"/>
      <c r="P845" s="692" t="n"/>
      <c r="Q845" s="692" t="n"/>
      <c r="R845" s="692" t="n"/>
      <c r="S845" s="692" t="n"/>
      <c r="T845" s="692" t="n"/>
      <c r="U845" s="692" t="n"/>
      <c r="V845" s="692" t="n"/>
      <c r="W845" s="692" t="n"/>
      <c r="X845" s="692" t="n"/>
      <c r="Y845" s="692" t="n"/>
      <c r="Z845" s="692" t="n"/>
      <c r="AA845" s="692" t="n"/>
      <c r="AB845" s="692" t="n"/>
      <c r="AC845" s="692" t="n"/>
      <c r="AD845" s="692" t="n"/>
      <c r="AE845" s="692" t="n"/>
      <c r="AF845" s="692" t="n"/>
      <c r="AG845" s="692" t="n"/>
      <c r="AH845" s="692" t="n"/>
      <c r="AI845" s="692" t="n"/>
      <c r="AJ845" s="692" t="n"/>
      <c r="AK845" s="692" t="n"/>
      <c r="AL845" s="692" t="n"/>
      <c r="AM845" s="692" t="n"/>
      <c r="AN845" s="692" t="n"/>
      <c r="AO845" s="692" t="n"/>
      <c r="AP845" s="692" t="n"/>
      <c r="AQ845" s="692" t="n"/>
      <c r="AR845" s="692" t="n"/>
      <c r="AS845" s="692" t="n"/>
    </row>
    <row r="846">
      <c r="A846" s="692" t="n"/>
      <c r="B846" s="692" t="n"/>
      <c r="C846" s="692" t="n"/>
      <c r="D846" s="692" t="n"/>
      <c r="E846" s="692" t="n"/>
      <c r="F846" s="692" t="n"/>
      <c r="G846" s="692" t="n"/>
      <c r="H846" s="692" t="n"/>
      <c r="I846" s="692" t="n"/>
      <c r="J846" s="692" t="n"/>
      <c r="K846" s="692" t="n"/>
      <c r="L846" s="692" t="n"/>
      <c r="M846" s="692" t="n"/>
      <c r="N846" s="692" t="n"/>
      <c r="O846" s="692" t="n"/>
      <c r="P846" s="692" t="n"/>
      <c r="Q846" s="692" t="n"/>
      <c r="R846" s="692" t="n"/>
      <c r="S846" s="692" t="n"/>
      <c r="T846" s="692" t="n"/>
      <c r="U846" s="692" t="n"/>
      <c r="V846" s="692" t="n"/>
      <c r="W846" s="692" t="n"/>
      <c r="X846" s="692" t="n"/>
      <c r="Y846" s="692" t="n"/>
      <c r="Z846" s="692" t="n"/>
      <c r="AA846" s="692" t="n"/>
      <c r="AB846" s="692" t="n"/>
      <c r="AC846" s="692" t="n"/>
      <c r="AD846" s="692" t="n"/>
      <c r="AE846" s="692" t="n"/>
      <c r="AF846" s="692" t="n"/>
      <c r="AG846" s="692" t="n"/>
      <c r="AH846" s="692" t="n"/>
      <c r="AI846" s="692" t="n"/>
      <c r="AJ846" s="692" t="n"/>
      <c r="AK846" s="692" t="n"/>
      <c r="AL846" s="692" t="n"/>
      <c r="AM846" s="692" t="n"/>
      <c r="AN846" s="692" t="n"/>
      <c r="AO846" s="692" t="n"/>
      <c r="AP846" s="692" t="n"/>
      <c r="AQ846" s="692" t="n"/>
      <c r="AR846" s="692" t="n"/>
      <c r="AS846" s="692" t="n"/>
    </row>
    <row r="847">
      <c r="A847" s="692" t="n"/>
      <c r="B847" s="692" t="n"/>
      <c r="C847" s="692" t="n"/>
      <c r="D847" s="692" t="n"/>
      <c r="E847" s="692" t="n"/>
      <c r="F847" s="692" t="n"/>
      <c r="G847" s="692" t="n"/>
      <c r="H847" s="692" t="n"/>
      <c r="I847" s="692" t="n"/>
      <c r="J847" s="692" t="n"/>
      <c r="K847" s="692" t="n"/>
      <c r="L847" s="692" t="n"/>
      <c r="M847" s="692" t="n"/>
      <c r="N847" s="692" t="n"/>
      <c r="O847" s="692" t="n"/>
      <c r="P847" s="692" t="n"/>
      <c r="Q847" s="692" t="n"/>
      <c r="R847" s="692" t="n"/>
      <c r="S847" s="692" t="n"/>
      <c r="T847" s="692" t="n"/>
      <c r="U847" s="692" t="n"/>
      <c r="V847" s="692" t="n"/>
      <c r="W847" s="692" t="n"/>
      <c r="X847" s="692" t="n"/>
      <c r="Y847" s="692" t="n"/>
      <c r="Z847" s="692" t="n"/>
      <c r="AA847" s="692" t="n"/>
      <c r="AB847" s="692" t="n"/>
      <c r="AC847" s="692" t="n"/>
      <c r="AD847" s="692" t="n"/>
      <c r="AE847" s="692" t="n"/>
      <c r="AF847" s="692" t="n"/>
      <c r="AG847" s="692" t="n"/>
      <c r="AH847" s="692" t="n"/>
      <c r="AI847" s="692" t="n"/>
      <c r="AJ847" s="692" t="n"/>
      <c r="AK847" s="692" t="n"/>
      <c r="AL847" s="692" t="n"/>
      <c r="AM847" s="692" t="n"/>
      <c r="AN847" s="692" t="n"/>
      <c r="AO847" s="692" t="n"/>
      <c r="AP847" s="692" t="n"/>
      <c r="AQ847" s="692" t="n"/>
      <c r="AR847" s="692" t="n"/>
      <c r="AS847" s="692" t="n"/>
    </row>
    <row r="848">
      <c r="A848" s="692" t="n"/>
      <c r="B848" s="692" t="n"/>
      <c r="C848" s="692" t="n"/>
      <c r="D848" s="692" t="n"/>
      <c r="E848" s="692" t="n"/>
      <c r="F848" s="692" t="n"/>
      <c r="G848" s="692" t="n"/>
      <c r="H848" s="692" t="n"/>
      <c r="I848" s="692" t="n"/>
      <c r="J848" s="692" t="n"/>
      <c r="K848" s="692" t="n"/>
      <c r="L848" s="692" t="n"/>
      <c r="M848" s="692" t="n"/>
      <c r="N848" s="692" t="n"/>
      <c r="O848" s="692" t="n"/>
      <c r="P848" s="692" t="n"/>
      <c r="Q848" s="692" t="n"/>
      <c r="R848" s="692" t="n"/>
      <c r="S848" s="692" t="n"/>
      <c r="T848" s="692" t="n"/>
      <c r="U848" s="692" t="n"/>
      <c r="V848" s="692" t="n"/>
      <c r="W848" s="692" t="n"/>
      <c r="X848" s="692" t="n"/>
      <c r="Y848" s="692" t="n"/>
      <c r="Z848" s="692" t="n"/>
      <c r="AA848" s="692" t="n"/>
      <c r="AB848" s="692" t="n"/>
      <c r="AC848" s="692" t="n"/>
      <c r="AD848" s="692" t="n"/>
      <c r="AE848" s="692" t="n"/>
      <c r="AF848" s="692" t="n"/>
      <c r="AG848" s="692" t="n"/>
      <c r="AH848" s="692" t="n"/>
      <c r="AI848" s="692" t="n"/>
      <c r="AJ848" s="692" t="n"/>
      <c r="AK848" s="692" t="n"/>
      <c r="AL848" s="692" t="n"/>
      <c r="AM848" s="692" t="n"/>
      <c r="AN848" s="692" t="n"/>
      <c r="AO848" s="692" t="n"/>
      <c r="AP848" s="692" t="n"/>
      <c r="AQ848" s="692" t="n"/>
      <c r="AR848" s="692" t="n"/>
      <c r="AS848" s="692" t="n"/>
    </row>
    <row r="849">
      <c r="A849" s="692" t="n"/>
      <c r="B849" s="692" t="n"/>
      <c r="C849" s="692" t="n"/>
      <c r="D849" s="692" t="n"/>
      <c r="E849" s="692" t="n"/>
      <c r="F849" s="692" t="n"/>
      <c r="G849" s="692" t="n"/>
      <c r="H849" s="692" t="n"/>
      <c r="I849" s="692" t="n"/>
      <c r="J849" s="692" t="n"/>
      <c r="K849" s="692" t="n"/>
      <c r="L849" s="692" t="n"/>
      <c r="M849" s="692" t="n"/>
      <c r="N849" s="692" t="n"/>
      <c r="O849" s="692" t="n"/>
      <c r="P849" s="692" t="n"/>
      <c r="Q849" s="692" t="n"/>
      <c r="R849" s="692" t="n"/>
      <c r="S849" s="692" t="n"/>
      <c r="T849" s="692" t="n"/>
      <c r="U849" s="692" t="n"/>
      <c r="V849" s="692" t="n"/>
      <c r="W849" s="692" t="n"/>
      <c r="X849" s="692" t="n"/>
      <c r="Y849" s="692" t="n"/>
      <c r="Z849" s="692" t="n"/>
      <c r="AA849" s="692" t="n"/>
      <c r="AB849" s="692" t="n"/>
      <c r="AC849" s="692" t="n"/>
      <c r="AD849" s="692" t="n"/>
      <c r="AE849" s="692" t="n"/>
      <c r="AF849" s="692" t="n"/>
      <c r="AG849" s="692" t="n"/>
      <c r="AH849" s="692" t="n"/>
      <c r="AI849" s="692" t="n"/>
      <c r="AJ849" s="692" t="n"/>
      <c r="AK849" s="692" t="n"/>
      <c r="AL849" s="692" t="n"/>
      <c r="AM849" s="692" t="n"/>
      <c r="AN849" s="692" t="n"/>
      <c r="AO849" s="692" t="n"/>
      <c r="AP849" s="692" t="n"/>
      <c r="AQ849" s="692" t="n"/>
      <c r="AR849" s="692" t="n"/>
      <c r="AS849" s="692" t="n"/>
    </row>
    <row r="850">
      <c r="A850" s="692" t="n"/>
      <c r="B850" s="692" t="n"/>
      <c r="C850" s="692" t="n"/>
      <c r="D850" s="692" t="n"/>
      <c r="E850" s="692" t="n"/>
      <c r="F850" s="692" t="n"/>
      <c r="G850" s="692" t="n"/>
      <c r="H850" s="692" t="n"/>
      <c r="I850" s="692" t="n"/>
      <c r="J850" s="692" t="n"/>
      <c r="K850" s="692" t="n"/>
      <c r="L850" s="692" t="n"/>
      <c r="M850" s="692" t="n"/>
      <c r="N850" s="692" t="n"/>
      <c r="O850" s="692" t="n"/>
      <c r="P850" s="692" t="n"/>
      <c r="Q850" s="692" t="n"/>
      <c r="R850" s="692" t="n"/>
      <c r="S850" s="692" t="n"/>
      <c r="T850" s="692" t="n"/>
      <c r="U850" s="692" t="n"/>
      <c r="V850" s="692" t="n"/>
      <c r="W850" s="692" t="n"/>
      <c r="X850" s="692" t="n"/>
      <c r="Y850" s="692" t="n"/>
      <c r="Z850" s="692" t="n"/>
      <c r="AA850" s="692" t="n"/>
      <c r="AB850" s="692" t="n"/>
      <c r="AC850" s="692" t="n"/>
      <c r="AD850" s="692" t="n"/>
      <c r="AE850" s="692" t="n"/>
      <c r="AF850" s="692" t="n"/>
      <c r="AG850" s="692" t="n"/>
      <c r="AH850" s="692" t="n"/>
      <c r="AI850" s="692" t="n"/>
      <c r="AJ850" s="692" t="n"/>
      <c r="AK850" s="692" t="n"/>
      <c r="AL850" s="692" t="n"/>
      <c r="AM850" s="692" t="n"/>
      <c r="AN850" s="692" t="n"/>
      <c r="AO850" s="692" t="n"/>
      <c r="AP850" s="692" t="n"/>
      <c r="AQ850" s="692" t="n"/>
      <c r="AR850" s="692" t="n"/>
      <c r="AS850" s="692" t="n"/>
    </row>
    <row r="851">
      <c r="A851" s="692" t="n"/>
      <c r="B851" s="692" t="n"/>
      <c r="C851" s="692" t="n"/>
      <c r="D851" s="692" t="n"/>
      <c r="E851" s="692" t="n"/>
      <c r="F851" s="692" t="n"/>
      <c r="G851" s="692" t="n"/>
      <c r="H851" s="692" t="n"/>
      <c r="I851" s="692" t="n"/>
      <c r="J851" s="692" t="n"/>
      <c r="K851" s="692" t="n"/>
      <c r="L851" s="692" t="n"/>
      <c r="M851" s="692" t="n"/>
      <c r="N851" s="692" t="n"/>
      <c r="O851" s="692" t="n"/>
      <c r="P851" s="692" t="n"/>
      <c r="Q851" s="692" t="n"/>
      <c r="R851" s="692" t="n"/>
      <c r="S851" s="692" t="n"/>
      <c r="T851" s="692" t="n"/>
      <c r="U851" s="692" t="n"/>
      <c r="V851" s="692" t="n"/>
      <c r="W851" s="692" t="n"/>
      <c r="X851" s="692" t="n"/>
      <c r="Y851" s="692" t="n"/>
      <c r="Z851" s="692" t="n"/>
      <c r="AA851" s="692" t="n"/>
      <c r="AB851" s="692" t="n"/>
      <c r="AC851" s="692" t="n"/>
      <c r="AD851" s="692" t="n"/>
      <c r="AE851" s="692" t="n"/>
      <c r="AF851" s="692" t="n"/>
      <c r="AG851" s="692" t="n"/>
      <c r="AH851" s="692" t="n"/>
      <c r="AI851" s="692" t="n"/>
      <c r="AJ851" s="692" t="n"/>
      <c r="AK851" s="692" t="n"/>
      <c r="AL851" s="692" t="n"/>
      <c r="AM851" s="692" t="n"/>
      <c r="AN851" s="692" t="n"/>
      <c r="AO851" s="692" t="n"/>
      <c r="AP851" s="692" t="n"/>
      <c r="AQ851" s="692" t="n"/>
      <c r="AR851" s="692" t="n"/>
      <c r="AS851" s="692" t="n"/>
    </row>
    <row r="852">
      <c r="A852" s="692" t="n"/>
      <c r="B852" s="692" t="n"/>
      <c r="C852" s="692" t="n"/>
      <c r="D852" s="692" t="n"/>
      <c r="E852" s="692" t="n"/>
      <c r="F852" s="692" t="n"/>
      <c r="G852" s="692" t="n"/>
      <c r="H852" s="692" t="n"/>
      <c r="I852" s="692" t="n"/>
      <c r="J852" s="692" t="n"/>
      <c r="K852" s="692" t="n"/>
      <c r="L852" s="692" t="n"/>
      <c r="M852" s="692" t="n"/>
      <c r="N852" s="692" t="n"/>
      <c r="O852" s="692" t="n"/>
      <c r="P852" s="692" t="n"/>
      <c r="Q852" s="692" t="n"/>
      <c r="R852" s="692" t="n"/>
      <c r="S852" s="692" t="n"/>
      <c r="T852" s="692" t="n"/>
      <c r="U852" s="692" t="n"/>
      <c r="V852" s="692" t="n"/>
      <c r="W852" s="692" t="n"/>
      <c r="X852" s="692" t="n"/>
      <c r="Y852" s="692" t="n"/>
      <c r="Z852" s="692" t="n"/>
      <c r="AA852" s="692" t="n"/>
      <c r="AB852" s="692" t="n"/>
      <c r="AC852" s="692" t="n"/>
      <c r="AD852" s="692" t="n"/>
      <c r="AE852" s="692" t="n"/>
      <c r="AF852" s="692" t="n"/>
      <c r="AG852" s="692" t="n"/>
      <c r="AH852" s="692" t="n"/>
      <c r="AI852" s="692" t="n"/>
      <c r="AJ852" s="692" t="n"/>
      <c r="AK852" s="692" t="n"/>
      <c r="AL852" s="692" t="n"/>
      <c r="AM852" s="692" t="n"/>
      <c r="AN852" s="692" t="n"/>
      <c r="AO852" s="692" t="n"/>
      <c r="AP852" s="692" t="n"/>
      <c r="AQ852" s="692" t="n"/>
      <c r="AR852" s="692" t="n"/>
      <c r="AS852" s="692" t="n"/>
    </row>
    <row r="853">
      <c r="A853" s="692" t="n"/>
      <c r="B853" s="692" t="n"/>
      <c r="C853" s="692" t="n"/>
      <c r="D853" s="692" t="n"/>
      <c r="E853" s="692" t="n"/>
      <c r="F853" s="692" t="n"/>
      <c r="G853" s="692" t="n"/>
      <c r="H853" s="692" t="n"/>
      <c r="I853" s="692" t="n"/>
      <c r="J853" s="692" t="n"/>
      <c r="K853" s="692" t="n"/>
      <c r="L853" s="692" t="n"/>
      <c r="M853" s="692" t="n"/>
      <c r="N853" s="692" t="n"/>
      <c r="O853" s="692" t="n"/>
      <c r="P853" s="692" t="n"/>
      <c r="Q853" s="692" t="n"/>
      <c r="R853" s="692" t="n"/>
      <c r="S853" s="692" t="n"/>
      <c r="T853" s="692" t="n"/>
      <c r="U853" s="692" t="n"/>
      <c r="V853" s="692" t="n"/>
      <c r="W853" s="692" t="n"/>
      <c r="X853" s="692" t="n"/>
      <c r="Y853" s="692" t="n"/>
      <c r="Z853" s="692" t="n"/>
      <c r="AA853" s="692" t="n"/>
      <c r="AB853" s="692" t="n"/>
      <c r="AC853" s="692" t="n"/>
      <c r="AD853" s="692" t="n"/>
      <c r="AE853" s="692" t="n"/>
      <c r="AF853" s="692" t="n"/>
      <c r="AG853" s="692" t="n"/>
      <c r="AH853" s="692" t="n"/>
      <c r="AI853" s="692" t="n"/>
      <c r="AJ853" s="692" t="n"/>
      <c r="AK853" s="692" t="n"/>
      <c r="AL853" s="692" t="n"/>
      <c r="AM853" s="692" t="n"/>
      <c r="AN853" s="692" t="n"/>
      <c r="AO853" s="692" t="n"/>
      <c r="AP853" s="692" t="n"/>
      <c r="AQ853" s="692" t="n"/>
      <c r="AR853" s="692" t="n"/>
      <c r="AS853" s="692" t="n"/>
    </row>
    <row r="854">
      <c r="A854" s="692" t="n"/>
      <c r="B854" s="692" t="n"/>
      <c r="C854" s="692" t="n"/>
      <c r="D854" s="692" t="n"/>
      <c r="E854" s="692" t="n"/>
      <c r="F854" s="692" t="n"/>
      <c r="G854" s="692" t="n"/>
      <c r="H854" s="692" t="n"/>
      <c r="I854" s="692" t="n"/>
      <c r="J854" s="692" t="n"/>
      <c r="K854" s="692" t="n"/>
      <c r="L854" s="692" t="n"/>
      <c r="M854" s="692" t="n"/>
      <c r="N854" s="692" t="n"/>
      <c r="O854" s="692" t="n"/>
      <c r="P854" s="692" t="n"/>
      <c r="Q854" s="692" t="n"/>
      <c r="R854" s="692" t="n"/>
      <c r="S854" s="692" t="n"/>
      <c r="T854" s="692" t="n"/>
      <c r="U854" s="692" t="n"/>
      <c r="V854" s="692" t="n"/>
      <c r="W854" s="692" t="n"/>
      <c r="X854" s="692" t="n"/>
      <c r="Y854" s="692" t="n"/>
      <c r="Z854" s="692" t="n"/>
      <c r="AA854" s="692" t="n"/>
      <c r="AB854" s="692" t="n"/>
      <c r="AC854" s="692" t="n"/>
      <c r="AD854" s="692" t="n"/>
      <c r="AE854" s="692" t="n"/>
      <c r="AF854" s="692" t="n"/>
      <c r="AG854" s="692" t="n"/>
      <c r="AH854" s="692" t="n"/>
      <c r="AI854" s="692" t="n"/>
      <c r="AJ854" s="692" t="n"/>
      <c r="AK854" s="692" t="n"/>
      <c r="AL854" s="692" t="n"/>
      <c r="AM854" s="692" t="n"/>
      <c r="AN854" s="692" t="n"/>
      <c r="AO854" s="692" t="n"/>
      <c r="AP854" s="692" t="n"/>
      <c r="AQ854" s="692" t="n"/>
      <c r="AR854" s="692" t="n"/>
      <c r="AS854" s="692" t="n"/>
    </row>
    <row r="855">
      <c r="A855" s="692" t="n"/>
      <c r="B855" s="692" t="n"/>
      <c r="C855" s="692" t="n"/>
      <c r="D855" s="692" t="n"/>
      <c r="E855" s="692" t="n"/>
      <c r="F855" s="692" t="n"/>
      <c r="G855" s="692" t="n"/>
      <c r="H855" s="692" t="n"/>
      <c r="I855" s="692" t="n"/>
      <c r="J855" s="692" t="n"/>
      <c r="K855" s="692" t="n"/>
      <c r="L855" s="692" t="n"/>
      <c r="M855" s="692" t="n"/>
      <c r="N855" s="692" t="n"/>
      <c r="O855" s="692" t="n"/>
      <c r="P855" s="692" t="n"/>
      <c r="Q855" s="692" t="n"/>
      <c r="R855" s="692" t="n"/>
      <c r="S855" s="692" t="n"/>
      <c r="T855" s="692" t="n"/>
      <c r="U855" s="692" t="n"/>
      <c r="V855" s="692" t="n"/>
      <c r="W855" s="692" t="n"/>
      <c r="X855" s="692" t="n"/>
      <c r="Y855" s="692" t="n"/>
      <c r="Z855" s="692" t="n"/>
      <c r="AA855" s="692" t="n"/>
      <c r="AB855" s="692" t="n"/>
      <c r="AC855" s="692" t="n"/>
      <c r="AD855" s="692" t="n"/>
      <c r="AE855" s="692" t="n"/>
      <c r="AF855" s="692" t="n"/>
      <c r="AG855" s="692" t="n"/>
      <c r="AH855" s="692" t="n"/>
      <c r="AI855" s="692" t="n"/>
      <c r="AJ855" s="692" t="n"/>
      <c r="AK855" s="692" t="n"/>
      <c r="AL855" s="692" t="n"/>
      <c r="AM855" s="692" t="n"/>
      <c r="AN855" s="692" t="n"/>
      <c r="AO855" s="692" t="n"/>
      <c r="AP855" s="692" t="n"/>
      <c r="AQ855" s="692" t="n"/>
      <c r="AR855" s="692" t="n"/>
      <c r="AS855" s="692" t="n"/>
    </row>
    <row r="856">
      <c r="A856" s="692" t="n"/>
      <c r="B856" s="692" t="n"/>
      <c r="C856" s="692" t="n"/>
      <c r="D856" s="692" t="n"/>
      <c r="E856" s="692" t="n"/>
      <c r="F856" s="692" t="n"/>
      <c r="G856" s="692" t="n"/>
      <c r="H856" s="692" t="n"/>
      <c r="I856" s="692" t="n"/>
      <c r="J856" s="692" t="n"/>
      <c r="K856" s="692" t="n"/>
      <c r="L856" s="692" t="n"/>
      <c r="M856" s="692" t="n"/>
      <c r="N856" s="692" t="n"/>
      <c r="O856" s="692" t="n"/>
      <c r="P856" s="692" t="n"/>
      <c r="Q856" s="692" t="n"/>
      <c r="R856" s="692" t="n"/>
      <c r="S856" s="692" t="n"/>
      <c r="T856" s="692" t="n"/>
      <c r="U856" s="692" t="n"/>
      <c r="V856" s="692" t="n"/>
      <c r="W856" s="692" t="n"/>
      <c r="X856" s="692" t="n"/>
      <c r="Y856" s="692" t="n"/>
      <c r="Z856" s="692" t="n"/>
      <c r="AA856" s="692" t="n"/>
      <c r="AB856" s="692" t="n"/>
      <c r="AC856" s="692" t="n"/>
      <c r="AD856" s="692" t="n"/>
      <c r="AE856" s="692" t="n"/>
      <c r="AF856" s="692" t="n"/>
      <c r="AG856" s="692" t="n"/>
      <c r="AH856" s="692" t="n"/>
      <c r="AI856" s="692" t="n"/>
      <c r="AJ856" s="692" t="n"/>
      <c r="AK856" s="692" t="n"/>
      <c r="AL856" s="692" t="n"/>
      <c r="AM856" s="692" t="n"/>
      <c r="AN856" s="692" t="n"/>
      <c r="AO856" s="692" t="n"/>
      <c r="AP856" s="692" t="n"/>
      <c r="AQ856" s="692" t="n"/>
      <c r="AR856" s="692" t="n"/>
      <c r="AS856" s="692" t="n"/>
    </row>
    <row r="857">
      <c r="A857" s="692" t="n"/>
      <c r="B857" s="692" t="n"/>
      <c r="C857" s="692" t="n"/>
      <c r="D857" s="692" t="n"/>
      <c r="E857" s="692" t="n"/>
      <c r="F857" s="692" t="n"/>
      <c r="G857" s="692" t="n"/>
      <c r="H857" s="692" t="n"/>
      <c r="I857" s="692" t="n"/>
      <c r="J857" s="692" t="n"/>
      <c r="K857" s="692" t="n"/>
      <c r="L857" s="692" t="n"/>
      <c r="M857" s="692" t="n"/>
      <c r="N857" s="692" t="n"/>
      <c r="O857" s="692" t="n"/>
      <c r="P857" s="692" t="n"/>
      <c r="Q857" s="692" t="n"/>
      <c r="R857" s="692" t="n"/>
      <c r="S857" s="692" t="n"/>
      <c r="T857" s="692" t="n"/>
      <c r="U857" s="692" t="n"/>
      <c r="V857" s="692" t="n"/>
      <c r="W857" s="692" t="n"/>
      <c r="X857" s="692" t="n"/>
      <c r="Y857" s="692" t="n"/>
      <c r="Z857" s="692" t="n"/>
      <c r="AA857" s="692" t="n"/>
      <c r="AB857" s="692" t="n"/>
      <c r="AC857" s="692" t="n"/>
      <c r="AD857" s="692" t="n"/>
      <c r="AE857" s="692" t="n"/>
      <c r="AF857" s="692" t="n"/>
      <c r="AG857" s="692" t="n"/>
      <c r="AH857" s="692" t="n"/>
      <c r="AI857" s="692" t="n"/>
      <c r="AJ857" s="692" t="n"/>
      <c r="AK857" s="692" t="n"/>
      <c r="AL857" s="692" t="n"/>
      <c r="AM857" s="692" t="n"/>
      <c r="AN857" s="692" t="n"/>
      <c r="AO857" s="692" t="n"/>
      <c r="AP857" s="692" t="n"/>
      <c r="AQ857" s="692" t="n"/>
      <c r="AR857" s="692" t="n"/>
      <c r="AS857" s="692" t="n"/>
    </row>
    <row r="858">
      <c r="A858" s="692" t="n"/>
      <c r="B858" s="692" t="n"/>
      <c r="C858" s="692" t="n"/>
      <c r="D858" s="692" t="n"/>
      <c r="E858" s="692" t="n"/>
      <c r="F858" s="692" t="n"/>
      <c r="G858" s="692" t="n"/>
      <c r="H858" s="692" t="n"/>
      <c r="I858" s="692" t="n"/>
      <c r="J858" s="692" t="n"/>
      <c r="K858" s="692" t="n"/>
      <c r="L858" s="692" t="n"/>
      <c r="M858" s="692" t="n"/>
      <c r="N858" s="692" t="n"/>
      <c r="O858" s="692" t="n"/>
      <c r="P858" s="692" t="n"/>
      <c r="Q858" s="692" t="n"/>
      <c r="R858" s="692" t="n"/>
      <c r="S858" s="692" t="n"/>
      <c r="T858" s="692" t="n"/>
      <c r="U858" s="692" t="n"/>
      <c r="V858" s="692" t="n"/>
      <c r="W858" s="692" t="n"/>
      <c r="X858" s="692" t="n"/>
      <c r="Y858" s="692" t="n"/>
      <c r="Z858" s="692" t="n"/>
      <c r="AA858" s="692" t="n"/>
      <c r="AB858" s="692" t="n"/>
      <c r="AC858" s="692" t="n"/>
      <c r="AD858" s="692" t="n"/>
      <c r="AE858" s="692" t="n"/>
      <c r="AF858" s="692" t="n"/>
      <c r="AG858" s="692" t="n"/>
      <c r="AH858" s="692" t="n"/>
      <c r="AI858" s="692" t="n"/>
      <c r="AJ858" s="692" t="n"/>
      <c r="AK858" s="692" t="n"/>
      <c r="AL858" s="692" t="n"/>
      <c r="AM858" s="692" t="n"/>
      <c r="AN858" s="692" t="n"/>
      <c r="AO858" s="692" t="n"/>
      <c r="AP858" s="692" t="n"/>
      <c r="AQ858" s="692" t="n"/>
      <c r="AR858" s="692" t="n"/>
      <c r="AS858" s="692" t="n"/>
    </row>
    <row r="859">
      <c r="A859" s="692" t="n"/>
      <c r="B859" s="692" t="n"/>
      <c r="C859" s="692" t="n"/>
      <c r="D859" s="692" t="n"/>
      <c r="E859" s="692" t="n"/>
      <c r="F859" s="692" t="n"/>
      <c r="G859" s="692" t="n"/>
      <c r="H859" s="692" t="n"/>
      <c r="I859" s="692" t="n"/>
      <c r="J859" s="692" t="n"/>
      <c r="K859" s="692" t="n"/>
      <c r="L859" s="692" t="n"/>
      <c r="M859" s="692" t="n"/>
      <c r="N859" s="692" t="n"/>
      <c r="O859" s="692" t="n"/>
      <c r="P859" s="692" t="n"/>
      <c r="Q859" s="692" t="n"/>
      <c r="R859" s="692" t="n"/>
      <c r="S859" s="692" t="n"/>
      <c r="T859" s="692" t="n"/>
      <c r="U859" s="692" t="n"/>
      <c r="V859" s="692" t="n"/>
      <c r="W859" s="692" t="n"/>
      <c r="X859" s="692" t="n"/>
      <c r="Y859" s="692" t="n"/>
      <c r="Z859" s="692" t="n"/>
      <c r="AA859" s="692" t="n"/>
      <c r="AB859" s="692" t="n"/>
      <c r="AC859" s="692" t="n"/>
      <c r="AD859" s="692" t="n"/>
      <c r="AE859" s="692" t="n"/>
      <c r="AF859" s="692" t="n"/>
      <c r="AG859" s="692" t="n"/>
      <c r="AH859" s="692" t="n"/>
      <c r="AI859" s="692" t="n"/>
      <c r="AJ859" s="692" t="n"/>
      <c r="AK859" s="692" t="n"/>
      <c r="AL859" s="692" t="n"/>
      <c r="AM859" s="692" t="n"/>
      <c r="AN859" s="692" t="n"/>
      <c r="AO859" s="692" t="n"/>
      <c r="AP859" s="692" t="n"/>
      <c r="AQ859" s="692" t="n"/>
      <c r="AR859" s="692" t="n"/>
      <c r="AS859" s="692" t="n"/>
    </row>
    <row r="860">
      <c r="A860" s="692" t="n"/>
      <c r="B860" s="692" t="n"/>
      <c r="C860" s="692" t="n"/>
      <c r="D860" s="692" t="n"/>
      <c r="E860" s="692" t="n"/>
      <c r="F860" s="692" t="n"/>
      <c r="G860" s="692" t="n"/>
      <c r="H860" s="692" t="n"/>
      <c r="I860" s="692" t="n"/>
      <c r="J860" s="692" t="n"/>
      <c r="K860" s="692" t="n"/>
      <c r="L860" s="692" t="n"/>
      <c r="M860" s="692" t="n"/>
      <c r="N860" s="692" t="n"/>
      <c r="O860" s="692" t="n"/>
      <c r="P860" s="692" t="n"/>
      <c r="Q860" s="692" t="n"/>
      <c r="R860" s="692" t="n"/>
      <c r="S860" s="692" t="n"/>
      <c r="T860" s="692" t="n"/>
      <c r="U860" s="692" t="n"/>
      <c r="V860" s="692" t="n"/>
      <c r="W860" s="692" t="n"/>
      <c r="X860" s="692" t="n"/>
      <c r="Y860" s="692" t="n"/>
      <c r="Z860" s="692" t="n"/>
      <c r="AA860" s="692" t="n"/>
      <c r="AB860" s="692" t="n"/>
      <c r="AC860" s="692" t="n"/>
      <c r="AD860" s="692" t="n"/>
      <c r="AE860" s="692" t="n"/>
      <c r="AF860" s="692" t="n"/>
      <c r="AG860" s="692" t="n"/>
      <c r="AH860" s="692" t="n"/>
      <c r="AI860" s="692" t="n"/>
      <c r="AJ860" s="692" t="n"/>
      <c r="AK860" s="692" t="n"/>
      <c r="AL860" s="692" t="n"/>
      <c r="AM860" s="692" t="n"/>
      <c r="AN860" s="692" t="n"/>
      <c r="AO860" s="692" t="n"/>
      <c r="AP860" s="692" t="n"/>
      <c r="AQ860" s="692" t="n"/>
      <c r="AR860" s="692" t="n"/>
      <c r="AS860" s="692" t="n"/>
    </row>
    <row r="861">
      <c r="A861" s="692" t="n"/>
      <c r="B861" s="692" t="n"/>
      <c r="C861" s="692" t="n"/>
      <c r="D861" s="692" t="n"/>
      <c r="E861" s="692" t="n"/>
      <c r="F861" s="692" t="n"/>
      <c r="G861" s="692" t="n"/>
      <c r="H861" s="692" t="n"/>
      <c r="I861" s="692" t="n"/>
      <c r="J861" s="692" t="n"/>
      <c r="K861" s="692" t="n"/>
      <c r="L861" s="692" t="n"/>
      <c r="M861" s="692" t="n"/>
      <c r="N861" s="692" t="n"/>
      <c r="O861" s="692" t="n"/>
      <c r="P861" s="692" t="n"/>
      <c r="Q861" s="692" t="n"/>
      <c r="R861" s="692" t="n"/>
      <c r="S861" s="692" t="n"/>
      <c r="T861" s="692" t="n"/>
      <c r="U861" s="692" t="n"/>
      <c r="V861" s="692" t="n"/>
      <c r="W861" s="692" t="n"/>
      <c r="X861" s="692" t="n"/>
      <c r="Y861" s="692" t="n"/>
      <c r="Z861" s="692" t="n"/>
      <c r="AA861" s="692" t="n"/>
      <c r="AB861" s="692" t="n"/>
      <c r="AC861" s="692" t="n"/>
      <c r="AD861" s="692" t="n"/>
      <c r="AE861" s="692" t="n"/>
      <c r="AF861" s="692" t="n"/>
      <c r="AG861" s="692" t="n"/>
      <c r="AH861" s="692" t="n"/>
      <c r="AI861" s="692" t="n"/>
      <c r="AJ861" s="692" t="n"/>
      <c r="AK861" s="692" t="n"/>
      <c r="AL861" s="692" t="n"/>
      <c r="AM861" s="692" t="n"/>
      <c r="AN861" s="692" t="n"/>
      <c r="AO861" s="692" t="n"/>
      <c r="AP861" s="692" t="n"/>
      <c r="AQ861" s="692" t="n"/>
      <c r="AR861" s="692" t="n"/>
      <c r="AS861" s="692" t="n"/>
    </row>
    <row r="862">
      <c r="A862" s="692" t="n"/>
      <c r="B862" s="692" t="n"/>
      <c r="C862" s="692" t="n"/>
      <c r="D862" s="692" t="n"/>
      <c r="E862" s="692" t="n"/>
      <c r="F862" s="692" t="n"/>
      <c r="G862" s="692" t="n"/>
      <c r="H862" s="692" t="n"/>
      <c r="I862" s="692" t="n"/>
      <c r="J862" s="692" t="n"/>
      <c r="K862" s="692" t="n"/>
      <c r="L862" s="692" t="n"/>
      <c r="M862" s="692" t="n"/>
      <c r="N862" s="692" t="n"/>
      <c r="O862" s="692" t="n"/>
      <c r="P862" s="692" t="n"/>
      <c r="Q862" s="692" t="n"/>
      <c r="R862" s="692" t="n"/>
      <c r="S862" s="692" t="n"/>
      <c r="T862" s="692" t="n"/>
      <c r="U862" s="692" t="n"/>
      <c r="V862" s="692" t="n"/>
      <c r="W862" s="692" t="n"/>
      <c r="X862" s="692" t="n"/>
      <c r="Y862" s="692" t="n"/>
      <c r="Z862" s="692" t="n"/>
      <c r="AA862" s="692" t="n"/>
      <c r="AB862" s="692" t="n"/>
      <c r="AC862" s="692" t="n"/>
      <c r="AD862" s="692" t="n"/>
      <c r="AE862" s="692" t="n"/>
      <c r="AF862" s="692" t="n"/>
      <c r="AG862" s="692" t="n"/>
      <c r="AH862" s="692" t="n"/>
      <c r="AI862" s="692" t="n"/>
      <c r="AJ862" s="692" t="n"/>
      <c r="AK862" s="692" t="n"/>
      <c r="AL862" s="692" t="n"/>
      <c r="AM862" s="692" t="n"/>
      <c r="AN862" s="692" t="n"/>
      <c r="AO862" s="692" t="n"/>
      <c r="AP862" s="692" t="n"/>
      <c r="AQ862" s="692" t="n"/>
      <c r="AR862" s="692" t="n"/>
      <c r="AS862" s="692" t="n"/>
    </row>
    <row r="863">
      <c r="A863" s="692" t="n"/>
      <c r="B863" s="692" t="n"/>
      <c r="C863" s="692" t="n"/>
      <c r="D863" s="692" t="n"/>
      <c r="E863" s="692" t="n"/>
      <c r="F863" s="692" t="n"/>
      <c r="G863" s="692" t="n"/>
      <c r="H863" s="692" t="n"/>
      <c r="I863" s="692" t="n"/>
      <c r="J863" s="692" t="n"/>
      <c r="K863" s="692" t="n"/>
      <c r="L863" s="692" t="n"/>
      <c r="M863" s="692" t="n"/>
      <c r="N863" s="692" t="n"/>
      <c r="O863" s="692" t="n"/>
      <c r="P863" s="692" t="n"/>
      <c r="Q863" s="692" t="n"/>
      <c r="R863" s="692" t="n"/>
      <c r="S863" s="692" t="n"/>
      <c r="T863" s="692" t="n"/>
      <c r="U863" s="692" t="n"/>
      <c r="V863" s="692" t="n"/>
      <c r="W863" s="692" t="n"/>
      <c r="X863" s="692" t="n"/>
      <c r="Y863" s="692" t="n"/>
      <c r="Z863" s="692" t="n"/>
      <c r="AA863" s="692" t="n"/>
      <c r="AB863" s="692" t="n"/>
      <c r="AC863" s="692" t="n"/>
      <c r="AD863" s="692" t="n"/>
      <c r="AE863" s="692" t="n"/>
      <c r="AF863" s="692" t="n"/>
      <c r="AG863" s="692" t="n"/>
      <c r="AH863" s="692" t="n"/>
      <c r="AI863" s="692" t="n"/>
      <c r="AJ863" s="692" t="n"/>
      <c r="AK863" s="692" t="n"/>
      <c r="AL863" s="692" t="n"/>
      <c r="AM863" s="692" t="n"/>
      <c r="AN863" s="692" t="n"/>
      <c r="AO863" s="692" t="n"/>
      <c r="AP863" s="692" t="n"/>
      <c r="AQ863" s="692" t="n"/>
      <c r="AR863" s="692" t="n"/>
      <c r="AS863" s="692" t="n"/>
    </row>
    <row r="864">
      <c r="A864" s="692" t="n"/>
      <c r="B864" s="692" t="n"/>
      <c r="C864" s="692" t="n"/>
      <c r="D864" s="692" t="n"/>
      <c r="E864" s="692" t="n"/>
      <c r="F864" s="692" t="n"/>
      <c r="G864" s="692" t="n"/>
      <c r="H864" s="692" t="n"/>
      <c r="I864" s="692" t="n"/>
      <c r="J864" s="692" t="n"/>
      <c r="K864" s="692" t="n"/>
      <c r="L864" s="692" t="n"/>
      <c r="M864" s="692" t="n"/>
      <c r="N864" s="692" t="n"/>
      <c r="O864" s="692" t="n"/>
      <c r="P864" s="692" t="n"/>
      <c r="Q864" s="692" t="n"/>
      <c r="R864" s="692" t="n"/>
      <c r="S864" s="692" t="n"/>
      <c r="T864" s="692" t="n"/>
      <c r="U864" s="692" t="n"/>
      <c r="V864" s="692" t="n"/>
      <c r="W864" s="692" t="n"/>
      <c r="X864" s="692" t="n"/>
      <c r="Y864" s="692" t="n"/>
      <c r="Z864" s="692" t="n"/>
      <c r="AA864" s="692" t="n"/>
      <c r="AB864" s="692" t="n"/>
      <c r="AC864" s="692" t="n"/>
      <c r="AD864" s="692" t="n"/>
      <c r="AE864" s="692" t="n"/>
      <c r="AF864" s="692" t="n"/>
      <c r="AG864" s="692" t="n"/>
      <c r="AH864" s="692" t="n"/>
      <c r="AI864" s="692" t="n"/>
      <c r="AJ864" s="692" t="n"/>
      <c r="AK864" s="692" t="n"/>
      <c r="AL864" s="692" t="n"/>
      <c r="AM864" s="692" t="n"/>
      <c r="AN864" s="692" t="n"/>
      <c r="AO864" s="692" t="n"/>
      <c r="AP864" s="692" t="n"/>
      <c r="AQ864" s="692" t="n"/>
      <c r="AR864" s="692" t="n"/>
      <c r="AS864" s="692" t="n"/>
    </row>
    <row r="865">
      <c r="A865" s="692" t="n"/>
      <c r="B865" s="692" t="n"/>
      <c r="C865" s="692" t="n"/>
      <c r="D865" s="692" t="n"/>
      <c r="E865" s="692" t="n"/>
      <c r="F865" s="692" t="n"/>
      <c r="G865" s="692" t="n"/>
      <c r="H865" s="692" t="n"/>
      <c r="I865" s="692" t="n"/>
      <c r="J865" s="692" t="n"/>
      <c r="K865" s="692" t="n"/>
      <c r="L865" s="692" t="n"/>
      <c r="M865" s="692" t="n"/>
      <c r="N865" s="692" t="n"/>
      <c r="O865" s="692" t="n"/>
      <c r="P865" s="692" t="n"/>
      <c r="Q865" s="692" t="n"/>
      <c r="R865" s="692" t="n"/>
      <c r="S865" s="692" t="n"/>
      <c r="T865" s="692" t="n"/>
      <c r="U865" s="692" t="n"/>
      <c r="V865" s="692" t="n"/>
      <c r="W865" s="692" t="n"/>
      <c r="X865" s="692" t="n"/>
      <c r="Y865" s="692" t="n"/>
      <c r="Z865" s="692" t="n"/>
      <c r="AA865" s="692" t="n"/>
      <c r="AB865" s="692" t="n"/>
      <c r="AC865" s="692" t="n"/>
      <c r="AD865" s="692" t="n"/>
      <c r="AE865" s="692" t="n"/>
      <c r="AF865" s="692" t="n"/>
      <c r="AG865" s="692" t="n"/>
      <c r="AH865" s="692" t="n"/>
      <c r="AI865" s="692" t="n"/>
      <c r="AJ865" s="692" t="n"/>
      <c r="AK865" s="692" t="n"/>
      <c r="AL865" s="692" t="n"/>
      <c r="AM865" s="692" t="n"/>
      <c r="AN865" s="692" t="n"/>
      <c r="AO865" s="692" t="n"/>
      <c r="AP865" s="692" t="n"/>
      <c r="AQ865" s="692" t="n"/>
      <c r="AR865" s="692" t="n"/>
      <c r="AS865" s="692" t="n"/>
    </row>
    <row r="866">
      <c r="A866" s="692" t="n"/>
      <c r="B866" s="692" t="n"/>
      <c r="C866" s="692" t="n"/>
      <c r="D866" s="692" t="n"/>
      <c r="E866" s="692" t="n"/>
      <c r="F866" s="692" t="n"/>
      <c r="G866" s="692" t="n"/>
      <c r="H866" s="692" t="n"/>
      <c r="I866" s="692" t="n"/>
      <c r="J866" s="692" t="n"/>
      <c r="K866" s="692" t="n"/>
      <c r="L866" s="692" t="n"/>
      <c r="M866" s="692" t="n"/>
      <c r="N866" s="692" t="n"/>
      <c r="O866" s="692" t="n"/>
      <c r="P866" s="692" t="n"/>
      <c r="Q866" s="692" t="n"/>
      <c r="R866" s="692" t="n"/>
      <c r="S866" s="692" t="n"/>
      <c r="T866" s="692" t="n"/>
      <c r="U866" s="692" t="n"/>
      <c r="V866" s="692" t="n"/>
      <c r="W866" s="692" t="n"/>
      <c r="X866" s="692" t="n"/>
      <c r="Y866" s="692" t="n"/>
      <c r="Z866" s="692" t="n"/>
      <c r="AA866" s="692" t="n"/>
      <c r="AB866" s="692" t="n"/>
      <c r="AC866" s="692" t="n"/>
      <c r="AD866" s="692" t="n"/>
      <c r="AE866" s="692" t="n"/>
      <c r="AF866" s="692" t="n"/>
      <c r="AG866" s="692" t="n"/>
      <c r="AH866" s="692" t="n"/>
      <c r="AI866" s="692" t="n"/>
      <c r="AJ866" s="692" t="n"/>
      <c r="AK866" s="692" t="n"/>
      <c r="AL866" s="692" t="n"/>
      <c r="AM866" s="692" t="n"/>
      <c r="AN866" s="692" t="n"/>
      <c r="AO866" s="692" t="n"/>
      <c r="AP866" s="692" t="n"/>
      <c r="AQ866" s="692" t="n"/>
      <c r="AR866" s="692" t="n"/>
      <c r="AS866" s="692" t="n"/>
    </row>
    <row r="867">
      <c r="A867" s="692" t="n"/>
      <c r="B867" s="692" t="n"/>
      <c r="C867" s="692" t="n"/>
      <c r="D867" s="692" t="n"/>
      <c r="E867" s="692" t="n"/>
      <c r="F867" s="692" t="n"/>
      <c r="G867" s="692" t="n"/>
      <c r="H867" s="692" t="n"/>
      <c r="I867" s="692" t="n"/>
      <c r="J867" s="692" t="n"/>
      <c r="K867" s="692" t="n"/>
      <c r="L867" s="692" t="n"/>
      <c r="M867" s="692" t="n"/>
      <c r="N867" s="692" t="n"/>
      <c r="O867" s="692" t="n"/>
      <c r="P867" s="692" t="n"/>
      <c r="Q867" s="692" t="n"/>
      <c r="R867" s="692" t="n"/>
      <c r="S867" s="692" t="n"/>
      <c r="T867" s="692" t="n"/>
      <c r="U867" s="692" t="n"/>
      <c r="V867" s="692" t="n"/>
      <c r="W867" s="692" t="n"/>
      <c r="X867" s="692" t="n"/>
      <c r="Y867" s="692" t="n"/>
      <c r="Z867" s="692" t="n"/>
      <c r="AA867" s="692" t="n"/>
      <c r="AB867" s="692" t="n"/>
      <c r="AC867" s="692" t="n"/>
      <c r="AD867" s="692" t="n"/>
      <c r="AE867" s="692" t="n"/>
      <c r="AF867" s="692" t="n"/>
      <c r="AG867" s="692" t="n"/>
      <c r="AH867" s="692" t="n"/>
      <c r="AI867" s="692" t="n"/>
      <c r="AJ867" s="692" t="n"/>
      <c r="AK867" s="692" t="n"/>
      <c r="AL867" s="692" t="n"/>
      <c r="AM867" s="692" t="n"/>
      <c r="AN867" s="692" t="n"/>
      <c r="AO867" s="692" t="n"/>
      <c r="AP867" s="692" t="n"/>
      <c r="AQ867" s="692" t="n"/>
      <c r="AR867" s="692" t="n"/>
      <c r="AS867" s="692" t="n"/>
    </row>
    <row r="868">
      <c r="A868" s="692" t="n"/>
      <c r="B868" s="692" t="n"/>
      <c r="C868" s="692" t="n"/>
      <c r="D868" s="692" t="n"/>
      <c r="E868" s="692" t="n"/>
      <c r="F868" s="692" t="n"/>
      <c r="G868" s="692" t="n"/>
      <c r="H868" s="692" t="n"/>
      <c r="I868" s="692" t="n"/>
      <c r="J868" s="692" t="n"/>
      <c r="K868" s="692" t="n"/>
      <c r="L868" s="692" t="n"/>
      <c r="M868" s="692" t="n"/>
      <c r="N868" s="692" t="n"/>
      <c r="O868" s="692" t="n"/>
      <c r="P868" s="692" t="n"/>
      <c r="Q868" s="692" t="n"/>
      <c r="R868" s="692" t="n"/>
      <c r="S868" s="692" t="n"/>
      <c r="T868" s="692" t="n"/>
      <c r="U868" s="692" t="n"/>
      <c r="V868" s="692" t="n"/>
      <c r="W868" s="692" t="n"/>
      <c r="X868" s="692" t="n"/>
      <c r="Y868" s="692" t="n"/>
      <c r="Z868" s="692" t="n"/>
      <c r="AA868" s="692" t="n"/>
      <c r="AB868" s="692" t="n"/>
      <c r="AC868" s="692" t="n"/>
      <c r="AD868" s="692" t="n"/>
      <c r="AE868" s="692" t="n"/>
      <c r="AF868" s="692" t="n"/>
      <c r="AG868" s="692" t="n"/>
      <c r="AH868" s="692" t="n"/>
      <c r="AI868" s="692" t="n"/>
      <c r="AJ868" s="692" t="n"/>
      <c r="AK868" s="692" t="n"/>
      <c r="AL868" s="692" t="n"/>
      <c r="AM868" s="692" t="n"/>
      <c r="AN868" s="692" t="n"/>
      <c r="AO868" s="692" t="n"/>
      <c r="AP868" s="692" t="n"/>
      <c r="AQ868" s="692" t="n"/>
      <c r="AR868" s="692" t="n"/>
      <c r="AS868" s="692" t="n"/>
    </row>
    <row r="869">
      <c r="A869" s="692" t="n"/>
      <c r="B869" s="692" t="n"/>
      <c r="C869" s="692" t="n"/>
      <c r="D869" s="692" t="n"/>
      <c r="E869" s="692" t="n"/>
      <c r="F869" s="692" t="n"/>
      <c r="G869" s="692" t="n"/>
      <c r="H869" s="692" t="n"/>
      <c r="I869" s="692" t="n"/>
      <c r="J869" s="692" t="n"/>
      <c r="K869" s="692" t="n"/>
      <c r="L869" s="692" t="n"/>
      <c r="M869" s="692" t="n"/>
      <c r="N869" s="692" t="n"/>
      <c r="O869" s="692" t="n"/>
      <c r="P869" s="692" t="n"/>
      <c r="Q869" s="692" t="n"/>
      <c r="R869" s="692" t="n"/>
      <c r="S869" s="692" t="n"/>
      <c r="T869" s="692" t="n"/>
      <c r="U869" s="692" t="n"/>
      <c r="V869" s="692" t="n"/>
      <c r="W869" s="692" t="n"/>
      <c r="X869" s="692" t="n"/>
      <c r="Y869" s="692" t="n"/>
      <c r="Z869" s="692" t="n"/>
      <c r="AA869" s="692" t="n"/>
      <c r="AB869" s="692" t="n"/>
      <c r="AC869" s="692" t="n"/>
      <c r="AD869" s="692" t="n"/>
      <c r="AE869" s="692" t="n"/>
      <c r="AF869" s="692" t="n"/>
      <c r="AG869" s="692" t="n"/>
      <c r="AH869" s="692" t="n"/>
      <c r="AI869" s="692" t="n"/>
      <c r="AJ869" s="692" t="n"/>
      <c r="AK869" s="692" t="n"/>
      <c r="AL869" s="692" t="n"/>
      <c r="AM869" s="692" t="n"/>
      <c r="AN869" s="692" t="n"/>
      <c r="AO869" s="692" t="n"/>
      <c r="AP869" s="692" t="n"/>
      <c r="AQ869" s="692" t="n"/>
      <c r="AR869" s="692" t="n"/>
      <c r="AS869" s="692" t="n"/>
    </row>
    <row r="870">
      <c r="A870" s="692" t="n"/>
      <c r="B870" s="692" t="n"/>
      <c r="C870" s="692" t="n"/>
      <c r="D870" s="692" t="n"/>
      <c r="E870" s="692" t="n"/>
      <c r="F870" s="692" t="n"/>
      <c r="G870" s="692" t="n"/>
      <c r="H870" s="692" t="n"/>
      <c r="I870" s="692" t="n"/>
      <c r="J870" s="692" t="n"/>
      <c r="K870" s="692" t="n"/>
      <c r="L870" s="692" t="n"/>
      <c r="M870" s="692" t="n"/>
      <c r="N870" s="692" t="n"/>
      <c r="O870" s="692" t="n"/>
      <c r="P870" s="692" t="n"/>
      <c r="Q870" s="692" t="n"/>
      <c r="R870" s="692" t="n"/>
      <c r="S870" s="692" t="n"/>
      <c r="T870" s="692" t="n"/>
      <c r="U870" s="692" t="n"/>
      <c r="V870" s="692" t="n"/>
      <c r="W870" s="692" t="n"/>
      <c r="X870" s="692" t="n"/>
      <c r="Y870" s="692" t="n"/>
      <c r="Z870" s="692" t="n"/>
      <c r="AA870" s="692" t="n"/>
      <c r="AB870" s="692" t="n"/>
      <c r="AC870" s="692" t="n"/>
      <c r="AD870" s="692" t="n"/>
      <c r="AE870" s="692" t="n"/>
      <c r="AF870" s="692" t="n"/>
      <c r="AG870" s="692" t="n"/>
      <c r="AH870" s="692" t="n"/>
      <c r="AI870" s="692" t="n"/>
      <c r="AJ870" s="692" t="n"/>
      <c r="AK870" s="692" t="n"/>
      <c r="AL870" s="692" t="n"/>
      <c r="AM870" s="692" t="n"/>
      <c r="AN870" s="692" t="n"/>
      <c r="AO870" s="692" t="n"/>
      <c r="AP870" s="692" t="n"/>
      <c r="AQ870" s="692" t="n"/>
      <c r="AR870" s="692" t="n"/>
      <c r="AS870" s="692" t="n"/>
    </row>
    <row r="871">
      <c r="A871" s="692" t="n"/>
      <c r="B871" s="692" t="n"/>
      <c r="C871" s="692" t="n"/>
      <c r="D871" s="692" t="n"/>
      <c r="E871" s="692" t="n"/>
      <c r="F871" s="692" t="n"/>
      <c r="G871" s="692" t="n"/>
      <c r="H871" s="692" t="n"/>
      <c r="I871" s="692" t="n"/>
      <c r="J871" s="692" t="n"/>
      <c r="K871" s="692" t="n"/>
      <c r="L871" s="692" t="n"/>
      <c r="M871" s="692" t="n"/>
      <c r="N871" s="692" t="n"/>
      <c r="O871" s="692" t="n"/>
      <c r="P871" s="692" t="n"/>
      <c r="Q871" s="692" t="n"/>
      <c r="R871" s="692" t="n"/>
      <c r="S871" s="692" t="n"/>
      <c r="T871" s="692" t="n"/>
      <c r="U871" s="692" t="n"/>
      <c r="V871" s="692" t="n"/>
      <c r="W871" s="692" t="n"/>
      <c r="X871" s="692" t="n"/>
      <c r="Y871" s="692" t="n"/>
      <c r="Z871" s="692" t="n"/>
      <c r="AA871" s="692" t="n"/>
      <c r="AB871" s="692" t="n"/>
      <c r="AC871" s="692" t="n"/>
      <c r="AD871" s="692" t="n"/>
      <c r="AE871" s="692" t="n"/>
      <c r="AF871" s="692" t="n"/>
      <c r="AG871" s="692" t="n"/>
      <c r="AH871" s="692" t="n"/>
      <c r="AI871" s="692" t="n"/>
      <c r="AJ871" s="692" t="n"/>
      <c r="AK871" s="692" t="n"/>
      <c r="AL871" s="692" t="n"/>
      <c r="AM871" s="692" t="n"/>
      <c r="AN871" s="692" t="n"/>
      <c r="AO871" s="692" t="n"/>
      <c r="AP871" s="692" t="n"/>
      <c r="AQ871" s="692" t="n"/>
      <c r="AR871" s="692" t="n"/>
      <c r="AS871" s="692" t="n"/>
    </row>
    <row r="872">
      <c r="A872" s="692" t="n"/>
      <c r="B872" s="692" t="n"/>
      <c r="C872" s="692" t="n"/>
      <c r="D872" s="692" t="n"/>
      <c r="E872" s="692" t="n"/>
      <c r="F872" s="692" t="n"/>
      <c r="G872" s="692" t="n"/>
      <c r="H872" s="692" t="n"/>
      <c r="I872" s="692" t="n"/>
      <c r="J872" s="692" t="n"/>
      <c r="K872" s="692" t="n"/>
      <c r="L872" s="692" t="n"/>
      <c r="M872" s="692" t="n"/>
      <c r="N872" s="692" t="n"/>
      <c r="O872" s="692" t="n"/>
      <c r="P872" s="692" t="n"/>
      <c r="Q872" s="692" t="n"/>
      <c r="R872" s="692" t="n"/>
      <c r="S872" s="692" t="n"/>
      <c r="T872" s="692" t="n"/>
      <c r="U872" s="692" t="n"/>
      <c r="V872" s="692" t="n"/>
      <c r="W872" s="692" t="n"/>
      <c r="X872" s="692" t="n"/>
      <c r="Y872" s="692" t="n"/>
      <c r="Z872" s="692" t="n"/>
      <c r="AA872" s="692" t="n"/>
      <c r="AB872" s="692" t="n"/>
      <c r="AC872" s="692" t="n"/>
      <c r="AD872" s="692" t="n"/>
      <c r="AE872" s="692" t="n"/>
      <c r="AF872" s="692" t="n"/>
      <c r="AG872" s="692" t="n"/>
      <c r="AH872" s="692" t="n"/>
      <c r="AI872" s="692" t="n"/>
      <c r="AJ872" s="692" t="n"/>
      <c r="AK872" s="692" t="n"/>
      <c r="AL872" s="692" t="n"/>
      <c r="AM872" s="692" t="n"/>
      <c r="AN872" s="692" t="n"/>
      <c r="AO872" s="692" t="n"/>
      <c r="AP872" s="692" t="n"/>
      <c r="AQ872" s="692" t="n"/>
      <c r="AR872" s="692" t="n"/>
      <c r="AS872" s="692" t="n"/>
    </row>
    <row r="873">
      <c r="A873" s="692" t="n"/>
      <c r="B873" s="692" t="n"/>
      <c r="C873" s="692" t="n"/>
      <c r="D873" s="692" t="n"/>
      <c r="E873" s="692" t="n"/>
      <c r="F873" s="692" t="n"/>
      <c r="G873" s="692" t="n"/>
      <c r="H873" s="692" t="n"/>
      <c r="I873" s="692" t="n"/>
      <c r="J873" s="692" t="n"/>
      <c r="K873" s="692" t="n"/>
      <c r="L873" s="692" t="n"/>
      <c r="M873" s="692" t="n"/>
      <c r="N873" s="692" t="n"/>
      <c r="O873" s="692" t="n"/>
      <c r="P873" s="692" t="n"/>
      <c r="Q873" s="692" t="n"/>
      <c r="R873" s="692" t="n"/>
      <c r="S873" s="692" t="n"/>
      <c r="T873" s="692" t="n"/>
      <c r="U873" s="692" t="n"/>
      <c r="V873" s="692" t="n"/>
      <c r="W873" s="692" t="n"/>
      <c r="X873" s="692" t="n"/>
      <c r="Y873" s="692" t="n"/>
      <c r="Z873" s="692" t="n"/>
      <c r="AA873" s="692" t="n"/>
      <c r="AB873" s="692" t="n"/>
      <c r="AC873" s="692" t="n"/>
      <c r="AD873" s="692" t="n"/>
      <c r="AE873" s="692" t="n"/>
      <c r="AF873" s="692" t="n"/>
      <c r="AG873" s="692" t="n"/>
      <c r="AH873" s="692" t="n"/>
      <c r="AI873" s="692" t="n"/>
      <c r="AJ873" s="692" t="n"/>
      <c r="AK873" s="692" t="n"/>
      <c r="AL873" s="692" t="n"/>
      <c r="AM873" s="692" t="n"/>
      <c r="AN873" s="692" t="n"/>
      <c r="AO873" s="692" t="n"/>
      <c r="AP873" s="692" t="n"/>
      <c r="AQ873" s="692" t="n"/>
      <c r="AR873" s="692" t="n"/>
      <c r="AS873" s="692" t="n"/>
    </row>
    <row r="874">
      <c r="A874" s="692" t="n"/>
      <c r="B874" s="692" t="n"/>
      <c r="C874" s="692" t="n"/>
      <c r="D874" s="692" t="n"/>
      <c r="E874" s="692" t="n"/>
      <c r="F874" s="692" t="n"/>
      <c r="G874" s="692" t="n"/>
      <c r="H874" s="692" t="n"/>
      <c r="I874" s="692" t="n"/>
      <c r="J874" s="692" t="n"/>
      <c r="K874" s="692" t="n"/>
      <c r="L874" s="692" t="n"/>
      <c r="M874" s="692" t="n"/>
      <c r="N874" s="692" t="n"/>
      <c r="O874" s="692" t="n"/>
      <c r="P874" s="692" t="n"/>
      <c r="Q874" s="692" t="n"/>
      <c r="R874" s="692" t="n"/>
      <c r="S874" s="692" t="n"/>
      <c r="T874" s="692" t="n"/>
      <c r="U874" s="692" t="n"/>
      <c r="V874" s="692" t="n"/>
      <c r="W874" s="692" t="n"/>
      <c r="X874" s="692" t="n"/>
      <c r="Y874" s="692" t="n"/>
      <c r="Z874" s="692" t="n"/>
      <c r="AA874" s="692" t="n"/>
      <c r="AB874" s="692" t="n"/>
      <c r="AC874" s="692" t="n"/>
      <c r="AD874" s="692" t="n"/>
      <c r="AE874" s="692" t="n"/>
      <c r="AF874" s="692" t="n"/>
      <c r="AG874" s="692" t="n"/>
      <c r="AH874" s="692" t="n"/>
      <c r="AI874" s="692" t="n"/>
      <c r="AJ874" s="692" t="n"/>
      <c r="AK874" s="692" t="n"/>
      <c r="AL874" s="692" t="n"/>
      <c r="AM874" s="692" t="n"/>
      <c r="AN874" s="692" t="n"/>
      <c r="AO874" s="692" t="n"/>
      <c r="AP874" s="692" t="n"/>
      <c r="AQ874" s="692" t="n"/>
      <c r="AR874" s="692" t="n"/>
      <c r="AS874" s="692" t="n"/>
    </row>
    <row r="875">
      <c r="A875" s="692" t="n"/>
      <c r="B875" s="692" t="n"/>
      <c r="C875" s="692" t="n"/>
      <c r="D875" s="692" t="n"/>
      <c r="E875" s="692" t="n"/>
      <c r="F875" s="692" t="n"/>
      <c r="G875" s="692" t="n"/>
      <c r="H875" s="692" t="n"/>
      <c r="I875" s="692" t="n"/>
      <c r="J875" s="692" t="n"/>
      <c r="K875" s="692" t="n"/>
      <c r="L875" s="692" t="n"/>
      <c r="M875" s="692" t="n"/>
      <c r="N875" s="692" t="n"/>
      <c r="O875" s="692" t="n"/>
      <c r="P875" s="692" t="n"/>
      <c r="Q875" s="692" t="n"/>
      <c r="R875" s="692" t="n"/>
      <c r="S875" s="692" t="n"/>
      <c r="T875" s="692" t="n"/>
      <c r="U875" s="692" t="n"/>
      <c r="V875" s="692" t="n"/>
      <c r="W875" s="692" t="n"/>
      <c r="X875" s="692" t="n"/>
      <c r="Y875" s="692" t="n"/>
      <c r="Z875" s="692" t="n"/>
      <c r="AA875" s="692" t="n"/>
      <c r="AB875" s="692" t="n"/>
      <c r="AC875" s="692" t="n"/>
      <c r="AD875" s="692" t="n"/>
      <c r="AE875" s="692" t="n"/>
      <c r="AF875" s="692" t="n"/>
      <c r="AG875" s="692" t="n"/>
      <c r="AH875" s="692" t="n"/>
      <c r="AI875" s="692" t="n"/>
      <c r="AJ875" s="692" t="n"/>
      <c r="AK875" s="692" t="n"/>
      <c r="AL875" s="692" t="n"/>
      <c r="AM875" s="692" t="n"/>
      <c r="AN875" s="692" t="n"/>
      <c r="AO875" s="692" t="n"/>
      <c r="AP875" s="692" t="n"/>
      <c r="AQ875" s="692" t="n"/>
      <c r="AR875" s="692" t="n"/>
      <c r="AS875" s="692" t="n"/>
    </row>
    <row r="876">
      <c r="A876" s="692" t="n"/>
      <c r="B876" s="692" t="n"/>
      <c r="C876" s="692" t="n"/>
      <c r="D876" s="692" t="n"/>
      <c r="E876" s="692" t="n"/>
      <c r="F876" s="692" t="n"/>
      <c r="G876" s="692" t="n"/>
      <c r="H876" s="692" t="n"/>
      <c r="I876" s="692" t="n"/>
      <c r="J876" s="692" t="n"/>
      <c r="K876" s="692" t="n"/>
      <c r="L876" s="692" t="n"/>
      <c r="M876" s="692" t="n"/>
      <c r="N876" s="692" t="n"/>
      <c r="O876" s="692" t="n"/>
      <c r="P876" s="692" t="n"/>
      <c r="Q876" s="692" t="n"/>
      <c r="R876" s="692" t="n"/>
      <c r="S876" s="692" t="n"/>
      <c r="T876" s="692" t="n"/>
      <c r="U876" s="692" t="n"/>
      <c r="V876" s="692" t="n"/>
      <c r="W876" s="692" t="n"/>
      <c r="X876" s="692" t="n"/>
      <c r="Y876" s="692" t="n"/>
      <c r="Z876" s="692" t="n"/>
      <c r="AA876" s="692" t="n"/>
      <c r="AB876" s="692" t="n"/>
      <c r="AC876" s="692" t="n"/>
      <c r="AD876" s="692" t="n"/>
      <c r="AE876" s="692" t="n"/>
      <c r="AF876" s="692" t="n"/>
      <c r="AG876" s="692" t="n"/>
      <c r="AH876" s="692" t="n"/>
      <c r="AI876" s="692" t="n"/>
      <c r="AJ876" s="692" t="n"/>
      <c r="AK876" s="692" t="n"/>
      <c r="AL876" s="692" t="n"/>
      <c r="AM876" s="692" t="n"/>
      <c r="AN876" s="692" t="n"/>
      <c r="AO876" s="692" t="n"/>
      <c r="AP876" s="692" t="n"/>
      <c r="AQ876" s="692" t="n"/>
      <c r="AR876" s="692" t="n"/>
      <c r="AS876" s="692" t="n"/>
    </row>
    <row r="877">
      <c r="A877" s="692" t="n"/>
      <c r="B877" s="692" t="n"/>
      <c r="C877" s="692" t="n"/>
      <c r="D877" s="692" t="n"/>
      <c r="E877" s="692" t="n"/>
      <c r="F877" s="692" t="n"/>
      <c r="G877" s="692" t="n"/>
      <c r="H877" s="692" t="n"/>
      <c r="I877" s="692" t="n"/>
      <c r="J877" s="692" t="n"/>
      <c r="K877" s="692" t="n"/>
      <c r="L877" s="692" t="n"/>
      <c r="M877" s="692" t="n"/>
      <c r="N877" s="692" t="n"/>
      <c r="O877" s="692" t="n"/>
      <c r="P877" s="692" t="n"/>
      <c r="Q877" s="692" t="n"/>
      <c r="R877" s="692" t="n"/>
      <c r="S877" s="692" t="n"/>
      <c r="T877" s="692" t="n"/>
      <c r="U877" s="692" t="n"/>
      <c r="V877" s="692" t="n"/>
      <c r="W877" s="692" t="n"/>
      <c r="X877" s="692" t="n"/>
      <c r="Y877" s="692" t="n"/>
      <c r="Z877" s="692" t="n"/>
      <c r="AA877" s="692" t="n"/>
      <c r="AB877" s="692" t="n"/>
      <c r="AC877" s="692" t="n"/>
      <c r="AD877" s="692" t="n"/>
      <c r="AE877" s="692" t="n"/>
      <c r="AF877" s="692" t="n"/>
      <c r="AG877" s="692" t="n"/>
      <c r="AH877" s="692" t="n"/>
      <c r="AI877" s="692" t="n"/>
      <c r="AJ877" s="692" t="n"/>
      <c r="AK877" s="692" t="n"/>
      <c r="AL877" s="692" t="n"/>
      <c r="AM877" s="692" t="n"/>
      <c r="AN877" s="692" t="n"/>
      <c r="AO877" s="692" t="n"/>
      <c r="AP877" s="692" t="n"/>
      <c r="AQ877" s="692" t="n"/>
      <c r="AR877" s="692" t="n"/>
      <c r="AS877" s="692" t="n"/>
    </row>
    <row r="878">
      <c r="A878" s="692" t="n"/>
      <c r="B878" s="692" t="n"/>
      <c r="C878" s="692" t="n"/>
      <c r="D878" s="692" t="n"/>
      <c r="E878" s="692" t="n"/>
      <c r="F878" s="692" t="n"/>
      <c r="G878" s="692" t="n"/>
      <c r="H878" s="692" t="n"/>
      <c r="I878" s="692" t="n"/>
      <c r="J878" s="692" t="n"/>
      <c r="K878" s="692" t="n"/>
      <c r="L878" s="692" t="n"/>
      <c r="M878" s="692" t="n"/>
      <c r="N878" s="692" t="n"/>
      <c r="O878" s="692" t="n"/>
      <c r="P878" s="692" t="n"/>
      <c r="Q878" s="692" t="n"/>
      <c r="R878" s="692" t="n"/>
      <c r="S878" s="692" t="n"/>
      <c r="T878" s="692" t="n"/>
      <c r="U878" s="692" t="n"/>
      <c r="V878" s="692" t="n"/>
      <c r="W878" s="692" t="n"/>
      <c r="X878" s="692" t="n"/>
      <c r="Y878" s="692" t="n"/>
      <c r="Z878" s="692" t="n"/>
      <c r="AA878" s="692" t="n"/>
      <c r="AB878" s="692" t="n"/>
      <c r="AC878" s="692" t="n"/>
      <c r="AD878" s="692" t="n"/>
      <c r="AE878" s="692" t="n"/>
      <c r="AF878" s="692" t="n"/>
      <c r="AG878" s="692" t="n"/>
      <c r="AH878" s="692" t="n"/>
      <c r="AI878" s="692" t="n"/>
      <c r="AJ878" s="692" t="n"/>
      <c r="AK878" s="692" t="n"/>
      <c r="AL878" s="692" t="n"/>
      <c r="AM878" s="692" t="n"/>
      <c r="AN878" s="692" t="n"/>
      <c r="AO878" s="692" t="n"/>
      <c r="AP878" s="692" t="n"/>
      <c r="AQ878" s="692" t="n"/>
      <c r="AR878" s="692" t="n"/>
      <c r="AS878" s="692" t="n"/>
    </row>
    <row r="879">
      <c r="A879" s="692" t="n"/>
      <c r="B879" s="692" t="n"/>
      <c r="C879" s="692" t="n"/>
      <c r="D879" s="692" t="n"/>
      <c r="E879" s="692" t="n"/>
      <c r="F879" s="692" t="n"/>
      <c r="G879" s="692" t="n"/>
      <c r="H879" s="692" t="n"/>
      <c r="I879" s="692" t="n"/>
      <c r="J879" s="692" t="n"/>
      <c r="K879" s="692" t="n"/>
      <c r="L879" s="692" t="n"/>
      <c r="M879" s="692" t="n"/>
      <c r="N879" s="692" t="n"/>
      <c r="O879" s="692" t="n"/>
      <c r="P879" s="692" t="n"/>
      <c r="Q879" s="692" t="n"/>
      <c r="R879" s="692" t="n"/>
      <c r="S879" s="692" t="n"/>
      <c r="T879" s="692" t="n"/>
      <c r="U879" s="692" t="n"/>
      <c r="V879" s="692" t="n"/>
      <c r="W879" s="692" t="n"/>
      <c r="X879" s="692" t="n"/>
      <c r="Y879" s="692" t="n"/>
      <c r="Z879" s="692" t="n"/>
      <c r="AA879" s="692" t="n"/>
      <c r="AB879" s="692" t="n"/>
      <c r="AC879" s="692" t="n"/>
      <c r="AD879" s="692" t="n"/>
      <c r="AE879" s="692" t="n"/>
      <c r="AF879" s="692" t="n"/>
      <c r="AG879" s="692" t="n"/>
      <c r="AH879" s="692" t="n"/>
      <c r="AI879" s="692" t="n"/>
      <c r="AJ879" s="692" t="n"/>
      <c r="AK879" s="692" t="n"/>
      <c r="AL879" s="692" t="n"/>
      <c r="AM879" s="692" t="n"/>
      <c r="AN879" s="692" t="n"/>
      <c r="AO879" s="692" t="n"/>
      <c r="AP879" s="692" t="n"/>
      <c r="AQ879" s="692" t="n"/>
      <c r="AR879" s="692" t="n"/>
      <c r="AS879" s="692" t="n"/>
    </row>
    <row r="880">
      <c r="A880" s="692" t="n"/>
      <c r="B880" s="692" t="n"/>
      <c r="C880" s="692" t="n"/>
      <c r="D880" s="692" t="n"/>
      <c r="E880" s="692" t="n"/>
      <c r="F880" s="692" t="n"/>
      <c r="G880" s="692" t="n"/>
      <c r="H880" s="692" t="n"/>
      <c r="I880" s="692" t="n"/>
      <c r="J880" s="692" t="n"/>
      <c r="K880" s="692" t="n"/>
      <c r="L880" s="692" t="n"/>
      <c r="M880" s="692" t="n"/>
      <c r="N880" s="692" t="n"/>
      <c r="O880" s="692" t="n"/>
      <c r="P880" s="692" t="n"/>
      <c r="Q880" s="692" t="n"/>
      <c r="R880" s="692" t="n"/>
      <c r="S880" s="692" t="n"/>
      <c r="T880" s="692" t="n"/>
      <c r="U880" s="692" t="n"/>
      <c r="V880" s="692" t="n"/>
      <c r="W880" s="692" t="n"/>
      <c r="X880" s="692" t="n"/>
      <c r="Y880" s="692" t="n"/>
      <c r="Z880" s="692" t="n"/>
      <c r="AA880" s="692" t="n"/>
      <c r="AB880" s="692" t="n"/>
      <c r="AC880" s="692" t="n"/>
      <c r="AD880" s="692" t="n"/>
      <c r="AE880" s="692" t="n"/>
      <c r="AF880" s="692" t="n"/>
      <c r="AG880" s="692" t="n"/>
      <c r="AH880" s="692" t="n"/>
      <c r="AI880" s="692" t="n"/>
      <c r="AJ880" s="692" t="n"/>
      <c r="AK880" s="692" t="n"/>
      <c r="AL880" s="692" t="n"/>
      <c r="AM880" s="692" t="n"/>
      <c r="AN880" s="692" t="n"/>
      <c r="AO880" s="692" t="n"/>
      <c r="AP880" s="692" t="n"/>
      <c r="AQ880" s="692" t="n"/>
      <c r="AR880" s="692" t="n"/>
      <c r="AS880" s="692" t="n"/>
    </row>
    <row r="881">
      <c r="A881" s="692" t="n"/>
      <c r="B881" s="692" t="n"/>
      <c r="C881" s="692" t="n"/>
      <c r="D881" s="692" t="n"/>
      <c r="E881" s="692" t="n"/>
      <c r="F881" s="692" t="n"/>
      <c r="G881" s="692" t="n"/>
      <c r="H881" s="692" t="n"/>
      <c r="I881" s="692" t="n"/>
      <c r="J881" s="692" t="n"/>
      <c r="K881" s="692" t="n"/>
      <c r="L881" s="692" t="n"/>
      <c r="M881" s="692" t="n"/>
      <c r="N881" s="692" t="n"/>
      <c r="O881" s="692" t="n"/>
      <c r="P881" s="692" t="n"/>
      <c r="Q881" s="692" t="n"/>
      <c r="R881" s="692" t="n"/>
      <c r="S881" s="692" t="n"/>
      <c r="T881" s="692" t="n"/>
      <c r="U881" s="692" t="n"/>
      <c r="V881" s="692" t="n"/>
      <c r="W881" s="692" t="n"/>
      <c r="X881" s="692" t="n"/>
      <c r="Y881" s="692" t="n"/>
      <c r="Z881" s="692" t="n"/>
      <c r="AA881" s="692" t="n"/>
      <c r="AB881" s="692" t="n"/>
      <c r="AC881" s="692" t="n"/>
      <c r="AD881" s="692" t="n"/>
      <c r="AE881" s="692" t="n"/>
      <c r="AF881" s="692" t="n"/>
      <c r="AG881" s="692" t="n"/>
      <c r="AH881" s="692" t="n"/>
      <c r="AI881" s="692" t="n"/>
      <c r="AJ881" s="692" t="n"/>
      <c r="AK881" s="692" t="n"/>
      <c r="AL881" s="692" t="n"/>
      <c r="AM881" s="692" t="n"/>
      <c r="AN881" s="692" t="n"/>
      <c r="AO881" s="692" t="n"/>
      <c r="AP881" s="692" t="n"/>
      <c r="AQ881" s="692" t="n"/>
      <c r="AR881" s="692" t="n"/>
      <c r="AS881" s="692" t="n"/>
    </row>
    <row r="882">
      <c r="A882" s="692" t="n"/>
      <c r="B882" s="692" t="n"/>
      <c r="C882" s="692" t="n"/>
      <c r="D882" s="692" t="n"/>
      <c r="E882" s="692" t="n"/>
      <c r="F882" s="692" t="n"/>
      <c r="G882" s="692" t="n"/>
      <c r="H882" s="692" t="n"/>
      <c r="I882" s="692" t="n"/>
      <c r="J882" s="692" t="n"/>
      <c r="K882" s="692" t="n"/>
      <c r="L882" s="692" t="n"/>
      <c r="M882" s="692" t="n"/>
      <c r="N882" s="692" t="n"/>
      <c r="O882" s="692" t="n"/>
      <c r="P882" s="692" t="n"/>
      <c r="Q882" s="692" t="n"/>
      <c r="R882" s="692" t="n"/>
      <c r="S882" s="692" t="n"/>
      <c r="T882" s="692" t="n"/>
      <c r="U882" s="692" t="n"/>
      <c r="V882" s="692" t="n"/>
      <c r="W882" s="692" t="n"/>
      <c r="X882" s="692" t="n"/>
      <c r="Y882" s="692" t="n"/>
      <c r="Z882" s="692" t="n"/>
      <c r="AA882" s="692" t="n"/>
      <c r="AB882" s="692" t="n"/>
      <c r="AC882" s="692" t="n"/>
      <c r="AD882" s="692" t="n"/>
      <c r="AE882" s="692" t="n"/>
      <c r="AF882" s="692" t="n"/>
      <c r="AG882" s="692" t="n"/>
      <c r="AH882" s="692" t="n"/>
      <c r="AI882" s="692" t="n"/>
      <c r="AJ882" s="692" t="n"/>
      <c r="AK882" s="692" t="n"/>
      <c r="AL882" s="692" t="n"/>
      <c r="AM882" s="692" t="n"/>
      <c r="AN882" s="692" t="n"/>
      <c r="AO882" s="692" t="n"/>
      <c r="AP882" s="692" t="n"/>
      <c r="AQ882" s="692" t="n"/>
      <c r="AR882" s="692" t="n"/>
      <c r="AS882" s="692" t="n"/>
    </row>
    <row r="883">
      <c r="A883" s="692" t="n"/>
      <c r="B883" s="692" t="n"/>
      <c r="C883" s="692" t="n"/>
      <c r="D883" s="692" t="n"/>
      <c r="E883" s="692" t="n"/>
      <c r="F883" s="692" t="n"/>
      <c r="G883" s="692" t="n"/>
      <c r="H883" s="692" t="n"/>
      <c r="I883" s="692" t="n"/>
      <c r="J883" s="692" t="n"/>
      <c r="K883" s="692" t="n"/>
      <c r="L883" s="692" t="n"/>
      <c r="M883" s="692" t="n"/>
      <c r="N883" s="692" t="n"/>
      <c r="O883" s="692" t="n"/>
      <c r="P883" s="692" t="n"/>
      <c r="Q883" s="692" t="n"/>
      <c r="R883" s="692" t="n"/>
      <c r="S883" s="692" t="n"/>
      <c r="T883" s="692" t="n"/>
      <c r="U883" s="692" t="n"/>
      <c r="V883" s="692" t="n"/>
      <c r="W883" s="692" t="n"/>
      <c r="X883" s="692" t="n"/>
      <c r="Y883" s="692" t="n"/>
      <c r="Z883" s="692" t="n"/>
      <c r="AA883" s="692" t="n"/>
      <c r="AB883" s="692" t="n"/>
      <c r="AC883" s="692" t="n"/>
      <c r="AD883" s="692" t="n"/>
      <c r="AE883" s="692" t="n"/>
      <c r="AF883" s="692" t="n"/>
      <c r="AG883" s="692" t="n"/>
      <c r="AH883" s="692" t="n"/>
      <c r="AI883" s="692" t="n"/>
      <c r="AJ883" s="692" t="n"/>
      <c r="AK883" s="692" t="n"/>
      <c r="AL883" s="692" t="n"/>
      <c r="AM883" s="692" t="n"/>
      <c r="AN883" s="692" t="n"/>
      <c r="AO883" s="692" t="n"/>
      <c r="AP883" s="692" t="n"/>
      <c r="AQ883" s="692" t="n"/>
      <c r="AR883" s="692" t="n"/>
      <c r="AS883" s="692" t="n"/>
    </row>
    <row r="884">
      <c r="A884" s="692" t="n"/>
      <c r="B884" s="692" t="n"/>
      <c r="C884" s="692" t="n"/>
      <c r="D884" s="692" t="n"/>
      <c r="E884" s="692" t="n"/>
      <c r="F884" s="692" t="n"/>
      <c r="G884" s="692" t="n"/>
      <c r="H884" s="692" t="n"/>
      <c r="I884" s="692" t="n"/>
      <c r="J884" s="692" t="n"/>
      <c r="K884" s="692" t="n"/>
      <c r="L884" s="692" t="n"/>
      <c r="M884" s="692" t="n"/>
      <c r="N884" s="692" t="n"/>
      <c r="O884" s="692" t="n"/>
      <c r="P884" s="692" t="n"/>
      <c r="Q884" s="692" t="n"/>
      <c r="R884" s="692" t="n"/>
      <c r="S884" s="692" t="n"/>
      <c r="T884" s="692" t="n"/>
      <c r="U884" s="692" t="n"/>
      <c r="V884" s="692" t="n"/>
      <c r="W884" s="692" t="n"/>
      <c r="X884" s="692" t="n"/>
      <c r="Y884" s="692" t="n"/>
      <c r="Z884" s="692" t="n"/>
      <c r="AA884" s="692" t="n"/>
      <c r="AB884" s="692" t="n"/>
      <c r="AC884" s="692" t="n"/>
      <c r="AD884" s="692" t="n"/>
      <c r="AE884" s="692" t="n"/>
      <c r="AF884" s="692" t="n"/>
      <c r="AG884" s="692" t="n"/>
      <c r="AH884" s="692" t="n"/>
      <c r="AI884" s="692" t="n"/>
      <c r="AJ884" s="692" t="n"/>
      <c r="AK884" s="692" t="n"/>
      <c r="AL884" s="692" t="n"/>
      <c r="AM884" s="692" t="n"/>
      <c r="AN884" s="692" t="n"/>
      <c r="AO884" s="692" t="n"/>
      <c r="AP884" s="692" t="n"/>
      <c r="AQ884" s="692" t="n"/>
      <c r="AR884" s="692" t="n"/>
      <c r="AS884" s="692" t="n"/>
    </row>
    <row r="885">
      <c r="A885" s="692" t="n"/>
      <c r="B885" s="692" t="n"/>
      <c r="C885" s="692" t="n"/>
      <c r="D885" s="692" t="n"/>
      <c r="E885" s="692" t="n"/>
      <c r="F885" s="692" t="n"/>
      <c r="G885" s="692" t="n"/>
      <c r="H885" s="692" t="n"/>
      <c r="I885" s="692" t="n"/>
      <c r="J885" s="692" t="n"/>
      <c r="K885" s="692" t="n"/>
      <c r="L885" s="692" t="n"/>
      <c r="M885" s="692" t="n"/>
      <c r="N885" s="692" t="n"/>
      <c r="O885" s="692" t="n"/>
      <c r="P885" s="692" t="n"/>
      <c r="Q885" s="692" t="n"/>
      <c r="R885" s="692" t="n"/>
      <c r="S885" s="692" t="n"/>
      <c r="T885" s="692" t="n"/>
      <c r="U885" s="692" t="n"/>
      <c r="V885" s="692" t="n"/>
      <c r="W885" s="692" t="n"/>
      <c r="X885" s="692" t="n"/>
      <c r="Y885" s="692" t="n"/>
      <c r="Z885" s="692" t="n"/>
      <c r="AA885" s="692" t="n"/>
      <c r="AB885" s="692" t="n"/>
      <c r="AC885" s="692" t="n"/>
      <c r="AD885" s="692" t="n"/>
      <c r="AE885" s="692" t="n"/>
      <c r="AF885" s="692" t="n"/>
      <c r="AG885" s="692" t="n"/>
      <c r="AH885" s="692" t="n"/>
      <c r="AI885" s="692" t="n"/>
      <c r="AJ885" s="692" t="n"/>
      <c r="AK885" s="692" t="n"/>
      <c r="AL885" s="692" t="n"/>
      <c r="AM885" s="692" t="n"/>
      <c r="AN885" s="692" t="n"/>
      <c r="AO885" s="692" t="n"/>
      <c r="AP885" s="692" t="n"/>
      <c r="AQ885" s="692" t="n"/>
      <c r="AR885" s="692" t="n"/>
      <c r="AS885" s="692" t="n"/>
    </row>
    <row r="886">
      <c r="A886" s="692" t="n"/>
      <c r="B886" s="692" t="n"/>
      <c r="C886" s="692" t="n"/>
      <c r="D886" s="692" t="n"/>
      <c r="E886" s="692" t="n"/>
      <c r="F886" s="692" t="n"/>
      <c r="G886" s="692" t="n"/>
      <c r="H886" s="692" t="n"/>
      <c r="I886" s="692" t="n"/>
      <c r="J886" s="692" t="n"/>
      <c r="K886" s="692" t="n"/>
      <c r="L886" s="692" t="n"/>
      <c r="M886" s="692" t="n"/>
      <c r="N886" s="692" t="n"/>
      <c r="O886" s="692" t="n"/>
      <c r="P886" s="692" t="n"/>
      <c r="Q886" s="692" t="n"/>
      <c r="R886" s="692" t="n"/>
      <c r="S886" s="692" t="n"/>
      <c r="T886" s="692" t="n"/>
      <c r="U886" s="692" t="n"/>
      <c r="V886" s="692" t="n"/>
      <c r="W886" s="692" t="n"/>
      <c r="X886" s="692" t="n"/>
      <c r="Y886" s="692" t="n"/>
      <c r="Z886" s="692" t="n"/>
      <c r="AA886" s="692" t="n"/>
      <c r="AB886" s="692" t="n"/>
      <c r="AC886" s="692" t="n"/>
      <c r="AD886" s="692" t="n"/>
      <c r="AE886" s="692" t="n"/>
      <c r="AF886" s="692" t="n"/>
      <c r="AG886" s="692" t="n"/>
      <c r="AH886" s="692" t="n"/>
      <c r="AI886" s="692" t="n"/>
      <c r="AJ886" s="692" t="n"/>
      <c r="AK886" s="692" t="n"/>
      <c r="AL886" s="692" t="n"/>
      <c r="AM886" s="692" t="n"/>
      <c r="AN886" s="692" t="n"/>
      <c r="AO886" s="692" t="n"/>
      <c r="AP886" s="692" t="n"/>
      <c r="AQ886" s="692" t="n"/>
      <c r="AR886" s="692" t="n"/>
      <c r="AS886" s="692" t="n"/>
    </row>
    <row r="887">
      <c r="A887" s="692" t="n"/>
      <c r="B887" s="692" t="n"/>
      <c r="C887" s="692" t="n"/>
      <c r="D887" s="692" t="n"/>
      <c r="E887" s="692" t="n"/>
      <c r="F887" s="692" t="n"/>
      <c r="G887" s="692" t="n"/>
      <c r="H887" s="692" t="n"/>
      <c r="I887" s="692" t="n"/>
      <c r="J887" s="692" t="n"/>
      <c r="K887" s="692" t="n"/>
      <c r="L887" s="692" t="n"/>
      <c r="M887" s="692" t="n"/>
      <c r="N887" s="692" t="n"/>
      <c r="O887" s="692" t="n"/>
      <c r="P887" s="692" t="n"/>
      <c r="Q887" s="692" t="n"/>
      <c r="R887" s="692" t="n"/>
      <c r="S887" s="692" t="n"/>
      <c r="T887" s="692" t="n"/>
      <c r="U887" s="692" t="n"/>
      <c r="V887" s="692" t="n"/>
      <c r="W887" s="692" t="n"/>
      <c r="X887" s="692" t="n"/>
      <c r="Y887" s="692" t="n"/>
      <c r="Z887" s="692" t="n"/>
      <c r="AA887" s="692" t="n"/>
      <c r="AB887" s="692" t="n"/>
      <c r="AC887" s="692" t="n"/>
      <c r="AD887" s="692" t="n"/>
      <c r="AE887" s="692" t="n"/>
      <c r="AF887" s="692" t="n"/>
      <c r="AG887" s="692" t="n"/>
      <c r="AH887" s="692" t="n"/>
      <c r="AI887" s="692" t="n"/>
      <c r="AJ887" s="692" t="n"/>
      <c r="AK887" s="692" t="n"/>
      <c r="AL887" s="692" t="n"/>
      <c r="AM887" s="692" t="n"/>
      <c r="AN887" s="692" t="n"/>
      <c r="AO887" s="692" t="n"/>
      <c r="AP887" s="692" t="n"/>
      <c r="AQ887" s="692" t="n"/>
      <c r="AR887" s="692" t="n"/>
      <c r="AS887" s="692" t="n"/>
    </row>
    <row r="888">
      <c r="A888" s="692" t="n"/>
      <c r="B888" s="692" t="n"/>
      <c r="C888" s="692" t="n"/>
      <c r="D888" s="692" t="n"/>
      <c r="E888" s="692" t="n"/>
      <c r="F888" s="692" t="n"/>
      <c r="G888" s="692" t="n"/>
      <c r="H888" s="692" t="n"/>
      <c r="I888" s="692" t="n"/>
      <c r="J888" s="692" t="n"/>
      <c r="K888" s="692" t="n"/>
      <c r="L888" s="692" t="n"/>
      <c r="M888" s="692" t="n"/>
      <c r="N888" s="692" t="n"/>
      <c r="O888" s="692" t="n"/>
      <c r="P888" s="692" t="n"/>
      <c r="Q888" s="692" t="n"/>
      <c r="R888" s="692" t="n"/>
      <c r="S888" s="692" t="n"/>
      <c r="T888" s="692" t="n"/>
      <c r="U888" s="692" t="n"/>
      <c r="V888" s="692" t="n"/>
      <c r="W888" s="692" t="n"/>
      <c r="X888" s="692" t="n"/>
      <c r="Y888" s="692" t="n"/>
      <c r="Z888" s="692" t="n"/>
      <c r="AA888" s="692" t="n"/>
      <c r="AB888" s="692" t="n"/>
      <c r="AC888" s="692" t="n"/>
      <c r="AD888" s="692" t="n"/>
      <c r="AE888" s="692" t="n"/>
      <c r="AF888" s="692" t="n"/>
      <c r="AG888" s="692" t="n"/>
      <c r="AH888" s="692" t="n"/>
      <c r="AI888" s="692" t="n"/>
      <c r="AJ888" s="692" t="n"/>
      <c r="AK888" s="692" t="n"/>
      <c r="AL888" s="692" t="n"/>
      <c r="AM888" s="692" t="n"/>
      <c r="AN888" s="692" t="n"/>
      <c r="AO888" s="692" t="n"/>
      <c r="AP888" s="692" t="n"/>
      <c r="AQ888" s="692" t="n"/>
      <c r="AR888" s="692" t="n"/>
      <c r="AS888" s="692" t="n"/>
    </row>
    <row r="889">
      <c r="A889" s="692" t="n"/>
      <c r="B889" s="692" t="n"/>
      <c r="C889" s="692" t="n"/>
      <c r="D889" s="692" t="n"/>
      <c r="E889" s="692" t="n"/>
      <c r="F889" s="692" t="n"/>
      <c r="G889" s="692" t="n"/>
      <c r="H889" s="692" t="n"/>
      <c r="I889" s="692" t="n"/>
      <c r="J889" s="692" t="n"/>
      <c r="K889" s="692" t="n"/>
      <c r="L889" s="692" t="n"/>
      <c r="M889" s="692" t="n"/>
      <c r="N889" s="692" t="n"/>
      <c r="O889" s="692" t="n"/>
      <c r="P889" s="692" t="n"/>
      <c r="Q889" s="692" t="n"/>
      <c r="R889" s="692" t="n"/>
      <c r="S889" s="692" t="n"/>
      <c r="T889" s="692" t="n"/>
      <c r="U889" s="692" t="n"/>
      <c r="V889" s="692" t="n"/>
      <c r="W889" s="692" t="n"/>
      <c r="X889" s="692" t="n"/>
      <c r="Y889" s="692" t="n"/>
      <c r="Z889" s="692" t="n"/>
      <c r="AA889" s="692" t="n"/>
      <c r="AB889" s="692" t="n"/>
      <c r="AC889" s="692" t="n"/>
      <c r="AD889" s="692" t="n"/>
      <c r="AE889" s="692" t="n"/>
      <c r="AF889" s="692" t="n"/>
      <c r="AG889" s="692" t="n"/>
      <c r="AH889" s="692" t="n"/>
      <c r="AI889" s="692" t="n"/>
      <c r="AJ889" s="692" t="n"/>
      <c r="AK889" s="692" t="n"/>
      <c r="AL889" s="692" t="n"/>
      <c r="AM889" s="692" t="n"/>
      <c r="AN889" s="692" t="n"/>
      <c r="AO889" s="692" t="n"/>
      <c r="AP889" s="692" t="n"/>
      <c r="AQ889" s="692" t="n"/>
      <c r="AR889" s="692" t="n"/>
      <c r="AS889" s="692" t="n"/>
    </row>
    <row r="890">
      <c r="A890" s="692" t="n"/>
      <c r="B890" s="692" t="n"/>
      <c r="C890" s="692" t="n"/>
      <c r="D890" s="692" t="n"/>
      <c r="E890" s="692" t="n"/>
      <c r="F890" s="692" t="n"/>
      <c r="G890" s="692" t="n"/>
      <c r="H890" s="692" t="n"/>
      <c r="I890" s="692" t="n"/>
      <c r="J890" s="692" t="n"/>
      <c r="K890" s="692" t="n"/>
      <c r="L890" s="692" t="n"/>
      <c r="M890" s="692" t="n"/>
      <c r="N890" s="692" t="n"/>
      <c r="O890" s="692" t="n"/>
      <c r="P890" s="692" t="n"/>
      <c r="Q890" s="692" t="n"/>
      <c r="R890" s="692" t="n"/>
      <c r="S890" s="692" t="n"/>
      <c r="T890" s="692" t="n"/>
      <c r="U890" s="692" t="n"/>
      <c r="V890" s="692" t="n"/>
      <c r="W890" s="692" t="n"/>
      <c r="X890" s="692" t="n"/>
      <c r="Y890" s="692" t="n"/>
      <c r="Z890" s="692" t="n"/>
      <c r="AA890" s="692" t="n"/>
      <c r="AB890" s="692" t="n"/>
      <c r="AC890" s="692" t="n"/>
      <c r="AD890" s="692" t="n"/>
      <c r="AE890" s="692" t="n"/>
      <c r="AF890" s="692" t="n"/>
      <c r="AG890" s="692" t="n"/>
      <c r="AH890" s="692" t="n"/>
      <c r="AI890" s="692" t="n"/>
      <c r="AJ890" s="692" t="n"/>
      <c r="AK890" s="692" t="n"/>
      <c r="AL890" s="692" t="n"/>
      <c r="AM890" s="692" t="n"/>
      <c r="AN890" s="692" t="n"/>
      <c r="AO890" s="692" t="n"/>
      <c r="AP890" s="692" t="n"/>
      <c r="AQ890" s="692" t="n"/>
      <c r="AR890" s="692" t="n"/>
      <c r="AS890" s="692" t="n"/>
    </row>
    <row r="891">
      <c r="A891" s="692" t="n"/>
      <c r="B891" s="692" t="n"/>
      <c r="C891" s="692" t="n"/>
      <c r="D891" s="692" t="n"/>
      <c r="E891" s="692" t="n"/>
      <c r="F891" s="692" t="n"/>
      <c r="G891" s="692" t="n"/>
      <c r="H891" s="692" t="n"/>
      <c r="I891" s="692" t="n"/>
      <c r="J891" s="692" t="n"/>
      <c r="K891" s="692" t="n"/>
      <c r="L891" s="692" t="n"/>
      <c r="M891" s="692" t="n"/>
      <c r="N891" s="692" t="n"/>
      <c r="O891" s="692" t="n"/>
      <c r="P891" s="692" t="n"/>
      <c r="Q891" s="692" t="n"/>
      <c r="R891" s="692" t="n"/>
      <c r="S891" s="692" t="n"/>
      <c r="T891" s="692" t="n"/>
      <c r="U891" s="692" t="n"/>
      <c r="V891" s="692" t="n"/>
      <c r="W891" s="692" t="n"/>
      <c r="X891" s="692" t="n"/>
      <c r="Y891" s="692" t="n"/>
      <c r="Z891" s="692" t="n"/>
      <c r="AA891" s="692" t="n"/>
      <c r="AB891" s="692" t="n"/>
      <c r="AC891" s="692" t="n"/>
      <c r="AD891" s="692" t="n"/>
      <c r="AE891" s="692" t="n"/>
      <c r="AF891" s="692" t="n"/>
      <c r="AG891" s="692" t="n"/>
      <c r="AH891" s="692" t="n"/>
      <c r="AI891" s="692" t="n"/>
      <c r="AJ891" s="692" t="n"/>
      <c r="AK891" s="692" t="n"/>
      <c r="AL891" s="692" t="n"/>
      <c r="AM891" s="692" t="n"/>
      <c r="AN891" s="692" t="n"/>
      <c r="AO891" s="692" t="n"/>
      <c r="AP891" s="692" t="n"/>
      <c r="AQ891" s="692" t="n"/>
      <c r="AR891" s="692" t="n"/>
      <c r="AS891" s="692" t="n"/>
    </row>
    <row r="892">
      <c r="A892" s="692" t="n"/>
      <c r="B892" s="692" t="n"/>
      <c r="C892" s="692" t="n"/>
      <c r="D892" s="692" t="n"/>
      <c r="E892" s="692" t="n"/>
      <c r="F892" s="692" t="n"/>
      <c r="G892" s="692" t="n"/>
      <c r="H892" s="692" t="n"/>
      <c r="I892" s="692" t="n"/>
      <c r="J892" s="692" t="n"/>
      <c r="K892" s="692" t="n"/>
      <c r="L892" s="692" t="n"/>
      <c r="M892" s="692" t="n"/>
      <c r="N892" s="692" t="n"/>
      <c r="O892" s="692" t="n"/>
      <c r="P892" s="692" t="n"/>
      <c r="Q892" s="692" t="n"/>
      <c r="R892" s="692" t="n"/>
      <c r="S892" s="692" t="n"/>
      <c r="T892" s="692" t="n"/>
      <c r="U892" s="692" t="n"/>
      <c r="V892" s="692" t="n"/>
      <c r="W892" s="692" t="n"/>
      <c r="X892" s="692" t="n"/>
      <c r="Y892" s="692" t="n"/>
      <c r="Z892" s="692" t="n"/>
      <c r="AA892" s="692" t="n"/>
      <c r="AB892" s="692" t="n"/>
      <c r="AC892" s="692" t="n"/>
      <c r="AD892" s="692" t="n"/>
      <c r="AE892" s="692" t="n"/>
      <c r="AF892" s="692" t="n"/>
      <c r="AG892" s="692" t="n"/>
      <c r="AH892" s="692" t="n"/>
      <c r="AI892" s="692" t="n"/>
      <c r="AJ892" s="692" t="n"/>
      <c r="AK892" s="692" t="n"/>
      <c r="AL892" s="692" t="n"/>
      <c r="AM892" s="692" t="n"/>
      <c r="AN892" s="692" t="n"/>
      <c r="AO892" s="692" t="n"/>
      <c r="AP892" s="692" t="n"/>
      <c r="AQ892" s="692" t="n"/>
      <c r="AR892" s="692" t="n"/>
      <c r="AS892" s="692" t="n"/>
    </row>
    <row r="893">
      <c r="A893" s="692" t="n"/>
      <c r="B893" s="692" t="n"/>
      <c r="C893" s="692" t="n"/>
      <c r="D893" s="692" t="n"/>
      <c r="E893" s="692" t="n"/>
      <c r="F893" s="692" t="n"/>
      <c r="G893" s="692" t="n"/>
      <c r="H893" s="692" t="n"/>
      <c r="I893" s="692" t="n"/>
      <c r="J893" s="692" t="n"/>
      <c r="K893" s="692" t="n"/>
      <c r="L893" s="692" t="n"/>
      <c r="M893" s="692" t="n"/>
      <c r="N893" s="692" t="n"/>
      <c r="O893" s="692" t="n"/>
      <c r="P893" s="692" t="n"/>
      <c r="Q893" s="692" t="n"/>
      <c r="R893" s="692" t="n"/>
      <c r="S893" s="692" t="n"/>
      <c r="T893" s="692" t="n"/>
      <c r="U893" s="692" t="n"/>
      <c r="V893" s="692" t="n"/>
      <c r="W893" s="692" t="n"/>
      <c r="X893" s="692" t="n"/>
      <c r="Y893" s="692" t="n"/>
      <c r="Z893" s="692" t="n"/>
      <c r="AA893" s="692" t="n"/>
      <c r="AB893" s="692" t="n"/>
      <c r="AC893" s="692" t="n"/>
      <c r="AD893" s="692" t="n"/>
      <c r="AE893" s="692" t="n"/>
      <c r="AF893" s="692" t="n"/>
      <c r="AG893" s="692" t="n"/>
      <c r="AH893" s="692" t="n"/>
      <c r="AI893" s="692" t="n"/>
      <c r="AJ893" s="692" t="n"/>
      <c r="AK893" s="692" t="n"/>
      <c r="AL893" s="692" t="n"/>
      <c r="AM893" s="692" t="n"/>
      <c r="AN893" s="692" t="n"/>
      <c r="AO893" s="692" t="n"/>
      <c r="AP893" s="692" t="n"/>
      <c r="AQ893" s="692" t="n"/>
      <c r="AR893" s="692" t="n"/>
      <c r="AS893" s="692" t="n"/>
    </row>
    <row r="894">
      <c r="A894" s="692" t="n"/>
      <c r="B894" s="692" t="n"/>
      <c r="C894" s="692" t="n"/>
      <c r="D894" s="692" t="n"/>
      <c r="E894" s="692" t="n"/>
      <c r="F894" s="692" t="n"/>
      <c r="G894" s="692" t="n"/>
      <c r="H894" s="692" t="n"/>
      <c r="I894" s="692" t="n"/>
      <c r="J894" s="692" t="n"/>
      <c r="K894" s="692" t="n"/>
      <c r="L894" s="692" t="n"/>
      <c r="M894" s="692" t="n"/>
      <c r="N894" s="692" t="n"/>
      <c r="O894" s="692" t="n"/>
      <c r="P894" s="692" t="n"/>
      <c r="Q894" s="692" t="n"/>
      <c r="R894" s="692" t="n"/>
      <c r="S894" s="692" t="n"/>
      <c r="T894" s="692" t="n"/>
      <c r="U894" s="692" t="n"/>
      <c r="V894" s="692" t="n"/>
      <c r="W894" s="692" t="n"/>
      <c r="X894" s="692" t="n"/>
      <c r="Y894" s="692" t="n"/>
      <c r="Z894" s="692" t="n"/>
      <c r="AA894" s="692" t="n"/>
      <c r="AB894" s="692" t="n"/>
      <c r="AC894" s="692" t="n"/>
      <c r="AD894" s="692" t="n"/>
      <c r="AE894" s="692" t="n"/>
      <c r="AF894" s="692" t="n"/>
      <c r="AG894" s="692" t="n"/>
      <c r="AH894" s="692" t="n"/>
      <c r="AI894" s="692" t="n"/>
      <c r="AJ894" s="692" t="n"/>
      <c r="AK894" s="692" t="n"/>
      <c r="AL894" s="692" t="n"/>
      <c r="AM894" s="692" t="n"/>
      <c r="AN894" s="692" t="n"/>
      <c r="AO894" s="692" t="n"/>
      <c r="AP894" s="692" t="n"/>
      <c r="AQ894" s="692" t="n"/>
      <c r="AR894" s="692" t="n"/>
      <c r="AS894" s="692" t="n"/>
    </row>
    <row r="895">
      <c r="A895" s="692" t="n"/>
      <c r="B895" s="692" t="n"/>
      <c r="C895" s="692" t="n"/>
      <c r="D895" s="692" t="n"/>
      <c r="E895" s="692" t="n"/>
      <c r="F895" s="692" t="n"/>
      <c r="G895" s="692" t="n"/>
      <c r="H895" s="692" t="n"/>
      <c r="I895" s="692" t="n"/>
      <c r="J895" s="692" t="n"/>
      <c r="K895" s="692" t="n"/>
      <c r="L895" s="692" t="n"/>
      <c r="M895" s="692" t="n"/>
      <c r="N895" s="692" t="n"/>
      <c r="O895" s="692" t="n"/>
      <c r="P895" s="692" t="n"/>
      <c r="Q895" s="692" t="n"/>
      <c r="R895" s="692" t="n"/>
      <c r="S895" s="692" t="n"/>
      <c r="T895" s="692" t="n"/>
      <c r="U895" s="692" t="n"/>
      <c r="V895" s="692" t="n"/>
      <c r="W895" s="692" t="n"/>
      <c r="X895" s="692" t="n"/>
      <c r="Y895" s="692" t="n"/>
      <c r="Z895" s="692" t="n"/>
      <c r="AA895" s="692" t="n"/>
      <c r="AB895" s="692" t="n"/>
      <c r="AC895" s="692" t="n"/>
      <c r="AD895" s="692" t="n"/>
      <c r="AE895" s="692" t="n"/>
      <c r="AF895" s="692" t="n"/>
      <c r="AG895" s="692" t="n"/>
      <c r="AH895" s="692" t="n"/>
      <c r="AI895" s="692" t="n"/>
      <c r="AJ895" s="692" t="n"/>
      <c r="AK895" s="692" t="n"/>
      <c r="AL895" s="692" t="n"/>
      <c r="AM895" s="692" t="n"/>
      <c r="AN895" s="692" t="n"/>
      <c r="AO895" s="692" t="n"/>
      <c r="AP895" s="692" t="n"/>
      <c r="AQ895" s="692" t="n"/>
      <c r="AR895" s="692" t="n"/>
      <c r="AS895" s="692" t="n"/>
    </row>
    <row r="896">
      <c r="A896" s="692" t="n"/>
      <c r="B896" s="692" t="n"/>
      <c r="C896" s="692" t="n"/>
      <c r="D896" s="692" t="n"/>
      <c r="E896" s="692" t="n"/>
      <c r="F896" s="692" t="n"/>
      <c r="G896" s="692" t="n"/>
      <c r="H896" s="692" t="n"/>
      <c r="I896" s="692" t="n"/>
      <c r="J896" s="692" t="n"/>
      <c r="K896" s="692" t="n"/>
      <c r="L896" s="692" t="n"/>
      <c r="M896" s="692" t="n"/>
      <c r="N896" s="692" t="n"/>
      <c r="O896" s="692" t="n"/>
      <c r="P896" s="692" t="n"/>
      <c r="Q896" s="692" t="n"/>
      <c r="R896" s="692" t="n"/>
      <c r="S896" s="692" t="n"/>
      <c r="T896" s="692" t="n"/>
      <c r="U896" s="692" t="n"/>
      <c r="V896" s="692" t="n"/>
      <c r="W896" s="692" t="n"/>
      <c r="X896" s="692" t="n"/>
      <c r="Y896" s="692" t="n"/>
      <c r="Z896" s="692" t="n"/>
      <c r="AA896" s="692" t="n"/>
      <c r="AB896" s="692" t="n"/>
      <c r="AC896" s="692" t="n"/>
      <c r="AD896" s="692" t="n"/>
      <c r="AE896" s="692" t="n"/>
      <c r="AF896" s="692" t="n"/>
      <c r="AG896" s="692" t="n"/>
      <c r="AH896" s="692" t="n"/>
      <c r="AI896" s="692" t="n"/>
      <c r="AJ896" s="692" t="n"/>
      <c r="AK896" s="692" t="n"/>
      <c r="AL896" s="692" t="n"/>
      <c r="AM896" s="692" t="n"/>
      <c r="AN896" s="692" t="n"/>
      <c r="AO896" s="692" t="n"/>
      <c r="AP896" s="692" t="n"/>
      <c r="AQ896" s="692" t="n"/>
      <c r="AR896" s="692" t="n"/>
      <c r="AS896" s="692" t="n"/>
    </row>
    <row r="897">
      <c r="A897" s="692" t="n"/>
      <c r="B897" s="692" t="n"/>
      <c r="C897" s="692" t="n"/>
      <c r="D897" s="692" t="n"/>
      <c r="E897" s="692" t="n"/>
      <c r="F897" s="692" t="n"/>
      <c r="G897" s="692" t="n"/>
      <c r="H897" s="692" t="n"/>
      <c r="I897" s="692" t="n"/>
      <c r="J897" s="692" t="n"/>
      <c r="K897" s="692" t="n"/>
      <c r="L897" s="692" t="n"/>
      <c r="M897" s="692" t="n"/>
      <c r="N897" s="692" t="n"/>
      <c r="O897" s="692" t="n"/>
      <c r="P897" s="692" t="n"/>
      <c r="Q897" s="692" t="n"/>
      <c r="R897" s="692" t="n"/>
      <c r="S897" s="692" t="n"/>
      <c r="T897" s="692" t="n"/>
      <c r="U897" s="692" t="n"/>
      <c r="V897" s="692" t="n"/>
      <c r="W897" s="692" t="n"/>
      <c r="X897" s="692" t="n"/>
      <c r="Y897" s="692" t="n"/>
      <c r="Z897" s="692" t="n"/>
      <c r="AA897" s="692" t="n"/>
      <c r="AB897" s="692" t="n"/>
      <c r="AC897" s="692" t="n"/>
      <c r="AD897" s="692" t="n"/>
      <c r="AE897" s="692" t="n"/>
      <c r="AF897" s="692" t="n"/>
      <c r="AG897" s="692" t="n"/>
      <c r="AH897" s="692" t="n"/>
      <c r="AI897" s="692" t="n"/>
      <c r="AJ897" s="692" t="n"/>
      <c r="AK897" s="692" t="n"/>
      <c r="AL897" s="692" t="n"/>
      <c r="AM897" s="692" t="n"/>
      <c r="AN897" s="692" t="n"/>
      <c r="AO897" s="692" t="n"/>
      <c r="AP897" s="692" t="n"/>
      <c r="AQ897" s="692" t="n"/>
      <c r="AR897" s="692" t="n"/>
      <c r="AS897" s="692" t="n"/>
    </row>
    <row r="898">
      <c r="A898" s="692" t="n"/>
      <c r="B898" s="692" t="n"/>
      <c r="C898" s="692" t="n"/>
      <c r="D898" s="692" t="n"/>
      <c r="E898" s="692" t="n"/>
      <c r="F898" s="692" t="n"/>
      <c r="G898" s="692" t="n"/>
      <c r="H898" s="692" t="n"/>
      <c r="I898" s="692" t="n"/>
      <c r="J898" s="692" t="n"/>
      <c r="K898" s="692" t="n"/>
      <c r="L898" s="692" t="n"/>
      <c r="M898" s="692" t="n"/>
      <c r="N898" s="692" t="n"/>
      <c r="O898" s="692" t="n"/>
      <c r="P898" s="692" t="n"/>
      <c r="Q898" s="692" t="n"/>
      <c r="R898" s="692" t="n"/>
      <c r="S898" s="692" t="n"/>
      <c r="T898" s="692" t="n"/>
      <c r="U898" s="692" t="n"/>
      <c r="V898" s="692" t="n"/>
      <c r="W898" s="692" t="n"/>
      <c r="X898" s="692" t="n"/>
      <c r="Y898" s="692" t="n"/>
      <c r="Z898" s="692" t="n"/>
      <c r="AA898" s="692" t="n"/>
      <c r="AB898" s="692" t="n"/>
      <c r="AC898" s="692" t="n"/>
      <c r="AD898" s="692" t="n"/>
      <c r="AE898" s="692" t="n"/>
      <c r="AF898" s="692" t="n"/>
      <c r="AG898" s="692" t="n"/>
      <c r="AH898" s="692" t="n"/>
      <c r="AI898" s="692" t="n"/>
      <c r="AJ898" s="692" t="n"/>
      <c r="AK898" s="692" t="n"/>
      <c r="AL898" s="692" t="n"/>
      <c r="AM898" s="692" t="n"/>
      <c r="AN898" s="692" t="n"/>
      <c r="AO898" s="692" t="n"/>
      <c r="AP898" s="692" t="n"/>
      <c r="AQ898" s="692" t="n"/>
      <c r="AR898" s="692" t="n"/>
      <c r="AS898" s="692" t="n"/>
    </row>
    <row r="899">
      <c r="A899" s="692" t="n"/>
      <c r="B899" s="692" t="n"/>
      <c r="C899" s="692" t="n"/>
      <c r="D899" s="692" t="n"/>
      <c r="E899" s="692" t="n"/>
      <c r="F899" s="692" t="n"/>
      <c r="G899" s="692" t="n"/>
      <c r="H899" s="692" t="n"/>
      <c r="I899" s="692" t="n"/>
      <c r="J899" s="692" t="n"/>
      <c r="K899" s="692" t="n"/>
      <c r="L899" s="692" t="n"/>
      <c r="M899" s="692" t="n"/>
      <c r="N899" s="692" t="n"/>
      <c r="O899" s="692" t="n"/>
      <c r="P899" s="692" t="n"/>
      <c r="Q899" s="692" t="n"/>
      <c r="R899" s="692" t="n"/>
      <c r="S899" s="692" t="n"/>
      <c r="T899" s="692" t="n"/>
      <c r="U899" s="692" t="n"/>
      <c r="V899" s="692" t="n"/>
      <c r="W899" s="692" t="n"/>
      <c r="X899" s="692" t="n"/>
      <c r="Y899" s="692" t="n"/>
      <c r="Z899" s="692" t="n"/>
      <c r="AA899" s="692" t="n"/>
      <c r="AB899" s="692" t="n"/>
      <c r="AC899" s="692" t="n"/>
      <c r="AD899" s="692" t="n"/>
      <c r="AE899" s="692" t="n"/>
      <c r="AF899" s="692" t="n"/>
      <c r="AG899" s="692" t="n"/>
      <c r="AH899" s="692" t="n"/>
      <c r="AI899" s="692" t="n"/>
      <c r="AJ899" s="692" t="n"/>
      <c r="AK899" s="692" t="n"/>
      <c r="AL899" s="692" t="n"/>
      <c r="AM899" s="692" t="n"/>
      <c r="AN899" s="692" t="n"/>
      <c r="AO899" s="692" t="n"/>
      <c r="AP899" s="692" t="n"/>
      <c r="AQ899" s="692" t="n"/>
      <c r="AR899" s="692" t="n"/>
      <c r="AS899" s="692" t="n"/>
    </row>
    <row r="900">
      <c r="A900" s="692" t="n"/>
      <c r="B900" s="692" t="n"/>
      <c r="C900" s="692" t="n"/>
      <c r="D900" s="692" t="n"/>
      <c r="E900" s="692" t="n"/>
      <c r="F900" s="692" t="n"/>
      <c r="G900" s="692" t="n"/>
      <c r="H900" s="692" t="n"/>
      <c r="I900" s="692" t="n"/>
      <c r="J900" s="692" t="n"/>
      <c r="K900" s="692" t="n"/>
      <c r="L900" s="692" t="n"/>
      <c r="M900" s="692" t="n"/>
      <c r="N900" s="692" t="n"/>
      <c r="O900" s="692" t="n"/>
      <c r="P900" s="692" t="n"/>
      <c r="Q900" s="692" t="n"/>
      <c r="R900" s="692" t="n"/>
      <c r="S900" s="692" t="n"/>
      <c r="T900" s="692" t="n"/>
      <c r="U900" s="692" t="n"/>
      <c r="V900" s="692" t="n"/>
      <c r="W900" s="692" t="n"/>
      <c r="X900" s="692" t="n"/>
      <c r="Y900" s="692" t="n"/>
      <c r="Z900" s="692" t="n"/>
      <c r="AA900" s="692" t="n"/>
      <c r="AB900" s="692" t="n"/>
      <c r="AC900" s="692" t="n"/>
      <c r="AD900" s="692" t="n"/>
      <c r="AE900" s="692" t="n"/>
      <c r="AF900" s="692" t="n"/>
      <c r="AG900" s="692" t="n"/>
      <c r="AH900" s="692" t="n"/>
      <c r="AI900" s="692" t="n"/>
      <c r="AJ900" s="692" t="n"/>
      <c r="AK900" s="692" t="n"/>
      <c r="AL900" s="692" t="n"/>
      <c r="AM900" s="692" t="n"/>
      <c r="AN900" s="692" t="n"/>
      <c r="AO900" s="692" t="n"/>
      <c r="AP900" s="692" t="n"/>
      <c r="AQ900" s="692" t="n"/>
      <c r="AR900" s="692" t="n"/>
      <c r="AS900" s="692" t="n"/>
    </row>
    <row r="901">
      <c r="A901" s="692" t="n"/>
      <c r="B901" s="692" t="n"/>
      <c r="C901" s="692" t="n"/>
      <c r="D901" s="692" t="n"/>
      <c r="E901" s="692" t="n"/>
      <c r="F901" s="692" t="n"/>
      <c r="G901" s="692" t="n"/>
      <c r="H901" s="692" t="n"/>
      <c r="I901" s="692" t="n"/>
      <c r="J901" s="692" t="n"/>
      <c r="K901" s="692" t="n"/>
      <c r="L901" s="692" t="n"/>
      <c r="M901" s="692" t="n"/>
      <c r="N901" s="692" t="n"/>
      <c r="O901" s="692" t="n"/>
      <c r="P901" s="692" t="n"/>
      <c r="Q901" s="692" t="n"/>
      <c r="R901" s="692" t="n"/>
      <c r="S901" s="692" t="n"/>
      <c r="T901" s="692" t="n"/>
      <c r="U901" s="692" t="n"/>
      <c r="V901" s="692" t="n"/>
      <c r="W901" s="692" t="n"/>
      <c r="X901" s="692" t="n"/>
      <c r="Y901" s="692" t="n"/>
      <c r="Z901" s="692" t="n"/>
      <c r="AA901" s="692" t="n"/>
      <c r="AB901" s="692" t="n"/>
      <c r="AC901" s="692" t="n"/>
      <c r="AD901" s="692" t="n"/>
      <c r="AE901" s="692" t="n"/>
      <c r="AF901" s="692" t="n"/>
      <c r="AG901" s="692" t="n"/>
      <c r="AH901" s="692" t="n"/>
      <c r="AI901" s="692" t="n"/>
      <c r="AJ901" s="692" t="n"/>
      <c r="AK901" s="692" t="n"/>
      <c r="AL901" s="692" t="n"/>
      <c r="AM901" s="692" t="n"/>
      <c r="AN901" s="692" t="n"/>
      <c r="AO901" s="692" t="n"/>
      <c r="AP901" s="692" t="n"/>
      <c r="AQ901" s="692" t="n"/>
      <c r="AR901" s="692" t="n"/>
      <c r="AS901" s="692" t="n"/>
    </row>
    <row r="902">
      <c r="A902" s="692" t="n"/>
      <c r="B902" s="692" t="n"/>
      <c r="C902" s="692" t="n"/>
      <c r="D902" s="692" t="n"/>
      <c r="E902" s="692" t="n"/>
      <c r="F902" s="692" t="n"/>
      <c r="G902" s="692" t="n"/>
      <c r="H902" s="692" t="n"/>
      <c r="I902" s="692" t="n"/>
      <c r="J902" s="692" t="n"/>
      <c r="K902" s="692" t="n"/>
      <c r="L902" s="692" t="n"/>
      <c r="M902" s="692" t="n"/>
      <c r="N902" s="692" t="n"/>
      <c r="O902" s="692" t="n"/>
      <c r="P902" s="692" t="n"/>
      <c r="Q902" s="692" t="n"/>
      <c r="R902" s="692" t="n"/>
      <c r="S902" s="692" t="n"/>
      <c r="T902" s="692" t="n"/>
      <c r="U902" s="692" t="n"/>
      <c r="V902" s="692" t="n"/>
      <c r="W902" s="692" t="n"/>
      <c r="X902" s="692" t="n"/>
      <c r="Y902" s="692" t="n"/>
      <c r="Z902" s="692" t="n"/>
      <c r="AA902" s="692" t="n"/>
      <c r="AB902" s="692" t="n"/>
      <c r="AC902" s="692" t="n"/>
      <c r="AD902" s="692" t="n"/>
      <c r="AE902" s="692" t="n"/>
      <c r="AF902" s="692" t="n"/>
      <c r="AG902" s="692" t="n"/>
      <c r="AH902" s="692" t="n"/>
      <c r="AI902" s="692" t="n"/>
      <c r="AJ902" s="692" t="n"/>
      <c r="AK902" s="692" t="n"/>
      <c r="AL902" s="692" t="n"/>
      <c r="AM902" s="692" t="n"/>
      <c r="AN902" s="692" t="n"/>
      <c r="AO902" s="692" t="n"/>
      <c r="AP902" s="692" t="n"/>
      <c r="AQ902" s="692" t="n"/>
      <c r="AR902" s="692" t="n"/>
      <c r="AS902" s="692" t="n"/>
    </row>
    <row r="903">
      <c r="A903" s="692" t="n"/>
      <c r="B903" s="692" t="n"/>
      <c r="C903" s="692" t="n"/>
      <c r="D903" s="692" t="n"/>
      <c r="E903" s="692" t="n"/>
      <c r="F903" s="692" t="n"/>
      <c r="G903" s="692" t="n"/>
      <c r="H903" s="692" t="n"/>
      <c r="I903" s="692" t="n"/>
      <c r="J903" s="692" t="n"/>
      <c r="K903" s="692" t="n"/>
      <c r="L903" s="692" t="n"/>
      <c r="M903" s="692" t="n"/>
      <c r="N903" s="692" t="n"/>
      <c r="O903" s="692" t="n"/>
      <c r="P903" s="692" t="n"/>
      <c r="Q903" s="692" t="n"/>
      <c r="R903" s="692" t="n"/>
      <c r="S903" s="692" t="n"/>
      <c r="T903" s="692" t="n"/>
      <c r="U903" s="692" t="n"/>
      <c r="V903" s="692" t="n"/>
      <c r="W903" s="692" t="n"/>
      <c r="X903" s="692" t="n"/>
      <c r="Y903" s="692" t="n"/>
      <c r="Z903" s="692" t="n"/>
      <c r="AA903" s="692" t="n"/>
      <c r="AB903" s="692" t="n"/>
      <c r="AC903" s="692" t="n"/>
      <c r="AD903" s="692" t="n"/>
      <c r="AE903" s="692" t="n"/>
      <c r="AF903" s="692" t="n"/>
      <c r="AG903" s="692" t="n"/>
      <c r="AH903" s="692" t="n"/>
      <c r="AI903" s="692" t="n"/>
      <c r="AJ903" s="692" t="n"/>
      <c r="AK903" s="692" t="n"/>
      <c r="AL903" s="692" t="n"/>
      <c r="AM903" s="692" t="n"/>
      <c r="AN903" s="692" t="n"/>
      <c r="AO903" s="692" t="n"/>
      <c r="AP903" s="692" t="n"/>
      <c r="AQ903" s="692" t="n"/>
      <c r="AR903" s="692" t="n"/>
      <c r="AS903" s="692" t="n"/>
    </row>
    <row r="904">
      <c r="A904" s="692" t="n"/>
      <c r="B904" s="692" t="n"/>
      <c r="C904" s="692" t="n"/>
      <c r="D904" s="692" t="n"/>
      <c r="E904" s="692" t="n"/>
      <c r="F904" s="692" t="n"/>
      <c r="G904" s="692" t="n"/>
      <c r="H904" s="692" t="n"/>
      <c r="I904" s="692" t="n"/>
      <c r="J904" s="692" t="n"/>
      <c r="K904" s="692" t="n"/>
      <c r="L904" s="692" t="n"/>
      <c r="M904" s="692" t="n"/>
      <c r="N904" s="692" t="n"/>
      <c r="O904" s="692" t="n"/>
      <c r="P904" s="692" t="n"/>
      <c r="Q904" s="692" t="n"/>
      <c r="R904" s="692" t="n"/>
      <c r="S904" s="692" t="n"/>
      <c r="T904" s="692" t="n"/>
      <c r="U904" s="692" t="n"/>
      <c r="V904" s="692" t="n"/>
      <c r="W904" s="692" t="n"/>
      <c r="X904" s="692" t="n"/>
      <c r="Y904" s="692" t="n"/>
      <c r="Z904" s="692" t="n"/>
      <c r="AA904" s="692" t="n"/>
      <c r="AB904" s="692" t="n"/>
      <c r="AC904" s="692" t="n"/>
      <c r="AD904" s="692" t="n"/>
      <c r="AE904" s="692" t="n"/>
      <c r="AF904" s="692" t="n"/>
      <c r="AG904" s="692" t="n"/>
      <c r="AH904" s="692" t="n"/>
      <c r="AI904" s="692" t="n"/>
      <c r="AJ904" s="692" t="n"/>
      <c r="AK904" s="692" t="n"/>
      <c r="AL904" s="692" t="n"/>
      <c r="AM904" s="692" t="n"/>
      <c r="AN904" s="692" t="n"/>
      <c r="AO904" s="692" t="n"/>
      <c r="AP904" s="692" t="n"/>
      <c r="AQ904" s="692" t="n"/>
      <c r="AR904" s="692" t="n"/>
      <c r="AS904" s="692" t="n"/>
    </row>
    <row r="905">
      <c r="A905" s="692" t="n"/>
      <c r="B905" s="692" t="n"/>
      <c r="C905" s="692" t="n"/>
      <c r="D905" s="692" t="n"/>
      <c r="E905" s="692" t="n"/>
      <c r="F905" s="692" t="n"/>
      <c r="G905" s="692" t="n"/>
      <c r="H905" s="692" t="n"/>
      <c r="I905" s="692" t="n"/>
      <c r="J905" s="692" t="n"/>
      <c r="K905" s="692" t="n"/>
      <c r="L905" s="692" t="n"/>
      <c r="M905" s="692" t="n"/>
      <c r="N905" s="692" t="n"/>
      <c r="O905" s="692" t="n"/>
      <c r="P905" s="692" t="n"/>
      <c r="Q905" s="692" t="n"/>
      <c r="R905" s="692" t="n"/>
      <c r="S905" s="692" t="n"/>
      <c r="T905" s="692" t="n"/>
      <c r="U905" s="692" t="n"/>
      <c r="V905" s="692" t="n"/>
      <c r="W905" s="692" t="n"/>
      <c r="X905" s="692" t="n"/>
      <c r="Y905" s="692" t="n"/>
      <c r="Z905" s="692" t="n"/>
      <c r="AA905" s="692" t="n"/>
      <c r="AB905" s="692" t="n"/>
      <c r="AC905" s="692" t="n"/>
      <c r="AD905" s="692" t="n"/>
      <c r="AE905" s="692" t="n"/>
      <c r="AF905" s="692" t="n"/>
      <c r="AG905" s="692" t="n"/>
      <c r="AH905" s="692" t="n"/>
      <c r="AI905" s="692" t="n"/>
      <c r="AJ905" s="692" t="n"/>
      <c r="AK905" s="692" t="n"/>
      <c r="AL905" s="692" t="n"/>
      <c r="AM905" s="692" t="n"/>
      <c r="AN905" s="692" t="n"/>
      <c r="AO905" s="692" t="n"/>
      <c r="AP905" s="692" t="n"/>
      <c r="AQ905" s="692" t="n"/>
      <c r="AR905" s="692" t="n"/>
      <c r="AS905" s="692" t="n"/>
    </row>
    <row r="906">
      <c r="A906" s="692" t="n"/>
      <c r="B906" s="692" t="n"/>
      <c r="C906" s="692" t="n"/>
      <c r="D906" s="692" t="n"/>
      <c r="E906" s="692" t="n"/>
      <c r="F906" s="692" t="n"/>
      <c r="G906" s="692" t="n"/>
      <c r="H906" s="692" t="n"/>
      <c r="I906" s="692" t="n"/>
      <c r="J906" s="692" t="n"/>
      <c r="K906" s="692" t="n"/>
      <c r="L906" s="692" t="n"/>
      <c r="M906" s="692" t="n"/>
      <c r="N906" s="692" t="n"/>
      <c r="O906" s="692" t="n"/>
      <c r="P906" s="692" t="n"/>
      <c r="Q906" s="692" t="n"/>
      <c r="R906" s="692" t="n"/>
      <c r="S906" s="692" t="n"/>
      <c r="T906" s="692" t="n"/>
      <c r="U906" s="692" t="n"/>
      <c r="V906" s="692" t="n"/>
      <c r="W906" s="692" t="n"/>
      <c r="X906" s="692" t="n"/>
      <c r="Y906" s="692" t="n"/>
      <c r="Z906" s="692" t="n"/>
      <c r="AA906" s="692" t="n"/>
      <c r="AB906" s="692" t="n"/>
      <c r="AC906" s="692" t="n"/>
      <c r="AD906" s="692" t="n"/>
      <c r="AE906" s="692" t="n"/>
      <c r="AF906" s="692" t="n"/>
      <c r="AG906" s="692" t="n"/>
      <c r="AH906" s="692" t="n"/>
      <c r="AI906" s="692" t="n"/>
      <c r="AJ906" s="692" t="n"/>
      <c r="AK906" s="692" t="n"/>
      <c r="AL906" s="692" t="n"/>
      <c r="AM906" s="692" t="n"/>
      <c r="AN906" s="692" t="n"/>
      <c r="AO906" s="692" t="n"/>
      <c r="AP906" s="692" t="n"/>
      <c r="AQ906" s="692" t="n"/>
      <c r="AR906" s="692" t="n"/>
      <c r="AS906" s="692" t="n"/>
    </row>
    <row r="907">
      <c r="A907" s="692" t="n"/>
      <c r="B907" s="692" t="n"/>
      <c r="C907" s="692" t="n"/>
      <c r="D907" s="692" t="n"/>
      <c r="E907" s="692" t="n"/>
      <c r="F907" s="692" t="n"/>
      <c r="G907" s="692" t="n"/>
      <c r="H907" s="692" t="n"/>
      <c r="I907" s="692" t="n"/>
      <c r="J907" s="692" t="n"/>
      <c r="K907" s="692" t="n"/>
      <c r="L907" s="692" t="n"/>
      <c r="M907" s="692" t="n"/>
      <c r="N907" s="692" t="n"/>
      <c r="O907" s="692" t="n"/>
      <c r="P907" s="692" t="n"/>
      <c r="Q907" s="692" t="n"/>
      <c r="R907" s="692" t="n"/>
      <c r="S907" s="692" t="n"/>
      <c r="T907" s="692" t="n"/>
      <c r="U907" s="692" t="n"/>
      <c r="V907" s="692" t="n"/>
      <c r="W907" s="692" t="n"/>
      <c r="X907" s="692" t="n"/>
      <c r="Y907" s="692" t="n"/>
      <c r="Z907" s="692" t="n"/>
      <c r="AA907" s="692" t="n"/>
      <c r="AB907" s="692" t="n"/>
      <c r="AC907" s="692" t="n"/>
      <c r="AD907" s="692" t="n"/>
      <c r="AE907" s="692" t="n"/>
      <c r="AF907" s="692" t="n"/>
      <c r="AG907" s="692" t="n"/>
      <c r="AH907" s="692" t="n"/>
      <c r="AI907" s="692" t="n"/>
      <c r="AJ907" s="692" t="n"/>
      <c r="AK907" s="692" t="n"/>
      <c r="AL907" s="692" t="n"/>
      <c r="AM907" s="692" t="n"/>
      <c r="AN907" s="692" t="n"/>
      <c r="AO907" s="692" t="n"/>
      <c r="AP907" s="692" t="n"/>
      <c r="AQ907" s="692" t="n"/>
      <c r="AR907" s="692" t="n"/>
      <c r="AS907" s="692" t="n"/>
    </row>
    <row r="908">
      <c r="A908" s="692" t="n"/>
      <c r="B908" s="692" t="n"/>
      <c r="C908" s="692" t="n"/>
      <c r="D908" s="692" t="n"/>
      <c r="E908" s="692" t="n"/>
      <c r="F908" s="692" t="n"/>
      <c r="G908" s="692" t="n"/>
      <c r="H908" s="692" t="n"/>
      <c r="I908" s="692" t="n"/>
      <c r="J908" s="692" t="n"/>
      <c r="K908" s="692" t="n"/>
      <c r="L908" s="692" t="n"/>
      <c r="M908" s="692" t="n"/>
      <c r="N908" s="692" t="n"/>
      <c r="O908" s="692" t="n"/>
      <c r="P908" s="692" t="n"/>
      <c r="Q908" s="692" t="n"/>
      <c r="R908" s="692" t="n"/>
      <c r="S908" s="692" t="n"/>
      <c r="T908" s="692" t="n"/>
      <c r="U908" s="692" t="n"/>
      <c r="V908" s="692" t="n"/>
      <c r="W908" s="692" t="n"/>
      <c r="X908" s="692" t="n"/>
      <c r="Y908" s="692" t="n"/>
      <c r="Z908" s="692" t="n"/>
      <c r="AA908" s="692" t="n"/>
      <c r="AB908" s="692" t="n"/>
      <c r="AC908" s="692" t="n"/>
      <c r="AD908" s="692" t="n"/>
      <c r="AE908" s="692" t="n"/>
      <c r="AF908" s="692" t="n"/>
      <c r="AG908" s="692" t="n"/>
      <c r="AH908" s="692" t="n"/>
      <c r="AI908" s="692" t="n"/>
      <c r="AJ908" s="692" t="n"/>
      <c r="AK908" s="692" t="n"/>
      <c r="AL908" s="692" t="n"/>
      <c r="AM908" s="692" t="n"/>
      <c r="AN908" s="692" t="n"/>
      <c r="AO908" s="692" t="n"/>
      <c r="AP908" s="692" t="n"/>
      <c r="AQ908" s="692" t="n"/>
      <c r="AR908" s="692" t="n"/>
      <c r="AS908" s="692" t="n"/>
    </row>
    <row r="909">
      <c r="A909" s="692" t="n"/>
      <c r="B909" s="692" t="n"/>
      <c r="C909" s="692" t="n"/>
      <c r="D909" s="692" t="n"/>
      <c r="E909" s="692" t="n"/>
      <c r="F909" s="692" t="n"/>
      <c r="G909" s="692" t="n"/>
      <c r="H909" s="692" t="n"/>
      <c r="I909" s="692" t="n"/>
      <c r="J909" s="692" t="n"/>
      <c r="K909" s="692" t="n"/>
      <c r="L909" s="692" t="n"/>
      <c r="M909" s="692" t="n"/>
      <c r="N909" s="692" t="n"/>
      <c r="O909" s="692" t="n"/>
      <c r="P909" s="692" t="n"/>
      <c r="Q909" s="692" t="n"/>
      <c r="R909" s="692" t="n"/>
      <c r="S909" s="692" t="n"/>
      <c r="T909" s="692" t="n"/>
      <c r="U909" s="692" t="n"/>
      <c r="V909" s="692" t="n"/>
      <c r="W909" s="692" t="n"/>
      <c r="X909" s="692" t="n"/>
      <c r="Y909" s="692" t="n"/>
      <c r="Z909" s="692" t="n"/>
      <c r="AA909" s="692" t="n"/>
      <c r="AB909" s="692" t="n"/>
      <c r="AC909" s="692" t="n"/>
      <c r="AD909" s="692" t="n"/>
      <c r="AE909" s="692" t="n"/>
      <c r="AF909" s="692" t="n"/>
      <c r="AG909" s="692" t="n"/>
      <c r="AH909" s="692" t="n"/>
      <c r="AI909" s="692" t="n"/>
      <c r="AJ909" s="692" t="n"/>
      <c r="AK909" s="692" t="n"/>
      <c r="AL909" s="692" t="n"/>
      <c r="AM909" s="692" t="n"/>
      <c r="AN909" s="692" t="n"/>
      <c r="AO909" s="692" t="n"/>
      <c r="AP909" s="692" t="n"/>
      <c r="AQ909" s="692" t="n"/>
      <c r="AR909" s="692" t="n"/>
      <c r="AS909" s="692" t="n"/>
    </row>
    <row r="910">
      <c r="A910" s="692" t="n"/>
      <c r="B910" s="692" t="n"/>
      <c r="C910" s="692" t="n"/>
      <c r="D910" s="692" t="n"/>
      <c r="E910" s="692" t="n"/>
      <c r="F910" s="692" t="n"/>
      <c r="G910" s="692" t="n"/>
      <c r="H910" s="692" t="n"/>
      <c r="I910" s="692" t="n"/>
      <c r="J910" s="692" t="n"/>
      <c r="K910" s="692" t="n"/>
      <c r="L910" s="692" t="n"/>
      <c r="M910" s="692" t="n"/>
      <c r="N910" s="692" t="n"/>
      <c r="O910" s="692" t="n"/>
      <c r="P910" s="692" t="n"/>
      <c r="Q910" s="692" t="n"/>
      <c r="R910" s="692" t="n"/>
      <c r="S910" s="692" t="n"/>
      <c r="T910" s="692" t="n"/>
      <c r="U910" s="692" t="n"/>
      <c r="V910" s="692" t="n"/>
      <c r="W910" s="692" t="n"/>
      <c r="X910" s="692" t="n"/>
      <c r="Y910" s="692" t="n"/>
      <c r="Z910" s="692" t="n"/>
      <c r="AA910" s="692" t="n"/>
      <c r="AB910" s="692" t="n"/>
      <c r="AC910" s="692" t="n"/>
      <c r="AD910" s="692" t="n"/>
      <c r="AE910" s="692" t="n"/>
      <c r="AF910" s="692" t="n"/>
      <c r="AG910" s="692" t="n"/>
      <c r="AH910" s="692" t="n"/>
      <c r="AI910" s="692" t="n"/>
      <c r="AJ910" s="692" t="n"/>
      <c r="AK910" s="692" t="n"/>
      <c r="AL910" s="692" t="n"/>
      <c r="AM910" s="692" t="n"/>
      <c r="AN910" s="692" t="n"/>
      <c r="AO910" s="692" t="n"/>
      <c r="AP910" s="692" t="n"/>
      <c r="AQ910" s="692" t="n"/>
      <c r="AR910" s="692" t="n"/>
      <c r="AS910" s="692" t="n"/>
    </row>
    <row r="911">
      <c r="A911" s="692" t="n"/>
      <c r="B911" s="692" t="n"/>
      <c r="C911" s="692" t="n"/>
      <c r="D911" s="692" t="n"/>
      <c r="E911" s="692" t="n"/>
      <c r="F911" s="692" t="n"/>
      <c r="G911" s="692" t="n"/>
      <c r="H911" s="692" t="n"/>
      <c r="I911" s="692" t="n"/>
      <c r="J911" s="692" t="n"/>
      <c r="K911" s="692" t="n"/>
      <c r="L911" s="692" t="n"/>
      <c r="M911" s="692" t="n"/>
      <c r="N911" s="692" t="n"/>
      <c r="O911" s="692" t="n"/>
      <c r="P911" s="692" t="n"/>
      <c r="Q911" s="692" t="n"/>
      <c r="R911" s="692" t="n"/>
      <c r="S911" s="692" t="n"/>
      <c r="T911" s="692" t="n"/>
      <c r="U911" s="692" t="n"/>
      <c r="V911" s="692" t="n"/>
      <c r="W911" s="692" t="n"/>
      <c r="X911" s="692" t="n"/>
      <c r="Y911" s="692" t="n"/>
      <c r="Z911" s="692" t="n"/>
      <c r="AA911" s="692" t="n"/>
      <c r="AB911" s="692" t="n"/>
      <c r="AC911" s="692" t="n"/>
      <c r="AD911" s="692" t="n"/>
      <c r="AE911" s="692" t="n"/>
      <c r="AF911" s="692" t="n"/>
      <c r="AG911" s="692" t="n"/>
      <c r="AH911" s="692" t="n"/>
      <c r="AI911" s="692" t="n"/>
      <c r="AJ911" s="692" t="n"/>
      <c r="AK911" s="692" t="n"/>
      <c r="AL911" s="692" t="n"/>
      <c r="AM911" s="692" t="n"/>
      <c r="AN911" s="692" t="n"/>
      <c r="AO911" s="692" t="n"/>
      <c r="AP911" s="692" t="n"/>
      <c r="AQ911" s="692" t="n"/>
      <c r="AR911" s="692" t="n"/>
      <c r="AS911" s="692" t="n"/>
    </row>
    <row r="912">
      <c r="A912" s="692" t="n"/>
      <c r="B912" s="692" t="n"/>
      <c r="C912" s="692" t="n"/>
      <c r="D912" s="692" t="n"/>
      <c r="E912" s="692" t="n"/>
      <c r="F912" s="692" t="n"/>
      <c r="G912" s="692" t="n"/>
      <c r="H912" s="692" t="n"/>
      <c r="I912" s="692" t="n"/>
      <c r="J912" s="692" t="n"/>
      <c r="K912" s="692" t="n"/>
      <c r="L912" s="692" t="n"/>
      <c r="M912" s="692" t="n"/>
      <c r="N912" s="692" t="n"/>
      <c r="O912" s="692" t="n"/>
      <c r="P912" s="692" t="n"/>
      <c r="Q912" s="692" t="n"/>
      <c r="R912" s="692" t="n"/>
      <c r="S912" s="692" t="n"/>
      <c r="T912" s="692" t="n"/>
      <c r="U912" s="692" t="n"/>
      <c r="V912" s="692" t="n"/>
      <c r="W912" s="692" t="n"/>
      <c r="X912" s="692" t="n"/>
      <c r="Y912" s="692" t="n"/>
      <c r="Z912" s="692" t="n"/>
      <c r="AA912" s="692" t="n"/>
      <c r="AB912" s="692" t="n"/>
      <c r="AC912" s="692" t="n"/>
      <c r="AD912" s="692" t="n"/>
      <c r="AE912" s="692" t="n"/>
      <c r="AF912" s="692" t="n"/>
      <c r="AG912" s="692" t="n"/>
      <c r="AH912" s="692" t="n"/>
      <c r="AI912" s="692" t="n"/>
      <c r="AJ912" s="692" t="n"/>
      <c r="AK912" s="692" t="n"/>
      <c r="AL912" s="692" t="n"/>
      <c r="AM912" s="692" t="n"/>
      <c r="AN912" s="692" t="n"/>
      <c r="AO912" s="692" t="n"/>
      <c r="AP912" s="692" t="n"/>
      <c r="AQ912" s="692" t="n"/>
      <c r="AR912" s="692" t="n"/>
      <c r="AS912" s="692" t="n"/>
    </row>
    <row r="913">
      <c r="A913" s="692" t="n"/>
      <c r="B913" s="692" t="n"/>
      <c r="C913" s="692" t="n"/>
      <c r="D913" s="692" t="n"/>
      <c r="E913" s="692" t="n"/>
      <c r="F913" s="692" t="n"/>
      <c r="G913" s="692" t="n"/>
      <c r="H913" s="692" t="n"/>
      <c r="I913" s="692" t="n"/>
      <c r="J913" s="692" t="n"/>
      <c r="K913" s="692" t="n"/>
      <c r="L913" s="692" t="n"/>
      <c r="M913" s="692" t="n"/>
      <c r="N913" s="692" t="n"/>
      <c r="O913" s="692" t="n"/>
      <c r="P913" s="692" t="n"/>
      <c r="Q913" s="692" t="n"/>
      <c r="R913" s="692" t="n"/>
      <c r="S913" s="692" t="n"/>
      <c r="T913" s="692" t="n"/>
      <c r="U913" s="692" t="n"/>
      <c r="V913" s="692" t="n"/>
      <c r="W913" s="692" t="n"/>
      <c r="X913" s="692" t="n"/>
      <c r="Y913" s="692" t="n"/>
      <c r="Z913" s="692" t="n"/>
      <c r="AA913" s="692" t="n"/>
      <c r="AB913" s="692" t="n"/>
      <c r="AC913" s="692" t="n"/>
      <c r="AD913" s="692" t="n"/>
      <c r="AE913" s="692" t="n"/>
      <c r="AF913" s="692" t="n"/>
      <c r="AG913" s="692" t="n"/>
      <c r="AH913" s="692" t="n"/>
      <c r="AI913" s="692" t="n"/>
      <c r="AJ913" s="692" t="n"/>
      <c r="AK913" s="692" t="n"/>
      <c r="AL913" s="692" t="n"/>
      <c r="AM913" s="692" t="n"/>
      <c r="AN913" s="692" t="n"/>
      <c r="AO913" s="692" t="n"/>
      <c r="AP913" s="692" t="n"/>
      <c r="AQ913" s="692" t="n"/>
      <c r="AR913" s="692" t="n"/>
      <c r="AS913" s="692" t="n"/>
    </row>
    <row r="914">
      <c r="A914" s="692" t="n"/>
      <c r="B914" s="692" t="n"/>
      <c r="C914" s="692" t="n"/>
      <c r="D914" s="692" t="n"/>
      <c r="E914" s="692" t="n"/>
      <c r="F914" s="692" t="n"/>
      <c r="G914" s="692" t="n"/>
      <c r="H914" s="692" t="n"/>
      <c r="I914" s="692" t="n"/>
      <c r="J914" s="692" t="n"/>
      <c r="K914" s="692" t="n"/>
      <c r="L914" s="692" t="n"/>
      <c r="M914" s="692" t="n"/>
      <c r="N914" s="692" t="n"/>
      <c r="O914" s="692" t="n"/>
      <c r="P914" s="692" t="n"/>
      <c r="Q914" s="692" t="n"/>
      <c r="R914" s="692" t="n"/>
      <c r="S914" s="692" t="n"/>
      <c r="T914" s="692" t="n"/>
      <c r="U914" s="692" t="n"/>
      <c r="V914" s="692" t="n"/>
      <c r="W914" s="692" t="n"/>
      <c r="X914" s="692" t="n"/>
      <c r="Y914" s="692" t="n"/>
      <c r="Z914" s="692" t="n"/>
      <c r="AA914" s="692" t="n"/>
      <c r="AB914" s="692" t="n"/>
      <c r="AC914" s="692" t="n"/>
      <c r="AD914" s="692" t="n"/>
      <c r="AE914" s="692" t="n"/>
      <c r="AF914" s="692" t="n"/>
      <c r="AG914" s="692" t="n"/>
      <c r="AH914" s="692" t="n"/>
      <c r="AI914" s="692" t="n"/>
      <c r="AJ914" s="692" t="n"/>
      <c r="AK914" s="692" t="n"/>
      <c r="AL914" s="692" t="n"/>
      <c r="AM914" s="692" t="n"/>
      <c r="AN914" s="692" t="n"/>
      <c r="AO914" s="692" t="n"/>
      <c r="AP914" s="692" t="n"/>
      <c r="AQ914" s="692" t="n"/>
      <c r="AR914" s="692" t="n"/>
      <c r="AS914" s="692" t="n"/>
    </row>
    <row r="915">
      <c r="A915" s="692" t="n"/>
      <c r="B915" s="692" t="n"/>
      <c r="C915" s="692" t="n"/>
      <c r="D915" s="692" t="n"/>
      <c r="E915" s="692" t="n"/>
      <c r="F915" s="692" t="n"/>
      <c r="G915" s="692" t="n"/>
      <c r="H915" s="692" t="n"/>
      <c r="I915" s="692" t="n"/>
      <c r="J915" s="692" t="n"/>
      <c r="K915" s="692" t="n"/>
      <c r="L915" s="692" t="n"/>
      <c r="M915" s="692" t="n"/>
      <c r="N915" s="692" t="n"/>
      <c r="O915" s="692" t="n"/>
      <c r="P915" s="692" t="n"/>
      <c r="Q915" s="692" t="n"/>
      <c r="R915" s="692" t="n"/>
      <c r="S915" s="692" t="n"/>
      <c r="T915" s="692" t="n"/>
      <c r="U915" s="692" t="n"/>
      <c r="V915" s="692" t="n"/>
      <c r="W915" s="692" t="n"/>
      <c r="X915" s="692" t="n"/>
      <c r="Y915" s="692" t="n"/>
      <c r="Z915" s="692" t="n"/>
      <c r="AA915" s="692" t="n"/>
      <c r="AB915" s="692" t="n"/>
      <c r="AC915" s="692" t="n"/>
      <c r="AD915" s="692" t="n"/>
      <c r="AE915" s="692" t="n"/>
      <c r="AF915" s="692" t="n"/>
      <c r="AG915" s="692" t="n"/>
      <c r="AH915" s="692" t="n"/>
      <c r="AI915" s="692" t="n"/>
      <c r="AJ915" s="692" t="n"/>
      <c r="AK915" s="692" t="n"/>
      <c r="AL915" s="692" t="n"/>
      <c r="AM915" s="692" t="n"/>
      <c r="AN915" s="692" t="n"/>
      <c r="AO915" s="692" t="n"/>
      <c r="AP915" s="692" t="n"/>
      <c r="AQ915" s="692" t="n"/>
      <c r="AR915" s="692" t="n"/>
      <c r="AS915" s="692" t="n"/>
    </row>
    <row r="916">
      <c r="A916" s="692" t="n"/>
      <c r="B916" s="692" t="n"/>
      <c r="C916" s="692" t="n"/>
      <c r="D916" s="692" t="n"/>
      <c r="E916" s="692" t="n"/>
      <c r="F916" s="692" t="n"/>
      <c r="G916" s="692" t="n"/>
      <c r="H916" s="692" t="n"/>
      <c r="I916" s="692" t="n"/>
      <c r="J916" s="692" t="n"/>
      <c r="K916" s="692" t="n"/>
      <c r="L916" s="692" t="n"/>
      <c r="M916" s="692" t="n"/>
      <c r="N916" s="692" t="n"/>
      <c r="O916" s="692" t="n"/>
      <c r="P916" s="692" t="n"/>
      <c r="Q916" s="692" t="n"/>
      <c r="R916" s="692" t="n"/>
      <c r="S916" s="692" t="n"/>
      <c r="T916" s="692" t="n"/>
      <c r="U916" s="692" t="n"/>
      <c r="V916" s="692" t="n"/>
      <c r="W916" s="692" t="n"/>
      <c r="X916" s="692" t="n"/>
      <c r="Y916" s="692" t="n"/>
      <c r="Z916" s="692" t="n"/>
      <c r="AA916" s="692" t="n"/>
      <c r="AB916" s="692" t="n"/>
      <c r="AC916" s="692" t="n"/>
      <c r="AD916" s="692" t="n"/>
      <c r="AE916" s="692" t="n"/>
      <c r="AF916" s="692" t="n"/>
      <c r="AG916" s="692" t="n"/>
      <c r="AH916" s="692" t="n"/>
      <c r="AI916" s="692" t="n"/>
      <c r="AJ916" s="692" t="n"/>
      <c r="AK916" s="692" t="n"/>
      <c r="AL916" s="692" t="n"/>
      <c r="AM916" s="692" t="n"/>
      <c r="AN916" s="692" t="n"/>
      <c r="AO916" s="692" t="n"/>
      <c r="AP916" s="692" t="n"/>
      <c r="AQ916" s="692" t="n"/>
      <c r="AR916" s="692" t="n"/>
      <c r="AS916" s="692" t="n"/>
    </row>
    <row r="917">
      <c r="A917" s="692" t="n"/>
      <c r="B917" s="692" t="n"/>
      <c r="C917" s="692" t="n"/>
      <c r="D917" s="692" t="n"/>
      <c r="E917" s="692" t="n"/>
      <c r="F917" s="692" t="n"/>
      <c r="G917" s="692" t="n"/>
      <c r="H917" s="692" t="n"/>
      <c r="I917" s="692" t="n"/>
      <c r="J917" s="692" t="n"/>
      <c r="K917" s="692" t="n"/>
      <c r="L917" s="692" t="n"/>
      <c r="M917" s="692" t="n"/>
      <c r="N917" s="692" t="n"/>
      <c r="O917" s="692" t="n"/>
      <c r="P917" s="692" t="n"/>
      <c r="Q917" s="692" t="n"/>
      <c r="R917" s="692" t="n"/>
      <c r="S917" s="692" t="n"/>
      <c r="T917" s="692" t="n"/>
      <c r="U917" s="692" t="n"/>
      <c r="V917" s="692" t="n"/>
      <c r="W917" s="692" t="n"/>
      <c r="X917" s="692" t="n"/>
      <c r="Y917" s="692" t="n"/>
      <c r="Z917" s="692" t="n"/>
      <c r="AA917" s="692" t="n"/>
      <c r="AB917" s="692" t="n"/>
      <c r="AC917" s="692" t="n"/>
      <c r="AD917" s="692" t="n"/>
      <c r="AE917" s="692" t="n"/>
      <c r="AF917" s="692" t="n"/>
      <c r="AG917" s="692" t="n"/>
      <c r="AH917" s="692" t="n"/>
      <c r="AI917" s="692" t="n"/>
      <c r="AJ917" s="692" t="n"/>
      <c r="AK917" s="692" t="n"/>
      <c r="AL917" s="692" t="n"/>
      <c r="AM917" s="692" t="n"/>
      <c r="AN917" s="692" t="n"/>
      <c r="AO917" s="692" t="n"/>
      <c r="AP917" s="692" t="n"/>
      <c r="AQ917" s="692" t="n"/>
      <c r="AR917" s="692" t="n"/>
      <c r="AS917" s="692" t="n"/>
    </row>
    <row r="918">
      <c r="A918" s="692" t="n"/>
      <c r="B918" s="692" t="n"/>
      <c r="C918" s="692" t="n"/>
      <c r="D918" s="692" t="n"/>
      <c r="E918" s="692" t="n"/>
      <c r="F918" s="692" t="n"/>
      <c r="G918" s="692" t="n"/>
      <c r="H918" s="692" t="n"/>
      <c r="I918" s="692" t="n"/>
      <c r="J918" s="692" t="n"/>
      <c r="K918" s="692" t="n"/>
      <c r="L918" s="692" t="n"/>
      <c r="M918" s="692" t="n"/>
      <c r="N918" s="692" t="n"/>
      <c r="O918" s="692" t="n"/>
      <c r="P918" s="692" t="n"/>
      <c r="Q918" s="692" t="n"/>
      <c r="R918" s="692" t="n"/>
      <c r="S918" s="692" t="n"/>
      <c r="T918" s="692" t="n"/>
      <c r="U918" s="692" t="n"/>
      <c r="V918" s="692" t="n"/>
      <c r="W918" s="692" t="n"/>
      <c r="X918" s="692" t="n"/>
      <c r="Y918" s="692" t="n"/>
      <c r="Z918" s="692" t="n"/>
      <c r="AA918" s="692" t="n"/>
      <c r="AB918" s="692" t="n"/>
      <c r="AC918" s="692" t="n"/>
      <c r="AD918" s="692" t="n"/>
      <c r="AE918" s="692" t="n"/>
      <c r="AF918" s="692" t="n"/>
      <c r="AG918" s="692" t="n"/>
      <c r="AH918" s="692" t="n"/>
      <c r="AI918" s="692" t="n"/>
      <c r="AJ918" s="692" t="n"/>
      <c r="AK918" s="692" t="n"/>
      <c r="AL918" s="692" t="n"/>
      <c r="AM918" s="692" t="n"/>
      <c r="AN918" s="692" t="n"/>
      <c r="AO918" s="692" t="n"/>
      <c r="AP918" s="692" t="n"/>
      <c r="AQ918" s="692" t="n"/>
      <c r="AR918" s="692" t="n"/>
      <c r="AS918" s="692" t="n"/>
    </row>
    <row r="919">
      <c r="A919" s="692" t="n"/>
      <c r="B919" s="692" t="n"/>
      <c r="C919" s="692" t="n"/>
      <c r="D919" s="692" t="n"/>
      <c r="E919" s="692" t="n"/>
      <c r="F919" s="692" t="n"/>
      <c r="G919" s="692" t="n"/>
      <c r="H919" s="692" t="n"/>
      <c r="I919" s="692" t="n"/>
      <c r="J919" s="692" t="n"/>
      <c r="K919" s="692" t="n"/>
      <c r="L919" s="692" t="n"/>
      <c r="M919" s="692" t="n"/>
      <c r="N919" s="692" t="n"/>
      <c r="O919" s="692" t="n"/>
      <c r="P919" s="692" t="n"/>
      <c r="Q919" s="692" t="n"/>
      <c r="R919" s="692" t="n"/>
      <c r="S919" s="692" t="n"/>
      <c r="T919" s="692" t="n"/>
      <c r="U919" s="692" t="n"/>
      <c r="V919" s="692" t="n"/>
      <c r="W919" s="692" t="n"/>
      <c r="X919" s="692" t="n"/>
      <c r="Y919" s="692" t="n"/>
      <c r="Z919" s="692" t="n"/>
      <c r="AA919" s="692" t="n"/>
      <c r="AB919" s="692" t="n"/>
      <c r="AC919" s="692" t="n"/>
      <c r="AD919" s="692" t="n"/>
      <c r="AE919" s="692" t="n"/>
      <c r="AF919" s="692" t="n"/>
      <c r="AG919" s="692" t="n"/>
      <c r="AH919" s="692" t="n"/>
      <c r="AI919" s="692" t="n"/>
      <c r="AJ919" s="692" t="n"/>
      <c r="AK919" s="692" t="n"/>
      <c r="AL919" s="692" t="n"/>
      <c r="AM919" s="692" t="n"/>
      <c r="AN919" s="692" t="n"/>
      <c r="AO919" s="692" t="n"/>
      <c r="AP919" s="692" t="n"/>
      <c r="AQ919" s="692" t="n"/>
      <c r="AR919" s="692" t="n"/>
      <c r="AS919" s="692" t="n"/>
    </row>
    <row r="920">
      <c r="A920" s="692" t="n"/>
      <c r="B920" s="692" t="n"/>
      <c r="C920" s="692" t="n"/>
      <c r="D920" s="692" t="n"/>
      <c r="E920" s="692" t="n"/>
      <c r="F920" s="692" t="n"/>
      <c r="G920" s="692" t="n"/>
      <c r="H920" s="692" t="n"/>
      <c r="I920" s="692" t="n"/>
      <c r="J920" s="692" t="n"/>
      <c r="K920" s="692" t="n"/>
      <c r="L920" s="692" t="n"/>
      <c r="M920" s="692" t="n"/>
      <c r="N920" s="692" t="n"/>
      <c r="O920" s="692" t="n"/>
      <c r="P920" s="692" t="n"/>
      <c r="Q920" s="692" t="n"/>
      <c r="R920" s="692" t="n"/>
      <c r="S920" s="692" t="n"/>
      <c r="T920" s="692" t="n"/>
      <c r="U920" s="692" t="n"/>
      <c r="V920" s="692" t="n"/>
      <c r="W920" s="692" t="n"/>
      <c r="X920" s="692" t="n"/>
      <c r="Y920" s="692" t="n"/>
      <c r="Z920" s="692" t="n"/>
      <c r="AA920" s="692" t="n"/>
      <c r="AB920" s="692" t="n"/>
      <c r="AC920" s="692" t="n"/>
      <c r="AD920" s="692" t="n"/>
      <c r="AE920" s="692" t="n"/>
      <c r="AF920" s="692" t="n"/>
      <c r="AG920" s="692" t="n"/>
      <c r="AH920" s="692" t="n"/>
      <c r="AI920" s="692" t="n"/>
      <c r="AJ920" s="692" t="n"/>
      <c r="AK920" s="692" t="n"/>
      <c r="AL920" s="692" t="n"/>
      <c r="AM920" s="692" t="n"/>
      <c r="AN920" s="692" t="n"/>
      <c r="AO920" s="692" t="n"/>
      <c r="AP920" s="692" t="n"/>
      <c r="AQ920" s="692" t="n"/>
      <c r="AR920" s="692" t="n"/>
      <c r="AS920" s="692" t="n"/>
    </row>
    <row r="921">
      <c r="A921" s="692" t="n"/>
      <c r="B921" s="692" t="n"/>
      <c r="C921" s="692" t="n"/>
      <c r="D921" s="692" t="n"/>
      <c r="E921" s="692" t="n"/>
      <c r="F921" s="692" t="n"/>
      <c r="G921" s="692" t="n"/>
      <c r="H921" s="692" t="n"/>
      <c r="I921" s="692" t="n"/>
      <c r="J921" s="692" t="n"/>
      <c r="K921" s="692" t="n"/>
      <c r="L921" s="692" t="n"/>
      <c r="M921" s="692" t="n"/>
      <c r="N921" s="692" t="n"/>
      <c r="O921" s="692" t="n"/>
      <c r="P921" s="692" t="n"/>
      <c r="Q921" s="692" t="n"/>
      <c r="R921" s="692" t="n"/>
      <c r="S921" s="692" t="n"/>
      <c r="T921" s="692" t="n"/>
      <c r="U921" s="692" t="n"/>
      <c r="V921" s="692" t="n"/>
      <c r="W921" s="692" t="n"/>
      <c r="X921" s="692" t="n"/>
      <c r="Y921" s="692" t="n"/>
      <c r="Z921" s="692" t="n"/>
      <c r="AA921" s="692" t="n"/>
      <c r="AB921" s="692" t="n"/>
      <c r="AC921" s="692" t="n"/>
      <c r="AD921" s="692" t="n"/>
      <c r="AE921" s="692" t="n"/>
      <c r="AF921" s="692" t="n"/>
      <c r="AG921" s="692" t="n"/>
      <c r="AH921" s="692" t="n"/>
      <c r="AI921" s="692" t="n"/>
      <c r="AJ921" s="692" t="n"/>
      <c r="AK921" s="692" t="n"/>
      <c r="AL921" s="692" t="n"/>
      <c r="AM921" s="692" t="n"/>
      <c r="AN921" s="692" t="n"/>
      <c r="AO921" s="692" t="n"/>
      <c r="AP921" s="692" t="n"/>
      <c r="AQ921" s="692" t="n"/>
      <c r="AR921" s="692" t="n"/>
      <c r="AS921" s="692" t="n"/>
    </row>
    <row r="922">
      <c r="A922" s="692" t="n"/>
      <c r="B922" s="692" t="n"/>
      <c r="C922" s="692" t="n"/>
      <c r="D922" s="692" t="n"/>
      <c r="E922" s="692" t="n"/>
      <c r="F922" s="692" t="n"/>
      <c r="G922" s="692" t="n"/>
      <c r="H922" s="692" t="n"/>
      <c r="I922" s="692" t="n"/>
      <c r="J922" s="692" t="n"/>
      <c r="K922" s="692" t="n"/>
      <c r="L922" s="692" t="n"/>
      <c r="M922" s="692" t="n"/>
      <c r="N922" s="692" t="n"/>
      <c r="O922" s="692" t="n"/>
      <c r="P922" s="692" t="n"/>
      <c r="Q922" s="692" t="n"/>
      <c r="R922" s="692" t="n"/>
      <c r="S922" s="692" t="n"/>
      <c r="T922" s="692" t="n"/>
      <c r="U922" s="692" t="n"/>
      <c r="V922" s="692" t="n"/>
      <c r="W922" s="692" t="n"/>
      <c r="X922" s="692" t="n"/>
      <c r="Y922" s="692" t="n"/>
      <c r="Z922" s="692" t="n"/>
      <c r="AA922" s="692" t="n"/>
      <c r="AB922" s="692" t="n"/>
      <c r="AC922" s="692" t="n"/>
      <c r="AD922" s="692" t="n"/>
      <c r="AE922" s="692" t="n"/>
      <c r="AF922" s="692" t="n"/>
      <c r="AG922" s="692" t="n"/>
      <c r="AH922" s="692" t="n"/>
      <c r="AI922" s="692" t="n"/>
      <c r="AJ922" s="692" t="n"/>
      <c r="AK922" s="692" t="n"/>
      <c r="AL922" s="692" t="n"/>
      <c r="AM922" s="692" t="n"/>
      <c r="AN922" s="692" t="n"/>
      <c r="AO922" s="692" t="n"/>
      <c r="AP922" s="692" t="n"/>
      <c r="AQ922" s="692" t="n"/>
      <c r="AR922" s="692" t="n"/>
      <c r="AS922" s="692" t="n"/>
    </row>
    <row r="923">
      <c r="A923" s="692" t="n"/>
      <c r="B923" s="692" t="n"/>
      <c r="C923" s="692" t="n"/>
      <c r="D923" s="692" t="n"/>
      <c r="E923" s="692" t="n"/>
      <c r="F923" s="692" t="n"/>
      <c r="G923" s="692" t="n"/>
      <c r="H923" s="692" t="n"/>
      <c r="I923" s="692" t="n"/>
      <c r="J923" s="692" t="n"/>
      <c r="K923" s="692" t="n"/>
      <c r="L923" s="692" t="n"/>
      <c r="M923" s="692" t="n"/>
      <c r="N923" s="692" t="n"/>
      <c r="O923" s="692" t="n"/>
      <c r="P923" s="692" t="n"/>
      <c r="Q923" s="692" t="n"/>
      <c r="R923" s="692" t="n"/>
      <c r="S923" s="692" t="n"/>
      <c r="T923" s="692" t="n"/>
      <c r="U923" s="692" t="n"/>
      <c r="V923" s="692" t="n"/>
      <c r="W923" s="692" t="n"/>
      <c r="X923" s="692" t="n"/>
      <c r="Y923" s="692" t="n"/>
      <c r="Z923" s="692" t="n"/>
      <c r="AA923" s="692" t="n"/>
      <c r="AB923" s="692" t="n"/>
      <c r="AC923" s="692" t="n"/>
      <c r="AD923" s="692" t="n"/>
      <c r="AE923" s="692" t="n"/>
      <c r="AF923" s="692" t="n"/>
      <c r="AG923" s="692" t="n"/>
      <c r="AH923" s="692" t="n"/>
      <c r="AI923" s="692" t="n"/>
      <c r="AJ923" s="692" t="n"/>
      <c r="AK923" s="692" t="n"/>
      <c r="AL923" s="692" t="n"/>
      <c r="AM923" s="692" t="n"/>
      <c r="AN923" s="692" t="n"/>
      <c r="AO923" s="692" t="n"/>
      <c r="AP923" s="692" t="n"/>
      <c r="AQ923" s="692" t="n"/>
      <c r="AR923" s="692" t="n"/>
      <c r="AS923" s="692" t="n"/>
    </row>
    <row r="924">
      <c r="A924" s="692" t="n"/>
      <c r="B924" s="692" t="n"/>
      <c r="C924" s="692" t="n"/>
      <c r="D924" s="692" t="n"/>
      <c r="E924" s="692" t="n"/>
      <c r="F924" s="692" t="n"/>
      <c r="G924" s="692" t="n"/>
      <c r="H924" s="692" t="n"/>
      <c r="I924" s="692" t="n"/>
      <c r="J924" s="692" t="n"/>
      <c r="K924" s="692" t="n"/>
      <c r="L924" s="692" t="n"/>
      <c r="M924" s="692" t="n"/>
      <c r="N924" s="692" t="n"/>
      <c r="O924" s="692" t="n"/>
      <c r="P924" s="692" t="n"/>
      <c r="Q924" s="692" t="n"/>
      <c r="R924" s="692" t="n"/>
      <c r="S924" s="692" t="n"/>
      <c r="T924" s="692" t="n"/>
      <c r="U924" s="692" t="n"/>
      <c r="V924" s="692" t="n"/>
      <c r="W924" s="692" t="n"/>
      <c r="X924" s="692" t="n"/>
      <c r="Y924" s="692" t="n"/>
      <c r="Z924" s="692" t="n"/>
      <c r="AA924" s="692" t="n"/>
      <c r="AB924" s="692" t="n"/>
      <c r="AC924" s="692" t="n"/>
      <c r="AD924" s="692" t="n"/>
      <c r="AE924" s="692" t="n"/>
      <c r="AF924" s="692" t="n"/>
      <c r="AG924" s="692" t="n"/>
      <c r="AH924" s="692" t="n"/>
      <c r="AI924" s="692" t="n"/>
      <c r="AJ924" s="692" t="n"/>
      <c r="AK924" s="692" t="n"/>
      <c r="AL924" s="692" t="n"/>
      <c r="AM924" s="692" t="n"/>
      <c r="AN924" s="692" t="n"/>
      <c r="AO924" s="692" t="n"/>
      <c r="AP924" s="692" t="n"/>
      <c r="AQ924" s="692" t="n"/>
      <c r="AR924" s="692" t="n"/>
      <c r="AS924" s="692" t="n"/>
    </row>
    <row r="925">
      <c r="A925" s="692" t="n"/>
      <c r="B925" s="692" t="n"/>
      <c r="C925" s="692" t="n"/>
      <c r="D925" s="692" t="n"/>
      <c r="E925" s="692" t="n"/>
      <c r="F925" s="692" t="n"/>
      <c r="G925" s="692" t="n"/>
      <c r="H925" s="692" t="n"/>
      <c r="I925" s="692" t="n"/>
      <c r="J925" s="692" t="n"/>
      <c r="K925" s="692" t="n"/>
      <c r="L925" s="692" t="n"/>
      <c r="M925" s="692" t="n"/>
      <c r="N925" s="692" t="n"/>
      <c r="O925" s="692" t="n"/>
      <c r="P925" s="692" t="n"/>
      <c r="Q925" s="692" t="n"/>
      <c r="R925" s="692" t="n"/>
      <c r="S925" s="692" t="n"/>
      <c r="T925" s="692" t="n"/>
      <c r="U925" s="692" t="n"/>
      <c r="V925" s="692" t="n"/>
      <c r="W925" s="692" t="n"/>
      <c r="X925" s="692" t="n"/>
      <c r="Y925" s="692" t="n"/>
      <c r="Z925" s="692" t="n"/>
      <c r="AA925" s="692" t="n"/>
      <c r="AB925" s="692" t="n"/>
      <c r="AC925" s="692" t="n"/>
      <c r="AD925" s="692" t="n"/>
      <c r="AE925" s="692" t="n"/>
      <c r="AF925" s="692" t="n"/>
      <c r="AG925" s="692" t="n"/>
      <c r="AH925" s="692" t="n"/>
      <c r="AI925" s="692" t="n"/>
      <c r="AJ925" s="692" t="n"/>
      <c r="AK925" s="692" t="n"/>
      <c r="AL925" s="692" t="n"/>
      <c r="AM925" s="692" t="n"/>
      <c r="AN925" s="692" t="n"/>
      <c r="AO925" s="692" t="n"/>
      <c r="AP925" s="692" t="n"/>
      <c r="AQ925" s="692" t="n"/>
      <c r="AR925" s="692" t="n"/>
      <c r="AS925" s="692" t="n"/>
    </row>
    <row r="926">
      <c r="A926" s="692" t="n"/>
      <c r="B926" s="692" t="n"/>
      <c r="C926" s="692" t="n"/>
      <c r="D926" s="692" t="n"/>
      <c r="E926" s="692" t="n"/>
      <c r="F926" s="692" t="n"/>
      <c r="G926" s="692" t="n"/>
      <c r="H926" s="692" t="n"/>
      <c r="I926" s="692" t="n"/>
      <c r="J926" s="692" t="n"/>
      <c r="K926" s="692" t="n"/>
      <c r="L926" s="692" t="n"/>
      <c r="M926" s="692" t="n"/>
      <c r="N926" s="692" t="n"/>
      <c r="O926" s="692" t="n"/>
      <c r="P926" s="692" t="n"/>
      <c r="Q926" s="692" t="n"/>
      <c r="R926" s="692" t="n"/>
      <c r="S926" s="692" t="n"/>
      <c r="T926" s="692" t="n"/>
      <c r="U926" s="692" t="n"/>
      <c r="V926" s="692" t="n"/>
      <c r="W926" s="692" t="n"/>
      <c r="X926" s="692" t="n"/>
      <c r="Y926" s="692" t="n"/>
      <c r="Z926" s="692" t="n"/>
      <c r="AA926" s="692" t="n"/>
      <c r="AB926" s="692" t="n"/>
      <c r="AC926" s="692" t="n"/>
      <c r="AD926" s="692" t="n"/>
      <c r="AE926" s="692" t="n"/>
      <c r="AF926" s="692" t="n"/>
      <c r="AG926" s="692" t="n"/>
      <c r="AH926" s="692" t="n"/>
      <c r="AI926" s="692" t="n"/>
      <c r="AJ926" s="692" t="n"/>
      <c r="AK926" s="692" t="n"/>
      <c r="AL926" s="692" t="n"/>
      <c r="AM926" s="692" t="n"/>
      <c r="AN926" s="692" t="n"/>
      <c r="AO926" s="692" t="n"/>
      <c r="AP926" s="692" t="n"/>
      <c r="AQ926" s="692" t="n"/>
      <c r="AR926" s="692" t="n"/>
      <c r="AS926" s="692" t="n"/>
    </row>
    <row r="927">
      <c r="A927" s="692" t="n"/>
      <c r="B927" s="692" t="n"/>
      <c r="C927" s="692" t="n"/>
      <c r="D927" s="692" t="n"/>
      <c r="E927" s="692" t="n"/>
      <c r="F927" s="692" t="n"/>
      <c r="G927" s="692" t="n"/>
      <c r="H927" s="692" t="n"/>
      <c r="I927" s="692" t="n"/>
      <c r="J927" s="692" t="n"/>
      <c r="K927" s="692" t="n"/>
      <c r="L927" s="692" t="n"/>
      <c r="M927" s="692" t="n"/>
      <c r="N927" s="692" t="n"/>
      <c r="O927" s="692" t="n"/>
      <c r="P927" s="692" t="n"/>
      <c r="Q927" s="692" t="n"/>
      <c r="R927" s="692" t="n"/>
      <c r="S927" s="692" t="n"/>
      <c r="T927" s="692" t="n"/>
      <c r="U927" s="692" t="n"/>
      <c r="V927" s="692" t="n"/>
      <c r="W927" s="692" t="n"/>
      <c r="X927" s="692" t="n"/>
      <c r="Y927" s="692" t="n"/>
      <c r="Z927" s="692" t="n"/>
      <c r="AA927" s="692" t="n"/>
      <c r="AB927" s="692" t="n"/>
      <c r="AC927" s="692" t="n"/>
      <c r="AD927" s="692" t="n"/>
      <c r="AE927" s="692" t="n"/>
      <c r="AF927" s="692" t="n"/>
      <c r="AG927" s="692" t="n"/>
      <c r="AH927" s="692" t="n"/>
      <c r="AI927" s="692" t="n"/>
      <c r="AJ927" s="692" t="n"/>
      <c r="AK927" s="692" t="n"/>
      <c r="AL927" s="692" t="n"/>
      <c r="AM927" s="692" t="n"/>
      <c r="AN927" s="692" t="n"/>
      <c r="AO927" s="692" t="n"/>
      <c r="AP927" s="692" t="n"/>
      <c r="AQ927" s="692" t="n"/>
      <c r="AR927" s="692" t="n"/>
      <c r="AS927" s="692" t="n"/>
    </row>
    <row r="928">
      <c r="A928" s="692" t="n"/>
      <c r="B928" s="692" t="n"/>
      <c r="C928" s="692" t="n"/>
      <c r="D928" s="692" t="n"/>
      <c r="E928" s="692" t="n"/>
      <c r="F928" s="692" t="n"/>
      <c r="G928" s="692" t="n"/>
      <c r="H928" s="692" t="n"/>
      <c r="I928" s="692" t="n"/>
      <c r="J928" s="692" t="n"/>
      <c r="K928" s="692" t="n"/>
      <c r="L928" s="692" t="n"/>
      <c r="M928" s="692" t="n"/>
      <c r="N928" s="692" t="n"/>
      <c r="O928" s="692" t="n"/>
      <c r="P928" s="692" t="n"/>
      <c r="Q928" s="692" t="n"/>
      <c r="R928" s="692" t="n"/>
      <c r="S928" s="692" t="n"/>
      <c r="T928" s="692" t="n"/>
      <c r="U928" s="692" t="n"/>
      <c r="V928" s="692" t="n"/>
      <c r="W928" s="692" t="n"/>
      <c r="X928" s="692" t="n"/>
      <c r="Y928" s="692" t="n"/>
      <c r="Z928" s="692" t="n"/>
      <c r="AA928" s="692" t="n"/>
      <c r="AB928" s="692" t="n"/>
      <c r="AC928" s="692" t="n"/>
      <c r="AD928" s="692" t="n"/>
      <c r="AE928" s="692" t="n"/>
      <c r="AF928" s="692" t="n"/>
      <c r="AG928" s="692" t="n"/>
      <c r="AH928" s="692" t="n"/>
      <c r="AI928" s="692" t="n"/>
      <c r="AJ928" s="692" t="n"/>
      <c r="AK928" s="692" t="n"/>
      <c r="AL928" s="692" t="n"/>
      <c r="AM928" s="692" t="n"/>
      <c r="AN928" s="692" t="n"/>
      <c r="AO928" s="692" t="n"/>
      <c r="AP928" s="692" t="n"/>
      <c r="AQ928" s="692" t="n"/>
      <c r="AR928" s="692" t="n"/>
      <c r="AS928" s="692" t="n"/>
    </row>
    <row r="929">
      <c r="A929" s="692" t="n"/>
      <c r="B929" s="692" t="n"/>
      <c r="C929" s="692" t="n"/>
      <c r="D929" s="692" t="n"/>
      <c r="E929" s="692" t="n"/>
      <c r="F929" s="692" t="n"/>
      <c r="G929" s="692" t="n"/>
      <c r="H929" s="692" t="n"/>
      <c r="I929" s="692" t="n"/>
      <c r="J929" s="692" t="n"/>
      <c r="K929" s="692" t="n"/>
      <c r="L929" s="692" t="n"/>
      <c r="M929" s="692" t="n"/>
      <c r="N929" s="692" t="n"/>
      <c r="O929" s="692" t="n"/>
      <c r="P929" s="692" t="n"/>
      <c r="Q929" s="692" t="n"/>
      <c r="R929" s="692" t="n"/>
      <c r="S929" s="692" t="n"/>
      <c r="T929" s="692" t="n"/>
      <c r="U929" s="692" t="n"/>
      <c r="V929" s="692" t="n"/>
      <c r="W929" s="692" t="n"/>
      <c r="X929" s="692" t="n"/>
      <c r="Y929" s="692" t="n"/>
      <c r="Z929" s="692" t="n"/>
      <c r="AA929" s="692" t="n"/>
      <c r="AB929" s="692" t="n"/>
      <c r="AC929" s="692" t="n"/>
      <c r="AD929" s="692" t="n"/>
      <c r="AE929" s="692" t="n"/>
      <c r="AF929" s="692" t="n"/>
      <c r="AG929" s="692" t="n"/>
      <c r="AH929" s="692" t="n"/>
      <c r="AI929" s="692" t="n"/>
      <c r="AJ929" s="692" t="n"/>
      <c r="AK929" s="692" t="n"/>
      <c r="AL929" s="692" t="n"/>
      <c r="AM929" s="692" t="n"/>
      <c r="AN929" s="692" t="n"/>
      <c r="AO929" s="692" t="n"/>
      <c r="AP929" s="692" t="n"/>
      <c r="AQ929" s="692" t="n"/>
      <c r="AR929" s="692" t="n"/>
      <c r="AS929" s="692" t="n"/>
    </row>
    <row r="930">
      <c r="A930" s="692" t="n"/>
      <c r="B930" s="692" t="n"/>
      <c r="C930" s="692" t="n"/>
      <c r="D930" s="692" t="n"/>
      <c r="E930" s="692" t="n"/>
      <c r="F930" s="692" t="n"/>
      <c r="G930" s="692" t="n"/>
      <c r="H930" s="692" t="n"/>
      <c r="I930" s="692" t="n"/>
      <c r="J930" s="692" t="n"/>
      <c r="K930" s="692" t="n"/>
      <c r="L930" s="692" t="n"/>
      <c r="M930" s="692" t="n"/>
      <c r="N930" s="692" t="n"/>
      <c r="O930" s="692" t="n"/>
      <c r="P930" s="692" t="n"/>
      <c r="Q930" s="692" t="n"/>
      <c r="R930" s="692" t="n"/>
      <c r="S930" s="692" t="n"/>
      <c r="T930" s="692" t="n"/>
      <c r="U930" s="692" t="n"/>
      <c r="V930" s="692" t="n"/>
      <c r="W930" s="692" t="n"/>
      <c r="X930" s="692" t="n"/>
      <c r="Y930" s="692" t="n"/>
      <c r="Z930" s="692" t="n"/>
      <c r="AA930" s="692" t="n"/>
      <c r="AB930" s="692" t="n"/>
      <c r="AC930" s="692" t="n"/>
      <c r="AD930" s="692" t="n"/>
      <c r="AE930" s="692" t="n"/>
      <c r="AF930" s="692" t="n"/>
      <c r="AG930" s="692" t="n"/>
      <c r="AH930" s="692" t="n"/>
      <c r="AI930" s="692" t="n"/>
      <c r="AJ930" s="692" t="n"/>
      <c r="AK930" s="692" t="n"/>
      <c r="AL930" s="692" t="n"/>
      <c r="AM930" s="692" t="n"/>
      <c r="AN930" s="692" t="n"/>
      <c r="AO930" s="692" t="n"/>
      <c r="AP930" s="692" t="n"/>
      <c r="AQ930" s="692" t="n"/>
      <c r="AR930" s="692" t="n"/>
      <c r="AS930" s="692" t="n"/>
    </row>
    <row r="931">
      <c r="A931" s="692" t="n"/>
      <c r="B931" s="692" t="n"/>
      <c r="C931" s="692" t="n"/>
      <c r="D931" s="692" t="n"/>
      <c r="E931" s="692" t="n"/>
      <c r="F931" s="692" t="n"/>
      <c r="G931" s="692" t="n"/>
      <c r="H931" s="692" t="n"/>
      <c r="I931" s="692" t="n"/>
      <c r="J931" s="692" t="n"/>
      <c r="K931" s="692" t="n"/>
      <c r="L931" s="692" t="n"/>
      <c r="M931" s="692" t="n"/>
      <c r="N931" s="692" t="n"/>
      <c r="O931" s="692" t="n"/>
      <c r="P931" s="692" t="n"/>
      <c r="Q931" s="692" t="n"/>
      <c r="R931" s="692" t="n"/>
      <c r="S931" s="692" t="n"/>
      <c r="T931" s="692" t="n"/>
      <c r="U931" s="692" t="n"/>
      <c r="V931" s="692" t="n"/>
      <c r="W931" s="692" t="n"/>
      <c r="X931" s="692" t="n"/>
      <c r="Y931" s="692" t="n"/>
      <c r="Z931" s="692" t="n"/>
      <c r="AA931" s="692" t="n"/>
      <c r="AB931" s="692" t="n"/>
      <c r="AC931" s="692" t="n"/>
      <c r="AD931" s="692" t="n"/>
      <c r="AE931" s="692" t="n"/>
      <c r="AF931" s="692" t="n"/>
      <c r="AG931" s="692" t="n"/>
      <c r="AH931" s="692" t="n"/>
      <c r="AI931" s="692" t="n"/>
      <c r="AJ931" s="692" t="n"/>
      <c r="AK931" s="692" t="n"/>
      <c r="AL931" s="692" t="n"/>
      <c r="AM931" s="692" t="n"/>
      <c r="AN931" s="692" t="n"/>
      <c r="AO931" s="692" t="n"/>
      <c r="AP931" s="692" t="n"/>
      <c r="AQ931" s="692" t="n"/>
      <c r="AR931" s="692" t="n"/>
      <c r="AS931" s="692" t="n"/>
    </row>
    <row r="932">
      <c r="A932" s="692" t="n"/>
      <c r="B932" s="692" t="n"/>
      <c r="C932" s="692" t="n"/>
      <c r="D932" s="692" t="n"/>
      <c r="E932" s="692" t="n"/>
      <c r="F932" s="692" t="n"/>
      <c r="G932" s="692" t="n"/>
      <c r="H932" s="692" t="n"/>
      <c r="I932" s="692" t="n"/>
      <c r="J932" s="692" t="n"/>
      <c r="K932" s="692" t="n"/>
      <c r="L932" s="692" t="n"/>
      <c r="M932" s="692" t="n"/>
      <c r="N932" s="692" t="n"/>
      <c r="O932" s="692" t="n"/>
      <c r="P932" s="692" t="n"/>
      <c r="Q932" s="692" t="n"/>
      <c r="R932" s="692" t="n"/>
      <c r="S932" s="692" t="n"/>
      <c r="T932" s="692" t="n"/>
      <c r="U932" s="692" t="n"/>
      <c r="V932" s="692" t="n"/>
      <c r="W932" s="692" t="n"/>
      <c r="X932" s="692" t="n"/>
      <c r="Y932" s="692" t="n"/>
      <c r="Z932" s="692" t="n"/>
      <c r="AA932" s="692" t="n"/>
      <c r="AB932" s="692" t="n"/>
      <c r="AC932" s="692" t="n"/>
      <c r="AD932" s="692" t="n"/>
      <c r="AE932" s="692" t="n"/>
      <c r="AF932" s="692" t="n"/>
      <c r="AG932" s="692" t="n"/>
      <c r="AH932" s="692" t="n"/>
      <c r="AI932" s="692" t="n"/>
      <c r="AJ932" s="692" t="n"/>
      <c r="AK932" s="692" t="n"/>
      <c r="AL932" s="692" t="n"/>
      <c r="AM932" s="692" t="n"/>
      <c r="AN932" s="692" t="n"/>
      <c r="AO932" s="692" t="n"/>
      <c r="AP932" s="692" t="n"/>
      <c r="AQ932" s="692" t="n"/>
      <c r="AR932" s="692" t="n"/>
      <c r="AS932" s="692" t="n"/>
    </row>
    <row r="933">
      <c r="A933" s="692" t="n"/>
      <c r="B933" s="692" t="n"/>
      <c r="C933" s="692" t="n"/>
      <c r="D933" s="692" t="n"/>
      <c r="E933" s="692" t="n"/>
      <c r="F933" s="692" t="n"/>
      <c r="G933" s="692" t="n"/>
      <c r="H933" s="692" t="n"/>
      <c r="I933" s="692" t="n"/>
      <c r="J933" s="692" t="n"/>
      <c r="K933" s="692" t="n"/>
      <c r="L933" s="692" t="n"/>
      <c r="M933" s="692" t="n"/>
      <c r="N933" s="692" t="n"/>
      <c r="O933" s="692" t="n"/>
      <c r="P933" s="692" t="n"/>
      <c r="Q933" s="692" t="n"/>
      <c r="R933" s="692" t="n"/>
      <c r="S933" s="692" t="n"/>
      <c r="T933" s="692" t="n"/>
      <c r="U933" s="692" t="n"/>
      <c r="V933" s="692" t="n"/>
      <c r="W933" s="692" t="n"/>
      <c r="X933" s="692" t="n"/>
      <c r="Y933" s="692" t="n"/>
      <c r="Z933" s="692" t="n"/>
      <c r="AA933" s="692" t="n"/>
      <c r="AB933" s="692" t="n"/>
      <c r="AC933" s="692" t="n"/>
      <c r="AD933" s="692" t="n"/>
      <c r="AE933" s="692" t="n"/>
      <c r="AF933" s="692" t="n"/>
      <c r="AG933" s="692" t="n"/>
      <c r="AH933" s="692" t="n"/>
      <c r="AI933" s="692" t="n"/>
      <c r="AJ933" s="692" t="n"/>
      <c r="AK933" s="692" t="n"/>
      <c r="AL933" s="692" t="n"/>
      <c r="AM933" s="692" t="n"/>
      <c r="AN933" s="692" t="n"/>
      <c r="AO933" s="692" t="n"/>
      <c r="AP933" s="692" t="n"/>
      <c r="AQ933" s="692" t="n"/>
      <c r="AR933" s="692" t="n"/>
      <c r="AS933" s="692" t="n"/>
    </row>
    <row r="934">
      <c r="A934" s="692" t="n"/>
      <c r="B934" s="692" t="n"/>
      <c r="C934" s="692" t="n"/>
      <c r="D934" s="692" t="n"/>
      <c r="E934" s="692" t="n"/>
      <c r="F934" s="692" t="n"/>
      <c r="G934" s="692" t="n"/>
      <c r="H934" s="692" t="n"/>
      <c r="I934" s="692" t="n"/>
      <c r="J934" s="692" t="n"/>
      <c r="K934" s="692" t="n"/>
      <c r="L934" s="692" t="n"/>
      <c r="M934" s="692" t="n"/>
      <c r="N934" s="692" t="n"/>
      <c r="O934" s="692" t="n"/>
      <c r="P934" s="692" t="n"/>
      <c r="Q934" s="692" t="n"/>
      <c r="R934" s="692" t="n"/>
      <c r="S934" s="692" t="n"/>
      <c r="T934" s="692" t="n"/>
      <c r="U934" s="692" t="n"/>
      <c r="V934" s="692" t="n"/>
      <c r="W934" s="692" t="n"/>
      <c r="X934" s="692" t="n"/>
      <c r="Y934" s="692" t="n"/>
      <c r="Z934" s="692" t="n"/>
      <c r="AA934" s="692" t="n"/>
      <c r="AB934" s="692" t="n"/>
      <c r="AC934" s="692" t="n"/>
      <c r="AD934" s="692" t="n"/>
      <c r="AE934" s="692" t="n"/>
      <c r="AF934" s="692" t="n"/>
      <c r="AG934" s="692" t="n"/>
      <c r="AH934" s="692" t="n"/>
      <c r="AI934" s="692" t="n"/>
      <c r="AJ934" s="692" t="n"/>
      <c r="AK934" s="692" t="n"/>
      <c r="AL934" s="692" t="n"/>
      <c r="AM934" s="692" t="n"/>
      <c r="AN934" s="692" t="n"/>
      <c r="AO934" s="692" t="n"/>
      <c r="AP934" s="692" t="n"/>
      <c r="AQ934" s="692" t="n"/>
      <c r="AR934" s="692" t="n"/>
      <c r="AS934" s="692" t="n"/>
    </row>
    <row r="935">
      <c r="A935" s="692" t="n"/>
      <c r="B935" s="692" t="n"/>
      <c r="C935" s="692" t="n"/>
      <c r="D935" s="692" t="n"/>
      <c r="E935" s="692" t="n"/>
      <c r="F935" s="692" t="n"/>
      <c r="G935" s="692" t="n"/>
      <c r="H935" s="692" t="n"/>
      <c r="I935" s="692" t="n"/>
      <c r="J935" s="692" t="n"/>
      <c r="K935" s="692" t="n"/>
      <c r="L935" s="692" t="n"/>
      <c r="M935" s="692" t="n"/>
      <c r="N935" s="692" t="n"/>
      <c r="O935" s="692" t="n"/>
      <c r="P935" s="692" t="n"/>
      <c r="Q935" s="692" t="n"/>
      <c r="R935" s="692" t="n"/>
      <c r="S935" s="692" t="n"/>
      <c r="T935" s="692" t="n"/>
      <c r="U935" s="692" t="n"/>
      <c r="V935" s="692" t="n"/>
      <c r="W935" s="692" t="n"/>
      <c r="X935" s="692" t="n"/>
      <c r="Y935" s="692" t="n"/>
      <c r="Z935" s="692" t="n"/>
      <c r="AA935" s="692" t="n"/>
      <c r="AB935" s="692" t="n"/>
      <c r="AC935" s="692" t="n"/>
      <c r="AD935" s="692" t="n"/>
      <c r="AE935" s="692" t="n"/>
      <c r="AF935" s="692" t="n"/>
      <c r="AG935" s="692" t="n"/>
      <c r="AH935" s="692" t="n"/>
      <c r="AI935" s="692" t="n"/>
      <c r="AJ935" s="692" t="n"/>
      <c r="AK935" s="692" t="n"/>
      <c r="AL935" s="692" t="n"/>
      <c r="AM935" s="692" t="n"/>
      <c r="AN935" s="692" t="n"/>
      <c r="AO935" s="692" t="n"/>
      <c r="AP935" s="692" t="n"/>
      <c r="AQ935" s="692" t="n"/>
      <c r="AR935" s="692" t="n"/>
      <c r="AS935" s="692" t="n"/>
    </row>
    <row r="936">
      <c r="A936" s="692" t="n"/>
      <c r="B936" s="692" t="n"/>
      <c r="C936" s="692" t="n"/>
      <c r="D936" s="692" t="n"/>
      <c r="E936" s="692" t="n"/>
      <c r="F936" s="692" t="n"/>
      <c r="G936" s="692" t="n"/>
      <c r="H936" s="692" t="n"/>
      <c r="I936" s="692" t="n"/>
      <c r="J936" s="692" t="n"/>
      <c r="K936" s="692" t="n"/>
      <c r="L936" s="692" t="n"/>
      <c r="M936" s="692" t="n"/>
      <c r="N936" s="692" t="n"/>
      <c r="O936" s="692" t="n"/>
      <c r="P936" s="692" t="n"/>
      <c r="Q936" s="692" t="n"/>
      <c r="R936" s="692" t="n"/>
      <c r="S936" s="692" t="n"/>
      <c r="T936" s="692" t="n"/>
      <c r="U936" s="692" t="n"/>
      <c r="V936" s="692" t="n"/>
      <c r="W936" s="692" t="n"/>
      <c r="X936" s="692" t="n"/>
      <c r="Y936" s="692" t="n"/>
      <c r="Z936" s="692" t="n"/>
      <c r="AA936" s="692" t="n"/>
      <c r="AB936" s="692" t="n"/>
      <c r="AC936" s="692" t="n"/>
      <c r="AD936" s="692" t="n"/>
      <c r="AE936" s="692" t="n"/>
      <c r="AF936" s="692" t="n"/>
      <c r="AG936" s="692" t="n"/>
      <c r="AH936" s="692" t="n"/>
      <c r="AI936" s="692" t="n"/>
      <c r="AJ936" s="692" t="n"/>
      <c r="AK936" s="692" t="n"/>
      <c r="AL936" s="692" t="n"/>
      <c r="AM936" s="692" t="n"/>
      <c r="AN936" s="692" t="n"/>
      <c r="AO936" s="692" t="n"/>
      <c r="AP936" s="692" t="n"/>
      <c r="AQ936" s="692" t="n"/>
      <c r="AR936" s="692" t="n"/>
      <c r="AS936" s="692" t="n"/>
    </row>
    <row r="937">
      <c r="A937" s="692" t="n"/>
      <c r="B937" s="692" t="n"/>
      <c r="C937" s="692" t="n"/>
      <c r="D937" s="692" t="n"/>
      <c r="E937" s="692" t="n"/>
      <c r="F937" s="692" t="n"/>
      <c r="G937" s="692" t="n"/>
      <c r="H937" s="692" t="n"/>
      <c r="I937" s="692" t="n"/>
      <c r="J937" s="692" t="n"/>
      <c r="K937" s="692" t="n"/>
      <c r="L937" s="692" t="n"/>
      <c r="M937" s="692" t="n"/>
      <c r="N937" s="692" t="n"/>
      <c r="O937" s="692" t="n"/>
      <c r="P937" s="692" t="n"/>
      <c r="Q937" s="692" t="n"/>
      <c r="R937" s="692" t="n"/>
      <c r="S937" s="692" t="n"/>
      <c r="T937" s="692" t="n"/>
      <c r="U937" s="692" t="n"/>
      <c r="V937" s="692" t="n"/>
      <c r="W937" s="692" t="n"/>
      <c r="X937" s="692" t="n"/>
      <c r="Y937" s="692" t="n"/>
      <c r="Z937" s="692" t="n"/>
      <c r="AA937" s="692" t="n"/>
      <c r="AB937" s="692" t="n"/>
      <c r="AC937" s="692" t="n"/>
      <c r="AD937" s="692" t="n"/>
      <c r="AE937" s="692" t="n"/>
      <c r="AF937" s="692" t="n"/>
      <c r="AG937" s="692" t="n"/>
      <c r="AH937" s="692" t="n"/>
      <c r="AI937" s="692" t="n"/>
      <c r="AJ937" s="692" t="n"/>
      <c r="AK937" s="692" t="n"/>
      <c r="AL937" s="692" t="n"/>
      <c r="AM937" s="692" t="n"/>
      <c r="AN937" s="692" t="n"/>
      <c r="AO937" s="692" t="n"/>
      <c r="AP937" s="692" t="n"/>
      <c r="AQ937" s="692" t="n"/>
      <c r="AR937" s="692" t="n"/>
      <c r="AS937" s="692" t="n"/>
    </row>
    <row r="938">
      <c r="A938" s="692" t="n"/>
      <c r="B938" s="692" t="n"/>
      <c r="C938" s="692" t="n"/>
      <c r="D938" s="692" t="n"/>
      <c r="E938" s="692" t="n"/>
      <c r="F938" s="692" t="n"/>
      <c r="G938" s="692" t="n"/>
      <c r="H938" s="692" t="n"/>
      <c r="I938" s="692" t="n"/>
      <c r="J938" s="692" t="n"/>
      <c r="K938" s="692" t="n"/>
      <c r="L938" s="692" t="n"/>
      <c r="M938" s="692" t="n"/>
      <c r="N938" s="692" t="n"/>
      <c r="O938" s="692" t="n"/>
      <c r="P938" s="692" t="n"/>
      <c r="Q938" s="692" t="n"/>
      <c r="R938" s="692" t="n"/>
      <c r="S938" s="692" t="n"/>
      <c r="T938" s="692" t="n"/>
      <c r="U938" s="692" t="n"/>
      <c r="V938" s="692" t="n"/>
      <c r="W938" s="692" t="n"/>
      <c r="X938" s="692" t="n"/>
      <c r="Y938" s="692" t="n"/>
      <c r="Z938" s="692" t="n"/>
      <c r="AA938" s="692" t="n"/>
      <c r="AB938" s="692" t="n"/>
      <c r="AC938" s="692" t="n"/>
      <c r="AD938" s="692" t="n"/>
      <c r="AE938" s="692" t="n"/>
      <c r="AF938" s="692" t="n"/>
      <c r="AG938" s="692" t="n"/>
      <c r="AH938" s="692" t="n"/>
      <c r="AI938" s="692" t="n"/>
      <c r="AJ938" s="692" t="n"/>
      <c r="AK938" s="692" t="n"/>
      <c r="AL938" s="692" t="n"/>
      <c r="AM938" s="692" t="n"/>
      <c r="AN938" s="692" t="n"/>
      <c r="AO938" s="692" t="n"/>
      <c r="AP938" s="692" t="n"/>
      <c r="AQ938" s="692" t="n"/>
      <c r="AR938" s="692" t="n"/>
      <c r="AS938" s="692" t="n"/>
    </row>
    <row r="939">
      <c r="A939" s="692" t="n"/>
      <c r="B939" s="692" t="n"/>
      <c r="C939" s="692" t="n"/>
      <c r="D939" s="692" t="n"/>
      <c r="E939" s="692" t="n"/>
      <c r="F939" s="692" t="n"/>
      <c r="G939" s="692" t="n"/>
      <c r="H939" s="692" t="n"/>
      <c r="I939" s="692" t="n"/>
      <c r="J939" s="692" t="n"/>
      <c r="K939" s="692" t="n"/>
      <c r="L939" s="692" t="n"/>
      <c r="M939" s="692" t="n"/>
      <c r="N939" s="692" t="n"/>
      <c r="O939" s="692" t="n"/>
      <c r="P939" s="692" t="n"/>
      <c r="Q939" s="692" t="n"/>
      <c r="R939" s="692" t="n"/>
      <c r="S939" s="692" t="n"/>
      <c r="T939" s="692" t="n"/>
      <c r="U939" s="692" t="n"/>
      <c r="V939" s="692" t="n"/>
      <c r="W939" s="692" t="n"/>
      <c r="X939" s="692" t="n"/>
      <c r="Y939" s="692" t="n"/>
      <c r="Z939" s="692" t="n"/>
      <c r="AA939" s="692" t="n"/>
      <c r="AB939" s="692" t="n"/>
      <c r="AC939" s="692" t="n"/>
      <c r="AD939" s="692" t="n"/>
      <c r="AE939" s="692" t="n"/>
      <c r="AF939" s="692" t="n"/>
      <c r="AG939" s="692" t="n"/>
      <c r="AH939" s="692" t="n"/>
      <c r="AI939" s="692" t="n"/>
      <c r="AJ939" s="692" t="n"/>
      <c r="AK939" s="692" t="n"/>
      <c r="AL939" s="692" t="n"/>
      <c r="AM939" s="692" t="n"/>
      <c r="AN939" s="692" t="n"/>
      <c r="AO939" s="692" t="n"/>
      <c r="AP939" s="692" t="n"/>
      <c r="AQ939" s="692" t="n"/>
      <c r="AR939" s="692" t="n"/>
      <c r="AS939" s="692" t="n"/>
    </row>
    <row r="940">
      <c r="A940" s="692" t="n"/>
      <c r="B940" s="692" t="n"/>
      <c r="C940" s="692" t="n"/>
      <c r="D940" s="692" t="n"/>
      <c r="E940" s="692" t="n"/>
      <c r="F940" s="692" t="n"/>
      <c r="G940" s="692" t="n"/>
      <c r="H940" s="692" t="n"/>
      <c r="I940" s="692" t="n"/>
      <c r="J940" s="692" t="n"/>
      <c r="K940" s="692" t="n"/>
      <c r="L940" s="692" t="n"/>
      <c r="M940" s="692" t="n"/>
      <c r="N940" s="692" t="n"/>
      <c r="O940" s="692" t="n"/>
      <c r="P940" s="692" t="n"/>
      <c r="Q940" s="692" t="n"/>
      <c r="R940" s="692" t="n"/>
      <c r="S940" s="692" t="n"/>
      <c r="T940" s="692" t="n"/>
      <c r="U940" s="692" t="n"/>
      <c r="V940" s="692" t="n"/>
      <c r="W940" s="692" t="n"/>
      <c r="X940" s="692" t="n"/>
      <c r="Y940" s="692" t="n"/>
      <c r="Z940" s="692" t="n"/>
      <c r="AA940" s="692" t="n"/>
      <c r="AB940" s="692" t="n"/>
      <c r="AC940" s="692" t="n"/>
      <c r="AD940" s="692" t="n"/>
      <c r="AE940" s="692" t="n"/>
      <c r="AF940" s="692" t="n"/>
      <c r="AG940" s="692" t="n"/>
      <c r="AH940" s="692" t="n"/>
      <c r="AI940" s="692" t="n"/>
      <c r="AJ940" s="692" t="n"/>
      <c r="AK940" s="692" t="n"/>
      <c r="AL940" s="692" t="n"/>
      <c r="AM940" s="692" t="n"/>
      <c r="AN940" s="692" t="n"/>
      <c r="AO940" s="692" t="n"/>
      <c r="AP940" s="692" t="n"/>
      <c r="AQ940" s="692" t="n"/>
      <c r="AR940" s="692" t="n"/>
      <c r="AS940" s="692" t="n"/>
    </row>
    <row r="941">
      <c r="A941" s="692" t="n"/>
      <c r="B941" s="692" t="n"/>
      <c r="C941" s="692" t="n"/>
      <c r="D941" s="692" t="n"/>
      <c r="E941" s="692" t="n"/>
      <c r="F941" s="692" t="n"/>
      <c r="G941" s="692" t="n"/>
      <c r="H941" s="692" t="n"/>
      <c r="I941" s="692" t="n"/>
      <c r="J941" s="692" t="n"/>
      <c r="K941" s="692" t="n"/>
      <c r="L941" s="692" t="n"/>
      <c r="M941" s="692" t="n"/>
      <c r="N941" s="692" t="n"/>
      <c r="O941" s="692" t="n"/>
      <c r="P941" s="692" t="n"/>
      <c r="Q941" s="692" t="n"/>
      <c r="R941" s="692" t="n"/>
      <c r="S941" s="692" t="n"/>
      <c r="T941" s="692" t="n"/>
      <c r="U941" s="692" t="n"/>
      <c r="V941" s="692" t="n"/>
      <c r="W941" s="692" t="n"/>
      <c r="X941" s="692" t="n"/>
      <c r="Y941" s="692" t="n"/>
      <c r="Z941" s="692" t="n"/>
      <c r="AA941" s="692" t="n"/>
      <c r="AB941" s="692" t="n"/>
      <c r="AC941" s="692" t="n"/>
      <c r="AD941" s="692" t="n"/>
      <c r="AE941" s="692" t="n"/>
      <c r="AF941" s="692" t="n"/>
      <c r="AG941" s="692" t="n"/>
      <c r="AH941" s="692" t="n"/>
      <c r="AI941" s="692" t="n"/>
      <c r="AJ941" s="692" t="n"/>
      <c r="AK941" s="692" t="n"/>
      <c r="AL941" s="692" t="n"/>
      <c r="AM941" s="692" t="n"/>
      <c r="AN941" s="692" t="n"/>
      <c r="AO941" s="692" t="n"/>
      <c r="AP941" s="692" t="n"/>
      <c r="AQ941" s="692" t="n"/>
      <c r="AR941" s="692" t="n"/>
      <c r="AS941" s="692" t="n"/>
    </row>
    <row r="942">
      <c r="A942" s="692" t="n"/>
      <c r="B942" s="692" t="n"/>
      <c r="C942" s="692" t="n"/>
      <c r="D942" s="692" t="n"/>
      <c r="E942" s="692" t="n"/>
      <c r="F942" s="692" t="n"/>
      <c r="G942" s="692" t="n"/>
      <c r="H942" s="692" t="n"/>
      <c r="I942" s="692" t="n"/>
      <c r="J942" s="692" t="n"/>
      <c r="K942" s="692" t="n"/>
      <c r="L942" s="692" t="n"/>
      <c r="M942" s="692" t="n"/>
      <c r="N942" s="692" t="n"/>
      <c r="O942" s="692" t="n"/>
      <c r="P942" s="692" t="n"/>
      <c r="Q942" s="692" t="n"/>
      <c r="R942" s="692" t="n"/>
      <c r="S942" s="692" t="n"/>
      <c r="T942" s="692" t="n"/>
      <c r="U942" s="692" t="n"/>
      <c r="V942" s="692" t="n"/>
      <c r="W942" s="692" t="n"/>
      <c r="X942" s="692" t="n"/>
      <c r="Y942" s="692" t="n"/>
      <c r="Z942" s="692" t="n"/>
      <c r="AA942" s="692" t="n"/>
      <c r="AB942" s="692" t="n"/>
      <c r="AC942" s="692" t="n"/>
      <c r="AD942" s="692" t="n"/>
      <c r="AE942" s="692" t="n"/>
      <c r="AF942" s="692" t="n"/>
      <c r="AG942" s="692" t="n"/>
      <c r="AH942" s="692" t="n"/>
      <c r="AI942" s="692" t="n"/>
      <c r="AJ942" s="692" t="n"/>
      <c r="AK942" s="692" t="n"/>
      <c r="AL942" s="692" t="n"/>
      <c r="AM942" s="692" t="n"/>
      <c r="AN942" s="692" t="n"/>
      <c r="AO942" s="692" t="n"/>
      <c r="AP942" s="692" t="n"/>
      <c r="AQ942" s="692" t="n"/>
      <c r="AR942" s="692" t="n"/>
      <c r="AS942" s="692" t="n"/>
    </row>
    <row r="943">
      <c r="A943" s="692" t="n"/>
      <c r="B943" s="692" t="n"/>
      <c r="C943" s="692" t="n"/>
      <c r="D943" s="692" t="n"/>
      <c r="E943" s="692" t="n"/>
      <c r="F943" s="692" t="n"/>
      <c r="G943" s="692" t="n"/>
      <c r="H943" s="692" t="n"/>
      <c r="I943" s="692" t="n"/>
      <c r="J943" s="692" t="n"/>
      <c r="K943" s="692" t="n"/>
      <c r="L943" s="692" t="n"/>
      <c r="M943" s="692" t="n"/>
      <c r="N943" s="692" t="n"/>
      <c r="O943" s="692" t="n"/>
      <c r="P943" s="692" t="n"/>
      <c r="Q943" s="692" t="n"/>
      <c r="R943" s="692" t="n"/>
      <c r="S943" s="692" t="n"/>
      <c r="T943" s="692" t="n"/>
      <c r="U943" s="692" t="n"/>
      <c r="V943" s="692" t="n"/>
      <c r="W943" s="692" t="n"/>
      <c r="X943" s="692" t="n"/>
      <c r="Y943" s="692" t="n"/>
      <c r="Z943" s="692" t="n"/>
      <c r="AA943" s="692" t="n"/>
      <c r="AB943" s="692" t="n"/>
      <c r="AC943" s="692" t="n"/>
      <c r="AD943" s="692" t="n"/>
      <c r="AE943" s="692" t="n"/>
      <c r="AF943" s="692" t="n"/>
      <c r="AG943" s="692" t="n"/>
      <c r="AH943" s="692" t="n"/>
      <c r="AI943" s="692" t="n"/>
      <c r="AJ943" s="692" t="n"/>
      <c r="AK943" s="692" t="n"/>
      <c r="AL943" s="692" t="n"/>
      <c r="AM943" s="692" t="n"/>
      <c r="AN943" s="692" t="n"/>
      <c r="AO943" s="692" t="n"/>
      <c r="AP943" s="692" t="n"/>
      <c r="AQ943" s="692" t="n"/>
      <c r="AR943" s="692" t="n"/>
      <c r="AS943" s="692" t="n"/>
    </row>
    <row r="944">
      <c r="A944" s="692" t="n"/>
      <c r="B944" s="692" t="n"/>
      <c r="C944" s="692" t="n"/>
      <c r="D944" s="692" t="n"/>
      <c r="E944" s="692" t="n"/>
      <c r="F944" s="692" t="n"/>
      <c r="G944" s="692" t="n"/>
      <c r="H944" s="692" t="n"/>
      <c r="I944" s="692" t="n"/>
      <c r="J944" s="692" t="n"/>
      <c r="K944" s="692" t="n"/>
      <c r="L944" s="692" t="n"/>
      <c r="M944" s="692" t="n"/>
      <c r="N944" s="692" t="n"/>
      <c r="O944" s="692" t="n"/>
      <c r="P944" s="692" t="n"/>
      <c r="Q944" s="692" t="n"/>
      <c r="R944" s="692" t="n"/>
      <c r="S944" s="692" t="n"/>
      <c r="T944" s="692" t="n"/>
      <c r="U944" s="692" t="n"/>
      <c r="V944" s="692" t="n"/>
      <c r="W944" s="692" t="n"/>
      <c r="X944" s="692" t="n"/>
      <c r="Y944" s="692" t="n"/>
      <c r="Z944" s="692" t="n"/>
      <c r="AA944" s="692" t="n"/>
      <c r="AB944" s="692" t="n"/>
      <c r="AC944" s="692" t="n"/>
      <c r="AD944" s="692" t="n"/>
      <c r="AE944" s="692" t="n"/>
      <c r="AF944" s="692" t="n"/>
      <c r="AG944" s="692" t="n"/>
      <c r="AH944" s="692" t="n"/>
      <c r="AI944" s="692" t="n"/>
      <c r="AJ944" s="692" t="n"/>
      <c r="AK944" s="692" t="n"/>
      <c r="AL944" s="692" t="n"/>
      <c r="AM944" s="692" t="n"/>
      <c r="AN944" s="692" t="n"/>
      <c r="AO944" s="692" t="n"/>
      <c r="AP944" s="692" t="n"/>
      <c r="AQ944" s="692" t="n"/>
      <c r="AR944" s="692" t="n"/>
      <c r="AS944" s="692" t="n"/>
    </row>
    <row r="945">
      <c r="A945" s="692" t="n"/>
      <c r="B945" s="692" t="n"/>
      <c r="C945" s="692" t="n"/>
      <c r="D945" s="692" t="n"/>
      <c r="E945" s="692" t="n"/>
      <c r="F945" s="692" t="n"/>
      <c r="G945" s="692" t="n"/>
      <c r="H945" s="692" t="n"/>
      <c r="I945" s="692" t="n"/>
      <c r="J945" s="692" t="n"/>
      <c r="K945" s="692" t="n"/>
      <c r="L945" s="692" t="n"/>
      <c r="M945" s="692" t="n"/>
      <c r="N945" s="692" t="n"/>
      <c r="O945" s="692" t="n"/>
      <c r="P945" s="692" t="n"/>
      <c r="Q945" s="692" t="n"/>
      <c r="R945" s="692" t="n"/>
      <c r="S945" s="692" t="n"/>
      <c r="T945" s="692" t="n"/>
      <c r="U945" s="692" t="n"/>
      <c r="V945" s="692" t="n"/>
      <c r="W945" s="692" t="n"/>
      <c r="X945" s="692" t="n"/>
      <c r="Y945" s="692" t="n"/>
      <c r="Z945" s="692" t="n"/>
      <c r="AA945" s="692" t="n"/>
      <c r="AB945" s="692" t="n"/>
      <c r="AC945" s="692" t="n"/>
      <c r="AD945" s="692" t="n"/>
      <c r="AE945" s="692" t="n"/>
      <c r="AF945" s="692" t="n"/>
      <c r="AG945" s="692" t="n"/>
      <c r="AH945" s="692" t="n"/>
      <c r="AI945" s="692" t="n"/>
      <c r="AJ945" s="692" t="n"/>
      <c r="AK945" s="692" t="n"/>
      <c r="AL945" s="692" t="n"/>
      <c r="AM945" s="692" t="n"/>
      <c r="AN945" s="692" t="n"/>
      <c r="AO945" s="692" t="n"/>
      <c r="AP945" s="692" t="n"/>
      <c r="AQ945" s="692" t="n"/>
      <c r="AR945" s="692" t="n"/>
      <c r="AS945" s="692" t="n"/>
    </row>
    <row r="946">
      <c r="A946" s="692" t="n"/>
      <c r="B946" s="692" t="n"/>
      <c r="C946" s="692" t="n"/>
      <c r="D946" s="692" t="n"/>
      <c r="E946" s="692" t="n"/>
      <c r="F946" s="692" t="n"/>
      <c r="G946" s="692" t="n"/>
      <c r="H946" s="692" t="n"/>
      <c r="I946" s="692" t="n"/>
      <c r="J946" s="692" t="n"/>
      <c r="K946" s="692" t="n"/>
      <c r="L946" s="692" t="n"/>
      <c r="M946" s="692" t="n"/>
      <c r="N946" s="692" t="n"/>
      <c r="O946" s="692" t="n"/>
      <c r="P946" s="692" t="n"/>
      <c r="Q946" s="692" t="n"/>
      <c r="R946" s="692" t="n"/>
      <c r="S946" s="692" t="n"/>
      <c r="T946" s="692" t="n"/>
      <c r="U946" s="692" t="n"/>
      <c r="V946" s="692" t="n"/>
      <c r="W946" s="692" t="n"/>
      <c r="X946" s="692" t="n"/>
      <c r="Y946" s="692" t="n"/>
      <c r="Z946" s="692" t="n"/>
      <c r="AA946" s="692" t="n"/>
      <c r="AB946" s="692" t="n"/>
      <c r="AC946" s="692" t="n"/>
      <c r="AD946" s="692" t="n"/>
      <c r="AE946" s="692" t="n"/>
      <c r="AF946" s="692" t="n"/>
      <c r="AG946" s="692" t="n"/>
      <c r="AH946" s="692" t="n"/>
      <c r="AI946" s="692" t="n"/>
      <c r="AJ946" s="692" t="n"/>
      <c r="AK946" s="692" t="n"/>
      <c r="AL946" s="692" t="n"/>
      <c r="AM946" s="692" t="n"/>
      <c r="AN946" s="692" t="n"/>
      <c r="AO946" s="692" t="n"/>
      <c r="AP946" s="692" t="n"/>
      <c r="AQ946" s="692" t="n"/>
      <c r="AR946" s="692" t="n"/>
      <c r="AS946" s="692" t="n"/>
    </row>
    <row r="947">
      <c r="A947" s="692" t="n"/>
      <c r="B947" s="692" t="n"/>
      <c r="C947" s="692" t="n"/>
      <c r="D947" s="692" t="n"/>
      <c r="E947" s="692" t="n"/>
      <c r="F947" s="692" t="n"/>
      <c r="G947" s="692" t="n"/>
      <c r="H947" s="692" t="n"/>
      <c r="I947" s="692" t="n"/>
      <c r="J947" s="692" t="n"/>
      <c r="K947" s="692" t="n"/>
      <c r="L947" s="692" t="n"/>
      <c r="M947" s="692" t="n"/>
      <c r="N947" s="692" t="n"/>
      <c r="O947" s="692" t="n"/>
      <c r="P947" s="692" t="n"/>
      <c r="Q947" s="692" t="n"/>
      <c r="R947" s="692" t="n"/>
      <c r="S947" s="692" t="n"/>
      <c r="T947" s="692" t="n"/>
      <c r="U947" s="692" t="n"/>
      <c r="V947" s="692" t="n"/>
      <c r="W947" s="692" t="n"/>
      <c r="X947" s="692" t="n"/>
      <c r="Y947" s="692" t="n"/>
      <c r="Z947" s="692" t="n"/>
      <c r="AA947" s="692" t="n"/>
      <c r="AB947" s="692" t="n"/>
      <c r="AC947" s="692" t="n"/>
      <c r="AD947" s="692" t="n"/>
      <c r="AE947" s="692" t="n"/>
      <c r="AF947" s="692" t="n"/>
      <c r="AG947" s="692" t="n"/>
      <c r="AH947" s="692" t="n"/>
      <c r="AI947" s="692" t="n"/>
      <c r="AJ947" s="692" t="n"/>
      <c r="AK947" s="692" t="n"/>
      <c r="AL947" s="692" t="n"/>
      <c r="AM947" s="692" t="n"/>
      <c r="AN947" s="692" t="n"/>
      <c r="AO947" s="692" t="n"/>
      <c r="AP947" s="692" t="n"/>
      <c r="AQ947" s="692" t="n"/>
      <c r="AR947" s="692" t="n"/>
      <c r="AS947" s="692" t="n"/>
    </row>
    <row r="948">
      <c r="A948" s="692" t="n"/>
      <c r="B948" s="692" t="n"/>
      <c r="C948" s="692" t="n"/>
      <c r="D948" s="692" t="n"/>
      <c r="E948" s="692" t="n"/>
      <c r="F948" s="692" t="n"/>
      <c r="G948" s="692" t="n"/>
      <c r="H948" s="692" t="n"/>
      <c r="I948" s="692" t="n"/>
      <c r="J948" s="692" t="n"/>
      <c r="K948" s="692" t="n"/>
      <c r="L948" s="692" t="n"/>
      <c r="M948" s="692" t="n"/>
      <c r="N948" s="692" t="n"/>
      <c r="O948" s="692" t="n"/>
      <c r="P948" s="692" t="n"/>
      <c r="Q948" s="692" t="n"/>
      <c r="R948" s="692" t="n"/>
      <c r="S948" s="692" t="n"/>
      <c r="T948" s="692" t="n"/>
      <c r="U948" s="692" t="n"/>
      <c r="V948" s="692" t="n"/>
      <c r="W948" s="692" t="n"/>
      <c r="X948" s="692" t="n"/>
      <c r="Y948" s="692" t="n"/>
      <c r="Z948" s="692" t="n"/>
      <c r="AA948" s="692" t="n"/>
      <c r="AB948" s="692" t="n"/>
      <c r="AC948" s="692" t="n"/>
      <c r="AD948" s="692" t="n"/>
      <c r="AE948" s="692" t="n"/>
      <c r="AF948" s="692" t="n"/>
      <c r="AG948" s="692" t="n"/>
      <c r="AH948" s="692" t="n"/>
      <c r="AI948" s="692" t="n"/>
      <c r="AJ948" s="692" t="n"/>
      <c r="AK948" s="692" t="n"/>
      <c r="AL948" s="692" t="n"/>
      <c r="AM948" s="692" t="n"/>
      <c r="AN948" s="692" t="n"/>
      <c r="AO948" s="692" t="n"/>
      <c r="AP948" s="692" t="n"/>
      <c r="AQ948" s="692" t="n"/>
      <c r="AR948" s="692" t="n"/>
      <c r="AS948" s="692" t="n"/>
    </row>
    <row r="949">
      <c r="A949" s="692" t="n"/>
      <c r="B949" s="692" t="n"/>
      <c r="C949" s="692" t="n"/>
      <c r="D949" s="692" t="n"/>
      <c r="E949" s="692" t="n"/>
      <c r="F949" s="692" t="n"/>
      <c r="G949" s="692" t="n"/>
      <c r="H949" s="692" t="n"/>
      <c r="I949" s="692" t="n"/>
      <c r="J949" s="692" t="n"/>
      <c r="K949" s="692" t="n"/>
      <c r="L949" s="692" t="n"/>
      <c r="M949" s="692" t="n"/>
      <c r="N949" s="692" t="n"/>
      <c r="O949" s="692" t="n"/>
      <c r="P949" s="692" t="n"/>
      <c r="Q949" s="692" t="n"/>
      <c r="R949" s="692" t="n"/>
      <c r="S949" s="692" t="n"/>
      <c r="T949" s="692" t="n"/>
      <c r="U949" s="692" t="n"/>
      <c r="V949" s="692" t="n"/>
      <c r="W949" s="692" t="n"/>
      <c r="X949" s="692" t="n"/>
      <c r="Y949" s="692" t="n"/>
      <c r="Z949" s="692" t="n"/>
      <c r="AA949" s="692" t="n"/>
      <c r="AB949" s="692" t="n"/>
      <c r="AC949" s="692" t="n"/>
      <c r="AD949" s="692" t="n"/>
      <c r="AE949" s="692" t="n"/>
      <c r="AF949" s="692" t="n"/>
      <c r="AG949" s="692" t="n"/>
      <c r="AH949" s="692" t="n"/>
      <c r="AI949" s="692" t="n"/>
      <c r="AJ949" s="692" t="n"/>
      <c r="AK949" s="692" t="n"/>
      <c r="AL949" s="692" t="n"/>
      <c r="AM949" s="692" t="n"/>
      <c r="AN949" s="692" t="n"/>
      <c r="AO949" s="692" t="n"/>
      <c r="AP949" s="692" t="n"/>
      <c r="AQ949" s="692" t="n"/>
      <c r="AR949" s="692" t="n"/>
      <c r="AS949" s="692" t="n"/>
    </row>
    <row r="950">
      <c r="A950" s="692" t="n"/>
      <c r="B950" s="692" t="n"/>
      <c r="C950" s="692" t="n"/>
      <c r="D950" s="692" t="n"/>
      <c r="E950" s="692" t="n"/>
      <c r="F950" s="692" t="n"/>
      <c r="G950" s="692" t="n"/>
      <c r="H950" s="692" t="n"/>
      <c r="I950" s="692" t="n"/>
      <c r="J950" s="692" t="n"/>
      <c r="K950" s="692" t="n"/>
      <c r="L950" s="692" t="n"/>
      <c r="M950" s="692" t="n"/>
      <c r="N950" s="692" t="n"/>
      <c r="O950" s="692" t="n"/>
      <c r="P950" s="692" t="n"/>
      <c r="Q950" s="692" t="n"/>
      <c r="R950" s="692" t="n"/>
      <c r="S950" s="692" t="n"/>
      <c r="T950" s="692" t="n"/>
      <c r="U950" s="692" t="n"/>
      <c r="V950" s="692" t="n"/>
      <c r="W950" s="692" t="n"/>
      <c r="X950" s="692" t="n"/>
      <c r="Y950" s="692" t="n"/>
      <c r="Z950" s="692" t="n"/>
      <c r="AA950" s="692" t="n"/>
      <c r="AB950" s="692" t="n"/>
      <c r="AC950" s="692" t="n"/>
      <c r="AD950" s="692" t="n"/>
      <c r="AE950" s="692" t="n"/>
      <c r="AF950" s="692" t="n"/>
      <c r="AG950" s="692" t="n"/>
      <c r="AH950" s="692" t="n"/>
      <c r="AI950" s="692" t="n"/>
      <c r="AJ950" s="692" t="n"/>
      <c r="AK950" s="692" t="n"/>
      <c r="AL950" s="692" t="n"/>
      <c r="AM950" s="692" t="n"/>
      <c r="AN950" s="692" t="n"/>
      <c r="AO950" s="692" t="n"/>
      <c r="AP950" s="692" t="n"/>
      <c r="AQ950" s="692" t="n"/>
      <c r="AR950" s="692" t="n"/>
      <c r="AS950" s="692" t="n"/>
    </row>
    <row r="951">
      <c r="A951" s="692" t="n"/>
      <c r="B951" s="692" t="n"/>
      <c r="C951" s="692" t="n"/>
      <c r="D951" s="692" t="n"/>
      <c r="E951" s="692" t="n"/>
      <c r="F951" s="692" t="n"/>
      <c r="G951" s="692" t="n"/>
      <c r="H951" s="692" t="n"/>
      <c r="I951" s="692" t="n"/>
      <c r="J951" s="692" t="n"/>
      <c r="K951" s="692" t="n"/>
      <c r="L951" s="692" t="n"/>
      <c r="M951" s="692" t="n"/>
      <c r="N951" s="692" t="n"/>
      <c r="O951" s="692" t="n"/>
      <c r="P951" s="692" t="n"/>
      <c r="Q951" s="692" t="n"/>
      <c r="R951" s="692" t="n"/>
      <c r="S951" s="692" t="n"/>
      <c r="T951" s="692" t="n"/>
      <c r="U951" s="692" t="n"/>
      <c r="V951" s="692" t="n"/>
      <c r="W951" s="692" t="n"/>
      <c r="X951" s="692" t="n"/>
      <c r="Y951" s="692" t="n"/>
      <c r="Z951" s="692" t="n"/>
      <c r="AA951" s="692" t="n"/>
      <c r="AB951" s="692" t="n"/>
      <c r="AC951" s="692" t="n"/>
      <c r="AD951" s="692" t="n"/>
      <c r="AE951" s="692" t="n"/>
      <c r="AF951" s="692" t="n"/>
      <c r="AG951" s="692" t="n"/>
      <c r="AH951" s="692" t="n"/>
      <c r="AI951" s="692" t="n"/>
      <c r="AJ951" s="692" t="n"/>
      <c r="AK951" s="692" t="n"/>
      <c r="AL951" s="692" t="n"/>
      <c r="AM951" s="692" t="n"/>
      <c r="AN951" s="692" t="n"/>
      <c r="AO951" s="692" t="n"/>
      <c r="AP951" s="692" t="n"/>
      <c r="AQ951" s="692" t="n"/>
      <c r="AR951" s="692" t="n"/>
      <c r="AS951" s="692" t="n"/>
    </row>
    <row r="952">
      <c r="A952" s="692" t="n"/>
      <c r="B952" s="692" t="n"/>
      <c r="C952" s="692" t="n"/>
      <c r="D952" s="692" t="n"/>
      <c r="E952" s="692" t="n"/>
      <c r="F952" s="692" t="n"/>
      <c r="G952" s="692" t="n"/>
      <c r="H952" s="692" t="n"/>
      <c r="I952" s="692" t="n"/>
      <c r="J952" s="692" t="n"/>
      <c r="K952" s="692" t="n"/>
      <c r="L952" s="692" t="n"/>
      <c r="M952" s="692" t="n"/>
      <c r="N952" s="692" t="n"/>
      <c r="O952" s="692" t="n"/>
      <c r="P952" s="692" t="n"/>
      <c r="Q952" s="692" t="n"/>
      <c r="R952" s="692" t="n"/>
      <c r="S952" s="692" t="n"/>
      <c r="T952" s="692" t="n"/>
      <c r="U952" s="692" t="n"/>
      <c r="V952" s="692" t="n"/>
      <c r="W952" s="692" t="n"/>
      <c r="X952" s="692" t="n"/>
      <c r="Y952" s="692" t="n"/>
      <c r="Z952" s="692" t="n"/>
      <c r="AA952" s="692" t="n"/>
      <c r="AB952" s="692" t="n"/>
      <c r="AC952" s="692" t="n"/>
      <c r="AD952" s="692" t="n"/>
      <c r="AE952" s="692" t="n"/>
      <c r="AF952" s="692" t="n"/>
      <c r="AG952" s="692" t="n"/>
      <c r="AH952" s="692" t="n"/>
      <c r="AI952" s="692" t="n"/>
      <c r="AJ952" s="692" t="n"/>
      <c r="AK952" s="692" t="n"/>
      <c r="AL952" s="692" t="n"/>
      <c r="AM952" s="692" t="n"/>
      <c r="AN952" s="692" t="n"/>
      <c r="AO952" s="692" t="n"/>
      <c r="AP952" s="692" t="n"/>
      <c r="AQ952" s="692" t="n"/>
      <c r="AR952" s="692" t="n"/>
      <c r="AS952" s="692" t="n"/>
    </row>
    <row r="953">
      <c r="A953" s="692" t="n"/>
      <c r="B953" s="692" t="n"/>
      <c r="C953" s="692" t="n"/>
      <c r="D953" s="692" t="n"/>
      <c r="E953" s="692" t="n"/>
      <c r="F953" s="692" t="n"/>
      <c r="G953" s="692" t="n"/>
      <c r="H953" s="692" t="n"/>
      <c r="I953" s="692" t="n"/>
      <c r="J953" s="692" t="n"/>
      <c r="K953" s="692" t="n"/>
      <c r="L953" s="692" t="n"/>
      <c r="M953" s="692" t="n"/>
      <c r="N953" s="692" t="n"/>
      <c r="O953" s="692" t="n"/>
      <c r="P953" s="692" t="n"/>
      <c r="Q953" s="692" t="n"/>
      <c r="R953" s="692" t="n"/>
      <c r="S953" s="692" t="n"/>
      <c r="T953" s="692" t="n"/>
      <c r="U953" s="692" t="n"/>
      <c r="V953" s="692" t="n"/>
      <c r="W953" s="692" t="n"/>
      <c r="X953" s="692" t="n"/>
      <c r="Y953" s="692" t="n"/>
      <c r="Z953" s="692" t="n"/>
      <c r="AA953" s="692" t="n"/>
      <c r="AB953" s="692" t="n"/>
      <c r="AC953" s="692" t="n"/>
      <c r="AD953" s="692" t="n"/>
      <c r="AE953" s="692" t="n"/>
      <c r="AF953" s="692" t="n"/>
      <c r="AG953" s="692" t="n"/>
      <c r="AH953" s="692" t="n"/>
      <c r="AI953" s="692" t="n"/>
      <c r="AJ953" s="692" t="n"/>
      <c r="AK953" s="692" t="n"/>
      <c r="AL953" s="692" t="n"/>
      <c r="AM953" s="692" t="n"/>
      <c r="AN953" s="692" t="n"/>
      <c r="AO953" s="692" t="n"/>
      <c r="AP953" s="692" t="n"/>
      <c r="AQ953" s="692" t="n"/>
      <c r="AR953" s="692" t="n"/>
      <c r="AS953" s="692" t="n"/>
    </row>
    <row r="954">
      <c r="A954" s="692" t="n"/>
      <c r="B954" s="692" t="n"/>
      <c r="C954" s="692" t="n"/>
      <c r="D954" s="692" t="n"/>
      <c r="E954" s="692" t="n"/>
      <c r="F954" s="692" t="n"/>
      <c r="G954" s="692" t="n"/>
      <c r="H954" s="692" t="n"/>
      <c r="I954" s="692" t="n"/>
      <c r="J954" s="692" t="n"/>
      <c r="K954" s="692" t="n"/>
      <c r="L954" s="692" t="n"/>
      <c r="M954" s="692" t="n"/>
      <c r="N954" s="692" t="n"/>
      <c r="O954" s="692" t="n"/>
      <c r="P954" s="692" t="n"/>
      <c r="Q954" s="692" t="n"/>
      <c r="R954" s="692" t="n"/>
      <c r="S954" s="692" t="n"/>
      <c r="T954" s="692" t="n"/>
      <c r="U954" s="692" t="n"/>
      <c r="V954" s="692" t="n"/>
      <c r="W954" s="692" t="n"/>
      <c r="X954" s="692" t="n"/>
      <c r="Y954" s="692" t="n"/>
      <c r="Z954" s="692" t="n"/>
      <c r="AA954" s="692" t="n"/>
      <c r="AB954" s="692" t="n"/>
      <c r="AC954" s="692" t="n"/>
      <c r="AD954" s="692" t="n"/>
      <c r="AE954" s="692" t="n"/>
      <c r="AF954" s="692" t="n"/>
      <c r="AG954" s="692" t="n"/>
      <c r="AH954" s="692" t="n"/>
      <c r="AI954" s="692" t="n"/>
      <c r="AJ954" s="692" t="n"/>
      <c r="AK954" s="692" t="n"/>
      <c r="AL954" s="692" t="n"/>
      <c r="AM954" s="692" t="n"/>
      <c r="AN954" s="692" t="n"/>
      <c r="AO954" s="692" t="n"/>
      <c r="AP954" s="692" t="n"/>
      <c r="AQ954" s="692" t="n"/>
      <c r="AR954" s="692" t="n"/>
      <c r="AS954" s="692" t="n"/>
    </row>
    <row r="955">
      <c r="A955" s="692" t="n"/>
      <c r="B955" s="692" t="n"/>
      <c r="C955" s="692" t="n"/>
      <c r="D955" s="692" t="n"/>
      <c r="E955" s="692" t="n"/>
      <c r="F955" s="692" t="n"/>
      <c r="G955" s="692" t="n"/>
      <c r="H955" s="692" t="n"/>
      <c r="I955" s="692" t="n"/>
      <c r="J955" s="692" t="n"/>
      <c r="K955" s="692" t="n"/>
      <c r="L955" s="692" t="n"/>
      <c r="M955" s="692" t="n"/>
      <c r="N955" s="692" t="n"/>
      <c r="O955" s="692" t="n"/>
      <c r="P955" s="692" t="n"/>
      <c r="Q955" s="692" t="n"/>
      <c r="R955" s="692" t="n"/>
      <c r="S955" s="692" t="n"/>
      <c r="T955" s="692" t="n"/>
      <c r="U955" s="692" t="n"/>
      <c r="V955" s="692" t="n"/>
      <c r="W955" s="692" t="n"/>
      <c r="X955" s="692" t="n"/>
      <c r="Y955" s="692" t="n"/>
      <c r="Z955" s="692" t="n"/>
      <c r="AA955" s="692" t="n"/>
      <c r="AB955" s="692" t="n"/>
      <c r="AC955" s="692" t="n"/>
      <c r="AD955" s="692" t="n"/>
      <c r="AE955" s="692" t="n"/>
      <c r="AF955" s="692" t="n"/>
      <c r="AG955" s="692" t="n"/>
      <c r="AH955" s="692" t="n"/>
      <c r="AI955" s="692" t="n"/>
      <c r="AJ955" s="692" t="n"/>
      <c r="AK955" s="692" t="n"/>
      <c r="AL955" s="692" t="n"/>
      <c r="AM955" s="692" t="n"/>
      <c r="AN955" s="692" t="n"/>
      <c r="AO955" s="692" t="n"/>
      <c r="AP955" s="692" t="n"/>
      <c r="AQ955" s="692" t="n"/>
      <c r="AR955" s="692" t="n"/>
      <c r="AS955" s="692" t="n"/>
    </row>
    <row r="956">
      <c r="A956" s="692" t="n"/>
      <c r="B956" s="692" t="n"/>
      <c r="C956" s="692" t="n"/>
      <c r="D956" s="692" t="n"/>
      <c r="E956" s="692" t="n"/>
      <c r="F956" s="692" t="n"/>
      <c r="G956" s="692" t="n"/>
      <c r="H956" s="692" t="n"/>
      <c r="I956" s="692" t="n"/>
      <c r="J956" s="692" t="n"/>
      <c r="K956" s="692" t="n"/>
      <c r="L956" s="692" t="n"/>
      <c r="M956" s="692" t="n"/>
      <c r="N956" s="692" t="n"/>
      <c r="O956" s="692" t="n"/>
      <c r="P956" s="692" t="n"/>
      <c r="Q956" s="692" t="n"/>
      <c r="R956" s="692" t="n"/>
      <c r="S956" s="692" t="n"/>
      <c r="T956" s="692" t="n"/>
      <c r="U956" s="692" t="n"/>
      <c r="V956" s="692" t="n"/>
      <c r="W956" s="692" t="n"/>
      <c r="X956" s="692" t="n"/>
      <c r="Y956" s="692" t="n"/>
      <c r="Z956" s="692" t="n"/>
      <c r="AA956" s="692" t="n"/>
      <c r="AB956" s="692" t="n"/>
      <c r="AC956" s="692" t="n"/>
      <c r="AD956" s="692" t="n"/>
      <c r="AE956" s="692" t="n"/>
      <c r="AF956" s="692" t="n"/>
      <c r="AG956" s="692" t="n"/>
      <c r="AH956" s="692" t="n"/>
      <c r="AI956" s="692" t="n"/>
      <c r="AJ956" s="692" t="n"/>
      <c r="AK956" s="692" t="n"/>
      <c r="AL956" s="692" t="n"/>
      <c r="AM956" s="692" t="n"/>
      <c r="AN956" s="692" t="n"/>
      <c r="AO956" s="692" t="n"/>
      <c r="AP956" s="692" t="n"/>
      <c r="AQ956" s="692" t="n"/>
      <c r="AR956" s="692" t="n"/>
      <c r="AS956" s="692" t="n"/>
    </row>
    <row r="957">
      <c r="A957" s="692" t="n"/>
      <c r="B957" s="692" t="n"/>
      <c r="C957" s="692" t="n"/>
      <c r="D957" s="692" t="n"/>
      <c r="E957" s="692" t="n"/>
      <c r="F957" s="692" t="n"/>
      <c r="G957" s="692" t="n"/>
      <c r="H957" s="692" t="n"/>
      <c r="I957" s="692" t="n"/>
      <c r="J957" s="692" t="n"/>
      <c r="K957" s="692" t="n"/>
      <c r="L957" s="692" t="n"/>
      <c r="M957" s="692" t="n"/>
      <c r="N957" s="692" t="n"/>
      <c r="O957" s="692" t="n"/>
      <c r="P957" s="692" t="n"/>
      <c r="Q957" s="692" t="n"/>
      <c r="R957" s="692" t="n"/>
      <c r="S957" s="692" t="n"/>
      <c r="T957" s="692" t="n"/>
      <c r="U957" s="692" t="n"/>
      <c r="V957" s="692" t="n"/>
      <c r="W957" s="692" t="n"/>
      <c r="X957" s="692" t="n"/>
      <c r="Y957" s="692" t="n"/>
      <c r="Z957" s="692" t="n"/>
      <c r="AA957" s="692" t="n"/>
      <c r="AB957" s="692" t="n"/>
      <c r="AC957" s="692" t="n"/>
      <c r="AD957" s="692" t="n"/>
      <c r="AE957" s="692" t="n"/>
      <c r="AF957" s="692" t="n"/>
      <c r="AG957" s="692" t="n"/>
      <c r="AH957" s="692" t="n"/>
      <c r="AI957" s="692" t="n"/>
      <c r="AJ957" s="692" t="n"/>
      <c r="AK957" s="692" t="n"/>
      <c r="AL957" s="692" t="n"/>
      <c r="AM957" s="692" t="n"/>
      <c r="AN957" s="692" t="n"/>
      <c r="AO957" s="692" t="n"/>
      <c r="AP957" s="692" t="n"/>
      <c r="AQ957" s="692" t="n"/>
      <c r="AR957" s="692" t="n"/>
      <c r="AS957" s="692" t="n"/>
    </row>
    <row r="958">
      <c r="A958" s="692" t="n"/>
      <c r="B958" s="692" t="n"/>
      <c r="C958" s="692" t="n"/>
      <c r="D958" s="692" t="n"/>
      <c r="E958" s="692" t="n"/>
      <c r="F958" s="692" t="n"/>
      <c r="G958" s="692" t="n"/>
      <c r="H958" s="692" t="n"/>
      <c r="I958" s="692" t="n"/>
      <c r="J958" s="692" t="n"/>
      <c r="K958" s="692" t="n"/>
      <c r="L958" s="692" t="n"/>
      <c r="M958" s="692" t="n"/>
      <c r="N958" s="692" t="n"/>
      <c r="O958" s="692" t="n"/>
      <c r="P958" s="692" t="n"/>
      <c r="Q958" s="692" t="n"/>
      <c r="R958" s="692" t="n"/>
      <c r="S958" s="692" t="n"/>
      <c r="T958" s="692" t="n"/>
      <c r="U958" s="692" t="n"/>
      <c r="V958" s="692" t="n"/>
      <c r="W958" s="692" t="n"/>
      <c r="X958" s="692" t="n"/>
      <c r="Y958" s="692" t="n"/>
      <c r="Z958" s="692" t="n"/>
      <c r="AA958" s="692" t="n"/>
      <c r="AB958" s="692" t="n"/>
      <c r="AC958" s="692" t="n"/>
      <c r="AD958" s="692" t="n"/>
      <c r="AE958" s="692" t="n"/>
      <c r="AF958" s="692" t="n"/>
      <c r="AG958" s="692" t="n"/>
      <c r="AH958" s="692" t="n"/>
      <c r="AI958" s="692" t="n"/>
      <c r="AJ958" s="692" t="n"/>
      <c r="AK958" s="692" t="n"/>
      <c r="AL958" s="692" t="n"/>
      <c r="AM958" s="692" t="n"/>
      <c r="AN958" s="692" t="n"/>
      <c r="AO958" s="692" t="n"/>
      <c r="AP958" s="692" t="n"/>
      <c r="AQ958" s="692" t="n"/>
      <c r="AR958" s="692" t="n"/>
      <c r="AS958" s="692" t="n"/>
    </row>
    <row r="959">
      <c r="A959" s="692" t="n"/>
      <c r="B959" s="692" t="n"/>
      <c r="C959" s="692" t="n"/>
      <c r="D959" s="692" t="n"/>
      <c r="E959" s="692" t="n"/>
      <c r="F959" s="692" t="n"/>
      <c r="G959" s="692" t="n"/>
      <c r="H959" s="692" t="n"/>
      <c r="I959" s="692" t="n"/>
      <c r="J959" s="692" t="n"/>
      <c r="K959" s="692" t="n"/>
      <c r="L959" s="692" t="n"/>
      <c r="M959" s="692" t="n"/>
      <c r="N959" s="692" t="n"/>
      <c r="O959" s="692" t="n"/>
      <c r="P959" s="692" t="n"/>
      <c r="Q959" s="692" t="n"/>
      <c r="R959" s="692" t="n"/>
      <c r="S959" s="692" t="n"/>
      <c r="T959" s="692" t="n"/>
      <c r="U959" s="692" t="n"/>
      <c r="V959" s="692" t="n"/>
      <c r="W959" s="692" t="n"/>
      <c r="X959" s="692" t="n"/>
      <c r="Y959" s="692" t="n"/>
      <c r="Z959" s="692" t="n"/>
      <c r="AA959" s="692" t="n"/>
      <c r="AB959" s="692" t="n"/>
      <c r="AC959" s="692" t="n"/>
      <c r="AD959" s="692" t="n"/>
      <c r="AE959" s="692" t="n"/>
      <c r="AF959" s="692" t="n"/>
      <c r="AG959" s="692" t="n"/>
      <c r="AH959" s="692" t="n"/>
      <c r="AI959" s="692" t="n"/>
      <c r="AJ959" s="692" t="n"/>
      <c r="AK959" s="692" t="n"/>
      <c r="AL959" s="692" t="n"/>
      <c r="AM959" s="692" t="n"/>
      <c r="AN959" s="692" t="n"/>
      <c r="AO959" s="692" t="n"/>
      <c r="AP959" s="692" t="n"/>
      <c r="AQ959" s="692" t="n"/>
      <c r="AR959" s="692" t="n"/>
      <c r="AS959" s="692" t="n"/>
    </row>
    <row r="960">
      <c r="A960" s="692" t="n"/>
      <c r="B960" s="692" t="n"/>
      <c r="C960" s="692" t="n"/>
      <c r="D960" s="692" t="n"/>
      <c r="E960" s="692" t="n"/>
      <c r="F960" s="692" t="n"/>
      <c r="G960" s="692" t="n"/>
      <c r="H960" s="692" t="n"/>
      <c r="I960" s="692" t="n"/>
      <c r="J960" s="692" t="n"/>
      <c r="K960" s="692" t="n"/>
      <c r="L960" s="692" t="n"/>
      <c r="M960" s="692" t="n"/>
      <c r="N960" s="692" t="n"/>
      <c r="O960" s="692" t="n"/>
      <c r="P960" s="692" t="n"/>
      <c r="Q960" s="692" t="n"/>
      <c r="R960" s="692" t="n"/>
      <c r="S960" s="692" t="n"/>
      <c r="T960" s="692" t="n"/>
      <c r="U960" s="692" t="n"/>
      <c r="V960" s="692" t="n"/>
      <c r="W960" s="692" t="n"/>
      <c r="X960" s="692" t="n"/>
      <c r="Y960" s="692" t="n"/>
      <c r="Z960" s="692" t="n"/>
      <c r="AA960" s="692" t="n"/>
      <c r="AB960" s="692" t="n"/>
      <c r="AC960" s="692" t="n"/>
      <c r="AD960" s="692" t="n"/>
      <c r="AE960" s="692" t="n"/>
      <c r="AF960" s="692" t="n"/>
      <c r="AG960" s="692" t="n"/>
      <c r="AH960" s="692" t="n"/>
      <c r="AI960" s="692" t="n"/>
      <c r="AJ960" s="692" t="n"/>
      <c r="AK960" s="692" t="n"/>
      <c r="AL960" s="692" t="n"/>
      <c r="AM960" s="692" t="n"/>
      <c r="AN960" s="692" t="n"/>
      <c r="AO960" s="692" t="n"/>
      <c r="AP960" s="692" t="n"/>
      <c r="AQ960" s="692" t="n"/>
      <c r="AR960" s="692" t="n"/>
      <c r="AS960" s="692" t="n"/>
    </row>
    <row r="961">
      <c r="A961" s="692" t="n"/>
      <c r="B961" s="692" t="n"/>
      <c r="C961" s="692" t="n"/>
      <c r="D961" s="692" t="n"/>
      <c r="E961" s="692" t="n"/>
      <c r="F961" s="692" t="n"/>
      <c r="G961" s="692" t="n"/>
      <c r="H961" s="692" t="n"/>
      <c r="I961" s="692" t="n"/>
      <c r="J961" s="692" t="n"/>
      <c r="K961" s="692" t="n"/>
      <c r="L961" s="692" t="n"/>
      <c r="M961" s="692" t="n"/>
      <c r="N961" s="692" t="n"/>
      <c r="O961" s="692" t="n"/>
      <c r="P961" s="692" t="n"/>
      <c r="Q961" s="692" t="n"/>
      <c r="R961" s="692" t="n"/>
      <c r="S961" s="692" t="n"/>
      <c r="T961" s="692" t="n"/>
      <c r="U961" s="692" t="n"/>
      <c r="V961" s="692" t="n"/>
      <c r="W961" s="692" t="n"/>
      <c r="X961" s="692" t="n"/>
      <c r="Y961" s="692" t="n"/>
      <c r="Z961" s="692" t="n"/>
      <c r="AA961" s="692" t="n"/>
      <c r="AB961" s="692" t="n"/>
      <c r="AC961" s="692" t="n"/>
      <c r="AD961" s="692" t="n"/>
      <c r="AE961" s="692" t="n"/>
      <c r="AF961" s="692" t="n"/>
      <c r="AG961" s="692" t="n"/>
      <c r="AH961" s="692" t="n"/>
      <c r="AI961" s="692" t="n"/>
      <c r="AJ961" s="692" t="n"/>
      <c r="AK961" s="692" t="n"/>
      <c r="AL961" s="692" t="n"/>
      <c r="AM961" s="692" t="n"/>
      <c r="AN961" s="692" t="n"/>
      <c r="AO961" s="692" t="n"/>
      <c r="AP961" s="692" t="n"/>
      <c r="AQ961" s="692" t="n"/>
      <c r="AR961" s="692" t="n"/>
      <c r="AS961" s="692" t="n"/>
    </row>
    <row r="962">
      <c r="A962" s="692" t="n"/>
      <c r="B962" s="692" t="n"/>
      <c r="C962" s="692" t="n"/>
      <c r="D962" s="692" t="n"/>
      <c r="E962" s="692" t="n"/>
      <c r="F962" s="692" t="n"/>
      <c r="G962" s="692" t="n"/>
      <c r="H962" s="692" t="n"/>
      <c r="I962" s="692" t="n"/>
      <c r="J962" s="692" t="n"/>
      <c r="K962" s="692" t="n"/>
      <c r="L962" s="692" t="n"/>
      <c r="M962" s="692" t="n"/>
      <c r="N962" s="692" t="n"/>
      <c r="O962" s="692" t="n"/>
      <c r="P962" s="692" t="n"/>
      <c r="Q962" s="692" t="n"/>
      <c r="R962" s="692" t="n"/>
      <c r="S962" s="692" t="n"/>
      <c r="T962" s="692" t="n"/>
      <c r="U962" s="692" t="n"/>
      <c r="V962" s="692" t="n"/>
      <c r="W962" s="692" t="n"/>
      <c r="X962" s="692" t="n"/>
      <c r="Y962" s="692" t="n"/>
      <c r="Z962" s="692" t="n"/>
      <c r="AA962" s="692" t="n"/>
      <c r="AB962" s="692" t="n"/>
      <c r="AC962" s="692" t="n"/>
      <c r="AD962" s="692" t="n"/>
      <c r="AE962" s="692" t="n"/>
      <c r="AF962" s="692" t="n"/>
      <c r="AG962" s="692" t="n"/>
      <c r="AH962" s="692" t="n"/>
      <c r="AI962" s="692" t="n"/>
      <c r="AJ962" s="692" t="n"/>
      <c r="AK962" s="692" t="n"/>
      <c r="AL962" s="692" t="n"/>
      <c r="AM962" s="692" t="n"/>
      <c r="AN962" s="692" t="n"/>
      <c r="AO962" s="692" t="n"/>
      <c r="AP962" s="692" t="n"/>
      <c r="AQ962" s="692" t="n"/>
      <c r="AR962" s="692" t="n"/>
      <c r="AS962" s="692" t="n"/>
    </row>
    <row r="963">
      <c r="A963" s="692" t="n"/>
      <c r="B963" s="692" t="n"/>
      <c r="C963" s="692" t="n"/>
      <c r="D963" s="692" t="n"/>
      <c r="E963" s="692" t="n"/>
      <c r="F963" s="692" t="n"/>
      <c r="G963" s="692" t="n"/>
      <c r="H963" s="692" t="n"/>
      <c r="I963" s="692" t="n"/>
      <c r="J963" s="692" t="n"/>
      <c r="K963" s="692" t="n"/>
      <c r="L963" s="692" t="n"/>
      <c r="M963" s="692" t="n"/>
      <c r="N963" s="692" t="n"/>
      <c r="O963" s="692" t="n"/>
      <c r="P963" s="692" t="n"/>
      <c r="Q963" s="692" t="n"/>
      <c r="R963" s="692" t="n"/>
      <c r="S963" s="692" t="n"/>
      <c r="T963" s="692" t="n"/>
      <c r="U963" s="692" t="n"/>
      <c r="V963" s="692" t="n"/>
      <c r="W963" s="692" t="n"/>
      <c r="X963" s="692" t="n"/>
      <c r="Y963" s="692" t="n"/>
      <c r="Z963" s="692" t="n"/>
      <c r="AA963" s="692" t="n"/>
      <c r="AB963" s="692" t="n"/>
      <c r="AC963" s="692" t="n"/>
      <c r="AD963" s="692" t="n"/>
      <c r="AE963" s="692" t="n"/>
      <c r="AF963" s="692" t="n"/>
      <c r="AG963" s="692" t="n"/>
      <c r="AH963" s="692" t="n"/>
      <c r="AI963" s="692" t="n"/>
      <c r="AJ963" s="692" t="n"/>
      <c r="AK963" s="692" t="n"/>
      <c r="AL963" s="692" t="n"/>
      <c r="AM963" s="692" t="n"/>
      <c r="AN963" s="692" t="n"/>
      <c r="AO963" s="692" t="n"/>
      <c r="AP963" s="692" t="n"/>
      <c r="AQ963" s="692" t="n"/>
      <c r="AR963" s="692" t="n"/>
      <c r="AS963" s="692" t="n"/>
    </row>
    <row r="964">
      <c r="A964" s="692" t="n"/>
      <c r="B964" s="692" t="n"/>
      <c r="C964" s="692" t="n"/>
      <c r="D964" s="692" t="n"/>
      <c r="E964" s="692" t="n"/>
      <c r="F964" s="692" t="n"/>
      <c r="G964" s="692" t="n"/>
      <c r="H964" s="692" t="n"/>
      <c r="I964" s="692" t="n"/>
      <c r="J964" s="692" t="n"/>
      <c r="K964" s="692" t="n"/>
      <c r="L964" s="692" t="n"/>
      <c r="M964" s="692" t="n"/>
      <c r="N964" s="692" t="n"/>
      <c r="O964" s="692" t="n"/>
      <c r="P964" s="692" t="n"/>
      <c r="Q964" s="692" t="n"/>
      <c r="R964" s="692" t="n"/>
      <c r="S964" s="692" t="n"/>
      <c r="T964" s="692" t="n"/>
      <c r="U964" s="692" t="n"/>
      <c r="V964" s="692" t="n"/>
      <c r="W964" s="692" t="n"/>
      <c r="X964" s="692" t="n"/>
      <c r="Y964" s="692" t="n"/>
      <c r="Z964" s="692" t="n"/>
      <c r="AA964" s="692" t="n"/>
      <c r="AB964" s="692" t="n"/>
      <c r="AC964" s="692" t="n"/>
      <c r="AD964" s="692" t="n"/>
      <c r="AE964" s="692" t="n"/>
      <c r="AF964" s="692" t="n"/>
      <c r="AG964" s="692" t="n"/>
      <c r="AH964" s="692" t="n"/>
      <c r="AI964" s="692" t="n"/>
      <c r="AJ964" s="692" t="n"/>
      <c r="AK964" s="692" t="n"/>
      <c r="AL964" s="692" t="n"/>
      <c r="AM964" s="692" t="n"/>
      <c r="AN964" s="692" t="n"/>
      <c r="AO964" s="692" t="n"/>
      <c r="AP964" s="692" t="n"/>
      <c r="AQ964" s="692" t="n"/>
      <c r="AR964" s="692" t="n"/>
      <c r="AS964" s="692" t="n"/>
    </row>
    <row r="965">
      <c r="A965" s="692" t="n"/>
      <c r="B965" s="692" t="n"/>
      <c r="C965" s="692" t="n"/>
      <c r="D965" s="692" t="n"/>
      <c r="E965" s="692" t="n"/>
      <c r="F965" s="692" t="n"/>
      <c r="G965" s="692" t="n"/>
      <c r="H965" s="692" t="n"/>
      <c r="I965" s="692" t="n"/>
      <c r="J965" s="692" t="n"/>
      <c r="K965" s="692" t="n"/>
      <c r="L965" s="692" t="n"/>
      <c r="M965" s="692" t="n"/>
      <c r="N965" s="692" t="n"/>
      <c r="O965" s="692" t="n"/>
      <c r="P965" s="692" t="n"/>
      <c r="Q965" s="692" t="n"/>
      <c r="R965" s="692" t="n"/>
      <c r="S965" s="692" t="n"/>
      <c r="T965" s="692" t="n"/>
      <c r="U965" s="692" t="n"/>
      <c r="V965" s="692" t="n"/>
      <c r="W965" s="692" t="n"/>
      <c r="X965" s="692" t="n"/>
      <c r="Y965" s="692" t="n"/>
      <c r="Z965" s="692" t="n"/>
      <c r="AA965" s="692" t="n"/>
      <c r="AB965" s="692" t="n"/>
      <c r="AC965" s="692" t="n"/>
      <c r="AD965" s="692" t="n"/>
      <c r="AE965" s="692" t="n"/>
      <c r="AF965" s="692" t="n"/>
      <c r="AG965" s="692" t="n"/>
      <c r="AH965" s="692" t="n"/>
      <c r="AI965" s="692" t="n"/>
      <c r="AJ965" s="692" t="n"/>
      <c r="AK965" s="692" t="n"/>
      <c r="AL965" s="692" t="n"/>
      <c r="AM965" s="692" t="n"/>
      <c r="AN965" s="692" t="n"/>
      <c r="AO965" s="692" t="n"/>
      <c r="AP965" s="692" t="n"/>
      <c r="AQ965" s="692" t="n"/>
      <c r="AR965" s="692" t="n"/>
      <c r="AS965" s="692" t="n"/>
    </row>
    <row r="966">
      <c r="A966" s="692" t="n"/>
      <c r="B966" s="692" t="n"/>
      <c r="C966" s="692" t="n"/>
      <c r="D966" s="692" t="n"/>
      <c r="E966" s="692" t="n"/>
      <c r="F966" s="692" t="n"/>
      <c r="G966" s="692" t="n"/>
      <c r="H966" s="692" t="n"/>
      <c r="I966" s="692" t="n"/>
      <c r="J966" s="692" t="n"/>
      <c r="K966" s="692" t="n"/>
      <c r="L966" s="692" t="n"/>
      <c r="M966" s="692" t="n"/>
      <c r="N966" s="692" t="n"/>
      <c r="O966" s="692" t="n"/>
      <c r="P966" s="692" t="n"/>
      <c r="Q966" s="692" t="n"/>
      <c r="R966" s="692" t="n"/>
      <c r="S966" s="692" t="n"/>
      <c r="T966" s="692" t="n"/>
      <c r="U966" s="692" t="n"/>
      <c r="V966" s="692" t="n"/>
      <c r="W966" s="692" t="n"/>
      <c r="X966" s="692" t="n"/>
      <c r="Y966" s="692" t="n"/>
      <c r="Z966" s="692" t="n"/>
      <c r="AA966" s="692" t="n"/>
      <c r="AB966" s="692" t="n"/>
      <c r="AC966" s="692" t="n"/>
      <c r="AD966" s="692" t="n"/>
      <c r="AE966" s="692" t="n"/>
      <c r="AF966" s="692" t="n"/>
      <c r="AG966" s="692" t="n"/>
      <c r="AH966" s="692" t="n"/>
      <c r="AI966" s="692" t="n"/>
      <c r="AJ966" s="692" t="n"/>
      <c r="AK966" s="692" t="n"/>
      <c r="AL966" s="692" t="n"/>
      <c r="AM966" s="692" t="n"/>
      <c r="AN966" s="692" t="n"/>
      <c r="AO966" s="692" t="n"/>
      <c r="AP966" s="692" t="n"/>
      <c r="AQ966" s="692" t="n"/>
      <c r="AR966" s="692" t="n"/>
      <c r="AS966" s="692" t="n"/>
    </row>
    <row r="967">
      <c r="A967" s="692" t="n"/>
      <c r="B967" s="692" t="n"/>
      <c r="C967" s="692" t="n"/>
      <c r="D967" s="692" t="n"/>
      <c r="E967" s="692" t="n"/>
      <c r="F967" s="692" t="n"/>
      <c r="G967" s="692" t="n"/>
      <c r="H967" s="692" t="n"/>
      <c r="I967" s="692" t="n"/>
      <c r="J967" s="692" t="n"/>
      <c r="K967" s="692" t="n"/>
      <c r="L967" s="692" t="n"/>
      <c r="M967" s="692" t="n"/>
      <c r="N967" s="692" t="n"/>
      <c r="O967" s="692" t="n"/>
      <c r="P967" s="692" t="n"/>
      <c r="Q967" s="692" t="n"/>
      <c r="R967" s="692" t="n"/>
      <c r="S967" s="692" t="n"/>
      <c r="T967" s="692" t="n"/>
      <c r="U967" s="692" t="n"/>
      <c r="V967" s="692" t="n"/>
      <c r="W967" s="692" t="n"/>
      <c r="X967" s="692" t="n"/>
      <c r="Y967" s="692" t="n"/>
      <c r="Z967" s="692" t="n"/>
      <c r="AA967" s="692" t="n"/>
      <c r="AB967" s="692" t="n"/>
      <c r="AC967" s="692" t="n"/>
      <c r="AD967" s="692" t="n"/>
      <c r="AE967" s="692" t="n"/>
      <c r="AF967" s="692" t="n"/>
      <c r="AG967" s="692" t="n"/>
      <c r="AH967" s="692" t="n"/>
      <c r="AI967" s="692" t="n"/>
      <c r="AJ967" s="692" t="n"/>
      <c r="AK967" s="692" t="n"/>
      <c r="AL967" s="692" t="n"/>
      <c r="AM967" s="692" t="n"/>
      <c r="AN967" s="692" t="n"/>
      <c r="AO967" s="692" t="n"/>
      <c r="AP967" s="692" t="n"/>
      <c r="AQ967" s="692" t="n"/>
      <c r="AR967" s="692" t="n"/>
      <c r="AS967" s="692" t="n"/>
    </row>
    <row r="968">
      <c r="A968" s="692" t="n"/>
      <c r="B968" s="692" t="n"/>
      <c r="C968" s="692" t="n"/>
      <c r="D968" s="692" t="n"/>
      <c r="E968" s="692" t="n"/>
      <c r="F968" s="692" t="n"/>
      <c r="G968" s="692" t="n"/>
      <c r="H968" s="692" t="n"/>
      <c r="I968" s="692" t="n"/>
      <c r="J968" s="692" t="n"/>
      <c r="K968" s="692" t="n"/>
      <c r="L968" s="692" t="n"/>
      <c r="M968" s="692" t="n"/>
      <c r="N968" s="692" t="n"/>
      <c r="O968" s="692" t="n"/>
      <c r="P968" s="692" t="n"/>
      <c r="Q968" s="692" t="n"/>
      <c r="R968" s="692" t="n"/>
      <c r="S968" s="692" t="n"/>
      <c r="T968" s="692" t="n"/>
      <c r="U968" s="692" t="n"/>
      <c r="V968" s="692" t="n"/>
      <c r="W968" s="692" t="n"/>
      <c r="X968" s="692" t="n"/>
      <c r="Y968" s="692" t="n"/>
      <c r="Z968" s="692" t="n"/>
      <c r="AA968" s="692" t="n"/>
      <c r="AB968" s="692" t="n"/>
      <c r="AC968" s="692" t="n"/>
      <c r="AD968" s="692" t="n"/>
      <c r="AE968" s="692" t="n"/>
      <c r="AF968" s="692" t="n"/>
      <c r="AG968" s="692" t="n"/>
      <c r="AH968" s="692" t="n"/>
      <c r="AI968" s="692" t="n"/>
      <c r="AJ968" s="692" t="n"/>
      <c r="AK968" s="692" t="n"/>
      <c r="AL968" s="692" t="n"/>
      <c r="AM968" s="692" t="n"/>
      <c r="AN968" s="692" t="n"/>
      <c r="AO968" s="692" t="n"/>
      <c r="AP968" s="692" t="n"/>
      <c r="AQ968" s="692" t="n"/>
      <c r="AR968" s="692" t="n"/>
      <c r="AS968" s="692" t="n"/>
    </row>
    <row r="969">
      <c r="A969" s="692" t="n"/>
      <c r="B969" s="692" t="n"/>
      <c r="C969" s="692" t="n"/>
      <c r="D969" s="692" t="n"/>
      <c r="E969" s="692" t="n"/>
      <c r="F969" s="692" t="n"/>
      <c r="G969" s="692" t="n"/>
      <c r="H969" s="692" t="n"/>
      <c r="I969" s="692" t="n"/>
      <c r="J969" s="692" t="n"/>
      <c r="K969" s="692" t="n"/>
      <c r="L969" s="692" t="n"/>
      <c r="M969" s="692" t="n"/>
      <c r="N969" s="692" t="n"/>
      <c r="O969" s="692" t="n"/>
      <c r="P969" s="692" t="n"/>
      <c r="Q969" s="692" t="n"/>
      <c r="R969" s="692" t="n"/>
      <c r="S969" s="692" t="n"/>
      <c r="T969" s="692" t="n"/>
      <c r="U969" s="692" t="n"/>
      <c r="V969" s="692" t="n"/>
      <c r="W969" s="692" t="n"/>
      <c r="X969" s="692" t="n"/>
      <c r="Y969" s="692" t="n"/>
      <c r="Z969" s="692" t="n"/>
      <c r="AA969" s="692" t="n"/>
      <c r="AB969" s="692" t="n"/>
      <c r="AC969" s="692" t="n"/>
      <c r="AD969" s="692" t="n"/>
      <c r="AE969" s="692" t="n"/>
      <c r="AF969" s="692" t="n"/>
      <c r="AG969" s="692" t="n"/>
      <c r="AH969" s="692" t="n"/>
      <c r="AI969" s="692" t="n"/>
      <c r="AJ969" s="692" t="n"/>
      <c r="AK969" s="692" t="n"/>
      <c r="AL969" s="692" t="n"/>
      <c r="AM969" s="692" t="n"/>
      <c r="AN969" s="692" t="n"/>
      <c r="AO969" s="692" t="n"/>
      <c r="AP969" s="692" t="n"/>
      <c r="AQ969" s="692" t="n"/>
      <c r="AR969" s="692" t="n"/>
      <c r="AS969" s="692" t="n"/>
    </row>
    <row r="970">
      <c r="A970" s="692" t="n"/>
      <c r="B970" s="692" t="n"/>
      <c r="C970" s="692" t="n"/>
      <c r="D970" s="692" t="n"/>
      <c r="E970" s="692" t="n"/>
      <c r="F970" s="692" t="n"/>
      <c r="G970" s="692" t="n"/>
      <c r="H970" s="692" t="n"/>
      <c r="I970" s="692" t="n"/>
      <c r="J970" s="692" t="n"/>
      <c r="K970" s="692" t="n"/>
      <c r="L970" s="692" t="n"/>
      <c r="M970" s="692" t="n"/>
      <c r="N970" s="692" t="n"/>
      <c r="O970" s="692" t="n"/>
      <c r="P970" s="692" t="n"/>
      <c r="Q970" s="692" t="n"/>
      <c r="R970" s="692" t="n"/>
      <c r="S970" s="692" t="n"/>
      <c r="T970" s="692" t="n"/>
      <c r="U970" s="692" t="n"/>
      <c r="V970" s="692" t="n"/>
      <c r="W970" s="692" t="n"/>
      <c r="X970" s="692" t="n"/>
      <c r="Y970" s="692" t="n"/>
      <c r="Z970" s="692" t="n"/>
      <c r="AA970" s="692" t="n"/>
      <c r="AB970" s="692" t="n"/>
      <c r="AC970" s="692" t="n"/>
      <c r="AD970" s="692" t="n"/>
      <c r="AE970" s="692" t="n"/>
      <c r="AF970" s="692" t="n"/>
      <c r="AG970" s="692" t="n"/>
      <c r="AH970" s="692" t="n"/>
      <c r="AI970" s="692" t="n"/>
      <c r="AJ970" s="692" t="n"/>
      <c r="AK970" s="692" t="n"/>
      <c r="AL970" s="692" t="n"/>
      <c r="AM970" s="692" t="n"/>
      <c r="AN970" s="692" t="n"/>
      <c r="AO970" s="692" t="n"/>
      <c r="AP970" s="692" t="n"/>
      <c r="AQ970" s="692" t="n"/>
      <c r="AR970" s="692" t="n"/>
      <c r="AS970" s="692" t="n"/>
    </row>
    <row r="971">
      <c r="A971" s="692" t="n"/>
      <c r="B971" s="692" t="n"/>
      <c r="C971" s="692" t="n"/>
      <c r="D971" s="692" t="n"/>
      <c r="E971" s="692" t="n"/>
      <c r="F971" s="692" t="n"/>
      <c r="G971" s="692" t="n"/>
      <c r="H971" s="692" t="n"/>
      <c r="I971" s="692" t="n"/>
      <c r="J971" s="692" t="n"/>
      <c r="K971" s="692" t="n"/>
      <c r="L971" s="692" t="n"/>
      <c r="M971" s="692" t="n"/>
      <c r="N971" s="692" t="n"/>
      <c r="O971" s="692" t="n"/>
      <c r="P971" s="692" t="n"/>
      <c r="Q971" s="692" t="n"/>
      <c r="R971" s="692" t="n"/>
      <c r="S971" s="692" t="n"/>
      <c r="T971" s="692" t="n"/>
      <c r="U971" s="692" t="n"/>
      <c r="V971" s="692" t="n"/>
      <c r="W971" s="692" t="n"/>
      <c r="X971" s="692" t="n"/>
      <c r="Y971" s="692" t="n"/>
      <c r="Z971" s="692" t="n"/>
      <c r="AA971" s="692" t="n"/>
      <c r="AB971" s="692" t="n"/>
      <c r="AC971" s="692" t="n"/>
      <c r="AD971" s="692" t="n"/>
      <c r="AE971" s="692" t="n"/>
      <c r="AF971" s="692" t="n"/>
      <c r="AG971" s="692" t="n"/>
      <c r="AH971" s="692" t="n"/>
      <c r="AI971" s="692" t="n"/>
      <c r="AJ971" s="692" t="n"/>
      <c r="AK971" s="692" t="n"/>
      <c r="AL971" s="692" t="n"/>
      <c r="AM971" s="692" t="n"/>
      <c r="AN971" s="692" t="n"/>
      <c r="AO971" s="692" t="n"/>
      <c r="AP971" s="692" t="n"/>
      <c r="AQ971" s="692" t="n"/>
      <c r="AR971" s="692" t="n"/>
      <c r="AS971" s="692" t="n"/>
    </row>
    <row r="972">
      <c r="A972" s="692" t="n"/>
      <c r="B972" s="692" t="n"/>
      <c r="C972" s="692" t="n"/>
      <c r="D972" s="692" t="n"/>
      <c r="E972" s="692" t="n"/>
      <c r="F972" s="692" t="n"/>
      <c r="G972" s="692" t="n"/>
      <c r="H972" s="692" t="n"/>
      <c r="I972" s="692" t="n"/>
      <c r="J972" s="692" t="n"/>
      <c r="K972" s="692" t="n"/>
      <c r="L972" s="692" t="n"/>
      <c r="M972" s="692" t="n"/>
      <c r="N972" s="692" t="n"/>
      <c r="O972" s="692" t="n"/>
      <c r="P972" s="692" t="n"/>
      <c r="Q972" s="692" t="n"/>
      <c r="R972" s="692" t="n"/>
      <c r="S972" s="692" t="n"/>
      <c r="T972" s="692" t="n"/>
      <c r="U972" s="692" t="n"/>
      <c r="V972" s="692" t="n"/>
      <c r="W972" s="692" t="n"/>
      <c r="X972" s="692" t="n"/>
      <c r="Y972" s="692" t="n"/>
      <c r="Z972" s="692" t="n"/>
      <c r="AA972" s="692" t="n"/>
      <c r="AB972" s="692" t="n"/>
      <c r="AC972" s="692" t="n"/>
      <c r="AD972" s="692" t="n"/>
      <c r="AE972" s="692" t="n"/>
      <c r="AF972" s="692" t="n"/>
      <c r="AG972" s="692" t="n"/>
      <c r="AH972" s="692" t="n"/>
      <c r="AI972" s="692" t="n"/>
      <c r="AJ972" s="692" t="n"/>
      <c r="AK972" s="692" t="n"/>
      <c r="AL972" s="692" t="n"/>
      <c r="AM972" s="692" t="n"/>
      <c r="AN972" s="692" t="n"/>
      <c r="AO972" s="692" t="n"/>
      <c r="AP972" s="692" t="n"/>
      <c r="AQ972" s="692" t="n"/>
      <c r="AR972" s="692" t="n"/>
      <c r="AS972" s="692" t="n"/>
    </row>
    <row r="973">
      <c r="A973" s="692" t="n"/>
      <c r="B973" s="692" t="n"/>
      <c r="C973" s="692" t="n"/>
      <c r="D973" s="692" t="n"/>
      <c r="E973" s="692" t="n"/>
      <c r="F973" s="692" t="n"/>
      <c r="G973" s="692" t="n"/>
      <c r="H973" s="692" t="n"/>
      <c r="I973" s="692" t="n"/>
      <c r="J973" s="692" t="n"/>
      <c r="K973" s="692" t="n"/>
      <c r="L973" s="692" t="n"/>
      <c r="M973" s="692" t="n"/>
      <c r="N973" s="692" t="n"/>
      <c r="O973" s="692" t="n"/>
      <c r="P973" s="692" t="n"/>
      <c r="Q973" s="692" t="n"/>
      <c r="R973" s="692" t="n"/>
      <c r="S973" s="692" t="n"/>
      <c r="T973" s="692" t="n"/>
      <c r="U973" s="692" t="n"/>
      <c r="V973" s="692" t="n"/>
      <c r="W973" s="692" t="n"/>
      <c r="X973" s="692" t="n"/>
      <c r="Y973" s="692" t="n"/>
      <c r="Z973" s="692" t="n"/>
      <c r="AA973" s="692" t="n"/>
      <c r="AB973" s="692" t="n"/>
      <c r="AC973" s="692" t="n"/>
      <c r="AD973" s="692" t="n"/>
      <c r="AE973" s="692" t="n"/>
      <c r="AF973" s="692" t="n"/>
      <c r="AG973" s="692" t="n"/>
      <c r="AH973" s="692" t="n"/>
      <c r="AI973" s="692" t="n"/>
      <c r="AJ973" s="692" t="n"/>
      <c r="AK973" s="692" t="n"/>
      <c r="AL973" s="692" t="n"/>
      <c r="AM973" s="692" t="n"/>
      <c r="AN973" s="692" t="n"/>
      <c r="AO973" s="692" t="n"/>
      <c r="AP973" s="692" t="n"/>
      <c r="AQ973" s="692" t="n"/>
      <c r="AR973" s="692" t="n"/>
      <c r="AS973" s="692" t="n"/>
    </row>
    <row r="974">
      <c r="A974" s="692" t="n"/>
      <c r="B974" s="692" t="n"/>
      <c r="C974" s="692" t="n"/>
      <c r="D974" s="692" t="n"/>
      <c r="E974" s="692" t="n"/>
      <c r="F974" s="692" t="n"/>
      <c r="G974" s="692" t="n"/>
      <c r="H974" s="692" t="n"/>
      <c r="I974" s="692" t="n"/>
      <c r="J974" s="692" t="n"/>
      <c r="K974" s="692" t="n"/>
      <c r="L974" s="692" t="n"/>
      <c r="M974" s="692" t="n"/>
      <c r="N974" s="692" t="n"/>
      <c r="O974" s="692" t="n"/>
      <c r="P974" s="692" t="n"/>
      <c r="Q974" s="692" t="n"/>
      <c r="R974" s="692" t="n"/>
      <c r="S974" s="692" t="n"/>
      <c r="T974" s="692" t="n"/>
      <c r="U974" s="692" t="n"/>
      <c r="V974" s="692" t="n"/>
      <c r="W974" s="692" t="n"/>
      <c r="X974" s="692" t="n"/>
      <c r="Y974" s="692" t="n"/>
      <c r="Z974" s="692" t="n"/>
      <c r="AA974" s="692" t="n"/>
      <c r="AB974" s="692" t="n"/>
      <c r="AC974" s="692" t="n"/>
      <c r="AD974" s="692" t="n"/>
      <c r="AE974" s="692" t="n"/>
      <c r="AF974" s="692" t="n"/>
      <c r="AG974" s="692" t="n"/>
      <c r="AH974" s="692" t="n"/>
      <c r="AI974" s="692" t="n"/>
      <c r="AJ974" s="692" t="n"/>
      <c r="AK974" s="692" t="n"/>
      <c r="AL974" s="692" t="n"/>
      <c r="AM974" s="692" t="n"/>
      <c r="AN974" s="692" t="n"/>
      <c r="AO974" s="692" t="n"/>
      <c r="AP974" s="692" t="n"/>
      <c r="AQ974" s="692" t="n"/>
      <c r="AR974" s="692" t="n"/>
      <c r="AS974" s="692" t="n"/>
    </row>
    <row r="975">
      <c r="A975" s="692" t="n"/>
      <c r="B975" s="692" t="n"/>
      <c r="C975" s="692" t="n"/>
      <c r="D975" s="692" t="n"/>
      <c r="E975" s="692" t="n"/>
      <c r="F975" s="692" t="n"/>
      <c r="G975" s="692" t="n"/>
      <c r="H975" s="692" t="n"/>
      <c r="I975" s="692" t="n"/>
      <c r="J975" s="692" t="n"/>
      <c r="K975" s="692" t="n"/>
      <c r="L975" s="692" t="n"/>
      <c r="M975" s="692" t="n"/>
      <c r="N975" s="692" t="n"/>
      <c r="O975" s="692" t="n"/>
      <c r="P975" s="692" t="n"/>
      <c r="Q975" s="692" t="n"/>
      <c r="R975" s="692" t="n"/>
      <c r="S975" s="692" t="n"/>
      <c r="T975" s="692" t="n"/>
      <c r="U975" s="692" t="n"/>
      <c r="V975" s="692" t="n"/>
      <c r="W975" s="692" t="n"/>
      <c r="X975" s="692" t="n"/>
      <c r="Y975" s="692" t="n"/>
      <c r="Z975" s="692" t="n"/>
      <c r="AA975" s="692" t="n"/>
      <c r="AB975" s="692" t="n"/>
      <c r="AC975" s="692" t="n"/>
      <c r="AD975" s="692" t="n"/>
      <c r="AE975" s="692" t="n"/>
      <c r="AF975" s="692" t="n"/>
      <c r="AG975" s="692" t="n"/>
      <c r="AH975" s="692" t="n"/>
      <c r="AI975" s="692" t="n"/>
      <c r="AJ975" s="692" t="n"/>
      <c r="AK975" s="692" t="n"/>
      <c r="AL975" s="692" t="n"/>
      <c r="AM975" s="692" t="n"/>
      <c r="AN975" s="692" t="n"/>
      <c r="AO975" s="692" t="n"/>
      <c r="AP975" s="692" t="n"/>
      <c r="AQ975" s="692" t="n"/>
      <c r="AR975" s="692" t="n"/>
      <c r="AS975" s="692" t="n"/>
    </row>
    <row r="976">
      <c r="A976" s="692" t="n"/>
      <c r="B976" s="692" t="n"/>
      <c r="C976" s="692" t="n"/>
      <c r="D976" s="692" t="n"/>
      <c r="E976" s="692" t="n"/>
      <c r="F976" s="692" t="n"/>
      <c r="G976" s="692" t="n"/>
      <c r="H976" s="692" t="n"/>
      <c r="I976" s="692" t="n"/>
      <c r="J976" s="692" t="n"/>
      <c r="K976" s="692" t="n"/>
      <c r="L976" s="692" t="n"/>
      <c r="M976" s="692" t="n"/>
      <c r="N976" s="692" t="n"/>
      <c r="O976" s="692" t="n"/>
      <c r="P976" s="692" t="n"/>
      <c r="Q976" s="692" t="n"/>
      <c r="R976" s="692" t="n"/>
      <c r="S976" s="692" t="n"/>
      <c r="T976" s="692" t="n"/>
      <c r="U976" s="692" t="n"/>
      <c r="V976" s="692" t="n"/>
      <c r="W976" s="692" t="n"/>
      <c r="X976" s="692" t="n"/>
      <c r="Y976" s="692" t="n"/>
      <c r="Z976" s="692" t="n"/>
      <c r="AA976" s="692" t="n"/>
      <c r="AB976" s="692" t="n"/>
      <c r="AC976" s="692" t="n"/>
      <c r="AD976" s="692" t="n"/>
      <c r="AE976" s="692" t="n"/>
      <c r="AF976" s="692" t="n"/>
      <c r="AG976" s="692" t="n"/>
      <c r="AH976" s="692" t="n"/>
      <c r="AI976" s="692" t="n"/>
      <c r="AJ976" s="692" t="n"/>
      <c r="AK976" s="692" t="n"/>
      <c r="AL976" s="692" t="n"/>
      <c r="AM976" s="692" t="n"/>
      <c r="AN976" s="692" t="n"/>
      <c r="AO976" s="692" t="n"/>
      <c r="AP976" s="692" t="n"/>
      <c r="AQ976" s="692" t="n"/>
      <c r="AR976" s="692" t="n"/>
      <c r="AS976" s="692" t="n"/>
    </row>
    <row r="977">
      <c r="A977" s="692" t="n"/>
      <c r="B977" s="692" t="n"/>
      <c r="C977" s="692" t="n"/>
      <c r="D977" s="692" t="n"/>
      <c r="E977" s="692" t="n"/>
      <c r="F977" s="692" t="n"/>
      <c r="G977" s="692" t="n"/>
      <c r="H977" s="692" t="n"/>
      <c r="I977" s="692" t="n"/>
      <c r="J977" s="692" t="n"/>
      <c r="K977" s="692" t="n"/>
      <c r="L977" s="692" t="n"/>
      <c r="M977" s="692" t="n"/>
      <c r="N977" s="692" t="n"/>
      <c r="O977" s="692" t="n"/>
      <c r="P977" s="692" t="n"/>
      <c r="Q977" s="692" t="n"/>
      <c r="R977" s="692" t="n"/>
      <c r="S977" s="692" t="n"/>
      <c r="T977" s="692" t="n"/>
      <c r="U977" s="692" t="n"/>
      <c r="V977" s="692" t="n"/>
      <c r="W977" s="692" t="n"/>
      <c r="X977" s="692" t="n"/>
      <c r="Y977" s="692" t="n"/>
      <c r="Z977" s="692" t="n"/>
      <c r="AA977" s="692" t="n"/>
      <c r="AB977" s="692" t="n"/>
      <c r="AC977" s="692" t="n"/>
      <c r="AD977" s="692" t="n"/>
      <c r="AE977" s="692" t="n"/>
      <c r="AF977" s="692" t="n"/>
      <c r="AG977" s="692" t="n"/>
      <c r="AH977" s="692" t="n"/>
      <c r="AI977" s="692" t="n"/>
      <c r="AJ977" s="692" t="n"/>
      <c r="AK977" s="692" t="n"/>
      <c r="AL977" s="692" t="n"/>
      <c r="AM977" s="692" t="n"/>
      <c r="AN977" s="692" t="n"/>
      <c r="AO977" s="692" t="n"/>
      <c r="AP977" s="692" t="n"/>
      <c r="AQ977" s="692" t="n"/>
      <c r="AR977" s="692" t="n"/>
      <c r="AS977" s="692" t="n"/>
    </row>
    <row r="978">
      <c r="A978" s="692" t="n"/>
      <c r="B978" s="692" t="n"/>
      <c r="C978" s="692" t="n"/>
      <c r="D978" s="692" t="n"/>
      <c r="E978" s="692" t="n"/>
      <c r="F978" s="692" t="n"/>
      <c r="G978" s="692" t="n"/>
      <c r="H978" s="692" t="n"/>
      <c r="I978" s="692" t="n"/>
      <c r="J978" s="692" t="n"/>
      <c r="K978" s="692" t="n"/>
      <c r="L978" s="692" t="n"/>
      <c r="M978" s="692" t="n"/>
      <c r="N978" s="692" t="n"/>
      <c r="O978" s="692" t="n"/>
      <c r="P978" s="692" t="n"/>
      <c r="Q978" s="692" t="n"/>
      <c r="R978" s="692" t="n"/>
      <c r="S978" s="692" t="n"/>
      <c r="T978" s="692" t="n"/>
      <c r="U978" s="692" t="n"/>
      <c r="V978" s="692" t="n"/>
      <c r="W978" s="692" t="n"/>
      <c r="X978" s="692" t="n"/>
      <c r="Y978" s="692" t="n"/>
      <c r="Z978" s="692" t="n"/>
      <c r="AA978" s="692" t="n"/>
      <c r="AB978" s="692" t="n"/>
      <c r="AC978" s="692" t="n"/>
      <c r="AD978" s="692" t="n"/>
      <c r="AE978" s="692" t="n"/>
      <c r="AF978" s="692" t="n"/>
      <c r="AG978" s="692" t="n"/>
      <c r="AH978" s="692" t="n"/>
      <c r="AI978" s="692" t="n"/>
      <c r="AJ978" s="692" t="n"/>
      <c r="AK978" s="692" t="n"/>
      <c r="AL978" s="692" t="n"/>
      <c r="AM978" s="692" t="n"/>
      <c r="AN978" s="692" t="n"/>
      <c r="AO978" s="692" t="n"/>
      <c r="AP978" s="692" t="n"/>
      <c r="AQ978" s="692" t="n"/>
      <c r="AR978" s="692" t="n"/>
      <c r="AS978" s="692" t="n"/>
    </row>
    <row r="979">
      <c r="A979" s="692" t="n"/>
      <c r="B979" s="692" t="n"/>
      <c r="C979" s="692" t="n"/>
      <c r="D979" s="692" t="n"/>
      <c r="E979" s="692" t="n"/>
      <c r="F979" s="692" t="n"/>
      <c r="G979" s="692" t="n"/>
      <c r="H979" s="692" t="n"/>
      <c r="I979" s="692" t="n"/>
      <c r="J979" s="692" t="n"/>
      <c r="K979" s="692" t="n"/>
      <c r="L979" s="692" t="n"/>
      <c r="M979" s="692" t="n"/>
      <c r="N979" s="692" t="n"/>
      <c r="O979" s="692" t="n"/>
      <c r="P979" s="692" t="n"/>
      <c r="Q979" s="692" t="n"/>
      <c r="R979" s="692" t="n"/>
      <c r="S979" s="692" t="n"/>
      <c r="T979" s="692" t="n"/>
      <c r="U979" s="692" t="n"/>
      <c r="V979" s="692" t="n"/>
      <c r="W979" s="692" t="n"/>
      <c r="X979" s="692" t="n"/>
      <c r="Y979" s="692" t="n"/>
      <c r="Z979" s="692" t="n"/>
      <c r="AA979" s="692" t="n"/>
      <c r="AB979" s="692" t="n"/>
      <c r="AC979" s="692" t="n"/>
      <c r="AD979" s="692" t="n"/>
      <c r="AE979" s="692" t="n"/>
      <c r="AF979" s="692" t="n"/>
      <c r="AG979" s="692" t="n"/>
      <c r="AH979" s="692" t="n"/>
      <c r="AI979" s="692" t="n"/>
      <c r="AJ979" s="692" t="n"/>
      <c r="AK979" s="692" t="n"/>
      <c r="AL979" s="692" t="n"/>
      <c r="AM979" s="692" t="n"/>
      <c r="AN979" s="692" t="n"/>
      <c r="AO979" s="692" t="n"/>
      <c r="AP979" s="692" t="n"/>
      <c r="AQ979" s="692" t="n"/>
      <c r="AR979" s="692" t="n"/>
      <c r="AS979" s="692" t="n"/>
    </row>
    <row r="980">
      <c r="A980" s="692" t="n"/>
      <c r="B980" s="692" t="n"/>
      <c r="C980" s="692" t="n"/>
      <c r="D980" s="692" t="n"/>
      <c r="E980" s="692" t="n"/>
      <c r="F980" s="692" t="n"/>
      <c r="G980" s="692" t="n"/>
      <c r="H980" s="692" t="n"/>
      <c r="I980" s="692" t="n"/>
      <c r="J980" s="692" t="n"/>
      <c r="K980" s="692" t="n"/>
      <c r="L980" s="692" t="n"/>
      <c r="M980" s="692" t="n"/>
      <c r="N980" s="692" t="n"/>
      <c r="O980" s="692" t="n"/>
      <c r="P980" s="692" t="n"/>
      <c r="Q980" s="692" t="n"/>
      <c r="R980" s="692" t="n"/>
      <c r="S980" s="692" t="n"/>
      <c r="T980" s="692" t="n"/>
      <c r="U980" s="692" t="n"/>
      <c r="V980" s="692" t="n"/>
      <c r="W980" s="692" t="n"/>
      <c r="X980" s="692" t="n"/>
      <c r="Y980" s="692" t="n"/>
      <c r="Z980" s="692" t="n"/>
      <c r="AA980" s="692" t="n"/>
      <c r="AB980" s="692" t="n"/>
      <c r="AC980" s="692" t="n"/>
      <c r="AD980" s="692" t="n"/>
      <c r="AE980" s="692" t="n"/>
      <c r="AF980" s="692" t="n"/>
      <c r="AG980" s="692" t="n"/>
      <c r="AH980" s="692" t="n"/>
      <c r="AI980" s="692" t="n"/>
      <c r="AJ980" s="692" t="n"/>
      <c r="AK980" s="692" t="n"/>
      <c r="AL980" s="692" t="n"/>
      <c r="AM980" s="692" t="n"/>
      <c r="AN980" s="692" t="n"/>
      <c r="AO980" s="692" t="n"/>
      <c r="AP980" s="692" t="n"/>
      <c r="AQ980" s="692" t="n"/>
      <c r="AR980" s="692" t="n"/>
      <c r="AS980" s="692" t="n"/>
    </row>
    <row r="981">
      <c r="A981" s="692" t="n"/>
      <c r="B981" s="692" t="n"/>
      <c r="C981" s="692" t="n"/>
      <c r="D981" s="692" t="n"/>
      <c r="E981" s="692" t="n"/>
      <c r="F981" s="692" t="n"/>
      <c r="G981" s="692" t="n"/>
      <c r="H981" s="692" t="n"/>
      <c r="I981" s="692" t="n"/>
      <c r="J981" s="692" t="n"/>
      <c r="K981" s="692" t="n"/>
      <c r="L981" s="692" t="n"/>
      <c r="M981" s="692" t="n"/>
      <c r="N981" s="692" t="n"/>
      <c r="O981" s="692" t="n"/>
      <c r="P981" s="692" t="n"/>
      <c r="Q981" s="692" t="n"/>
      <c r="R981" s="692" t="n"/>
      <c r="S981" s="692" t="n"/>
      <c r="T981" s="692" t="n"/>
      <c r="U981" s="692" t="n"/>
      <c r="V981" s="692" t="n"/>
      <c r="W981" s="692" t="n"/>
      <c r="X981" s="692" t="n"/>
      <c r="Y981" s="692" t="n"/>
      <c r="Z981" s="692" t="n"/>
      <c r="AA981" s="692" t="n"/>
      <c r="AB981" s="692" t="n"/>
      <c r="AC981" s="692" t="n"/>
      <c r="AD981" s="692" t="n"/>
      <c r="AE981" s="692" t="n"/>
      <c r="AF981" s="692" t="n"/>
      <c r="AG981" s="692" t="n"/>
      <c r="AH981" s="692" t="n"/>
      <c r="AI981" s="692" t="n"/>
      <c r="AJ981" s="692" t="n"/>
      <c r="AK981" s="692" t="n"/>
      <c r="AL981" s="692" t="n"/>
      <c r="AM981" s="692" t="n"/>
      <c r="AN981" s="692" t="n"/>
      <c r="AO981" s="692" t="n"/>
      <c r="AP981" s="692" t="n"/>
      <c r="AQ981" s="692" t="n"/>
      <c r="AR981" s="692" t="n"/>
      <c r="AS981" s="692" t="n"/>
    </row>
    <row r="982">
      <c r="A982" s="692" t="n"/>
      <c r="B982" s="692" t="n"/>
      <c r="C982" s="692" t="n"/>
      <c r="D982" s="692" t="n"/>
      <c r="E982" s="692" t="n"/>
      <c r="F982" s="692" t="n"/>
      <c r="G982" s="692" t="n"/>
      <c r="H982" s="692" t="n"/>
      <c r="I982" s="692" t="n"/>
      <c r="J982" s="692" t="n"/>
      <c r="K982" s="692" t="n"/>
      <c r="L982" s="692" t="n"/>
      <c r="M982" s="692" t="n"/>
      <c r="N982" s="692" t="n"/>
      <c r="O982" s="692" t="n"/>
      <c r="P982" s="692" t="n"/>
      <c r="Q982" s="692" t="n"/>
      <c r="R982" s="692" t="n"/>
      <c r="S982" s="692" t="n"/>
      <c r="T982" s="692" t="n"/>
      <c r="U982" s="692" t="n"/>
      <c r="V982" s="692" t="n"/>
      <c r="W982" s="692" t="n"/>
      <c r="X982" s="692" t="n"/>
      <c r="Y982" s="692" t="n"/>
      <c r="Z982" s="692" t="n"/>
      <c r="AA982" s="692" t="n"/>
      <c r="AB982" s="692" t="n"/>
      <c r="AC982" s="692" t="n"/>
      <c r="AD982" s="692" t="n"/>
      <c r="AE982" s="692" t="n"/>
      <c r="AF982" s="692" t="n"/>
      <c r="AG982" s="692" t="n"/>
      <c r="AH982" s="692" t="n"/>
      <c r="AI982" s="692" t="n"/>
      <c r="AJ982" s="692" t="n"/>
      <c r="AK982" s="692" t="n"/>
      <c r="AL982" s="692" t="n"/>
      <c r="AM982" s="692" t="n"/>
      <c r="AN982" s="692" t="n"/>
      <c r="AO982" s="692" t="n"/>
      <c r="AP982" s="692" t="n"/>
      <c r="AQ982" s="692" t="n"/>
      <c r="AR982" s="692" t="n"/>
      <c r="AS982" s="692" t="n"/>
    </row>
    <row r="983">
      <c r="A983" s="692" t="n"/>
      <c r="B983" s="692" t="n"/>
      <c r="C983" s="692" t="n"/>
      <c r="D983" s="692" t="n"/>
      <c r="E983" s="692" t="n"/>
      <c r="F983" s="692" t="n"/>
      <c r="G983" s="692" t="n"/>
      <c r="H983" s="692" t="n"/>
      <c r="I983" s="692" t="n"/>
      <c r="J983" s="692" t="n"/>
      <c r="K983" s="692" t="n"/>
      <c r="L983" s="692" t="n"/>
      <c r="M983" s="692" t="n"/>
      <c r="N983" s="692" t="n"/>
      <c r="O983" s="692" t="n"/>
      <c r="P983" s="692" t="n"/>
      <c r="Q983" s="692" t="n"/>
      <c r="R983" s="692" t="n"/>
      <c r="S983" s="692" t="n"/>
      <c r="T983" s="692" t="n"/>
      <c r="U983" s="692" t="n"/>
      <c r="V983" s="692" t="n"/>
      <c r="W983" s="692" t="n"/>
      <c r="X983" s="692" t="n"/>
      <c r="Y983" s="692" t="n"/>
      <c r="Z983" s="692" t="n"/>
      <c r="AA983" s="692" t="n"/>
      <c r="AB983" s="692" t="n"/>
      <c r="AC983" s="692" t="n"/>
      <c r="AD983" s="692" t="n"/>
      <c r="AE983" s="692" t="n"/>
      <c r="AF983" s="692" t="n"/>
      <c r="AG983" s="692" t="n"/>
      <c r="AH983" s="692" t="n"/>
      <c r="AI983" s="692" t="n"/>
      <c r="AJ983" s="692" t="n"/>
      <c r="AK983" s="692" t="n"/>
      <c r="AL983" s="692" t="n"/>
      <c r="AM983" s="692" t="n"/>
      <c r="AN983" s="692" t="n"/>
      <c r="AO983" s="692" t="n"/>
      <c r="AP983" s="692" t="n"/>
      <c r="AQ983" s="692" t="n"/>
      <c r="AR983" s="692" t="n"/>
      <c r="AS983" s="692" t="n"/>
    </row>
    <row r="984">
      <c r="A984" s="692" t="n"/>
      <c r="B984" s="692" t="n"/>
      <c r="C984" s="692" t="n"/>
      <c r="D984" s="692" t="n"/>
      <c r="E984" s="692" t="n"/>
      <c r="F984" s="692" t="n"/>
      <c r="G984" s="692" t="n"/>
      <c r="H984" s="692" t="n"/>
      <c r="I984" s="692" t="n"/>
      <c r="J984" s="692" t="n"/>
      <c r="K984" s="692" t="n"/>
      <c r="L984" s="692" t="n"/>
      <c r="M984" s="692" t="n"/>
      <c r="N984" s="692" t="n"/>
      <c r="O984" s="692" t="n"/>
      <c r="P984" s="692" t="n"/>
      <c r="Q984" s="692" t="n"/>
      <c r="R984" s="692" t="n"/>
      <c r="S984" s="692" t="n"/>
      <c r="T984" s="692" t="n"/>
      <c r="U984" s="692" t="n"/>
      <c r="V984" s="692" t="n"/>
      <c r="W984" s="692" t="n"/>
      <c r="X984" s="692" t="n"/>
      <c r="Y984" s="692" t="n"/>
      <c r="Z984" s="692" t="n"/>
      <c r="AA984" s="692" t="n"/>
      <c r="AB984" s="692" t="n"/>
      <c r="AC984" s="692" t="n"/>
      <c r="AD984" s="692" t="n"/>
      <c r="AE984" s="692" t="n"/>
      <c r="AF984" s="692" t="n"/>
      <c r="AG984" s="692" t="n"/>
      <c r="AH984" s="692" t="n"/>
      <c r="AI984" s="692" t="n"/>
      <c r="AJ984" s="692" t="n"/>
      <c r="AK984" s="692" t="n"/>
      <c r="AL984" s="692" t="n"/>
      <c r="AM984" s="692" t="n"/>
      <c r="AN984" s="692" t="n"/>
      <c r="AO984" s="692" t="n"/>
      <c r="AP984" s="692" t="n"/>
      <c r="AQ984" s="692" t="n"/>
      <c r="AR984" s="692" t="n"/>
      <c r="AS984" s="692" t="n"/>
    </row>
    <row r="985">
      <c r="A985" s="692" t="n"/>
      <c r="B985" s="692" t="n"/>
      <c r="C985" s="692" t="n"/>
      <c r="D985" s="692" t="n"/>
      <c r="E985" s="692" t="n"/>
      <c r="F985" s="692" t="n"/>
      <c r="G985" s="692" t="n"/>
      <c r="H985" s="692" t="n"/>
      <c r="I985" s="692" t="n"/>
      <c r="J985" s="692" t="n"/>
      <c r="K985" s="692" t="n"/>
      <c r="L985" s="692" t="n"/>
      <c r="M985" s="692" t="n"/>
      <c r="N985" s="692" t="n"/>
      <c r="O985" s="692" t="n"/>
      <c r="P985" s="692" t="n"/>
      <c r="Q985" s="692" t="n"/>
      <c r="R985" s="692" t="n"/>
      <c r="S985" s="692" t="n"/>
      <c r="T985" s="692" t="n"/>
      <c r="U985" s="692" t="n"/>
      <c r="V985" s="692" t="n"/>
      <c r="W985" s="692" t="n"/>
      <c r="X985" s="692" t="n"/>
      <c r="Y985" s="692" t="n"/>
      <c r="Z985" s="692" t="n"/>
      <c r="AA985" s="692" t="n"/>
      <c r="AB985" s="692" t="n"/>
      <c r="AC985" s="692" t="n"/>
      <c r="AD985" s="692" t="n"/>
      <c r="AE985" s="692" t="n"/>
      <c r="AF985" s="692" t="n"/>
      <c r="AG985" s="692" t="n"/>
      <c r="AH985" s="692" t="n"/>
      <c r="AI985" s="692" t="n"/>
      <c r="AJ985" s="692" t="n"/>
      <c r="AK985" s="692" t="n"/>
      <c r="AL985" s="692" t="n"/>
      <c r="AM985" s="692" t="n"/>
      <c r="AN985" s="692" t="n"/>
      <c r="AO985" s="692" t="n"/>
      <c r="AP985" s="692" t="n"/>
      <c r="AQ985" s="692" t="n"/>
      <c r="AR985" s="692" t="n"/>
      <c r="AS985" s="692" t="n"/>
    </row>
    <row r="986">
      <c r="A986" s="692" t="n"/>
      <c r="B986" s="692" t="n"/>
      <c r="C986" s="692" t="n"/>
      <c r="D986" s="692" t="n"/>
      <c r="E986" s="692" t="n"/>
      <c r="F986" s="692" t="n"/>
      <c r="G986" s="692" t="n"/>
      <c r="H986" s="692" t="n"/>
      <c r="I986" s="692" t="n"/>
      <c r="J986" s="692" t="n"/>
      <c r="K986" s="692" t="n"/>
      <c r="L986" s="692" t="n"/>
      <c r="M986" s="692" t="n"/>
      <c r="N986" s="692" t="n"/>
      <c r="O986" s="692" t="n"/>
      <c r="P986" s="692" t="n"/>
      <c r="Q986" s="692" t="n"/>
      <c r="R986" s="692" t="n"/>
      <c r="S986" s="692" t="n"/>
      <c r="T986" s="692" t="n"/>
      <c r="U986" s="692" t="n"/>
      <c r="V986" s="692" t="n"/>
      <c r="W986" s="692" t="n"/>
      <c r="X986" s="692" t="n"/>
      <c r="Y986" s="692" t="n"/>
      <c r="Z986" s="692" t="n"/>
      <c r="AA986" s="692" t="n"/>
      <c r="AB986" s="692" t="n"/>
      <c r="AC986" s="692" t="n"/>
      <c r="AD986" s="692" t="n"/>
      <c r="AE986" s="692" t="n"/>
      <c r="AF986" s="692" t="n"/>
      <c r="AG986" s="692" t="n"/>
      <c r="AH986" s="692" t="n"/>
      <c r="AI986" s="692" t="n"/>
      <c r="AJ986" s="692" t="n"/>
      <c r="AK986" s="692" t="n"/>
      <c r="AL986" s="692" t="n"/>
      <c r="AM986" s="692" t="n"/>
      <c r="AN986" s="692" t="n"/>
      <c r="AO986" s="692" t="n"/>
      <c r="AP986" s="692" t="n"/>
      <c r="AQ986" s="692" t="n"/>
      <c r="AR986" s="692" t="n"/>
      <c r="AS986" s="692" t="n"/>
    </row>
    <row r="987">
      <c r="A987" s="692" t="n"/>
      <c r="B987" s="692" t="n"/>
      <c r="C987" s="692" t="n"/>
      <c r="D987" s="692" t="n"/>
      <c r="E987" s="692" t="n"/>
      <c r="F987" s="692" t="n"/>
      <c r="G987" s="692" t="n"/>
      <c r="H987" s="692" t="n"/>
      <c r="I987" s="692" t="n"/>
      <c r="J987" s="692" t="n"/>
      <c r="K987" s="692" t="n"/>
      <c r="L987" s="692" t="n"/>
      <c r="M987" s="692" t="n"/>
      <c r="N987" s="692" t="n"/>
      <c r="O987" s="692" t="n"/>
      <c r="P987" s="692" t="n"/>
      <c r="Q987" s="692" t="n"/>
      <c r="R987" s="692" t="n"/>
      <c r="S987" s="692" t="n"/>
      <c r="T987" s="692" t="n"/>
      <c r="U987" s="692" t="n"/>
      <c r="V987" s="692" t="n"/>
      <c r="W987" s="692" t="n"/>
      <c r="X987" s="692" t="n"/>
      <c r="Y987" s="692" t="n"/>
      <c r="Z987" s="692" t="n"/>
      <c r="AA987" s="692" t="n"/>
      <c r="AB987" s="692" t="n"/>
      <c r="AC987" s="692" t="n"/>
      <c r="AD987" s="692" t="n"/>
      <c r="AE987" s="692" t="n"/>
      <c r="AF987" s="692" t="n"/>
      <c r="AG987" s="692" t="n"/>
      <c r="AH987" s="692" t="n"/>
      <c r="AI987" s="692" t="n"/>
      <c r="AJ987" s="692" t="n"/>
      <c r="AK987" s="692" t="n"/>
      <c r="AL987" s="692" t="n"/>
      <c r="AM987" s="692" t="n"/>
      <c r="AN987" s="692" t="n"/>
      <c r="AO987" s="692" t="n"/>
      <c r="AP987" s="692" t="n"/>
      <c r="AQ987" s="692" t="n"/>
      <c r="AR987" s="692" t="n"/>
      <c r="AS987" s="692" t="n"/>
    </row>
    <row r="988">
      <c r="A988" s="692" t="n"/>
      <c r="B988" s="692" t="n"/>
      <c r="C988" s="692" t="n"/>
      <c r="D988" s="692" t="n"/>
      <c r="E988" s="692" t="n"/>
      <c r="F988" s="692" t="n"/>
      <c r="G988" s="692" t="n"/>
      <c r="H988" s="692" t="n"/>
      <c r="I988" s="692" t="n"/>
      <c r="J988" s="692" t="n"/>
      <c r="K988" s="692" t="n"/>
      <c r="L988" s="692" t="n"/>
      <c r="M988" s="692" t="n"/>
      <c r="N988" s="692" t="n"/>
      <c r="O988" s="692" t="n"/>
      <c r="P988" s="692" t="n"/>
      <c r="Q988" s="692" t="n"/>
      <c r="R988" s="692" t="n"/>
      <c r="S988" s="692" t="n"/>
      <c r="T988" s="692" t="n"/>
      <c r="U988" s="692" t="n"/>
      <c r="V988" s="692" t="n"/>
      <c r="W988" s="692" t="n"/>
      <c r="X988" s="692" t="n"/>
      <c r="Y988" s="692" t="n"/>
      <c r="Z988" s="692" t="n"/>
      <c r="AA988" s="692" t="n"/>
      <c r="AB988" s="692" t="n"/>
      <c r="AC988" s="692" t="n"/>
      <c r="AD988" s="692" t="n"/>
      <c r="AE988" s="692" t="n"/>
      <c r="AF988" s="692" t="n"/>
      <c r="AG988" s="692" t="n"/>
      <c r="AH988" s="692" t="n"/>
      <c r="AI988" s="692" t="n"/>
      <c r="AJ988" s="692" t="n"/>
      <c r="AK988" s="692" t="n"/>
      <c r="AL988" s="692" t="n"/>
      <c r="AM988" s="692" t="n"/>
      <c r="AN988" s="692" t="n"/>
      <c r="AO988" s="692" t="n"/>
      <c r="AP988" s="692" t="n"/>
      <c r="AQ988" s="692" t="n"/>
      <c r="AR988" s="692" t="n"/>
      <c r="AS988" s="692" t="n"/>
    </row>
    <row r="989">
      <c r="A989" s="692" t="n"/>
      <c r="B989" s="692" t="n"/>
      <c r="C989" s="692" t="n"/>
      <c r="D989" s="692" t="n"/>
      <c r="E989" s="692" t="n"/>
      <c r="F989" s="692" t="n"/>
      <c r="G989" s="692" t="n"/>
      <c r="H989" s="692" t="n"/>
      <c r="I989" s="692" t="n"/>
      <c r="J989" s="692" t="n"/>
      <c r="K989" s="692" t="n"/>
      <c r="L989" s="692" t="n"/>
      <c r="M989" s="692" t="n"/>
      <c r="N989" s="692" t="n"/>
      <c r="O989" s="692" t="n"/>
      <c r="P989" s="692" t="n"/>
      <c r="Q989" s="692" t="n"/>
      <c r="R989" s="692" t="n"/>
      <c r="S989" s="692" t="n"/>
      <c r="T989" s="692" t="n"/>
      <c r="U989" s="692" t="n"/>
      <c r="V989" s="692" t="n"/>
      <c r="W989" s="692" t="n"/>
      <c r="X989" s="692" t="n"/>
      <c r="Y989" s="692" t="n"/>
      <c r="Z989" s="692" t="n"/>
      <c r="AA989" s="692" t="n"/>
      <c r="AB989" s="692" t="n"/>
      <c r="AC989" s="692" t="n"/>
      <c r="AD989" s="692" t="n"/>
      <c r="AE989" s="692" t="n"/>
      <c r="AF989" s="692" t="n"/>
      <c r="AG989" s="692" t="n"/>
      <c r="AH989" s="692" t="n"/>
      <c r="AI989" s="692" t="n"/>
      <c r="AJ989" s="692" t="n"/>
      <c r="AK989" s="692" t="n"/>
      <c r="AL989" s="692" t="n"/>
      <c r="AM989" s="692" t="n"/>
      <c r="AN989" s="692" t="n"/>
      <c r="AO989" s="692" t="n"/>
      <c r="AP989" s="692" t="n"/>
      <c r="AQ989" s="692" t="n"/>
      <c r="AR989" s="692" t="n"/>
      <c r="AS989" s="692" t="n"/>
    </row>
    <row r="990">
      <c r="A990" s="692" t="n"/>
      <c r="B990" s="692" t="n"/>
      <c r="C990" s="692" t="n"/>
      <c r="D990" s="692" t="n"/>
      <c r="E990" s="692" t="n"/>
      <c r="F990" s="692" t="n"/>
      <c r="G990" s="692" t="n"/>
      <c r="H990" s="692" t="n"/>
      <c r="I990" s="692" t="n"/>
      <c r="J990" s="692" t="n"/>
      <c r="K990" s="692" t="n"/>
      <c r="L990" s="692" t="n"/>
      <c r="M990" s="692" t="n"/>
      <c r="N990" s="692" t="n"/>
      <c r="O990" s="692" t="n"/>
      <c r="P990" s="692" t="n"/>
      <c r="Q990" s="692" t="n"/>
      <c r="R990" s="692" t="n"/>
      <c r="S990" s="692" t="n"/>
      <c r="T990" s="692" t="n"/>
      <c r="U990" s="692" t="n"/>
      <c r="V990" s="692" t="n"/>
      <c r="W990" s="692" t="n"/>
      <c r="X990" s="692" t="n"/>
      <c r="Y990" s="692" t="n"/>
      <c r="Z990" s="692" t="n"/>
      <c r="AA990" s="692" t="n"/>
      <c r="AB990" s="692" t="n"/>
      <c r="AC990" s="692" t="n"/>
      <c r="AD990" s="692" t="n"/>
      <c r="AE990" s="692" t="n"/>
      <c r="AF990" s="692" t="n"/>
      <c r="AG990" s="692" t="n"/>
      <c r="AH990" s="692" t="n"/>
      <c r="AI990" s="692" t="n"/>
      <c r="AJ990" s="692" t="n"/>
      <c r="AK990" s="692" t="n"/>
      <c r="AL990" s="692" t="n"/>
      <c r="AM990" s="692" t="n"/>
      <c r="AN990" s="692" t="n"/>
      <c r="AO990" s="692" t="n"/>
      <c r="AP990" s="692" t="n"/>
      <c r="AQ990" s="692" t="n"/>
      <c r="AR990" s="692" t="n"/>
      <c r="AS990" s="692" t="n"/>
    </row>
    <row r="991">
      <c r="A991" s="692" t="n"/>
      <c r="B991" s="692" t="n"/>
      <c r="C991" s="692" t="n"/>
      <c r="D991" s="692" t="n"/>
      <c r="E991" s="692" t="n"/>
      <c r="F991" s="692" t="n"/>
      <c r="G991" s="692" t="n"/>
      <c r="H991" s="692" t="n"/>
      <c r="I991" s="692" t="n"/>
      <c r="J991" s="692" t="n"/>
      <c r="K991" s="692" t="n"/>
      <c r="L991" s="692" t="n"/>
      <c r="M991" s="692" t="n"/>
      <c r="N991" s="692" t="n"/>
      <c r="O991" s="692" t="n"/>
      <c r="P991" s="692" t="n"/>
      <c r="Q991" s="692" t="n"/>
      <c r="R991" s="692" t="n"/>
      <c r="S991" s="692" t="n"/>
      <c r="T991" s="692" t="n"/>
      <c r="U991" s="692" t="n"/>
      <c r="V991" s="692" t="n"/>
      <c r="W991" s="692" t="n"/>
      <c r="X991" s="692" t="n"/>
      <c r="Y991" s="692" t="n"/>
      <c r="Z991" s="692" t="n"/>
      <c r="AA991" s="692" t="n"/>
      <c r="AB991" s="692" t="n"/>
      <c r="AC991" s="692" t="n"/>
      <c r="AD991" s="692" t="n"/>
      <c r="AE991" s="692" t="n"/>
      <c r="AF991" s="692" t="n"/>
      <c r="AG991" s="692" t="n"/>
      <c r="AH991" s="692" t="n"/>
      <c r="AI991" s="692" t="n"/>
      <c r="AJ991" s="692" t="n"/>
      <c r="AK991" s="692" t="n"/>
      <c r="AL991" s="692" t="n"/>
      <c r="AM991" s="692" t="n"/>
      <c r="AN991" s="692" t="n"/>
      <c r="AO991" s="692" t="n"/>
      <c r="AP991" s="692" t="n"/>
      <c r="AQ991" s="692" t="n"/>
      <c r="AR991" s="692" t="n"/>
      <c r="AS991" s="692" t="n"/>
    </row>
    <row r="992">
      <c r="A992" s="692" t="n"/>
      <c r="B992" s="692" t="n"/>
      <c r="C992" s="692" t="n"/>
      <c r="D992" s="692" t="n"/>
      <c r="E992" s="692" t="n"/>
      <c r="F992" s="692" t="n"/>
      <c r="G992" s="692" t="n"/>
      <c r="H992" s="692" t="n"/>
      <c r="I992" s="692" t="n"/>
      <c r="J992" s="692" t="n"/>
      <c r="K992" s="692" t="n"/>
      <c r="L992" s="692" t="n"/>
      <c r="M992" s="692" t="n"/>
      <c r="N992" s="692" t="n"/>
      <c r="O992" s="692" t="n"/>
      <c r="P992" s="692" t="n"/>
      <c r="Q992" s="692" t="n"/>
      <c r="R992" s="692" t="n"/>
      <c r="S992" s="692" t="n"/>
      <c r="T992" s="692" t="n"/>
      <c r="U992" s="692" t="n"/>
      <c r="V992" s="692" t="n"/>
      <c r="W992" s="692" t="n"/>
      <c r="X992" s="692" t="n"/>
      <c r="Y992" s="692" t="n"/>
      <c r="Z992" s="692" t="n"/>
      <c r="AA992" s="692" t="n"/>
      <c r="AB992" s="692" t="n"/>
      <c r="AC992" s="692" t="n"/>
      <c r="AD992" s="692" t="n"/>
      <c r="AE992" s="692" t="n"/>
      <c r="AF992" s="692" t="n"/>
      <c r="AG992" s="692" t="n"/>
      <c r="AH992" s="692" t="n"/>
      <c r="AI992" s="692" t="n"/>
      <c r="AJ992" s="692" t="n"/>
      <c r="AK992" s="692" t="n"/>
      <c r="AL992" s="692" t="n"/>
      <c r="AM992" s="692" t="n"/>
      <c r="AN992" s="692" t="n"/>
      <c r="AO992" s="692" t="n"/>
      <c r="AP992" s="692" t="n"/>
      <c r="AQ992" s="692" t="n"/>
      <c r="AR992" s="692" t="n"/>
      <c r="AS992" s="692" t="n"/>
    </row>
    <row r="993">
      <c r="A993" s="692" t="n"/>
      <c r="B993" s="692" t="n"/>
      <c r="C993" s="692" t="n"/>
      <c r="D993" s="692" t="n"/>
      <c r="E993" s="692" t="n"/>
      <c r="F993" s="692" t="n"/>
      <c r="G993" s="692" t="n"/>
      <c r="H993" s="692" t="n"/>
      <c r="I993" s="692" t="n"/>
      <c r="J993" s="692" t="n"/>
      <c r="K993" s="692" t="n"/>
      <c r="L993" s="692" t="n"/>
      <c r="M993" s="692" t="n"/>
      <c r="N993" s="692" t="n"/>
      <c r="O993" s="692" t="n"/>
      <c r="P993" s="692" t="n"/>
      <c r="Q993" s="692" t="n"/>
      <c r="R993" s="692" t="n"/>
      <c r="S993" s="692" t="n"/>
      <c r="T993" s="692" t="n"/>
      <c r="U993" s="692" t="n"/>
      <c r="V993" s="692" t="n"/>
      <c r="W993" s="692" t="n"/>
      <c r="X993" s="692" t="n"/>
      <c r="Y993" s="692" t="n"/>
      <c r="Z993" s="692" t="n"/>
      <c r="AA993" s="692" t="n"/>
      <c r="AB993" s="692" t="n"/>
      <c r="AC993" s="692" t="n"/>
      <c r="AD993" s="692" t="n"/>
      <c r="AE993" s="692" t="n"/>
      <c r="AF993" s="692" t="n"/>
      <c r="AG993" s="692" t="n"/>
      <c r="AH993" s="692" t="n"/>
      <c r="AI993" s="692" t="n"/>
      <c r="AJ993" s="692" t="n"/>
      <c r="AK993" s="692" t="n"/>
      <c r="AL993" s="692" t="n"/>
      <c r="AM993" s="692" t="n"/>
      <c r="AN993" s="692" t="n"/>
      <c r="AO993" s="692" t="n"/>
      <c r="AP993" s="692" t="n"/>
      <c r="AQ993" s="692" t="n"/>
      <c r="AR993" s="692" t="n"/>
      <c r="AS993" s="692" t="n"/>
    </row>
    <row r="994">
      <c r="A994" s="692" t="n"/>
      <c r="B994" s="692" t="n"/>
      <c r="C994" s="692" t="n"/>
      <c r="D994" s="692" t="n"/>
      <c r="E994" s="692" t="n"/>
      <c r="F994" s="692" t="n"/>
      <c r="G994" s="692" t="n"/>
      <c r="H994" s="692" t="n"/>
      <c r="I994" s="692" t="n"/>
      <c r="J994" s="692" t="n"/>
      <c r="K994" s="692" t="n"/>
      <c r="L994" s="692" t="n"/>
      <c r="M994" s="692" t="n"/>
      <c r="N994" s="692" t="n"/>
      <c r="O994" s="692" t="n"/>
      <c r="P994" s="692" t="n"/>
      <c r="Q994" s="692" t="n"/>
      <c r="R994" s="692" t="n"/>
      <c r="S994" s="692" t="n"/>
      <c r="T994" s="692" t="n"/>
      <c r="U994" s="692" t="n"/>
      <c r="V994" s="692" t="n"/>
      <c r="W994" s="692" t="n"/>
      <c r="X994" s="692" t="n"/>
      <c r="Y994" s="692" t="n"/>
      <c r="Z994" s="692" t="n"/>
      <c r="AA994" s="692" t="n"/>
      <c r="AB994" s="692" t="n"/>
      <c r="AC994" s="692" t="n"/>
      <c r="AD994" s="692" t="n"/>
      <c r="AE994" s="692" t="n"/>
      <c r="AF994" s="692" t="n"/>
      <c r="AG994" s="692" t="n"/>
      <c r="AH994" s="692" t="n"/>
      <c r="AI994" s="692" t="n"/>
      <c r="AJ994" s="692" t="n"/>
      <c r="AK994" s="692" t="n"/>
      <c r="AL994" s="692" t="n"/>
      <c r="AM994" s="692" t="n"/>
      <c r="AN994" s="692" t="n"/>
      <c r="AO994" s="692" t="n"/>
      <c r="AP994" s="692" t="n"/>
      <c r="AQ994" s="692" t="n"/>
      <c r="AR994" s="692" t="n"/>
      <c r="AS994" s="692" t="n"/>
    </row>
    <row r="995">
      <c r="A995" s="692" t="n"/>
      <c r="B995" s="692" t="n"/>
      <c r="C995" s="692" t="n"/>
      <c r="D995" s="692" t="n"/>
      <c r="E995" s="692" t="n"/>
      <c r="F995" s="692" t="n"/>
      <c r="G995" s="692" t="n"/>
      <c r="H995" s="692" t="n"/>
      <c r="I995" s="692" t="n"/>
      <c r="J995" s="692" t="n"/>
      <c r="K995" s="692" t="n"/>
      <c r="L995" s="692" t="n"/>
      <c r="M995" s="692" t="n"/>
      <c r="N995" s="692" t="n"/>
      <c r="O995" s="692" t="n"/>
      <c r="P995" s="692" t="n"/>
      <c r="Q995" s="692" t="n"/>
      <c r="R995" s="692" t="n"/>
      <c r="S995" s="692" t="n"/>
      <c r="T995" s="692" t="n"/>
      <c r="U995" s="692" t="n"/>
      <c r="V995" s="692" t="n"/>
      <c r="W995" s="692" t="n"/>
      <c r="X995" s="692" t="n"/>
      <c r="Y995" s="692" t="n"/>
      <c r="Z995" s="692" t="n"/>
      <c r="AA995" s="692" t="n"/>
      <c r="AB995" s="692" t="n"/>
      <c r="AC995" s="692" t="n"/>
      <c r="AD995" s="692" t="n"/>
      <c r="AE995" s="692" t="n"/>
      <c r="AF995" s="692" t="n"/>
      <c r="AG995" s="692" t="n"/>
      <c r="AH995" s="692" t="n"/>
      <c r="AI995" s="692" t="n"/>
      <c r="AJ995" s="692" t="n"/>
      <c r="AK995" s="692" t="n"/>
      <c r="AL995" s="692" t="n"/>
      <c r="AM995" s="692" t="n"/>
      <c r="AN995" s="692" t="n"/>
      <c r="AO995" s="692" t="n"/>
      <c r="AP995" s="692" t="n"/>
      <c r="AQ995" s="692" t="n"/>
      <c r="AR995" s="692" t="n"/>
      <c r="AS995" s="692" t="n"/>
    </row>
    <row r="996">
      <c r="A996" s="692" t="n"/>
      <c r="B996" s="692" t="n"/>
      <c r="C996" s="692" t="n"/>
      <c r="D996" s="692" t="n"/>
      <c r="E996" s="692" t="n"/>
      <c r="F996" s="692" t="n"/>
      <c r="G996" s="692" t="n"/>
      <c r="H996" s="692" t="n"/>
      <c r="I996" s="692" t="n"/>
      <c r="J996" s="692" t="n"/>
      <c r="K996" s="692" t="n"/>
      <c r="L996" s="692" t="n"/>
      <c r="M996" s="692" t="n"/>
      <c r="N996" s="692" t="n"/>
      <c r="O996" s="692" t="n"/>
      <c r="P996" s="692" t="n"/>
      <c r="Q996" s="692" t="n"/>
      <c r="R996" s="692" t="n"/>
      <c r="S996" s="692" t="n"/>
      <c r="T996" s="692" t="n"/>
      <c r="U996" s="692" t="n"/>
      <c r="V996" s="692" t="n"/>
      <c r="W996" s="692" t="n"/>
      <c r="X996" s="692" t="n"/>
      <c r="Y996" s="692" t="n"/>
      <c r="Z996" s="692" t="n"/>
      <c r="AA996" s="692" t="n"/>
      <c r="AB996" s="692" t="n"/>
      <c r="AC996" s="692" t="n"/>
      <c r="AD996" s="692" t="n"/>
      <c r="AE996" s="692" t="n"/>
      <c r="AF996" s="692" t="n"/>
      <c r="AG996" s="692" t="n"/>
      <c r="AH996" s="692" t="n"/>
      <c r="AI996" s="692" t="n"/>
      <c r="AJ996" s="692" t="n"/>
      <c r="AK996" s="692" t="n"/>
      <c r="AL996" s="692" t="n"/>
      <c r="AM996" s="692" t="n"/>
      <c r="AN996" s="692" t="n"/>
      <c r="AO996" s="692" t="n"/>
      <c r="AP996" s="692" t="n"/>
      <c r="AQ996" s="692" t="n"/>
      <c r="AR996" s="692" t="n"/>
      <c r="AS996" s="692" t="n"/>
    </row>
    <row r="997">
      <c r="A997" s="692" t="n"/>
      <c r="B997" s="692" t="n"/>
      <c r="C997" s="692" t="n"/>
      <c r="D997" s="692" t="n"/>
      <c r="E997" s="692" t="n"/>
      <c r="F997" s="692" t="n"/>
      <c r="G997" s="692" t="n"/>
      <c r="H997" s="692" t="n"/>
      <c r="I997" s="692" t="n"/>
      <c r="J997" s="692" t="n"/>
      <c r="K997" s="692" t="n"/>
      <c r="L997" s="692" t="n"/>
      <c r="M997" s="692" t="n"/>
      <c r="N997" s="692" t="n"/>
      <c r="O997" s="692" t="n"/>
      <c r="P997" s="692" t="n"/>
      <c r="Q997" s="692" t="n"/>
      <c r="R997" s="692" t="n"/>
      <c r="S997" s="692" t="n"/>
      <c r="T997" s="692" t="n"/>
      <c r="U997" s="692" t="n"/>
      <c r="V997" s="692" t="n"/>
      <c r="W997" s="692" t="n"/>
      <c r="X997" s="692" t="n"/>
      <c r="Y997" s="692" t="n"/>
      <c r="Z997" s="692" t="n"/>
      <c r="AA997" s="692" t="n"/>
      <c r="AB997" s="692" t="n"/>
      <c r="AC997" s="692" t="n"/>
      <c r="AD997" s="692" t="n"/>
      <c r="AE997" s="692" t="n"/>
      <c r="AF997" s="692" t="n"/>
      <c r="AG997" s="692" t="n"/>
      <c r="AH997" s="692" t="n"/>
      <c r="AI997" s="692" t="n"/>
      <c r="AJ997" s="692" t="n"/>
      <c r="AK997" s="692" t="n"/>
      <c r="AL997" s="692" t="n"/>
      <c r="AM997" s="692" t="n"/>
      <c r="AN997" s="692" t="n"/>
      <c r="AO997" s="692" t="n"/>
      <c r="AP997" s="692" t="n"/>
      <c r="AQ997" s="692" t="n"/>
      <c r="AR997" s="692" t="n"/>
      <c r="AS997" s="692" t="n"/>
    </row>
    <row r="998">
      <c r="A998" s="692" t="n"/>
      <c r="B998" s="692" t="n"/>
      <c r="C998" s="692" t="n"/>
      <c r="D998" s="692" t="n"/>
      <c r="E998" s="692" t="n"/>
      <c r="F998" s="692" t="n"/>
      <c r="G998" s="692" t="n"/>
      <c r="H998" s="692" t="n"/>
      <c r="I998" s="692" t="n"/>
      <c r="J998" s="692" t="n"/>
      <c r="K998" s="692" t="n"/>
      <c r="L998" s="692" t="n"/>
      <c r="M998" s="692" t="n"/>
      <c r="N998" s="692" t="n"/>
      <c r="O998" s="692" t="n"/>
      <c r="P998" s="692" t="n"/>
      <c r="Q998" s="692" t="n"/>
      <c r="R998" s="692" t="n"/>
      <c r="S998" s="692" t="n"/>
      <c r="T998" s="692" t="n"/>
      <c r="U998" s="692" t="n"/>
      <c r="V998" s="692" t="n"/>
      <c r="W998" s="692" t="n"/>
      <c r="X998" s="692" t="n"/>
      <c r="Y998" s="692" t="n"/>
      <c r="Z998" s="692" t="n"/>
      <c r="AA998" s="692" t="n"/>
      <c r="AB998" s="692" t="n"/>
      <c r="AC998" s="692" t="n"/>
      <c r="AD998" s="692" t="n"/>
      <c r="AE998" s="692" t="n"/>
      <c r="AF998" s="692" t="n"/>
      <c r="AG998" s="692" t="n"/>
      <c r="AH998" s="692" t="n"/>
      <c r="AI998" s="692" t="n"/>
      <c r="AJ998" s="692" t="n"/>
      <c r="AK998" s="692" t="n"/>
      <c r="AL998" s="692" t="n"/>
      <c r="AM998" s="692" t="n"/>
      <c r="AN998" s="692" t="n"/>
      <c r="AO998" s="692" t="n"/>
      <c r="AP998" s="692" t="n"/>
      <c r="AQ998" s="692" t="n"/>
      <c r="AR998" s="692" t="n"/>
      <c r="AS998" s="692" t="n"/>
    </row>
    <row r="999">
      <c r="A999" s="692" t="n"/>
      <c r="B999" s="692" t="n"/>
      <c r="C999" s="692" t="n"/>
      <c r="D999" s="692" t="n"/>
      <c r="E999" s="692" t="n"/>
      <c r="F999" s="692" t="n"/>
      <c r="G999" s="692" t="n"/>
      <c r="H999" s="692" t="n"/>
      <c r="I999" s="692" t="n"/>
      <c r="J999" s="692" t="n"/>
      <c r="K999" s="692" t="n"/>
      <c r="L999" s="692" t="n"/>
      <c r="M999" s="692" t="n"/>
      <c r="N999" s="692" t="n"/>
      <c r="O999" s="692" t="n"/>
      <c r="P999" s="692" t="n"/>
      <c r="Q999" s="692" t="n"/>
      <c r="R999" s="692" t="n"/>
      <c r="S999" s="692" t="n"/>
      <c r="T999" s="692" t="n"/>
      <c r="U999" s="692" t="n"/>
      <c r="V999" s="692" t="n"/>
      <c r="W999" s="692" t="n"/>
      <c r="X999" s="692" t="n"/>
      <c r="Y999" s="692" t="n"/>
      <c r="Z999" s="692" t="n"/>
      <c r="AA999" s="692" t="n"/>
      <c r="AB999" s="692" t="n"/>
      <c r="AC999" s="692" t="n"/>
      <c r="AD999" s="692" t="n"/>
      <c r="AE999" s="692" t="n"/>
      <c r="AF999" s="692" t="n"/>
      <c r="AG999" s="692" t="n"/>
      <c r="AH999" s="692" t="n"/>
      <c r="AI999" s="692" t="n"/>
      <c r="AJ999" s="692" t="n"/>
      <c r="AK999" s="692" t="n"/>
      <c r="AL999" s="692" t="n"/>
      <c r="AM999" s="692" t="n"/>
      <c r="AN999" s="692" t="n"/>
      <c r="AO999" s="692" t="n"/>
      <c r="AP999" s="692" t="n"/>
      <c r="AQ999" s="692" t="n"/>
      <c r="AR999" s="692" t="n"/>
      <c r="AS999" s="692" t="n"/>
    </row>
    <row r="1000">
      <c r="A1000" s="692" t="n"/>
      <c r="B1000" s="692" t="n"/>
      <c r="C1000" s="692" t="n"/>
      <c r="D1000" s="692" t="n"/>
      <c r="E1000" s="692" t="n"/>
      <c r="F1000" s="692" t="n"/>
      <c r="G1000" s="692" t="n"/>
      <c r="H1000" s="692" t="n"/>
      <c r="I1000" s="692" t="n"/>
      <c r="J1000" s="692" t="n"/>
      <c r="K1000" s="692" t="n"/>
      <c r="L1000" s="692" t="n"/>
      <c r="M1000" s="692" t="n"/>
      <c r="N1000" s="692" t="n"/>
      <c r="O1000" s="692" t="n"/>
      <c r="P1000" s="692" t="n"/>
      <c r="Q1000" s="692" t="n"/>
      <c r="R1000" s="692" t="n"/>
      <c r="S1000" s="692" t="n"/>
      <c r="T1000" s="692" t="n"/>
      <c r="U1000" s="692" t="n"/>
      <c r="V1000" s="692" t="n"/>
      <c r="W1000" s="692" t="n"/>
      <c r="X1000" s="692" t="n"/>
      <c r="Y1000" s="692" t="n"/>
      <c r="Z1000" s="692" t="n"/>
      <c r="AA1000" s="692" t="n"/>
      <c r="AB1000" s="692" t="n"/>
      <c r="AC1000" s="692" t="n"/>
      <c r="AD1000" s="692" t="n"/>
      <c r="AE1000" s="692" t="n"/>
      <c r="AF1000" s="692" t="n"/>
      <c r="AG1000" s="692" t="n"/>
      <c r="AH1000" s="692" t="n"/>
      <c r="AI1000" s="692" t="n"/>
      <c r="AJ1000" s="692" t="n"/>
      <c r="AK1000" s="692" t="n"/>
      <c r="AL1000" s="692" t="n"/>
      <c r="AM1000" s="692" t="n"/>
      <c r="AN1000" s="692" t="n"/>
      <c r="AO1000" s="692" t="n"/>
      <c r="AP1000" s="692" t="n"/>
      <c r="AQ1000" s="692" t="n"/>
      <c r="AR1000" s="692" t="n"/>
      <c r="AS1000" s="692" t="n"/>
    </row>
    <row r="1001">
      <c r="A1001" s="692" t="n"/>
      <c r="B1001" s="692" t="n"/>
      <c r="C1001" s="692" t="n"/>
      <c r="D1001" s="692" t="n"/>
      <c r="E1001" s="692" t="n"/>
      <c r="F1001" s="692" t="n"/>
      <c r="G1001" s="692" t="n"/>
      <c r="H1001" s="692" t="n"/>
      <c r="I1001" s="692" t="n"/>
      <c r="J1001" s="692" t="n"/>
      <c r="K1001" s="692" t="n"/>
      <c r="L1001" s="692" t="n"/>
      <c r="M1001" s="692" t="n"/>
      <c r="N1001" s="692" t="n"/>
      <c r="O1001" s="692" t="n"/>
      <c r="P1001" s="692" t="n"/>
      <c r="Q1001" s="692" t="n"/>
      <c r="R1001" s="692" t="n"/>
      <c r="S1001" s="692" t="n"/>
      <c r="T1001" s="692" t="n"/>
      <c r="U1001" s="692" t="n"/>
      <c r="V1001" s="692" t="n"/>
      <c r="W1001" s="692" t="n"/>
      <c r="X1001" s="692" t="n"/>
      <c r="Y1001" s="692" t="n"/>
      <c r="Z1001" s="692" t="n"/>
      <c r="AA1001" s="692" t="n"/>
      <c r="AB1001" s="692" t="n"/>
      <c r="AC1001" s="692" t="n"/>
      <c r="AD1001" s="692" t="n"/>
      <c r="AE1001" s="692" t="n"/>
      <c r="AF1001" s="692" t="n"/>
      <c r="AG1001" s="692" t="n"/>
      <c r="AH1001" s="692" t="n"/>
      <c r="AI1001" s="692" t="n"/>
      <c r="AJ1001" s="692" t="n"/>
      <c r="AK1001" s="692" t="n"/>
      <c r="AL1001" s="692" t="n"/>
      <c r="AM1001" s="692" t="n"/>
      <c r="AN1001" s="692" t="n"/>
      <c r="AO1001" s="692" t="n"/>
      <c r="AP1001" s="692" t="n"/>
      <c r="AQ1001" s="692" t="n"/>
      <c r="AR1001" s="692" t="n"/>
      <c r="AS1001" s="692" t="n"/>
    </row>
    <row r="1002">
      <c r="A1002" s="692" t="n"/>
      <c r="B1002" s="692" t="n"/>
      <c r="C1002" s="692" t="n"/>
      <c r="D1002" s="692" t="n"/>
      <c r="E1002" s="692" t="n"/>
      <c r="F1002" s="692" t="n"/>
      <c r="G1002" s="692" t="n"/>
      <c r="H1002" s="692" t="n"/>
      <c r="I1002" s="692" t="n"/>
      <c r="J1002" s="692" t="n"/>
      <c r="K1002" s="692" t="n"/>
      <c r="L1002" s="692" t="n"/>
      <c r="M1002" s="692" t="n"/>
      <c r="N1002" s="692" t="n"/>
      <c r="O1002" s="692" t="n"/>
      <c r="P1002" s="692" t="n"/>
      <c r="Q1002" s="692" t="n"/>
      <c r="R1002" s="692" t="n"/>
      <c r="S1002" s="692" t="n"/>
      <c r="T1002" s="692" t="n"/>
      <c r="U1002" s="692" t="n"/>
      <c r="V1002" s="692" t="n"/>
      <c r="W1002" s="692" t="n"/>
      <c r="X1002" s="692" t="n"/>
      <c r="Y1002" s="692" t="n"/>
      <c r="Z1002" s="692" t="n"/>
      <c r="AA1002" s="692" t="n"/>
      <c r="AB1002" s="692" t="n"/>
      <c r="AC1002" s="692" t="n"/>
      <c r="AD1002" s="692" t="n"/>
      <c r="AE1002" s="692" t="n"/>
      <c r="AF1002" s="692" t="n"/>
      <c r="AG1002" s="692" t="n"/>
      <c r="AH1002" s="692" t="n"/>
      <c r="AI1002" s="692" t="n"/>
      <c r="AJ1002" s="692" t="n"/>
      <c r="AK1002" s="692" t="n"/>
      <c r="AL1002" s="692" t="n"/>
      <c r="AM1002" s="692" t="n"/>
      <c r="AN1002" s="692" t="n"/>
      <c r="AO1002" s="692" t="n"/>
      <c r="AP1002" s="692" t="n"/>
      <c r="AQ1002" s="692" t="n"/>
      <c r="AR1002" s="692" t="n"/>
      <c r="AS1002" s="692" t="n"/>
    </row>
    <row r="1003">
      <c r="A1003" s="692" t="n"/>
      <c r="B1003" s="692" t="n"/>
      <c r="C1003" s="692" t="n"/>
      <c r="D1003" s="692" t="n"/>
      <c r="E1003" s="692" t="n"/>
      <c r="F1003" s="692" t="n"/>
      <c r="G1003" s="692" t="n"/>
      <c r="H1003" s="692" t="n"/>
      <c r="I1003" s="692" t="n"/>
      <c r="J1003" s="692" t="n"/>
      <c r="K1003" s="692" t="n"/>
      <c r="L1003" s="692" t="n"/>
      <c r="M1003" s="692" t="n"/>
      <c r="N1003" s="692" t="n"/>
      <c r="O1003" s="692" t="n"/>
      <c r="P1003" s="692" t="n"/>
      <c r="Q1003" s="692" t="n"/>
      <c r="R1003" s="692" t="n"/>
      <c r="S1003" s="692" t="n"/>
      <c r="T1003" s="692" t="n"/>
      <c r="U1003" s="692" t="n"/>
      <c r="V1003" s="692" t="n"/>
      <c r="W1003" s="692" t="n"/>
      <c r="X1003" s="692" t="n"/>
      <c r="Y1003" s="692" t="n"/>
      <c r="Z1003" s="692" t="n"/>
      <c r="AA1003" s="692" t="n"/>
      <c r="AB1003" s="692" t="n"/>
      <c r="AC1003" s="692" t="n"/>
      <c r="AD1003" s="692" t="n"/>
      <c r="AE1003" s="692" t="n"/>
      <c r="AF1003" s="692" t="n"/>
      <c r="AG1003" s="692" t="n"/>
      <c r="AH1003" s="692" t="n"/>
      <c r="AI1003" s="692" t="n"/>
      <c r="AJ1003" s="692" t="n"/>
      <c r="AK1003" s="692" t="n"/>
      <c r="AL1003" s="692" t="n"/>
      <c r="AM1003" s="692" t="n"/>
      <c r="AN1003" s="692" t="n"/>
      <c r="AO1003" s="692" t="n"/>
      <c r="AP1003" s="692" t="n"/>
      <c r="AQ1003" s="692" t="n"/>
      <c r="AR1003" s="692" t="n"/>
      <c r="AS1003" s="692" t="n"/>
    </row>
    <row r="1004">
      <c r="A1004" s="692" t="n"/>
      <c r="B1004" s="692" t="n"/>
      <c r="C1004" s="692" t="n"/>
      <c r="D1004" s="692" t="n"/>
      <c r="E1004" s="692" t="n"/>
      <c r="F1004" s="692" t="n"/>
      <c r="G1004" s="692" t="n"/>
      <c r="H1004" s="692" t="n"/>
      <c r="I1004" s="692" t="n"/>
      <c r="J1004" s="692" t="n"/>
      <c r="K1004" s="692" t="n"/>
      <c r="L1004" s="692" t="n"/>
      <c r="M1004" s="692" t="n"/>
      <c r="N1004" s="692" t="n"/>
      <c r="O1004" s="692" t="n"/>
      <c r="P1004" s="692" t="n"/>
      <c r="Q1004" s="692" t="n"/>
      <c r="R1004" s="692" t="n"/>
      <c r="S1004" s="692" t="n"/>
      <c r="T1004" s="692" t="n"/>
      <c r="U1004" s="692" t="n"/>
      <c r="V1004" s="692" t="n"/>
      <c r="W1004" s="692" t="n"/>
      <c r="X1004" s="692" t="n"/>
      <c r="Y1004" s="692" t="n"/>
      <c r="Z1004" s="692" t="n"/>
      <c r="AA1004" s="692" t="n"/>
      <c r="AB1004" s="692" t="n"/>
      <c r="AC1004" s="692" t="n"/>
      <c r="AD1004" s="692" t="n"/>
      <c r="AE1004" s="692" t="n"/>
      <c r="AF1004" s="692" t="n"/>
      <c r="AG1004" s="692" t="n"/>
      <c r="AH1004" s="692" t="n"/>
      <c r="AI1004" s="692" t="n"/>
      <c r="AJ1004" s="692" t="n"/>
      <c r="AK1004" s="692" t="n"/>
      <c r="AL1004" s="692" t="n"/>
      <c r="AM1004" s="692" t="n"/>
      <c r="AN1004" s="692" t="n"/>
      <c r="AO1004" s="692" t="n"/>
      <c r="AP1004" s="692" t="n"/>
      <c r="AQ1004" s="692" t="n"/>
      <c r="AR1004" s="692" t="n"/>
      <c r="AS1004" s="692" t="n"/>
    </row>
    <row r="1005">
      <c r="A1005" s="692" t="n"/>
      <c r="B1005" s="692" t="n"/>
      <c r="C1005" s="692" t="n"/>
      <c r="D1005" s="692" t="n"/>
      <c r="E1005" s="692" t="n"/>
      <c r="F1005" s="692" t="n"/>
      <c r="G1005" s="692" t="n"/>
      <c r="H1005" s="692" t="n"/>
      <c r="I1005" s="692" t="n"/>
      <c r="J1005" s="692" t="n"/>
      <c r="K1005" s="692" t="n"/>
      <c r="L1005" s="692" t="n"/>
      <c r="M1005" s="692" t="n"/>
      <c r="N1005" s="692" t="n"/>
      <c r="O1005" s="692" t="n"/>
      <c r="P1005" s="692" t="n"/>
      <c r="Q1005" s="692" t="n"/>
      <c r="R1005" s="692" t="n"/>
      <c r="S1005" s="692" t="n"/>
      <c r="T1005" s="692" t="n"/>
      <c r="U1005" s="692" t="n"/>
      <c r="V1005" s="692" t="n"/>
      <c r="W1005" s="692" t="n"/>
      <c r="X1005" s="692" t="n"/>
      <c r="Y1005" s="692" t="n"/>
      <c r="Z1005" s="692" t="n"/>
      <c r="AA1005" s="692" t="n"/>
      <c r="AB1005" s="692" t="n"/>
      <c r="AC1005" s="692" t="n"/>
      <c r="AD1005" s="692" t="n"/>
      <c r="AE1005" s="692" t="n"/>
      <c r="AF1005" s="692" t="n"/>
      <c r="AG1005" s="692" t="n"/>
      <c r="AH1005" s="692" t="n"/>
      <c r="AI1005" s="692" t="n"/>
      <c r="AJ1005" s="692" t="n"/>
      <c r="AK1005" s="692" t="n"/>
      <c r="AL1005" s="692" t="n"/>
      <c r="AM1005" s="692" t="n"/>
      <c r="AN1005" s="692" t="n"/>
      <c r="AO1005" s="692" t="n"/>
      <c r="AP1005" s="692" t="n"/>
      <c r="AQ1005" s="692" t="n"/>
      <c r="AR1005" s="692" t="n"/>
      <c r="AS1005" s="692" t="n"/>
    </row>
    <row r="1006">
      <c r="A1006" s="692" t="n"/>
      <c r="B1006" s="692" t="n"/>
      <c r="C1006" s="692" t="n"/>
      <c r="D1006" s="692" t="n"/>
      <c r="E1006" s="692" t="n"/>
      <c r="F1006" s="692" t="n"/>
      <c r="G1006" s="692" t="n"/>
      <c r="H1006" s="692" t="n"/>
      <c r="I1006" s="692" t="n"/>
      <c r="J1006" s="692" t="n"/>
      <c r="K1006" s="692" t="n"/>
      <c r="L1006" s="692" t="n"/>
      <c r="M1006" s="692" t="n"/>
      <c r="N1006" s="692" t="n"/>
      <c r="O1006" s="692" t="n"/>
      <c r="P1006" s="692" t="n"/>
      <c r="Q1006" s="692" t="n"/>
      <c r="R1006" s="692" t="n"/>
      <c r="S1006" s="692" t="n"/>
      <c r="T1006" s="692" t="n"/>
      <c r="U1006" s="692" t="n"/>
      <c r="V1006" s="692" t="n"/>
      <c r="W1006" s="692" t="n"/>
      <c r="X1006" s="692" t="n"/>
      <c r="Y1006" s="692" t="n"/>
      <c r="Z1006" s="692" t="n"/>
      <c r="AA1006" s="692" t="n"/>
      <c r="AB1006" s="692" t="n"/>
      <c r="AC1006" s="692" t="n"/>
      <c r="AD1006" s="692" t="n"/>
      <c r="AE1006" s="692" t="n"/>
      <c r="AF1006" s="692" t="n"/>
      <c r="AG1006" s="692" t="n"/>
      <c r="AH1006" s="692" t="n"/>
      <c r="AI1006" s="692" t="n"/>
      <c r="AJ1006" s="692" t="n"/>
      <c r="AK1006" s="692" t="n"/>
      <c r="AL1006" s="692" t="n"/>
      <c r="AM1006" s="692" t="n"/>
      <c r="AN1006" s="692" t="n"/>
      <c r="AO1006" s="692" t="n"/>
      <c r="AP1006" s="692" t="n"/>
      <c r="AQ1006" s="692" t="n"/>
      <c r="AR1006" s="692" t="n"/>
      <c r="AS1006" s="692" t="n"/>
    </row>
    <row r="1007">
      <c r="A1007" s="692" t="n"/>
      <c r="B1007" s="692" t="n"/>
      <c r="C1007" s="692" t="n"/>
      <c r="D1007" s="692" t="n"/>
      <c r="E1007" s="692" t="n"/>
      <c r="F1007" s="692" t="n"/>
      <c r="G1007" s="692" t="n"/>
      <c r="H1007" s="692" t="n"/>
      <c r="I1007" s="692" t="n"/>
      <c r="J1007" s="692" t="n"/>
      <c r="K1007" s="692" t="n"/>
      <c r="L1007" s="692" t="n"/>
      <c r="M1007" s="692" t="n"/>
      <c r="N1007" s="692" t="n"/>
      <c r="O1007" s="692" t="n"/>
      <c r="P1007" s="692" t="n"/>
      <c r="Q1007" s="692" t="n"/>
      <c r="R1007" s="692" t="n"/>
      <c r="S1007" s="692" t="n"/>
      <c r="T1007" s="692" t="n"/>
      <c r="U1007" s="692" t="n"/>
      <c r="V1007" s="692" t="n"/>
      <c r="W1007" s="692" t="n"/>
      <c r="X1007" s="692" t="n"/>
      <c r="Y1007" s="692" t="n"/>
      <c r="Z1007" s="692" t="n"/>
      <c r="AA1007" s="692" t="n"/>
      <c r="AB1007" s="692" t="n"/>
      <c r="AC1007" s="692" t="n"/>
      <c r="AD1007" s="692" t="n"/>
      <c r="AE1007" s="692" t="n"/>
      <c r="AF1007" s="692" t="n"/>
      <c r="AG1007" s="692" t="n"/>
      <c r="AH1007" s="692" t="n"/>
      <c r="AI1007" s="692" t="n"/>
      <c r="AJ1007" s="692" t="n"/>
      <c r="AK1007" s="692" t="n"/>
      <c r="AL1007" s="692" t="n"/>
      <c r="AM1007" s="692" t="n"/>
      <c r="AN1007" s="692" t="n"/>
      <c r="AO1007" s="692" t="n"/>
      <c r="AP1007" s="692" t="n"/>
      <c r="AQ1007" s="692" t="n"/>
      <c r="AR1007" s="692" t="n"/>
      <c r="AS1007" s="692" t="n"/>
    </row>
    <row r="1008">
      <c r="A1008" s="692" t="n"/>
      <c r="B1008" s="692" t="n"/>
      <c r="C1008" s="692" t="n"/>
      <c r="D1008" s="692" t="n"/>
      <c r="E1008" s="692" t="n"/>
      <c r="F1008" s="692" t="n"/>
      <c r="G1008" s="692" t="n"/>
      <c r="H1008" s="692" t="n"/>
      <c r="I1008" s="692" t="n"/>
      <c r="J1008" s="692" t="n"/>
      <c r="K1008" s="692" t="n"/>
      <c r="L1008" s="692" t="n"/>
      <c r="M1008" s="692" t="n"/>
      <c r="N1008" s="692" t="n"/>
      <c r="O1008" s="692" t="n"/>
      <c r="P1008" s="692" t="n"/>
      <c r="Q1008" s="692" t="n"/>
      <c r="R1008" s="692" t="n"/>
      <c r="S1008" s="692" t="n"/>
      <c r="T1008" s="692" t="n"/>
      <c r="U1008" s="692" t="n"/>
      <c r="V1008" s="692" t="n"/>
      <c r="W1008" s="692" t="n"/>
      <c r="X1008" s="692" t="n"/>
      <c r="Y1008" s="692" t="n"/>
      <c r="Z1008" s="692" t="n"/>
      <c r="AA1008" s="692" t="n"/>
      <c r="AB1008" s="692" t="n"/>
      <c r="AC1008" s="692" t="n"/>
      <c r="AD1008" s="692" t="n"/>
      <c r="AE1008" s="692" t="n"/>
      <c r="AF1008" s="692" t="n"/>
      <c r="AG1008" s="692" t="n"/>
      <c r="AH1008" s="692" t="n"/>
      <c r="AI1008" s="692" t="n"/>
      <c r="AJ1008" s="692" t="n"/>
      <c r="AK1008" s="692" t="n"/>
      <c r="AL1008" s="692" t="n"/>
      <c r="AM1008" s="692" t="n"/>
      <c r="AN1008" s="692" t="n"/>
      <c r="AO1008" s="692" t="n"/>
      <c r="AP1008" s="692" t="n"/>
      <c r="AQ1008" s="692" t="n"/>
      <c r="AR1008" s="692" t="n"/>
      <c r="AS1008" s="692" t="n"/>
    </row>
    <row r="1009">
      <c r="A1009" s="692" t="n"/>
      <c r="B1009" s="692" t="n"/>
      <c r="C1009" s="692" t="n"/>
      <c r="D1009" s="692" t="n"/>
      <c r="E1009" s="692" t="n"/>
      <c r="F1009" s="692" t="n"/>
      <c r="G1009" s="692" t="n"/>
      <c r="H1009" s="692" t="n"/>
      <c r="I1009" s="692" t="n"/>
      <c r="J1009" s="692" t="n"/>
      <c r="K1009" s="692" t="n"/>
      <c r="L1009" s="692" t="n"/>
      <c r="M1009" s="692" t="n"/>
      <c r="N1009" s="692" t="n"/>
      <c r="O1009" s="692" t="n"/>
      <c r="P1009" s="692" t="n"/>
      <c r="Q1009" s="692" t="n"/>
      <c r="R1009" s="692" t="n"/>
      <c r="S1009" s="692" t="n"/>
      <c r="T1009" s="692" t="n"/>
      <c r="U1009" s="692" t="n"/>
      <c r="V1009" s="692" t="n"/>
      <c r="W1009" s="692" t="n"/>
      <c r="X1009" s="692" t="n"/>
      <c r="Y1009" s="692" t="n"/>
      <c r="Z1009" s="692" t="n"/>
      <c r="AA1009" s="692" t="n"/>
      <c r="AB1009" s="692" t="n"/>
      <c r="AC1009" s="692" t="n"/>
      <c r="AD1009" s="692" t="n"/>
      <c r="AE1009" s="692" t="n"/>
      <c r="AF1009" s="692" t="n"/>
      <c r="AG1009" s="692" t="n"/>
      <c r="AH1009" s="692" t="n"/>
      <c r="AI1009" s="692" t="n"/>
      <c r="AJ1009" s="692" t="n"/>
      <c r="AK1009" s="692" t="n"/>
      <c r="AL1009" s="692" t="n"/>
      <c r="AM1009" s="692" t="n"/>
      <c r="AN1009" s="692" t="n"/>
      <c r="AO1009" s="692" t="n"/>
      <c r="AP1009" s="692" t="n"/>
      <c r="AQ1009" s="692" t="n"/>
      <c r="AR1009" s="692" t="n"/>
      <c r="AS1009" s="692" t="n"/>
    </row>
    <row r="1010">
      <c r="A1010" s="692" t="n"/>
      <c r="B1010" s="692" t="n"/>
      <c r="C1010" s="692" t="n"/>
      <c r="D1010" s="692" t="n"/>
      <c r="E1010" s="692" t="n"/>
      <c r="F1010" s="692" t="n"/>
      <c r="G1010" s="692" t="n"/>
      <c r="H1010" s="692" t="n"/>
      <c r="I1010" s="692" t="n"/>
      <c r="J1010" s="692" t="n"/>
      <c r="K1010" s="692" t="n"/>
      <c r="L1010" s="692" t="n"/>
      <c r="M1010" s="692" t="n"/>
      <c r="N1010" s="692" t="n"/>
      <c r="O1010" s="692" t="n"/>
      <c r="P1010" s="692" t="n"/>
      <c r="Q1010" s="692" t="n"/>
      <c r="R1010" s="692" t="n"/>
      <c r="S1010" s="692" t="n"/>
      <c r="T1010" s="692" t="n"/>
      <c r="U1010" s="692" t="n"/>
      <c r="V1010" s="692" t="n"/>
      <c r="W1010" s="692" t="n"/>
      <c r="X1010" s="692" t="n"/>
      <c r="Y1010" s="692" t="n"/>
      <c r="Z1010" s="692" t="n"/>
      <c r="AA1010" s="692" t="n"/>
      <c r="AB1010" s="692" t="n"/>
      <c r="AC1010" s="692" t="n"/>
      <c r="AD1010" s="692" t="n"/>
      <c r="AE1010" s="692" t="n"/>
      <c r="AF1010" s="692" t="n"/>
      <c r="AG1010" s="692" t="n"/>
      <c r="AH1010" s="692" t="n"/>
      <c r="AI1010" s="692" t="n"/>
      <c r="AJ1010" s="692" t="n"/>
      <c r="AK1010" s="692" t="n"/>
      <c r="AL1010" s="692" t="n"/>
      <c r="AM1010" s="692" t="n"/>
      <c r="AN1010" s="692" t="n"/>
      <c r="AO1010" s="692" t="n"/>
      <c r="AP1010" s="692" t="n"/>
      <c r="AQ1010" s="692" t="n"/>
      <c r="AR1010" s="692" t="n"/>
      <c r="AS1010" s="692" t="n"/>
    </row>
    <row r="1011">
      <c r="A1011" s="692" t="n"/>
      <c r="B1011" s="692" t="n"/>
      <c r="C1011" s="692" t="n"/>
      <c r="D1011" s="692" t="n"/>
      <c r="E1011" s="692" t="n"/>
      <c r="F1011" s="692" t="n"/>
      <c r="G1011" s="692" t="n"/>
      <c r="H1011" s="692" t="n"/>
      <c r="I1011" s="692" t="n"/>
      <c r="J1011" s="692" t="n"/>
      <c r="K1011" s="692" t="n"/>
      <c r="L1011" s="692" t="n"/>
      <c r="M1011" s="692" t="n"/>
      <c r="N1011" s="692" t="n"/>
      <c r="O1011" s="692" t="n"/>
      <c r="P1011" s="692" t="n"/>
      <c r="Q1011" s="692" t="n"/>
      <c r="R1011" s="692" t="n"/>
      <c r="S1011" s="692" t="n"/>
      <c r="T1011" s="692" t="n"/>
      <c r="U1011" s="692" t="n"/>
      <c r="V1011" s="692" t="n"/>
      <c r="W1011" s="692" t="n"/>
      <c r="X1011" s="692" t="n"/>
      <c r="Y1011" s="692" t="n"/>
      <c r="Z1011" s="692" t="n"/>
      <c r="AA1011" s="692" t="n"/>
      <c r="AB1011" s="692" t="n"/>
      <c r="AC1011" s="692" t="n"/>
      <c r="AD1011" s="692" t="n"/>
      <c r="AE1011" s="692" t="n"/>
      <c r="AF1011" s="692" t="n"/>
      <c r="AG1011" s="692" t="n"/>
      <c r="AH1011" s="692" t="n"/>
      <c r="AI1011" s="692" t="n"/>
      <c r="AJ1011" s="692" t="n"/>
      <c r="AK1011" s="692" t="n"/>
      <c r="AL1011" s="692" t="n"/>
      <c r="AM1011" s="692" t="n"/>
      <c r="AN1011" s="692" t="n"/>
      <c r="AO1011" s="692" t="n"/>
      <c r="AP1011" s="692" t="n"/>
      <c r="AQ1011" s="692" t="n"/>
      <c r="AR1011" s="692" t="n"/>
      <c r="AS1011" s="692" t="n"/>
    </row>
    <row r="1012">
      <c r="A1012" s="692" t="n"/>
      <c r="B1012" s="692" t="n"/>
      <c r="C1012" s="692" t="n"/>
      <c r="D1012" s="692" t="n"/>
      <c r="E1012" s="692" t="n"/>
      <c r="F1012" s="692" t="n"/>
      <c r="G1012" s="692" t="n"/>
      <c r="H1012" s="692" t="n"/>
      <c r="I1012" s="692" t="n"/>
      <c r="J1012" s="692" t="n"/>
      <c r="K1012" s="692" t="n"/>
      <c r="L1012" s="692" t="n"/>
      <c r="M1012" s="692" t="n"/>
      <c r="N1012" s="692" t="n"/>
      <c r="O1012" s="692" t="n"/>
      <c r="P1012" s="692" t="n"/>
      <c r="Q1012" s="692" t="n"/>
      <c r="R1012" s="692" t="n"/>
      <c r="S1012" s="692" t="n"/>
      <c r="T1012" s="692" t="n"/>
      <c r="U1012" s="692" t="n"/>
      <c r="V1012" s="692" t="n"/>
      <c r="W1012" s="692" t="n"/>
      <c r="X1012" s="692" t="n"/>
      <c r="Y1012" s="692" t="n"/>
      <c r="Z1012" s="692" t="n"/>
      <c r="AA1012" s="692" t="n"/>
      <c r="AB1012" s="692" t="n"/>
      <c r="AC1012" s="692" t="n"/>
      <c r="AD1012" s="692" t="n"/>
      <c r="AE1012" s="692" t="n"/>
      <c r="AF1012" s="692" t="n"/>
      <c r="AG1012" s="692" t="n"/>
      <c r="AH1012" s="692" t="n"/>
      <c r="AI1012" s="692" t="n"/>
      <c r="AJ1012" s="692" t="n"/>
      <c r="AK1012" s="692" t="n"/>
      <c r="AL1012" s="692" t="n"/>
      <c r="AM1012" s="692" t="n"/>
      <c r="AN1012" s="692" t="n"/>
      <c r="AO1012" s="692" t="n"/>
      <c r="AP1012" s="692" t="n"/>
      <c r="AQ1012" s="692" t="n"/>
      <c r="AR1012" s="692" t="n"/>
      <c r="AS1012" s="692" t="n"/>
    </row>
    <row r="1013">
      <c r="A1013" s="692" t="n"/>
      <c r="B1013" s="692" t="n"/>
      <c r="C1013" s="692" t="n"/>
      <c r="D1013" s="692" t="n"/>
      <c r="E1013" s="692" t="n"/>
      <c r="F1013" s="692" t="n"/>
      <c r="G1013" s="692" t="n"/>
      <c r="H1013" s="692" t="n"/>
      <c r="I1013" s="692" t="n"/>
      <c r="J1013" s="692" t="n"/>
      <c r="K1013" s="692" t="n"/>
      <c r="L1013" s="692" t="n"/>
      <c r="M1013" s="692" t="n"/>
      <c r="N1013" s="692" t="n"/>
      <c r="O1013" s="692" t="n"/>
      <c r="P1013" s="692" t="n"/>
      <c r="Q1013" s="692" t="n"/>
      <c r="R1013" s="692" t="n"/>
      <c r="S1013" s="692" t="n"/>
      <c r="T1013" s="692" t="n"/>
      <c r="U1013" s="692" t="n"/>
      <c r="V1013" s="692" t="n"/>
      <c r="W1013" s="692" t="n"/>
      <c r="X1013" s="692" t="n"/>
      <c r="Y1013" s="692" t="n"/>
      <c r="Z1013" s="692" t="n"/>
      <c r="AA1013" s="692" t="n"/>
      <c r="AB1013" s="692" t="n"/>
      <c r="AC1013" s="692" t="n"/>
      <c r="AD1013" s="692" t="n"/>
      <c r="AE1013" s="692" t="n"/>
      <c r="AF1013" s="692" t="n"/>
      <c r="AG1013" s="692" t="n"/>
      <c r="AH1013" s="692" t="n"/>
      <c r="AI1013" s="692" t="n"/>
      <c r="AJ1013" s="692" t="n"/>
      <c r="AK1013" s="692" t="n"/>
      <c r="AL1013" s="692" t="n"/>
      <c r="AM1013" s="692" t="n"/>
      <c r="AN1013" s="692" t="n"/>
      <c r="AO1013" s="692" t="n"/>
      <c r="AP1013" s="692" t="n"/>
      <c r="AQ1013" s="692" t="n"/>
      <c r="AR1013" s="692" t="n"/>
      <c r="AS1013" s="692" t="n"/>
    </row>
    <row r="1014">
      <c r="A1014" s="692" t="n"/>
      <c r="B1014" s="692" t="n"/>
      <c r="C1014" s="692" t="n"/>
      <c r="D1014" s="692" t="n"/>
      <c r="E1014" s="692" t="n"/>
      <c r="F1014" s="692" t="n"/>
      <c r="G1014" s="692" t="n"/>
      <c r="H1014" s="692" t="n"/>
      <c r="I1014" s="692" t="n"/>
      <c r="J1014" s="692" t="n"/>
      <c r="K1014" s="692" t="n"/>
      <c r="L1014" s="692" t="n"/>
      <c r="M1014" s="692" t="n"/>
      <c r="N1014" s="692" t="n"/>
      <c r="O1014" s="692" t="n"/>
      <c r="P1014" s="692" t="n"/>
      <c r="Q1014" s="692" t="n"/>
      <c r="R1014" s="692" t="n"/>
      <c r="S1014" s="692" t="n"/>
      <c r="T1014" s="692" t="n"/>
      <c r="U1014" s="692" t="n"/>
      <c r="V1014" s="692" t="n"/>
      <c r="W1014" s="692" t="n"/>
      <c r="X1014" s="692" t="n"/>
      <c r="Y1014" s="692" t="n"/>
      <c r="Z1014" s="692" t="n"/>
      <c r="AA1014" s="692" t="n"/>
      <c r="AB1014" s="692" t="n"/>
      <c r="AC1014" s="692" t="n"/>
      <c r="AD1014" s="692" t="n"/>
      <c r="AE1014" s="692" t="n"/>
      <c r="AF1014" s="692" t="n"/>
      <c r="AG1014" s="692" t="n"/>
      <c r="AH1014" s="692" t="n"/>
      <c r="AI1014" s="692" t="n"/>
      <c r="AJ1014" s="692" t="n"/>
      <c r="AK1014" s="692" t="n"/>
      <c r="AL1014" s="692" t="n"/>
      <c r="AM1014" s="692" t="n"/>
      <c r="AN1014" s="692" t="n"/>
      <c r="AO1014" s="692" t="n"/>
      <c r="AP1014" s="692" t="n"/>
      <c r="AQ1014" s="692" t="n"/>
      <c r="AR1014" s="692" t="n"/>
      <c r="AS1014" s="692" t="n"/>
    </row>
    <row r="1015">
      <c r="A1015" s="692" t="n"/>
      <c r="B1015" s="692" t="n"/>
      <c r="C1015" s="692" t="n"/>
      <c r="D1015" s="692" t="n"/>
      <c r="E1015" s="692" t="n"/>
      <c r="F1015" s="692" t="n"/>
      <c r="G1015" s="692" t="n"/>
      <c r="H1015" s="692" t="n"/>
      <c r="I1015" s="692" t="n"/>
      <c r="J1015" s="692" t="n"/>
      <c r="K1015" s="692" t="n"/>
      <c r="L1015" s="692" t="n"/>
      <c r="M1015" s="692" t="n"/>
      <c r="N1015" s="692" t="n"/>
      <c r="O1015" s="692" t="n"/>
      <c r="P1015" s="692" t="n"/>
      <c r="Q1015" s="692" t="n"/>
      <c r="R1015" s="692" t="n"/>
      <c r="S1015" s="692" t="n"/>
      <c r="T1015" s="692" t="n"/>
      <c r="U1015" s="692" t="n"/>
      <c r="V1015" s="692" t="n"/>
      <c r="W1015" s="692" t="n"/>
      <c r="X1015" s="692" t="n"/>
      <c r="Y1015" s="692" t="n"/>
      <c r="Z1015" s="692" t="n"/>
      <c r="AA1015" s="692" t="n"/>
      <c r="AB1015" s="692" t="n"/>
      <c r="AC1015" s="692" t="n"/>
      <c r="AD1015" s="692" t="n"/>
      <c r="AE1015" s="692" t="n"/>
      <c r="AF1015" s="692" t="n"/>
      <c r="AG1015" s="692" t="n"/>
      <c r="AH1015" s="692" t="n"/>
      <c r="AI1015" s="692" t="n"/>
      <c r="AJ1015" s="692" t="n"/>
      <c r="AK1015" s="692" t="n"/>
      <c r="AL1015" s="692" t="n"/>
      <c r="AM1015" s="692" t="n"/>
      <c r="AN1015" s="692" t="n"/>
      <c r="AO1015" s="692" t="n"/>
      <c r="AP1015" s="692" t="n"/>
      <c r="AQ1015" s="692" t="n"/>
      <c r="AR1015" s="692" t="n"/>
      <c r="AS1015" s="692" t="n"/>
    </row>
    <row r="1016">
      <c r="A1016" s="692" t="n"/>
      <c r="B1016" s="692" t="n"/>
      <c r="C1016" s="692" t="n"/>
      <c r="D1016" s="692" t="n"/>
      <c r="E1016" s="692" t="n"/>
      <c r="F1016" s="692" t="n"/>
      <c r="G1016" s="692" t="n"/>
      <c r="H1016" s="692" t="n"/>
      <c r="I1016" s="692" t="n"/>
      <c r="J1016" s="692" t="n"/>
      <c r="K1016" s="692" t="n"/>
      <c r="L1016" s="692" t="n"/>
      <c r="M1016" s="692" t="n"/>
      <c r="N1016" s="692" t="n"/>
      <c r="O1016" s="692" t="n"/>
      <c r="P1016" s="692" t="n"/>
      <c r="Q1016" s="692" t="n"/>
      <c r="R1016" s="692" t="n"/>
      <c r="S1016" s="692" t="n"/>
      <c r="T1016" s="692" t="n"/>
      <c r="U1016" s="692" t="n"/>
      <c r="Y1016" s="692" t="n"/>
      <c r="Z1016" s="692" t="n"/>
      <c r="AA1016" s="692" t="n"/>
      <c r="AB1016" s="692" t="n"/>
      <c r="AC1016" s="692" t="n"/>
      <c r="AD1016" s="692" t="n"/>
      <c r="AE1016" s="692" t="n"/>
      <c r="AF1016" s="692" t="n"/>
      <c r="AG1016" s="692" t="n"/>
      <c r="AH1016" s="692" t="n"/>
      <c r="AI1016" s="692" t="n"/>
      <c r="AJ1016" s="692" t="n"/>
      <c r="AK1016" s="692" t="n"/>
      <c r="AL1016" s="692" t="n"/>
      <c r="AM1016" s="692" t="n"/>
      <c r="AN1016" s="692" t="n"/>
      <c r="AO1016" s="692" t="n"/>
      <c r="AP1016" s="692" t="n"/>
      <c r="AQ1016" s="692" t="n"/>
      <c r="AR1016" s="692" t="n"/>
      <c r="AS1016" s="692" t="n"/>
    </row>
    <row r="1017">
      <c r="A1017" s="692" t="n"/>
      <c r="B1017" s="692" t="n"/>
      <c r="D1017" s="692" t="n"/>
      <c r="F1017" s="692" t="n"/>
      <c r="G1017" s="692" t="n"/>
      <c r="H1017" s="692" t="n"/>
      <c r="I1017" s="692" t="n"/>
      <c r="J1017" s="692" t="n"/>
      <c r="K1017" s="692" t="n"/>
      <c r="L1017" s="692" t="n"/>
      <c r="M1017" s="692" t="n"/>
      <c r="N1017" s="692" t="n"/>
      <c r="O1017" s="692" t="n"/>
      <c r="P1017" s="692" t="n"/>
      <c r="Q1017" s="692" t="n"/>
      <c r="U1017" s="692" t="n"/>
      <c r="Y1017" s="692" t="n"/>
      <c r="Z1017" s="692" t="n"/>
      <c r="AA1017" s="692" t="n"/>
      <c r="AB1017" s="692" t="n"/>
      <c r="AC1017" s="692" t="n"/>
      <c r="AD1017" s="692" t="n"/>
      <c r="AE1017" s="692" t="n"/>
      <c r="AF1017" s="692" t="n"/>
      <c r="AG1017" s="692" t="n"/>
      <c r="AH1017" s="692" t="n"/>
      <c r="AI1017" s="692" t="n"/>
      <c r="AJ1017" s="692" t="n"/>
      <c r="AK1017" s="692" t="n"/>
      <c r="AL1017" s="692" t="n"/>
      <c r="AM1017" s="692" t="n"/>
      <c r="AN1017" s="692" t="n"/>
      <c r="AO1017" s="692" t="n"/>
      <c r="AP1017" s="692" t="n"/>
      <c r="AQ1017" s="692" t="n"/>
      <c r="AR1017" s="692" t="n"/>
      <c r="AS1017" s="692" t="n"/>
    </row>
    <row r="1018">
      <c r="D1018" s="692" t="n"/>
      <c r="H1018" s="692" t="n"/>
      <c r="L1018" s="692" t="n"/>
    </row>
    <row r="1019">
      <c r="D1019" s="692" t="n"/>
      <c r="H1019" s="692" t="n"/>
    </row>
    <row r="1020">
      <c r="D1020" s="692" t="n"/>
      <c r="H1020" s="692" t="n"/>
    </row>
    <row r="1021">
      <c r="D1021" s="692" t="n"/>
      <c r="H1021" s="692" t="n"/>
    </row>
    <row r="1022">
      <c r="H1022" s="692" t="n"/>
    </row>
  </sheetData>
  <dataValidations count="1">
    <dataValidation sqref="T2:T33 X2:X35" showDropDown="1" showInputMessage="0" showErrorMessage="0" allowBlank="1" type="custom">
      <formula1>AND(ISNUMBER(T2),(NOT(OR(NOT(ISERROR(DATEVALUE(T2))), AND(ISNUMBER(T2), LEFT(CELL("format", T2))="D")))))</formula1>
    </dataValidation>
  </dataValidations>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5.xml><?xml version="1.0" encoding="utf-8"?>
<worksheet xmlns="http://schemas.openxmlformats.org/spreadsheetml/2006/main">
  <sheetPr>
    <outlinePr summaryBelow="0" summaryRight="0"/>
    <pageSetUpPr fitToPage="1"/>
  </sheetPr>
  <dimension ref="A1:AP999"/>
  <sheetViews>
    <sheetView workbookViewId="0">
      <selection activeCell="A1" sqref="A1"/>
    </sheetView>
  </sheetViews>
  <sheetFormatPr baseColWidth="8" defaultColWidth="12.63" defaultRowHeight="15.75" customHeight="1"/>
  <cols>
    <col width="7.63" customWidth="1" style="763" min="1" max="10"/>
    <col width="8.5" customWidth="1" style="763" min="11" max="19"/>
    <col width="6.13" customWidth="1" style="763" min="22" max="24"/>
    <col width="7.13" customWidth="1" style="763" min="25" max="27"/>
    <col width="7.63" customWidth="1" style="763" min="28" max="29"/>
  </cols>
  <sheetData>
    <row r="1">
      <c r="A1" s="692" t="n"/>
      <c r="B1" s="692" t="inlineStr">
        <is>
          <t>Female</t>
        </is>
      </c>
      <c r="C1" s="692" t="inlineStr">
        <is>
          <t>Female</t>
        </is>
      </c>
      <c r="D1" s="692" t="inlineStr">
        <is>
          <t>Female</t>
        </is>
      </c>
      <c r="E1" s="692" t="inlineStr">
        <is>
          <t>Female</t>
        </is>
      </c>
      <c r="F1" s="692" t="inlineStr">
        <is>
          <t>Female</t>
        </is>
      </c>
      <c r="G1" s="692" t="inlineStr">
        <is>
          <t>Female</t>
        </is>
      </c>
      <c r="H1" s="692" t="inlineStr">
        <is>
          <t>Female</t>
        </is>
      </c>
      <c r="I1" s="692" t="inlineStr">
        <is>
          <t>Female</t>
        </is>
      </c>
      <c r="J1" s="692" t="inlineStr">
        <is>
          <t>Female</t>
        </is>
      </c>
      <c r="K1" s="692" t="inlineStr">
        <is>
          <t>Female</t>
        </is>
      </c>
      <c r="L1" s="692" t="inlineStr">
        <is>
          <t>Female</t>
        </is>
      </c>
      <c r="M1" s="692" t="inlineStr">
        <is>
          <t>Female</t>
        </is>
      </c>
      <c r="N1" s="692" t="inlineStr">
        <is>
          <t>Female</t>
        </is>
      </c>
      <c r="O1" s="692" t="inlineStr">
        <is>
          <t>Female</t>
        </is>
      </c>
      <c r="P1" s="692" t="inlineStr">
        <is>
          <t>Female</t>
        </is>
      </c>
      <c r="Q1" s="692" t="inlineStr">
        <is>
          <t>Female</t>
        </is>
      </c>
      <c r="R1" s="692" t="inlineStr">
        <is>
          <t>Female</t>
        </is>
      </c>
      <c r="S1" s="692" t="inlineStr">
        <is>
          <t>Female</t>
        </is>
      </c>
      <c r="T1" s="692" t="n"/>
      <c r="U1" s="142" t="n"/>
      <c r="V1" s="142" t="inlineStr">
        <is>
          <t>Podium</t>
        </is>
      </c>
      <c r="W1" s="764" t="n"/>
      <c r="X1" s="765" t="n"/>
      <c r="Y1" s="142" t="inlineStr">
        <is>
          <t>Finalists</t>
        </is>
      </c>
      <c r="Z1" s="764" t="n"/>
      <c r="AA1" s="765" t="n"/>
      <c r="AB1" s="142" t="inlineStr">
        <is>
          <t>Roster</t>
        </is>
      </c>
      <c r="AC1" s="765" t="n"/>
      <c r="AG1" s="692" t="n"/>
      <c r="AH1" s="692" t="n"/>
      <c r="AI1" s="692" t="n"/>
      <c r="AJ1" s="692" t="n"/>
      <c r="AK1" s="692" t="n"/>
      <c r="AL1" s="692" t="n"/>
      <c r="AM1" s="692" t="n"/>
      <c r="AN1" s="692" t="n"/>
      <c r="AO1" s="692" t="n"/>
      <c r="AP1" s="692" t="n"/>
    </row>
    <row r="2">
      <c r="A2" s="692" t="n"/>
      <c r="B2" s="692" t="inlineStr">
        <is>
          <t>50 Free</t>
        </is>
      </c>
      <c r="C2" s="692" t="inlineStr">
        <is>
          <t>50 Free</t>
        </is>
      </c>
      <c r="D2" s="692" t="inlineStr">
        <is>
          <t>50 Free</t>
        </is>
      </c>
      <c r="E2" s="692" t="inlineStr">
        <is>
          <t>100 Free</t>
        </is>
      </c>
      <c r="F2" s="692" t="inlineStr">
        <is>
          <t>100 Free</t>
        </is>
      </c>
      <c r="G2" s="692" t="inlineStr">
        <is>
          <t>100 Free</t>
        </is>
      </c>
      <c r="H2" s="692" t="inlineStr">
        <is>
          <t>200 Free</t>
        </is>
      </c>
      <c r="I2" s="692" t="inlineStr">
        <is>
          <t>200 Free</t>
        </is>
      </c>
      <c r="J2" s="692" t="inlineStr">
        <is>
          <t>200 Free</t>
        </is>
      </c>
      <c r="K2" s="692" t="inlineStr">
        <is>
          <t>400 Free</t>
        </is>
      </c>
      <c r="L2" s="692" t="inlineStr">
        <is>
          <t>400 Free</t>
        </is>
      </c>
      <c r="M2" s="692" t="inlineStr">
        <is>
          <t>400 Free</t>
        </is>
      </c>
      <c r="N2" s="692" t="inlineStr">
        <is>
          <t>800 Free</t>
        </is>
      </c>
      <c r="O2" s="692" t="inlineStr">
        <is>
          <t>800 Free</t>
        </is>
      </c>
      <c r="P2" s="692" t="inlineStr">
        <is>
          <t>800 Free</t>
        </is>
      </c>
      <c r="Q2" s="692" t="inlineStr">
        <is>
          <t>1500 Free</t>
        </is>
      </c>
      <c r="R2" s="692" t="inlineStr">
        <is>
          <t>1500 Free</t>
        </is>
      </c>
      <c r="S2" s="692" t="inlineStr">
        <is>
          <t>1500 Free</t>
        </is>
      </c>
      <c r="T2" s="692" t="n"/>
      <c r="U2" s="766" t="n"/>
      <c r="V2" s="139" t="inlineStr">
        <is>
          <t>Gold</t>
        </is>
      </c>
      <c r="W2" s="140" t="inlineStr">
        <is>
          <t>Silver</t>
        </is>
      </c>
      <c r="X2" s="141" t="inlineStr">
        <is>
          <t>Bronze</t>
        </is>
      </c>
      <c r="Y2" s="142" t="inlineStr">
        <is>
          <t>Male</t>
        </is>
      </c>
      <c r="Z2" s="142" t="inlineStr">
        <is>
          <t>Female</t>
        </is>
      </c>
      <c r="AA2" s="142" t="inlineStr">
        <is>
          <t>Relays</t>
        </is>
      </c>
      <c r="AB2" s="142" t="inlineStr">
        <is>
          <t>Male</t>
        </is>
      </c>
      <c r="AC2" s="142" t="inlineStr">
        <is>
          <t>Female</t>
        </is>
      </c>
      <c r="AG2" s="692" t="n"/>
      <c r="AH2" s="692" t="n"/>
      <c r="AI2" s="692" t="n"/>
      <c r="AJ2" s="692" t="n"/>
      <c r="AK2" s="692" t="n"/>
      <c r="AL2" s="692" t="n"/>
      <c r="AM2" s="692" t="n"/>
      <c r="AN2" s="692" t="n"/>
      <c r="AO2" s="692" t="n"/>
      <c r="AP2" s="692" t="n"/>
    </row>
    <row r="3">
      <c r="A3" s="692" t="n"/>
      <c r="B3" s="692" t="inlineStr">
        <is>
          <t>Track 1</t>
        </is>
      </c>
      <c r="C3" s="692" t="inlineStr">
        <is>
          <t>Track 2</t>
        </is>
      </c>
      <c r="D3" s="692" t="inlineStr">
        <is>
          <t>Track 3</t>
        </is>
      </c>
      <c r="E3" s="692" t="inlineStr">
        <is>
          <t>Track 1</t>
        </is>
      </c>
      <c r="F3" s="692" t="inlineStr">
        <is>
          <t>Track 2</t>
        </is>
      </c>
      <c r="G3" s="692" t="inlineStr">
        <is>
          <t>Track 3</t>
        </is>
      </c>
      <c r="H3" s="692" t="inlineStr">
        <is>
          <t>Track 1</t>
        </is>
      </c>
      <c r="I3" s="692" t="inlineStr">
        <is>
          <t>Track 2</t>
        </is>
      </c>
      <c r="J3" s="692" t="inlineStr">
        <is>
          <t>Track 3</t>
        </is>
      </c>
      <c r="K3" s="692" t="inlineStr">
        <is>
          <t>Track 1</t>
        </is>
      </c>
      <c r="L3" s="692" t="inlineStr">
        <is>
          <t>Track 2</t>
        </is>
      </c>
      <c r="M3" s="692" t="inlineStr">
        <is>
          <t>Track 3</t>
        </is>
      </c>
      <c r="N3" s="692" t="inlineStr">
        <is>
          <t>Track 1</t>
        </is>
      </c>
      <c r="O3" s="692" t="inlineStr">
        <is>
          <t>Track 2</t>
        </is>
      </c>
      <c r="P3" s="692" t="inlineStr">
        <is>
          <t>Track 3</t>
        </is>
      </c>
      <c r="Q3" s="692" t="inlineStr">
        <is>
          <t>Track 1</t>
        </is>
      </c>
      <c r="R3" s="692" t="inlineStr">
        <is>
          <t>Track 2</t>
        </is>
      </c>
      <c r="S3" s="692" t="inlineStr">
        <is>
          <t>Track 3</t>
        </is>
      </c>
      <c r="T3" s="692" t="n"/>
      <c r="U3" s="143" t="inlineStr">
        <is>
          <t>Sydney 2000</t>
        </is>
      </c>
      <c r="V3" s="394" t="n">
        <v>0</v>
      </c>
      <c r="W3" s="396" t="n">
        <v>0</v>
      </c>
      <c r="X3" s="399" t="n">
        <v>0</v>
      </c>
      <c r="Y3" s="394" t="n">
        <v>5</v>
      </c>
      <c r="Z3" s="396" t="n">
        <v>6</v>
      </c>
      <c r="AA3" s="399" t="n">
        <v>2</v>
      </c>
      <c r="AB3" s="394" t="n">
        <v>12</v>
      </c>
      <c r="AC3" s="399" t="n">
        <v>12</v>
      </c>
      <c r="AG3" s="692" t="n"/>
      <c r="AH3" s="692" t="n"/>
      <c r="AI3" s="692" t="n"/>
      <c r="AJ3" s="692" t="n"/>
      <c r="AK3" s="692" t="n"/>
      <c r="AL3" s="692" t="n"/>
      <c r="AM3" s="692" t="n"/>
      <c r="AN3" s="692" t="n"/>
      <c r="AO3" s="692" t="n"/>
      <c r="AP3" s="692" t="n"/>
    </row>
    <row r="4">
      <c r="A4" s="692" t="n">
        <v>13</v>
      </c>
      <c r="B4" s="692" t="n"/>
      <c r="C4" s="692" t="n"/>
      <c r="D4" s="692" t="n"/>
      <c r="E4" s="692" t="n"/>
      <c r="F4" s="692" t="n"/>
      <c r="G4" s="692" t="n"/>
      <c r="H4" s="692" t="n"/>
      <c r="I4" s="692" t="n"/>
      <c r="J4" s="692" t="n"/>
      <c r="K4" s="692" t="n"/>
      <c r="L4" s="692" t="n"/>
      <c r="M4" s="692" t="n"/>
      <c r="N4" s="692" t="n"/>
      <c r="O4" s="692" t="n"/>
      <c r="P4" s="692" t="n"/>
      <c r="Q4" s="692" t="n"/>
      <c r="R4" s="692" t="n"/>
      <c r="S4" s="692" t="n"/>
      <c r="T4" s="692" t="n"/>
      <c r="U4" s="147" t="inlineStr">
        <is>
          <t>Athens 2004</t>
        </is>
      </c>
      <c r="V4" s="387" t="n">
        <v>0</v>
      </c>
      <c r="W4" s="692" t="n">
        <v>0</v>
      </c>
      <c r="X4" s="392" t="n">
        <v>0</v>
      </c>
      <c r="Y4" s="387" t="n">
        <v>4</v>
      </c>
      <c r="Z4" s="692" t="n">
        <v>4</v>
      </c>
      <c r="AA4" s="392" t="n">
        <v>2</v>
      </c>
      <c r="AB4" s="387" t="n">
        <v>10</v>
      </c>
      <c r="AC4" s="392" t="n">
        <v>10</v>
      </c>
      <c r="AG4" s="692" t="n"/>
      <c r="AH4" s="692" t="n"/>
      <c r="AI4" s="692" t="n"/>
      <c r="AJ4" s="692" t="n"/>
      <c r="AK4" s="692" t="n"/>
      <c r="AL4" s="692" t="n"/>
      <c r="AM4" s="692" t="n"/>
      <c r="AN4" s="692" t="n"/>
      <c r="AO4" s="692" t="n"/>
      <c r="AP4" s="692" t="n"/>
    </row>
    <row r="5">
      <c r="A5" s="692" t="n">
        <v>14</v>
      </c>
      <c r="B5" s="692" t="n"/>
      <c r="C5" s="692" t="n"/>
      <c r="D5" s="692" t="n"/>
      <c r="E5" s="692" t="n"/>
      <c r="F5" s="692" t="n"/>
      <c r="G5" s="692" t="n"/>
      <c r="H5" s="692" t="inlineStr">
        <is>
          <t>2:06.51</t>
        </is>
      </c>
      <c r="I5" s="692" t="n"/>
      <c r="J5" s="692" t="n"/>
      <c r="K5" s="692" t="inlineStr">
        <is>
          <t>4:25.42</t>
        </is>
      </c>
      <c r="L5" s="692" t="n"/>
      <c r="M5" s="692" t="n"/>
      <c r="N5" s="692" t="inlineStr">
        <is>
          <t>9:04.09</t>
        </is>
      </c>
      <c r="O5" s="692" t="n"/>
      <c r="P5" s="692" t="n"/>
      <c r="Q5" s="692" t="inlineStr">
        <is>
          <t>17:12.17</t>
        </is>
      </c>
      <c r="R5" s="692" t="n"/>
      <c r="S5" s="692" t="n"/>
      <c r="T5" s="692" t="n"/>
      <c r="U5" s="147" t="inlineStr">
        <is>
          <t>Beijing 2008</t>
        </is>
      </c>
      <c r="V5" s="387" t="n">
        <v>0</v>
      </c>
      <c r="W5" s="692" t="n">
        <v>0</v>
      </c>
      <c r="X5" s="392" t="n">
        <v>0</v>
      </c>
      <c r="Y5" s="387" t="n">
        <v>5</v>
      </c>
      <c r="Z5" s="692" t="n">
        <v>6</v>
      </c>
      <c r="AA5" s="392" t="n">
        <v>2</v>
      </c>
      <c r="AB5" s="387" t="n">
        <v>11</v>
      </c>
      <c r="AC5" s="392" t="n">
        <v>11</v>
      </c>
      <c r="AG5" s="692" t="n"/>
      <c r="AH5" s="692" t="n"/>
      <c r="AI5" s="692" t="n"/>
      <c r="AJ5" s="692" t="n"/>
      <c r="AK5" s="692" t="n"/>
      <c r="AL5" s="692" t="n"/>
      <c r="AM5" s="692" t="n"/>
      <c r="AN5" s="692" t="n"/>
      <c r="AO5" s="692" t="n"/>
      <c r="AP5" s="692" t="n"/>
    </row>
    <row r="6">
      <c r="A6" s="692" t="n">
        <v>15</v>
      </c>
      <c r="B6" s="692" t="n"/>
      <c r="C6" s="692" t="n"/>
      <c r="D6" s="692" t="n"/>
      <c r="E6" s="692" t="n">
        <v>56.85</v>
      </c>
      <c r="F6" s="692" t="n"/>
      <c r="G6" s="692" t="n"/>
      <c r="H6" s="692" t="inlineStr">
        <is>
          <t>2:02.98</t>
        </is>
      </c>
      <c r="I6" s="692" t="inlineStr">
        <is>
          <t>2:04.11</t>
        </is>
      </c>
      <c r="J6" s="692" t="n"/>
      <c r="K6" s="692" t="inlineStr">
        <is>
          <t>4:18.86</t>
        </is>
      </c>
      <c r="L6" s="692" t="inlineStr">
        <is>
          <t>4:20.27</t>
        </is>
      </c>
      <c r="M6" s="692" t="n"/>
      <c r="N6" s="692" t="inlineStr">
        <is>
          <t>8:51.31</t>
        </is>
      </c>
      <c r="O6" s="692" t="inlineStr">
        <is>
          <t>8:54.21</t>
        </is>
      </c>
      <c r="P6" s="692" t="n"/>
      <c r="Q6" s="692" t="inlineStr">
        <is>
          <t>16:52.17</t>
        </is>
      </c>
      <c r="R6" s="692" t="inlineStr">
        <is>
          <t>16:56.98</t>
        </is>
      </c>
      <c r="S6" s="692" t="n"/>
      <c r="T6" s="692" t="n"/>
      <c r="U6" s="147" t="inlineStr">
        <is>
          <t>London 2012</t>
        </is>
      </c>
      <c r="V6" s="387" t="n">
        <v>0</v>
      </c>
      <c r="W6" s="692" t="n">
        <v>1</v>
      </c>
      <c r="X6" s="392" t="n">
        <v>2</v>
      </c>
      <c r="Y6" s="387" t="n">
        <v>4</v>
      </c>
      <c r="Z6" s="692" t="n">
        <v>4</v>
      </c>
      <c r="AA6" s="392" t="n">
        <v>2</v>
      </c>
      <c r="AB6" s="387" t="n">
        <v>10</v>
      </c>
      <c r="AC6" s="392" t="n">
        <v>10</v>
      </c>
      <c r="AG6" s="692" t="n"/>
      <c r="AH6" s="692" t="n"/>
      <c r="AI6" s="692" t="n"/>
      <c r="AJ6" s="692" t="n"/>
      <c r="AK6" s="692" t="n"/>
      <c r="AL6" s="692" t="n"/>
      <c r="AM6" s="692" t="n"/>
      <c r="AN6" s="692" t="n"/>
      <c r="AO6" s="692" t="n"/>
      <c r="AP6" s="692" t="n"/>
    </row>
    <row r="7">
      <c r="A7" s="692" t="n">
        <v>16</v>
      </c>
      <c r="B7" s="692" t="n">
        <v>25.66</v>
      </c>
      <c r="C7" s="692" t="n"/>
      <c r="D7" s="692" t="n"/>
      <c r="E7" s="692" t="n">
        <v>55.76</v>
      </c>
      <c r="F7" s="692" t="n">
        <v>56.38</v>
      </c>
      <c r="G7" s="692" t="n"/>
      <c r="H7" s="158" t="inlineStr">
        <is>
          <t>2:00.67</t>
        </is>
      </c>
      <c r="I7" s="158" t="inlineStr">
        <is>
          <t>2:01.78</t>
        </is>
      </c>
      <c r="J7" s="158" t="inlineStr">
        <is>
          <t>2:02.25</t>
        </is>
      </c>
      <c r="K7" s="125" t="inlineStr">
        <is>
          <t>4:14.48</t>
        </is>
      </c>
      <c r="L7" s="125" t="inlineStr">
        <is>
          <t>4:15.87</t>
        </is>
      </c>
      <c r="M7" s="125" t="inlineStr">
        <is>
          <t>4:16.35</t>
        </is>
      </c>
      <c r="N7" s="692" t="inlineStr">
        <is>
          <t>8:42.92</t>
        </is>
      </c>
      <c r="O7" s="158" t="inlineStr">
        <is>
          <t>8:45.77</t>
        </is>
      </c>
      <c r="P7" s="158" t="inlineStr">
        <is>
          <t>8:46.60</t>
        </is>
      </c>
      <c r="Q7" s="125" t="inlineStr">
        <is>
          <t>16:38.19</t>
        </is>
      </c>
      <c r="R7" s="125" t="inlineStr">
        <is>
          <t>16:42.94</t>
        </is>
      </c>
      <c r="S7" s="125" t="inlineStr">
        <is>
          <t>16:45.20</t>
        </is>
      </c>
      <c r="T7" s="692" t="n"/>
      <c r="U7" s="147" t="inlineStr">
        <is>
          <t>Rio 2016</t>
        </is>
      </c>
      <c r="V7" s="387" t="n">
        <v>1</v>
      </c>
      <c r="W7" s="692" t="n">
        <v>1</v>
      </c>
      <c r="X7" s="392" t="n">
        <v>2</v>
      </c>
      <c r="Y7" s="387" t="n">
        <v>6</v>
      </c>
      <c r="Z7" s="692" t="n">
        <v>6</v>
      </c>
      <c r="AA7" s="392" t="n">
        <v>4</v>
      </c>
      <c r="AB7" s="387" t="n">
        <v>10</v>
      </c>
      <c r="AC7" s="392" t="n">
        <v>20</v>
      </c>
      <c r="AG7" s="692" t="n"/>
      <c r="AH7" s="692" t="n"/>
      <c r="AI7" s="692" t="n"/>
      <c r="AJ7" s="692" t="n"/>
      <c r="AK7" s="692" t="n"/>
      <c r="AL7" s="692" t="n"/>
      <c r="AM7" s="692" t="n"/>
      <c r="AN7" s="692" t="n"/>
      <c r="AO7" s="692" t="n"/>
      <c r="AP7" s="692" t="n"/>
    </row>
    <row r="8">
      <c r="A8" s="692" t="n">
        <v>17</v>
      </c>
      <c r="B8" s="150" t="n">
        <v>25.4</v>
      </c>
      <c r="C8" s="158" t="inlineStr">
        <is>
          <t>25.68</t>
        </is>
      </c>
      <c r="D8" s="158" t="n"/>
      <c r="E8" s="692" t="inlineStr">
        <is>
          <t>55.07</t>
        </is>
      </c>
      <c r="F8" s="158" t="inlineStr">
        <is>
          <t>55.68</t>
        </is>
      </c>
      <c r="G8" s="158" t="inlineStr">
        <is>
          <t>55.99</t>
        </is>
      </c>
      <c r="H8" s="692" t="inlineStr">
        <is>
          <t>1:59.20</t>
        </is>
      </c>
      <c r="I8" s="158" t="inlineStr">
        <is>
          <t>2:00.30</t>
        </is>
      </c>
      <c r="J8" s="158" t="inlineStr">
        <is>
          <t>2:00.76</t>
        </is>
      </c>
      <c r="K8" s="158" t="inlineStr">
        <is>
          <t>4:11.78</t>
        </is>
      </c>
      <c r="L8" s="158" t="inlineStr">
        <is>
          <t>4:13.16</t>
        </is>
      </c>
      <c r="M8" s="158" t="inlineStr">
        <is>
          <t>4:13.63</t>
        </is>
      </c>
      <c r="N8" s="692" t="inlineStr">
        <is>
          <t>8:37.81</t>
        </is>
      </c>
      <c r="O8" s="158" t="inlineStr">
        <is>
          <t>8:40.64</t>
        </is>
      </c>
      <c r="P8" s="158" t="inlineStr">
        <is>
          <t>8:41.46</t>
        </is>
      </c>
      <c r="Q8" s="692" t="inlineStr">
        <is>
          <t>16:29.65</t>
        </is>
      </c>
      <c r="R8" s="125" t="inlineStr">
        <is>
          <t>16:34.36</t>
        </is>
      </c>
      <c r="S8" s="125" t="inlineStr">
        <is>
          <t>16:36.60</t>
        </is>
      </c>
      <c r="T8" s="692" t="n"/>
      <c r="U8" s="147" t="inlineStr">
        <is>
          <t>Tokyo 2021</t>
        </is>
      </c>
      <c r="V8" s="387" t="n">
        <v>1</v>
      </c>
      <c r="W8" s="692" t="n">
        <v>2</v>
      </c>
      <c r="X8" s="392" t="n">
        <v>2</v>
      </c>
      <c r="Y8" s="387" t="n">
        <v>6</v>
      </c>
      <c r="Z8" s="692" t="n">
        <v>6</v>
      </c>
      <c r="AA8" s="392" t="n">
        <v>4</v>
      </c>
      <c r="AB8" s="387" t="n">
        <v>12</v>
      </c>
      <c r="AC8" s="392" t="n">
        <v>14</v>
      </c>
      <c r="AG8" s="692" t="n"/>
      <c r="AH8" s="692" t="n"/>
      <c r="AI8" s="692" t="n"/>
      <c r="AJ8" s="692" t="n"/>
      <c r="AK8" s="692" t="n"/>
      <c r="AL8" s="692" t="n"/>
      <c r="AM8" s="692" t="n"/>
      <c r="AN8" s="692" t="n"/>
      <c r="AO8" s="692" t="n"/>
      <c r="AP8" s="692" t="n"/>
    </row>
    <row r="9">
      <c r="A9" s="692" t="n">
        <v>18</v>
      </c>
      <c r="B9" s="158" t="inlineStr">
        <is>
          <t>25.20</t>
        </is>
      </c>
      <c r="C9" s="158" t="inlineStr">
        <is>
          <t>25.48</t>
        </is>
      </c>
      <c r="D9" s="158" t="inlineStr">
        <is>
          <t>25.64</t>
        </is>
      </c>
      <c r="E9" s="125" t="inlineStr">
        <is>
          <t>54.62</t>
        </is>
      </c>
      <c r="F9" s="125" t="inlineStr">
        <is>
          <t>55.22</t>
        </is>
      </c>
      <c r="G9" s="125" t="inlineStr">
        <is>
          <t>55.53</t>
        </is>
      </c>
      <c r="H9" s="158" t="inlineStr">
        <is>
          <t>1:58.23</t>
        </is>
      </c>
      <c r="I9" s="158" t="inlineStr">
        <is>
          <t>1:59.32</t>
        </is>
      </c>
      <c r="J9" s="158" t="inlineStr">
        <is>
          <t>1:59.77</t>
        </is>
      </c>
      <c r="K9" s="125" t="inlineStr">
        <is>
          <t>4:10.23</t>
        </is>
      </c>
      <c r="L9" s="125" t="inlineStr">
        <is>
          <t>4:11.60</t>
        </is>
      </c>
      <c r="M9" s="125" t="inlineStr">
        <is>
          <t>4:12.07</t>
        </is>
      </c>
      <c r="N9" s="158" t="inlineStr">
        <is>
          <t>8:34.62</t>
        </is>
      </c>
      <c r="O9" s="158" t="inlineStr">
        <is>
          <t>8:37.43</t>
        </is>
      </c>
      <c r="P9" s="158" t="inlineStr">
        <is>
          <t>8:38.25</t>
        </is>
      </c>
      <c r="Q9" s="158" t="inlineStr">
        <is>
          <t>16:24.56</t>
        </is>
      </c>
      <c r="R9" s="158" t="inlineStr">
        <is>
          <t>16:29.24</t>
        </is>
      </c>
      <c r="S9" s="158" t="inlineStr">
        <is>
          <t>16:31.47</t>
        </is>
      </c>
      <c r="T9" s="692" t="n"/>
      <c r="U9" s="152" t="inlineStr">
        <is>
          <t>Paris 2024</t>
        </is>
      </c>
      <c r="V9" s="400" t="n">
        <v>4</v>
      </c>
      <c r="W9" s="402" t="n">
        <v>1</v>
      </c>
      <c r="X9" s="405" t="n">
        <v>0</v>
      </c>
      <c r="Y9" s="400" t="n">
        <v>8</v>
      </c>
      <c r="Z9" s="402" t="n">
        <v>8</v>
      </c>
      <c r="AA9" s="405" t="n">
        <v>6</v>
      </c>
      <c r="AB9" s="400" t="n">
        <v>13</v>
      </c>
      <c r="AC9" s="405" t="n">
        <v>15</v>
      </c>
      <c r="AG9" s="692" t="n"/>
      <c r="AH9" s="692" t="n"/>
      <c r="AI9" s="692" t="n"/>
      <c r="AJ9" s="692" t="n"/>
      <c r="AK9" s="692" t="n"/>
      <c r="AL9" s="692" t="n"/>
      <c r="AM9" s="692" t="n"/>
      <c r="AN9" s="692" t="n"/>
      <c r="AO9" s="692" t="n"/>
      <c r="AP9" s="692" t="n"/>
    </row>
    <row r="10">
      <c r="A10" s="692" t="n">
        <v>19</v>
      </c>
      <c r="B10" s="125" t="inlineStr">
        <is>
          <t>25.02</t>
        </is>
      </c>
      <c r="C10" s="125" t="inlineStr">
        <is>
          <t>25.30</t>
        </is>
      </c>
      <c r="D10" s="125" t="inlineStr">
        <is>
          <t>25.47</t>
        </is>
      </c>
      <c r="E10" s="158" t="inlineStr">
        <is>
          <t>54.25</t>
        </is>
      </c>
      <c r="F10" s="158" t="inlineStr">
        <is>
          <t>54.85</t>
        </is>
      </c>
      <c r="G10" s="158" t="inlineStr">
        <is>
          <t>55.16</t>
        </is>
      </c>
      <c r="H10" s="692" t="n"/>
      <c r="I10" s="158" t="inlineStr">
        <is>
          <t>1:58.69</t>
        </is>
      </c>
      <c r="J10" s="158" t="inlineStr">
        <is>
          <t>1:59.15</t>
        </is>
      </c>
      <c r="K10" s="692" t="n"/>
      <c r="L10" s="158" t="inlineStr">
        <is>
          <t>4:10.74</t>
        </is>
      </c>
      <c r="M10" s="692" t="inlineStr">
        <is>
          <t>4:11.21</t>
        </is>
      </c>
      <c r="N10" s="692" t="n"/>
      <c r="O10" s="158" t="inlineStr">
        <is>
          <t>8:35.61</t>
        </is>
      </c>
      <c r="P10" s="158" t="inlineStr">
        <is>
          <t>8:36.42</t>
        </is>
      </c>
      <c r="Q10" s="692" t="n"/>
      <c r="R10" s="158" t="inlineStr">
        <is>
          <t>16:26.24</t>
        </is>
      </c>
      <c r="S10" s="158" t="inlineStr">
        <is>
          <t>16:28.46</t>
        </is>
      </c>
      <c r="T10" s="692" t="n"/>
      <c r="U10" s="692" t="n"/>
      <c r="V10" s="692" t="n"/>
      <c r="W10" s="692" t="n"/>
      <c r="X10" s="692" t="n"/>
      <c r="Y10" s="692" t="n"/>
      <c r="Z10" s="692" t="n"/>
      <c r="AA10" s="692" t="n"/>
      <c r="AB10" s="692" t="n"/>
      <c r="AC10" s="692" t="n"/>
      <c r="AD10" s="692" t="n"/>
      <c r="AE10" s="692" t="n"/>
      <c r="AF10" s="692" t="n"/>
      <c r="AG10" s="692" t="n"/>
      <c r="AH10" s="692" t="n"/>
      <c r="AI10" s="692" t="n"/>
      <c r="AJ10" s="692" t="n"/>
      <c r="AK10" s="692" t="n"/>
      <c r="AL10" s="692" t="n"/>
      <c r="AM10" s="692" t="n"/>
      <c r="AN10" s="692" t="n"/>
      <c r="AO10" s="692" t="n"/>
      <c r="AP10" s="692" t="n"/>
    </row>
    <row r="11">
      <c r="A11" s="692" t="n">
        <v>20</v>
      </c>
      <c r="B11" s="158" t="inlineStr">
        <is>
          <t>24.86</t>
        </is>
      </c>
      <c r="C11" s="158" t="inlineStr">
        <is>
          <t>25.14</t>
        </is>
      </c>
      <c r="D11" s="158" t="inlineStr">
        <is>
          <t>25.30</t>
        </is>
      </c>
      <c r="E11" s="692" t="n"/>
      <c r="F11" s="158" t="inlineStr">
        <is>
          <t>54.53</t>
        </is>
      </c>
      <c r="G11" s="158" t="inlineStr">
        <is>
          <t>54.83</t>
        </is>
      </c>
      <c r="H11" s="692" t="n"/>
      <c r="I11" s="158" t="inlineStr">
        <is>
          <t>1:58.23</t>
        </is>
      </c>
      <c r="J11" s="158" t="inlineStr">
        <is>
          <t>1:58.68</t>
        </is>
      </c>
      <c r="K11" s="692" t="n"/>
      <c r="L11" s="158" t="inlineStr">
        <is>
          <t>4:10.23</t>
        </is>
      </c>
      <c r="M11" s="158" t="inlineStr">
        <is>
          <t>4:10.70</t>
        </is>
      </c>
      <c r="N11" s="692" t="n"/>
      <c r="O11" s="158" t="inlineStr">
        <is>
          <t>8:34.62</t>
        </is>
      </c>
      <c r="P11" s="158" t="inlineStr">
        <is>
          <t>8:35.43</t>
        </is>
      </c>
      <c r="Q11" s="692" t="n"/>
      <c r="R11" s="692" t="inlineStr">
        <is>
          <t>16:24.56</t>
        </is>
      </c>
      <c r="S11" s="692" t="inlineStr">
        <is>
          <t>16:26.78</t>
        </is>
      </c>
      <c r="T11" s="692" t="n"/>
      <c r="U11" s="692" t="n"/>
      <c r="V11" s="692" t="n"/>
      <c r="W11" s="692" t="n"/>
      <c r="X11" s="692" t="n"/>
      <c r="Y11" s="692" t="n"/>
      <c r="Z11" s="692" t="n"/>
      <c r="AA11" s="692" t="n"/>
      <c r="AB11" s="692" t="n"/>
      <c r="AC11" s="692" t="n"/>
      <c r="AD11" s="692" t="n"/>
      <c r="AE11" s="692" t="n"/>
      <c r="AF11" s="692" t="n"/>
      <c r="AG11" s="692" t="n"/>
      <c r="AH11" s="692" t="n"/>
      <c r="AI11" s="692" t="n"/>
      <c r="AJ11" s="692" t="n"/>
      <c r="AK11" s="692" t="n"/>
      <c r="AL11" s="692" t="n"/>
      <c r="AM11" s="692" t="n"/>
      <c r="AN11" s="692" t="n"/>
      <c r="AO11" s="692" t="n"/>
      <c r="AP11" s="692" t="n"/>
    </row>
    <row r="12">
      <c r="A12" s="692" t="n">
        <v>21</v>
      </c>
      <c r="B12" s="158" t="n"/>
      <c r="C12" s="158" t="inlineStr">
        <is>
          <t>24.99</t>
        </is>
      </c>
      <c r="D12" s="158" t="inlineStr">
        <is>
          <t>25.15</t>
        </is>
      </c>
      <c r="E12" s="158" t="n"/>
      <c r="F12" s="158" t="inlineStr">
        <is>
          <t>54.25</t>
        </is>
      </c>
      <c r="G12" s="158" t="inlineStr">
        <is>
          <t>54.55</t>
        </is>
      </c>
      <c r="H12" s="692" t="n"/>
      <c r="I12" s="692" t="n"/>
      <c r="J12" s="158" t="inlineStr">
        <is>
          <t>1:58.39</t>
        </is>
      </c>
      <c r="K12" s="692" t="n"/>
      <c r="L12" s="692" t="n"/>
      <c r="M12" s="158" t="inlineStr">
        <is>
          <t>4:10.35</t>
        </is>
      </c>
      <c r="N12" s="692" t="n"/>
      <c r="O12" s="692" t="n"/>
      <c r="P12" s="158" t="inlineStr">
        <is>
          <t>8:34.90</t>
        </is>
      </c>
      <c r="Q12" s="692" t="n"/>
      <c r="R12" s="692" t="n"/>
      <c r="S12" s="158" t="inlineStr">
        <is>
          <t>16:25.53</t>
        </is>
      </c>
      <c r="T12" s="692" t="n"/>
      <c r="U12" s="157" t="inlineStr">
        <is>
          <t>Rio:  1st Gold Medal in Canadian Swimming since 1992</t>
        </is>
      </c>
      <c r="W12" s="692" t="n"/>
      <c r="X12" s="692" t="n"/>
      <c r="Y12" s="692" t="n"/>
      <c r="Z12" s="692" t="n"/>
      <c r="AA12" s="692" t="n"/>
      <c r="AB12" s="692" t="n"/>
      <c r="AC12" s="692" t="n"/>
      <c r="AD12" s="692" t="n"/>
      <c r="AE12" s="692" t="n"/>
      <c r="AF12" s="692" t="n"/>
      <c r="AG12" s="692" t="n"/>
      <c r="AH12" s="692" t="n"/>
      <c r="AI12" s="692" t="n"/>
      <c r="AJ12" s="692" t="n"/>
      <c r="AK12" s="692" t="n"/>
      <c r="AL12" s="692" t="n"/>
      <c r="AM12" s="692" t="n"/>
      <c r="AN12" s="692" t="n"/>
      <c r="AO12" s="692" t="n"/>
      <c r="AP12" s="692" t="n"/>
    </row>
    <row r="13">
      <c r="A13" s="692" t="n">
        <v>22</v>
      </c>
      <c r="B13" s="158" t="n"/>
      <c r="C13" s="158" t="inlineStr">
        <is>
          <t>24.86</t>
        </is>
      </c>
      <c r="D13" s="158" t="inlineStr">
        <is>
          <t>25.02</t>
        </is>
      </c>
      <c r="E13" s="158" t="n"/>
      <c r="F13" s="692" t="n"/>
      <c r="G13" s="158" t="inlineStr">
        <is>
          <t>54.36</t>
        </is>
      </c>
      <c r="H13" s="692" t="n"/>
      <c r="I13" s="692" t="n"/>
      <c r="J13" s="158" t="inlineStr">
        <is>
          <t>1:58.23</t>
        </is>
      </c>
      <c r="K13" s="692" t="n"/>
      <c r="L13" s="692" t="n"/>
      <c r="M13" s="158" t="inlineStr">
        <is>
          <t>4:10.23</t>
        </is>
      </c>
      <c r="N13" s="692" t="n"/>
      <c r="O13" s="692" t="n"/>
      <c r="P13" s="158" t="inlineStr">
        <is>
          <t>8:34.62</t>
        </is>
      </c>
      <c r="Q13" s="692" t="n"/>
      <c r="R13" s="692" t="n"/>
      <c r="S13" s="692" t="inlineStr">
        <is>
          <t>16:24.56</t>
        </is>
      </c>
      <c r="T13" s="692" t="n"/>
      <c r="U13" s="157" t="inlineStr">
        <is>
          <t>Tokyo:  Back to Back Gold Medals from different athletes, first time ever</t>
        </is>
      </c>
      <c r="V13" s="157" t="n"/>
      <c r="W13" s="692" t="n"/>
      <c r="X13" s="692" t="n"/>
      <c r="Y13" s="692" t="n"/>
      <c r="Z13" s="692" t="n"/>
      <c r="AA13" s="692" t="n"/>
      <c r="AB13" s="692" t="n"/>
      <c r="AC13" s="692" t="n"/>
      <c r="AD13" s="692" t="n"/>
      <c r="AE13" s="692" t="n"/>
      <c r="AF13" s="692" t="n"/>
      <c r="AG13" s="692" t="n"/>
      <c r="AH13" s="692" t="n"/>
      <c r="AI13" s="692" t="n"/>
      <c r="AJ13" s="692" t="n"/>
      <c r="AK13" s="692" t="n"/>
      <c r="AL13" s="692" t="n"/>
      <c r="AM13" s="692" t="n"/>
      <c r="AN13" s="692" t="n"/>
      <c r="AO13" s="692" t="n"/>
      <c r="AP13" s="692" t="n"/>
    </row>
    <row r="14">
      <c r="A14" s="692" t="n">
        <v>23</v>
      </c>
      <c r="B14" s="158" t="n"/>
      <c r="C14" s="158" t="n"/>
      <c r="D14" s="158" t="inlineStr">
        <is>
          <t>24.93</t>
        </is>
      </c>
      <c r="E14" s="158" t="n"/>
      <c r="F14" s="158" t="n"/>
      <c r="G14" s="158" t="inlineStr">
        <is>
          <t>54.25</t>
        </is>
      </c>
      <c r="H14" s="158" t="n"/>
      <c r="I14" s="692" t="n"/>
      <c r="J14" s="692" t="n"/>
      <c r="K14" s="692" t="n"/>
      <c r="L14" s="692" t="n"/>
      <c r="M14" s="692" t="n"/>
      <c r="N14" s="692" t="n"/>
      <c r="O14" s="692" t="n"/>
      <c r="P14" s="692" t="n"/>
      <c r="Q14" s="692" t="n"/>
      <c r="R14" s="692" t="n"/>
      <c r="S14" s="692" t="n"/>
      <c r="T14" s="692" t="n"/>
      <c r="U14" s="157" t="inlineStr">
        <is>
          <t>Tokyo and Paris: Back to Back best swimming perforamnces in the countrey's history</t>
        </is>
      </c>
      <c r="V14" s="692" t="n"/>
      <c r="W14" s="692" t="n"/>
      <c r="X14" s="692" t="n"/>
      <c r="Y14" s="692" t="n"/>
      <c r="Z14" s="692" t="n"/>
      <c r="AA14" s="692" t="n"/>
      <c r="AB14" s="692" t="n"/>
      <c r="AC14" s="692" t="n"/>
      <c r="AD14" s="692" t="n"/>
      <c r="AE14" s="692" t="n"/>
      <c r="AF14" s="692" t="n"/>
      <c r="AG14" s="692" t="n"/>
      <c r="AH14" s="692" t="n"/>
      <c r="AI14" s="692" t="n"/>
      <c r="AJ14" s="692" t="n"/>
      <c r="AK14" s="692" t="n"/>
      <c r="AL14" s="692" t="n"/>
      <c r="AM14" s="692" t="n"/>
      <c r="AN14" s="692" t="n"/>
      <c r="AO14" s="692" t="n"/>
      <c r="AP14" s="692" t="n"/>
    </row>
    <row r="15">
      <c r="A15" s="692" t="n">
        <v>24</v>
      </c>
      <c r="B15" s="158" t="n"/>
      <c r="C15" s="158" t="n"/>
      <c r="D15" s="158" t="inlineStr">
        <is>
          <t>24.86</t>
        </is>
      </c>
      <c r="E15" s="125" t="n"/>
      <c r="F15" s="125" t="n"/>
      <c r="G15" s="158" t="n"/>
      <c r="H15" s="692" t="n"/>
      <c r="I15" s="692" t="n"/>
      <c r="J15" s="692" t="n"/>
      <c r="K15" s="692" t="n"/>
      <c r="L15" s="692" t="n"/>
      <c r="M15" s="692" t="n"/>
      <c r="N15" s="692" t="n"/>
      <c r="O15" s="692" t="n"/>
      <c r="P15" s="692" t="n"/>
      <c r="Q15" s="692" t="n"/>
      <c r="R15" s="692" t="n"/>
      <c r="S15" s="692" t="n"/>
      <c r="T15" s="692" t="n"/>
      <c r="U15" s="692" t="n"/>
      <c r="V15" s="692" t="n"/>
      <c r="W15" s="692" t="n"/>
      <c r="X15" s="692" t="n"/>
      <c r="Y15" s="692" t="n"/>
      <c r="Z15" s="692" t="n"/>
      <c r="AA15" s="692" t="n"/>
      <c r="AB15" s="692" t="n"/>
      <c r="AC15" s="692" t="n"/>
      <c r="AD15" s="692" t="n"/>
      <c r="AE15" s="692" t="n"/>
      <c r="AF15" s="692" t="n"/>
      <c r="AG15" s="692" t="n"/>
      <c r="AH15" s="692" t="n"/>
      <c r="AI15" s="692" t="n"/>
      <c r="AJ15" s="692" t="n"/>
      <c r="AK15" s="692" t="n"/>
      <c r="AL15" s="692" t="n"/>
      <c r="AM15" s="692" t="n"/>
      <c r="AN15" s="692" t="n"/>
      <c r="AO15" s="692" t="n"/>
      <c r="AP15" s="692" t="n"/>
    </row>
    <row r="16">
      <c r="A16" s="692" t="n">
        <v>25</v>
      </c>
      <c r="B16" s="125" t="n"/>
      <c r="C16" s="125" t="n"/>
      <c r="D16" s="125" t="n"/>
      <c r="E16" s="692" t="n"/>
      <c r="F16" s="692" t="n"/>
      <c r="G16" s="692" t="n"/>
      <c r="H16" s="692" t="n"/>
      <c r="I16" s="692" t="n"/>
      <c r="J16" s="692" t="n"/>
      <c r="K16" s="692" t="n"/>
      <c r="L16" s="692" t="n"/>
      <c r="M16" s="692" t="n"/>
      <c r="N16" s="692" t="n"/>
      <c r="O16" s="692" t="n"/>
      <c r="P16" s="692" t="n"/>
      <c r="Q16" s="692" t="n"/>
      <c r="R16" s="692" t="n"/>
      <c r="S16" s="692" t="n"/>
      <c r="T16" s="692" t="n"/>
      <c r="U16" s="692" t="n"/>
      <c r="V16" s="692" t="n"/>
      <c r="W16" s="692" t="n"/>
      <c r="X16" s="692" t="n"/>
      <c r="Y16" s="692" t="n"/>
      <c r="Z16" s="692" t="n"/>
      <c r="AA16" s="692" t="n"/>
      <c r="AB16" s="692" t="n"/>
      <c r="AC16" s="692" t="n"/>
      <c r="AD16" s="692" t="n"/>
      <c r="AE16" s="692" t="n"/>
      <c r="AF16" s="692" t="n"/>
      <c r="AG16" s="692" t="n"/>
      <c r="AH16" s="692" t="n"/>
      <c r="AI16" s="692" t="n"/>
      <c r="AJ16" s="692" t="n"/>
      <c r="AK16" s="692" t="n"/>
      <c r="AL16" s="692" t="n"/>
      <c r="AM16" s="692" t="n"/>
      <c r="AN16" s="692" t="n"/>
      <c r="AO16" s="692" t="n"/>
      <c r="AP16" s="692" t="n"/>
    </row>
    <row r="17">
      <c r="A17" s="692" t="n"/>
      <c r="B17" s="692" t="n"/>
      <c r="C17" s="692" t="n"/>
      <c r="D17" s="692" t="n"/>
      <c r="E17" s="692" t="n"/>
      <c r="F17" s="692" t="n"/>
      <c r="G17" s="692" t="n"/>
      <c r="H17" s="692" t="n"/>
      <c r="I17" s="692" t="n"/>
      <c r="J17" s="692" t="n"/>
      <c r="K17" s="692" t="n"/>
      <c r="L17" s="692" t="n"/>
      <c r="M17" s="692" t="n"/>
      <c r="N17" s="692" t="n"/>
      <c r="O17" s="692" t="n"/>
      <c r="P17" s="692" t="n"/>
      <c r="Q17" s="692" t="n"/>
      <c r="R17" s="692" t="n"/>
      <c r="S17" s="692" t="n"/>
      <c r="T17" s="692" t="n"/>
      <c r="U17" s="692" t="n"/>
      <c r="V17" s="692" t="n"/>
      <c r="W17" s="692" t="n"/>
      <c r="X17" s="692" t="n"/>
      <c r="Y17" s="692" t="n"/>
      <c r="Z17" s="692" t="n"/>
      <c r="AA17" s="692" t="n"/>
      <c r="AB17" s="692" t="n"/>
      <c r="AC17" s="692" t="n"/>
      <c r="AD17" s="692" t="n"/>
      <c r="AE17" s="692" t="n"/>
      <c r="AF17" s="692" t="n"/>
      <c r="AG17" s="692" t="n"/>
      <c r="AH17" s="692" t="n"/>
      <c r="AI17" s="692" t="n"/>
      <c r="AJ17" s="692" t="n"/>
      <c r="AK17" s="692" t="n"/>
      <c r="AL17" s="692" t="n"/>
      <c r="AM17" s="692" t="n"/>
      <c r="AN17" s="692" t="n"/>
      <c r="AO17" s="692" t="n"/>
      <c r="AP17" s="692" t="n"/>
    </row>
    <row r="18">
      <c r="A18" s="692" t="n"/>
      <c r="B18" s="692" t="inlineStr">
        <is>
          <t>Female</t>
        </is>
      </c>
      <c r="C18" s="692" t="inlineStr">
        <is>
          <t>Female</t>
        </is>
      </c>
      <c r="D18" s="692" t="inlineStr">
        <is>
          <t>Female</t>
        </is>
      </c>
      <c r="E18" s="692" t="inlineStr">
        <is>
          <t>Female</t>
        </is>
      </c>
      <c r="F18" s="692" t="inlineStr">
        <is>
          <t>Female</t>
        </is>
      </c>
      <c r="G18" s="692" t="inlineStr">
        <is>
          <t>Female</t>
        </is>
      </c>
      <c r="H18" s="692" t="inlineStr">
        <is>
          <t>Female</t>
        </is>
      </c>
      <c r="I18" s="692" t="inlineStr">
        <is>
          <t>Female</t>
        </is>
      </c>
      <c r="J18" s="692" t="inlineStr">
        <is>
          <t>Female</t>
        </is>
      </c>
      <c r="K18" s="692" t="inlineStr">
        <is>
          <t>Female</t>
        </is>
      </c>
      <c r="L18" s="692" t="inlineStr">
        <is>
          <t>Female</t>
        </is>
      </c>
      <c r="M18" s="692" t="inlineStr">
        <is>
          <t>Female</t>
        </is>
      </c>
      <c r="N18" s="692" t="inlineStr">
        <is>
          <t>Female</t>
        </is>
      </c>
      <c r="O18" s="692" t="inlineStr">
        <is>
          <t>Female</t>
        </is>
      </c>
      <c r="P18" s="692" t="inlineStr">
        <is>
          <t>Female</t>
        </is>
      </c>
      <c r="Q18" s="692" t="inlineStr">
        <is>
          <t>Female</t>
        </is>
      </c>
      <c r="R18" s="692" t="inlineStr">
        <is>
          <t>Female</t>
        </is>
      </c>
      <c r="S18" s="692" t="inlineStr">
        <is>
          <t>Female</t>
        </is>
      </c>
      <c r="T18" s="692" t="n"/>
      <c r="U18" s="692" t="n"/>
      <c r="V18" s="692" t="n"/>
      <c r="W18" s="692" t="n"/>
      <c r="X18" s="692" t="n"/>
      <c r="Y18" s="692" t="n"/>
      <c r="Z18" s="692" t="n"/>
      <c r="AA18" s="692" t="n"/>
      <c r="AB18" s="692" t="n"/>
      <c r="AC18" s="692" t="n"/>
      <c r="AD18" s="692" t="n"/>
      <c r="AE18" s="692" t="n"/>
      <c r="AF18" s="692" t="n"/>
      <c r="AG18" s="692" t="n"/>
      <c r="AH18" s="692" t="n"/>
      <c r="AI18" s="692" t="n"/>
      <c r="AJ18" s="692" t="n"/>
      <c r="AK18" s="692" t="n"/>
      <c r="AL18" s="692" t="n"/>
      <c r="AM18" s="692" t="n"/>
      <c r="AN18" s="692" t="n"/>
      <c r="AO18" s="692" t="n"/>
      <c r="AP18" s="692" t="n"/>
    </row>
    <row r="19">
      <c r="A19" s="692" t="n"/>
      <c r="B19" s="692" t="inlineStr">
        <is>
          <t>50 Back</t>
        </is>
      </c>
      <c r="C19" s="692" t="inlineStr">
        <is>
          <t>50 Back</t>
        </is>
      </c>
      <c r="D19" s="692" t="inlineStr">
        <is>
          <t>50 Back</t>
        </is>
      </c>
      <c r="E19" s="692" t="inlineStr">
        <is>
          <t>100 Back</t>
        </is>
      </c>
      <c r="F19" s="692" t="inlineStr">
        <is>
          <t>100 Back</t>
        </is>
      </c>
      <c r="G19" s="692" t="inlineStr">
        <is>
          <t>100 Back</t>
        </is>
      </c>
      <c r="H19" s="692" t="inlineStr">
        <is>
          <t>200 Back</t>
        </is>
      </c>
      <c r="I19" s="692" t="inlineStr">
        <is>
          <t>200 Back</t>
        </is>
      </c>
      <c r="J19" s="692" t="inlineStr">
        <is>
          <t>200 Back</t>
        </is>
      </c>
      <c r="K19" s="692" t="inlineStr">
        <is>
          <t>50 Breast</t>
        </is>
      </c>
      <c r="L19" s="692" t="inlineStr">
        <is>
          <t>50 Breast</t>
        </is>
      </c>
      <c r="M19" s="692" t="inlineStr">
        <is>
          <t>50 Breast</t>
        </is>
      </c>
      <c r="N19" s="692" t="inlineStr">
        <is>
          <t>100 Breast</t>
        </is>
      </c>
      <c r="O19" s="692" t="inlineStr">
        <is>
          <t>100 Breast</t>
        </is>
      </c>
      <c r="P19" s="692" t="inlineStr">
        <is>
          <t>100 Breast</t>
        </is>
      </c>
      <c r="Q19" s="692" t="inlineStr">
        <is>
          <t>200 Breast</t>
        </is>
      </c>
      <c r="R19" s="692" t="inlineStr">
        <is>
          <t>200 Breast</t>
        </is>
      </c>
      <c r="S19" s="692" t="inlineStr">
        <is>
          <t>200 Breast</t>
        </is>
      </c>
      <c r="T19" s="692" t="n"/>
      <c r="U19" s="692" t="n"/>
      <c r="V19" s="692" t="n"/>
      <c r="W19" s="692" t="n"/>
      <c r="X19" s="692" t="n"/>
      <c r="Y19" s="692" t="n"/>
      <c r="Z19" s="692" t="n"/>
      <c r="AA19" s="692" t="n"/>
      <c r="AB19" s="692" t="n"/>
      <c r="AC19" s="692" t="n"/>
      <c r="AD19" s="692" t="n"/>
      <c r="AE19" s="692" t="n"/>
      <c r="AF19" s="692" t="n"/>
      <c r="AG19" s="692" t="n"/>
      <c r="AH19" s="692" t="n"/>
      <c r="AI19" s="692" t="n"/>
      <c r="AJ19" s="692" t="n"/>
      <c r="AK19" s="692" t="n"/>
      <c r="AL19" s="692" t="n"/>
      <c r="AM19" s="692" t="n"/>
      <c r="AN19" s="692" t="n"/>
      <c r="AO19" s="692" t="n"/>
      <c r="AP19" s="692" t="n"/>
    </row>
    <row r="20">
      <c r="A20" s="692" t="n"/>
      <c r="B20" s="692" t="inlineStr">
        <is>
          <t>Track 1</t>
        </is>
      </c>
      <c r="C20" s="692" t="inlineStr">
        <is>
          <t>Track 2</t>
        </is>
      </c>
      <c r="D20" s="692" t="inlineStr">
        <is>
          <t>Track 3</t>
        </is>
      </c>
      <c r="E20" s="692" t="inlineStr">
        <is>
          <t>Track 1</t>
        </is>
      </c>
      <c r="F20" s="692" t="inlineStr">
        <is>
          <t>Track 2</t>
        </is>
      </c>
      <c r="G20" s="692" t="inlineStr">
        <is>
          <t>Track 3</t>
        </is>
      </c>
      <c r="H20" s="692" t="inlineStr">
        <is>
          <t>Track 1</t>
        </is>
      </c>
      <c r="I20" s="692" t="inlineStr">
        <is>
          <t>Track 2</t>
        </is>
      </c>
      <c r="J20" s="692" t="inlineStr">
        <is>
          <t>Track 3</t>
        </is>
      </c>
      <c r="K20" s="692" t="inlineStr">
        <is>
          <t>Track 1</t>
        </is>
      </c>
      <c r="L20" s="692" t="inlineStr">
        <is>
          <t>Track 2</t>
        </is>
      </c>
      <c r="M20" s="692" t="inlineStr">
        <is>
          <t>Track 3</t>
        </is>
      </c>
      <c r="N20" s="692" t="inlineStr">
        <is>
          <t>Track 1</t>
        </is>
      </c>
      <c r="O20" s="692" t="inlineStr">
        <is>
          <t>Track 2</t>
        </is>
      </c>
      <c r="P20" s="692" t="inlineStr">
        <is>
          <t>Track 3</t>
        </is>
      </c>
      <c r="Q20" s="692" t="inlineStr">
        <is>
          <t>Track 1</t>
        </is>
      </c>
      <c r="R20" s="692" t="inlineStr">
        <is>
          <t>Track 2</t>
        </is>
      </c>
      <c r="S20" s="692" t="inlineStr">
        <is>
          <t>Track 3</t>
        </is>
      </c>
      <c r="T20" s="692" t="n"/>
      <c r="U20" s="692" t="n"/>
      <c r="V20" s="692" t="n"/>
      <c r="W20" s="692" t="n"/>
      <c r="X20" s="692" t="n"/>
      <c r="Y20" s="692" t="n"/>
      <c r="Z20" s="692" t="n"/>
      <c r="AA20" s="692" t="n"/>
      <c r="AB20" s="692" t="n"/>
      <c r="AC20" s="692" t="n"/>
      <c r="AD20" s="692" t="n"/>
      <c r="AE20" s="692" t="n"/>
      <c r="AF20" s="692" t="n"/>
      <c r="AG20" s="692" t="n"/>
      <c r="AH20" s="692" t="n"/>
      <c r="AI20" s="692" t="n"/>
      <c r="AJ20" s="692" t="n"/>
      <c r="AK20" s="692" t="n"/>
      <c r="AL20" s="692" t="n"/>
      <c r="AM20" s="692" t="n"/>
      <c r="AN20" s="692" t="n"/>
      <c r="AO20" s="692" t="n"/>
      <c r="AP20" s="692" t="n"/>
    </row>
    <row r="21">
      <c r="A21" s="692" t="n">
        <v>13</v>
      </c>
      <c r="B21" s="692" t="n"/>
      <c r="C21" s="692" t="n"/>
      <c r="D21" s="692" t="n"/>
      <c r="E21" s="158" t="inlineStr">
        <is>
          <t>1:05.85</t>
        </is>
      </c>
      <c r="F21" s="692" t="n"/>
      <c r="G21" s="692" t="n"/>
      <c r="H21" s="158" t="inlineStr">
        <is>
          <t>2:23.84</t>
        </is>
      </c>
      <c r="I21" s="692" t="n"/>
      <c r="J21" s="692" t="n"/>
      <c r="K21" s="692" t="n"/>
      <c r="L21" s="692" t="n"/>
      <c r="M21" s="692" t="n"/>
      <c r="N21" s="692" t="n"/>
      <c r="O21" s="692" t="n"/>
      <c r="P21" s="692" t="n"/>
      <c r="Q21" s="692" t="n"/>
      <c r="R21" s="692" t="n"/>
      <c r="S21" s="692" t="n"/>
      <c r="T21" s="692" t="n"/>
      <c r="U21" s="692" t="n"/>
      <c r="V21" s="692" t="n"/>
      <c r="W21" s="692" t="n"/>
      <c r="X21" s="692" t="n"/>
      <c r="Y21" s="692" t="n"/>
      <c r="Z21" s="692" t="n"/>
      <c r="AA21" s="692" t="n"/>
      <c r="AB21" s="692" t="n"/>
      <c r="AC21" s="692" t="n"/>
      <c r="AD21" s="692" t="n"/>
      <c r="AE21" s="692" t="n"/>
      <c r="AF21" s="692" t="n"/>
      <c r="AG21" s="692" t="n"/>
      <c r="AH21" s="692" t="n"/>
      <c r="AI21" s="692" t="n"/>
      <c r="AJ21" s="692" t="n"/>
      <c r="AK21" s="692" t="n"/>
      <c r="AL21" s="692" t="n"/>
      <c r="AM21" s="692" t="n"/>
      <c r="AN21" s="692" t="n"/>
      <c r="AO21" s="692" t="n"/>
      <c r="AP21" s="692" t="n"/>
    </row>
    <row r="22">
      <c r="A22" s="692" t="n">
        <v>14</v>
      </c>
      <c r="B22" s="692" t="n"/>
      <c r="C22" s="692" t="n"/>
      <c r="D22" s="692" t="n"/>
      <c r="E22" s="158" t="inlineStr">
        <is>
          <t>1:03.87</t>
        </is>
      </c>
      <c r="F22" s="158" t="inlineStr">
        <is>
          <t>1:04.75</t>
        </is>
      </c>
      <c r="G22" s="692" t="n"/>
      <c r="H22" s="158" t="inlineStr">
        <is>
          <t>2:18.64</t>
        </is>
      </c>
      <c r="I22" s="158" t="inlineStr">
        <is>
          <t>2:20.52</t>
        </is>
      </c>
      <c r="J22" s="158" t="n"/>
      <c r="K22" s="158" t="n"/>
      <c r="L22" s="158" t="n"/>
      <c r="M22" s="158" t="n"/>
      <c r="N22" s="158" t="n"/>
      <c r="O22" s="158" t="n"/>
      <c r="P22" s="158" t="n"/>
      <c r="Q22" s="158" t="n"/>
      <c r="R22" s="158" t="n"/>
      <c r="S22" s="692" t="n"/>
      <c r="T22" s="692" t="n"/>
      <c r="U22" s="692" t="n"/>
      <c r="V22" s="692" t="n"/>
      <c r="W22" s="692" t="n"/>
      <c r="X22" s="692" t="n"/>
      <c r="Y22" s="692" t="n"/>
      <c r="Z22" s="692" t="n"/>
      <c r="AA22" s="692" t="n"/>
      <c r="AB22" s="692" t="n"/>
      <c r="AC22" s="692" t="n"/>
      <c r="AD22" s="692" t="n"/>
      <c r="AE22" s="692" t="n"/>
      <c r="AF22" s="692" t="n"/>
      <c r="AG22" s="692" t="n"/>
      <c r="AH22" s="692" t="n"/>
      <c r="AI22" s="692" t="n"/>
      <c r="AJ22" s="692" t="n"/>
      <c r="AK22" s="692" t="n"/>
      <c r="AL22" s="692" t="n"/>
      <c r="AM22" s="692" t="n"/>
      <c r="AN22" s="692" t="n"/>
      <c r="AO22" s="692" t="n"/>
      <c r="AP22" s="692" t="n"/>
    </row>
    <row r="23">
      <c r="A23" s="692" t="n">
        <v>15</v>
      </c>
      <c r="B23" s="158" t="inlineStr">
        <is>
          <t>29.29</t>
        </is>
      </c>
      <c r="C23" s="692" t="n"/>
      <c r="D23" s="692" t="n"/>
      <c r="E23" s="158" t="inlineStr">
        <is>
          <t>1:02.34</t>
        </is>
      </c>
      <c r="F23" s="158" t="inlineStr">
        <is>
          <t>1:03.20</t>
        </is>
      </c>
      <c r="G23" s="158" t="inlineStr">
        <is>
          <t>1:03.66</t>
        </is>
      </c>
      <c r="H23" s="158" t="inlineStr">
        <is>
          <t>2:14.97</t>
        </is>
      </c>
      <c r="I23" s="158" t="inlineStr">
        <is>
          <t>2:16.80</t>
        </is>
      </c>
      <c r="J23" s="158" t="inlineStr">
        <is>
          <t>2:17.67</t>
        </is>
      </c>
      <c r="K23" s="692" t="n"/>
      <c r="L23" s="692" t="n"/>
      <c r="M23" s="158" t="n"/>
      <c r="N23" s="158" t="inlineStr">
        <is>
          <t>1:09.68</t>
        </is>
      </c>
      <c r="O23" s="692" t="n"/>
      <c r="P23" s="158" t="n"/>
      <c r="Q23" s="158" t="inlineStr">
        <is>
          <t>2:31.21</t>
        </is>
      </c>
      <c r="R23" s="158" t="n"/>
      <c r="S23" s="692" t="n"/>
      <c r="T23" s="692" t="n"/>
      <c r="U23" s="692" t="n"/>
      <c r="V23" s="692" t="n"/>
      <c r="W23" s="692" t="n"/>
      <c r="X23" s="692" t="n"/>
      <c r="Y23" s="692" t="n"/>
      <c r="Z23" s="692" t="n"/>
      <c r="AA23" s="692" t="n"/>
      <c r="AB23" s="692" t="n"/>
      <c r="AC23" s="692" t="n"/>
      <c r="AD23" s="692" t="n"/>
      <c r="AE23" s="692" t="n"/>
      <c r="AF23" s="692" t="n"/>
      <c r="AG23" s="692" t="n"/>
      <c r="AH23" s="692" t="n"/>
      <c r="AI23" s="692" t="n"/>
      <c r="AJ23" s="692" t="n"/>
      <c r="AK23" s="692" t="n"/>
      <c r="AL23" s="692" t="n"/>
      <c r="AM23" s="692" t="n"/>
      <c r="AN23" s="692" t="n"/>
      <c r="AO23" s="692" t="n"/>
      <c r="AP23" s="692" t="n"/>
    </row>
    <row r="24">
      <c r="A24" s="692" t="n">
        <v>16</v>
      </c>
      <c r="B24" s="158" t="inlineStr">
        <is>
          <t>28.78</t>
        </is>
      </c>
      <c r="C24" s="158" t="inlineStr">
        <is>
          <t>29.02</t>
        </is>
      </c>
      <c r="D24" s="158" t="n"/>
      <c r="E24" s="158" t="inlineStr">
        <is>
          <t>1:01.22</t>
        </is>
      </c>
      <c r="F24" s="158" t="inlineStr">
        <is>
          <t>1:02.06</t>
        </is>
      </c>
      <c r="G24" s="158" t="inlineStr">
        <is>
          <t>1:02.52</t>
        </is>
      </c>
      <c r="H24" s="158" t="inlineStr">
        <is>
          <t>2:12.63</t>
        </is>
      </c>
      <c r="I24" s="158" t="inlineStr">
        <is>
          <t>2:14.43</t>
        </is>
      </c>
      <c r="J24" s="158" t="inlineStr">
        <is>
          <t>2:15.28</t>
        </is>
      </c>
      <c r="K24" s="158" t="inlineStr">
        <is>
          <t>31.56</t>
        </is>
      </c>
      <c r="L24" s="158" t="n"/>
      <c r="M24" s="158" t="n"/>
      <c r="N24" s="158" t="inlineStr">
        <is>
          <t>1:08.45</t>
        </is>
      </c>
      <c r="O24" s="158" t="inlineStr">
        <is>
          <t>1:09.15</t>
        </is>
      </c>
      <c r="P24" s="158" t="n"/>
      <c r="Q24" s="158" t="inlineStr">
        <is>
          <t>2:28.85</t>
        </is>
      </c>
      <c r="R24" s="158" t="inlineStr">
        <is>
          <t>2:30.01</t>
        </is>
      </c>
      <c r="S24" s="158" t="n"/>
      <c r="T24" s="692" t="n"/>
      <c r="U24" s="692" t="n"/>
      <c r="V24" s="692" t="n"/>
      <c r="W24" s="692" t="n"/>
      <c r="X24" s="692" t="n"/>
      <c r="Y24" s="692" t="n"/>
      <c r="Z24" s="692" t="n"/>
      <c r="AA24" s="692" t="n"/>
      <c r="AB24" s="692" t="n"/>
      <c r="AC24" s="692" t="n"/>
      <c r="AD24" s="692" t="n"/>
      <c r="AE24" s="692" t="n"/>
      <c r="AF24" s="692" t="n"/>
      <c r="AG24" s="692" t="n"/>
      <c r="AH24" s="692" t="n"/>
      <c r="AI24" s="692" t="n"/>
      <c r="AJ24" s="692" t="n"/>
      <c r="AK24" s="692" t="n"/>
      <c r="AL24" s="692" t="n"/>
      <c r="AM24" s="692" t="n"/>
      <c r="AN24" s="692" t="n"/>
      <c r="AO24" s="692" t="n"/>
      <c r="AP24" s="692" t="n"/>
    </row>
    <row r="25">
      <c r="A25" s="692" t="n">
        <v>17</v>
      </c>
      <c r="B25" s="158" t="inlineStr">
        <is>
          <t>28.52</t>
        </is>
      </c>
      <c r="C25" s="158" t="inlineStr">
        <is>
          <t>28.76</t>
        </is>
      </c>
      <c r="D25" s="158" t="inlineStr">
        <is>
          <t>28.90</t>
        </is>
      </c>
      <c r="E25" s="158" t="inlineStr">
        <is>
          <t>1:00.46</t>
        </is>
      </c>
      <c r="F25" s="158" t="inlineStr">
        <is>
          <t>1:01.29</t>
        </is>
      </c>
      <c r="G25" s="158" t="inlineStr">
        <is>
          <t>1:01.74</t>
        </is>
      </c>
      <c r="H25" s="158" t="inlineStr">
        <is>
          <t>2:11.08</t>
        </is>
      </c>
      <c r="I25" s="158" t="inlineStr">
        <is>
          <t>2:12.86</t>
        </is>
      </c>
      <c r="J25" s="158" t="inlineStr">
        <is>
          <t>2:13.70</t>
        </is>
      </c>
      <c r="K25" s="158" t="inlineStr">
        <is>
          <t>31.20</t>
        </is>
      </c>
      <c r="L25" s="158" t="inlineStr">
        <is>
          <t>31.35</t>
        </is>
      </c>
      <c r="M25" s="158" t="n"/>
      <c r="N25" s="158" t="inlineStr">
        <is>
          <t>1:07.71</t>
        </is>
      </c>
      <c r="O25" s="158" t="inlineStr">
        <is>
          <t>1:08.40</t>
        </is>
      </c>
      <c r="P25" s="158" t="inlineStr">
        <is>
          <t>1:08.94</t>
        </is>
      </c>
      <c r="Q25" s="158" t="inlineStr">
        <is>
          <t>2:27.43</t>
        </is>
      </c>
      <c r="R25" s="158" t="inlineStr">
        <is>
          <t>2:28.58</t>
        </is>
      </c>
      <c r="S25" s="158" t="inlineStr">
        <is>
          <t>2:29.19</t>
        </is>
      </c>
      <c r="T25" s="692" t="n"/>
      <c r="U25" s="692" t="n"/>
      <c r="V25" s="692" t="n"/>
      <c r="W25" s="692" t="n"/>
      <c r="X25" s="692" t="n"/>
      <c r="Y25" s="692" t="n"/>
      <c r="Z25" s="692" t="n"/>
      <c r="AA25" s="692" t="n"/>
      <c r="AB25" s="692" t="n"/>
      <c r="AC25" s="692" t="n"/>
      <c r="AD25" s="692" t="n"/>
      <c r="AE25" s="692" t="n"/>
      <c r="AF25" s="692" t="n"/>
      <c r="AG25" s="692" t="n"/>
      <c r="AH25" s="692" t="n"/>
      <c r="AI25" s="692" t="n"/>
      <c r="AJ25" s="692" t="n"/>
      <c r="AK25" s="692" t="n"/>
      <c r="AL25" s="692" t="n"/>
      <c r="AM25" s="692" t="n"/>
      <c r="AN25" s="692" t="n"/>
      <c r="AO25" s="692" t="n"/>
      <c r="AP25" s="692" t="n"/>
    </row>
    <row r="26">
      <c r="A26" s="692" t="n">
        <v>18</v>
      </c>
      <c r="B26" s="158" t="inlineStr">
        <is>
          <t>28.36</t>
        </is>
      </c>
      <c r="C26" s="158" t="inlineStr">
        <is>
          <t>28.60</t>
        </is>
      </c>
      <c r="D26" s="158" t="inlineStr">
        <is>
          <t>28.73</t>
        </is>
      </c>
      <c r="E26" s="158" t="n"/>
      <c r="F26" s="158" t="inlineStr">
        <is>
          <t>1:00.79</t>
        </is>
      </c>
      <c r="G26" s="158" t="inlineStr">
        <is>
          <t>1:01.23</t>
        </is>
      </c>
      <c r="H26" s="158" t="n"/>
      <c r="I26" s="158" t="inlineStr">
        <is>
          <t>2:11.79</t>
        </is>
      </c>
      <c r="J26" s="158" t="inlineStr">
        <is>
          <t>2:12.63</t>
        </is>
      </c>
      <c r="K26" s="158" t="inlineStr">
        <is>
          <t>31.00</t>
        </is>
      </c>
      <c r="L26" s="158" t="inlineStr">
        <is>
          <t>31.15</t>
        </is>
      </c>
      <c r="M26" s="158" t="inlineStr">
        <is>
          <t>31.19</t>
        </is>
      </c>
      <c r="N26" s="158" t="inlineStr">
        <is>
          <t>1:07.24</t>
        </is>
      </c>
      <c r="O26" s="158" t="inlineStr">
        <is>
          <t>1:07.92</t>
        </is>
      </c>
      <c r="P26" s="158" t="inlineStr">
        <is>
          <t>1:08.46</t>
        </is>
      </c>
      <c r="Q26" s="158" t="inlineStr">
        <is>
          <t>2:26.60</t>
        </is>
      </c>
      <c r="R26" s="158" t="inlineStr">
        <is>
          <t>2:27.74</t>
        </is>
      </c>
      <c r="S26" s="158" t="inlineStr">
        <is>
          <t>2:28.35</t>
        </is>
      </c>
      <c r="T26" s="692" t="n"/>
      <c r="U26" s="692" t="n"/>
      <c r="V26" s="692" t="n"/>
      <c r="W26" s="692" t="n"/>
      <c r="X26" s="692" t="n"/>
      <c r="Y26" s="692" t="n"/>
      <c r="Z26" s="692" t="n"/>
      <c r="AA26" s="692" t="n"/>
      <c r="AB26" s="692" t="n"/>
      <c r="AC26" s="692" t="n"/>
      <c r="AD26" s="692" t="n"/>
      <c r="AE26" s="692" t="n"/>
      <c r="AF26" s="692" t="n"/>
      <c r="AG26" s="692" t="n"/>
      <c r="AH26" s="692" t="n"/>
      <c r="AI26" s="692" t="n"/>
      <c r="AJ26" s="692" t="n"/>
      <c r="AK26" s="692" t="n"/>
      <c r="AL26" s="692" t="n"/>
      <c r="AM26" s="692" t="n"/>
      <c r="AN26" s="692" t="n"/>
      <c r="AO26" s="692" t="n"/>
      <c r="AP26" s="692" t="n"/>
    </row>
    <row r="27">
      <c r="A27" s="692" t="n">
        <v>19</v>
      </c>
      <c r="B27" s="158" t="n">
        <v>28.22</v>
      </c>
      <c r="C27" s="158" t="n">
        <v>28.46</v>
      </c>
      <c r="D27" s="158" t="n">
        <v>28.59</v>
      </c>
      <c r="E27" s="158" t="n"/>
      <c r="F27" s="158" t="inlineStr">
        <is>
          <t>1:00.46</t>
        </is>
      </c>
      <c r="G27" s="158" t="inlineStr">
        <is>
          <t>1:00.90</t>
        </is>
      </c>
      <c r="H27" s="158" t="n"/>
      <c r="I27" s="158" t="inlineStr">
        <is>
          <t>2:11.08</t>
        </is>
      </c>
      <c r="J27" s="158" t="inlineStr">
        <is>
          <t>2:11.91</t>
        </is>
      </c>
      <c r="K27" s="158" t="n">
        <v>30.86</v>
      </c>
      <c r="L27" s="158" t="n">
        <v>31.01</v>
      </c>
      <c r="M27" s="158" t="n">
        <v>31.05</v>
      </c>
      <c r="N27" s="158" t="inlineStr">
        <is>
          <t>1:06.87</t>
        </is>
      </c>
      <c r="O27" s="158" t="inlineStr">
        <is>
          <t>1:07.55</t>
        </is>
      </c>
      <c r="P27" s="158" t="inlineStr">
        <is>
          <t>1:08.08</t>
        </is>
      </c>
      <c r="Q27" s="158" t="inlineStr">
        <is>
          <t>2:25.91</t>
        </is>
      </c>
      <c r="R27" s="158" t="inlineStr">
        <is>
          <t>2:27.05</t>
        </is>
      </c>
      <c r="S27" s="692" t="inlineStr">
        <is>
          <t>2:27.66</t>
        </is>
      </c>
      <c r="T27" s="692" t="n"/>
      <c r="U27" s="692" t="n"/>
      <c r="V27" s="692" t="n"/>
      <c r="W27" s="692" t="n"/>
      <c r="X27" s="692" t="n"/>
      <c r="Y27" s="692" t="n"/>
      <c r="Z27" s="692" t="n"/>
      <c r="AA27" s="692" t="n"/>
      <c r="AB27" s="692" t="n"/>
      <c r="AC27" s="692" t="n"/>
      <c r="AD27" s="692" t="n"/>
      <c r="AE27" s="692" t="n"/>
      <c r="AF27" s="692" t="n"/>
      <c r="AG27" s="692" t="n"/>
      <c r="AH27" s="692" t="n"/>
      <c r="AI27" s="692" t="n"/>
      <c r="AJ27" s="692" t="n"/>
      <c r="AK27" s="692" t="n"/>
      <c r="AL27" s="692" t="n"/>
      <c r="AM27" s="692" t="n"/>
      <c r="AN27" s="692" t="n"/>
      <c r="AO27" s="692" t="n"/>
      <c r="AP27" s="692" t="n"/>
    </row>
    <row r="28">
      <c r="A28" s="692" t="n">
        <v>20</v>
      </c>
      <c r="B28" s="692" t="n"/>
      <c r="C28" s="158" t="inlineStr">
        <is>
          <t>28.32</t>
        </is>
      </c>
      <c r="D28" s="158" t="inlineStr">
        <is>
          <t>28.46</t>
        </is>
      </c>
      <c r="E28" s="692" t="n"/>
      <c r="F28" s="158" t="n"/>
      <c r="G28" s="158" t="inlineStr">
        <is>
          <t>1:00.66</t>
        </is>
      </c>
      <c r="H28" s="158" t="n"/>
      <c r="I28" s="158" t="n"/>
      <c r="J28" s="158" t="inlineStr">
        <is>
          <t>2:11.40</t>
        </is>
      </c>
      <c r="K28" s="158" t="inlineStr">
        <is>
          <t>30.75</t>
        </is>
      </c>
      <c r="L28" s="158" t="inlineStr">
        <is>
          <t>30.90</t>
        </is>
      </c>
      <c r="M28" s="158" t="inlineStr">
        <is>
          <t>30.94</t>
        </is>
      </c>
      <c r="N28" s="158" t="n"/>
      <c r="O28" s="158" t="inlineStr">
        <is>
          <t>1:07.20</t>
        </is>
      </c>
      <c r="P28" s="158" t="inlineStr">
        <is>
          <t>1:07.73</t>
        </is>
      </c>
      <c r="Q28" s="158" t="n"/>
      <c r="R28" s="158" t="inlineStr">
        <is>
          <t>2:26.41</t>
        </is>
      </c>
      <c r="S28" s="158" t="inlineStr">
        <is>
          <t>2:27.01</t>
        </is>
      </c>
      <c r="T28" s="692" t="n"/>
      <c r="U28" s="692" t="n"/>
      <c r="V28" s="692" t="n"/>
      <c r="W28" s="692" t="n"/>
      <c r="X28" s="692" t="n"/>
      <c r="Y28" s="158" t="n"/>
      <c r="Z28" s="158" t="n"/>
      <c r="AA28" s="692" t="n"/>
      <c r="AB28" s="692" t="n"/>
      <c r="AC28" s="692" t="n"/>
      <c r="AD28" s="692" t="n"/>
      <c r="AE28" s="692" t="n"/>
      <c r="AF28" s="692" t="n"/>
      <c r="AG28" s="692" t="n"/>
      <c r="AH28" s="692" t="n"/>
      <c r="AI28" s="692" t="n"/>
      <c r="AJ28" s="692" t="n"/>
      <c r="AK28" s="692" t="n"/>
      <c r="AL28" s="692" t="n"/>
      <c r="AM28" s="692" t="n"/>
      <c r="AN28" s="692" t="n"/>
      <c r="AO28" s="692" t="n"/>
      <c r="AP28" s="692" t="n"/>
    </row>
    <row r="29">
      <c r="A29" s="692" t="n">
        <v>21</v>
      </c>
      <c r="B29" s="158" t="n"/>
      <c r="C29" s="158" t="inlineStr">
        <is>
          <t>28.22</t>
        </is>
      </c>
      <c r="D29" s="158" t="inlineStr">
        <is>
          <t>28.35</t>
        </is>
      </c>
      <c r="E29" s="692" t="n"/>
      <c r="F29" s="158" t="n"/>
      <c r="G29" s="158" t="inlineStr">
        <is>
          <t>1:00.46</t>
        </is>
      </c>
      <c r="H29" s="692" t="n"/>
      <c r="I29" s="692" t="n"/>
      <c r="J29" s="158" t="inlineStr">
        <is>
          <t>2:11.08</t>
        </is>
      </c>
      <c r="K29" s="692" t="n"/>
      <c r="L29" s="158" t="inlineStr">
        <is>
          <t>30.81</t>
        </is>
      </c>
      <c r="M29" s="158" t="inlineStr">
        <is>
          <t>30.85</t>
        </is>
      </c>
      <c r="N29" s="158" t="n"/>
      <c r="O29" s="158" t="inlineStr">
        <is>
          <t>1:06.87</t>
        </is>
      </c>
      <c r="P29" s="158" t="inlineStr">
        <is>
          <t>1:07.39</t>
        </is>
      </c>
      <c r="Q29" s="158" t="n"/>
      <c r="R29" s="158" t="inlineStr">
        <is>
          <t>2:25.91</t>
        </is>
      </c>
      <c r="S29" s="158" t="inlineStr">
        <is>
          <t>2:26.51</t>
        </is>
      </c>
      <c r="T29" s="692" t="n"/>
      <c r="U29" s="692" t="n"/>
      <c r="V29" s="692" t="n"/>
      <c r="W29" s="692" t="n"/>
      <c r="X29" s="158" t="n"/>
      <c r="Y29" s="692" t="n"/>
      <c r="Z29" s="692" t="n"/>
      <c r="AA29" s="692" t="n"/>
      <c r="AB29" s="692" t="n"/>
      <c r="AC29" s="692" t="n"/>
      <c r="AD29" s="692" t="n"/>
      <c r="AE29" s="692" t="n"/>
      <c r="AF29" s="692" t="n"/>
      <c r="AG29" s="692" t="n"/>
      <c r="AH29" s="692" t="n"/>
      <c r="AI29" s="692" t="n"/>
      <c r="AJ29" s="692" t="n"/>
      <c r="AK29" s="692" t="n"/>
      <c r="AL29" s="692" t="n"/>
      <c r="AM29" s="692" t="n"/>
      <c r="AN29" s="692" t="n"/>
      <c r="AO29" s="692" t="n"/>
      <c r="AP29" s="692" t="n"/>
    </row>
    <row r="30">
      <c r="A30" s="692" t="n">
        <v>22</v>
      </c>
      <c r="B30" s="158" t="n"/>
      <c r="C30" s="158" t="n"/>
      <c r="D30" s="158" t="inlineStr">
        <is>
          <t>28.28</t>
        </is>
      </c>
      <c r="E30" s="158" t="n"/>
      <c r="F30" s="158" t="n"/>
      <c r="G30" s="158" t="n"/>
      <c r="H30" s="158" t="n"/>
      <c r="I30" s="158" t="n"/>
      <c r="J30" s="158" t="n"/>
      <c r="K30" s="692" t="n"/>
      <c r="L30" s="158" t="inlineStr">
        <is>
          <t>30.75</t>
        </is>
      </c>
      <c r="M30" s="158" t="inlineStr">
        <is>
          <t>30.79</t>
        </is>
      </c>
      <c r="N30" s="158" t="n"/>
      <c r="O30" s="158" t="n"/>
      <c r="P30" s="158" t="inlineStr">
        <is>
          <t>1:07.10</t>
        </is>
      </c>
      <c r="Q30" s="692" t="n"/>
      <c r="R30" s="158" t="n"/>
      <c r="S30" s="158" t="inlineStr">
        <is>
          <t>2:26.14</t>
        </is>
      </c>
      <c r="T30" s="692" t="n"/>
      <c r="U30" s="692" t="n"/>
      <c r="V30" s="692" t="n"/>
      <c r="W30" s="692" t="n"/>
      <c r="X30" s="692" t="n"/>
      <c r="Y30" s="158" t="n"/>
      <c r="Z30" s="158" t="n"/>
      <c r="AA30" s="158" t="n"/>
      <c r="AB30" s="158" t="n"/>
      <c r="AC30" s="158" t="n"/>
      <c r="AD30" s="158" t="n"/>
      <c r="AE30" s="158" t="n"/>
      <c r="AF30" s="158" t="n"/>
      <c r="AG30" s="158" t="n"/>
      <c r="AH30" s="158" t="n"/>
      <c r="AI30" s="158" t="n"/>
      <c r="AJ30" s="158" t="n"/>
      <c r="AK30" s="158" t="n"/>
      <c r="AL30" s="158" t="n"/>
      <c r="AM30" s="158" t="n"/>
      <c r="AN30" s="158" t="n"/>
      <c r="AO30" s="158" t="n"/>
      <c r="AP30" s="158" t="n"/>
    </row>
    <row r="31">
      <c r="A31" s="692" t="n">
        <v>23</v>
      </c>
      <c r="B31" s="158" t="n"/>
      <c r="C31" s="158" t="n"/>
      <c r="D31" s="158" t="inlineStr">
        <is>
          <t>28.22</t>
        </is>
      </c>
      <c r="E31" s="158" t="n"/>
      <c r="F31" s="158" t="n"/>
      <c r="G31" s="158" t="n"/>
      <c r="H31" s="158" t="n"/>
      <c r="I31" s="158" t="n"/>
      <c r="J31" s="158" t="n"/>
      <c r="K31" s="158" t="n"/>
      <c r="L31" s="158" t="inlineStr">
        <is>
          <t>30.75</t>
        </is>
      </c>
      <c r="M31" s="158" t="inlineStr">
        <is>
          <t>30.75</t>
        </is>
      </c>
      <c r="N31" s="158" t="n"/>
      <c r="O31" s="158" t="n"/>
      <c r="P31" s="158" t="inlineStr">
        <is>
          <t>1:06.87</t>
        </is>
      </c>
      <c r="Q31" s="692" t="n"/>
      <c r="R31" s="158" t="n"/>
      <c r="S31" s="158" t="inlineStr">
        <is>
          <t>2:25.91</t>
        </is>
      </c>
      <c r="T31" s="158" t="n"/>
      <c r="U31" s="692" t="n"/>
      <c r="V31" s="692" t="n"/>
      <c r="W31" s="692" t="n"/>
      <c r="X31" s="158" t="n"/>
      <c r="Y31" s="158" t="n"/>
      <c r="Z31" s="158" t="n"/>
      <c r="AA31" s="158" t="n"/>
      <c r="AB31" s="158" t="n"/>
      <c r="AC31" s="158" t="n"/>
      <c r="AD31" s="158" t="n"/>
      <c r="AE31" s="158" t="n"/>
      <c r="AF31" s="158" t="n"/>
      <c r="AG31" s="158" t="n"/>
      <c r="AH31" s="158" t="n"/>
      <c r="AI31" s="158" t="n"/>
      <c r="AJ31" s="158" t="n"/>
      <c r="AK31" s="158" t="n"/>
      <c r="AL31" s="158" t="n"/>
      <c r="AM31" s="158" t="n"/>
      <c r="AN31" s="158" t="n"/>
      <c r="AO31" s="158" t="n"/>
      <c r="AP31" s="158" t="n"/>
    </row>
    <row r="32">
      <c r="A32" s="692" t="n">
        <v>24</v>
      </c>
      <c r="B32" s="158" t="n"/>
      <c r="C32" s="158" t="n"/>
      <c r="D32" s="158" t="n"/>
      <c r="E32" s="158" t="n"/>
      <c r="F32" s="158" t="n"/>
      <c r="G32" s="158" t="n"/>
      <c r="H32" s="158" t="n"/>
      <c r="I32" s="158" t="n"/>
      <c r="J32" s="158" t="n"/>
      <c r="K32" s="158" t="n"/>
      <c r="L32" s="692" t="n"/>
      <c r="M32" s="158" t="inlineStr">
        <is>
          <t>30.75</t>
        </is>
      </c>
      <c r="N32" s="158" t="n"/>
      <c r="O32" s="158" t="n"/>
      <c r="P32" s="158" t="n"/>
      <c r="Q32" s="158" t="n"/>
      <c r="R32" s="158" t="n"/>
      <c r="S32" s="692" t="n"/>
      <c r="T32" s="692" t="n"/>
      <c r="U32" s="692" t="n"/>
      <c r="V32" s="692" t="n"/>
      <c r="W32" s="158" t="n"/>
      <c r="X32" s="158" t="n"/>
      <c r="Y32" s="692" t="n"/>
      <c r="Z32" s="692" t="n"/>
      <c r="AA32" s="692" t="n"/>
      <c r="AB32" s="692" t="n"/>
      <c r="AC32" s="692" t="n"/>
      <c r="AD32" s="692" t="n"/>
      <c r="AE32" s="692" t="n"/>
      <c r="AF32" s="692" t="n"/>
      <c r="AG32" s="692" t="n"/>
      <c r="AH32" s="692" t="n"/>
      <c r="AI32" s="692" t="n"/>
      <c r="AJ32" s="692" t="n"/>
      <c r="AK32" s="692" t="n"/>
      <c r="AL32" s="692" t="n"/>
      <c r="AM32" s="692" t="n"/>
      <c r="AN32" s="692" t="n"/>
      <c r="AO32" s="692" t="n"/>
      <c r="AP32" s="692" t="n"/>
    </row>
    <row r="33">
      <c r="A33" s="692" t="n">
        <v>25</v>
      </c>
      <c r="B33" s="692" t="n"/>
      <c r="C33" s="692" t="n"/>
      <c r="D33" s="692" t="n"/>
      <c r="E33" s="692" t="n"/>
      <c r="F33" s="692" t="n"/>
      <c r="G33" s="692" t="n"/>
      <c r="H33" s="692" t="n"/>
      <c r="I33" s="692" t="n"/>
      <c r="J33" s="692" t="n"/>
      <c r="K33" s="692" t="n"/>
      <c r="L33" s="692" t="n"/>
      <c r="M33" s="692" t="n"/>
      <c r="N33" s="692" t="n"/>
      <c r="O33" s="692" t="n"/>
      <c r="P33" s="692" t="n"/>
      <c r="Q33" s="692" t="n"/>
      <c r="R33" s="692" t="n"/>
      <c r="S33" s="692" t="n"/>
      <c r="T33" s="692" t="n"/>
      <c r="U33" s="692" t="n"/>
      <c r="V33" s="692" t="n"/>
      <c r="W33" s="692" t="n"/>
      <c r="X33" s="692" t="n"/>
      <c r="Y33" s="692" t="n"/>
      <c r="Z33" s="692" t="n"/>
      <c r="AA33" s="692" t="n"/>
      <c r="AB33" s="692" t="n"/>
      <c r="AC33" s="692" t="n"/>
      <c r="AD33" s="692" t="n"/>
      <c r="AE33" s="692" t="n"/>
      <c r="AF33" s="692" t="n"/>
      <c r="AG33" s="692" t="n"/>
      <c r="AH33" s="692" t="n"/>
      <c r="AI33" s="692" t="n"/>
      <c r="AJ33" s="692" t="n"/>
      <c r="AK33" s="692" t="n"/>
      <c r="AL33" s="692" t="n"/>
      <c r="AM33" s="692" t="n"/>
      <c r="AN33" s="692" t="n"/>
      <c r="AO33" s="692" t="n"/>
      <c r="AP33" s="692" t="n"/>
    </row>
    <row r="34">
      <c r="A34" s="692" t="n"/>
      <c r="B34" s="692" t="n"/>
      <c r="C34" s="692" t="n"/>
      <c r="D34" s="692" t="n"/>
      <c r="E34" s="692" t="n"/>
      <c r="F34" s="692" t="n"/>
      <c r="G34" s="692" t="n"/>
      <c r="H34" s="692" t="n"/>
      <c r="I34" s="692" t="n"/>
      <c r="J34" s="692" t="n"/>
      <c r="K34" s="692" t="n"/>
      <c r="L34" s="692" t="n"/>
      <c r="M34" s="692" t="n"/>
      <c r="N34" s="692" t="n"/>
      <c r="O34" s="692" t="n"/>
      <c r="P34" s="692" t="n"/>
      <c r="Q34" s="692" t="n"/>
      <c r="R34" s="692" t="n"/>
      <c r="S34" s="692" t="n"/>
      <c r="T34" s="692" t="n"/>
      <c r="U34" s="692" t="n"/>
      <c r="V34" s="692" t="n"/>
      <c r="W34" s="692" t="n"/>
      <c r="X34" s="692" t="n"/>
      <c r="Y34" s="692" t="n"/>
      <c r="Z34" s="692" t="n"/>
      <c r="AA34" s="692" t="n"/>
      <c r="AB34" s="692" t="n"/>
      <c r="AC34" s="692" t="n"/>
      <c r="AD34" s="692" t="n"/>
      <c r="AE34" s="692" t="n"/>
      <c r="AF34" s="692" t="n"/>
      <c r="AG34" s="692" t="n"/>
      <c r="AH34" s="692" t="n"/>
      <c r="AI34" s="692" t="n"/>
      <c r="AJ34" s="692" t="n"/>
      <c r="AK34" s="692" t="n"/>
      <c r="AL34" s="692" t="n"/>
      <c r="AM34" s="692" t="n"/>
      <c r="AN34" s="692" t="n"/>
      <c r="AO34" s="692" t="n"/>
      <c r="AP34" s="692" t="n"/>
    </row>
    <row r="35">
      <c r="A35" s="692" t="n"/>
      <c r="B35" s="692" t="inlineStr">
        <is>
          <t>Female</t>
        </is>
      </c>
      <c r="C35" s="692" t="inlineStr">
        <is>
          <t>Female</t>
        </is>
      </c>
      <c r="D35" s="692" t="inlineStr">
        <is>
          <t>Female</t>
        </is>
      </c>
      <c r="E35" s="692" t="inlineStr">
        <is>
          <t>Female</t>
        </is>
      </c>
      <c r="F35" s="692" t="inlineStr">
        <is>
          <t>Female</t>
        </is>
      </c>
      <c r="G35" s="692" t="inlineStr">
        <is>
          <t>Female</t>
        </is>
      </c>
      <c r="H35" s="692" t="inlineStr">
        <is>
          <t>Female</t>
        </is>
      </c>
      <c r="I35" s="692" t="inlineStr">
        <is>
          <t>Female</t>
        </is>
      </c>
      <c r="J35" s="692" t="inlineStr">
        <is>
          <t>Female</t>
        </is>
      </c>
      <c r="K35" s="692" t="inlineStr">
        <is>
          <t>Female</t>
        </is>
      </c>
      <c r="L35" s="692" t="inlineStr">
        <is>
          <t>Female</t>
        </is>
      </c>
      <c r="M35" s="692" t="inlineStr">
        <is>
          <t>Female</t>
        </is>
      </c>
      <c r="N35" s="692" t="inlineStr">
        <is>
          <t>Female</t>
        </is>
      </c>
      <c r="O35" s="692" t="inlineStr">
        <is>
          <t>Female</t>
        </is>
      </c>
      <c r="P35" s="692" t="inlineStr">
        <is>
          <t>Female</t>
        </is>
      </c>
      <c r="Q35" s="692" t="n"/>
      <c r="R35" s="692" t="n"/>
      <c r="S35" s="692" t="n"/>
      <c r="T35" s="692" t="n"/>
      <c r="U35" s="158" t="n"/>
      <c r="V35" s="158" t="n"/>
      <c r="W35" s="692" t="n"/>
      <c r="X35" s="692" t="n"/>
      <c r="Y35" s="692" t="n"/>
      <c r="Z35" s="692" t="n"/>
      <c r="AA35" s="692" t="n"/>
      <c r="AB35" s="692" t="n"/>
      <c r="AC35" s="692" t="n"/>
      <c r="AD35" s="692" t="n"/>
      <c r="AE35" s="692" t="n"/>
      <c r="AF35" s="692" t="n"/>
      <c r="AG35" s="692" t="n"/>
      <c r="AH35" s="692" t="n"/>
      <c r="AI35" s="692" t="n"/>
      <c r="AJ35" s="692" t="n"/>
      <c r="AK35" s="692" t="n"/>
      <c r="AL35" s="692" t="n"/>
      <c r="AM35" s="692" t="n"/>
      <c r="AN35" s="692" t="n"/>
      <c r="AO35" s="692" t="n"/>
      <c r="AP35" s="692" t="n"/>
    </row>
    <row r="36">
      <c r="A36" s="692" t="n"/>
      <c r="B36" s="692" t="inlineStr">
        <is>
          <t>50 Fly</t>
        </is>
      </c>
      <c r="C36" s="692" t="inlineStr">
        <is>
          <t>50 Fly</t>
        </is>
      </c>
      <c r="D36" s="692" t="inlineStr">
        <is>
          <t>50 Fly</t>
        </is>
      </c>
      <c r="E36" s="692" t="inlineStr">
        <is>
          <t>100 Fly</t>
        </is>
      </c>
      <c r="F36" s="692" t="inlineStr">
        <is>
          <t>100 Fly</t>
        </is>
      </c>
      <c r="G36" s="692" t="inlineStr">
        <is>
          <t>100 Fly</t>
        </is>
      </c>
      <c r="H36" s="692" t="inlineStr">
        <is>
          <t>200 Fly</t>
        </is>
      </c>
      <c r="I36" s="692" t="inlineStr">
        <is>
          <t>200 Fly</t>
        </is>
      </c>
      <c r="J36" s="692" t="inlineStr">
        <is>
          <t>200 Fly</t>
        </is>
      </c>
      <c r="K36" s="692" t="inlineStr">
        <is>
          <t>200 IM</t>
        </is>
      </c>
      <c r="L36" s="692" t="inlineStr">
        <is>
          <t>200 IM</t>
        </is>
      </c>
      <c r="M36" s="692" t="inlineStr">
        <is>
          <t>200 IM</t>
        </is>
      </c>
      <c r="N36" s="692" t="inlineStr">
        <is>
          <t>400 IM</t>
        </is>
      </c>
      <c r="O36" s="692" t="inlineStr">
        <is>
          <t>400 IM</t>
        </is>
      </c>
      <c r="P36" s="692" t="inlineStr">
        <is>
          <t>400 IM</t>
        </is>
      </c>
      <c r="Q36" s="692" t="n"/>
      <c r="R36" s="692" t="n"/>
      <c r="S36" s="692" t="n"/>
      <c r="T36" s="692" t="n"/>
      <c r="U36" s="692" t="n"/>
      <c r="V36" s="692" t="n"/>
      <c r="W36" s="692" t="n"/>
      <c r="X36" s="692" t="n"/>
      <c r="Y36" s="692" t="n"/>
      <c r="Z36" s="692" t="n"/>
      <c r="AA36" s="692" t="n"/>
      <c r="AB36" s="692" t="n"/>
      <c r="AC36" s="692" t="n"/>
      <c r="AD36" s="692" t="n"/>
      <c r="AE36" s="692" t="n"/>
      <c r="AF36" s="692" t="n"/>
      <c r="AG36" s="692" t="n"/>
      <c r="AH36" s="692" t="n"/>
      <c r="AI36" s="692" t="n"/>
      <c r="AJ36" s="692" t="n"/>
      <c r="AK36" s="692" t="n"/>
      <c r="AL36" s="692" t="n"/>
      <c r="AM36" s="692" t="n"/>
      <c r="AN36" s="692" t="n"/>
      <c r="AO36" s="692" t="n"/>
      <c r="AP36" s="692" t="n"/>
    </row>
    <row r="37">
      <c r="A37" s="692" t="n"/>
      <c r="B37" s="692" t="inlineStr">
        <is>
          <t>Track 1</t>
        </is>
      </c>
      <c r="C37" s="692" t="inlineStr">
        <is>
          <t>Track 2</t>
        </is>
      </c>
      <c r="D37" s="692" t="inlineStr">
        <is>
          <t>Track 3</t>
        </is>
      </c>
      <c r="E37" s="692" t="inlineStr">
        <is>
          <t>Track 1</t>
        </is>
      </c>
      <c r="F37" s="692" t="inlineStr">
        <is>
          <t>Track 2</t>
        </is>
      </c>
      <c r="G37" s="692" t="inlineStr">
        <is>
          <t>Track 3</t>
        </is>
      </c>
      <c r="H37" s="692" t="inlineStr">
        <is>
          <t>Track 1</t>
        </is>
      </c>
      <c r="I37" s="692" t="inlineStr">
        <is>
          <t>Track 2</t>
        </is>
      </c>
      <c r="J37" s="692" t="inlineStr">
        <is>
          <t>Track 3</t>
        </is>
      </c>
      <c r="K37" s="692" t="inlineStr">
        <is>
          <t>Track 1</t>
        </is>
      </c>
      <c r="L37" s="692" t="inlineStr">
        <is>
          <t>Track 2</t>
        </is>
      </c>
      <c r="M37" s="692" t="inlineStr">
        <is>
          <t>Track 3</t>
        </is>
      </c>
      <c r="N37" s="692" t="inlineStr">
        <is>
          <t>Track 1</t>
        </is>
      </c>
      <c r="O37" s="692" t="inlineStr">
        <is>
          <t>Track 2</t>
        </is>
      </c>
      <c r="P37" s="692" t="inlineStr">
        <is>
          <t>Track 3</t>
        </is>
      </c>
      <c r="Q37" s="692" t="n"/>
      <c r="R37" s="692" t="n"/>
      <c r="S37" s="692" t="n"/>
      <c r="T37" s="692" t="n"/>
      <c r="U37" s="692" t="n"/>
      <c r="V37" s="692" t="n"/>
      <c r="W37" s="692" t="n"/>
      <c r="X37" s="692" t="n"/>
      <c r="Y37" s="692" t="n"/>
      <c r="Z37" s="692" t="n"/>
      <c r="AA37" s="692" t="n"/>
      <c r="AB37" s="692" t="n"/>
      <c r="AC37" s="692" t="n"/>
      <c r="AD37" s="692" t="n"/>
      <c r="AE37" s="692" t="n"/>
      <c r="AF37" s="692" t="n"/>
      <c r="AG37" s="692" t="n"/>
      <c r="AH37" s="692" t="n"/>
      <c r="AI37" s="692" t="n"/>
      <c r="AJ37" s="692" t="n"/>
      <c r="AK37" s="692" t="n"/>
      <c r="AL37" s="692" t="n"/>
      <c r="AM37" s="692" t="n"/>
      <c r="AN37" s="692" t="n"/>
      <c r="AO37" s="692" t="n"/>
      <c r="AP37" s="692" t="n"/>
    </row>
    <row r="38">
      <c r="A38" s="692" t="n">
        <v>13</v>
      </c>
      <c r="B38" s="692" t="n"/>
      <c r="C38" s="692" t="n"/>
      <c r="D38" s="692" t="n"/>
      <c r="E38" s="692" t="n"/>
      <c r="F38" s="692" t="n"/>
      <c r="G38" s="692" t="n"/>
      <c r="H38" s="692" t="n"/>
      <c r="I38" s="692" t="n"/>
      <c r="J38" s="692" t="n"/>
      <c r="K38" s="692" t="n"/>
      <c r="L38" s="692" t="n"/>
      <c r="M38" s="692" t="n"/>
      <c r="N38" s="692" t="inlineStr">
        <is>
          <t>5:09.36</t>
        </is>
      </c>
      <c r="O38" s="692" t="n"/>
      <c r="P38" s="692" t="n"/>
      <c r="Q38" s="692" t="n"/>
      <c r="R38" s="692" t="n"/>
      <c r="S38" s="692" t="n"/>
      <c r="T38" s="692" t="n"/>
      <c r="U38" s="692" t="n"/>
      <c r="V38" s="692" t="n"/>
      <c r="W38" s="692" t="n"/>
      <c r="X38" s="692" t="n"/>
      <c r="Y38" s="692" t="n"/>
      <c r="Z38" s="692" t="n"/>
      <c r="AA38" s="692" t="n"/>
      <c r="AB38" s="692" t="n"/>
      <c r="AC38" s="692" t="n"/>
      <c r="AD38" s="692" t="n"/>
      <c r="AE38" s="692" t="n"/>
      <c r="AF38" s="692" t="n"/>
      <c r="AG38" s="692" t="n"/>
      <c r="AH38" s="692" t="n"/>
      <c r="AI38" s="692" t="n"/>
      <c r="AJ38" s="692" t="n"/>
      <c r="AK38" s="692" t="n"/>
      <c r="AL38" s="692" t="n"/>
      <c r="AM38" s="692" t="n"/>
      <c r="AN38" s="692" t="n"/>
      <c r="AO38" s="692" t="n"/>
      <c r="AP38" s="692" t="n"/>
    </row>
    <row r="39">
      <c r="A39" s="692" t="n">
        <v>14</v>
      </c>
      <c r="B39" s="692" t="n"/>
      <c r="C39" s="692" t="n"/>
      <c r="D39" s="692" t="n"/>
      <c r="E39" s="692" t="n"/>
      <c r="F39" s="692" t="n"/>
      <c r="G39" s="692" t="n"/>
      <c r="H39" s="158" t="inlineStr">
        <is>
          <t>2:18.48</t>
        </is>
      </c>
      <c r="I39" s="692" t="n"/>
      <c r="J39" s="692" t="n"/>
      <c r="K39" s="692" t="n"/>
      <c r="L39" s="692" t="n"/>
      <c r="M39" s="692" t="n"/>
      <c r="N39" s="692" t="inlineStr">
        <is>
          <t>4:58.88</t>
        </is>
      </c>
      <c r="O39" s="692" t="inlineStr">
        <is>
          <t>5:01.95</t>
        </is>
      </c>
      <c r="P39" s="692" t="n"/>
      <c r="Q39" s="692" t="n"/>
      <c r="R39" s="692" t="n"/>
      <c r="S39" s="692" t="n"/>
      <c r="T39" s="692" t="n"/>
      <c r="U39" s="692" t="n"/>
      <c r="V39" s="692" t="n"/>
      <c r="W39" s="692" t="n"/>
      <c r="X39" s="692" t="n"/>
      <c r="Y39" s="692" t="n"/>
      <c r="Z39" s="692" t="n"/>
      <c r="AA39" s="692" t="n"/>
      <c r="AB39" s="692" t="n"/>
      <c r="AC39" s="692" t="n"/>
      <c r="AD39" s="692" t="n"/>
      <c r="AE39" s="692" t="n"/>
      <c r="AF39" s="692" t="n"/>
      <c r="AG39" s="692" t="n"/>
      <c r="AH39" s="692" t="n"/>
      <c r="AI39" s="692" t="n"/>
      <c r="AJ39" s="692" t="n"/>
      <c r="AK39" s="692" t="n"/>
      <c r="AL39" s="692" t="n"/>
      <c r="AM39" s="692" t="n"/>
      <c r="AN39" s="692" t="n"/>
      <c r="AO39" s="692" t="n"/>
      <c r="AP39" s="692" t="n"/>
    </row>
    <row r="40">
      <c r="A40" s="692" t="n">
        <v>15</v>
      </c>
      <c r="B40" s="158" t="n"/>
      <c r="C40" s="158" t="n"/>
      <c r="D40" s="158" t="n"/>
      <c r="E40" s="158" t="inlineStr">
        <is>
          <t>1:01.67</t>
        </is>
      </c>
      <c r="F40" s="158" t="n"/>
      <c r="H40" s="158" t="inlineStr">
        <is>
          <t>2:14.47</t>
        </is>
      </c>
      <c r="I40" s="158" t="inlineStr">
        <is>
          <t>2:15.86</t>
        </is>
      </c>
      <c r="J40" s="158" t="n"/>
      <c r="K40" s="158" t="inlineStr">
        <is>
          <t>2:18.51</t>
        </is>
      </c>
      <c r="L40" s="158" t="n"/>
      <c r="M40" s="158" t="n"/>
      <c r="N40" s="158" t="inlineStr">
        <is>
          <t>4:51.23</t>
        </is>
      </c>
      <c r="O40" s="158" t="inlineStr">
        <is>
          <t>4:54.23</t>
        </is>
      </c>
      <c r="P40" s="158" t="inlineStr">
        <is>
          <t>4:54.88</t>
        </is>
      </c>
      <c r="Q40" s="158" t="n"/>
      <c r="R40" s="158" t="n"/>
      <c r="S40" s="158" t="n"/>
      <c r="T40" s="158" t="n"/>
      <c r="U40" s="692" t="n"/>
      <c r="V40" s="692" t="n"/>
      <c r="W40" s="692" t="n"/>
      <c r="X40" s="692" t="n"/>
      <c r="Y40" s="692" t="n"/>
      <c r="Z40" s="692" t="n"/>
      <c r="AA40" s="692" t="n"/>
      <c r="AB40" s="692" t="n"/>
      <c r="AC40" s="692" t="n"/>
      <c r="AD40" s="692" t="n"/>
      <c r="AE40" s="692" t="n"/>
      <c r="AF40" s="692" t="n"/>
      <c r="AG40" s="692" t="n"/>
      <c r="AH40" s="692" t="n"/>
      <c r="AI40" s="692" t="n"/>
      <c r="AJ40" s="692" t="n"/>
      <c r="AK40" s="692" t="n"/>
      <c r="AL40" s="692" t="n"/>
      <c r="AM40" s="692" t="n"/>
      <c r="AN40" s="692" t="n"/>
      <c r="AO40" s="692" t="n"/>
      <c r="AP40" s="692" t="n"/>
    </row>
    <row r="41">
      <c r="A41" s="692" t="n">
        <v>16</v>
      </c>
      <c r="B41" s="158" t="n"/>
      <c r="C41" s="158" t="n"/>
      <c r="D41" s="158" t="n"/>
      <c r="E41" s="158" t="inlineStr">
        <is>
          <t>1:00.43</t>
        </is>
      </c>
      <c r="F41" s="158" t="inlineStr">
        <is>
          <t>1:01.15</t>
        </is>
      </c>
      <c r="G41" s="158" t="n"/>
      <c r="H41" s="158" t="inlineStr">
        <is>
          <t>2:11.84</t>
        </is>
      </c>
      <c r="I41" s="158" t="inlineStr">
        <is>
          <t>2:13.20</t>
        </is>
      </c>
      <c r="J41" s="158" t="inlineStr">
        <is>
          <t>2:13.77</t>
        </is>
      </c>
      <c r="K41" s="158" t="inlineStr">
        <is>
          <t>2:15.93</t>
        </is>
      </c>
      <c r="L41" s="158" t="inlineStr">
        <is>
          <t>2:16.89</t>
        </is>
      </c>
      <c r="M41" s="158" t="n"/>
      <c r="N41" s="158" t="inlineStr">
        <is>
          <t>4:46.20</t>
        </is>
      </c>
      <c r="O41" s="158" t="inlineStr">
        <is>
          <t>4:49.15</t>
        </is>
      </c>
      <c r="P41" s="158" t="inlineStr">
        <is>
          <t>4:49.79</t>
        </is>
      </c>
      <c r="Q41" s="158" t="n"/>
      <c r="R41" s="158" t="n"/>
      <c r="S41" s="158" t="n"/>
      <c r="T41" s="692" t="n"/>
      <c r="U41" s="692" t="n"/>
      <c r="V41" s="692" t="n"/>
      <c r="W41" s="692" t="n"/>
      <c r="X41" s="692" t="n"/>
      <c r="Y41" s="692" t="n"/>
      <c r="Z41" s="692" t="n"/>
      <c r="AA41" s="692" t="n"/>
      <c r="AB41" s="692" t="n"/>
      <c r="AC41" s="692" t="n"/>
      <c r="AD41" s="692" t="n"/>
      <c r="AE41" s="692" t="n"/>
      <c r="AF41" s="692" t="n"/>
      <c r="AG41" s="692" t="n"/>
      <c r="AH41" s="692" t="n"/>
      <c r="AI41" s="692" t="n"/>
      <c r="AJ41" s="692" t="n"/>
      <c r="AK41" s="692" t="n"/>
      <c r="AL41" s="692" t="n"/>
      <c r="AM41" s="692" t="n"/>
      <c r="AN41" s="692" t="n"/>
      <c r="AO41" s="692" t="n"/>
      <c r="AP41" s="692" t="n"/>
    </row>
    <row r="42">
      <c r="A42" s="692" t="n">
        <v>17</v>
      </c>
      <c r="B42" s="158" t="n">
        <v>26.98</v>
      </c>
      <c r="C42" s="158" t="n"/>
      <c r="D42" s="158" t="n"/>
      <c r="E42" s="158" t="inlineStr">
        <is>
          <t>59.56</t>
        </is>
      </c>
      <c r="F42" s="158" t="inlineStr">
        <is>
          <t>1:00.27</t>
        </is>
      </c>
      <c r="G42" s="158" t="inlineStr">
        <is>
          <t>1:00.47</t>
        </is>
      </c>
      <c r="H42" s="158" t="inlineStr">
        <is>
          <t>2:10.18</t>
        </is>
      </c>
      <c r="I42" s="158" t="inlineStr">
        <is>
          <t>2:11.53</t>
        </is>
      </c>
      <c r="J42" s="158" t="inlineStr">
        <is>
          <t>2:12.08</t>
        </is>
      </c>
      <c r="K42" s="158" t="inlineStr">
        <is>
          <t>2:14.41</t>
        </is>
      </c>
      <c r="L42" s="158" t="inlineStr">
        <is>
          <t>2:15.36</t>
        </is>
      </c>
      <c r="M42" s="158" t="inlineStr">
        <is>
          <t>2:15.76</t>
        </is>
      </c>
      <c r="N42" s="158" t="inlineStr">
        <is>
          <t>4:43.06</t>
        </is>
      </c>
      <c r="O42" s="158" t="inlineStr">
        <is>
          <t>4:45.98</t>
        </is>
      </c>
      <c r="P42" s="158" t="inlineStr">
        <is>
          <t>4:46.61</t>
        </is>
      </c>
      <c r="Q42" s="692" t="n"/>
      <c r="R42" s="692" t="n"/>
      <c r="S42" s="692" t="n"/>
      <c r="T42" s="692" t="n"/>
      <c r="U42" s="692" t="n"/>
      <c r="V42" s="692" t="n"/>
      <c r="W42" s="692" t="n"/>
      <c r="X42" s="692" t="n"/>
      <c r="Y42" s="692" t="n"/>
      <c r="Z42" s="692" t="n"/>
      <c r="AA42" s="692" t="n"/>
      <c r="AB42" s="692" t="n"/>
      <c r="AC42" s="692" t="n"/>
      <c r="AD42" s="692" t="n"/>
      <c r="AE42" s="692" t="n"/>
      <c r="AF42" s="692" t="n"/>
      <c r="AG42" s="692" t="n"/>
      <c r="AH42" s="692" t="n"/>
      <c r="AI42" s="692" t="n"/>
      <c r="AJ42" s="692" t="n"/>
      <c r="AK42" s="692" t="n"/>
      <c r="AL42" s="692" t="n"/>
      <c r="AM42" s="692" t="n"/>
      <c r="AN42" s="692" t="n"/>
      <c r="AO42" s="692" t="n"/>
      <c r="AP42" s="692" t="n"/>
    </row>
    <row r="43">
      <c r="A43" s="692" t="n">
        <v>18</v>
      </c>
      <c r="B43" s="158" t="inlineStr">
        <is>
          <t>26.71</t>
        </is>
      </c>
      <c r="C43" s="158" t="inlineStr">
        <is>
          <t>26.81</t>
        </is>
      </c>
      <c r="D43" s="158" t="n"/>
      <c r="E43" s="158" t="inlineStr">
        <is>
          <t>59.57</t>
        </is>
      </c>
      <c r="F43" s="158" t="inlineStr">
        <is>
          <t>59.77</t>
        </is>
      </c>
      <c r="G43" s="158" t="n">
        <v>59.77</v>
      </c>
      <c r="H43" s="158" t="inlineStr">
        <is>
          <t>2:09.21</t>
        </is>
      </c>
      <c r="I43" s="158" t="inlineStr">
        <is>
          <t>2:10.55</t>
        </is>
      </c>
      <c r="J43" s="158" t="inlineStr">
        <is>
          <t>2:11.10</t>
        </is>
      </c>
      <c r="K43" s="158" t="inlineStr">
        <is>
          <t>2:13.47</t>
        </is>
      </c>
      <c r="L43" s="158" t="inlineStr">
        <is>
          <t>2:14.42</t>
        </is>
      </c>
      <c r="M43" s="158" t="inlineStr">
        <is>
          <t>2:14.82</t>
        </is>
      </c>
      <c r="N43" s="158" t="n"/>
      <c r="O43" s="158" t="inlineStr">
        <is>
          <t>4:44.11</t>
        </is>
      </c>
      <c r="P43" s="158" t="inlineStr">
        <is>
          <t>4:44.74</t>
        </is>
      </c>
      <c r="Q43" s="692" t="n"/>
      <c r="R43" s="692" t="n"/>
      <c r="S43" s="692" t="n"/>
      <c r="T43" s="692" t="n"/>
      <c r="U43" s="692" t="n"/>
      <c r="V43" s="692" t="n"/>
      <c r="W43" s="692" t="n"/>
      <c r="X43" s="692" t="n"/>
      <c r="Y43" s="692" t="n"/>
      <c r="Z43" s="692" t="n"/>
      <c r="AA43" s="692" t="n"/>
      <c r="AB43" s="692" t="n"/>
      <c r="AC43" s="692" t="n"/>
      <c r="AD43" s="692" t="n"/>
      <c r="AE43" s="692" t="n"/>
      <c r="AF43" s="692" t="n"/>
      <c r="AG43" s="692" t="n"/>
      <c r="AH43" s="692" t="n"/>
      <c r="AI43" s="692" t="n"/>
      <c r="AJ43" s="692" t="n"/>
      <c r="AK43" s="692" t="n"/>
      <c r="AL43" s="692" t="n"/>
      <c r="AM43" s="692" t="n"/>
      <c r="AN43" s="692" t="n"/>
      <c r="AO43" s="692" t="n"/>
      <c r="AP43" s="692" t="n"/>
    </row>
    <row r="44">
      <c r="A44" s="692" t="n">
        <v>19</v>
      </c>
      <c r="B44" s="158" t="inlineStr">
        <is>
          <t>26.50</t>
        </is>
      </c>
      <c r="C44" s="158" t="inlineStr">
        <is>
          <t>26.60</t>
        </is>
      </c>
      <c r="D44" s="158" t="inlineStr">
        <is>
          <t>26.61</t>
        </is>
      </c>
      <c r="E44" s="158" t="inlineStr">
        <is>
          <t>58.33</t>
        </is>
      </c>
      <c r="F44" s="158" t="inlineStr">
        <is>
          <t>59.03</t>
        </is>
      </c>
      <c r="G44" s="158" t="inlineStr">
        <is>
          <t>59.22</t>
        </is>
      </c>
      <c r="H44" s="158" t="n"/>
      <c r="I44" s="158" t="inlineStr">
        <is>
          <t>2:09.78</t>
        </is>
      </c>
      <c r="J44" s="158" t="inlineStr">
        <is>
          <t>2:10.33</t>
        </is>
      </c>
      <c r="K44" s="158" t="inlineStr">
        <is>
          <t>2:13.77</t>
        </is>
      </c>
      <c r="L44" s="158" t="inlineStr">
        <is>
          <t>2:14.17</t>
        </is>
      </c>
      <c r="M44" s="158" t="n"/>
      <c r="N44" s="158" t="n"/>
      <c r="O44" s="158" t="inlineStr">
        <is>
          <t>4:43.06</t>
        </is>
      </c>
      <c r="P44" s="158" t="inlineStr">
        <is>
          <t>4:43.69</t>
        </is>
      </c>
      <c r="Q44" s="692" t="n"/>
      <c r="R44" s="692" t="n"/>
      <c r="S44" s="692" t="n"/>
      <c r="T44" s="692" t="n"/>
      <c r="U44" s="158" t="n"/>
      <c r="V44" s="692" t="n"/>
      <c r="W44" s="692" t="n"/>
      <c r="X44" s="692" t="n"/>
      <c r="Y44" s="692" t="n"/>
      <c r="Z44" s="692" t="n"/>
      <c r="AA44" s="692" t="n"/>
      <c r="AB44" s="692" t="n"/>
      <c r="AC44" s="692" t="n"/>
      <c r="AD44" s="692" t="n"/>
      <c r="AE44" s="692" t="n"/>
      <c r="AF44" s="692" t="n"/>
      <c r="AG44" s="692" t="n"/>
      <c r="AH44" s="692" t="n"/>
      <c r="AI44" s="692" t="n"/>
      <c r="AJ44" s="692" t="n"/>
      <c r="AK44" s="692" t="n"/>
      <c r="AL44" s="692" t="n"/>
      <c r="AM44" s="692" t="n"/>
      <c r="AN44" s="692" t="n"/>
      <c r="AO44" s="692" t="n"/>
      <c r="AP44" s="692" t="n"/>
    </row>
    <row r="45">
      <c r="A45" s="692" t="n">
        <v>20</v>
      </c>
      <c r="B45" s="158" t="inlineStr">
        <is>
          <t>26.34</t>
        </is>
      </c>
      <c r="C45" s="158" t="inlineStr">
        <is>
          <t>26.43</t>
        </is>
      </c>
      <c r="D45" s="158" t="inlineStr">
        <is>
          <t>26.45</t>
        </is>
      </c>
      <c r="E45" s="158" t="n"/>
      <c r="F45" s="158" t="inlineStr">
        <is>
          <t>58.60</t>
        </is>
      </c>
      <c r="G45" s="158" t="inlineStr">
        <is>
          <t>58.80</t>
        </is>
      </c>
      <c r="H45" s="158" t="n"/>
      <c r="I45" s="158" t="inlineStr">
        <is>
          <t>2:09.21</t>
        </is>
      </c>
      <c r="J45" s="158" t="inlineStr">
        <is>
          <t>2:09.76</t>
        </is>
      </c>
      <c r="K45" s="158" t="n"/>
      <c r="L45" s="158" t="inlineStr">
        <is>
          <t>2:13.25</t>
        </is>
      </c>
      <c r="M45" s="158" t="inlineStr">
        <is>
          <t>2:13.65</t>
        </is>
      </c>
      <c r="N45" s="158" t="n"/>
      <c r="O45" s="158" t="n"/>
      <c r="P45" s="158" t="inlineStr">
        <is>
          <t>4:43.24</t>
        </is>
      </c>
      <c r="Q45" s="158" t="n"/>
      <c r="R45" s="158" t="n"/>
      <c r="S45" s="158" t="n"/>
      <c r="T45" s="692" t="n"/>
      <c r="U45" s="692" t="n"/>
      <c r="V45" s="692" t="n"/>
      <c r="W45" s="692" t="n"/>
      <c r="X45" s="692" t="n"/>
      <c r="Y45" s="692" t="n"/>
      <c r="Z45" s="692" t="n"/>
      <c r="AA45" s="692" t="n"/>
      <c r="AB45" s="692" t="n"/>
      <c r="AC45" s="692" t="n"/>
      <c r="AD45" s="692" t="n"/>
      <c r="AE45" s="692" t="n"/>
      <c r="AF45" s="692" t="n"/>
      <c r="AG45" s="692" t="n"/>
      <c r="AH45" s="692" t="n"/>
      <c r="AI45" s="692" t="n"/>
      <c r="AJ45" s="692" t="n"/>
      <c r="AK45" s="692" t="n"/>
      <c r="AL45" s="692" t="n"/>
      <c r="AM45" s="692" t="n"/>
      <c r="AN45" s="692" t="n"/>
      <c r="AO45" s="692" t="n"/>
      <c r="AP45" s="692" t="n"/>
    </row>
    <row r="46">
      <c r="A46" s="692" t="n">
        <v>21</v>
      </c>
      <c r="B46" s="158" t="inlineStr">
        <is>
          <t>26.23</t>
        </is>
      </c>
      <c r="C46" s="158" t="inlineStr">
        <is>
          <t>26.33</t>
        </is>
      </c>
      <c r="D46" s="158" t="inlineStr">
        <is>
          <t>26.34</t>
        </is>
      </c>
      <c r="E46" s="158" t="n"/>
      <c r="F46" s="158" t="inlineStr">
        <is>
          <t>58.33</t>
        </is>
      </c>
      <c r="G46" s="158" t="inlineStr">
        <is>
          <t>58.52</t>
        </is>
      </c>
      <c r="H46" s="158" t="n"/>
      <c r="I46" s="158" t="n"/>
      <c r="J46" s="158" t="inlineStr">
        <is>
          <t>2:09.39</t>
        </is>
      </c>
      <c r="K46" s="158" t="n"/>
      <c r="L46" s="158" t="inlineStr">
        <is>
          <t>2:12.83</t>
        </is>
      </c>
      <c r="M46" s="158" t="inlineStr">
        <is>
          <t>2:13.22</t>
        </is>
      </c>
      <c r="N46" s="158" t="n"/>
      <c r="O46" s="158" t="n"/>
      <c r="P46" s="158" t="inlineStr">
        <is>
          <t>4:43.06</t>
        </is>
      </c>
      <c r="Q46" s="158" t="n"/>
      <c r="R46" s="158" t="n"/>
      <c r="S46" s="158" t="n"/>
      <c r="T46" s="692" t="n"/>
      <c r="U46" s="692" t="n"/>
      <c r="V46" s="692" t="n"/>
      <c r="W46" s="692" t="n"/>
      <c r="X46" s="692" t="n"/>
      <c r="Y46" s="692" t="n"/>
      <c r="Z46" s="692" t="n"/>
      <c r="AA46" s="692" t="n"/>
      <c r="AB46" s="692" t="n"/>
      <c r="AC46" s="692" t="n"/>
      <c r="AD46" s="692" t="n"/>
      <c r="AE46" s="692" t="n"/>
      <c r="AF46" s="692" t="n"/>
      <c r="AG46" s="692" t="n"/>
      <c r="AH46" s="692" t="n"/>
      <c r="AI46" s="692" t="n"/>
      <c r="AJ46" s="692" t="n"/>
      <c r="AK46" s="692" t="n"/>
      <c r="AL46" s="692" t="n"/>
      <c r="AM46" s="692" t="n"/>
      <c r="AN46" s="692" t="n"/>
      <c r="AO46" s="692" t="n"/>
      <c r="AP46" s="692" t="n"/>
    </row>
    <row r="47">
      <c r="A47" s="692" t="n">
        <v>22</v>
      </c>
      <c r="B47" s="158" t="n"/>
      <c r="C47" s="158" t="inlineStr">
        <is>
          <t>26.27</t>
        </is>
      </c>
      <c r="D47" s="158" t="inlineStr">
        <is>
          <t>26.28</t>
        </is>
      </c>
      <c r="E47" s="158" t="n"/>
      <c r="F47" s="158" t="n"/>
      <c r="G47" s="158" t="inlineStr">
        <is>
          <t>58.38</t>
        </is>
      </c>
      <c r="H47" s="158" t="n"/>
      <c r="I47" s="158" t="n"/>
      <c r="J47" s="158" t="inlineStr">
        <is>
          <t>2:09.21</t>
        </is>
      </c>
      <c r="K47" s="158" t="n"/>
      <c r="L47" s="158" t="n"/>
      <c r="M47" s="158" t="inlineStr">
        <is>
          <t>2:12.95</t>
        </is>
      </c>
      <c r="N47" s="158" t="n"/>
      <c r="O47" s="158" t="n"/>
      <c r="P47" s="158" t="n"/>
      <c r="Q47" s="158" t="n"/>
      <c r="R47" s="158" t="n"/>
      <c r="S47" s="158" t="n"/>
      <c r="T47" s="158" t="n"/>
      <c r="U47" s="692" t="n"/>
      <c r="V47" s="692" t="n"/>
      <c r="W47" s="692" t="n"/>
      <c r="X47" s="692" t="n"/>
      <c r="Y47" s="692" t="n"/>
      <c r="Z47" s="692" t="n"/>
      <c r="AA47" s="692" t="n"/>
      <c r="AB47" s="692" t="n"/>
      <c r="AC47" s="692" t="n"/>
      <c r="AD47" s="692" t="n"/>
      <c r="AE47" s="692" t="n"/>
      <c r="AF47" s="692" t="n"/>
      <c r="AG47" s="692" t="n"/>
      <c r="AH47" s="692" t="n"/>
      <c r="AI47" s="692" t="n"/>
      <c r="AJ47" s="692" t="n"/>
      <c r="AK47" s="692" t="n"/>
      <c r="AL47" s="692" t="n"/>
      <c r="AM47" s="692" t="n"/>
      <c r="AN47" s="692" t="n"/>
      <c r="AO47" s="692" t="n"/>
      <c r="AP47" s="692" t="n"/>
    </row>
    <row r="48">
      <c r="A48" s="692" t="n">
        <v>23</v>
      </c>
      <c r="B48" s="158" t="n"/>
      <c r="C48" s="158" t="inlineStr">
        <is>
          <t>26.23</t>
        </is>
      </c>
      <c r="D48" s="158" t="inlineStr">
        <is>
          <t>26.24</t>
        </is>
      </c>
      <c r="E48" s="158" t="n"/>
      <c r="F48" s="158" t="n"/>
      <c r="G48" s="158" t="inlineStr">
        <is>
          <t>58.33</t>
        </is>
      </c>
      <c r="H48" s="158" t="n"/>
      <c r="I48" s="158" t="n"/>
      <c r="J48" s="158" t="n"/>
      <c r="K48" s="158" t="n"/>
      <c r="L48" s="158" t="n"/>
      <c r="M48" s="158" t="inlineStr">
        <is>
          <t>2:12.83</t>
        </is>
      </c>
      <c r="N48" s="158" t="n"/>
      <c r="O48" s="158" t="n"/>
      <c r="P48" s="158" t="n"/>
      <c r="Q48" s="158" t="n"/>
      <c r="R48" s="158" t="n"/>
      <c r="S48" s="158" t="n"/>
      <c r="T48" s="158" t="n"/>
      <c r="U48" s="692" t="n"/>
      <c r="V48" s="692" t="n"/>
      <c r="W48" s="692" t="n"/>
      <c r="X48" s="692" t="n"/>
      <c r="Y48" s="692" t="n"/>
      <c r="Z48" s="692" t="n"/>
      <c r="AA48" s="692" t="n"/>
      <c r="AB48" s="692" t="n"/>
      <c r="AC48" s="692" t="n"/>
      <c r="AD48" s="692" t="n"/>
      <c r="AE48" s="692" t="n"/>
      <c r="AF48" s="692" t="n"/>
      <c r="AG48" s="692" t="n"/>
      <c r="AH48" s="692" t="n"/>
      <c r="AI48" s="692" t="n"/>
      <c r="AJ48" s="692" t="n"/>
      <c r="AK48" s="692" t="n"/>
      <c r="AL48" s="692" t="n"/>
      <c r="AM48" s="692" t="n"/>
      <c r="AN48" s="692" t="n"/>
      <c r="AO48" s="692" t="n"/>
      <c r="AP48" s="692" t="n"/>
    </row>
    <row r="49">
      <c r="A49" s="692" t="n">
        <v>24</v>
      </c>
      <c r="B49" s="692" t="n"/>
      <c r="C49" s="158" t="n"/>
      <c r="D49" s="158" t="inlineStr">
        <is>
          <t>26.23</t>
        </is>
      </c>
      <c r="E49" s="158" t="n"/>
      <c r="F49" s="158" t="n"/>
      <c r="G49" s="158" t="n"/>
      <c r="H49" s="158" t="n"/>
      <c r="I49" s="158" t="n"/>
      <c r="J49" s="158" t="n"/>
      <c r="K49" s="158" t="n"/>
      <c r="L49" s="158" t="n"/>
      <c r="M49" s="158" t="n"/>
      <c r="N49" s="158" t="n"/>
      <c r="O49" s="692" t="n"/>
      <c r="P49" s="692" t="n"/>
      <c r="Q49" s="692" t="n"/>
      <c r="R49" s="692" t="n"/>
      <c r="S49" s="692" t="n"/>
      <c r="T49" s="692" t="n"/>
      <c r="U49" s="692" t="n"/>
      <c r="V49" s="692" t="n"/>
      <c r="W49" s="692" t="n"/>
      <c r="X49" s="692" t="n"/>
      <c r="Y49" s="692" t="n"/>
      <c r="Z49" s="692" t="n"/>
      <c r="AA49" s="692" t="n"/>
      <c r="AB49" s="692" t="n"/>
      <c r="AC49" s="692" t="n"/>
      <c r="AD49" s="692" t="n"/>
      <c r="AE49" s="692" t="n"/>
      <c r="AF49" s="692" t="n"/>
      <c r="AG49" s="692" t="n"/>
      <c r="AH49" s="692" t="n"/>
      <c r="AI49" s="692" t="n"/>
      <c r="AJ49" s="692" t="n"/>
      <c r="AK49" s="692" t="n"/>
      <c r="AL49" s="692" t="n"/>
      <c r="AM49" s="692" t="n"/>
      <c r="AN49" s="692" t="n"/>
      <c r="AO49" s="692" t="n"/>
      <c r="AP49" s="692" t="n"/>
    </row>
    <row r="50">
      <c r="A50" s="692" t="n">
        <v>25</v>
      </c>
      <c r="B50" s="692" t="n"/>
      <c r="C50" s="158" t="n"/>
      <c r="D50" s="158" t="inlineStr">
        <is>
          <t>26.23</t>
        </is>
      </c>
      <c r="E50" s="158" t="n"/>
      <c r="F50" s="158" t="n"/>
      <c r="G50" s="158" t="n"/>
      <c r="H50" s="158" t="n"/>
      <c r="I50" s="158" t="n"/>
      <c r="J50" s="158" t="n"/>
      <c r="K50" s="158" t="n"/>
      <c r="L50" s="158" t="n"/>
      <c r="M50" s="158" t="n"/>
      <c r="N50" s="158" t="n"/>
      <c r="O50" s="692" t="n"/>
      <c r="P50" s="692" t="n"/>
      <c r="Q50" s="692" t="n"/>
      <c r="R50" s="692" t="n"/>
      <c r="S50" s="692" t="n"/>
      <c r="T50" s="692" t="n"/>
      <c r="U50" s="692" t="n"/>
      <c r="V50" s="692" t="n"/>
      <c r="W50" s="692" t="n"/>
      <c r="X50" s="692" t="n"/>
      <c r="Y50" s="692" t="n"/>
      <c r="Z50" s="692" t="n"/>
      <c r="AA50" s="692" t="n"/>
      <c r="AB50" s="692" t="n"/>
      <c r="AC50" s="692" t="n"/>
      <c r="AD50" s="692" t="n"/>
      <c r="AE50" s="692" t="n"/>
      <c r="AF50" s="692" t="n"/>
      <c r="AG50" s="692" t="n"/>
      <c r="AH50" s="692" t="n"/>
      <c r="AI50" s="692" t="n"/>
      <c r="AJ50" s="692" t="n"/>
      <c r="AK50" s="692" t="n"/>
      <c r="AL50" s="692" t="n"/>
      <c r="AM50" s="692" t="n"/>
      <c r="AN50" s="692" t="n"/>
      <c r="AO50" s="692" t="n"/>
      <c r="AP50" s="692" t="n"/>
    </row>
    <row r="51">
      <c r="A51" s="692" t="n"/>
      <c r="B51" s="692" t="n"/>
      <c r="C51" s="692" t="n"/>
      <c r="D51" s="692" t="n"/>
      <c r="E51" s="692" t="n"/>
      <c r="F51" s="692" t="n"/>
      <c r="G51" s="692" t="n"/>
      <c r="H51" s="692" t="n"/>
      <c r="I51" s="692" t="n"/>
      <c r="J51" s="692" t="n"/>
      <c r="K51" s="692" t="n"/>
      <c r="L51" s="692" t="n"/>
      <c r="M51" s="692" t="n"/>
      <c r="N51" s="692" t="n"/>
      <c r="O51" s="692" t="n"/>
      <c r="P51" s="692" t="n"/>
      <c r="Q51" s="692" t="n"/>
      <c r="R51" s="692" t="n"/>
      <c r="S51" s="692" t="n"/>
      <c r="T51" s="692" t="n"/>
      <c r="U51" s="692" t="n"/>
      <c r="V51" s="692" t="n"/>
      <c r="W51" s="692" t="n"/>
      <c r="X51" s="692" t="n"/>
      <c r="Y51" s="692" t="n"/>
      <c r="Z51" s="692" t="n"/>
      <c r="AA51" s="692" t="n"/>
      <c r="AB51" s="692" t="n"/>
      <c r="AC51" s="692" t="n"/>
      <c r="AD51" s="692" t="n"/>
      <c r="AE51" s="692" t="n"/>
      <c r="AF51" s="692" t="n"/>
      <c r="AG51" s="692" t="n"/>
      <c r="AH51" s="692" t="n"/>
      <c r="AI51" s="692" t="n"/>
      <c r="AJ51" s="692" t="n"/>
      <c r="AK51" s="692" t="n"/>
      <c r="AL51" s="692" t="n"/>
      <c r="AM51" s="692" t="n"/>
      <c r="AN51" s="692" t="n"/>
      <c r="AO51" s="692" t="n"/>
      <c r="AP51" s="692" t="n"/>
    </row>
    <row r="52">
      <c r="A52" s="692" t="n"/>
      <c r="B52" s="692" t="inlineStr">
        <is>
          <t>Male</t>
        </is>
      </c>
      <c r="C52" s="692" t="inlineStr">
        <is>
          <t>Male</t>
        </is>
      </c>
      <c r="D52" s="692" t="inlineStr">
        <is>
          <t>Male</t>
        </is>
      </c>
      <c r="E52" s="692" t="inlineStr">
        <is>
          <t>Male</t>
        </is>
      </c>
      <c r="F52" s="692" t="inlineStr">
        <is>
          <t>Male</t>
        </is>
      </c>
      <c r="G52" s="692" t="inlineStr">
        <is>
          <t>Male</t>
        </is>
      </c>
      <c r="H52" s="692" t="inlineStr">
        <is>
          <t>Male</t>
        </is>
      </c>
      <c r="I52" s="692" t="inlineStr">
        <is>
          <t>Male</t>
        </is>
      </c>
      <c r="J52" s="692" t="inlineStr">
        <is>
          <t>Male</t>
        </is>
      </c>
      <c r="K52" s="692" t="inlineStr">
        <is>
          <t>Male</t>
        </is>
      </c>
      <c r="L52" s="692" t="inlineStr">
        <is>
          <t>Male</t>
        </is>
      </c>
      <c r="M52" s="692" t="inlineStr">
        <is>
          <t>Male</t>
        </is>
      </c>
      <c r="N52" s="692" t="inlineStr">
        <is>
          <t>Male</t>
        </is>
      </c>
      <c r="O52" s="692" t="inlineStr">
        <is>
          <t>Male</t>
        </is>
      </c>
      <c r="P52" s="692" t="inlineStr">
        <is>
          <t>Male</t>
        </is>
      </c>
      <c r="Q52" s="692" t="inlineStr">
        <is>
          <t>Male</t>
        </is>
      </c>
      <c r="R52" s="692" t="inlineStr">
        <is>
          <t>Male</t>
        </is>
      </c>
      <c r="S52" s="692" t="inlineStr">
        <is>
          <t>Male</t>
        </is>
      </c>
      <c r="T52" s="692" t="n"/>
      <c r="U52" s="158" t="n"/>
      <c r="V52" s="692" t="n"/>
      <c r="W52" s="692" t="n"/>
      <c r="X52" s="692" t="n"/>
      <c r="Y52" s="692" t="n"/>
      <c r="Z52" s="692" t="n"/>
      <c r="AA52" s="692" t="n"/>
      <c r="AB52" s="692" t="n"/>
      <c r="AC52" s="692" t="n"/>
      <c r="AD52" s="692" t="n"/>
      <c r="AE52" s="692" t="n"/>
      <c r="AF52" s="692" t="n"/>
      <c r="AG52" s="692" t="n"/>
      <c r="AH52" s="692" t="n"/>
      <c r="AI52" s="692" t="n"/>
      <c r="AJ52" s="692" t="n"/>
      <c r="AK52" s="692" t="n"/>
      <c r="AL52" s="692" t="n"/>
      <c r="AM52" s="692" t="n"/>
      <c r="AN52" s="692" t="n"/>
      <c r="AO52" s="692" t="n"/>
      <c r="AP52" s="692" t="n"/>
    </row>
    <row r="53">
      <c r="A53" s="692" t="n"/>
      <c r="B53" s="692" t="inlineStr">
        <is>
          <t>50 Free</t>
        </is>
      </c>
      <c r="C53" s="692" t="inlineStr">
        <is>
          <t>50 Free</t>
        </is>
      </c>
      <c r="D53" s="692" t="inlineStr">
        <is>
          <t>50 Free</t>
        </is>
      </c>
      <c r="E53" s="692" t="inlineStr">
        <is>
          <t>100 Free</t>
        </is>
      </c>
      <c r="F53" s="692" t="inlineStr">
        <is>
          <t>100 Free</t>
        </is>
      </c>
      <c r="G53" s="692" t="inlineStr">
        <is>
          <t>100 Free</t>
        </is>
      </c>
      <c r="H53" s="692" t="inlineStr">
        <is>
          <t>200 Free</t>
        </is>
      </c>
      <c r="I53" s="692" t="inlineStr">
        <is>
          <t>200 Free</t>
        </is>
      </c>
      <c r="J53" s="692" t="inlineStr">
        <is>
          <t>200 Free</t>
        </is>
      </c>
      <c r="K53" s="692" t="inlineStr">
        <is>
          <t>400 Free</t>
        </is>
      </c>
      <c r="L53" s="692" t="inlineStr">
        <is>
          <t>400 Free</t>
        </is>
      </c>
      <c r="M53" s="692" t="inlineStr">
        <is>
          <t>400 Free</t>
        </is>
      </c>
      <c r="N53" s="692" t="inlineStr">
        <is>
          <t>800 Free</t>
        </is>
      </c>
      <c r="O53" s="692" t="inlineStr">
        <is>
          <t>800 Free</t>
        </is>
      </c>
      <c r="P53" s="692" t="inlineStr">
        <is>
          <t>800 Free</t>
        </is>
      </c>
      <c r="Q53" s="692" t="inlineStr">
        <is>
          <t>1500 Free</t>
        </is>
      </c>
      <c r="R53" s="692" t="inlineStr">
        <is>
          <t>1500 Free</t>
        </is>
      </c>
      <c r="S53" s="692" t="inlineStr">
        <is>
          <t>1500 Free</t>
        </is>
      </c>
      <c r="T53" s="692" t="n"/>
      <c r="U53" s="692" t="n"/>
      <c r="V53" s="692" t="n"/>
      <c r="W53" s="692" t="n"/>
      <c r="X53" s="692" t="n"/>
      <c r="Y53" s="692" t="n"/>
      <c r="Z53" s="692" t="n"/>
      <c r="AA53" s="692" t="n"/>
      <c r="AB53" s="692" t="n"/>
      <c r="AC53" s="692" t="n"/>
      <c r="AD53" s="692" t="n"/>
      <c r="AE53" s="692" t="n"/>
      <c r="AF53" s="692" t="n"/>
      <c r="AG53" s="692" t="n"/>
      <c r="AH53" s="692" t="n"/>
      <c r="AI53" s="692" t="n"/>
      <c r="AJ53" s="692" t="n"/>
      <c r="AK53" s="692" t="n"/>
      <c r="AL53" s="692" t="n"/>
      <c r="AM53" s="692" t="n"/>
      <c r="AN53" s="692" t="n"/>
      <c r="AO53" s="692" t="n"/>
      <c r="AP53" s="692" t="n"/>
    </row>
    <row r="54">
      <c r="A54" s="692" t="n"/>
      <c r="B54" s="692" t="inlineStr">
        <is>
          <t>Track 1</t>
        </is>
      </c>
      <c r="C54" s="692" t="inlineStr">
        <is>
          <t>Track 2</t>
        </is>
      </c>
      <c r="D54" s="692" t="inlineStr">
        <is>
          <t>Track 3</t>
        </is>
      </c>
      <c r="E54" s="692" t="inlineStr">
        <is>
          <t>Track 1</t>
        </is>
      </c>
      <c r="F54" s="692" t="inlineStr">
        <is>
          <t>Track 2</t>
        </is>
      </c>
      <c r="G54" s="692" t="inlineStr">
        <is>
          <t>Track 3</t>
        </is>
      </c>
      <c r="H54" s="692" t="inlineStr">
        <is>
          <t>Track 1</t>
        </is>
      </c>
      <c r="I54" s="692" t="inlineStr">
        <is>
          <t>Track 2</t>
        </is>
      </c>
      <c r="J54" s="692" t="inlineStr">
        <is>
          <t>Track 3</t>
        </is>
      </c>
      <c r="K54" s="692" t="inlineStr">
        <is>
          <t>Track 1</t>
        </is>
      </c>
      <c r="L54" s="692" t="inlineStr">
        <is>
          <t>Track 2</t>
        </is>
      </c>
      <c r="M54" s="692" t="inlineStr">
        <is>
          <t>Track 3</t>
        </is>
      </c>
      <c r="N54" s="692" t="inlineStr">
        <is>
          <t>Track 1</t>
        </is>
      </c>
      <c r="O54" s="692" t="inlineStr">
        <is>
          <t>Track 2</t>
        </is>
      </c>
      <c r="P54" s="692" t="inlineStr">
        <is>
          <t>Track 3</t>
        </is>
      </c>
      <c r="Q54" s="692" t="inlineStr">
        <is>
          <t>Track 1</t>
        </is>
      </c>
      <c r="R54" s="692" t="inlineStr">
        <is>
          <t>Track 2</t>
        </is>
      </c>
      <c r="S54" s="692" t="inlineStr">
        <is>
          <t>Track 3</t>
        </is>
      </c>
      <c r="T54" s="692" t="n"/>
      <c r="U54" s="692" t="n"/>
      <c r="V54" s="692" t="n"/>
      <c r="W54" s="692" t="n"/>
      <c r="X54" s="692" t="n"/>
      <c r="Y54" s="692" t="n"/>
      <c r="Z54" s="692" t="n"/>
      <c r="AA54" s="692" t="n"/>
      <c r="AB54" s="692" t="n"/>
      <c r="AC54" s="692" t="n"/>
      <c r="AD54" s="692" t="n"/>
      <c r="AE54" s="692" t="n"/>
      <c r="AF54" s="692" t="n"/>
      <c r="AG54" s="692" t="n"/>
      <c r="AH54" s="692" t="n"/>
      <c r="AI54" s="692" t="n"/>
      <c r="AJ54" s="692" t="n"/>
      <c r="AK54" s="692" t="n"/>
      <c r="AL54" s="692" t="n"/>
      <c r="AM54" s="692" t="n"/>
      <c r="AN54" s="692" t="n"/>
      <c r="AO54" s="692" t="n"/>
      <c r="AP54" s="692" t="n"/>
    </row>
    <row r="55">
      <c r="A55" s="692" t="n">
        <v>15</v>
      </c>
      <c r="B55" s="692" t="n"/>
      <c r="C55" s="692" t="n"/>
      <c r="D55" s="692" t="n"/>
      <c r="E55" s="158" t="inlineStr">
        <is>
          <t>53.28</t>
        </is>
      </c>
      <c r="F55" s="692" t="n"/>
      <c r="G55" s="692" t="n"/>
      <c r="H55" s="158" t="inlineStr">
        <is>
          <t>1:56.62</t>
        </is>
      </c>
      <c r="I55" s="692" t="n"/>
      <c r="J55" s="692" t="n"/>
      <c r="K55" s="158" t="inlineStr">
        <is>
          <t>4:08.91</t>
        </is>
      </c>
      <c r="L55" s="692" t="n"/>
      <c r="M55" s="692" t="n"/>
      <c r="N55" s="158" t="inlineStr">
        <is>
          <t>8:31.10</t>
        </is>
      </c>
      <c r="O55" s="692" t="n"/>
      <c r="P55" s="692" t="n"/>
      <c r="Q55" s="158" t="inlineStr">
        <is>
          <t>16:17.69</t>
        </is>
      </c>
      <c r="R55" s="692" t="n"/>
      <c r="S55" s="692" t="n"/>
      <c r="T55" s="692" t="n"/>
      <c r="U55" s="692" t="n"/>
      <c r="V55" s="692" t="n"/>
      <c r="W55" s="692" t="n"/>
      <c r="X55" s="692" t="n"/>
      <c r="Y55" s="692" t="n"/>
      <c r="Z55" s="692" t="n"/>
      <c r="AA55" s="158" t="n"/>
      <c r="AB55" s="158" t="n"/>
      <c r="AC55" s="158" t="n"/>
      <c r="AD55" s="158" t="n"/>
      <c r="AE55" s="158" t="n"/>
      <c r="AF55" s="158" t="n"/>
      <c r="AG55" s="158" t="n"/>
      <c r="AH55" s="158" t="n"/>
      <c r="AI55" s="692" t="n"/>
      <c r="AJ55" s="692" t="n"/>
      <c r="AK55" s="692" t="n"/>
      <c r="AL55" s="692" t="n"/>
      <c r="AM55" s="692" t="n"/>
      <c r="AN55" s="692" t="n"/>
      <c r="AO55" s="692" t="n"/>
      <c r="AP55" s="692" t="n"/>
    </row>
    <row r="56">
      <c r="A56" s="692" t="n">
        <v>16</v>
      </c>
      <c r="B56" s="692" t="n"/>
      <c r="C56" s="692" t="n"/>
      <c r="D56" s="692" t="n"/>
      <c r="E56" s="158" t="inlineStr">
        <is>
          <t>51.48</t>
        </is>
      </c>
      <c r="F56" s="158" t="inlineStr">
        <is>
          <t>52.43</t>
        </is>
      </c>
      <c r="G56" s="692" t="n"/>
      <c r="H56" s="158" t="inlineStr">
        <is>
          <t>1:52.75</t>
        </is>
      </c>
      <c r="I56" s="158" t="inlineStr">
        <is>
          <t>1:54.33</t>
        </is>
      </c>
      <c r="J56" s="692" t="n"/>
      <c r="K56" s="158" t="inlineStr">
        <is>
          <t>4:00.79</t>
        </is>
      </c>
      <c r="L56" s="158" t="inlineStr">
        <is>
          <t>4:03.63</t>
        </is>
      </c>
      <c r="M56" s="692" t="n"/>
      <c r="N56" s="158" t="inlineStr">
        <is>
          <t>8:14.62</t>
        </is>
      </c>
      <c r="O56" s="158" t="inlineStr">
        <is>
          <t>8:20.18</t>
        </is>
      </c>
      <c r="P56" s="692" t="n"/>
      <c r="Q56" s="158" t="inlineStr">
        <is>
          <t>15:46.32</t>
        </is>
      </c>
      <c r="R56" s="158" t="inlineStr">
        <is>
          <t>15:53.70</t>
        </is>
      </c>
      <c r="S56" s="692" t="n"/>
      <c r="T56" s="692" t="n"/>
      <c r="U56" s="692" t="n"/>
      <c r="V56" s="692" t="n"/>
      <c r="W56" s="692" t="n"/>
      <c r="X56" s="692" t="n"/>
      <c r="Y56" s="692" t="n"/>
      <c r="Z56" s="692" t="n"/>
      <c r="AA56" s="692" t="n"/>
      <c r="AB56" s="692" t="n"/>
      <c r="AC56" s="692" t="n"/>
      <c r="AD56" s="692" t="n"/>
      <c r="AE56" s="692" t="n"/>
      <c r="AF56" s="692" t="n"/>
      <c r="AG56" s="158" t="n"/>
      <c r="AH56" s="158" t="n"/>
      <c r="AI56" s="692" t="n"/>
      <c r="AJ56" s="692" t="n"/>
      <c r="AK56" s="692" t="n"/>
      <c r="AL56" s="692" t="n"/>
      <c r="AM56" s="692" t="n"/>
      <c r="AN56" s="692" t="n"/>
      <c r="AO56" s="692" t="n"/>
      <c r="AP56" s="692" t="n"/>
    </row>
    <row r="57">
      <c r="A57" s="692" t="n">
        <v>17</v>
      </c>
      <c r="B57" s="158" t="inlineStr">
        <is>
          <t>23.44</t>
        </is>
      </c>
      <c r="C57" s="692" t="n"/>
      <c r="D57" s="692" t="n"/>
      <c r="E57" s="158" t="inlineStr">
        <is>
          <t>50.09</t>
        </is>
      </c>
      <c r="F57" s="158" t="inlineStr">
        <is>
          <t>51.02</t>
        </is>
      </c>
      <c r="G57" s="158" t="inlineStr">
        <is>
          <t>51.44</t>
        </is>
      </c>
      <c r="H57" s="158" t="inlineStr">
        <is>
          <t>1:49.93</t>
        </is>
      </c>
      <c r="I57" s="158" t="inlineStr">
        <is>
          <t>1:51.47</t>
        </is>
      </c>
      <c r="J57" s="158" t="inlineStr">
        <is>
          <t>1:52.04</t>
        </is>
      </c>
      <c r="K57" s="158" t="inlineStr">
        <is>
          <t>3:54.84</t>
        </is>
      </c>
      <c r="L57" s="158" t="inlineStr">
        <is>
          <t>3:57.61</t>
        </is>
      </c>
      <c r="M57" s="158" t="inlineStr">
        <is>
          <t>3:58.24</t>
        </is>
      </c>
      <c r="N57" s="158" t="inlineStr">
        <is>
          <t>8:02.43</t>
        </is>
      </c>
      <c r="O57" s="158" t="inlineStr">
        <is>
          <t>8:07.85</t>
        </is>
      </c>
      <c r="P57" s="158" t="inlineStr">
        <is>
          <t>8:09.69</t>
        </is>
      </c>
      <c r="Q57" s="158" t="inlineStr">
        <is>
          <t>15:24.14</t>
        </is>
      </c>
      <c r="R57" s="158" t="inlineStr">
        <is>
          <t>15:31.34</t>
        </is>
      </c>
      <c r="S57" s="158" t="inlineStr">
        <is>
          <t>15:33.06</t>
        </is>
      </c>
      <c r="T57" s="692" t="n"/>
      <c r="U57" s="692" t="n"/>
      <c r="V57" s="692" t="n"/>
      <c r="W57" s="692" t="n"/>
      <c r="X57" s="692" t="n"/>
      <c r="Y57" s="692" t="n"/>
      <c r="Z57" s="692" t="n"/>
      <c r="AA57" s="692" t="n"/>
      <c r="AB57" s="692" t="n"/>
      <c r="AC57" s="692" t="n"/>
      <c r="AD57" s="692" t="n"/>
      <c r="AE57" s="692" t="n"/>
      <c r="AF57" s="692" t="n"/>
      <c r="AG57" s="692" t="n"/>
      <c r="AH57" s="158" t="n"/>
      <c r="AI57" s="692" t="n"/>
      <c r="AJ57" s="692" t="n"/>
      <c r="AK57" s="692" t="n"/>
      <c r="AL57" s="692" t="n"/>
      <c r="AM57" s="692" t="n"/>
      <c r="AN57" s="692" t="n"/>
      <c r="AO57" s="692" t="n"/>
      <c r="AP57" s="692" t="n"/>
    </row>
    <row r="58">
      <c r="A58" s="692" t="n">
        <v>18</v>
      </c>
      <c r="B58" s="158" t="inlineStr">
        <is>
          <t>22.91</t>
        </is>
      </c>
      <c r="C58" s="158" t="inlineStr">
        <is>
          <t>23.09</t>
        </is>
      </c>
      <c r="D58" s="692" t="n"/>
      <c r="E58" s="158" t="inlineStr">
        <is>
          <t>49.07</t>
        </is>
      </c>
      <c r="F58" s="158" t="inlineStr">
        <is>
          <t>49.98</t>
        </is>
      </c>
      <c r="G58" s="158" t="inlineStr">
        <is>
          <t>50.39</t>
        </is>
      </c>
      <c r="H58" s="158" t="inlineStr">
        <is>
          <t>1:48.02</t>
        </is>
      </c>
      <c r="I58" s="158" t="inlineStr">
        <is>
          <t>1:49.53</t>
        </is>
      </c>
      <c r="J58" s="158" t="inlineStr">
        <is>
          <t>1:50.09</t>
        </is>
      </c>
      <c r="K58" s="158" t="inlineStr">
        <is>
          <t>3:50.84</t>
        </is>
      </c>
      <c r="L58" s="158" t="inlineStr">
        <is>
          <t>3:53.56</t>
        </is>
      </c>
      <c r="M58" s="158" t="inlineStr">
        <is>
          <t>3:54.18</t>
        </is>
      </c>
      <c r="N58" s="158" t="inlineStr">
        <is>
          <t>7:54.03</t>
        </is>
      </c>
      <c r="O58" s="158" t="inlineStr">
        <is>
          <t>7:59.36</t>
        </is>
      </c>
      <c r="P58" s="158" t="inlineStr">
        <is>
          <t>8:01.16</t>
        </is>
      </c>
      <c r="Q58" s="158" t="inlineStr">
        <is>
          <t>15:10.35</t>
        </is>
      </c>
      <c r="R58" s="158" t="inlineStr">
        <is>
          <t>15:17.45</t>
        </is>
      </c>
      <c r="S58" s="158" t="inlineStr">
        <is>
          <t>15:19.13</t>
        </is>
      </c>
      <c r="T58" s="692" t="n"/>
      <c r="U58" s="692" t="n"/>
      <c r="V58" s="692" t="n"/>
      <c r="W58" s="692" t="n"/>
      <c r="X58" s="692" t="n"/>
      <c r="Y58" s="692" t="n"/>
      <c r="Z58" s="692" t="n"/>
      <c r="AA58" s="692" t="n"/>
      <c r="AB58" s="692" t="n"/>
      <c r="AC58" s="692" t="n"/>
      <c r="AD58" s="692" t="n"/>
      <c r="AE58" s="692" t="n"/>
      <c r="AF58" s="692" t="n"/>
      <c r="AG58" s="692" t="n"/>
      <c r="AH58" s="692" t="n"/>
      <c r="AI58" s="692" t="n"/>
      <c r="AJ58" s="692" t="n"/>
      <c r="AK58" s="692" t="n"/>
      <c r="AL58" s="692" t="n"/>
      <c r="AM58" s="692" t="n"/>
      <c r="AN58" s="692" t="n"/>
      <c r="AO58" s="692" t="n"/>
      <c r="AP58" s="692" t="n"/>
    </row>
    <row r="59">
      <c r="A59" s="692" t="n">
        <v>19</v>
      </c>
      <c r="B59" s="158" t="inlineStr">
        <is>
          <t>22.52</t>
        </is>
      </c>
      <c r="C59" s="158" t="inlineStr">
        <is>
          <t>22.69</t>
        </is>
      </c>
      <c r="D59" s="158" t="inlineStr">
        <is>
          <t>22.74</t>
        </is>
      </c>
      <c r="E59" s="158" t="inlineStr">
        <is>
          <t>48.34</t>
        </is>
      </c>
      <c r="F59" s="158" t="inlineStr">
        <is>
          <t>49.23</t>
        </is>
      </c>
      <c r="G59" s="158" t="inlineStr">
        <is>
          <t>49.64</t>
        </is>
      </c>
      <c r="H59" s="158" t="inlineStr">
        <is>
          <t>1:46.70</t>
        </is>
      </c>
      <c r="I59" s="158" t="inlineStr">
        <is>
          <t>1:48.20</t>
        </is>
      </c>
      <c r="J59" s="158" t="inlineStr">
        <is>
          <t>1:48.75</t>
        </is>
      </c>
      <c r="K59" s="158" t="inlineStr">
        <is>
          <t>3:48.15</t>
        </is>
      </c>
      <c r="L59" s="158" t="inlineStr">
        <is>
          <t>3:50.84</t>
        </is>
      </c>
      <c r="M59" s="158" t="inlineStr">
        <is>
          <t>3:51.45</t>
        </is>
      </c>
      <c r="N59" s="158" t="inlineStr">
        <is>
          <t>7:48.66</t>
        </is>
      </c>
      <c r="O59" s="158" t="inlineStr">
        <is>
          <t>7:53.93</t>
        </is>
      </c>
      <c r="P59" s="158" t="inlineStr">
        <is>
          <t>7:55.71</t>
        </is>
      </c>
      <c r="Q59" s="158" t="inlineStr">
        <is>
          <t>15:01.89</t>
        </is>
      </c>
      <c r="R59" s="158" t="inlineStr">
        <is>
          <t>15:08.92</t>
        </is>
      </c>
      <c r="S59" s="158" t="inlineStr">
        <is>
          <t>15:10.59</t>
        </is>
      </c>
      <c r="T59" s="692" t="n"/>
      <c r="U59" s="692" t="n"/>
      <c r="V59" s="692" t="n"/>
      <c r="W59" s="692" t="n"/>
      <c r="X59" s="692" t="n"/>
      <c r="Y59" s="692" t="n"/>
      <c r="Z59" s="692" t="n"/>
      <c r="AA59" s="692" t="n"/>
      <c r="AB59" s="692" t="n"/>
      <c r="AC59" s="692" t="n"/>
      <c r="AD59" s="692" t="n"/>
      <c r="AE59" s="158" t="n"/>
      <c r="AF59" s="158" t="n"/>
      <c r="AG59" s="158" t="n"/>
      <c r="AH59" s="158" t="n"/>
      <c r="AI59" s="692" t="n"/>
      <c r="AJ59" s="692" t="n"/>
      <c r="AK59" s="692" t="n"/>
      <c r="AL59" s="692" t="n"/>
      <c r="AM59" s="692" t="n"/>
      <c r="AN59" s="692" t="n"/>
      <c r="AO59" s="692" t="n"/>
      <c r="AP59" s="692" t="n"/>
    </row>
    <row r="60">
      <c r="A60" s="692" t="n">
        <v>20</v>
      </c>
      <c r="B60" s="158" t="inlineStr">
        <is>
          <t>22.24</t>
        </is>
      </c>
      <c r="C60" s="158" t="inlineStr">
        <is>
          <t>22.41</t>
        </is>
      </c>
      <c r="D60" s="158" t="inlineStr">
        <is>
          <t>22.46</t>
        </is>
      </c>
      <c r="E60" s="692" t="n"/>
      <c r="F60" s="158" t="inlineStr">
        <is>
          <t>48.72</t>
        </is>
      </c>
      <c r="G60" s="692" t="n">
        <v>49.12</v>
      </c>
      <c r="H60" s="692" t="n"/>
      <c r="I60" s="158" t="inlineStr">
        <is>
          <t>1:47.30</t>
        </is>
      </c>
      <c r="J60" s="158" t="inlineStr">
        <is>
          <t>1:47.84</t>
        </is>
      </c>
      <c r="K60" s="158" t="n"/>
      <c r="L60" s="158" t="inlineStr">
        <is>
          <t>3:49.11</t>
        </is>
      </c>
      <c r="M60" s="158" t="inlineStr">
        <is>
          <t>3:49.72</t>
        </is>
      </c>
      <c r="N60" s="158" t="n"/>
      <c r="O60" s="158" t="inlineStr">
        <is>
          <t>7:50.66</t>
        </is>
      </c>
      <c r="P60" s="158" t="inlineStr">
        <is>
          <t>7:52.43</t>
        </is>
      </c>
      <c r="Q60" s="158" t="n"/>
      <c r="R60" s="158" t="inlineStr">
        <is>
          <t>15:04.13</t>
        </is>
      </c>
      <c r="S60" s="158" t="inlineStr">
        <is>
          <t>15:05.79</t>
        </is>
      </c>
      <c r="T60" s="692" t="n"/>
      <c r="U60" s="692" t="n"/>
      <c r="V60" s="692" t="n"/>
      <c r="W60" s="692" t="n"/>
      <c r="X60" s="692" t="n"/>
      <c r="Y60" s="692" t="n"/>
      <c r="Z60" s="692" t="n"/>
      <c r="AA60" s="692" t="n"/>
      <c r="AB60" s="692" t="n"/>
      <c r="AC60" s="692" t="n"/>
      <c r="AD60" s="692" t="n"/>
      <c r="AE60" s="692" t="n"/>
      <c r="AF60" s="692" t="n"/>
      <c r="AG60" s="158" t="n"/>
      <c r="AH60" s="158" t="n"/>
      <c r="AI60" s="158" t="n"/>
      <c r="AJ60" s="158" t="n"/>
      <c r="AK60" s="158" t="n"/>
      <c r="AL60" s="692" t="n"/>
      <c r="AM60" s="692" t="n"/>
      <c r="AN60" s="692" t="n"/>
      <c r="AO60" s="692" t="n"/>
      <c r="AP60" s="692" t="n"/>
    </row>
    <row r="61">
      <c r="A61" s="692" t="n">
        <v>21</v>
      </c>
      <c r="B61" s="158" t="inlineStr">
        <is>
          <t>22.05</t>
        </is>
      </c>
      <c r="C61" s="158" t="inlineStr">
        <is>
          <t>22.22</t>
        </is>
      </c>
      <c r="D61" s="158" t="inlineStr">
        <is>
          <t>22.27</t>
        </is>
      </c>
      <c r="E61" s="692" t="n"/>
      <c r="F61" s="158" t="inlineStr">
        <is>
          <t>48.34</t>
        </is>
      </c>
      <c r="G61" s="158" t="inlineStr">
        <is>
          <t>48.74</t>
        </is>
      </c>
      <c r="H61" s="158" t="n"/>
      <c r="I61" s="158" t="inlineStr">
        <is>
          <t>1:46.70</t>
        </is>
      </c>
      <c r="J61" s="158" t="inlineStr">
        <is>
          <t>1:47.24</t>
        </is>
      </c>
      <c r="K61" s="158" t="n"/>
      <c r="L61" s="158" t="inlineStr">
        <is>
          <t>3:48.15</t>
        </is>
      </c>
      <c r="M61" s="158" t="inlineStr">
        <is>
          <t>3:48.75</t>
        </is>
      </c>
      <c r="N61" s="158" t="n"/>
      <c r="O61" s="158" t="inlineStr">
        <is>
          <t>7:48.66</t>
        </is>
      </c>
      <c r="P61" s="158" t="inlineStr">
        <is>
          <t>7:50.42</t>
        </is>
      </c>
      <c r="Q61" s="158" t="n"/>
      <c r="R61" s="158" t="inlineStr">
        <is>
          <t>15:01.89</t>
        </is>
      </c>
      <c r="S61" s="158" t="inlineStr">
        <is>
          <t>15:03.55</t>
        </is>
      </c>
      <c r="T61" s="692" t="n"/>
      <c r="U61" s="692" t="n"/>
      <c r="V61" s="692" t="n"/>
      <c r="W61" s="692" t="n"/>
      <c r="X61" s="692" t="n"/>
      <c r="Y61" s="692" t="n"/>
      <c r="Z61" s="692" t="n"/>
      <c r="AA61" s="692" t="n"/>
      <c r="AB61" s="158" t="n"/>
      <c r="AC61" s="158" t="n"/>
      <c r="AD61" s="158" t="n"/>
      <c r="AE61" s="158" t="n"/>
      <c r="AF61" s="158" t="n"/>
      <c r="AG61" s="158" t="n"/>
      <c r="AH61" s="158" t="n"/>
      <c r="AI61" s="158" t="n"/>
      <c r="AJ61" s="158" t="n"/>
      <c r="AK61" s="158" t="n"/>
      <c r="AL61" s="158" t="n"/>
      <c r="AM61" s="158" t="n"/>
      <c r="AN61" s="158" t="n"/>
      <c r="AO61" s="158" t="n"/>
      <c r="AP61" s="158" t="n"/>
    </row>
    <row r="62">
      <c r="A62" s="692" t="n">
        <v>22</v>
      </c>
      <c r="B62" s="692" t="n"/>
      <c r="C62" s="158" t="inlineStr">
        <is>
          <t>22.11</t>
        </is>
      </c>
      <c r="D62" s="158" t="inlineStr">
        <is>
          <t>22.15</t>
        </is>
      </c>
      <c r="E62" s="692" t="n"/>
      <c r="F62" s="692" t="n"/>
      <c r="G62" s="158" t="inlineStr">
        <is>
          <t>48.49</t>
        </is>
      </c>
      <c r="H62" s="692" t="n"/>
      <c r="I62" s="692" t="n"/>
      <c r="J62" s="158" t="inlineStr">
        <is>
          <t>1:46.88</t>
        </is>
      </c>
      <c r="K62" s="692" t="n"/>
      <c r="L62" s="692" t="n"/>
      <c r="M62" s="158" t="inlineStr">
        <is>
          <t>3:48.27</t>
        </is>
      </c>
      <c r="N62" s="692" t="n"/>
      <c r="O62" s="692" t="n"/>
      <c r="P62" s="158" t="inlineStr">
        <is>
          <t>7:49.18</t>
        </is>
      </c>
      <c r="Q62" s="692" t="n"/>
      <c r="R62" s="692" t="n"/>
      <c r="S62" s="158" t="inlineStr">
        <is>
          <t>15:02.44</t>
        </is>
      </c>
      <c r="T62" s="692" t="n"/>
      <c r="U62" s="692" t="n"/>
      <c r="V62" s="692" t="n"/>
      <c r="W62" s="692" t="n"/>
      <c r="X62" s="692" t="n"/>
      <c r="Y62" s="158" t="n"/>
      <c r="Z62" s="158" t="n"/>
      <c r="AA62" s="158" t="n"/>
      <c r="AB62" s="158" t="n"/>
      <c r="AC62" s="158" t="n"/>
      <c r="AD62" s="158" t="n"/>
      <c r="AE62" s="158" t="n"/>
      <c r="AF62" s="158" t="n"/>
      <c r="AG62" s="158" t="n"/>
      <c r="AH62" s="158" t="n"/>
      <c r="AI62" s="692" t="n"/>
      <c r="AJ62" s="692" t="n"/>
      <c r="AK62" s="692" t="n"/>
      <c r="AL62" s="692" t="n"/>
      <c r="AM62" s="692" t="n"/>
      <c r="AN62" s="692" t="n"/>
      <c r="AO62" s="692" t="n"/>
      <c r="AP62" s="692" t="n"/>
    </row>
    <row r="63">
      <c r="A63" s="692" t="n">
        <v>23</v>
      </c>
      <c r="B63" s="692" t="n"/>
      <c r="C63" s="158" t="inlineStr">
        <is>
          <t>22.05</t>
        </is>
      </c>
      <c r="D63" s="158" t="inlineStr">
        <is>
          <t>22.09</t>
        </is>
      </c>
      <c r="E63" s="692" t="n"/>
      <c r="F63" s="692" t="n"/>
      <c r="G63" s="158" t="inlineStr">
        <is>
          <t>48.34</t>
        </is>
      </c>
      <c r="H63" s="692" t="n"/>
      <c r="I63" s="692" t="n"/>
      <c r="J63" s="158" t="inlineStr">
        <is>
          <t>1:46.70</t>
        </is>
      </c>
      <c r="K63" s="692" t="n"/>
      <c r="L63" s="692" t="n"/>
      <c r="M63" s="158" t="inlineStr">
        <is>
          <t>3:48.15</t>
        </is>
      </c>
      <c r="N63" s="692" t="n"/>
      <c r="O63" s="692" t="n"/>
      <c r="P63" s="158" t="inlineStr">
        <is>
          <t>7:48.66</t>
        </is>
      </c>
      <c r="Q63" s="692" t="n"/>
      <c r="R63" s="692" t="n"/>
      <c r="S63" s="158" t="inlineStr">
        <is>
          <t>15:01.89</t>
        </is>
      </c>
      <c r="T63" s="158" t="n"/>
      <c r="U63" s="692" t="n"/>
      <c r="V63" s="692" t="n"/>
      <c r="W63" s="158" t="n"/>
      <c r="X63" s="158" t="n"/>
      <c r="Y63" s="158" t="n"/>
      <c r="Z63" s="158" t="n"/>
      <c r="AA63" s="158" t="n"/>
      <c r="AB63" s="158" t="n"/>
      <c r="AC63" s="158" t="n"/>
      <c r="AD63" s="158" t="n"/>
      <c r="AE63" s="158" t="n"/>
      <c r="AF63" s="158" t="n"/>
      <c r="AG63" s="158" t="n"/>
      <c r="AH63" s="158" t="n"/>
      <c r="AI63" s="692" t="n"/>
      <c r="AJ63" s="692" t="n"/>
      <c r="AK63" s="692" t="n"/>
      <c r="AL63" s="692" t="n"/>
      <c r="AM63" s="692" t="n"/>
      <c r="AN63" s="692" t="n"/>
      <c r="AO63" s="692" t="n"/>
      <c r="AP63" s="692" t="n"/>
    </row>
    <row r="64">
      <c r="A64" s="692" t="n">
        <v>24</v>
      </c>
      <c r="B64" s="692" t="n"/>
      <c r="C64" s="692" t="n"/>
      <c r="D64" s="158" t="inlineStr">
        <is>
          <t>22.06</t>
        </is>
      </c>
      <c r="E64" s="692" t="n"/>
      <c r="F64" s="692" t="n"/>
      <c r="G64" s="692" t="n"/>
      <c r="H64" s="692" t="n"/>
      <c r="I64" s="692" t="n"/>
      <c r="J64" s="692" t="n"/>
      <c r="K64" s="692" t="n"/>
      <c r="L64" s="692" t="n"/>
      <c r="M64" s="692" t="n"/>
      <c r="N64" s="692" t="n"/>
      <c r="O64" s="692" t="n"/>
      <c r="P64" s="692" t="n"/>
      <c r="Q64" s="692" t="n"/>
      <c r="R64" s="692" t="n"/>
      <c r="S64" s="692" t="n"/>
      <c r="T64" s="158" t="n"/>
      <c r="U64" s="692" t="n"/>
      <c r="V64" s="692" t="n"/>
      <c r="W64" s="158" t="n"/>
      <c r="X64" s="158" t="n"/>
      <c r="Y64" s="158" t="n"/>
      <c r="Z64" s="158" t="n"/>
      <c r="AA64" s="158" t="n"/>
      <c r="AB64" s="158" t="n"/>
      <c r="AC64" s="158" t="n"/>
      <c r="AD64" s="158" t="n"/>
      <c r="AE64" s="158" t="n"/>
      <c r="AF64" s="158" t="n"/>
      <c r="AG64" s="158" t="n"/>
      <c r="AH64" s="158" t="n"/>
      <c r="AI64" s="692" t="n"/>
      <c r="AJ64" s="692" t="n"/>
      <c r="AK64" s="692" t="n"/>
      <c r="AL64" s="692" t="n"/>
      <c r="AM64" s="692" t="n"/>
      <c r="AN64" s="692" t="n"/>
      <c r="AO64" s="692" t="n"/>
      <c r="AP64" s="692" t="n"/>
    </row>
    <row r="65">
      <c r="A65" s="692" t="n">
        <v>25</v>
      </c>
      <c r="B65" s="692" t="n"/>
      <c r="C65" s="692" t="n"/>
      <c r="D65" s="158" t="inlineStr">
        <is>
          <t>22.05</t>
        </is>
      </c>
      <c r="E65" s="692" t="n"/>
      <c r="F65" s="692" t="n"/>
      <c r="G65" s="692" t="n"/>
      <c r="H65" s="692" t="n"/>
      <c r="I65" s="692" t="n"/>
      <c r="J65" s="692" t="n"/>
      <c r="K65" s="692" t="n"/>
      <c r="L65" s="692" t="n"/>
      <c r="M65" s="692" t="n"/>
      <c r="N65" s="692" t="n"/>
      <c r="O65" s="692" t="n"/>
      <c r="P65" s="692" t="n"/>
      <c r="Q65" s="692" t="n"/>
      <c r="R65" s="692" t="n"/>
      <c r="S65" s="692" t="n"/>
      <c r="T65" s="158" t="n"/>
      <c r="U65" s="692" t="n"/>
      <c r="V65" s="692" t="n"/>
      <c r="W65" s="158" t="n"/>
      <c r="X65" s="158" t="n"/>
      <c r="Y65" s="158" t="n"/>
      <c r="Z65" s="158" t="n"/>
      <c r="AA65" s="158" t="n"/>
      <c r="AB65" s="158" t="n"/>
      <c r="AC65" s="158" t="n"/>
      <c r="AD65" s="158" t="n"/>
      <c r="AE65" s="158" t="n"/>
      <c r="AF65" s="158" t="n"/>
      <c r="AG65" s="158" t="n"/>
      <c r="AH65" s="158" t="n"/>
      <c r="AI65" s="692" t="n"/>
      <c r="AJ65" s="692" t="n"/>
      <c r="AK65" s="692" t="n"/>
      <c r="AL65" s="692" t="n"/>
      <c r="AM65" s="692" t="n"/>
      <c r="AN65" s="692" t="n"/>
      <c r="AO65" s="692" t="n"/>
      <c r="AP65" s="692" t="n"/>
    </row>
    <row r="66">
      <c r="A66" s="692" t="n"/>
      <c r="B66" s="692" t="n"/>
      <c r="C66" s="692" t="n"/>
      <c r="D66" s="692" t="n"/>
      <c r="E66" s="692" t="n"/>
      <c r="F66" s="692" t="n"/>
      <c r="G66" s="692" t="n"/>
      <c r="H66" s="692" t="n"/>
      <c r="I66" s="692" t="n"/>
      <c r="J66" s="692" t="n"/>
      <c r="K66" s="692" t="n"/>
      <c r="L66" s="692" t="n"/>
      <c r="M66" s="692" t="n"/>
      <c r="N66" s="692" t="n"/>
      <c r="O66" s="692" t="n"/>
      <c r="P66" s="692" t="n"/>
      <c r="Q66" s="692" t="n"/>
      <c r="R66" s="692" t="n"/>
      <c r="S66" s="692" t="n"/>
      <c r="T66" s="692" t="n"/>
      <c r="U66" s="692" t="n"/>
      <c r="V66" s="158" t="n"/>
      <c r="W66" s="158" t="n"/>
      <c r="X66" s="158" t="n"/>
      <c r="Y66" s="692" t="n"/>
      <c r="Z66" s="692" t="n"/>
      <c r="AA66" s="692" t="n"/>
      <c r="AB66" s="158" t="n"/>
      <c r="AC66" s="158" t="n"/>
      <c r="AD66" s="158" t="n"/>
      <c r="AE66" s="158" t="n"/>
      <c r="AF66" s="158" t="n"/>
      <c r="AG66" s="158" t="n"/>
      <c r="AH66" s="158" t="n"/>
      <c r="AI66" s="158" t="n"/>
      <c r="AJ66" s="158" t="n"/>
      <c r="AK66" s="158" t="n"/>
      <c r="AL66" s="158" t="n"/>
      <c r="AM66" s="158" t="n"/>
      <c r="AN66" s="158" t="n"/>
      <c r="AO66" s="158" t="n"/>
      <c r="AP66" s="158" t="n"/>
    </row>
    <row r="67">
      <c r="A67" s="692" t="n"/>
      <c r="B67" s="692" t="inlineStr">
        <is>
          <t>Male</t>
        </is>
      </c>
      <c r="C67" s="692" t="inlineStr">
        <is>
          <t>Male</t>
        </is>
      </c>
      <c r="D67" s="692" t="inlineStr">
        <is>
          <t>Male</t>
        </is>
      </c>
      <c r="E67" s="692" t="inlineStr">
        <is>
          <t>Male</t>
        </is>
      </c>
      <c r="F67" s="692" t="inlineStr">
        <is>
          <t>Male</t>
        </is>
      </c>
      <c r="G67" s="692" t="inlineStr">
        <is>
          <t>Male</t>
        </is>
      </c>
      <c r="H67" s="692" t="inlineStr">
        <is>
          <t>Male</t>
        </is>
      </c>
      <c r="I67" s="692" t="inlineStr">
        <is>
          <t>Male</t>
        </is>
      </c>
      <c r="J67" s="692" t="inlineStr">
        <is>
          <t>Male</t>
        </is>
      </c>
      <c r="K67" s="692" t="inlineStr">
        <is>
          <t>Male</t>
        </is>
      </c>
      <c r="L67" s="692" t="inlineStr">
        <is>
          <t>Male</t>
        </is>
      </c>
      <c r="M67" s="692" t="inlineStr">
        <is>
          <t>Male</t>
        </is>
      </c>
      <c r="N67" s="692" t="inlineStr">
        <is>
          <t>Male</t>
        </is>
      </c>
      <c r="O67" s="692" t="inlineStr">
        <is>
          <t>Male</t>
        </is>
      </c>
      <c r="P67" s="692" t="inlineStr">
        <is>
          <t>Male</t>
        </is>
      </c>
      <c r="Q67" s="692" t="inlineStr">
        <is>
          <t>Male</t>
        </is>
      </c>
      <c r="R67" s="692" t="inlineStr">
        <is>
          <t>Male</t>
        </is>
      </c>
      <c r="S67" s="692" t="inlineStr">
        <is>
          <t>Male</t>
        </is>
      </c>
      <c r="T67" s="692" t="n"/>
      <c r="U67" s="158" t="n"/>
      <c r="V67" s="158" t="n"/>
      <c r="W67" s="692" t="n"/>
      <c r="X67" s="692" t="n"/>
      <c r="Y67" s="692" t="n"/>
      <c r="Z67" s="692" t="n"/>
      <c r="AA67" s="692" t="n"/>
      <c r="AB67" s="692" t="n"/>
      <c r="AC67" s="692" t="n"/>
      <c r="AD67" s="692" t="n"/>
      <c r="AE67" s="692" t="n"/>
      <c r="AF67" s="692" t="n"/>
      <c r="AG67" s="692" t="n"/>
      <c r="AH67" s="692" t="n"/>
      <c r="AI67" s="692" t="n"/>
      <c r="AJ67" s="692" t="n"/>
      <c r="AK67" s="692" t="n"/>
      <c r="AL67" s="692" t="n"/>
      <c r="AM67" s="692" t="n"/>
      <c r="AN67" s="692" t="n"/>
      <c r="AO67" s="692" t="n"/>
      <c r="AP67" s="692" t="n"/>
    </row>
    <row r="68">
      <c r="A68" s="692" t="n"/>
      <c r="B68" s="692" t="inlineStr">
        <is>
          <t>50 Back</t>
        </is>
      </c>
      <c r="C68" s="692" t="inlineStr">
        <is>
          <t>50 Back</t>
        </is>
      </c>
      <c r="D68" s="692" t="inlineStr">
        <is>
          <t>50 Back</t>
        </is>
      </c>
      <c r="E68" s="692" t="inlineStr">
        <is>
          <t>100 Back</t>
        </is>
      </c>
      <c r="F68" s="692" t="inlineStr">
        <is>
          <t>100 Back</t>
        </is>
      </c>
      <c r="G68" s="692" t="inlineStr">
        <is>
          <t>100 Back</t>
        </is>
      </c>
      <c r="H68" s="692" t="inlineStr">
        <is>
          <t>200 Back</t>
        </is>
      </c>
      <c r="I68" s="692" t="inlineStr">
        <is>
          <t>200 Back</t>
        </is>
      </c>
      <c r="J68" s="692" t="inlineStr">
        <is>
          <t>200 Back</t>
        </is>
      </c>
      <c r="K68" s="692" t="inlineStr">
        <is>
          <t>50 Breast</t>
        </is>
      </c>
      <c r="L68" s="692" t="inlineStr">
        <is>
          <t>50 Breast</t>
        </is>
      </c>
      <c r="M68" s="692" t="inlineStr">
        <is>
          <t>50 Breast</t>
        </is>
      </c>
      <c r="N68" s="692" t="inlineStr">
        <is>
          <t>100 Breast</t>
        </is>
      </c>
      <c r="O68" s="692" t="inlineStr">
        <is>
          <t>100 Breast</t>
        </is>
      </c>
      <c r="P68" s="692" t="inlineStr">
        <is>
          <t>100 Breast</t>
        </is>
      </c>
      <c r="Q68" s="692" t="inlineStr">
        <is>
          <t>200 Breast</t>
        </is>
      </c>
      <c r="R68" s="692" t="inlineStr">
        <is>
          <t>200 Breast</t>
        </is>
      </c>
      <c r="S68" s="692" t="inlineStr">
        <is>
          <t>200 Breast</t>
        </is>
      </c>
      <c r="T68" s="692" t="n"/>
      <c r="U68" s="158" t="n"/>
      <c r="V68" s="158" t="n"/>
      <c r="W68" s="692" t="n"/>
      <c r="X68" s="692" t="n"/>
      <c r="Y68" s="692" t="n"/>
      <c r="Z68" s="692" t="n"/>
      <c r="AA68" s="692" t="n"/>
      <c r="AB68" s="692" t="n"/>
      <c r="AC68" s="692" t="n"/>
      <c r="AD68" s="692" t="n"/>
      <c r="AE68" s="692" t="n"/>
      <c r="AF68" s="692" t="n"/>
      <c r="AG68" s="692" t="n"/>
      <c r="AH68" s="692" t="n"/>
      <c r="AI68" s="692" t="n"/>
      <c r="AJ68" s="692" t="n"/>
      <c r="AK68" s="692" t="n"/>
      <c r="AL68" s="692" t="n"/>
      <c r="AM68" s="692" t="n"/>
      <c r="AN68" s="692" t="n"/>
      <c r="AO68" s="692" t="n"/>
      <c r="AP68" s="692" t="n"/>
    </row>
    <row r="69">
      <c r="A69" s="692" t="n"/>
      <c r="B69" s="692" t="inlineStr">
        <is>
          <t>Track 1</t>
        </is>
      </c>
      <c r="C69" s="692" t="inlineStr">
        <is>
          <t>Track 2</t>
        </is>
      </c>
      <c r="D69" s="692" t="inlineStr">
        <is>
          <t>Track 3</t>
        </is>
      </c>
      <c r="E69" s="692" t="inlineStr">
        <is>
          <t>Track 1</t>
        </is>
      </c>
      <c r="F69" s="692" t="inlineStr">
        <is>
          <t>Track 2</t>
        </is>
      </c>
      <c r="G69" s="692" t="inlineStr">
        <is>
          <t>Track 3</t>
        </is>
      </c>
      <c r="H69" s="692" t="inlineStr">
        <is>
          <t>Track 1</t>
        </is>
      </c>
      <c r="I69" s="692" t="inlineStr">
        <is>
          <t>Track 2</t>
        </is>
      </c>
      <c r="J69" s="692" t="inlineStr">
        <is>
          <t>Track 3</t>
        </is>
      </c>
      <c r="K69" s="692" t="inlineStr">
        <is>
          <t>Track 1</t>
        </is>
      </c>
      <c r="L69" s="692" t="inlineStr">
        <is>
          <t>Track 2</t>
        </is>
      </c>
      <c r="M69" s="692" t="inlineStr">
        <is>
          <t>Track 3</t>
        </is>
      </c>
      <c r="N69" s="692" t="inlineStr">
        <is>
          <t>Track 1</t>
        </is>
      </c>
      <c r="O69" s="692" t="inlineStr">
        <is>
          <t>Track 2</t>
        </is>
      </c>
      <c r="P69" s="692" t="inlineStr">
        <is>
          <t>Track 3</t>
        </is>
      </c>
      <c r="Q69" s="692" t="inlineStr">
        <is>
          <t>Track 1</t>
        </is>
      </c>
      <c r="R69" s="692" t="inlineStr">
        <is>
          <t>Track 2</t>
        </is>
      </c>
      <c r="S69" s="692" t="inlineStr">
        <is>
          <t>Track 3</t>
        </is>
      </c>
      <c r="T69" s="692" t="n"/>
      <c r="U69" s="158" t="n"/>
      <c r="V69" s="158" t="n"/>
      <c r="W69" s="692" t="n"/>
      <c r="X69" s="692" t="n"/>
      <c r="Y69" s="692" t="n"/>
      <c r="Z69" s="692" t="n"/>
      <c r="AA69" s="692" t="n"/>
      <c r="AB69" s="692" t="n"/>
      <c r="AC69" s="692" t="n"/>
      <c r="AD69" s="692" t="n"/>
      <c r="AE69" s="692" t="n"/>
      <c r="AF69" s="692" t="n"/>
      <c r="AG69" s="692" t="n"/>
      <c r="AH69" s="692" t="n"/>
      <c r="AI69" s="692" t="n"/>
      <c r="AJ69" s="692" t="n"/>
      <c r="AK69" s="692" t="n"/>
      <c r="AL69" s="692" t="n"/>
      <c r="AM69" s="692" t="n"/>
      <c r="AN69" s="692" t="n"/>
      <c r="AO69" s="692" t="n"/>
      <c r="AP69" s="692" t="n"/>
    </row>
    <row r="70">
      <c r="A70" s="692" t="n">
        <v>15</v>
      </c>
      <c r="B70" s="692" t="n"/>
      <c r="C70" s="692" t="n"/>
      <c r="D70" s="692" t="n"/>
      <c r="E70" s="692" t="n"/>
      <c r="F70" s="692" t="n"/>
      <c r="G70" s="692" t="n"/>
      <c r="H70" s="158" t="inlineStr">
        <is>
          <t>2:07.63</t>
        </is>
      </c>
      <c r="I70" s="692" t="n"/>
      <c r="J70" s="692" t="n"/>
      <c r="K70" s="692" t="n"/>
      <c r="L70" s="692" t="n"/>
      <c r="M70" s="692" t="n"/>
      <c r="N70" s="692" t="n"/>
      <c r="O70" s="692" t="n"/>
      <c r="P70" s="692" t="n"/>
      <c r="Q70" s="158" t="inlineStr">
        <is>
          <t>2:23.31</t>
        </is>
      </c>
      <c r="R70" s="692" t="n"/>
      <c r="S70" s="692" t="n"/>
      <c r="T70" s="692" t="n"/>
      <c r="U70" s="692" t="n"/>
      <c r="V70" s="692" t="n"/>
      <c r="W70" s="692" t="n"/>
      <c r="X70" s="692" t="n"/>
      <c r="Y70" s="692" t="n"/>
      <c r="Z70" s="692" t="n"/>
      <c r="AA70" s="692" t="n"/>
      <c r="AB70" s="692" t="n"/>
      <c r="AC70" s="692" t="n"/>
      <c r="AD70" s="692" t="n"/>
      <c r="AE70" s="692" t="n"/>
      <c r="AF70" s="692" t="n"/>
      <c r="AG70" s="692" t="n"/>
      <c r="AH70" s="692" t="n"/>
      <c r="AI70" s="692" t="n"/>
      <c r="AJ70" s="692" t="n"/>
      <c r="AK70" s="692" t="n"/>
      <c r="AL70" s="692" t="n"/>
      <c r="AM70" s="692" t="n"/>
      <c r="AN70" s="692" t="n"/>
      <c r="AO70" s="692" t="n"/>
      <c r="AP70" s="692" t="n"/>
    </row>
    <row r="71">
      <c r="A71" s="692" t="n">
        <v>16</v>
      </c>
      <c r="B71" s="158" t="inlineStr">
        <is>
          <t>27.26</t>
        </is>
      </c>
      <c r="C71" s="158" t="n"/>
      <c r="D71" s="158" t="n"/>
      <c r="E71" s="158" t="inlineStr">
        <is>
          <t>57.82</t>
        </is>
      </c>
      <c r="F71" s="158" t="n"/>
      <c r="G71" s="158" t="n"/>
      <c r="H71" s="158" t="inlineStr">
        <is>
          <t>2:03.66</t>
        </is>
      </c>
      <c r="I71" s="158" t="inlineStr">
        <is>
          <t>2:04.75</t>
        </is>
      </c>
      <c r="J71" s="158" t="n"/>
      <c r="K71" s="158" t="n"/>
      <c r="L71" s="158" t="n"/>
      <c r="M71" s="158" t="n"/>
      <c r="N71" s="158" t="inlineStr">
        <is>
          <t>1:04.06</t>
        </is>
      </c>
      <c r="O71" s="692" t="n"/>
      <c r="P71" s="692" t="n"/>
      <c r="Q71" s="158" t="inlineStr">
        <is>
          <t>2:18.55</t>
        </is>
      </c>
      <c r="R71" s="158" t="inlineStr">
        <is>
          <t>2:20.95</t>
        </is>
      </c>
      <c r="S71" s="692" t="n"/>
      <c r="T71" s="692" t="n"/>
      <c r="U71" s="692" t="n"/>
      <c r="V71" s="692" t="n"/>
      <c r="W71" s="692" t="n"/>
      <c r="X71" s="692" t="n"/>
      <c r="Y71" s="692" t="n"/>
      <c r="Z71" s="692" t="n"/>
      <c r="AA71" s="692" t="n"/>
      <c r="AB71" s="692" t="n"/>
      <c r="AC71" s="692" t="n"/>
      <c r="AD71" s="692" t="n"/>
      <c r="AE71" s="692" t="n"/>
      <c r="AF71" s="692" t="n"/>
      <c r="AG71" s="692" t="n"/>
      <c r="AH71" s="692" t="n"/>
      <c r="AI71" s="692" t="n"/>
      <c r="AJ71" s="692" t="n"/>
      <c r="AK71" s="692" t="n"/>
      <c r="AL71" s="692" t="n"/>
      <c r="AM71" s="692" t="n"/>
      <c r="AN71" s="692" t="n"/>
      <c r="AO71" s="692" t="n"/>
      <c r="AP71" s="692" t="n"/>
    </row>
    <row r="72">
      <c r="A72" s="692" t="n">
        <v>17</v>
      </c>
      <c r="B72" s="158" t="inlineStr">
        <is>
          <t>26.47</t>
        </is>
      </c>
      <c r="C72" s="158" t="inlineStr">
        <is>
          <t>26.73</t>
        </is>
      </c>
      <c r="D72" s="158" t="n"/>
      <c r="E72" s="158" t="inlineStr">
        <is>
          <t>56.23</t>
        </is>
      </c>
      <c r="F72" s="158" t="inlineStr">
        <is>
          <t>56.79</t>
        </is>
      </c>
      <c r="G72" s="158" t="n"/>
      <c r="H72" s="158" t="inlineStr">
        <is>
          <t>2:00.86</t>
        </is>
      </c>
      <c r="I72" s="158" t="inlineStr">
        <is>
          <t>2:01.93</t>
        </is>
      </c>
      <c r="J72" s="158" t="inlineStr">
        <is>
          <t>2:02.23</t>
        </is>
      </c>
      <c r="K72" s="158" t="n"/>
      <c r="L72" s="158" t="n"/>
      <c r="M72" s="158" t="n"/>
      <c r="N72" s="158" t="inlineStr">
        <is>
          <t>1:02.45</t>
        </is>
      </c>
      <c r="O72" s="158" t="inlineStr">
        <is>
          <t>1:03.26</t>
        </is>
      </c>
      <c r="P72" s="158" t="n"/>
      <c r="Q72" s="158" t="inlineStr">
        <is>
          <t>2:14.89</t>
        </is>
      </c>
      <c r="R72" s="158" t="inlineStr">
        <is>
          <t>2:17.24</t>
        </is>
      </c>
      <c r="S72" s="158" t="inlineStr">
        <is>
          <t>2:18.23</t>
        </is>
      </c>
      <c r="T72" s="692" t="n"/>
      <c r="U72" s="692" t="n"/>
      <c r="V72" s="692" t="n"/>
      <c r="W72" s="692" t="n"/>
      <c r="X72" s="692" t="n"/>
      <c r="Y72" s="692" t="n"/>
      <c r="Z72" s="692" t="n"/>
      <c r="AA72" s="692" t="n"/>
      <c r="AB72" s="692" t="n"/>
      <c r="AC72" s="692" t="n"/>
      <c r="AD72" s="692" t="n"/>
      <c r="AE72" s="692" t="n"/>
      <c r="AF72" s="692" t="n"/>
      <c r="AG72" s="692" t="n"/>
      <c r="AH72" s="692" t="n"/>
      <c r="AI72" s="692" t="n"/>
      <c r="AJ72" s="692" t="n"/>
      <c r="AK72" s="692" t="n"/>
      <c r="AL72" s="692" t="n"/>
      <c r="AM72" s="692" t="n"/>
      <c r="AN72" s="692" t="n"/>
      <c r="AO72" s="692" t="n"/>
      <c r="AP72" s="692" t="n"/>
    </row>
    <row r="73">
      <c r="A73" s="692" t="n">
        <v>18</v>
      </c>
      <c r="B73" s="692" t="n">
        <v>25.85</v>
      </c>
      <c r="C73" s="158" t="inlineStr">
        <is>
          <t>26.10</t>
        </is>
      </c>
      <c r="D73" s="158" t="inlineStr">
        <is>
          <t>26.15</t>
        </is>
      </c>
      <c r="E73" s="158" t="inlineStr">
        <is>
          <t>55.17</t>
        </is>
      </c>
      <c r="F73" s="158" t="inlineStr">
        <is>
          <t>55.72</t>
        </is>
      </c>
      <c r="G73" s="158" t="inlineStr">
        <is>
          <t>55.86</t>
        </is>
      </c>
      <c r="H73" s="158" t="inlineStr">
        <is>
          <t>1:59.15</t>
        </is>
      </c>
      <c r="I73" s="158" t="inlineStr">
        <is>
          <t>2:00.21</t>
        </is>
      </c>
      <c r="J73" s="158" t="inlineStr">
        <is>
          <t>2:00.51</t>
        </is>
      </c>
      <c r="K73" s="158" t="inlineStr">
        <is>
          <t>28.68</t>
        </is>
      </c>
      <c r="L73" s="158" t="n"/>
      <c r="M73" s="158" t="n"/>
      <c r="N73" s="158" t="inlineStr">
        <is>
          <t>1:01.25</t>
        </is>
      </c>
      <c r="O73" s="158" t="inlineStr">
        <is>
          <t>1:02.05</t>
        </is>
      </c>
      <c r="P73" s="158" t="inlineStr">
        <is>
          <t>1:02.46</t>
        </is>
      </c>
      <c r="Q73" s="158" t="inlineStr">
        <is>
          <t>2:12.22</t>
        </is>
      </c>
      <c r="R73" s="158" t="inlineStr">
        <is>
          <t>2:14.51</t>
        </is>
      </c>
      <c r="S73" s="158" t="inlineStr">
        <is>
          <t>2:15.48</t>
        </is>
      </c>
      <c r="T73" s="692" t="n"/>
      <c r="U73" s="692" t="n"/>
      <c r="V73" s="692" t="n"/>
      <c r="W73" s="692" t="n"/>
      <c r="X73" s="692" t="n"/>
      <c r="Y73" s="692" t="n"/>
      <c r="Z73" s="692" t="n"/>
      <c r="AA73" s="692" t="n"/>
      <c r="AB73" s="692" t="n"/>
      <c r="AC73" s="692" t="n"/>
      <c r="AD73" s="692" t="n"/>
      <c r="AE73" s="692" t="n"/>
      <c r="AF73" s="692" t="n"/>
      <c r="AG73" s="692" t="n"/>
      <c r="AH73" s="692" t="n"/>
      <c r="AI73" s="692" t="n"/>
      <c r="AJ73" s="692" t="n"/>
      <c r="AK73" s="692" t="n"/>
      <c r="AL73" s="692" t="n"/>
      <c r="AM73" s="692" t="n"/>
      <c r="AN73" s="692" t="n"/>
      <c r="AO73" s="692" t="n"/>
      <c r="AP73" s="692" t="n"/>
    </row>
    <row r="74">
      <c r="A74" s="692" t="n">
        <v>19</v>
      </c>
      <c r="B74" s="158" t="inlineStr">
        <is>
          <t>25.40</t>
        </is>
      </c>
      <c r="C74" s="158" t="inlineStr">
        <is>
          <t>25.64</t>
        </is>
      </c>
      <c r="D74" s="158" t="inlineStr">
        <is>
          <t>25.69</t>
        </is>
      </c>
      <c r="E74" s="158" t="inlineStr">
        <is>
          <t>54.43</t>
        </is>
      </c>
      <c r="F74" s="158" t="inlineStr">
        <is>
          <t>54.98</t>
        </is>
      </c>
      <c r="G74" s="158" t="inlineStr">
        <is>
          <t>55.12</t>
        </is>
      </c>
      <c r="H74" s="158" t="inlineStr">
        <is>
          <t>1:58.07</t>
        </is>
      </c>
      <c r="I74" s="158" t="inlineStr">
        <is>
          <t>1:59.12</t>
        </is>
      </c>
      <c r="J74" s="158" t="inlineStr">
        <is>
          <t>1:59.41</t>
        </is>
      </c>
      <c r="K74" s="158" t="inlineStr">
        <is>
          <t>28.17</t>
        </is>
      </c>
      <c r="L74" s="158" t="inlineStr">
        <is>
          <t>28.40</t>
        </is>
      </c>
      <c r="M74" s="692" t="n"/>
      <c r="N74" s="158" t="inlineStr">
        <is>
          <t>1:00.37</t>
        </is>
      </c>
      <c r="O74" s="158" t="inlineStr">
        <is>
          <t>1:01.16</t>
        </is>
      </c>
      <c r="P74" s="158" t="inlineStr">
        <is>
          <t>1:01.57</t>
        </is>
      </c>
      <c r="Q74" s="158" t="inlineStr">
        <is>
          <t>2:10.32</t>
        </is>
      </c>
      <c r="R74" s="158" t="inlineStr">
        <is>
          <t>2:12.58</t>
        </is>
      </c>
      <c r="S74" s="158" t="inlineStr">
        <is>
          <t>2:13.54</t>
        </is>
      </c>
      <c r="T74" s="692" t="n"/>
      <c r="U74" s="692" t="n"/>
      <c r="V74" s="692" t="n"/>
      <c r="W74" s="692" t="n"/>
      <c r="X74" s="692" t="n"/>
      <c r="Y74" s="692" t="n"/>
      <c r="Z74" s="692" t="n"/>
      <c r="AA74" s="692" t="n"/>
      <c r="AB74" s="692" t="n"/>
      <c r="AC74" s="692" t="n"/>
      <c r="AD74" s="692" t="n"/>
      <c r="AE74" s="692" t="n"/>
      <c r="AF74" s="692" t="n"/>
      <c r="AG74" s="692" t="n"/>
      <c r="AH74" s="692" t="n"/>
      <c r="AI74" s="692" t="n"/>
      <c r="AJ74" s="692" t="n"/>
      <c r="AK74" s="692" t="n"/>
      <c r="AL74" s="692" t="n"/>
      <c r="AM74" s="692" t="n"/>
      <c r="AN74" s="692" t="n"/>
      <c r="AO74" s="692" t="n"/>
      <c r="AP74" s="692" t="n"/>
    </row>
    <row r="75">
      <c r="A75" s="692" t="n">
        <v>20</v>
      </c>
      <c r="B75" s="158" t="inlineStr">
        <is>
          <t>25.11</t>
        </is>
      </c>
      <c r="C75" s="158" t="inlineStr">
        <is>
          <t>25.35</t>
        </is>
      </c>
      <c r="D75" s="158" t="inlineStr">
        <is>
          <t>25.40</t>
        </is>
      </c>
      <c r="E75" s="158" t="inlineStr">
        <is>
          <t>53.94</t>
        </is>
      </c>
      <c r="F75" s="158" t="inlineStr">
        <is>
          <t>54.48</t>
        </is>
      </c>
      <c r="G75" s="158" t="inlineStr">
        <is>
          <t>54.62</t>
        </is>
      </c>
      <c r="H75" s="158" t="n"/>
      <c r="I75" s="158" t="inlineStr">
        <is>
          <t>1:58.48</t>
        </is>
      </c>
      <c r="J75" s="158" t="inlineStr">
        <is>
          <t>1:58.77</t>
        </is>
      </c>
      <c r="K75" s="158" t="inlineStr">
        <is>
          <t>27.79</t>
        </is>
      </c>
      <c r="L75" s="158" t="inlineStr">
        <is>
          <t>28.01</t>
        </is>
      </c>
      <c r="M75" s="158" t="inlineStr">
        <is>
          <t>28.07</t>
        </is>
      </c>
      <c r="N75" s="158" t="inlineStr">
        <is>
          <t>59.75</t>
        </is>
      </c>
      <c r="O75" s="158" t="inlineStr">
        <is>
          <t>1:00.53</t>
        </is>
      </c>
      <c r="P75" s="158" t="inlineStr">
        <is>
          <t>1:00.93</t>
        </is>
      </c>
      <c r="Q75" s="158" t="n"/>
      <c r="R75" s="158" t="inlineStr">
        <is>
          <t>2:11.26</t>
        </is>
      </c>
      <c r="S75" s="158" t="inlineStr">
        <is>
          <t>2:12.21</t>
        </is>
      </c>
      <c r="T75" s="692" t="n"/>
      <c r="U75" s="692" t="n"/>
      <c r="V75" s="692" t="n"/>
      <c r="W75" s="692" t="n"/>
      <c r="X75" s="692" t="n"/>
      <c r="Y75" s="692" t="n"/>
      <c r="Z75" s="692" t="n"/>
      <c r="AA75" s="692" t="n"/>
      <c r="AB75" s="692" t="n"/>
      <c r="AC75" s="692" t="n"/>
      <c r="AD75" s="692" t="n"/>
      <c r="AE75" s="692" t="n"/>
      <c r="AF75" s="692" t="n"/>
      <c r="AG75" s="692" t="n"/>
      <c r="AH75" s="692" t="n"/>
      <c r="AI75" s="692" t="n"/>
      <c r="AJ75" s="692" t="n"/>
      <c r="AK75" s="692" t="n"/>
      <c r="AL75" s="692" t="n"/>
      <c r="AM75" s="692" t="n"/>
      <c r="AN75" s="158" t="n"/>
      <c r="AO75" s="158" t="n"/>
      <c r="AP75" s="158" t="n"/>
    </row>
    <row r="76">
      <c r="A76" s="692" t="n">
        <v>21</v>
      </c>
      <c r="B76" s="692" t="n"/>
      <c r="C76" s="158" t="inlineStr">
        <is>
          <t>25.19</t>
        </is>
      </c>
      <c r="D76" s="158" t="inlineStr">
        <is>
          <t>25.24</t>
        </is>
      </c>
      <c r="E76" s="158" t="n"/>
      <c r="F76" s="158" t="inlineStr">
        <is>
          <t>54.15</t>
        </is>
      </c>
      <c r="G76" s="158" t="inlineStr">
        <is>
          <t>54.28</t>
        </is>
      </c>
      <c r="H76" s="158" t="n"/>
      <c r="I76" s="158" t="inlineStr">
        <is>
          <t>1:58.07</t>
        </is>
      </c>
      <c r="J76" s="158" t="inlineStr">
        <is>
          <t>1:58.36</t>
        </is>
      </c>
      <c r="K76" s="158" t="inlineStr">
        <is>
          <t>27.53</t>
        </is>
      </c>
      <c r="L76" s="158" t="inlineStr">
        <is>
          <t>27.75</t>
        </is>
      </c>
      <c r="M76" s="158" t="inlineStr">
        <is>
          <t>27.81</t>
        </is>
      </c>
      <c r="N76" s="158" t="n"/>
      <c r="O76" s="158" t="inlineStr">
        <is>
          <t>1:00.09</t>
        </is>
      </c>
      <c r="P76" s="158" t="inlineStr">
        <is>
          <t>1:00.48</t>
        </is>
      </c>
      <c r="Q76" s="158" t="n"/>
      <c r="R76" s="158" t="inlineStr">
        <is>
          <t>2:10.32</t>
        </is>
      </c>
      <c r="S76" s="158" t="inlineStr">
        <is>
          <t>2:11.26</t>
        </is>
      </c>
      <c r="T76" s="158" t="n"/>
      <c r="U76" s="692" t="n"/>
      <c r="V76" s="692" t="n"/>
      <c r="W76" s="692" t="n"/>
      <c r="X76" s="692" t="n"/>
      <c r="Y76" s="692" t="n"/>
      <c r="Z76" s="692" t="n"/>
      <c r="AA76" s="692" t="n"/>
      <c r="AB76" s="692" t="n"/>
      <c r="AC76" s="158" t="n"/>
      <c r="AD76" s="158" t="n"/>
      <c r="AE76" s="158" t="n"/>
      <c r="AF76" s="158" t="n"/>
      <c r="AG76" s="158" t="n"/>
      <c r="AH76" s="158" t="n"/>
      <c r="AI76" s="158" t="n"/>
      <c r="AJ76" s="158" t="n"/>
      <c r="AK76" s="158" t="n"/>
      <c r="AL76" s="158" t="n"/>
      <c r="AM76" s="158" t="n"/>
      <c r="AN76" s="158" t="n"/>
      <c r="AO76" s="158" t="n"/>
      <c r="AP76" s="158" t="n"/>
    </row>
    <row r="77">
      <c r="A77" s="692" t="n">
        <v>22</v>
      </c>
      <c r="B77" s="692" t="n"/>
      <c r="C77" s="158" t="inlineStr">
        <is>
          <t>25.11</t>
        </is>
      </c>
      <c r="D77" s="158" t="inlineStr">
        <is>
          <t>25.15</t>
        </is>
      </c>
      <c r="E77" s="692" t="n"/>
      <c r="F77" s="158" t="inlineStr">
        <is>
          <t>53.94</t>
        </is>
      </c>
      <c r="G77" s="158" t="inlineStr">
        <is>
          <t>54.08</t>
        </is>
      </c>
      <c r="H77" s="158" t="n"/>
      <c r="I77" s="158" t="n"/>
      <c r="J77" s="158" t="inlineStr">
        <is>
          <t>1:58.13</t>
        </is>
      </c>
      <c r="K77" s="692" t="n"/>
      <c r="L77" s="692" t="n">
        <v>27.55</v>
      </c>
      <c r="M77" s="158" t="inlineStr">
        <is>
          <t>27.61</t>
        </is>
      </c>
      <c r="N77" s="692" t="n"/>
      <c r="O77" s="158" t="inlineStr">
        <is>
          <t>59.75</t>
        </is>
      </c>
      <c r="P77" s="158" t="inlineStr">
        <is>
          <t>1:00.14</t>
        </is>
      </c>
      <c r="Q77" s="692" t="n"/>
      <c r="R77" s="692" t="n"/>
      <c r="S77" s="158" t="inlineStr">
        <is>
          <t>2:10.66</t>
        </is>
      </c>
      <c r="T77" s="692" t="n"/>
      <c r="U77" s="692" t="n"/>
      <c r="V77" s="692" t="n"/>
      <c r="W77" s="692" t="n"/>
      <c r="X77" s="692" t="n"/>
      <c r="Y77" s="692" t="n"/>
      <c r="Z77" s="692" t="n"/>
      <c r="AA77" s="692" t="n"/>
      <c r="AB77" s="692" t="n"/>
      <c r="AC77" s="692" t="n"/>
      <c r="AD77" s="692" t="n"/>
      <c r="AE77" s="692" t="n"/>
      <c r="AF77" s="692" t="n"/>
      <c r="AG77" s="692" t="n"/>
      <c r="AH77" s="692" t="n"/>
      <c r="AI77" s="692" t="n"/>
      <c r="AJ77" s="692" t="n"/>
      <c r="AK77" s="158" t="n"/>
      <c r="AL77" s="158" t="n"/>
      <c r="AM77" s="692" t="n"/>
      <c r="AN77" s="692" t="n"/>
      <c r="AO77" s="692" t="n"/>
      <c r="AP77" s="692" t="n"/>
    </row>
    <row r="78">
      <c r="A78" s="692" t="n">
        <v>23</v>
      </c>
      <c r="B78" s="692" t="n"/>
      <c r="C78" s="692" t="n"/>
      <c r="D78" s="158" t="inlineStr">
        <is>
          <t>25.12</t>
        </is>
      </c>
      <c r="E78" s="692" t="n"/>
      <c r="F78" s="692" t="n"/>
      <c r="G78" s="158" t="inlineStr">
        <is>
          <t>53.97</t>
        </is>
      </c>
      <c r="H78" s="692" t="n"/>
      <c r="I78" s="692" t="n"/>
      <c r="J78" s="158" t="inlineStr">
        <is>
          <t>1:58.07</t>
        </is>
      </c>
      <c r="K78" s="158" t="n"/>
      <c r="L78" s="158" t="inlineStr">
        <is>
          <t>27.41</t>
        </is>
      </c>
      <c r="M78" s="158" t="inlineStr">
        <is>
          <t>27.47</t>
        </is>
      </c>
      <c r="N78" s="158" t="n"/>
      <c r="O78" s="158" t="n"/>
      <c r="P78" s="158" t="inlineStr">
        <is>
          <t>59.91</t>
        </is>
      </c>
      <c r="Q78" s="158" t="n"/>
      <c r="R78" s="158" t="n"/>
      <c r="S78" s="158" t="inlineStr">
        <is>
          <t>2:10.32</t>
        </is>
      </c>
      <c r="T78" s="692" t="n"/>
      <c r="U78" s="692" t="n"/>
      <c r="V78" s="692" t="n"/>
      <c r="W78" s="692" t="n"/>
      <c r="X78" s="692" t="n"/>
      <c r="Y78" s="692" t="n"/>
      <c r="Z78" s="692" t="n"/>
      <c r="AA78" s="692" t="n"/>
      <c r="AB78" s="158" t="n"/>
      <c r="AC78" s="158" t="n"/>
      <c r="AD78" s="158" t="n"/>
      <c r="AE78" s="158" t="n"/>
      <c r="AF78" s="158" t="n"/>
      <c r="AG78" s="158" t="n"/>
      <c r="AH78" s="158" t="n"/>
      <c r="AI78" s="158" t="n"/>
      <c r="AJ78" s="158" t="n"/>
      <c r="AK78" s="158" t="n"/>
      <c r="AL78" s="158" t="n"/>
      <c r="AM78" s="158" t="n"/>
      <c r="AN78" s="158" t="n"/>
      <c r="AO78" s="158" t="n"/>
      <c r="AP78" s="692" t="n"/>
    </row>
    <row r="79">
      <c r="A79" s="692" t="n">
        <v>24</v>
      </c>
      <c r="B79" s="692" t="n"/>
      <c r="C79" s="692" t="n"/>
      <c r="D79" s="158" t="inlineStr">
        <is>
          <t>25.11</t>
        </is>
      </c>
      <c r="E79" s="692" t="n"/>
      <c r="F79" s="692" t="n"/>
      <c r="G79" s="158" t="inlineStr">
        <is>
          <t>53.94</t>
        </is>
      </c>
      <c r="H79" s="692" t="n"/>
      <c r="I79" s="692" t="n"/>
      <c r="J79" s="692" t="n"/>
      <c r="K79" s="692" t="n"/>
      <c r="L79" s="158" t="inlineStr">
        <is>
          <t>27.33</t>
        </is>
      </c>
      <c r="M79" s="158" t="inlineStr">
        <is>
          <t>27.38</t>
        </is>
      </c>
      <c r="N79" s="692" t="n"/>
      <c r="O79" s="692" t="n"/>
      <c r="P79" s="158" t="inlineStr">
        <is>
          <t>59.75</t>
        </is>
      </c>
      <c r="Q79" s="692" t="n"/>
      <c r="R79" s="692" t="n"/>
      <c r="S79" s="692" t="n"/>
      <c r="T79" s="692" t="n"/>
      <c r="U79" s="692" t="n"/>
      <c r="V79" s="692" t="n"/>
      <c r="W79" s="692" t="n"/>
      <c r="X79" s="692" t="n"/>
      <c r="Y79" s="692" t="n"/>
      <c r="Z79" s="692" t="n"/>
      <c r="AA79" s="692" t="n"/>
      <c r="AB79" s="692" t="n"/>
      <c r="AC79" s="692" t="n"/>
      <c r="AD79" s="692" t="n"/>
      <c r="AE79" s="692" t="n"/>
      <c r="AF79" s="692" t="n"/>
      <c r="AG79" s="692" t="n"/>
      <c r="AH79" s="692" t="n"/>
      <c r="AI79" s="158" t="n"/>
      <c r="AJ79" s="158" t="n"/>
      <c r="AK79" s="692" t="n"/>
      <c r="AL79" s="692" t="n"/>
      <c r="AM79" s="692" t="n"/>
      <c r="AN79" s="692" t="n"/>
      <c r="AO79" s="692" t="n"/>
      <c r="AP79" s="692" t="n"/>
    </row>
    <row r="80">
      <c r="A80" s="692" t="n">
        <v>25</v>
      </c>
      <c r="B80" s="692" t="n"/>
      <c r="C80" s="692" t="n"/>
      <c r="D80" s="692" t="n"/>
      <c r="E80" s="692" t="n"/>
      <c r="F80" s="692" t="n"/>
      <c r="G80" s="692" t="n"/>
      <c r="H80" s="692" t="n"/>
      <c r="I80" s="692" t="n"/>
      <c r="J80" s="692" t="n"/>
      <c r="K80" s="692" t="n"/>
      <c r="L80" s="692" t="n"/>
      <c r="M80" s="692" t="n">
        <v>27.34</v>
      </c>
      <c r="N80" s="692" t="n"/>
      <c r="O80" s="692" t="n"/>
      <c r="P80" s="692" t="n"/>
      <c r="Q80" s="692" t="n"/>
      <c r="R80" s="692" t="n"/>
      <c r="S80" s="692" t="n"/>
      <c r="T80" s="692" t="n"/>
      <c r="U80" s="158" t="n"/>
      <c r="V80" s="692" t="n"/>
      <c r="W80" s="692" t="n"/>
      <c r="X80" s="692" t="n"/>
      <c r="Y80" s="158" t="n"/>
      <c r="Z80" s="158" t="n"/>
      <c r="AA80" s="158" t="n"/>
      <c r="AB80" s="158" t="n"/>
      <c r="AC80" s="158" t="n"/>
      <c r="AD80" s="158" t="n"/>
      <c r="AE80" s="158" t="n"/>
      <c r="AF80" s="158" t="n"/>
      <c r="AG80" s="158" t="n"/>
      <c r="AH80" s="158" t="n"/>
      <c r="AI80" s="158" t="n"/>
      <c r="AJ80" s="158" t="n"/>
      <c r="AK80" s="692" t="n"/>
      <c r="AL80" s="692" t="n"/>
      <c r="AM80" s="692" t="n"/>
      <c r="AN80" s="692" t="n"/>
      <c r="AO80" s="692" t="n"/>
      <c r="AP80" s="692" t="n"/>
    </row>
    <row r="81">
      <c r="A81" s="692" t="n">
        <v>26</v>
      </c>
      <c r="B81" s="692" t="n"/>
      <c r="C81" s="692" t="n"/>
      <c r="D81" s="692" t="n"/>
      <c r="E81" s="692" t="n"/>
      <c r="F81" s="692" t="n"/>
      <c r="G81" s="692" t="n"/>
      <c r="H81" s="692" t="n"/>
      <c r="I81" s="692" t="n"/>
      <c r="J81" s="692" t="n"/>
      <c r="K81" s="692" t="n"/>
      <c r="L81" s="692" t="n"/>
      <c r="M81" s="692" t="n">
        <v>27.33</v>
      </c>
      <c r="N81" s="692" t="n"/>
      <c r="O81" s="692" t="n"/>
      <c r="P81" s="692" t="n"/>
      <c r="Q81" s="692" t="n"/>
      <c r="R81" s="692" t="n"/>
      <c r="S81" s="692" t="n"/>
      <c r="T81" s="692" t="n"/>
      <c r="U81" s="692" t="n"/>
      <c r="V81" s="692" t="n"/>
      <c r="W81" s="158" t="n"/>
      <c r="X81" s="158" t="n"/>
      <c r="Y81" s="692" t="n"/>
      <c r="Z81" s="692" t="n"/>
      <c r="AA81" s="692" t="n"/>
      <c r="AB81" s="692" t="n"/>
      <c r="AC81" s="692" t="n"/>
      <c r="AD81" s="158" t="n"/>
      <c r="AE81" s="158" t="n"/>
      <c r="AF81" s="158" t="n"/>
      <c r="AG81" s="158" t="n"/>
      <c r="AH81" s="158" t="n"/>
      <c r="AI81" s="158" t="n"/>
      <c r="AJ81" s="158" t="n"/>
      <c r="AK81" s="692" t="n"/>
      <c r="AL81" s="692" t="n"/>
      <c r="AM81" s="692" t="n"/>
      <c r="AN81" s="692" t="n"/>
      <c r="AO81" s="692" t="n"/>
      <c r="AP81" s="692" t="n"/>
    </row>
    <row r="82">
      <c r="A82" s="692" t="n"/>
      <c r="B82" s="692" t="n"/>
      <c r="C82" s="692" t="n"/>
      <c r="D82" s="692" t="n"/>
      <c r="E82" s="692" t="n"/>
      <c r="F82" s="692" t="n"/>
      <c r="G82" s="692" t="n"/>
      <c r="H82" s="692" t="n"/>
      <c r="I82" s="692" t="n"/>
      <c r="J82" s="692" t="n"/>
      <c r="K82" s="692" t="n"/>
      <c r="L82" s="692" t="n"/>
      <c r="M82" s="692" t="n"/>
      <c r="N82" s="692" t="n"/>
      <c r="O82" s="692" t="n"/>
      <c r="P82" s="692" t="n"/>
      <c r="Q82" s="692" t="n"/>
      <c r="R82" s="692" t="n"/>
      <c r="S82" s="692" t="n"/>
      <c r="T82" s="692" t="n"/>
      <c r="U82" s="692" t="n"/>
      <c r="V82" s="692" t="n"/>
      <c r="W82" s="692" t="n"/>
      <c r="X82" s="692" t="n"/>
      <c r="Y82" s="692" t="n"/>
      <c r="Z82" s="692" t="n"/>
      <c r="AA82" s="692" t="n"/>
      <c r="AB82" s="158" t="n"/>
      <c r="AC82" s="158" t="n"/>
      <c r="AD82" s="158" t="n"/>
      <c r="AE82" s="158" t="n"/>
      <c r="AF82" s="158" t="n"/>
      <c r="AG82" s="158" t="n"/>
      <c r="AH82" s="158" t="n"/>
      <c r="AI82" s="158" t="n"/>
      <c r="AJ82" s="158" t="n"/>
      <c r="AK82" s="692" t="n"/>
      <c r="AL82" s="692" t="n"/>
      <c r="AM82" s="692" t="n"/>
      <c r="AN82" s="692" t="n"/>
      <c r="AO82" s="692" t="n"/>
      <c r="AP82" s="692" t="n"/>
    </row>
    <row r="83">
      <c r="A83" s="129" t="n"/>
      <c r="B83" s="159" t="inlineStr">
        <is>
          <t>Male</t>
        </is>
      </c>
      <c r="C83" s="159" t="inlineStr">
        <is>
          <t>Male</t>
        </is>
      </c>
      <c r="D83" s="159" t="inlineStr">
        <is>
          <t>Male</t>
        </is>
      </c>
      <c r="E83" s="159" t="inlineStr">
        <is>
          <t>Male</t>
        </is>
      </c>
      <c r="F83" s="159" t="inlineStr">
        <is>
          <t>Male</t>
        </is>
      </c>
      <c r="G83" s="159" t="inlineStr">
        <is>
          <t>Male</t>
        </is>
      </c>
      <c r="H83" s="159" t="inlineStr">
        <is>
          <t>Male</t>
        </is>
      </c>
      <c r="I83" s="159" t="inlineStr">
        <is>
          <t>Male</t>
        </is>
      </c>
      <c r="J83" s="159" t="inlineStr">
        <is>
          <t>Male</t>
        </is>
      </c>
      <c r="K83" s="159" t="inlineStr">
        <is>
          <t>Male</t>
        </is>
      </c>
      <c r="L83" s="159" t="inlineStr">
        <is>
          <t>Male</t>
        </is>
      </c>
      <c r="M83" s="159" t="inlineStr">
        <is>
          <t>Male</t>
        </is>
      </c>
      <c r="N83" s="159" t="inlineStr">
        <is>
          <t>Male</t>
        </is>
      </c>
      <c r="O83" s="159" t="inlineStr">
        <is>
          <t>Male</t>
        </is>
      </c>
      <c r="P83" s="159" t="inlineStr">
        <is>
          <t>Male</t>
        </is>
      </c>
      <c r="Q83" s="159" t="n"/>
      <c r="R83" s="159" t="n"/>
      <c r="S83" s="159" t="n"/>
      <c r="T83" s="129" t="n"/>
      <c r="U83" s="692" t="n"/>
      <c r="V83" s="692" t="n"/>
      <c r="W83" s="692" t="n"/>
      <c r="X83" s="692" t="n"/>
      <c r="Y83" s="129" t="n"/>
      <c r="Z83" s="129" t="n"/>
      <c r="AA83" s="129" t="n"/>
      <c r="AB83" s="129" t="n"/>
      <c r="AC83" s="129" t="n"/>
      <c r="AD83" s="129" t="n"/>
      <c r="AE83" s="129" t="n"/>
      <c r="AF83" s="129" t="n"/>
      <c r="AG83" s="129" t="n"/>
      <c r="AH83" s="129" t="n"/>
      <c r="AI83" s="129" t="n"/>
      <c r="AJ83" s="129" t="n"/>
      <c r="AK83" s="129" t="n"/>
      <c r="AL83" s="129" t="n"/>
      <c r="AM83" s="129" t="n"/>
      <c r="AN83" s="129" t="n"/>
      <c r="AO83" s="129" t="n"/>
      <c r="AP83" s="129" t="n"/>
    </row>
    <row r="84">
      <c r="A84" s="692" t="n"/>
      <c r="B84" s="692" t="inlineStr">
        <is>
          <t>50 Fly</t>
        </is>
      </c>
      <c r="C84" s="692" t="inlineStr">
        <is>
          <t>50 Fly</t>
        </is>
      </c>
      <c r="D84" s="692" t="inlineStr">
        <is>
          <t>50 Fly</t>
        </is>
      </c>
      <c r="E84" s="692" t="inlineStr">
        <is>
          <t>100 Fly</t>
        </is>
      </c>
      <c r="F84" s="692" t="inlineStr">
        <is>
          <t>100 Fly</t>
        </is>
      </c>
      <c r="G84" s="692" t="inlineStr">
        <is>
          <t>100 Fly</t>
        </is>
      </c>
      <c r="H84" s="692" t="inlineStr">
        <is>
          <t>200 Fly</t>
        </is>
      </c>
      <c r="I84" s="692" t="inlineStr">
        <is>
          <t>200 Fly</t>
        </is>
      </c>
      <c r="J84" s="692" t="inlineStr">
        <is>
          <t>200 Fly</t>
        </is>
      </c>
      <c r="K84" s="692" t="inlineStr">
        <is>
          <t>200 IM</t>
        </is>
      </c>
      <c r="L84" s="692" t="inlineStr">
        <is>
          <t>200 IM</t>
        </is>
      </c>
      <c r="M84" s="692" t="inlineStr">
        <is>
          <t>200 IM</t>
        </is>
      </c>
      <c r="N84" s="692" t="inlineStr">
        <is>
          <t>400 IM</t>
        </is>
      </c>
      <c r="O84" s="692" t="inlineStr">
        <is>
          <t>400 IM</t>
        </is>
      </c>
      <c r="P84" s="692" t="inlineStr">
        <is>
          <t>400 IM</t>
        </is>
      </c>
      <c r="Q84" s="692" t="n"/>
      <c r="R84" s="692" t="n"/>
      <c r="S84" s="692" t="n"/>
      <c r="T84" s="692" t="n"/>
      <c r="U84" s="158" t="n"/>
      <c r="V84" s="158" t="n"/>
      <c r="W84" s="129" t="n"/>
      <c r="X84" s="129" t="n"/>
      <c r="Y84" s="692" t="n"/>
      <c r="Z84" s="692" t="n"/>
      <c r="AA84" s="692" t="n"/>
      <c r="AB84" s="158" t="n"/>
      <c r="AC84" s="158" t="n"/>
      <c r="AD84" s="158" t="n"/>
      <c r="AE84" s="158" t="n"/>
      <c r="AF84" s="158" t="n"/>
      <c r="AG84" s="158" t="n"/>
      <c r="AH84" s="158" t="n"/>
      <c r="AI84" s="158" t="n"/>
      <c r="AJ84" s="158" t="n"/>
      <c r="AK84" s="692" t="n"/>
      <c r="AL84" s="692" t="n"/>
      <c r="AM84" s="692" t="n"/>
      <c r="AN84" s="692" t="n"/>
      <c r="AO84" s="692" t="n"/>
      <c r="AP84" s="692" t="n"/>
    </row>
    <row r="85">
      <c r="A85" s="692" t="n"/>
      <c r="B85" s="692" t="inlineStr">
        <is>
          <t>Track 1</t>
        </is>
      </c>
      <c r="C85" s="692" t="inlineStr">
        <is>
          <t>Track 2</t>
        </is>
      </c>
      <c r="D85" s="692" t="inlineStr">
        <is>
          <t>Track 3</t>
        </is>
      </c>
      <c r="E85" s="692" t="inlineStr">
        <is>
          <t>Track 1</t>
        </is>
      </c>
      <c r="F85" s="692" t="inlineStr">
        <is>
          <t>Track 2</t>
        </is>
      </c>
      <c r="G85" s="692" t="inlineStr">
        <is>
          <t>Track 3</t>
        </is>
      </c>
      <c r="H85" s="692" t="inlineStr">
        <is>
          <t>Track 1</t>
        </is>
      </c>
      <c r="I85" s="692" t="inlineStr">
        <is>
          <t>Track 2</t>
        </is>
      </c>
      <c r="J85" s="692" t="inlineStr">
        <is>
          <t>Track 3</t>
        </is>
      </c>
      <c r="K85" s="692" t="inlineStr">
        <is>
          <t>Track 1</t>
        </is>
      </c>
      <c r="L85" s="692" t="inlineStr">
        <is>
          <t>Track 2</t>
        </is>
      </c>
      <c r="M85" s="692" t="inlineStr">
        <is>
          <t>Track 3</t>
        </is>
      </c>
      <c r="N85" s="692" t="inlineStr">
        <is>
          <t>Track 1</t>
        </is>
      </c>
      <c r="O85" s="692" t="inlineStr">
        <is>
          <t>Track 2</t>
        </is>
      </c>
      <c r="P85" s="692" t="inlineStr">
        <is>
          <t>Track 3</t>
        </is>
      </c>
      <c r="Q85" s="692" t="n"/>
      <c r="R85" s="692" t="n"/>
      <c r="S85" s="692" t="n"/>
      <c r="T85" s="692" t="n"/>
      <c r="U85" s="692" t="n"/>
      <c r="V85" s="692" t="n"/>
      <c r="W85" s="692" t="n"/>
      <c r="X85" s="692" t="n"/>
      <c r="Y85" s="158" t="n"/>
      <c r="Z85" s="158" t="n"/>
      <c r="AA85" s="158" t="n"/>
      <c r="AB85" s="158" t="n"/>
      <c r="AC85" s="158" t="n"/>
      <c r="AD85" s="158" t="n"/>
      <c r="AE85" s="158" t="n"/>
      <c r="AF85" s="158" t="n"/>
      <c r="AG85" s="158" t="n"/>
      <c r="AH85" s="158" t="n"/>
      <c r="AI85" s="158" t="n"/>
      <c r="AJ85" s="158" t="n"/>
      <c r="AK85" s="692" t="n"/>
      <c r="AL85" s="692" t="n"/>
      <c r="AM85" s="692" t="n"/>
      <c r="AN85" s="692" t="n"/>
      <c r="AO85" s="692" t="n"/>
      <c r="AP85" s="692" t="n"/>
    </row>
    <row r="86">
      <c r="A86" s="692" t="n">
        <v>15</v>
      </c>
      <c r="B86" s="692" t="n"/>
      <c r="C86" s="692" t="n"/>
      <c r="D86" s="692" t="n"/>
      <c r="E86" s="692" t="n"/>
      <c r="F86" s="692" t="n"/>
      <c r="G86" s="692" t="n"/>
      <c r="H86" s="692" t="inlineStr">
        <is>
          <t>2:07.69</t>
        </is>
      </c>
      <c r="I86" s="692" t="n"/>
      <c r="J86" s="692" t="n"/>
      <c r="K86" s="692" t="n"/>
      <c r="L86" s="692" t="n"/>
      <c r="M86" s="692" t="n"/>
      <c r="N86" s="158" t="inlineStr">
        <is>
          <t>4:38.79</t>
        </is>
      </c>
      <c r="O86" s="692" t="n"/>
      <c r="P86" s="692" t="n"/>
      <c r="Q86" s="692" t="n"/>
      <c r="R86" s="158" t="n"/>
      <c r="S86" s="158" t="n"/>
      <c r="T86" s="158" t="n"/>
      <c r="U86" s="692" t="n"/>
      <c r="V86" s="692" t="n"/>
      <c r="W86" s="158" t="n"/>
      <c r="X86" s="158" t="n"/>
      <c r="Y86" s="158" t="n"/>
      <c r="Z86" s="158" t="n"/>
      <c r="AA86" s="158" t="n"/>
      <c r="AB86" s="158" t="n"/>
      <c r="AC86" s="158" t="n"/>
      <c r="AD86" s="158" t="n"/>
      <c r="AE86" s="158" t="n"/>
      <c r="AF86" s="158" t="n"/>
      <c r="AG86" s="158" t="n"/>
      <c r="AH86" s="158" t="n"/>
      <c r="AI86" s="158" t="n"/>
      <c r="AJ86" s="158" t="n"/>
      <c r="AK86" s="692" t="n"/>
      <c r="AL86" s="692" t="n"/>
      <c r="AM86" s="692" t="n"/>
      <c r="AN86" s="692" t="n"/>
      <c r="AO86" s="692" t="n"/>
      <c r="AP86" s="692" t="n"/>
    </row>
    <row r="87">
      <c r="A87" s="692" t="n">
        <v>16</v>
      </c>
      <c r="B87" s="692" t="n"/>
      <c r="C87" s="692" t="n"/>
      <c r="D87" s="692" t="n"/>
      <c r="E87" s="692" t="n">
        <v>55.15</v>
      </c>
      <c r="F87" s="692" t="n"/>
      <c r="G87" s="692" t="n"/>
      <c r="H87" s="692" t="inlineStr">
        <is>
          <t>2:03.12</t>
        </is>
      </c>
      <c r="I87" s="158" t="inlineStr">
        <is>
          <t>2:04.65</t>
        </is>
      </c>
      <c r="J87" s="692" t="n"/>
      <c r="K87" s="158" t="inlineStr">
        <is>
          <t>2:06.50</t>
        </is>
      </c>
      <c r="L87" s="692" t="n"/>
      <c r="M87" s="692" t="n"/>
      <c r="N87" s="158" t="inlineStr">
        <is>
          <t>4:30.33</t>
        </is>
      </c>
      <c r="O87" s="158" t="inlineStr">
        <is>
          <t>4:34.00</t>
        </is>
      </c>
      <c r="P87" s="692" t="n"/>
      <c r="Q87" s="692" t="n"/>
      <c r="R87" s="158" t="n"/>
      <c r="S87" s="692" t="n"/>
      <c r="T87" s="158" t="n"/>
      <c r="U87" s="129" t="n"/>
      <c r="V87" s="129" t="n"/>
      <c r="W87" s="158" t="n"/>
      <c r="X87" s="158" t="n"/>
      <c r="Y87" s="158" t="n"/>
      <c r="Z87" s="158" t="n"/>
      <c r="AA87" s="158" t="n"/>
      <c r="AB87" s="158" t="n"/>
      <c r="AC87" s="158" t="n"/>
      <c r="AD87" s="158" t="n"/>
      <c r="AE87" s="158" t="n"/>
      <c r="AF87" s="158" t="n"/>
      <c r="AG87" s="158" t="n"/>
      <c r="AH87" s="692" t="n"/>
      <c r="AI87" s="692" t="n"/>
      <c r="AJ87" s="692" t="n"/>
      <c r="AK87" s="692" t="n"/>
      <c r="AL87" s="692" t="n"/>
      <c r="AM87" s="692" t="n"/>
      <c r="AN87" s="692" t="n"/>
      <c r="AO87" s="692" t="n"/>
      <c r="AP87" s="692" t="n"/>
    </row>
    <row r="88">
      <c r="A88" s="692" t="n">
        <v>17</v>
      </c>
      <c r="B88" s="158" t="inlineStr">
        <is>
          <t>24.61</t>
        </is>
      </c>
      <c r="C88" s="692" t="n"/>
      <c r="D88" s="692" t="n"/>
      <c r="E88" s="158" t="inlineStr">
        <is>
          <t>53.75</t>
        </is>
      </c>
      <c r="F88" s="158" t="inlineStr">
        <is>
          <t>54.31</t>
        </is>
      </c>
      <c r="G88" s="692" t="n"/>
      <c r="H88" s="158" t="inlineStr">
        <is>
          <t>1:59.88</t>
        </is>
      </c>
      <c r="I88" s="158" t="inlineStr">
        <is>
          <t>2:01.37</t>
        </is>
      </c>
      <c r="J88" s="158" t="inlineStr">
        <is>
          <t>2:01.77</t>
        </is>
      </c>
      <c r="K88" s="158" t="inlineStr">
        <is>
          <t>2:03.32</t>
        </is>
      </c>
      <c r="L88" s="158" t="inlineStr">
        <is>
          <t>2:04.42</t>
        </is>
      </c>
      <c r="M88" s="692" t="n"/>
      <c r="N88" s="158" t="inlineStr">
        <is>
          <t>4:24.32</t>
        </is>
      </c>
      <c r="O88" s="158" t="inlineStr">
        <is>
          <t>4:27.91</t>
        </is>
      </c>
      <c r="P88" s="158" t="inlineStr">
        <is>
          <t>4:28.61</t>
        </is>
      </c>
      <c r="Q88" s="692" t="n"/>
      <c r="R88" s="158" t="n"/>
      <c r="S88" s="158" t="n"/>
      <c r="T88" s="692" t="n"/>
      <c r="U88" s="692" t="n"/>
      <c r="V88" s="692" t="n"/>
      <c r="W88" s="158" t="n"/>
      <c r="X88" s="158" t="n"/>
      <c r="Y88" s="158" t="n"/>
      <c r="Z88" s="158" t="n"/>
      <c r="AA88" s="158" t="n"/>
      <c r="AB88" s="158" t="n"/>
      <c r="AC88" s="158" t="n"/>
      <c r="AD88" s="158" t="n"/>
      <c r="AE88" s="158" t="n"/>
      <c r="AF88" s="158" t="n"/>
      <c r="AG88" s="158" t="n"/>
      <c r="AH88" s="692" t="n"/>
      <c r="AI88" s="692" t="n"/>
      <c r="AJ88" s="692" t="n"/>
      <c r="AK88" s="692" t="n"/>
      <c r="AL88" s="692" t="n"/>
      <c r="AM88" s="692" t="n"/>
      <c r="AN88" s="692" t="n"/>
      <c r="AO88" s="692" t="n"/>
      <c r="AP88" s="692" t="n"/>
    </row>
    <row r="89">
      <c r="A89" s="692" t="n">
        <v>18</v>
      </c>
      <c r="B89" s="158" t="inlineStr">
        <is>
          <t>24.10</t>
        </is>
      </c>
      <c r="C89" s="158" t="inlineStr">
        <is>
          <t>24.31</t>
        </is>
      </c>
      <c r="D89" s="692" t="n"/>
      <c r="E89" s="158" t="inlineStr">
        <is>
          <t>52.83</t>
        </is>
      </c>
      <c r="F89" s="158" t="inlineStr">
        <is>
          <t>53.38</t>
        </is>
      </c>
      <c r="G89" s="158" t="inlineStr">
        <is>
          <t>53.52</t>
        </is>
      </c>
      <c r="H89" s="158" t="inlineStr">
        <is>
          <t>1:57.84</t>
        </is>
      </c>
      <c r="I89" s="158" t="inlineStr">
        <is>
          <t>1:59.30</t>
        </is>
      </c>
      <c r="J89" s="158" t="inlineStr">
        <is>
          <t>1:59.70</t>
        </is>
      </c>
      <c r="K89" s="158" t="inlineStr">
        <is>
          <t>2:01.30</t>
        </is>
      </c>
      <c r="L89" s="158" t="inlineStr">
        <is>
          <t>2:02.39</t>
        </is>
      </c>
      <c r="M89" s="158" t="inlineStr">
        <is>
          <t>2:02.59</t>
        </is>
      </c>
      <c r="N89" s="158" t="inlineStr">
        <is>
          <t>4:20.41</t>
        </is>
      </c>
      <c r="O89" s="158" t="inlineStr">
        <is>
          <t>4:23.94</t>
        </is>
      </c>
      <c r="P89" s="158" t="inlineStr">
        <is>
          <t>4:24.63</t>
        </is>
      </c>
      <c r="Q89" s="692" t="n"/>
      <c r="R89" s="692" t="n"/>
      <c r="S89" s="692" t="n"/>
      <c r="T89" s="692" t="n"/>
      <c r="U89" s="692" t="n"/>
      <c r="V89" s="692" t="n"/>
      <c r="W89" s="692" t="n"/>
      <c r="X89" s="158" t="n"/>
      <c r="Y89" s="692" t="n"/>
      <c r="Z89" s="692" t="n"/>
      <c r="AA89" s="692" t="n"/>
      <c r="AB89" s="692" t="n"/>
      <c r="AC89" s="158" t="n"/>
      <c r="AD89" s="158" t="n"/>
      <c r="AE89" s="158" t="n"/>
      <c r="AF89" s="158" t="n"/>
      <c r="AG89" s="692" t="n"/>
      <c r="AH89" s="692" t="n"/>
      <c r="AI89" s="692" t="n"/>
      <c r="AJ89" s="692" t="n"/>
      <c r="AK89" s="692" t="n"/>
      <c r="AL89" s="692" t="n"/>
      <c r="AM89" s="692" t="n"/>
      <c r="AN89" s="692" t="n"/>
      <c r="AO89" s="692" t="n"/>
      <c r="AP89" s="692" t="n"/>
    </row>
    <row r="90">
      <c r="A90" s="692" t="n">
        <v>19</v>
      </c>
      <c r="B90" s="158" t="inlineStr">
        <is>
          <t>23.75</t>
        </is>
      </c>
      <c r="C90" s="158" t="inlineStr">
        <is>
          <t>23.96</t>
        </is>
      </c>
      <c r="D90" s="158" t="inlineStr">
        <is>
          <t>24.04</t>
        </is>
      </c>
      <c r="E90" s="158" t="inlineStr">
        <is>
          <t>52.22</t>
        </is>
      </c>
      <c r="F90" s="158" t="inlineStr">
        <is>
          <t>52.76</t>
        </is>
      </c>
      <c r="G90" s="158" t="inlineStr">
        <is>
          <t>52.90</t>
        </is>
      </c>
      <c r="H90" s="158" t="inlineStr">
        <is>
          <t>1:56.51</t>
        </is>
      </c>
      <c r="I90" s="158" t="inlineStr">
        <is>
          <t>1:57.95</t>
        </is>
      </c>
      <c r="J90" s="158" t="inlineStr">
        <is>
          <t>1:58.35</t>
        </is>
      </c>
      <c r="K90" s="158" t="inlineStr">
        <is>
          <t>1:59.95</t>
        </is>
      </c>
      <c r="L90" s="158" t="inlineStr">
        <is>
          <t>2:01.03</t>
        </is>
      </c>
      <c r="M90" s="158" t="inlineStr">
        <is>
          <t>2:01.22</t>
        </is>
      </c>
      <c r="N90" s="158" t="inlineStr">
        <is>
          <t>4:17.48</t>
        </is>
      </c>
      <c r="O90" s="158" t="inlineStr">
        <is>
          <t>4:20.98</t>
        </is>
      </c>
      <c r="P90" s="158" t="inlineStr">
        <is>
          <t>4:21.66</t>
        </is>
      </c>
      <c r="Q90" s="692" t="n"/>
      <c r="R90" s="692" t="n"/>
      <c r="S90" s="692" t="n"/>
      <c r="T90" s="692" t="n"/>
      <c r="U90" s="158" t="n"/>
      <c r="V90" s="158" t="n"/>
      <c r="W90" s="692" t="n"/>
      <c r="X90" s="692" t="n"/>
      <c r="Y90" s="692" t="n"/>
      <c r="Z90" s="692" t="n"/>
      <c r="AA90" s="692" t="n"/>
      <c r="AB90" s="692" t="n"/>
      <c r="AC90" s="692" t="n"/>
      <c r="AD90" s="692" t="n"/>
      <c r="AE90" s="158" t="n"/>
      <c r="AF90" s="692" t="n"/>
      <c r="AG90" s="692" t="n"/>
      <c r="AH90" s="692" t="n"/>
      <c r="AI90" s="692" t="n"/>
      <c r="AJ90" s="692" t="n"/>
      <c r="AK90" s="692" t="n"/>
      <c r="AL90" s="692" t="n"/>
      <c r="AM90" s="692" t="n"/>
      <c r="AN90" s="692" t="n"/>
      <c r="AO90" s="692" t="n"/>
      <c r="AP90" s="692" t="n"/>
    </row>
    <row r="91">
      <c r="A91" s="692" t="n">
        <v>20</v>
      </c>
      <c r="B91" s="158" t="inlineStr">
        <is>
          <t>23.52</t>
        </is>
      </c>
      <c r="C91" s="158" t="inlineStr">
        <is>
          <t>23.73</t>
        </is>
      </c>
      <c r="D91" s="158" t="inlineStr">
        <is>
          <t>23.81</t>
        </is>
      </c>
      <c r="E91" s="158" t="inlineStr">
        <is>
          <t>51.77</t>
        </is>
      </c>
      <c r="F91" s="158" t="inlineStr">
        <is>
          <t>52.31</t>
        </is>
      </c>
      <c r="G91" s="158" t="inlineStr">
        <is>
          <t>52.45</t>
        </is>
      </c>
      <c r="H91" s="692" t="n"/>
      <c r="I91" s="158" t="inlineStr">
        <is>
          <t>1:57.06</t>
        </is>
      </c>
      <c r="J91" s="158" t="inlineStr">
        <is>
          <t>1:57.45</t>
        </is>
      </c>
      <c r="K91" s="158" t="inlineStr">
        <is>
          <t>1:59.05</t>
        </is>
      </c>
      <c r="L91" s="158" t="inlineStr">
        <is>
          <t>2:00.12</t>
        </is>
      </c>
      <c r="M91" s="158" t="inlineStr">
        <is>
          <t>2:00.31</t>
        </is>
      </c>
      <c r="N91" s="158" t="n"/>
      <c r="O91" s="158" t="inlineStr">
        <is>
          <t>4:18.85</t>
        </is>
      </c>
      <c r="P91" s="158" t="inlineStr">
        <is>
          <t>4:19.53</t>
        </is>
      </c>
      <c r="Q91" s="692" t="n"/>
      <c r="R91" s="692" t="n"/>
      <c r="S91" s="692" t="n"/>
      <c r="T91" s="692" t="n"/>
      <c r="U91" s="158" t="n"/>
      <c r="V91" s="158" t="n"/>
      <c r="W91" s="692" t="n"/>
      <c r="X91" s="692" t="n"/>
      <c r="Y91" s="692" t="n"/>
      <c r="Z91" s="692" t="n"/>
      <c r="AA91" s="692" t="n"/>
      <c r="AB91" s="692" t="n"/>
      <c r="AC91" s="692" t="n"/>
      <c r="AD91" s="692" t="n"/>
      <c r="AE91" s="692" t="n"/>
      <c r="AF91" s="692" t="n"/>
      <c r="AG91" s="692" t="n"/>
      <c r="AH91" s="692" t="n"/>
      <c r="AI91" s="692" t="n"/>
      <c r="AJ91" s="692" t="n"/>
      <c r="AK91" s="692" t="n"/>
      <c r="AL91" s="692" t="n"/>
      <c r="AM91" s="692" t="n"/>
      <c r="AN91" s="692" t="n"/>
      <c r="AO91" s="692" t="n"/>
      <c r="AP91" s="692" t="n"/>
    </row>
    <row r="92">
      <c r="A92" s="692" t="n">
        <v>21</v>
      </c>
      <c r="B92" s="158" t="inlineStr">
        <is>
          <t>23.36</t>
        </is>
      </c>
      <c r="C92" s="158" t="inlineStr">
        <is>
          <t>23.57</t>
        </is>
      </c>
      <c r="D92" s="158" t="inlineStr">
        <is>
          <t>23.64</t>
        </is>
      </c>
      <c r="E92" s="692" t="n"/>
      <c r="F92" s="158" t="inlineStr">
        <is>
          <t>51.99</t>
        </is>
      </c>
      <c r="G92" s="158" t="inlineStr">
        <is>
          <t>52.13</t>
        </is>
      </c>
      <c r="H92" s="692" t="n"/>
      <c r="I92" s="158" t="inlineStr">
        <is>
          <t>1:56.51</t>
        </is>
      </c>
      <c r="J92" s="158" t="inlineStr">
        <is>
          <t>1:56.90</t>
        </is>
      </c>
      <c r="K92" s="158" t="n"/>
      <c r="L92" s="158" t="inlineStr">
        <is>
          <t>1:59.49</t>
        </is>
      </c>
      <c r="M92" s="158" t="inlineStr">
        <is>
          <t>1:59.69</t>
        </is>
      </c>
      <c r="N92" s="158" t="n"/>
      <c r="O92" s="158" t="inlineStr">
        <is>
          <t>4:17.48</t>
        </is>
      </c>
      <c r="P92" s="158" t="inlineStr">
        <is>
          <t>4:18.15</t>
        </is>
      </c>
      <c r="Q92" s="692" t="n"/>
      <c r="R92" s="692" t="n"/>
      <c r="S92" s="692" t="n"/>
      <c r="T92" s="692" t="n"/>
      <c r="U92" s="692" t="n"/>
      <c r="V92" s="692" t="n"/>
      <c r="W92" s="692" t="n"/>
      <c r="X92" s="692" t="n"/>
      <c r="Y92" s="692" t="n"/>
      <c r="Z92" s="692" t="n"/>
      <c r="AA92" s="692" t="n"/>
      <c r="AB92" s="692" t="n"/>
      <c r="AC92" s="692" t="n"/>
      <c r="AD92" s="158" t="n"/>
      <c r="AE92" s="158" t="n"/>
      <c r="AF92" s="692" t="n"/>
      <c r="AG92" s="692" t="n"/>
      <c r="AH92" s="692" t="n"/>
      <c r="AI92" s="692" t="n"/>
      <c r="AJ92" s="692" t="n"/>
      <c r="AK92" s="692" t="n"/>
      <c r="AL92" s="692" t="n"/>
      <c r="AM92" s="692" t="n"/>
      <c r="AN92" s="692" t="n"/>
      <c r="AO92" s="692" t="n"/>
      <c r="AP92" s="692" t="n"/>
    </row>
    <row r="93">
      <c r="A93" s="692" t="n">
        <v>22</v>
      </c>
      <c r="B93" s="692" t="n"/>
      <c r="C93" s="158" t="inlineStr">
        <is>
          <t>23.45</t>
        </is>
      </c>
      <c r="D93" s="158" t="inlineStr">
        <is>
          <t>23.52</t>
        </is>
      </c>
      <c r="E93" s="692" t="n"/>
      <c r="F93" s="158" t="inlineStr">
        <is>
          <t>51.77</t>
        </is>
      </c>
      <c r="G93" s="158" t="inlineStr">
        <is>
          <t>51.90</t>
        </is>
      </c>
      <c r="H93" s="692" t="n"/>
      <c r="I93" s="692" t="n"/>
      <c r="J93" s="158" t="inlineStr">
        <is>
          <t>1:56.60</t>
        </is>
      </c>
      <c r="K93" s="692" t="n"/>
      <c r="L93" s="158" t="inlineStr">
        <is>
          <t>1:59.05</t>
        </is>
      </c>
      <c r="M93" s="158" t="inlineStr">
        <is>
          <t>1:59.24</t>
        </is>
      </c>
      <c r="N93" s="692" t="n"/>
      <c r="O93" s="692" t="n"/>
      <c r="P93" s="158" t="inlineStr">
        <is>
          <t>4:17.46</t>
        </is>
      </c>
      <c r="Q93" s="692" t="n"/>
      <c r="R93" s="692" t="n"/>
      <c r="S93" s="692" t="n"/>
      <c r="T93" s="692" t="n"/>
      <c r="U93" s="692" t="n"/>
      <c r="V93" s="692" t="n"/>
      <c r="W93" s="692" t="n"/>
      <c r="X93" s="692" t="n"/>
      <c r="Y93" s="692" t="n"/>
      <c r="Z93" s="692" t="n"/>
      <c r="AA93" s="158" t="n"/>
      <c r="AB93" s="158" t="n"/>
      <c r="AC93" s="158" t="n"/>
      <c r="AD93" s="158" t="n"/>
      <c r="AE93" s="692" t="n"/>
      <c r="AF93" s="692" t="n"/>
      <c r="AG93" s="692" t="n"/>
      <c r="AH93" s="692" t="n"/>
      <c r="AI93" s="692" t="n"/>
      <c r="AJ93" s="692" t="n"/>
      <c r="AK93" s="692" t="n"/>
      <c r="AL93" s="692" t="n"/>
      <c r="AM93" s="692" t="n"/>
      <c r="AN93" s="692" t="n"/>
      <c r="AO93" s="692" t="n"/>
      <c r="AP93" s="692" t="n"/>
    </row>
    <row r="94">
      <c r="A94" s="692" t="n">
        <v>23</v>
      </c>
      <c r="B94" s="692" t="n"/>
      <c r="C94" s="158" t="inlineStr">
        <is>
          <t>23.36</t>
        </is>
      </c>
      <c r="D94" s="158" t="inlineStr">
        <is>
          <t>23.43</t>
        </is>
      </c>
      <c r="E94" s="692" t="n"/>
      <c r="F94" s="692" t="n"/>
      <c r="G94" s="158" t="inlineStr">
        <is>
          <t>51.79</t>
        </is>
      </c>
      <c r="H94" s="692" t="n"/>
      <c r="I94" s="692" t="n"/>
      <c r="J94" s="158" t="inlineStr">
        <is>
          <t>1:56.51</t>
        </is>
      </c>
      <c r="K94" s="692" t="n"/>
      <c r="L94" s="692" t="n"/>
      <c r="M94" s="158" t="inlineStr">
        <is>
          <t>1:59.05</t>
        </is>
      </c>
      <c r="N94" s="692" t="n"/>
      <c r="O94" s="692" t="n"/>
      <c r="P94" s="158" t="inlineStr">
        <is>
          <t>4:17.46</t>
        </is>
      </c>
      <c r="Q94" s="692" t="n"/>
      <c r="R94" s="692" t="n"/>
      <c r="S94" s="692" t="n"/>
      <c r="T94" s="692" t="n"/>
      <c r="U94" s="692" t="n"/>
      <c r="V94" s="692" t="n"/>
      <c r="W94" s="692" t="n"/>
      <c r="X94" s="692" t="n"/>
      <c r="Y94" s="158" t="n"/>
      <c r="Z94" s="158" t="n"/>
      <c r="AA94" s="158" t="n"/>
      <c r="AB94" s="158" t="n"/>
      <c r="AC94" s="158" t="n"/>
      <c r="AD94" s="158" t="n"/>
      <c r="AE94" s="158" t="n"/>
      <c r="AF94" s="692" t="n"/>
      <c r="AG94" s="692" t="n"/>
      <c r="AH94" s="692" t="n"/>
      <c r="AI94" s="692" t="n"/>
      <c r="AJ94" s="692" t="n"/>
      <c r="AK94" s="692" t="n"/>
      <c r="AL94" s="692" t="n"/>
      <c r="AM94" s="692" t="n"/>
      <c r="AN94" s="692" t="n"/>
      <c r="AO94" s="692" t="n"/>
      <c r="AP94" s="692" t="n"/>
    </row>
    <row r="95">
      <c r="A95" s="692" t="n">
        <v>24</v>
      </c>
      <c r="B95" s="692" t="n"/>
      <c r="C95" s="692" t="n"/>
      <c r="D95" s="158" t="inlineStr">
        <is>
          <t>23.38</t>
        </is>
      </c>
      <c r="E95" s="692" t="n"/>
      <c r="F95" s="692" t="n"/>
      <c r="G95" s="158" t="inlineStr">
        <is>
          <t>51.77</t>
        </is>
      </c>
      <c r="H95" s="692" t="n"/>
      <c r="I95" s="692" t="n"/>
      <c r="J95" s="692" t="n"/>
      <c r="K95" s="692" t="n"/>
      <c r="L95" s="692" t="n"/>
      <c r="M95" s="158" t="inlineStr">
        <is>
          <t>1:59.05</t>
        </is>
      </c>
      <c r="N95" s="692" t="n"/>
      <c r="O95" s="692" t="n"/>
      <c r="P95" s="692" t="n"/>
      <c r="Q95" s="692" t="n"/>
      <c r="R95" s="692" t="n"/>
      <c r="S95" s="692" t="n"/>
      <c r="T95" s="692" t="n"/>
      <c r="U95" s="692" t="n"/>
      <c r="V95" s="692" t="n"/>
      <c r="W95" s="158" t="n"/>
      <c r="X95" s="158" t="n"/>
      <c r="Y95" s="158" t="n"/>
      <c r="Z95" s="158" t="n"/>
      <c r="AA95" s="158" t="n"/>
      <c r="AB95" s="158" t="n"/>
      <c r="AC95" s="158" t="n"/>
      <c r="AD95" s="158" t="n"/>
      <c r="AE95" s="158" t="n"/>
      <c r="AF95" s="692" t="n"/>
      <c r="AG95" s="692" t="n"/>
      <c r="AH95" s="692" t="n"/>
      <c r="AI95" s="692" t="n"/>
      <c r="AJ95" s="692" t="n"/>
      <c r="AK95" s="692" t="n"/>
      <c r="AL95" s="692" t="n"/>
      <c r="AM95" s="692" t="n"/>
      <c r="AN95" s="692" t="n"/>
      <c r="AO95" s="692" t="n"/>
      <c r="AP95" s="692" t="n"/>
    </row>
    <row r="96">
      <c r="A96" s="692" t="n">
        <v>25</v>
      </c>
      <c r="B96" s="692" t="n"/>
      <c r="C96" s="692" t="n"/>
      <c r="D96" s="158" t="inlineStr">
        <is>
          <t>23.36</t>
        </is>
      </c>
      <c r="E96" s="692" t="n"/>
      <c r="F96" s="692" t="n"/>
      <c r="G96" s="692" t="n"/>
      <c r="H96" s="692" t="n"/>
      <c r="I96" s="692" t="n"/>
      <c r="J96" s="692" t="n"/>
      <c r="K96" s="692" t="n"/>
      <c r="L96" s="692" t="n"/>
      <c r="M96" s="692" t="n"/>
      <c r="N96" s="692" t="n"/>
      <c r="O96" s="692" t="n"/>
      <c r="P96" s="692" t="n"/>
      <c r="Q96" s="692" t="n"/>
      <c r="R96" s="692" t="n"/>
      <c r="S96" s="692" t="n"/>
      <c r="T96" s="158" t="n"/>
      <c r="U96" s="692" t="n"/>
      <c r="V96" s="692" t="n"/>
      <c r="W96" s="158" t="n"/>
      <c r="X96" s="158" t="n"/>
      <c r="Y96" s="158" t="n"/>
      <c r="Z96" s="158" t="n"/>
      <c r="AA96" s="158" t="n"/>
      <c r="AB96" s="158" t="n"/>
      <c r="AC96" s="158" t="n"/>
      <c r="AD96" s="158" t="n"/>
      <c r="AE96" s="158" t="n"/>
      <c r="AF96" s="158" t="n"/>
      <c r="AG96" s="692" t="n"/>
      <c r="AH96" s="692" t="n"/>
      <c r="AI96" s="692" t="n"/>
      <c r="AJ96" s="692" t="n"/>
      <c r="AK96" s="692" t="n"/>
      <c r="AL96" s="692" t="n"/>
      <c r="AM96" s="692" t="n"/>
      <c r="AN96" s="692" t="n"/>
      <c r="AO96" s="692" t="n"/>
      <c r="AP96" s="692" t="n"/>
    </row>
    <row r="97">
      <c r="A97" s="692" t="n"/>
      <c r="B97" s="692" t="n"/>
      <c r="C97" s="692" t="n"/>
      <c r="D97" s="692" t="n"/>
      <c r="E97" s="692" t="n"/>
      <c r="F97" s="692" t="n"/>
      <c r="G97" s="692" t="n"/>
      <c r="H97" s="692" t="n"/>
      <c r="I97" s="692" t="n"/>
      <c r="J97" s="692" t="n"/>
      <c r="K97" s="692" t="n"/>
      <c r="L97" s="692" t="n"/>
      <c r="M97" s="692" t="n"/>
      <c r="N97" s="692" t="n"/>
      <c r="O97" s="692" t="n"/>
      <c r="P97" s="692" t="n"/>
      <c r="Q97" s="692" t="n"/>
      <c r="R97" s="692" t="n"/>
      <c r="S97" s="158" t="n"/>
      <c r="T97" s="158" t="n"/>
      <c r="U97" s="692" t="n"/>
      <c r="V97" s="692" t="n"/>
      <c r="W97" s="158" t="n"/>
      <c r="X97" s="158" t="n"/>
      <c r="Y97" s="158" t="n"/>
      <c r="Z97" s="158" t="n"/>
      <c r="AA97" s="158" t="n"/>
      <c r="AB97" s="158" t="n"/>
      <c r="AC97" s="158" t="n"/>
      <c r="AD97" s="158" t="n"/>
      <c r="AE97" s="158" t="n"/>
      <c r="AF97" s="158" t="n"/>
      <c r="AG97" s="158" t="n"/>
      <c r="AH97" s="692" t="n"/>
      <c r="AI97" s="692" t="n"/>
      <c r="AJ97" s="692" t="n"/>
      <c r="AK97" s="692" t="n"/>
      <c r="AL97" s="692" t="n"/>
      <c r="AM97" s="692" t="n"/>
      <c r="AN97" s="692" t="n"/>
      <c r="AO97" s="692" t="n"/>
      <c r="AP97" s="692" t="n"/>
    </row>
    <row r="98">
      <c r="A98" s="692" t="n"/>
      <c r="B98" s="692" t="n"/>
      <c r="C98" s="692" t="n"/>
      <c r="D98" s="692" t="n"/>
      <c r="E98" s="692" t="n"/>
      <c r="F98" s="692" t="n"/>
      <c r="G98" s="692" t="n"/>
      <c r="H98" s="692" t="n"/>
      <c r="I98" s="692" t="n"/>
      <c r="J98" s="692" t="n"/>
      <c r="K98" s="692" t="n"/>
      <c r="L98" s="692" t="n"/>
      <c r="M98" s="692" t="n"/>
      <c r="N98" s="692" t="n"/>
      <c r="O98" s="692" t="n"/>
      <c r="P98" s="692" t="n"/>
      <c r="Q98" s="692" t="n"/>
      <c r="R98" s="158" t="n"/>
      <c r="S98" s="158" t="n"/>
      <c r="T98" s="158" t="n"/>
      <c r="U98" s="692" t="n"/>
      <c r="V98" s="692" t="n"/>
      <c r="W98" s="158" t="n"/>
      <c r="X98" s="158" t="n"/>
      <c r="Y98" s="158" t="n"/>
      <c r="Z98" s="158" t="n"/>
      <c r="AA98" s="158" t="n"/>
      <c r="AB98" s="158" t="n"/>
      <c r="AC98" s="158" t="n"/>
      <c r="AD98" s="158" t="n"/>
      <c r="AE98" s="158" t="n"/>
      <c r="AF98" s="158" t="n"/>
      <c r="AG98" s="158" t="n"/>
      <c r="AH98" s="158" t="n"/>
      <c r="AI98" s="692" t="n"/>
      <c r="AJ98" s="692" t="n"/>
      <c r="AK98" s="692" t="n"/>
      <c r="AL98" s="692" t="n"/>
      <c r="AM98" s="692" t="n"/>
      <c r="AN98" s="692" t="n"/>
      <c r="AO98" s="692" t="n"/>
      <c r="AP98" s="692" t="n"/>
    </row>
    <row r="99">
      <c r="A99" s="692" t="n"/>
      <c r="B99" s="692" t="n"/>
      <c r="C99" s="692" t="n"/>
      <c r="D99" s="692" t="n"/>
      <c r="E99" s="692" t="n"/>
      <c r="F99" s="692" t="n"/>
      <c r="G99" s="692" t="n"/>
      <c r="H99" s="692" t="n"/>
      <c r="I99" s="692" t="n"/>
      <c r="J99" s="692" t="n"/>
      <c r="K99" s="692" t="n"/>
      <c r="L99" s="692" t="n"/>
      <c r="M99" s="692" t="n"/>
      <c r="N99" s="692" t="n"/>
      <c r="O99" s="692" t="n"/>
      <c r="P99" s="692" t="n"/>
      <c r="Q99" s="692" t="n"/>
      <c r="R99" s="158" t="n"/>
      <c r="S99" s="158" t="n"/>
      <c r="T99" s="158" t="n"/>
      <c r="U99" s="158" t="n"/>
      <c r="V99" s="158" t="n"/>
      <c r="W99" s="158" t="n"/>
      <c r="X99" s="158" t="n"/>
      <c r="Y99" s="158" t="n"/>
      <c r="Z99" s="158" t="n"/>
      <c r="AA99" s="158" t="n"/>
      <c r="AB99" s="158" t="n"/>
      <c r="AC99" s="158" t="n"/>
      <c r="AD99" s="158" t="n"/>
      <c r="AE99" s="158" t="n"/>
      <c r="AF99" s="158" t="n"/>
      <c r="AG99" s="158" t="n"/>
      <c r="AH99" s="158" t="n"/>
      <c r="AI99" s="692" t="n"/>
      <c r="AJ99" s="692" t="n"/>
      <c r="AK99" s="692" t="n"/>
      <c r="AL99" s="692" t="n"/>
      <c r="AM99" s="692" t="n"/>
      <c r="AN99" s="692" t="n"/>
      <c r="AO99" s="692" t="n"/>
      <c r="AP99" s="692" t="n"/>
    </row>
    <row r="100">
      <c r="A100" s="692" t="n"/>
      <c r="B100" s="692" t="n"/>
      <c r="C100" s="692" t="n"/>
      <c r="D100" s="692" t="n"/>
      <c r="E100" s="692" t="n"/>
      <c r="F100" s="692" t="n"/>
      <c r="G100" s="692" t="n"/>
      <c r="H100" s="692" t="n"/>
      <c r="I100" s="692" t="n"/>
      <c r="J100" s="692" t="n"/>
      <c r="K100" s="692" t="n"/>
      <c r="L100" s="692" t="n"/>
      <c r="M100" s="692" t="n"/>
      <c r="N100" s="692" t="n"/>
      <c r="O100" s="692" t="n"/>
      <c r="P100" s="692" t="n"/>
      <c r="Q100" s="692" t="n"/>
      <c r="R100" s="692" t="n"/>
      <c r="S100" s="692" t="n"/>
      <c r="T100" s="692" t="n"/>
      <c r="U100" s="158" t="n"/>
      <c r="V100" s="158" t="n"/>
      <c r="W100" s="158" t="n"/>
      <c r="X100" s="158" t="n"/>
      <c r="Y100" s="692" t="n"/>
      <c r="Z100" s="692" t="n"/>
      <c r="AA100" s="692" t="n"/>
      <c r="AB100" s="692" t="n"/>
      <c r="AC100" s="692" t="n"/>
      <c r="AD100" s="692" t="n"/>
      <c r="AE100" s="692" t="n"/>
      <c r="AF100" s="692" t="n"/>
      <c r="AG100" s="692" t="n"/>
      <c r="AH100" s="692" t="n"/>
      <c r="AI100" s="692" t="n"/>
      <c r="AJ100" s="692" t="n"/>
      <c r="AK100" s="692" t="n"/>
      <c r="AL100" s="692" t="n"/>
      <c r="AM100" s="692" t="n"/>
      <c r="AN100" s="692" t="n"/>
      <c r="AO100" s="692" t="n"/>
      <c r="AP100" s="692" t="n"/>
    </row>
    <row r="101">
      <c r="A101" s="692" t="n"/>
      <c r="B101" s="692" t="n"/>
      <c r="C101" s="692" t="n"/>
      <c r="D101" s="692" t="n"/>
      <c r="E101" s="692" t="n"/>
      <c r="F101" s="692" t="n"/>
      <c r="G101" s="692" t="n"/>
      <c r="H101" s="692" t="n"/>
      <c r="I101" s="692" t="n"/>
      <c r="J101" s="692" t="n"/>
      <c r="K101" s="692" t="n"/>
      <c r="L101" s="692" t="n"/>
      <c r="M101" s="692" t="n"/>
      <c r="N101" s="692" t="n"/>
      <c r="O101" s="692" t="n"/>
      <c r="P101" s="692" t="n"/>
      <c r="Q101" s="692" t="n"/>
      <c r="R101" s="692" t="n"/>
      <c r="S101" s="692" t="n"/>
      <c r="T101" s="692" t="n"/>
      <c r="U101" s="158" t="n"/>
      <c r="V101" s="158" t="n"/>
      <c r="W101" s="692" t="n"/>
      <c r="X101" s="692" t="n"/>
      <c r="Y101" s="692" t="n"/>
      <c r="Z101" s="692" t="n"/>
      <c r="AA101" s="692" t="n"/>
      <c r="AB101" s="692" t="n"/>
      <c r="AC101" s="692" t="n"/>
      <c r="AD101" s="692" t="n"/>
      <c r="AE101" s="692" t="n"/>
      <c r="AF101" s="692" t="n"/>
      <c r="AG101" s="692" t="n"/>
      <c r="AH101" s="692" t="n"/>
      <c r="AI101" s="692" t="n"/>
      <c r="AJ101" s="692" t="n"/>
      <c r="AK101" s="692" t="n"/>
      <c r="AL101" s="692" t="n"/>
      <c r="AM101" s="692" t="n"/>
      <c r="AN101" s="692" t="n"/>
      <c r="AO101" s="692" t="n"/>
      <c r="AP101" s="692" t="n"/>
    </row>
    <row r="102">
      <c r="A102" s="692" t="n"/>
      <c r="B102" s="692" t="n"/>
      <c r="C102" s="692" t="n"/>
      <c r="D102" s="692" t="n"/>
      <c r="E102" s="692" t="n"/>
      <c r="F102" s="692" t="n"/>
      <c r="G102" s="692" t="n"/>
      <c r="H102" s="692" t="n"/>
      <c r="I102" s="692" t="n"/>
      <c r="J102" s="692" t="n"/>
      <c r="K102" s="692" t="n"/>
      <c r="L102" s="692" t="n"/>
      <c r="M102" s="692" t="n"/>
      <c r="N102" s="692" t="n"/>
      <c r="O102" s="692" t="n"/>
      <c r="P102" s="692" t="n"/>
      <c r="Q102" s="692" t="n"/>
      <c r="R102" s="692" t="n"/>
      <c r="S102" s="692" t="n"/>
      <c r="T102" s="692" t="n"/>
      <c r="U102" s="158" t="n"/>
      <c r="V102" s="158" t="n"/>
      <c r="W102" s="692" t="n"/>
      <c r="X102" s="692" t="n"/>
      <c r="Y102" s="692" t="n"/>
      <c r="Z102" s="692" t="n"/>
      <c r="AA102" s="692" t="n"/>
      <c r="AB102" s="692" t="n"/>
      <c r="AC102" s="692" t="n"/>
      <c r="AD102" s="692" t="n"/>
      <c r="AE102" s="692" t="n"/>
      <c r="AF102" s="692" t="n"/>
      <c r="AG102" s="692" t="n"/>
      <c r="AH102" s="692" t="n"/>
      <c r="AI102" s="692" t="n"/>
      <c r="AJ102" s="692" t="n"/>
      <c r="AK102" s="692" t="n"/>
      <c r="AL102" s="692" t="n"/>
      <c r="AM102" s="692" t="n"/>
      <c r="AN102" s="692" t="n"/>
      <c r="AO102" s="692" t="n"/>
      <c r="AP102" s="692" t="n"/>
    </row>
    <row r="103">
      <c r="A103" s="692" t="n"/>
      <c r="B103" s="692" t="n"/>
      <c r="C103" s="692" t="n"/>
      <c r="D103" s="692" t="n"/>
      <c r="E103" s="692" t="n"/>
      <c r="F103" s="692" t="n"/>
      <c r="G103" s="692" t="n"/>
      <c r="H103" s="692" t="n"/>
      <c r="I103" s="692" t="n"/>
      <c r="J103" s="692" t="n"/>
      <c r="K103" s="692" t="n"/>
      <c r="L103" s="692" t="n"/>
      <c r="M103" s="692" t="n"/>
      <c r="N103" s="692" t="n"/>
      <c r="O103" s="692" t="n"/>
      <c r="P103" s="692" t="n"/>
      <c r="Q103" s="692" t="n"/>
      <c r="R103" s="692" t="n"/>
      <c r="S103" s="692" t="n"/>
      <c r="T103" s="692" t="n"/>
      <c r="U103" s="158" t="n"/>
      <c r="V103" s="158" t="n"/>
      <c r="W103" s="692" t="n"/>
      <c r="X103" s="692" t="n"/>
      <c r="Y103" s="692" t="n"/>
      <c r="Z103" s="692" t="n"/>
      <c r="AA103" s="692" t="n"/>
      <c r="AB103" s="692" t="n"/>
      <c r="AC103" s="692" t="n"/>
      <c r="AD103" s="692" t="n"/>
      <c r="AE103" s="692" t="n"/>
      <c r="AF103" s="692" t="n"/>
      <c r="AG103" s="692" t="n"/>
      <c r="AH103" s="692" t="n"/>
      <c r="AI103" s="692" t="n"/>
      <c r="AJ103" s="692" t="n"/>
      <c r="AK103" s="692" t="n"/>
      <c r="AL103" s="692" t="n"/>
      <c r="AM103" s="692" t="n"/>
      <c r="AN103" s="692" t="n"/>
      <c r="AO103" s="692" t="n"/>
      <c r="AP103" s="692" t="n"/>
    </row>
    <row r="104">
      <c r="A104" s="692" t="n"/>
      <c r="B104" s="692" t="n"/>
      <c r="C104" s="692" t="n"/>
      <c r="D104" s="692" t="n"/>
      <c r="E104" s="692" t="n"/>
      <c r="F104" s="692" t="n"/>
      <c r="G104" s="692" t="n"/>
      <c r="H104" s="692" t="n"/>
      <c r="I104" s="692" t="n"/>
      <c r="J104" s="692" t="n"/>
      <c r="K104" s="692" t="n"/>
      <c r="L104" s="692" t="n"/>
      <c r="M104" s="692" t="n"/>
      <c r="N104" s="692" t="n"/>
      <c r="O104" s="692" t="n"/>
      <c r="P104" s="692" t="n"/>
      <c r="Q104" s="692" t="n"/>
      <c r="R104" s="692" t="n"/>
      <c r="S104" s="692" t="n"/>
      <c r="T104" s="692" t="n"/>
      <c r="U104" s="692" t="n"/>
      <c r="V104" s="692" t="n"/>
      <c r="W104" s="692" t="n"/>
      <c r="X104" s="692" t="n"/>
      <c r="Y104" s="692" t="n"/>
      <c r="Z104" s="692" t="n"/>
      <c r="AA104" s="692" t="n"/>
      <c r="AB104" s="692" t="n"/>
      <c r="AC104" s="692" t="n"/>
      <c r="AD104" s="692" t="n"/>
      <c r="AE104" s="692" t="n"/>
      <c r="AF104" s="692" t="n"/>
      <c r="AG104" s="692" t="n"/>
      <c r="AH104" s="692" t="n"/>
      <c r="AI104" s="692" t="n"/>
      <c r="AJ104" s="692" t="n"/>
      <c r="AK104" s="692" t="n"/>
      <c r="AL104" s="692" t="n"/>
      <c r="AM104" s="692" t="n"/>
      <c r="AN104" s="692" t="n"/>
      <c r="AO104" s="692" t="n"/>
      <c r="AP104" s="692" t="n"/>
    </row>
    <row r="105">
      <c r="A105" s="692" t="n"/>
      <c r="B105" s="692" t="n"/>
      <c r="C105" s="692" t="n"/>
      <c r="D105" s="692" t="n"/>
      <c r="E105" s="692" t="n"/>
      <c r="F105" s="692" t="n"/>
      <c r="G105" s="692" t="n"/>
      <c r="H105" s="692" t="n"/>
      <c r="I105" s="692" t="n"/>
      <c r="J105" s="692" t="n"/>
      <c r="K105" s="692" t="n"/>
      <c r="L105" s="692" t="n"/>
      <c r="M105" s="692" t="n"/>
      <c r="N105" s="692" t="n"/>
      <c r="O105" s="692" t="n"/>
      <c r="P105" s="692" t="n"/>
      <c r="Q105" s="692" t="n"/>
      <c r="R105" s="692" t="n"/>
      <c r="S105" s="692" t="n"/>
      <c r="T105" s="692" t="n"/>
      <c r="U105" s="692" t="n"/>
      <c r="V105" s="692" t="n"/>
      <c r="W105" s="692" t="n"/>
      <c r="X105" s="692" t="n"/>
      <c r="Y105" s="692" t="n"/>
      <c r="Z105" s="692" t="n"/>
      <c r="AA105" s="692" t="n"/>
      <c r="AB105" s="692" t="n"/>
      <c r="AC105" s="692" t="n"/>
      <c r="AD105" s="692" t="n"/>
      <c r="AE105" s="692" t="n"/>
      <c r="AF105" s="692" t="n"/>
      <c r="AG105" s="692" t="n"/>
      <c r="AH105" s="692" t="n"/>
      <c r="AI105" s="692" t="n"/>
      <c r="AJ105" s="692" t="n"/>
      <c r="AK105" s="692" t="n"/>
      <c r="AL105" s="692" t="n"/>
      <c r="AM105" s="692" t="n"/>
      <c r="AN105" s="692" t="n"/>
      <c r="AO105" s="692" t="n"/>
      <c r="AP105" s="692" t="n"/>
    </row>
    <row r="106">
      <c r="A106" s="692" t="n"/>
      <c r="B106" s="692" t="n"/>
      <c r="C106" s="692" t="n"/>
      <c r="D106" s="692" t="n"/>
      <c r="E106" s="692" t="n"/>
      <c r="F106" s="692" t="n"/>
      <c r="G106" s="692" t="n"/>
      <c r="H106" s="692" t="n"/>
      <c r="I106" s="692" t="n"/>
      <c r="J106" s="692" t="n"/>
      <c r="K106" s="692" t="n"/>
      <c r="L106" s="692" t="n"/>
      <c r="M106" s="692" t="n"/>
      <c r="N106" s="692" t="n"/>
      <c r="O106" s="692" t="n"/>
      <c r="P106" s="692" t="n"/>
      <c r="Q106" s="692" t="n"/>
      <c r="R106" s="692" t="n"/>
      <c r="S106" s="692" t="n"/>
      <c r="T106" s="692" t="n"/>
      <c r="U106" s="692" t="n"/>
      <c r="V106" s="692" t="n"/>
      <c r="W106" s="692" t="n"/>
      <c r="X106" s="692" t="n"/>
      <c r="Y106" s="692" t="n"/>
      <c r="Z106" s="692" t="n"/>
      <c r="AA106" s="692" t="n"/>
      <c r="AB106" s="692" t="n"/>
      <c r="AC106" s="692" t="n"/>
      <c r="AD106" s="692" t="n"/>
      <c r="AE106" s="692" t="n"/>
      <c r="AF106" s="692" t="n"/>
      <c r="AG106" s="692" t="n"/>
      <c r="AH106" s="692" t="n"/>
      <c r="AI106" s="692" t="n"/>
      <c r="AJ106" s="692" t="n"/>
      <c r="AK106" s="692" t="n"/>
      <c r="AL106" s="692" t="n"/>
      <c r="AM106" s="692" t="n"/>
      <c r="AN106" s="692" t="n"/>
      <c r="AO106" s="692" t="n"/>
      <c r="AP106" s="692" t="n"/>
    </row>
    <row r="107">
      <c r="A107" s="692" t="n"/>
      <c r="B107" s="692" t="n"/>
      <c r="C107" s="692" t="n"/>
      <c r="D107" s="692" t="n"/>
      <c r="E107" s="692" t="n"/>
      <c r="F107" s="692" t="n"/>
      <c r="G107" s="692" t="n"/>
      <c r="H107" s="692" t="n"/>
      <c r="I107" s="692" t="n"/>
      <c r="J107" s="692" t="n"/>
      <c r="K107" s="692" t="n"/>
      <c r="L107" s="692" t="n"/>
      <c r="M107" s="692" t="n"/>
      <c r="N107" s="692" t="n"/>
      <c r="O107" s="692" t="n"/>
      <c r="P107" s="692" t="n"/>
      <c r="Q107" s="692" t="n"/>
      <c r="R107" s="692" t="n"/>
      <c r="S107" s="692" t="n"/>
      <c r="T107" s="692" t="n"/>
      <c r="U107" s="692" t="n"/>
      <c r="V107" s="692" t="n"/>
      <c r="W107" s="692" t="n"/>
      <c r="X107" s="692" t="n"/>
      <c r="Y107" s="692" t="n"/>
      <c r="Z107" s="692" t="n"/>
      <c r="AA107" s="692" t="n"/>
      <c r="AB107" s="692" t="n"/>
      <c r="AC107" s="692" t="n"/>
      <c r="AD107" s="692" t="n"/>
      <c r="AE107" s="692" t="n"/>
      <c r="AF107" s="692" t="n"/>
      <c r="AG107" s="692" t="n"/>
      <c r="AH107" s="692" t="n"/>
      <c r="AI107" s="692" t="n"/>
      <c r="AJ107" s="692" t="n"/>
      <c r="AK107" s="692" t="n"/>
      <c r="AL107" s="692" t="n"/>
      <c r="AM107" s="692" t="n"/>
      <c r="AN107" s="692" t="n"/>
      <c r="AO107" s="692" t="n"/>
      <c r="AP107" s="692" t="n"/>
    </row>
    <row r="108">
      <c r="A108" s="692" t="n"/>
      <c r="B108" s="692" t="n"/>
      <c r="C108" s="692" t="n"/>
      <c r="D108" s="692" t="n"/>
      <c r="E108" s="692" t="n"/>
      <c r="F108" s="692" t="n"/>
      <c r="G108" s="692" t="n"/>
      <c r="H108" s="692" t="n"/>
      <c r="I108" s="692" t="n"/>
      <c r="J108" s="692" t="n"/>
      <c r="K108" s="692" t="n"/>
      <c r="L108" s="692" t="n"/>
      <c r="M108" s="692" t="n"/>
      <c r="N108" s="692" t="n"/>
      <c r="O108" s="692" t="n"/>
      <c r="P108" s="692" t="n"/>
      <c r="Q108" s="692" t="n"/>
      <c r="R108" s="692" t="n"/>
      <c r="S108" s="692" t="n"/>
      <c r="T108" s="692" t="n"/>
      <c r="U108" s="692" t="n"/>
      <c r="V108" s="692" t="n"/>
      <c r="W108" s="692" t="n"/>
      <c r="X108" s="692" t="n"/>
      <c r="Y108" s="692" t="n"/>
      <c r="Z108" s="692" t="n"/>
      <c r="AA108" s="692" t="n"/>
      <c r="AB108" s="692" t="n"/>
      <c r="AC108" s="692" t="n"/>
      <c r="AD108" s="692" t="n"/>
      <c r="AE108" s="692" t="n"/>
      <c r="AF108" s="692" t="n"/>
      <c r="AG108" s="692" t="n"/>
      <c r="AH108" s="692" t="n"/>
      <c r="AI108" s="692" t="n"/>
      <c r="AJ108" s="692" t="n"/>
      <c r="AK108" s="692" t="n"/>
      <c r="AL108" s="692" t="n"/>
      <c r="AM108" s="692" t="n"/>
      <c r="AN108" s="692" t="n"/>
      <c r="AO108" s="692" t="n"/>
      <c r="AP108" s="692" t="n"/>
    </row>
    <row r="109">
      <c r="A109" s="692" t="n"/>
      <c r="B109" s="692" t="n"/>
      <c r="C109" s="692" t="n"/>
      <c r="D109" s="692" t="n"/>
      <c r="E109" s="692" t="n"/>
      <c r="F109" s="692" t="n"/>
      <c r="G109" s="692" t="n"/>
      <c r="H109" s="692" t="n"/>
      <c r="I109" s="692" t="n"/>
      <c r="J109" s="692" t="n"/>
      <c r="K109" s="692" t="n"/>
      <c r="L109" s="692" t="n"/>
      <c r="M109" s="692" t="n"/>
      <c r="N109" s="692" t="n"/>
      <c r="O109" s="692" t="n"/>
      <c r="P109" s="692" t="n"/>
      <c r="Q109" s="692" t="n"/>
      <c r="R109" s="692" t="n"/>
      <c r="S109" s="692" t="n"/>
      <c r="T109" s="692" t="n"/>
      <c r="U109" s="692" t="n"/>
      <c r="V109" s="692" t="n"/>
      <c r="W109" s="692" t="n"/>
      <c r="X109" s="692" t="n"/>
      <c r="Y109" s="692" t="n"/>
      <c r="Z109" s="692" t="n"/>
      <c r="AA109" s="692" t="n"/>
      <c r="AB109" s="692" t="n"/>
      <c r="AC109" s="692" t="n"/>
      <c r="AD109" s="692" t="n"/>
      <c r="AE109" s="692" t="n"/>
      <c r="AF109" s="692" t="n"/>
      <c r="AG109" s="692" t="n"/>
      <c r="AH109" s="692" t="n"/>
      <c r="AI109" s="692" t="n"/>
      <c r="AJ109" s="692" t="n"/>
      <c r="AK109" s="692" t="n"/>
      <c r="AL109" s="692" t="n"/>
      <c r="AM109" s="692" t="n"/>
      <c r="AN109" s="692" t="n"/>
      <c r="AO109" s="692" t="n"/>
      <c r="AP109" s="692" t="n"/>
    </row>
    <row r="110">
      <c r="A110" s="692" t="n"/>
      <c r="B110" s="692" t="n"/>
      <c r="C110" s="692" t="n"/>
      <c r="D110" s="692" t="n"/>
      <c r="E110" s="692" t="n"/>
      <c r="F110" s="692" t="n"/>
      <c r="G110" s="692" t="n"/>
      <c r="H110" s="692" t="n"/>
      <c r="I110" s="692" t="n"/>
      <c r="J110" s="692" t="n"/>
      <c r="K110" s="692" t="n"/>
      <c r="L110" s="692" t="n"/>
      <c r="M110" s="692" t="n"/>
      <c r="N110" s="692" t="n"/>
      <c r="O110" s="692" t="n"/>
      <c r="P110" s="692" t="n"/>
      <c r="Q110" s="692" t="n"/>
      <c r="R110" s="692" t="n"/>
      <c r="S110" s="692" t="n"/>
      <c r="T110" s="692" t="n"/>
      <c r="U110" s="692" t="n"/>
      <c r="V110" s="692" t="n"/>
      <c r="W110" s="692" t="n"/>
      <c r="X110" s="692" t="n"/>
      <c r="Y110" s="692" t="n"/>
      <c r="Z110" s="692" t="n"/>
      <c r="AA110" s="692" t="n"/>
      <c r="AB110" s="692" t="n"/>
      <c r="AC110" s="692" t="n"/>
      <c r="AD110" s="692" t="n"/>
      <c r="AE110" s="692" t="n"/>
      <c r="AF110" s="692" t="n"/>
      <c r="AG110" s="692" t="n"/>
      <c r="AH110" s="692" t="n"/>
      <c r="AI110" s="692" t="n"/>
      <c r="AJ110" s="692" t="n"/>
      <c r="AK110" s="692" t="n"/>
      <c r="AL110" s="692" t="n"/>
      <c r="AM110" s="692" t="n"/>
      <c r="AN110" s="692" t="n"/>
      <c r="AO110" s="692" t="n"/>
      <c r="AP110" s="692" t="n"/>
    </row>
    <row r="111">
      <c r="A111" s="692" t="n"/>
      <c r="B111" s="692" t="n"/>
      <c r="C111" s="692" t="n"/>
      <c r="D111" s="692" t="n"/>
      <c r="E111" s="692" t="n"/>
      <c r="F111" s="692" t="n"/>
      <c r="G111" s="692" t="n"/>
      <c r="H111" s="692" t="n"/>
      <c r="I111" s="692" t="n"/>
      <c r="J111" s="692" t="n"/>
      <c r="K111" s="692" t="n"/>
      <c r="L111" s="692" t="n"/>
      <c r="M111" s="692" t="n"/>
      <c r="N111" s="692" t="n"/>
      <c r="O111" s="692" t="n"/>
      <c r="P111" s="692" t="n"/>
      <c r="Q111" s="692" t="n"/>
      <c r="R111" s="692" t="n"/>
      <c r="S111" s="692" t="n"/>
      <c r="T111" s="692" t="n"/>
      <c r="U111" s="692" t="n"/>
      <c r="V111" s="692" t="n"/>
      <c r="W111" s="692" t="n"/>
      <c r="X111" s="692" t="n"/>
      <c r="Y111" s="692" t="n"/>
      <c r="Z111" s="692" t="n"/>
      <c r="AA111" s="692" t="n"/>
      <c r="AB111" s="692" t="n"/>
      <c r="AC111" s="692" t="n"/>
      <c r="AD111" s="692" t="n"/>
      <c r="AE111" s="692" t="n"/>
      <c r="AF111" s="692" t="n"/>
      <c r="AG111" s="692" t="n"/>
      <c r="AH111" s="692" t="n"/>
      <c r="AI111" s="692" t="n"/>
      <c r="AJ111" s="692" t="n"/>
      <c r="AK111" s="692" t="n"/>
      <c r="AL111" s="692" t="n"/>
      <c r="AM111" s="692" t="n"/>
      <c r="AN111" s="692" t="n"/>
      <c r="AO111" s="692" t="n"/>
      <c r="AP111" s="692" t="n"/>
    </row>
    <row r="112">
      <c r="A112" s="692" t="n"/>
      <c r="B112" s="692" t="n"/>
      <c r="C112" s="692" t="n"/>
      <c r="D112" s="692" t="n"/>
      <c r="E112" s="692" t="n"/>
      <c r="F112" s="692" t="n"/>
      <c r="G112" s="692" t="n"/>
      <c r="H112" s="692" t="n"/>
      <c r="I112" s="692" t="n"/>
      <c r="J112" s="692" t="n"/>
      <c r="K112" s="692" t="n"/>
      <c r="L112" s="692" t="n"/>
      <c r="M112" s="692" t="n"/>
      <c r="N112" s="692" t="n"/>
      <c r="O112" s="692" t="n"/>
      <c r="P112" s="692" t="n"/>
      <c r="Q112" s="692" t="n"/>
      <c r="R112" s="692" t="n"/>
      <c r="S112" s="692" t="n"/>
      <c r="T112" s="692" t="n"/>
      <c r="U112" s="692" t="n"/>
      <c r="V112" s="692" t="n"/>
      <c r="W112" s="692" t="n"/>
      <c r="X112" s="692" t="n"/>
      <c r="Y112" s="692" t="n"/>
      <c r="Z112" s="692" t="n"/>
      <c r="AA112" s="692" t="n"/>
      <c r="AB112" s="692" t="n"/>
      <c r="AC112" s="692" t="n"/>
      <c r="AD112" s="692" t="n"/>
      <c r="AE112" s="692" t="n"/>
      <c r="AF112" s="692" t="n"/>
      <c r="AG112" s="692" t="n"/>
      <c r="AH112" s="692" t="n"/>
      <c r="AI112" s="692" t="n"/>
      <c r="AJ112" s="692" t="n"/>
      <c r="AK112" s="692" t="n"/>
      <c r="AL112" s="692" t="n"/>
      <c r="AM112" s="692" t="n"/>
      <c r="AN112" s="692" t="n"/>
      <c r="AO112" s="692" t="n"/>
      <c r="AP112" s="692" t="n"/>
    </row>
    <row r="113">
      <c r="A113" s="692" t="n"/>
      <c r="B113" s="692" t="n"/>
      <c r="C113" s="692" t="n"/>
      <c r="D113" s="692" t="n"/>
      <c r="E113" s="692" t="n"/>
      <c r="F113" s="692" t="n"/>
      <c r="G113" s="692" t="n"/>
      <c r="H113" s="692" t="n"/>
      <c r="I113" s="692" t="n"/>
      <c r="J113" s="692" t="n"/>
      <c r="K113" s="692" t="n"/>
      <c r="L113" s="692" t="n"/>
      <c r="M113" s="692" t="n"/>
      <c r="N113" s="692" t="n"/>
      <c r="O113" s="692" t="n"/>
      <c r="P113" s="692" t="n"/>
      <c r="Q113" s="692" t="n"/>
      <c r="R113" s="692" t="n"/>
      <c r="S113" s="692" t="n"/>
      <c r="T113" s="692" t="n"/>
      <c r="U113" s="692" t="n"/>
      <c r="V113" s="692" t="n"/>
      <c r="W113" s="692" t="n"/>
      <c r="X113" s="692" t="n"/>
      <c r="Y113" s="692" t="n"/>
      <c r="Z113" s="692" t="n"/>
      <c r="AA113" s="692" t="n"/>
      <c r="AB113" s="692" t="n"/>
      <c r="AC113" s="692" t="n"/>
      <c r="AD113" s="692" t="n"/>
      <c r="AE113" s="692" t="n"/>
      <c r="AF113" s="692" t="n"/>
      <c r="AG113" s="692" t="n"/>
      <c r="AH113" s="692" t="n"/>
      <c r="AI113" s="692" t="n"/>
      <c r="AJ113" s="692" t="n"/>
      <c r="AK113" s="692" t="n"/>
      <c r="AL113" s="692" t="n"/>
      <c r="AM113" s="692" t="n"/>
      <c r="AN113" s="692" t="n"/>
      <c r="AO113" s="692" t="n"/>
      <c r="AP113" s="692" t="n"/>
    </row>
    <row r="114">
      <c r="A114" s="692" t="n"/>
      <c r="B114" s="692" t="n"/>
      <c r="C114" s="692" t="n"/>
      <c r="D114" s="692" t="n"/>
      <c r="E114" s="692" t="n"/>
      <c r="F114" s="692" t="n"/>
      <c r="G114" s="692" t="n"/>
      <c r="H114" s="692" t="n"/>
      <c r="I114" s="692" t="n"/>
      <c r="J114" s="692" t="n"/>
      <c r="K114" s="692" t="n"/>
      <c r="L114" s="692" t="n"/>
      <c r="M114" s="692" t="n"/>
      <c r="N114" s="692" t="n"/>
      <c r="O114" s="692" t="n"/>
      <c r="P114" s="692" t="n"/>
      <c r="Q114" s="692" t="n"/>
      <c r="R114" s="692" t="n"/>
      <c r="S114" s="692" t="n"/>
      <c r="T114" s="692" t="n"/>
      <c r="U114" s="692" t="n"/>
      <c r="V114" s="692" t="n"/>
      <c r="W114" s="692" t="n"/>
      <c r="X114" s="692" t="n"/>
      <c r="Y114" s="692" t="n"/>
      <c r="Z114" s="692" t="n"/>
      <c r="AA114" s="692" t="n"/>
      <c r="AB114" s="692" t="n"/>
      <c r="AC114" s="692" t="n"/>
      <c r="AD114" s="692" t="n"/>
      <c r="AE114" s="692" t="n"/>
      <c r="AF114" s="692" t="n"/>
      <c r="AG114" s="692" t="n"/>
      <c r="AH114" s="692" t="n"/>
      <c r="AI114" s="692" t="n"/>
      <c r="AJ114" s="692" t="n"/>
      <c r="AK114" s="692" t="n"/>
      <c r="AL114" s="692" t="n"/>
      <c r="AM114" s="692" t="n"/>
      <c r="AN114" s="692" t="n"/>
      <c r="AO114" s="692" t="n"/>
      <c r="AP114" s="692" t="n"/>
    </row>
    <row r="115">
      <c r="A115" s="692" t="n"/>
      <c r="B115" s="692" t="n"/>
      <c r="C115" s="692" t="n"/>
      <c r="D115" s="692" t="n"/>
      <c r="E115" s="692" t="n"/>
      <c r="F115" s="692" t="n"/>
      <c r="G115" s="692" t="n"/>
      <c r="H115" s="692" t="n"/>
      <c r="I115" s="692" t="n"/>
      <c r="J115" s="692" t="n"/>
      <c r="K115" s="692" t="n"/>
      <c r="L115" s="692" t="n"/>
      <c r="M115" s="692" t="n"/>
      <c r="N115" s="692" t="n"/>
      <c r="O115" s="692" t="n"/>
      <c r="P115" s="692" t="n"/>
      <c r="Q115" s="692" t="n"/>
      <c r="R115" s="692" t="n"/>
      <c r="S115" s="692" t="n"/>
      <c r="T115" s="692" t="n"/>
      <c r="U115" s="692" t="n"/>
      <c r="V115" s="692" t="n"/>
      <c r="W115" s="692" t="n"/>
      <c r="X115" s="692" t="n"/>
      <c r="Y115" s="692" t="n"/>
      <c r="Z115" s="692" t="n"/>
      <c r="AA115" s="692" t="n"/>
      <c r="AB115" s="692" t="n"/>
      <c r="AC115" s="692" t="n"/>
      <c r="AD115" s="692" t="n"/>
      <c r="AE115" s="692" t="n"/>
      <c r="AF115" s="692" t="n"/>
      <c r="AG115" s="692" t="n"/>
      <c r="AH115" s="692" t="n"/>
      <c r="AI115" s="692" t="n"/>
      <c r="AJ115" s="692" t="n"/>
      <c r="AK115" s="692" t="n"/>
      <c r="AL115" s="692" t="n"/>
      <c r="AM115" s="692" t="n"/>
      <c r="AN115" s="692" t="n"/>
      <c r="AO115" s="692" t="n"/>
      <c r="AP115" s="692" t="n"/>
    </row>
    <row r="116">
      <c r="A116" s="692" t="n"/>
      <c r="B116" s="692" t="n"/>
      <c r="C116" s="692" t="n"/>
      <c r="D116" s="692" t="n"/>
      <c r="E116" s="692" t="n"/>
      <c r="F116" s="692" t="n"/>
      <c r="G116" s="692" t="n"/>
      <c r="H116" s="692" t="n"/>
      <c r="I116" s="692" t="n"/>
      <c r="J116" s="692" t="n"/>
      <c r="K116" s="692" t="n"/>
      <c r="L116" s="692" t="n"/>
      <c r="M116" s="692" t="n"/>
      <c r="N116" s="692" t="n"/>
      <c r="O116" s="692" t="n"/>
      <c r="P116" s="692" t="n"/>
      <c r="Q116" s="692" t="n"/>
      <c r="R116" s="692" t="n"/>
      <c r="S116" s="692" t="n"/>
      <c r="T116" s="692" t="n"/>
      <c r="U116" s="692" t="n"/>
      <c r="V116" s="692" t="n"/>
      <c r="W116" s="692" t="n"/>
      <c r="X116" s="692" t="n"/>
      <c r="Y116" s="692" t="n"/>
      <c r="Z116" s="692" t="n"/>
      <c r="AA116" s="692" t="n"/>
      <c r="AB116" s="692" t="n"/>
      <c r="AC116" s="692" t="n"/>
      <c r="AD116" s="692" t="n"/>
      <c r="AE116" s="692" t="n"/>
      <c r="AF116" s="692" t="n"/>
      <c r="AG116" s="692" t="n"/>
      <c r="AH116" s="692" t="n"/>
      <c r="AI116" s="692" t="n"/>
      <c r="AJ116" s="692" t="n"/>
      <c r="AK116" s="692" t="n"/>
      <c r="AL116" s="692" t="n"/>
      <c r="AM116" s="692" t="n"/>
      <c r="AN116" s="692" t="n"/>
      <c r="AO116" s="692" t="n"/>
      <c r="AP116" s="692" t="n"/>
    </row>
    <row r="117">
      <c r="A117" s="692" t="n"/>
      <c r="B117" s="692" t="n"/>
      <c r="C117" s="692" t="n"/>
      <c r="D117" s="692" t="n"/>
      <c r="E117" s="692" t="n"/>
      <c r="F117" s="692" t="n"/>
      <c r="G117" s="692" t="n"/>
      <c r="H117" s="692" t="n"/>
      <c r="I117" s="692" t="n"/>
      <c r="J117" s="692" t="n"/>
      <c r="K117" s="692" t="n"/>
      <c r="L117" s="692" t="n"/>
      <c r="M117" s="692" t="n"/>
      <c r="N117" s="692" t="n"/>
      <c r="O117" s="692" t="n"/>
      <c r="P117" s="692" t="n"/>
      <c r="Q117" s="692" t="n"/>
      <c r="R117" s="692" t="n"/>
      <c r="S117" s="692" t="n"/>
      <c r="T117" s="692" t="n"/>
      <c r="U117" s="692" t="n"/>
      <c r="V117" s="692" t="n"/>
      <c r="W117" s="692" t="n"/>
      <c r="X117" s="692" t="n"/>
      <c r="Y117" s="692" t="n"/>
      <c r="Z117" s="692" t="n"/>
      <c r="AA117" s="692" t="n"/>
      <c r="AB117" s="692" t="n"/>
      <c r="AC117" s="692" t="n"/>
      <c r="AD117" s="692" t="n"/>
      <c r="AE117" s="692" t="n"/>
      <c r="AF117" s="692" t="n"/>
      <c r="AG117" s="692" t="n"/>
      <c r="AH117" s="692" t="n"/>
      <c r="AI117" s="692" t="n"/>
      <c r="AJ117" s="692" t="n"/>
      <c r="AK117" s="692" t="n"/>
      <c r="AL117" s="692" t="n"/>
      <c r="AM117" s="692" t="n"/>
      <c r="AN117" s="692" t="n"/>
      <c r="AO117" s="692" t="n"/>
      <c r="AP117" s="692" t="n"/>
    </row>
    <row r="118">
      <c r="A118" s="692" t="n"/>
      <c r="B118" s="692" t="n"/>
      <c r="C118" s="692" t="n"/>
      <c r="D118" s="692" t="n"/>
      <c r="E118" s="692" t="n"/>
      <c r="F118" s="692" t="n"/>
      <c r="G118" s="692" t="n"/>
      <c r="H118" s="692" t="n"/>
      <c r="I118" s="692" t="n"/>
      <c r="J118" s="692" t="n"/>
      <c r="K118" s="692" t="n"/>
      <c r="L118" s="692" t="n"/>
      <c r="M118" s="692" t="n"/>
      <c r="N118" s="692" t="n"/>
      <c r="O118" s="692" t="n"/>
      <c r="P118" s="692" t="n"/>
      <c r="Q118" s="692" t="n"/>
      <c r="R118" s="692" t="n"/>
      <c r="S118" s="692" t="n"/>
      <c r="T118" s="692" t="n"/>
      <c r="U118" s="692" t="n"/>
      <c r="V118" s="692" t="n"/>
      <c r="W118" s="692" t="n"/>
      <c r="X118" s="692" t="n"/>
      <c r="Y118" s="692" t="n"/>
      <c r="Z118" s="692" t="n"/>
      <c r="AA118" s="692" t="n"/>
      <c r="AB118" s="692" t="n"/>
      <c r="AC118" s="692" t="n"/>
      <c r="AD118" s="692" t="n"/>
      <c r="AE118" s="692" t="n"/>
      <c r="AF118" s="692" t="n"/>
      <c r="AG118" s="692" t="n"/>
      <c r="AH118" s="692" t="n"/>
      <c r="AI118" s="692" t="n"/>
      <c r="AJ118" s="692" t="n"/>
      <c r="AK118" s="692" t="n"/>
      <c r="AL118" s="692" t="n"/>
      <c r="AM118" s="692" t="n"/>
      <c r="AN118" s="692" t="n"/>
      <c r="AO118" s="692" t="n"/>
      <c r="AP118" s="692" t="n"/>
    </row>
    <row r="119">
      <c r="A119" s="692" t="n"/>
      <c r="B119" s="692" t="n"/>
      <c r="C119" s="692" t="n"/>
      <c r="D119" s="692" t="n"/>
      <c r="E119" s="692" t="n"/>
      <c r="F119" s="692" t="n"/>
      <c r="G119" s="692" t="n"/>
      <c r="H119" s="692" t="n"/>
      <c r="I119" s="692" t="n"/>
      <c r="J119" s="692" t="n"/>
      <c r="K119" s="692" t="n"/>
      <c r="L119" s="692" t="n"/>
      <c r="M119" s="692" t="n"/>
      <c r="N119" s="692" t="n"/>
      <c r="O119" s="692" t="n"/>
      <c r="P119" s="692" t="n"/>
      <c r="Q119" s="692" t="n"/>
      <c r="R119" s="692" t="n"/>
      <c r="S119" s="692" t="n"/>
      <c r="T119" s="692" t="n"/>
      <c r="U119" s="692" t="n"/>
      <c r="V119" s="692" t="n"/>
      <c r="W119" s="692" t="n"/>
      <c r="X119" s="692" t="n"/>
      <c r="Y119" s="692" t="n"/>
      <c r="Z119" s="692" t="n"/>
      <c r="AA119" s="692" t="n"/>
      <c r="AB119" s="692" t="n"/>
      <c r="AC119" s="692" t="n"/>
      <c r="AD119" s="692" t="n"/>
      <c r="AE119" s="692" t="n"/>
      <c r="AF119" s="692" t="n"/>
      <c r="AG119" s="692" t="n"/>
      <c r="AH119" s="692" t="n"/>
      <c r="AI119" s="692" t="n"/>
      <c r="AJ119" s="692" t="n"/>
      <c r="AK119" s="692" t="n"/>
      <c r="AL119" s="692" t="n"/>
      <c r="AM119" s="692" t="n"/>
      <c r="AN119" s="692" t="n"/>
      <c r="AO119" s="692" t="n"/>
      <c r="AP119" s="692" t="n"/>
    </row>
    <row r="120">
      <c r="A120" s="692" t="n"/>
      <c r="B120" s="692" t="n"/>
      <c r="C120" s="692" t="n"/>
      <c r="D120" s="692" t="n"/>
      <c r="E120" s="692" t="n"/>
      <c r="F120" s="692" t="n"/>
      <c r="G120" s="692" t="n"/>
      <c r="H120" s="692" t="n"/>
      <c r="I120" s="692" t="n"/>
      <c r="J120" s="692" t="n"/>
      <c r="K120" s="692" t="n"/>
      <c r="L120" s="692" t="n"/>
      <c r="M120" s="692" t="n"/>
      <c r="N120" s="692" t="n"/>
      <c r="O120" s="692" t="n"/>
      <c r="P120" s="692" t="n"/>
      <c r="Q120" s="692" t="n"/>
      <c r="R120" s="692" t="n"/>
      <c r="S120" s="692" t="n"/>
      <c r="T120" s="692" t="n"/>
      <c r="U120" s="692" t="n"/>
      <c r="V120" s="692" t="n"/>
      <c r="W120" s="692" t="n"/>
      <c r="X120" s="692" t="n"/>
      <c r="Y120" s="692" t="n"/>
      <c r="Z120" s="692" t="n"/>
      <c r="AA120" s="692" t="n"/>
      <c r="AB120" s="692" t="n"/>
      <c r="AC120" s="692" t="n"/>
      <c r="AD120" s="692" t="n"/>
      <c r="AE120" s="692" t="n"/>
      <c r="AF120" s="692" t="n"/>
      <c r="AG120" s="692" t="n"/>
      <c r="AH120" s="692" t="n"/>
      <c r="AI120" s="692" t="n"/>
      <c r="AJ120" s="692" t="n"/>
      <c r="AK120" s="692" t="n"/>
      <c r="AL120" s="692" t="n"/>
      <c r="AM120" s="692" t="n"/>
      <c r="AN120" s="692" t="n"/>
      <c r="AO120" s="692" t="n"/>
      <c r="AP120" s="692" t="n"/>
    </row>
    <row r="121">
      <c r="A121" s="692" t="n"/>
      <c r="B121" s="692" t="n"/>
      <c r="C121" s="692" t="n"/>
      <c r="D121" s="692" t="n"/>
      <c r="E121" s="692" t="n"/>
      <c r="F121" s="692" t="n"/>
      <c r="G121" s="692" t="n"/>
      <c r="H121" s="692" t="n"/>
      <c r="I121" s="692" t="n"/>
      <c r="J121" s="692" t="n"/>
      <c r="K121" s="692" t="n"/>
      <c r="L121" s="692" t="n"/>
      <c r="M121" s="692" t="n"/>
      <c r="N121" s="692" t="n"/>
      <c r="O121" s="692" t="n"/>
      <c r="P121" s="692" t="n"/>
      <c r="Q121" s="692" t="n"/>
      <c r="R121" s="692" t="n"/>
      <c r="S121" s="692" t="n"/>
      <c r="T121" s="692" t="n"/>
      <c r="U121" s="692" t="n"/>
      <c r="V121" s="692" t="n"/>
      <c r="W121" s="692" t="n"/>
      <c r="X121" s="692" t="n"/>
      <c r="Y121" s="692" t="n"/>
      <c r="Z121" s="692" t="n"/>
      <c r="AA121" s="692" t="n"/>
      <c r="AB121" s="692" t="n"/>
      <c r="AC121" s="692" t="n"/>
      <c r="AD121" s="692" t="n"/>
      <c r="AE121" s="692" t="n"/>
      <c r="AF121" s="692" t="n"/>
      <c r="AG121" s="692" t="n"/>
      <c r="AH121" s="692" t="n"/>
      <c r="AI121" s="692" t="n"/>
      <c r="AJ121" s="692" t="n"/>
      <c r="AK121" s="692" t="n"/>
      <c r="AL121" s="692" t="n"/>
      <c r="AM121" s="692" t="n"/>
      <c r="AN121" s="692" t="n"/>
      <c r="AO121" s="692" t="n"/>
      <c r="AP121" s="692" t="n"/>
    </row>
    <row r="122">
      <c r="A122" s="692" t="n"/>
      <c r="B122" s="692" t="n"/>
      <c r="C122" s="692" t="n"/>
      <c r="D122" s="692" t="n"/>
      <c r="E122" s="692" t="n"/>
      <c r="F122" s="692" t="n"/>
      <c r="G122" s="692" t="n"/>
      <c r="H122" s="692" t="n"/>
      <c r="I122" s="692" t="n"/>
      <c r="J122" s="692" t="n"/>
      <c r="K122" s="692" t="n"/>
      <c r="L122" s="692" t="n"/>
      <c r="M122" s="692" t="n"/>
      <c r="N122" s="692" t="n"/>
      <c r="O122" s="692" t="n"/>
      <c r="P122" s="692" t="n"/>
      <c r="Q122" s="692" t="n"/>
      <c r="R122" s="692" t="n"/>
      <c r="S122" s="692" t="n"/>
      <c r="T122" s="692" t="n"/>
      <c r="U122" s="692" t="n"/>
      <c r="V122" s="692" t="n"/>
      <c r="W122" s="692" t="n"/>
      <c r="X122" s="692" t="n"/>
      <c r="Y122" s="692" t="n"/>
      <c r="Z122" s="692" t="n"/>
      <c r="AA122" s="692" t="n"/>
      <c r="AB122" s="692" t="n"/>
      <c r="AC122" s="692" t="n"/>
      <c r="AD122" s="692" t="n"/>
      <c r="AE122" s="692" t="n"/>
      <c r="AF122" s="692" t="n"/>
      <c r="AG122" s="692" t="n"/>
      <c r="AH122" s="692" t="n"/>
      <c r="AI122" s="692" t="n"/>
      <c r="AJ122" s="692" t="n"/>
      <c r="AK122" s="692" t="n"/>
      <c r="AL122" s="692" t="n"/>
      <c r="AM122" s="692" t="n"/>
      <c r="AN122" s="692" t="n"/>
      <c r="AO122" s="692" t="n"/>
      <c r="AP122" s="692" t="n"/>
    </row>
    <row r="123">
      <c r="A123" s="692" t="n"/>
      <c r="B123" s="692" t="n"/>
      <c r="C123" s="692" t="n"/>
      <c r="D123" s="692" t="n"/>
      <c r="E123" s="692" t="n"/>
      <c r="F123" s="692" t="n"/>
      <c r="G123" s="692" t="n"/>
      <c r="H123" s="692" t="n"/>
      <c r="I123" s="692" t="n"/>
      <c r="J123" s="692" t="n"/>
      <c r="K123" s="692" t="n"/>
      <c r="L123" s="692" t="n"/>
      <c r="M123" s="692" t="n"/>
      <c r="N123" s="692" t="n"/>
      <c r="O123" s="692" t="n"/>
      <c r="P123" s="692" t="n"/>
      <c r="Q123" s="692" t="n"/>
      <c r="R123" s="692" t="n"/>
      <c r="S123" s="692" t="n"/>
      <c r="T123" s="692" t="n"/>
      <c r="U123" s="692" t="n"/>
      <c r="V123" s="692" t="n"/>
      <c r="W123" s="692" t="n"/>
      <c r="X123" s="692" t="n"/>
      <c r="Y123" s="692" t="n"/>
      <c r="Z123" s="692" t="n"/>
      <c r="AA123" s="692" t="n"/>
      <c r="AB123" s="692" t="n"/>
      <c r="AC123" s="692" t="n"/>
      <c r="AD123" s="692" t="n"/>
      <c r="AE123" s="692" t="n"/>
      <c r="AF123" s="692" t="n"/>
      <c r="AG123" s="692" t="n"/>
      <c r="AH123" s="692" t="n"/>
      <c r="AI123" s="692" t="n"/>
      <c r="AJ123" s="692" t="n"/>
      <c r="AK123" s="692" t="n"/>
      <c r="AL123" s="692" t="n"/>
      <c r="AM123" s="692" t="n"/>
      <c r="AN123" s="692" t="n"/>
      <c r="AO123" s="692" t="n"/>
      <c r="AP123" s="692" t="n"/>
    </row>
    <row r="124">
      <c r="A124" s="692" t="n"/>
      <c r="B124" s="692" t="n"/>
      <c r="C124" s="692" t="n"/>
      <c r="D124" s="692" t="n"/>
      <c r="E124" s="692" t="n"/>
      <c r="F124" s="692" t="n"/>
      <c r="G124" s="692" t="n"/>
      <c r="H124" s="692" t="n"/>
      <c r="I124" s="692" t="n"/>
      <c r="J124" s="692" t="n"/>
      <c r="K124" s="692" t="n"/>
      <c r="L124" s="692" t="n"/>
      <c r="M124" s="692" t="n"/>
      <c r="N124" s="692" t="n"/>
      <c r="O124" s="692" t="n"/>
      <c r="P124" s="692" t="n"/>
      <c r="Q124" s="692" t="n"/>
      <c r="R124" s="692" t="n"/>
      <c r="S124" s="692" t="n"/>
      <c r="T124" s="692" t="n"/>
      <c r="U124" s="692" t="n"/>
      <c r="V124" s="692" t="n"/>
      <c r="W124" s="692" t="n"/>
      <c r="X124" s="692" t="n"/>
      <c r="Y124" s="692" t="n"/>
      <c r="Z124" s="692" t="n"/>
      <c r="AA124" s="692" t="n"/>
      <c r="AB124" s="692" t="n"/>
      <c r="AC124" s="692" t="n"/>
      <c r="AD124" s="692" t="n"/>
      <c r="AE124" s="692" t="n"/>
      <c r="AF124" s="692" t="n"/>
      <c r="AG124" s="692" t="n"/>
      <c r="AH124" s="692" t="n"/>
      <c r="AI124" s="692" t="n"/>
      <c r="AJ124" s="692" t="n"/>
      <c r="AK124" s="692" t="n"/>
      <c r="AL124" s="692" t="n"/>
      <c r="AM124" s="692" t="n"/>
      <c r="AN124" s="692" t="n"/>
      <c r="AO124" s="692" t="n"/>
      <c r="AP124" s="692" t="n"/>
    </row>
    <row r="125">
      <c r="A125" s="692" t="n"/>
      <c r="B125" s="692" t="n"/>
      <c r="C125" s="692" t="n"/>
      <c r="D125" s="692" t="n"/>
      <c r="E125" s="692" t="n"/>
      <c r="F125" s="692" t="n"/>
      <c r="G125" s="692" t="n"/>
      <c r="H125" s="692" t="n"/>
      <c r="I125" s="692" t="n"/>
      <c r="J125" s="692" t="n"/>
      <c r="K125" s="692" t="n"/>
      <c r="L125" s="692" t="n"/>
      <c r="M125" s="692" t="n"/>
      <c r="N125" s="692" t="n"/>
      <c r="O125" s="692" t="n"/>
      <c r="P125" s="692" t="n"/>
      <c r="Q125" s="692" t="n"/>
      <c r="R125" s="692" t="n"/>
      <c r="S125" s="692" t="n"/>
      <c r="T125" s="692" t="n"/>
      <c r="U125" s="692" t="n"/>
      <c r="V125" s="692" t="n"/>
      <c r="W125" s="692" t="n"/>
      <c r="X125" s="692" t="n"/>
      <c r="Y125" s="692" t="n"/>
      <c r="Z125" s="692" t="n"/>
      <c r="AA125" s="692" t="n"/>
      <c r="AB125" s="692" t="n"/>
      <c r="AC125" s="692" t="n"/>
      <c r="AD125" s="692" t="n"/>
      <c r="AE125" s="692" t="n"/>
      <c r="AF125" s="692" t="n"/>
      <c r="AG125" s="692" t="n"/>
      <c r="AH125" s="692" t="n"/>
      <c r="AI125" s="692" t="n"/>
      <c r="AJ125" s="692" t="n"/>
      <c r="AK125" s="692" t="n"/>
      <c r="AL125" s="692" t="n"/>
      <c r="AM125" s="692" t="n"/>
      <c r="AN125" s="692" t="n"/>
      <c r="AO125" s="692" t="n"/>
      <c r="AP125" s="692" t="n"/>
    </row>
    <row r="126">
      <c r="A126" s="692" t="n"/>
      <c r="B126" s="692" t="n"/>
      <c r="C126" s="692" t="n"/>
      <c r="D126" s="692" t="n"/>
      <c r="E126" s="692" t="n"/>
      <c r="F126" s="692" t="n"/>
      <c r="G126" s="692" t="n"/>
      <c r="H126" s="692" t="n"/>
      <c r="I126" s="692" t="n"/>
      <c r="J126" s="692" t="n"/>
      <c r="K126" s="692" t="n"/>
      <c r="L126" s="692" t="n"/>
      <c r="M126" s="692" t="n"/>
      <c r="N126" s="692" t="n"/>
      <c r="O126" s="692" t="n"/>
      <c r="P126" s="692" t="n"/>
      <c r="Q126" s="692" t="n"/>
      <c r="R126" s="692" t="n"/>
      <c r="S126" s="692" t="n"/>
      <c r="T126" s="692" t="n"/>
      <c r="U126" s="692" t="n"/>
      <c r="V126" s="692" t="n"/>
      <c r="W126" s="692" t="n"/>
      <c r="X126" s="692" t="n"/>
      <c r="Y126" s="692" t="n"/>
      <c r="Z126" s="692" t="n"/>
      <c r="AA126" s="692" t="n"/>
      <c r="AB126" s="692" t="n"/>
      <c r="AC126" s="692" t="n"/>
      <c r="AD126" s="692" t="n"/>
      <c r="AE126" s="692" t="n"/>
      <c r="AF126" s="692" t="n"/>
      <c r="AG126" s="692" t="n"/>
      <c r="AH126" s="692" t="n"/>
      <c r="AI126" s="692" t="n"/>
      <c r="AJ126" s="692" t="n"/>
      <c r="AK126" s="692" t="n"/>
      <c r="AL126" s="692" t="n"/>
      <c r="AM126" s="692" t="n"/>
      <c r="AN126" s="692" t="n"/>
      <c r="AO126" s="692" t="n"/>
      <c r="AP126" s="692" t="n"/>
    </row>
    <row r="127">
      <c r="A127" s="692" t="n"/>
      <c r="B127" s="692" t="n"/>
      <c r="C127" s="692" t="n"/>
      <c r="D127" s="692" t="n"/>
      <c r="E127" s="692" t="n"/>
      <c r="F127" s="692" t="n"/>
      <c r="G127" s="692" t="n"/>
      <c r="H127" s="692" t="n"/>
      <c r="I127" s="692" t="n"/>
      <c r="J127" s="692" t="n"/>
      <c r="K127" s="692" t="n"/>
      <c r="L127" s="692" t="n"/>
      <c r="M127" s="692" t="n"/>
      <c r="N127" s="692" t="n"/>
      <c r="O127" s="692" t="n"/>
      <c r="P127" s="692" t="n"/>
      <c r="Q127" s="692" t="n"/>
      <c r="R127" s="692" t="n"/>
      <c r="S127" s="692" t="n"/>
      <c r="T127" s="692" t="n"/>
      <c r="U127" s="692" t="n"/>
      <c r="V127" s="692" t="n"/>
      <c r="W127" s="692" t="n"/>
      <c r="X127" s="692" t="n"/>
      <c r="Y127" s="692" t="n"/>
      <c r="Z127" s="692" t="n"/>
      <c r="AA127" s="692" t="n"/>
      <c r="AB127" s="692" t="n"/>
      <c r="AC127" s="692" t="n"/>
      <c r="AD127" s="692" t="n"/>
      <c r="AE127" s="692" t="n"/>
      <c r="AF127" s="692" t="n"/>
      <c r="AG127" s="692" t="n"/>
      <c r="AH127" s="692" t="n"/>
      <c r="AI127" s="692" t="n"/>
      <c r="AJ127" s="692" t="n"/>
      <c r="AK127" s="692" t="n"/>
      <c r="AL127" s="692" t="n"/>
      <c r="AM127" s="692" t="n"/>
      <c r="AN127" s="692" t="n"/>
      <c r="AO127" s="692" t="n"/>
      <c r="AP127" s="692" t="n"/>
    </row>
    <row r="128">
      <c r="A128" s="692" t="n"/>
      <c r="B128" s="692" t="n"/>
      <c r="C128" s="692" t="n"/>
      <c r="D128" s="692" t="n"/>
      <c r="E128" s="692" t="n"/>
      <c r="F128" s="692" t="n"/>
      <c r="G128" s="692" t="n"/>
      <c r="H128" s="692" t="n"/>
      <c r="I128" s="692" t="n"/>
      <c r="J128" s="692" t="n"/>
      <c r="K128" s="692" t="n"/>
      <c r="L128" s="692" t="n"/>
      <c r="M128" s="692" t="n"/>
      <c r="N128" s="692" t="n"/>
      <c r="O128" s="692" t="n"/>
      <c r="P128" s="692" t="n"/>
      <c r="Q128" s="692" t="n"/>
      <c r="R128" s="692" t="n"/>
      <c r="S128" s="692" t="n"/>
      <c r="T128" s="692" t="n"/>
      <c r="U128" s="692" t="n"/>
      <c r="V128" s="692" t="n"/>
      <c r="W128" s="692" t="n"/>
      <c r="X128" s="692" t="n"/>
      <c r="Y128" s="692" t="n"/>
      <c r="Z128" s="692" t="n"/>
      <c r="AA128" s="692" t="n"/>
      <c r="AB128" s="692" t="n"/>
      <c r="AC128" s="692" t="n"/>
      <c r="AD128" s="692" t="n"/>
      <c r="AE128" s="692" t="n"/>
      <c r="AF128" s="692" t="n"/>
      <c r="AG128" s="692" t="n"/>
      <c r="AH128" s="692" t="n"/>
      <c r="AI128" s="692" t="n"/>
      <c r="AJ128" s="692" t="n"/>
      <c r="AK128" s="692" t="n"/>
      <c r="AL128" s="692" t="n"/>
      <c r="AM128" s="692" t="n"/>
      <c r="AN128" s="692" t="n"/>
      <c r="AO128" s="692" t="n"/>
      <c r="AP128" s="692" t="n"/>
    </row>
    <row r="129">
      <c r="A129" s="692" t="n"/>
      <c r="B129" s="692" t="n"/>
      <c r="C129" s="692" t="n"/>
      <c r="D129" s="692" t="n"/>
      <c r="E129" s="692" t="n"/>
      <c r="F129" s="692" t="n"/>
      <c r="G129" s="692" t="n"/>
      <c r="H129" s="692" t="n"/>
      <c r="I129" s="692" t="n"/>
      <c r="J129" s="692" t="n"/>
      <c r="K129" s="692" t="n"/>
      <c r="L129" s="692" t="n"/>
      <c r="M129" s="692" t="n"/>
      <c r="N129" s="692" t="n"/>
      <c r="O129" s="692" t="n"/>
      <c r="P129" s="692" t="n"/>
      <c r="Q129" s="692" t="n"/>
      <c r="R129" s="692" t="n"/>
      <c r="S129" s="692" t="n"/>
      <c r="T129" s="692" t="n"/>
      <c r="U129" s="692" t="n"/>
      <c r="V129" s="692" t="n"/>
      <c r="W129" s="692" t="n"/>
      <c r="X129" s="692" t="n"/>
      <c r="Y129" s="692" t="n"/>
      <c r="Z129" s="692" t="n"/>
      <c r="AA129" s="692" t="n"/>
      <c r="AB129" s="692" t="n"/>
      <c r="AC129" s="692" t="n"/>
      <c r="AD129" s="692" t="n"/>
      <c r="AE129" s="692" t="n"/>
      <c r="AF129" s="692" t="n"/>
      <c r="AG129" s="692" t="n"/>
      <c r="AH129" s="692" t="n"/>
      <c r="AI129" s="692" t="n"/>
      <c r="AJ129" s="692" t="n"/>
      <c r="AK129" s="692" t="n"/>
      <c r="AL129" s="692" t="n"/>
      <c r="AM129" s="692" t="n"/>
      <c r="AN129" s="692" t="n"/>
      <c r="AO129" s="692" t="n"/>
      <c r="AP129" s="692" t="n"/>
    </row>
    <row r="130">
      <c r="A130" s="692" t="n"/>
      <c r="B130" s="692" t="n"/>
      <c r="C130" s="692" t="n"/>
      <c r="D130" s="692" t="n"/>
      <c r="E130" s="692" t="n"/>
      <c r="F130" s="692" t="n"/>
      <c r="G130" s="692" t="n"/>
      <c r="H130" s="692" t="n"/>
      <c r="I130" s="692" t="n"/>
      <c r="J130" s="692" t="n"/>
      <c r="K130" s="692" t="n"/>
      <c r="L130" s="692" t="n"/>
      <c r="M130" s="692" t="n"/>
      <c r="N130" s="692" t="n"/>
      <c r="O130" s="692" t="n"/>
      <c r="P130" s="692" t="n"/>
      <c r="Q130" s="692" t="n"/>
      <c r="R130" s="692" t="n"/>
      <c r="S130" s="692" t="n"/>
      <c r="T130" s="692" t="n"/>
      <c r="U130" s="692" t="n"/>
      <c r="V130" s="692" t="n"/>
      <c r="W130" s="692" t="n"/>
      <c r="X130" s="692" t="n"/>
      <c r="Y130" s="692" t="n"/>
      <c r="Z130" s="692" t="n"/>
      <c r="AA130" s="692" t="n"/>
      <c r="AB130" s="692" t="n"/>
      <c r="AC130" s="692" t="n"/>
      <c r="AD130" s="692" t="n"/>
      <c r="AE130" s="692" t="n"/>
      <c r="AF130" s="692" t="n"/>
      <c r="AG130" s="692" t="n"/>
      <c r="AH130" s="692" t="n"/>
      <c r="AI130" s="692" t="n"/>
      <c r="AJ130" s="692" t="n"/>
      <c r="AK130" s="692" t="n"/>
      <c r="AL130" s="692" t="n"/>
      <c r="AM130" s="692" t="n"/>
      <c r="AN130" s="692" t="n"/>
      <c r="AO130" s="692" t="n"/>
      <c r="AP130" s="692" t="n"/>
    </row>
    <row r="131">
      <c r="A131" s="692" t="n"/>
      <c r="B131" s="692" t="n"/>
      <c r="C131" s="692" t="n"/>
      <c r="D131" s="692" t="n"/>
      <c r="E131" s="692" t="n"/>
      <c r="F131" s="692" t="n"/>
      <c r="G131" s="692" t="n"/>
      <c r="H131" s="692" t="n"/>
      <c r="I131" s="692" t="n"/>
      <c r="J131" s="692" t="n"/>
      <c r="K131" s="692" t="n"/>
      <c r="L131" s="692" t="n"/>
      <c r="M131" s="692" t="n"/>
      <c r="N131" s="692" t="n"/>
      <c r="O131" s="692" t="n"/>
      <c r="P131" s="692" t="n"/>
      <c r="Q131" s="692" t="n"/>
      <c r="R131" s="692" t="n"/>
      <c r="S131" s="692" t="n"/>
      <c r="T131" s="692" t="n"/>
      <c r="U131" s="692" t="n"/>
      <c r="V131" s="692" t="n"/>
      <c r="W131" s="692" t="n"/>
      <c r="X131" s="692" t="n"/>
      <c r="Y131" s="692" t="n"/>
      <c r="Z131" s="692" t="n"/>
      <c r="AA131" s="692" t="n"/>
      <c r="AB131" s="692" t="n"/>
      <c r="AC131" s="692" t="n"/>
      <c r="AD131" s="692" t="n"/>
      <c r="AE131" s="692" t="n"/>
      <c r="AF131" s="692" t="n"/>
      <c r="AG131" s="692" t="n"/>
      <c r="AH131" s="692" t="n"/>
      <c r="AI131" s="692" t="n"/>
      <c r="AJ131" s="692" t="n"/>
      <c r="AK131" s="692" t="n"/>
      <c r="AL131" s="692" t="n"/>
      <c r="AM131" s="692" t="n"/>
      <c r="AN131" s="692" t="n"/>
      <c r="AO131" s="692" t="n"/>
      <c r="AP131" s="692" t="n"/>
    </row>
    <row r="132">
      <c r="A132" s="692" t="n"/>
      <c r="B132" s="692" t="n"/>
      <c r="C132" s="692" t="n"/>
      <c r="D132" s="692" t="n"/>
      <c r="E132" s="692" t="n"/>
      <c r="F132" s="692" t="n"/>
      <c r="G132" s="692" t="n"/>
      <c r="H132" s="692" t="n"/>
      <c r="I132" s="692" t="n"/>
      <c r="J132" s="692" t="n"/>
      <c r="K132" s="692" t="n"/>
      <c r="L132" s="692" t="n"/>
      <c r="M132" s="692" t="n"/>
      <c r="N132" s="692" t="n"/>
      <c r="O132" s="692" t="n"/>
      <c r="P132" s="692" t="n"/>
      <c r="Q132" s="692" t="n"/>
      <c r="R132" s="692" t="n"/>
      <c r="S132" s="692" t="n"/>
      <c r="T132" s="692" t="n"/>
      <c r="U132" s="692" t="n"/>
      <c r="V132" s="692" t="n"/>
      <c r="W132" s="692" t="n"/>
      <c r="X132" s="692" t="n"/>
      <c r="Y132" s="692" t="n"/>
      <c r="Z132" s="692" t="n"/>
      <c r="AA132" s="692" t="n"/>
      <c r="AB132" s="692" t="n"/>
      <c r="AC132" s="692" t="n"/>
      <c r="AD132" s="692" t="n"/>
      <c r="AE132" s="692" t="n"/>
      <c r="AF132" s="692" t="n"/>
      <c r="AG132" s="692" t="n"/>
      <c r="AH132" s="692" t="n"/>
      <c r="AI132" s="692" t="n"/>
      <c r="AJ132" s="692" t="n"/>
      <c r="AK132" s="692" t="n"/>
      <c r="AL132" s="692" t="n"/>
      <c r="AM132" s="692" t="n"/>
      <c r="AN132" s="692" t="n"/>
      <c r="AO132" s="692" t="n"/>
      <c r="AP132" s="692" t="n"/>
    </row>
    <row r="133">
      <c r="A133" s="692" t="n"/>
      <c r="B133" s="692" t="n"/>
      <c r="C133" s="692" t="n"/>
      <c r="D133" s="692" t="n"/>
      <c r="E133" s="692" t="n"/>
      <c r="F133" s="692" t="n"/>
      <c r="G133" s="692" t="n"/>
      <c r="H133" s="692" t="n"/>
      <c r="I133" s="692" t="n"/>
      <c r="J133" s="692" t="n"/>
      <c r="K133" s="692" t="n"/>
      <c r="L133" s="692" t="n"/>
      <c r="M133" s="692" t="n"/>
      <c r="N133" s="692" t="n"/>
      <c r="O133" s="692" t="n"/>
      <c r="P133" s="692" t="n"/>
      <c r="Q133" s="692" t="n"/>
      <c r="R133" s="692" t="n"/>
      <c r="S133" s="692" t="n"/>
      <c r="T133" s="692" t="n"/>
      <c r="U133" s="692" t="n"/>
      <c r="V133" s="692" t="n"/>
      <c r="W133" s="692" t="n"/>
      <c r="X133" s="692" t="n"/>
      <c r="Y133" s="692" t="n"/>
      <c r="Z133" s="692" t="n"/>
      <c r="AA133" s="692" t="n"/>
      <c r="AB133" s="692" t="n"/>
      <c r="AC133" s="692" t="n"/>
      <c r="AD133" s="692" t="n"/>
      <c r="AE133" s="692" t="n"/>
      <c r="AF133" s="692" t="n"/>
      <c r="AG133" s="692" t="n"/>
      <c r="AH133" s="692" t="n"/>
      <c r="AI133" s="692" t="n"/>
      <c r="AJ133" s="692" t="n"/>
      <c r="AK133" s="692" t="n"/>
      <c r="AL133" s="692" t="n"/>
      <c r="AM133" s="692" t="n"/>
      <c r="AN133" s="692" t="n"/>
      <c r="AO133" s="692" t="n"/>
      <c r="AP133" s="692" t="n"/>
    </row>
    <row r="134">
      <c r="A134" s="692" t="n"/>
      <c r="B134" s="692" t="n"/>
      <c r="C134" s="692" t="n"/>
      <c r="D134" s="692" t="n"/>
      <c r="E134" s="692" t="n"/>
      <c r="F134" s="692" t="n"/>
      <c r="G134" s="692" t="n"/>
      <c r="H134" s="692" t="n"/>
      <c r="I134" s="692" t="n"/>
      <c r="J134" s="692" t="n"/>
      <c r="K134" s="692" t="n"/>
      <c r="L134" s="692" t="n"/>
      <c r="M134" s="692" t="n"/>
      <c r="N134" s="692" t="n"/>
      <c r="O134" s="692" t="n"/>
      <c r="P134" s="692" t="n"/>
      <c r="Q134" s="692" t="n"/>
      <c r="R134" s="692" t="n"/>
      <c r="S134" s="692" t="n"/>
      <c r="T134" s="692" t="n"/>
      <c r="U134" s="692" t="n"/>
      <c r="V134" s="692" t="n"/>
      <c r="W134" s="692" t="n"/>
      <c r="X134" s="692" t="n"/>
      <c r="Y134" s="692" t="n"/>
      <c r="Z134" s="692" t="n"/>
      <c r="AA134" s="692" t="n"/>
      <c r="AB134" s="692" t="n"/>
      <c r="AC134" s="692" t="n"/>
      <c r="AD134" s="692" t="n"/>
      <c r="AE134" s="692" t="n"/>
      <c r="AF134" s="692" t="n"/>
      <c r="AG134" s="692" t="n"/>
      <c r="AH134" s="692" t="n"/>
      <c r="AI134" s="692" t="n"/>
      <c r="AJ134" s="692" t="n"/>
      <c r="AK134" s="692" t="n"/>
      <c r="AL134" s="692" t="n"/>
      <c r="AM134" s="692" t="n"/>
      <c r="AN134" s="692" t="n"/>
      <c r="AO134" s="692" t="n"/>
      <c r="AP134" s="692" t="n"/>
    </row>
    <row r="135">
      <c r="A135" s="692" t="n"/>
      <c r="B135" s="692" t="n"/>
      <c r="C135" s="692" t="n"/>
      <c r="D135" s="692" t="n"/>
      <c r="E135" s="692" t="n"/>
      <c r="F135" s="692" t="n"/>
      <c r="G135" s="692" t="n"/>
      <c r="H135" s="692" t="n"/>
      <c r="I135" s="692" t="n"/>
      <c r="J135" s="692" t="n"/>
      <c r="K135" s="692" t="n"/>
      <c r="L135" s="692" t="n"/>
      <c r="M135" s="692" t="n"/>
      <c r="N135" s="692" t="n"/>
      <c r="O135" s="692" t="n"/>
      <c r="P135" s="692" t="n"/>
      <c r="Q135" s="692" t="n"/>
      <c r="R135" s="692" t="n"/>
      <c r="S135" s="692" t="n"/>
      <c r="T135" s="692" t="n"/>
      <c r="U135" s="692" t="n"/>
      <c r="V135" s="692" t="n"/>
      <c r="W135" s="692" t="n"/>
      <c r="X135" s="692" t="n"/>
      <c r="Y135" s="692" t="n"/>
      <c r="Z135" s="692" t="n"/>
      <c r="AA135" s="692" t="n"/>
      <c r="AB135" s="692" t="n"/>
      <c r="AC135" s="692" t="n"/>
      <c r="AD135" s="692" t="n"/>
      <c r="AE135" s="692" t="n"/>
      <c r="AF135" s="692" t="n"/>
      <c r="AG135" s="692" t="n"/>
      <c r="AH135" s="692" t="n"/>
      <c r="AI135" s="692" t="n"/>
      <c r="AJ135" s="692" t="n"/>
      <c r="AK135" s="692" t="n"/>
      <c r="AL135" s="692" t="n"/>
      <c r="AM135" s="692" t="n"/>
      <c r="AN135" s="692" t="n"/>
      <c r="AO135" s="692" t="n"/>
      <c r="AP135" s="692" t="n"/>
    </row>
    <row r="136">
      <c r="A136" s="692" t="n"/>
      <c r="B136" s="692" t="n"/>
      <c r="C136" s="692" t="n"/>
      <c r="D136" s="692" t="n"/>
      <c r="E136" s="692" t="n"/>
      <c r="F136" s="692" t="n"/>
      <c r="G136" s="692" t="n"/>
      <c r="H136" s="692" t="n"/>
      <c r="I136" s="692" t="n"/>
      <c r="J136" s="692" t="n"/>
      <c r="K136" s="692" t="n"/>
      <c r="L136" s="692" t="n"/>
      <c r="M136" s="692" t="n"/>
      <c r="N136" s="692" t="n"/>
      <c r="O136" s="692" t="n"/>
      <c r="P136" s="692" t="n"/>
      <c r="Q136" s="692" t="n"/>
      <c r="R136" s="692" t="n"/>
      <c r="S136" s="692" t="n"/>
      <c r="T136" s="692" t="n"/>
      <c r="U136" s="692" t="n"/>
      <c r="V136" s="692" t="n"/>
      <c r="W136" s="692" t="n"/>
      <c r="X136" s="692" t="n"/>
      <c r="Y136" s="692" t="n"/>
      <c r="Z136" s="692" t="n"/>
      <c r="AA136" s="692" t="n"/>
      <c r="AB136" s="692" t="n"/>
      <c r="AC136" s="692" t="n"/>
      <c r="AD136" s="692" t="n"/>
      <c r="AE136" s="692" t="n"/>
      <c r="AF136" s="692" t="n"/>
      <c r="AG136" s="692" t="n"/>
      <c r="AH136" s="692" t="n"/>
      <c r="AI136" s="692" t="n"/>
      <c r="AJ136" s="692" t="n"/>
      <c r="AK136" s="692" t="n"/>
      <c r="AL136" s="692" t="n"/>
      <c r="AM136" s="692" t="n"/>
      <c r="AN136" s="692" t="n"/>
      <c r="AO136" s="692" t="n"/>
      <c r="AP136" s="692" t="n"/>
    </row>
    <row r="137">
      <c r="A137" s="692" t="n"/>
      <c r="B137" s="692" t="n"/>
      <c r="C137" s="692" t="n"/>
      <c r="D137" s="692" t="n"/>
      <c r="E137" s="692" t="n"/>
      <c r="F137" s="692" t="n"/>
      <c r="G137" s="692" t="n"/>
      <c r="H137" s="692" t="n"/>
      <c r="I137" s="692" t="n"/>
      <c r="J137" s="692" t="n"/>
      <c r="K137" s="692" t="n"/>
      <c r="L137" s="692" t="n"/>
      <c r="M137" s="692" t="n"/>
      <c r="N137" s="692" t="n"/>
      <c r="O137" s="692" t="n"/>
      <c r="P137" s="692" t="n"/>
      <c r="Q137" s="692" t="n"/>
      <c r="R137" s="692" t="n"/>
      <c r="S137" s="692" t="n"/>
      <c r="T137" s="692" t="n"/>
      <c r="U137" s="692" t="n"/>
      <c r="V137" s="692" t="n"/>
      <c r="W137" s="692" t="n"/>
      <c r="X137" s="692" t="n"/>
      <c r="Y137" s="692" t="n"/>
      <c r="Z137" s="692" t="n"/>
      <c r="AA137" s="692" t="n"/>
      <c r="AB137" s="692" t="n"/>
      <c r="AC137" s="692" t="n"/>
      <c r="AD137" s="692" t="n"/>
      <c r="AE137" s="692" t="n"/>
      <c r="AF137" s="692" t="n"/>
      <c r="AG137" s="692" t="n"/>
      <c r="AH137" s="692" t="n"/>
      <c r="AI137" s="692" t="n"/>
      <c r="AJ137" s="692" t="n"/>
      <c r="AK137" s="692" t="n"/>
      <c r="AL137" s="692" t="n"/>
      <c r="AM137" s="692" t="n"/>
      <c r="AN137" s="692" t="n"/>
      <c r="AO137" s="692" t="n"/>
      <c r="AP137" s="692" t="n"/>
    </row>
    <row r="138">
      <c r="A138" s="692" t="n"/>
      <c r="B138" s="692" t="n"/>
      <c r="C138" s="692" t="n"/>
      <c r="D138" s="692" t="n"/>
      <c r="E138" s="692" t="n"/>
      <c r="F138" s="692" t="n"/>
      <c r="G138" s="692" t="n"/>
      <c r="H138" s="692" t="n"/>
      <c r="I138" s="692" t="n"/>
      <c r="J138" s="692" t="n"/>
      <c r="K138" s="692" t="n"/>
      <c r="L138" s="692" t="n"/>
      <c r="M138" s="692" t="n"/>
      <c r="N138" s="692" t="n"/>
      <c r="O138" s="692" t="n"/>
      <c r="P138" s="692" t="n"/>
      <c r="Q138" s="692" t="n"/>
      <c r="R138" s="692" t="n"/>
      <c r="S138" s="692" t="n"/>
      <c r="T138" s="692" t="n"/>
      <c r="U138" s="692" t="n"/>
      <c r="V138" s="692" t="n"/>
      <c r="W138" s="692" t="n"/>
      <c r="X138" s="692" t="n"/>
      <c r="Y138" s="692" t="n"/>
      <c r="Z138" s="692" t="n"/>
      <c r="AA138" s="692" t="n"/>
      <c r="AB138" s="692" t="n"/>
      <c r="AC138" s="692" t="n"/>
      <c r="AD138" s="692" t="n"/>
      <c r="AE138" s="692" t="n"/>
      <c r="AF138" s="692" t="n"/>
      <c r="AG138" s="692" t="n"/>
      <c r="AH138" s="692" t="n"/>
      <c r="AI138" s="692" t="n"/>
      <c r="AJ138" s="692" t="n"/>
      <c r="AK138" s="692" t="n"/>
      <c r="AL138" s="692" t="n"/>
      <c r="AM138" s="692" t="n"/>
      <c r="AN138" s="692" t="n"/>
      <c r="AO138" s="692" t="n"/>
      <c r="AP138" s="692" t="n"/>
    </row>
    <row r="139">
      <c r="A139" s="692" t="n"/>
      <c r="B139" s="692" t="n"/>
      <c r="C139" s="692" t="n"/>
      <c r="D139" s="692" t="n"/>
      <c r="E139" s="692" t="n"/>
      <c r="F139" s="692" t="n"/>
      <c r="G139" s="692" t="n"/>
      <c r="H139" s="692" t="n"/>
      <c r="I139" s="692" t="n"/>
      <c r="J139" s="692" t="n"/>
      <c r="K139" s="692" t="n"/>
      <c r="L139" s="692" t="n"/>
      <c r="M139" s="692" t="n"/>
      <c r="N139" s="692" t="n"/>
      <c r="O139" s="692" t="n"/>
      <c r="P139" s="692" t="n"/>
      <c r="Q139" s="692" t="n"/>
      <c r="R139" s="692" t="n"/>
      <c r="S139" s="692" t="n"/>
      <c r="T139" s="692" t="n"/>
      <c r="U139" s="692" t="n"/>
      <c r="V139" s="692" t="n"/>
      <c r="W139" s="692" t="n"/>
      <c r="X139" s="692" t="n"/>
      <c r="Y139" s="692" t="n"/>
      <c r="Z139" s="692" t="n"/>
      <c r="AA139" s="692" t="n"/>
      <c r="AB139" s="692" t="n"/>
      <c r="AC139" s="692" t="n"/>
      <c r="AD139" s="692" t="n"/>
      <c r="AE139" s="692" t="n"/>
      <c r="AF139" s="692" t="n"/>
      <c r="AG139" s="692" t="n"/>
      <c r="AH139" s="692" t="n"/>
      <c r="AI139" s="692" t="n"/>
      <c r="AJ139" s="692" t="n"/>
      <c r="AK139" s="692" t="n"/>
      <c r="AL139" s="692" t="n"/>
      <c r="AM139" s="692" t="n"/>
      <c r="AN139" s="692" t="n"/>
      <c r="AO139" s="692" t="n"/>
      <c r="AP139" s="692" t="n"/>
    </row>
    <row r="140">
      <c r="A140" s="692" t="n"/>
      <c r="B140" s="692" t="n"/>
      <c r="C140" s="692" t="n"/>
      <c r="D140" s="692" t="n"/>
      <c r="E140" s="692" t="n"/>
      <c r="F140" s="692" t="n"/>
      <c r="G140" s="692" t="n"/>
      <c r="H140" s="692" t="n"/>
      <c r="I140" s="692" t="n"/>
      <c r="J140" s="692" t="n"/>
      <c r="K140" s="692" t="n"/>
      <c r="L140" s="692" t="n"/>
      <c r="M140" s="692" t="n"/>
      <c r="N140" s="692" t="n"/>
      <c r="O140" s="692" t="n"/>
      <c r="P140" s="692" t="n"/>
      <c r="Q140" s="692" t="n"/>
      <c r="R140" s="692" t="n"/>
      <c r="S140" s="692" t="n"/>
      <c r="T140" s="692" t="n"/>
      <c r="U140" s="692" t="n"/>
      <c r="V140" s="692" t="n"/>
      <c r="W140" s="692" t="n"/>
      <c r="X140" s="692" t="n"/>
      <c r="Y140" s="692" t="n"/>
      <c r="Z140" s="692" t="n"/>
      <c r="AA140" s="692" t="n"/>
      <c r="AB140" s="692" t="n"/>
      <c r="AC140" s="692" t="n"/>
      <c r="AD140" s="692" t="n"/>
      <c r="AE140" s="692" t="n"/>
      <c r="AF140" s="692" t="n"/>
      <c r="AG140" s="692" t="n"/>
      <c r="AH140" s="692" t="n"/>
      <c r="AI140" s="692" t="n"/>
      <c r="AJ140" s="692" t="n"/>
      <c r="AK140" s="692" t="n"/>
      <c r="AL140" s="692" t="n"/>
      <c r="AM140" s="692" t="n"/>
      <c r="AN140" s="692" t="n"/>
      <c r="AO140" s="692" t="n"/>
      <c r="AP140" s="692" t="n"/>
    </row>
    <row r="141">
      <c r="A141" s="692" t="n"/>
      <c r="B141" s="692" t="n"/>
      <c r="C141" s="692" t="n"/>
      <c r="D141" s="692" t="n"/>
      <c r="E141" s="692" t="n"/>
      <c r="F141" s="692" t="n"/>
      <c r="G141" s="692" t="n"/>
      <c r="H141" s="692" t="n"/>
      <c r="I141" s="692" t="n"/>
      <c r="J141" s="692" t="n"/>
      <c r="K141" s="692" t="n"/>
      <c r="L141" s="692" t="n"/>
      <c r="M141" s="692" t="n"/>
      <c r="N141" s="692" t="n"/>
      <c r="O141" s="692" t="n"/>
      <c r="P141" s="692" t="n"/>
      <c r="Q141" s="692" t="n"/>
      <c r="R141" s="692" t="n"/>
      <c r="S141" s="692" t="n"/>
      <c r="T141" s="692" t="n"/>
      <c r="U141" s="692" t="n"/>
      <c r="V141" s="692" t="n"/>
      <c r="W141" s="692" t="n"/>
      <c r="X141" s="692" t="n"/>
      <c r="Y141" s="692" t="n"/>
      <c r="Z141" s="692" t="n"/>
      <c r="AA141" s="692" t="n"/>
      <c r="AB141" s="692" t="n"/>
      <c r="AC141" s="692" t="n"/>
      <c r="AD141" s="692" t="n"/>
      <c r="AE141" s="692" t="n"/>
      <c r="AF141" s="692" t="n"/>
      <c r="AG141" s="692" t="n"/>
      <c r="AH141" s="692" t="n"/>
      <c r="AI141" s="692" t="n"/>
      <c r="AJ141" s="692" t="n"/>
      <c r="AK141" s="692" t="n"/>
      <c r="AL141" s="692" t="n"/>
      <c r="AM141" s="692" t="n"/>
      <c r="AN141" s="692" t="n"/>
      <c r="AO141" s="692" t="n"/>
      <c r="AP141" s="692" t="n"/>
    </row>
    <row r="142">
      <c r="A142" s="692" t="n"/>
      <c r="B142" s="692" t="n"/>
      <c r="C142" s="692" t="n"/>
      <c r="D142" s="692" t="n"/>
      <c r="E142" s="692" t="n"/>
      <c r="F142" s="692" t="n"/>
      <c r="G142" s="692" t="n"/>
      <c r="H142" s="692" t="n"/>
      <c r="I142" s="692" t="n"/>
      <c r="J142" s="692" t="n"/>
      <c r="K142" s="692" t="n"/>
      <c r="L142" s="692" t="n"/>
      <c r="M142" s="692" t="n"/>
      <c r="N142" s="692" t="n"/>
      <c r="O142" s="692" t="n"/>
      <c r="P142" s="692" t="n"/>
      <c r="Q142" s="692" t="n"/>
      <c r="R142" s="692" t="n"/>
      <c r="S142" s="692" t="n"/>
      <c r="T142" s="692" t="n"/>
      <c r="U142" s="692" t="n"/>
      <c r="V142" s="692" t="n"/>
      <c r="W142" s="692" t="n"/>
      <c r="X142" s="692" t="n"/>
      <c r="Y142" s="692" t="n"/>
      <c r="Z142" s="692" t="n"/>
      <c r="AA142" s="692" t="n"/>
      <c r="AB142" s="692" t="n"/>
      <c r="AC142" s="692" t="n"/>
      <c r="AD142" s="692" t="n"/>
      <c r="AE142" s="692" t="n"/>
      <c r="AF142" s="692" t="n"/>
      <c r="AG142" s="692" t="n"/>
      <c r="AH142" s="692" t="n"/>
      <c r="AI142" s="692" t="n"/>
      <c r="AJ142" s="692" t="n"/>
      <c r="AK142" s="692" t="n"/>
      <c r="AL142" s="692" t="n"/>
      <c r="AM142" s="692" t="n"/>
      <c r="AN142" s="692" t="n"/>
      <c r="AO142" s="692" t="n"/>
      <c r="AP142" s="692" t="n"/>
    </row>
    <row r="143">
      <c r="A143" s="692" t="n"/>
      <c r="B143" s="692" t="n"/>
      <c r="C143" s="692" t="n"/>
      <c r="D143" s="692" t="n"/>
      <c r="E143" s="692" t="n"/>
      <c r="F143" s="692" t="n"/>
      <c r="G143" s="692" t="n"/>
      <c r="H143" s="692" t="n"/>
      <c r="I143" s="692" t="n"/>
      <c r="J143" s="692" t="n"/>
      <c r="K143" s="692" t="n"/>
      <c r="L143" s="692" t="n"/>
      <c r="M143" s="692" t="n"/>
      <c r="N143" s="692" t="n"/>
      <c r="O143" s="692" t="n"/>
      <c r="P143" s="692" t="n"/>
      <c r="Q143" s="692" t="n"/>
      <c r="R143" s="692" t="n"/>
      <c r="S143" s="692" t="n"/>
      <c r="T143" s="692" t="n"/>
      <c r="U143" s="692" t="n"/>
      <c r="V143" s="692" t="n"/>
      <c r="W143" s="692" t="n"/>
      <c r="X143" s="692" t="n"/>
      <c r="Y143" s="692" t="n"/>
      <c r="Z143" s="692" t="n"/>
      <c r="AA143" s="692" t="n"/>
      <c r="AB143" s="692" t="n"/>
      <c r="AC143" s="692" t="n"/>
      <c r="AD143" s="692" t="n"/>
      <c r="AE143" s="692" t="n"/>
      <c r="AF143" s="692" t="n"/>
      <c r="AG143" s="692" t="n"/>
      <c r="AH143" s="692" t="n"/>
      <c r="AI143" s="692" t="n"/>
      <c r="AJ143" s="692" t="n"/>
      <c r="AK143" s="692" t="n"/>
      <c r="AL143" s="692" t="n"/>
      <c r="AM143" s="692" t="n"/>
      <c r="AN143" s="692" t="n"/>
      <c r="AO143" s="692" t="n"/>
      <c r="AP143" s="692" t="n"/>
    </row>
    <row r="144">
      <c r="A144" s="692" t="n"/>
      <c r="B144" s="692" t="n"/>
      <c r="C144" s="692" t="n"/>
      <c r="D144" s="692" t="n"/>
      <c r="E144" s="692" t="n"/>
      <c r="F144" s="692" t="n"/>
      <c r="G144" s="692" t="n"/>
      <c r="H144" s="692" t="n"/>
      <c r="I144" s="692" t="n"/>
      <c r="J144" s="692" t="n"/>
      <c r="K144" s="692" t="n"/>
      <c r="L144" s="692" t="n"/>
      <c r="M144" s="692" t="n"/>
      <c r="N144" s="692" t="n"/>
      <c r="O144" s="692" t="n"/>
      <c r="P144" s="692" t="n"/>
      <c r="Q144" s="692" t="n"/>
      <c r="R144" s="692" t="n"/>
      <c r="S144" s="692" t="n"/>
      <c r="T144" s="692" t="n"/>
      <c r="U144" s="692" t="n"/>
      <c r="V144" s="692" t="n"/>
      <c r="W144" s="692" t="n"/>
      <c r="X144" s="692" t="n"/>
      <c r="Y144" s="692" t="n"/>
      <c r="Z144" s="692" t="n"/>
      <c r="AA144" s="692" t="n"/>
      <c r="AB144" s="692" t="n"/>
      <c r="AC144" s="692" t="n"/>
      <c r="AD144" s="692" t="n"/>
      <c r="AE144" s="692" t="n"/>
      <c r="AF144" s="692" t="n"/>
      <c r="AG144" s="692" t="n"/>
      <c r="AH144" s="692" t="n"/>
      <c r="AI144" s="692" t="n"/>
      <c r="AJ144" s="692" t="n"/>
      <c r="AK144" s="692" t="n"/>
      <c r="AL144" s="692" t="n"/>
      <c r="AM144" s="692" t="n"/>
      <c r="AN144" s="692" t="n"/>
      <c r="AO144" s="692" t="n"/>
      <c r="AP144" s="692" t="n"/>
    </row>
    <row r="145">
      <c r="A145" s="692" t="n"/>
      <c r="B145" s="692" t="n"/>
      <c r="C145" s="692" t="n"/>
      <c r="D145" s="692" t="n"/>
      <c r="E145" s="692" t="n"/>
      <c r="F145" s="692" t="n"/>
      <c r="G145" s="692" t="n"/>
      <c r="H145" s="692" t="n"/>
      <c r="I145" s="692" t="n"/>
      <c r="J145" s="692" t="n"/>
      <c r="K145" s="692" t="n"/>
      <c r="L145" s="692" t="n"/>
      <c r="M145" s="692" t="n"/>
      <c r="N145" s="692" t="n"/>
      <c r="O145" s="692" t="n"/>
      <c r="P145" s="692" t="n"/>
      <c r="Q145" s="692" t="n"/>
      <c r="R145" s="692" t="n"/>
      <c r="S145" s="692" t="n"/>
      <c r="T145" s="692" t="n"/>
      <c r="U145" s="692" t="n"/>
      <c r="V145" s="692" t="n"/>
      <c r="W145" s="692" t="n"/>
      <c r="X145" s="692" t="n"/>
      <c r="Y145" s="692" t="n"/>
      <c r="Z145" s="692" t="n"/>
      <c r="AA145" s="692" t="n"/>
      <c r="AB145" s="692" t="n"/>
      <c r="AC145" s="692" t="n"/>
      <c r="AD145" s="692" t="n"/>
      <c r="AE145" s="692" t="n"/>
      <c r="AF145" s="692" t="n"/>
      <c r="AG145" s="692" t="n"/>
      <c r="AH145" s="692" t="n"/>
      <c r="AI145" s="692" t="n"/>
      <c r="AJ145" s="692" t="n"/>
      <c r="AK145" s="692" t="n"/>
      <c r="AL145" s="692" t="n"/>
      <c r="AM145" s="692" t="n"/>
      <c r="AN145" s="692" t="n"/>
      <c r="AO145" s="692" t="n"/>
      <c r="AP145" s="692" t="n"/>
    </row>
    <row r="146">
      <c r="A146" s="692" t="n"/>
      <c r="B146" s="692" t="n"/>
      <c r="C146" s="692" t="n"/>
      <c r="D146" s="692" t="n"/>
      <c r="E146" s="692" t="n"/>
      <c r="F146" s="692" t="n"/>
      <c r="G146" s="692" t="n"/>
      <c r="H146" s="692" t="n"/>
      <c r="I146" s="692" t="n"/>
      <c r="J146" s="692" t="n"/>
      <c r="K146" s="692" t="n"/>
      <c r="L146" s="692" t="n"/>
      <c r="M146" s="692" t="n"/>
      <c r="N146" s="692" t="n"/>
      <c r="O146" s="692" t="n"/>
      <c r="P146" s="692" t="n"/>
      <c r="Q146" s="692" t="n"/>
      <c r="R146" s="692" t="n"/>
      <c r="S146" s="692" t="n"/>
      <c r="T146" s="692" t="n"/>
      <c r="U146" s="692" t="n"/>
      <c r="V146" s="692" t="n"/>
      <c r="W146" s="692" t="n"/>
      <c r="X146" s="692" t="n"/>
      <c r="Y146" s="692" t="n"/>
      <c r="Z146" s="692" t="n"/>
      <c r="AA146" s="692" t="n"/>
      <c r="AB146" s="692" t="n"/>
      <c r="AC146" s="692" t="n"/>
      <c r="AD146" s="692" t="n"/>
      <c r="AE146" s="692" t="n"/>
      <c r="AF146" s="692" t="n"/>
      <c r="AG146" s="692" t="n"/>
      <c r="AH146" s="692" t="n"/>
      <c r="AI146" s="692" t="n"/>
      <c r="AJ146" s="692" t="n"/>
      <c r="AK146" s="692" t="n"/>
      <c r="AL146" s="692" t="n"/>
      <c r="AM146" s="692" t="n"/>
      <c r="AN146" s="692" t="n"/>
      <c r="AO146" s="692" t="n"/>
      <c r="AP146" s="692" t="n"/>
    </row>
    <row r="147">
      <c r="A147" s="692" t="n"/>
      <c r="B147" s="692" t="n"/>
      <c r="C147" s="692" t="n"/>
      <c r="D147" s="692" t="n"/>
      <c r="E147" s="692" t="n"/>
      <c r="F147" s="692" t="n"/>
      <c r="G147" s="692" t="n"/>
      <c r="H147" s="692" t="n"/>
      <c r="I147" s="692" t="n"/>
      <c r="J147" s="692" t="n"/>
      <c r="K147" s="692" t="n"/>
      <c r="L147" s="692" t="n"/>
      <c r="M147" s="692" t="n"/>
      <c r="N147" s="692" t="n"/>
      <c r="O147" s="692" t="n"/>
      <c r="P147" s="692" t="n"/>
      <c r="Q147" s="692" t="n"/>
      <c r="R147" s="692" t="n"/>
      <c r="S147" s="692" t="n"/>
      <c r="T147" s="692" t="n"/>
      <c r="U147" s="692" t="n"/>
      <c r="V147" s="692" t="n"/>
      <c r="W147" s="692" t="n"/>
      <c r="X147" s="692" t="n"/>
      <c r="Y147" s="692" t="n"/>
      <c r="Z147" s="692" t="n"/>
      <c r="AA147" s="692" t="n"/>
      <c r="AB147" s="692" t="n"/>
      <c r="AC147" s="692" t="n"/>
      <c r="AD147" s="692" t="n"/>
      <c r="AE147" s="692" t="n"/>
      <c r="AF147" s="692" t="n"/>
      <c r="AG147" s="692" t="n"/>
      <c r="AH147" s="692" t="n"/>
      <c r="AI147" s="692" t="n"/>
      <c r="AJ147" s="692" t="n"/>
      <c r="AK147" s="692" t="n"/>
      <c r="AL147" s="692" t="n"/>
      <c r="AM147" s="692" t="n"/>
      <c r="AN147" s="692" t="n"/>
      <c r="AO147" s="692" t="n"/>
      <c r="AP147" s="692" t="n"/>
    </row>
    <row r="148">
      <c r="A148" s="692" t="n"/>
      <c r="B148" s="692" t="n"/>
      <c r="C148" s="692" t="n"/>
      <c r="D148" s="692" t="n"/>
      <c r="E148" s="692" t="n"/>
      <c r="F148" s="692" t="n"/>
      <c r="G148" s="692" t="n"/>
      <c r="H148" s="692" t="n"/>
      <c r="I148" s="692" t="n"/>
      <c r="J148" s="692" t="n"/>
      <c r="K148" s="692" t="n"/>
      <c r="L148" s="692" t="n"/>
      <c r="M148" s="692" t="n"/>
      <c r="N148" s="692" t="n"/>
      <c r="O148" s="692" t="n"/>
      <c r="P148" s="692" t="n"/>
      <c r="Q148" s="692" t="n"/>
      <c r="R148" s="692" t="n"/>
      <c r="S148" s="692" t="n"/>
      <c r="T148" s="692" t="n"/>
      <c r="U148" s="692" t="n"/>
      <c r="V148" s="692" t="n"/>
      <c r="W148" s="692" t="n"/>
      <c r="X148" s="692" t="n"/>
      <c r="Y148" s="692" t="n"/>
      <c r="Z148" s="692" t="n"/>
      <c r="AA148" s="692" t="n"/>
      <c r="AB148" s="692" t="n"/>
      <c r="AC148" s="692" t="n"/>
      <c r="AD148" s="692" t="n"/>
      <c r="AE148" s="692" t="n"/>
      <c r="AF148" s="692" t="n"/>
      <c r="AG148" s="692" t="n"/>
      <c r="AH148" s="692" t="n"/>
      <c r="AI148" s="692" t="n"/>
      <c r="AJ148" s="692" t="n"/>
      <c r="AK148" s="692" t="n"/>
      <c r="AL148" s="692" t="n"/>
      <c r="AM148" s="692" t="n"/>
      <c r="AN148" s="692" t="n"/>
      <c r="AO148" s="692" t="n"/>
      <c r="AP148" s="692" t="n"/>
    </row>
    <row r="149">
      <c r="A149" s="692" t="n"/>
      <c r="B149" s="692" t="n"/>
      <c r="C149" s="692" t="n"/>
      <c r="D149" s="692" t="n"/>
      <c r="E149" s="692" t="n"/>
      <c r="F149" s="692" t="n"/>
      <c r="G149" s="692" t="n"/>
      <c r="H149" s="692" t="n"/>
      <c r="I149" s="692" t="n"/>
      <c r="J149" s="692" t="n"/>
      <c r="K149" s="692" t="n"/>
      <c r="L149" s="692" t="n"/>
      <c r="M149" s="692" t="n"/>
      <c r="N149" s="692" t="n"/>
      <c r="O149" s="692" t="n"/>
      <c r="P149" s="692" t="n"/>
      <c r="Q149" s="692" t="n"/>
      <c r="R149" s="692" t="n"/>
      <c r="S149" s="692" t="n"/>
      <c r="T149" s="692" t="n"/>
      <c r="U149" s="692" t="n"/>
      <c r="V149" s="692" t="n"/>
      <c r="W149" s="692" t="n"/>
      <c r="X149" s="692" t="n"/>
      <c r="Y149" s="692" t="n"/>
      <c r="Z149" s="692" t="n"/>
      <c r="AA149" s="692" t="n"/>
      <c r="AB149" s="692" t="n"/>
      <c r="AC149" s="692" t="n"/>
      <c r="AD149" s="692" t="n"/>
      <c r="AE149" s="692" t="n"/>
      <c r="AF149" s="692" t="n"/>
      <c r="AG149" s="692" t="n"/>
      <c r="AH149" s="692" t="n"/>
      <c r="AI149" s="692" t="n"/>
      <c r="AJ149" s="692" t="n"/>
      <c r="AK149" s="692" t="n"/>
      <c r="AL149" s="692" t="n"/>
      <c r="AM149" s="692" t="n"/>
      <c r="AN149" s="692" t="n"/>
      <c r="AO149" s="692" t="n"/>
      <c r="AP149" s="692" t="n"/>
    </row>
    <row r="150">
      <c r="A150" s="692" t="n"/>
      <c r="B150" s="692" t="n"/>
      <c r="C150" s="692" t="n"/>
      <c r="D150" s="692" t="n"/>
      <c r="E150" s="692" t="n"/>
      <c r="F150" s="692" t="n"/>
      <c r="G150" s="692" t="n"/>
      <c r="H150" s="692" t="n"/>
      <c r="I150" s="692" t="n"/>
      <c r="J150" s="692" t="n"/>
      <c r="K150" s="692" t="n"/>
      <c r="L150" s="692" t="n"/>
      <c r="M150" s="692" t="n"/>
      <c r="N150" s="692" t="n"/>
      <c r="O150" s="692" t="n"/>
      <c r="P150" s="692" t="n"/>
      <c r="Q150" s="692" t="n"/>
      <c r="R150" s="692" t="n"/>
      <c r="S150" s="692" t="n"/>
      <c r="T150" s="692" t="n"/>
      <c r="U150" s="692" t="n"/>
      <c r="V150" s="692" t="n"/>
      <c r="W150" s="692" t="n"/>
      <c r="X150" s="692" t="n"/>
      <c r="Y150" s="692" t="n"/>
      <c r="Z150" s="692" t="n"/>
      <c r="AA150" s="692" t="n"/>
      <c r="AB150" s="692" t="n"/>
      <c r="AC150" s="692" t="n"/>
      <c r="AD150" s="692" t="n"/>
      <c r="AE150" s="692" t="n"/>
      <c r="AF150" s="692" t="n"/>
      <c r="AG150" s="692" t="n"/>
      <c r="AH150" s="692" t="n"/>
      <c r="AI150" s="692" t="n"/>
      <c r="AJ150" s="692" t="n"/>
      <c r="AK150" s="692" t="n"/>
      <c r="AL150" s="692" t="n"/>
      <c r="AM150" s="692" t="n"/>
      <c r="AN150" s="692" t="n"/>
      <c r="AO150" s="692" t="n"/>
      <c r="AP150" s="692" t="n"/>
    </row>
    <row r="151">
      <c r="A151" s="692" t="n"/>
      <c r="B151" s="692" t="n"/>
      <c r="C151" s="692" t="n"/>
      <c r="D151" s="692" t="n"/>
      <c r="E151" s="692" t="n"/>
      <c r="F151" s="692" t="n"/>
      <c r="G151" s="692" t="n"/>
      <c r="H151" s="692" t="n"/>
      <c r="I151" s="692" t="n"/>
      <c r="J151" s="692" t="n"/>
      <c r="K151" s="692" t="n"/>
      <c r="L151" s="692" t="n"/>
      <c r="M151" s="692" t="n"/>
      <c r="N151" s="692" t="n"/>
      <c r="O151" s="692" t="n"/>
      <c r="P151" s="692" t="n"/>
      <c r="Q151" s="692" t="n"/>
      <c r="R151" s="692" t="n"/>
      <c r="S151" s="692" t="n"/>
      <c r="T151" s="692" t="n"/>
      <c r="U151" s="692" t="n"/>
      <c r="V151" s="692" t="n"/>
      <c r="W151" s="692" t="n"/>
      <c r="X151" s="692" t="n"/>
      <c r="Y151" s="692" t="n"/>
      <c r="Z151" s="692" t="n"/>
      <c r="AA151" s="692" t="n"/>
      <c r="AB151" s="692" t="n"/>
      <c r="AC151" s="692" t="n"/>
      <c r="AD151" s="692" t="n"/>
      <c r="AE151" s="692" t="n"/>
      <c r="AF151" s="692" t="n"/>
      <c r="AG151" s="692" t="n"/>
      <c r="AH151" s="692" t="n"/>
      <c r="AI151" s="692" t="n"/>
      <c r="AJ151" s="692" t="n"/>
      <c r="AK151" s="692" t="n"/>
      <c r="AL151" s="692" t="n"/>
      <c r="AM151" s="692" t="n"/>
      <c r="AN151" s="692" t="n"/>
      <c r="AO151" s="692" t="n"/>
      <c r="AP151" s="692" t="n"/>
    </row>
    <row r="152">
      <c r="A152" s="692" t="n"/>
      <c r="B152" s="692" t="n"/>
      <c r="C152" s="692" t="n"/>
      <c r="D152" s="692" t="n"/>
      <c r="E152" s="692" t="n"/>
      <c r="F152" s="692" t="n"/>
      <c r="G152" s="692" t="n"/>
      <c r="H152" s="692" t="n"/>
      <c r="I152" s="692" t="n"/>
      <c r="J152" s="692" t="n"/>
      <c r="K152" s="692" t="n"/>
      <c r="L152" s="692" t="n"/>
      <c r="M152" s="692" t="n"/>
      <c r="N152" s="692" t="n"/>
      <c r="O152" s="692" t="n"/>
      <c r="P152" s="692" t="n"/>
      <c r="Q152" s="692" t="n"/>
      <c r="R152" s="692" t="n"/>
      <c r="S152" s="692" t="n"/>
      <c r="T152" s="692" t="n"/>
      <c r="U152" s="692" t="n"/>
      <c r="V152" s="692" t="n"/>
      <c r="W152" s="692" t="n"/>
      <c r="X152" s="692" t="n"/>
      <c r="Y152" s="692" t="n"/>
      <c r="Z152" s="692" t="n"/>
      <c r="AA152" s="692" t="n"/>
      <c r="AB152" s="692" t="n"/>
      <c r="AC152" s="692" t="n"/>
      <c r="AD152" s="692" t="n"/>
      <c r="AE152" s="692" t="n"/>
      <c r="AF152" s="692" t="n"/>
      <c r="AG152" s="692" t="n"/>
      <c r="AH152" s="692" t="n"/>
      <c r="AI152" s="692" t="n"/>
      <c r="AJ152" s="692" t="n"/>
      <c r="AK152" s="692" t="n"/>
      <c r="AL152" s="692" t="n"/>
      <c r="AM152" s="692" t="n"/>
      <c r="AN152" s="692" t="n"/>
      <c r="AO152" s="692" t="n"/>
      <c r="AP152" s="692" t="n"/>
    </row>
    <row r="153">
      <c r="A153" s="692" t="n"/>
      <c r="B153" s="692" t="n"/>
      <c r="C153" s="692" t="n"/>
      <c r="D153" s="692" t="n"/>
      <c r="E153" s="692" t="n"/>
      <c r="F153" s="692" t="n"/>
      <c r="G153" s="692" t="n"/>
      <c r="H153" s="692" t="n"/>
      <c r="I153" s="692" t="n"/>
      <c r="J153" s="692" t="n"/>
      <c r="K153" s="692" t="n"/>
      <c r="L153" s="692" t="n"/>
      <c r="M153" s="692" t="n"/>
      <c r="N153" s="692" t="n"/>
      <c r="O153" s="692" t="n"/>
      <c r="P153" s="692" t="n"/>
      <c r="Q153" s="692" t="n"/>
      <c r="R153" s="692" t="n"/>
      <c r="S153" s="692" t="n"/>
      <c r="T153" s="692" t="n"/>
      <c r="U153" s="692" t="n"/>
      <c r="V153" s="692" t="n"/>
      <c r="W153" s="692" t="n"/>
      <c r="X153" s="692" t="n"/>
      <c r="Y153" s="692" t="n"/>
      <c r="Z153" s="692" t="n"/>
      <c r="AA153" s="692" t="n"/>
      <c r="AB153" s="692" t="n"/>
      <c r="AC153" s="692" t="n"/>
      <c r="AD153" s="692" t="n"/>
      <c r="AE153" s="692" t="n"/>
      <c r="AF153" s="692" t="n"/>
      <c r="AG153" s="692" t="n"/>
      <c r="AH153" s="692" t="n"/>
      <c r="AI153" s="692" t="n"/>
      <c r="AJ153" s="692" t="n"/>
      <c r="AK153" s="692" t="n"/>
      <c r="AL153" s="692" t="n"/>
      <c r="AM153" s="692" t="n"/>
      <c r="AN153" s="692" t="n"/>
      <c r="AO153" s="692" t="n"/>
      <c r="AP153" s="692" t="n"/>
    </row>
    <row r="154">
      <c r="A154" s="692" t="n"/>
      <c r="B154" s="692" t="n"/>
      <c r="C154" s="692" t="n"/>
      <c r="D154" s="692" t="n"/>
      <c r="E154" s="692" t="n"/>
      <c r="F154" s="692" t="n"/>
      <c r="G154" s="692" t="n"/>
      <c r="H154" s="692" t="n"/>
      <c r="I154" s="692" t="n"/>
      <c r="J154" s="692" t="n"/>
      <c r="K154" s="692" t="n"/>
      <c r="L154" s="692" t="n"/>
      <c r="M154" s="692" t="n"/>
      <c r="N154" s="692" t="n"/>
      <c r="O154" s="692" t="n"/>
      <c r="P154" s="692" t="n"/>
      <c r="Q154" s="692" t="n"/>
      <c r="R154" s="692" t="n"/>
      <c r="S154" s="692" t="n"/>
      <c r="T154" s="692" t="n"/>
      <c r="U154" s="692" t="n"/>
      <c r="V154" s="692" t="n"/>
      <c r="W154" s="692" t="n"/>
      <c r="X154" s="692" t="n"/>
      <c r="Y154" s="692" t="n"/>
      <c r="Z154" s="692" t="n"/>
      <c r="AA154" s="692" t="n"/>
      <c r="AB154" s="692" t="n"/>
      <c r="AC154" s="692" t="n"/>
      <c r="AD154" s="692" t="n"/>
      <c r="AE154" s="692" t="n"/>
      <c r="AF154" s="692" t="n"/>
      <c r="AG154" s="692" t="n"/>
      <c r="AH154" s="692" t="n"/>
      <c r="AI154" s="692" t="n"/>
      <c r="AJ154" s="692" t="n"/>
      <c r="AK154" s="692" t="n"/>
      <c r="AL154" s="692" t="n"/>
      <c r="AM154" s="692" t="n"/>
      <c r="AN154" s="692" t="n"/>
      <c r="AO154" s="692" t="n"/>
      <c r="AP154" s="692" t="n"/>
    </row>
    <row r="155">
      <c r="A155" s="692" t="n"/>
      <c r="B155" s="692" t="n"/>
      <c r="C155" s="692" t="n"/>
      <c r="D155" s="692" t="n"/>
      <c r="E155" s="692" t="n"/>
      <c r="F155" s="692" t="n"/>
      <c r="G155" s="692" t="n"/>
      <c r="H155" s="692" t="n"/>
      <c r="I155" s="692" t="n"/>
      <c r="J155" s="692" t="n"/>
      <c r="K155" s="692" t="n"/>
      <c r="L155" s="692" t="n"/>
      <c r="M155" s="692" t="n"/>
      <c r="N155" s="692" t="n"/>
      <c r="O155" s="692" t="n"/>
      <c r="P155" s="692" t="n"/>
      <c r="Q155" s="692" t="n"/>
      <c r="R155" s="692" t="n"/>
      <c r="S155" s="692" t="n"/>
      <c r="T155" s="692" t="n"/>
      <c r="U155" s="692" t="n"/>
      <c r="V155" s="692" t="n"/>
      <c r="W155" s="692" t="n"/>
      <c r="X155" s="692" t="n"/>
      <c r="Y155" s="692" t="n"/>
      <c r="Z155" s="692" t="n"/>
      <c r="AA155" s="692" t="n"/>
      <c r="AB155" s="692" t="n"/>
      <c r="AC155" s="692" t="n"/>
      <c r="AD155" s="692" t="n"/>
      <c r="AE155" s="692" t="n"/>
      <c r="AF155" s="692" t="n"/>
      <c r="AG155" s="692" t="n"/>
      <c r="AH155" s="692" t="n"/>
      <c r="AI155" s="692" t="n"/>
      <c r="AJ155" s="692" t="n"/>
      <c r="AK155" s="692" t="n"/>
      <c r="AL155" s="692" t="n"/>
      <c r="AM155" s="692" t="n"/>
      <c r="AN155" s="692" t="n"/>
      <c r="AO155" s="692" t="n"/>
      <c r="AP155" s="692" t="n"/>
    </row>
    <row r="156">
      <c r="A156" s="692" t="n"/>
      <c r="B156" s="692" t="n"/>
      <c r="C156" s="692" t="n"/>
      <c r="D156" s="692" t="n"/>
      <c r="E156" s="692" t="n"/>
      <c r="F156" s="692" t="n"/>
      <c r="G156" s="692" t="n"/>
      <c r="H156" s="692" t="n"/>
      <c r="I156" s="692" t="n"/>
      <c r="J156" s="692" t="n"/>
      <c r="K156" s="692" t="n"/>
      <c r="L156" s="692" t="n"/>
      <c r="M156" s="692" t="n"/>
      <c r="N156" s="692" t="n"/>
      <c r="O156" s="692" t="n"/>
      <c r="P156" s="692" t="n"/>
      <c r="Q156" s="692" t="n"/>
      <c r="R156" s="692" t="n"/>
      <c r="S156" s="692" t="n"/>
      <c r="T156" s="692" t="n"/>
      <c r="U156" s="692" t="n"/>
      <c r="V156" s="692" t="n"/>
      <c r="W156" s="692" t="n"/>
      <c r="X156" s="692" t="n"/>
      <c r="Y156" s="692" t="n"/>
      <c r="Z156" s="692" t="n"/>
      <c r="AA156" s="692" t="n"/>
      <c r="AB156" s="692" t="n"/>
      <c r="AC156" s="692" t="n"/>
      <c r="AD156" s="692" t="n"/>
      <c r="AE156" s="692" t="n"/>
      <c r="AF156" s="692" t="n"/>
      <c r="AG156" s="692" t="n"/>
      <c r="AH156" s="692" t="n"/>
      <c r="AI156" s="692" t="n"/>
      <c r="AJ156" s="692" t="n"/>
      <c r="AK156" s="692" t="n"/>
      <c r="AL156" s="692" t="n"/>
      <c r="AM156" s="692" t="n"/>
      <c r="AN156" s="692" t="n"/>
      <c r="AO156" s="692" t="n"/>
      <c r="AP156" s="692" t="n"/>
    </row>
    <row r="157">
      <c r="A157" s="692" t="n"/>
      <c r="B157" s="692" t="n"/>
      <c r="C157" s="692" t="n"/>
      <c r="D157" s="692" t="n"/>
      <c r="E157" s="692" t="n"/>
      <c r="F157" s="692" t="n"/>
      <c r="G157" s="692" t="n"/>
      <c r="H157" s="692" t="n"/>
      <c r="I157" s="692" t="n"/>
      <c r="J157" s="692" t="n"/>
      <c r="K157" s="692" t="n"/>
      <c r="L157" s="692" t="n"/>
      <c r="M157" s="692" t="n"/>
      <c r="N157" s="692" t="n"/>
      <c r="O157" s="692" t="n"/>
      <c r="P157" s="692" t="n"/>
      <c r="Q157" s="692" t="n"/>
      <c r="R157" s="692" t="n"/>
      <c r="S157" s="692" t="n"/>
      <c r="T157" s="692" t="n"/>
      <c r="U157" s="692" t="n"/>
      <c r="V157" s="692" t="n"/>
      <c r="W157" s="692" t="n"/>
      <c r="X157" s="692" t="n"/>
      <c r="Y157" s="692" t="n"/>
      <c r="Z157" s="692" t="n"/>
      <c r="AA157" s="692" t="n"/>
      <c r="AB157" s="692" t="n"/>
      <c r="AC157" s="692" t="n"/>
      <c r="AD157" s="692" t="n"/>
      <c r="AE157" s="692" t="n"/>
      <c r="AF157" s="692" t="n"/>
      <c r="AG157" s="692" t="n"/>
      <c r="AH157" s="692" t="n"/>
      <c r="AI157" s="692" t="n"/>
      <c r="AJ157" s="692" t="n"/>
      <c r="AK157" s="692" t="n"/>
      <c r="AL157" s="692" t="n"/>
      <c r="AM157" s="692" t="n"/>
      <c r="AN157" s="692" t="n"/>
      <c r="AO157" s="692" t="n"/>
      <c r="AP157" s="692" t="n"/>
    </row>
    <row r="158">
      <c r="A158" s="692" t="n"/>
      <c r="B158" s="692" t="n"/>
      <c r="C158" s="692" t="n"/>
      <c r="D158" s="692" t="n"/>
      <c r="E158" s="692" t="n"/>
      <c r="F158" s="692" t="n"/>
      <c r="G158" s="692" t="n"/>
      <c r="H158" s="692" t="n"/>
      <c r="I158" s="692" t="n"/>
      <c r="J158" s="692" t="n"/>
      <c r="K158" s="692" t="n"/>
      <c r="L158" s="692" t="n"/>
      <c r="M158" s="692" t="n"/>
      <c r="N158" s="692" t="n"/>
      <c r="O158" s="692" t="n"/>
      <c r="P158" s="692" t="n"/>
      <c r="Q158" s="692" t="n"/>
      <c r="R158" s="692" t="n"/>
      <c r="S158" s="692" t="n"/>
      <c r="T158" s="692" t="n"/>
      <c r="U158" s="692" t="n"/>
      <c r="V158" s="692" t="n"/>
      <c r="W158" s="692" t="n"/>
      <c r="X158" s="692" t="n"/>
      <c r="Y158" s="692" t="n"/>
      <c r="Z158" s="692" t="n"/>
      <c r="AA158" s="692" t="n"/>
      <c r="AB158" s="692" t="n"/>
      <c r="AC158" s="692" t="n"/>
      <c r="AD158" s="692" t="n"/>
      <c r="AE158" s="692" t="n"/>
      <c r="AF158" s="692" t="n"/>
      <c r="AG158" s="692" t="n"/>
      <c r="AH158" s="692" t="n"/>
      <c r="AI158" s="692" t="n"/>
      <c r="AJ158" s="692" t="n"/>
      <c r="AK158" s="692" t="n"/>
      <c r="AL158" s="692" t="n"/>
      <c r="AM158" s="692" t="n"/>
      <c r="AN158" s="692" t="n"/>
      <c r="AO158" s="692" t="n"/>
      <c r="AP158" s="692" t="n"/>
    </row>
    <row r="159">
      <c r="A159" s="692" t="n"/>
      <c r="B159" s="692" t="n"/>
      <c r="C159" s="692" t="n"/>
      <c r="D159" s="692" t="n"/>
      <c r="E159" s="692" t="n"/>
      <c r="F159" s="692" t="n"/>
      <c r="G159" s="692" t="n"/>
      <c r="H159" s="692" t="n"/>
      <c r="I159" s="692" t="n"/>
      <c r="J159" s="692" t="n"/>
      <c r="K159" s="692" t="n"/>
      <c r="L159" s="692" t="n"/>
      <c r="M159" s="692" t="n"/>
      <c r="N159" s="692" t="n"/>
      <c r="O159" s="692" t="n"/>
      <c r="P159" s="692" t="n"/>
      <c r="Q159" s="692" t="n"/>
      <c r="R159" s="692" t="n"/>
      <c r="S159" s="692" t="n"/>
      <c r="T159" s="692" t="n"/>
      <c r="U159" s="692" t="n"/>
      <c r="V159" s="692" t="n"/>
      <c r="W159" s="692" t="n"/>
      <c r="X159" s="692" t="n"/>
      <c r="Y159" s="692" t="n"/>
      <c r="Z159" s="692" t="n"/>
      <c r="AA159" s="692" t="n"/>
      <c r="AB159" s="692" t="n"/>
      <c r="AC159" s="692" t="n"/>
      <c r="AD159" s="692" t="n"/>
      <c r="AE159" s="692" t="n"/>
      <c r="AF159" s="692" t="n"/>
      <c r="AG159" s="692" t="n"/>
      <c r="AH159" s="692" t="n"/>
      <c r="AI159" s="692" t="n"/>
      <c r="AJ159" s="692" t="n"/>
      <c r="AK159" s="692" t="n"/>
      <c r="AL159" s="692" t="n"/>
      <c r="AM159" s="692" t="n"/>
      <c r="AN159" s="692" t="n"/>
      <c r="AO159" s="692" t="n"/>
      <c r="AP159" s="692" t="n"/>
    </row>
    <row r="160">
      <c r="A160" s="692" t="n"/>
      <c r="B160" s="692" t="n"/>
      <c r="C160" s="692" t="n"/>
      <c r="D160" s="692" t="n"/>
      <c r="E160" s="692" t="n"/>
      <c r="F160" s="692" t="n"/>
      <c r="G160" s="692" t="n"/>
      <c r="H160" s="692" t="n"/>
      <c r="I160" s="692" t="n"/>
      <c r="J160" s="692" t="n"/>
      <c r="K160" s="692" t="n"/>
      <c r="L160" s="692" t="n"/>
      <c r="M160" s="692" t="n"/>
      <c r="N160" s="692" t="n"/>
      <c r="O160" s="692" t="n"/>
      <c r="P160" s="692" t="n"/>
      <c r="Q160" s="692" t="n"/>
      <c r="R160" s="692" t="n"/>
      <c r="S160" s="692" t="n"/>
      <c r="T160" s="692" t="n"/>
      <c r="U160" s="692" t="n"/>
      <c r="V160" s="692" t="n"/>
      <c r="W160" s="692" t="n"/>
      <c r="X160" s="692" t="n"/>
      <c r="Y160" s="692" t="n"/>
      <c r="Z160" s="692" t="n"/>
      <c r="AA160" s="692" t="n"/>
      <c r="AB160" s="692" t="n"/>
      <c r="AC160" s="692" t="n"/>
      <c r="AD160" s="692" t="n"/>
      <c r="AE160" s="692" t="n"/>
      <c r="AF160" s="692" t="n"/>
      <c r="AG160" s="692" t="n"/>
      <c r="AH160" s="692" t="n"/>
      <c r="AI160" s="692" t="n"/>
      <c r="AJ160" s="692" t="n"/>
      <c r="AK160" s="692" t="n"/>
      <c r="AL160" s="692" t="n"/>
      <c r="AM160" s="692" t="n"/>
      <c r="AN160" s="692" t="n"/>
      <c r="AO160" s="692" t="n"/>
      <c r="AP160" s="692" t="n"/>
    </row>
    <row r="161">
      <c r="A161" s="692" t="n"/>
      <c r="B161" s="692" t="n"/>
      <c r="C161" s="692" t="n"/>
      <c r="D161" s="692" t="n"/>
      <c r="E161" s="692" t="n"/>
      <c r="F161" s="692" t="n"/>
      <c r="G161" s="692" t="n"/>
      <c r="H161" s="692" t="n"/>
      <c r="I161" s="692" t="n"/>
      <c r="J161" s="692" t="n"/>
      <c r="K161" s="692" t="n"/>
      <c r="L161" s="692" t="n"/>
      <c r="M161" s="692" t="n"/>
      <c r="N161" s="692" t="n"/>
      <c r="O161" s="692" t="n"/>
      <c r="P161" s="692" t="n"/>
      <c r="Q161" s="692" t="n"/>
      <c r="R161" s="692" t="n"/>
      <c r="S161" s="692" t="n"/>
      <c r="T161" s="692" t="n"/>
      <c r="U161" s="692" t="n"/>
      <c r="V161" s="692" t="n"/>
      <c r="W161" s="692" t="n"/>
      <c r="X161" s="692" t="n"/>
      <c r="Y161" s="692" t="n"/>
      <c r="Z161" s="692" t="n"/>
      <c r="AA161" s="692" t="n"/>
      <c r="AB161" s="692" t="n"/>
      <c r="AC161" s="692" t="n"/>
      <c r="AD161" s="692" t="n"/>
      <c r="AE161" s="692" t="n"/>
      <c r="AF161" s="692" t="n"/>
      <c r="AG161" s="692" t="n"/>
      <c r="AH161" s="692" t="n"/>
      <c r="AI161" s="692" t="n"/>
      <c r="AJ161" s="692" t="n"/>
      <c r="AK161" s="692" t="n"/>
      <c r="AL161" s="692" t="n"/>
      <c r="AM161" s="692" t="n"/>
      <c r="AN161" s="692" t="n"/>
      <c r="AO161" s="692" t="n"/>
      <c r="AP161" s="692" t="n"/>
    </row>
    <row r="162">
      <c r="A162" s="692" t="n"/>
      <c r="B162" s="692" t="n"/>
      <c r="C162" s="692" t="n"/>
      <c r="D162" s="692" t="n"/>
      <c r="E162" s="692" t="n"/>
      <c r="F162" s="692" t="n"/>
      <c r="G162" s="692" t="n"/>
      <c r="H162" s="692" t="n"/>
      <c r="I162" s="692" t="n"/>
      <c r="J162" s="692" t="n"/>
      <c r="K162" s="692" t="n"/>
      <c r="L162" s="692" t="n"/>
      <c r="M162" s="692" t="n"/>
      <c r="N162" s="692" t="n"/>
      <c r="O162" s="692" t="n"/>
      <c r="P162" s="692" t="n"/>
      <c r="Q162" s="692" t="n"/>
      <c r="R162" s="692" t="n"/>
      <c r="S162" s="692" t="n"/>
      <c r="T162" s="692" t="n"/>
      <c r="U162" s="692" t="n"/>
      <c r="V162" s="692" t="n"/>
      <c r="W162" s="692" t="n"/>
      <c r="X162" s="692" t="n"/>
      <c r="Y162" s="692" t="n"/>
      <c r="Z162" s="692" t="n"/>
      <c r="AA162" s="692" t="n"/>
      <c r="AB162" s="692" t="n"/>
      <c r="AC162" s="692" t="n"/>
      <c r="AD162" s="692" t="n"/>
      <c r="AE162" s="692" t="n"/>
      <c r="AF162" s="692" t="n"/>
      <c r="AG162" s="692" t="n"/>
      <c r="AH162" s="692" t="n"/>
      <c r="AI162" s="692" t="n"/>
      <c r="AJ162" s="692" t="n"/>
      <c r="AK162" s="692" t="n"/>
      <c r="AL162" s="692" t="n"/>
      <c r="AM162" s="692" t="n"/>
      <c r="AN162" s="692" t="n"/>
      <c r="AO162" s="692" t="n"/>
      <c r="AP162" s="692" t="n"/>
    </row>
    <row r="163">
      <c r="A163" s="692" t="n"/>
      <c r="B163" s="692" t="n"/>
      <c r="C163" s="692" t="n"/>
      <c r="D163" s="692" t="n"/>
      <c r="E163" s="692" t="n"/>
      <c r="F163" s="692" t="n"/>
      <c r="G163" s="692" t="n"/>
      <c r="H163" s="692" t="n"/>
      <c r="I163" s="692" t="n"/>
      <c r="J163" s="692" t="n"/>
      <c r="K163" s="692" t="n"/>
      <c r="L163" s="692" t="n"/>
      <c r="M163" s="692" t="n"/>
      <c r="N163" s="692" t="n"/>
      <c r="O163" s="692" t="n"/>
      <c r="P163" s="692" t="n"/>
      <c r="Q163" s="692" t="n"/>
      <c r="R163" s="692" t="n"/>
      <c r="S163" s="692" t="n"/>
      <c r="T163" s="692" t="n"/>
      <c r="U163" s="692" t="n"/>
      <c r="V163" s="692" t="n"/>
      <c r="W163" s="692" t="n"/>
      <c r="X163" s="692" t="n"/>
      <c r="Y163" s="692" t="n"/>
      <c r="Z163" s="692" t="n"/>
      <c r="AA163" s="692" t="n"/>
      <c r="AB163" s="692" t="n"/>
      <c r="AC163" s="692" t="n"/>
      <c r="AD163" s="692" t="n"/>
      <c r="AE163" s="692" t="n"/>
      <c r="AF163" s="692" t="n"/>
      <c r="AG163" s="692" t="n"/>
      <c r="AH163" s="692" t="n"/>
      <c r="AI163" s="692" t="n"/>
      <c r="AJ163" s="692" t="n"/>
      <c r="AK163" s="692" t="n"/>
      <c r="AL163" s="692" t="n"/>
      <c r="AM163" s="692" t="n"/>
      <c r="AN163" s="692" t="n"/>
      <c r="AO163" s="692" t="n"/>
      <c r="AP163" s="692" t="n"/>
    </row>
    <row r="164">
      <c r="A164" s="692" t="n"/>
      <c r="B164" s="692" t="n"/>
      <c r="C164" s="692" t="n"/>
      <c r="D164" s="692" t="n"/>
      <c r="E164" s="692" t="n"/>
      <c r="F164" s="692" t="n"/>
      <c r="G164" s="692" t="n"/>
      <c r="H164" s="692" t="n"/>
      <c r="I164" s="692" t="n"/>
      <c r="J164" s="692" t="n"/>
      <c r="K164" s="692" t="n"/>
      <c r="L164" s="692" t="n"/>
      <c r="M164" s="692" t="n"/>
      <c r="N164" s="692" t="n"/>
      <c r="O164" s="692" t="n"/>
      <c r="P164" s="692" t="n"/>
      <c r="Q164" s="692" t="n"/>
      <c r="R164" s="692" t="n"/>
      <c r="S164" s="692" t="n"/>
      <c r="T164" s="692" t="n"/>
      <c r="U164" s="692" t="n"/>
      <c r="V164" s="692" t="n"/>
      <c r="W164" s="692" t="n"/>
      <c r="X164" s="692" t="n"/>
      <c r="Y164" s="692" t="n"/>
      <c r="Z164" s="692" t="n"/>
      <c r="AA164" s="692" t="n"/>
      <c r="AB164" s="692" t="n"/>
      <c r="AC164" s="692" t="n"/>
      <c r="AD164" s="692" t="n"/>
      <c r="AE164" s="692" t="n"/>
      <c r="AF164" s="692" t="n"/>
      <c r="AG164" s="692" t="n"/>
      <c r="AH164" s="692" t="n"/>
      <c r="AI164" s="692" t="n"/>
      <c r="AJ164" s="692" t="n"/>
      <c r="AK164" s="692" t="n"/>
      <c r="AL164" s="692" t="n"/>
      <c r="AM164" s="692" t="n"/>
      <c r="AN164" s="692" t="n"/>
      <c r="AO164" s="692" t="n"/>
      <c r="AP164" s="692" t="n"/>
    </row>
    <row r="165">
      <c r="A165" s="692" t="n"/>
      <c r="B165" s="692" t="n"/>
      <c r="C165" s="692" t="n"/>
      <c r="D165" s="692" t="n"/>
      <c r="E165" s="692" t="n"/>
      <c r="F165" s="692" t="n"/>
      <c r="G165" s="692" t="n"/>
      <c r="H165" s="692" t="n"/>
      <c r="I165" s="692" t="n"/>
      <c r="J165" s="692" t="n"/>
      <c r="K165" s="692" t="n"/>
      <c r="L165" s="692" t="n"/>
      <c r="M165" s="692" t="n"/>
      <c r="N165" s="692" t="n"/>
      <c r="O165" s="692" t="n"/>
      <c r="P165" s="692" t="n"/>
      <c r="Q165" s="692" t="n"/>
      <c r="R165" s="692" t="n"/>
      <c r="S165" s="692" t="n"/>
      <c r="T165" s="692" t="n"/>
      <c r="U165" s="692" t="n"/>
      <c r="V165" s="692" t="n"/>
      <c r="W165" s="692" t="n"/>
      <c r="X165" s="692" t="n"/>
      <c r="Y165" s="692" t="n"/>
      <c r="Z165" s="692" t="n"/>
      <c r="AA165" s="692" t="n"/>
      <c r="AB165" s="692" t="n"/>
      <c r="AC165" s="692" t="n"/>
      <c r="AD165" s="692" t="n"/>
      <c r="AE165" s="692" t="n"/>
      <c r="AF165" s="692" t="n"/>
      <c r="AG165" s="692" t="n"/>
      <c r="AH165" s="692" t="n"/>
      <c r="AI165" s="692" t="n"/>
      <c r="AJ165" s="692" t="n"/>
      <c r="AK165" s="692" t="n"/>
      <c r="AL165" s="692" t="n"/>
      <c r="AM165" s="692" t="n"/>
      <c r="AN165" s="692" t="n"/>
      <c r="AO165" s="692" t="n"/>
      <c r="AP165" s="692" t="n"/>
    </row>
    <row r="166">
      <c r="A166" s="692" t="n"/>
      <c r="B166" s="692" t="n"/>
      <c r="C166" s="692" t="n"/>
      <c r="D166" s="692" t="n"/>
      <c r="E166" s="692" t="n"/>
      <c r="F166" s="692" t="n"/>
      <c r="G166" s="692" t="n"/>
      <c r="H166" s="692" t="n"/>
      <c r="I166" s="692" t="n"/>
      <c r="J166" s="692" t="n"/>
      <c r="K166" s="692" t="n"/>
      <c r="L166" s="692" t="n"/>
      <c r="M166" s="692" t="n"/>
      <c r="N166" s="692" t="n"/>
      <c r="O166" s="692" t="n"/>
      <c r="P166" s="692" t="n"/>
      <c r="Q166" s="692" t="n"/>
      <c r="R166" s="692" t="n"/>
      <c r="S166" s="692" t="n"/>
      <c r="T166" s="692" t="n"/>
      <c r="U166" s="692" t="n"/>
      <c r="V166" s="692" t="n"/>
      <c r="W166" s="692" t="n"/>
      <c r="X166" s="692" t="n"/>
      <c r="Y166" s="692" t="n"/>
      <c r="Z166" s="692" t="n"/>
      <c r="AA166" s="692" t="n"/>
      <c r="AB166" s="692" t="n"/>
      <c r="AC166" s="692" t="n"/>
      <c r="AD166" s="692" t="n"/>
      <c r="AE166" s="692" t="n"/>
      <c r="AF166" s="692" t="n"/>
      <c r="AG166" s="692" t="n"/>
      <c r="AH166" s="692" t="n"/>
      <c r="AI166" s="692" t="n"/>
      <c r="AJ166" s="692" t="n"/>
      <c r="AK166" s="692" t="n"/>
      <c r="AL166" s="692" t="n"/>
      <c r="AM166" s="692" t="n"/>
      <c r="AN166" s="692" t="n"/>
      <c r="AO166" s="692" t="n"/>
      <c r="AP166" s="692" t="n"/>
    </row>
    <row r="167">
      <c r="A167" s="692" t="n"/>
      <c r="B167" s="692" t="n"/>
      <c r="C167" s="692" t="n"/>
      <c r="D167" s="692" t="n"/>
      <c r="E167" s="692" t="n"/>
      <c r="F167" s="692" t="n"/>
      <c r="G167" s="692" t="n"/>
      <c r="H167" s="692" t="n"/>
      <c r="I167" s="692" t="n"/>
      <c r="J167" s="692" t="n"/>
      <c r="K167" s="692" t="n"/>
      <c r="L167" s="692" t="n"/>
      <c r="M167" s="692" t="n"/>
      <c r="N167" s="692" t="n"/>
      <c r="O167" s="692" t="n"/>
      <c r="P167" s="692" t="n"/>
      <c r="Q167" s="692" t="n"/>
      <c r="R167" s="692" t="n"/>
      <c r="S167" s="692" t="n"/>
      <c r="T167" s="692" t="n"/>
      <c r="U167" s="692" t="n"/>
      <c r="V167" s="692" t="n"/>
      <c r="W167" s="692" t="n"/>
      <c r="X167" s="692" t="n"/>
      <c r="Y167" s="692" t="n"/>
      <c r="Z167" s="692" t="n"/>
      <c r="AA167" s="692" t="n"/>
      <c r="AB167" s="692" t="n"/>
      <c r="AC167" s="692" t="n"/>
      <c r="AD167" s="692" t="n"/>
      <c r="AE167" s="692" t="n"/>
      <c r="AF167" s="692" t="n"/>
      <c r="AG167" s="692" t="n"/>
      <c r="AH167" s="692" t="n"/>
      <c r="AI167" s="692" t="n"/>
      <c r="AJ167" s="692" t="n"/>
      <c r="AK167" s="692" t="n"/>
      <c r="AL167" s="692" t="n"/>
      <c r="AM167" s="692" t="n"/>
      <c r="AN167" s="692" t="n"/>
      <c r="AO167" s="692" t="n"/>
      <c r="AP167" s="692" t="n"/>
    </row>
    <row r="168">
      <c r="A168" s="692" t="n"/>
      <c r="B168" s="692" t="n"/>
      <c r="C168" s="692" t="n"/>
      <c r="D168" s="692" t="n"/>
      <c r="E168" s="692" t="n"/>
      <c r="F168" s="692" t="n"/>
      <c r="G168" s="692" t="n"/>
      <c r="H168" s="692" t="n"/>
      <c r="I168" s="692" t="n"/>
      <c r="J168" s="692" t="n"/>
      <c r="K168" s="692" t="n"/>
      <c r="L168" s="692" t="n"/>
      <c r="M168" s="692" t="n"/>
      <c r="N168" s="692" t="n"/>
      <c r="O168" s="692" t="n"/>
      <c r="P168" s="692" t="n"/>
      <c r="Q168" s="692" t="n"/>
      <c r="R168" s="692" t="n"/>
      <c r="S168" s="692" t="n"/>
      <c r="T168" s="692" t="n"/>
      <c r="U168" s="692" t="n"/>
      <c r="V168" s="692" t="n"/>
      <c r="W168" s="692" t="n"/>
      <c r="X168" s="692" t="n"/>
      <c r="Y168" s="692" t="n"/>
      <c r="Z168" s="692" t="n"/>
      <c r="AA168" s="692" t="n"/>
      <c r="AB168" s="692" t="n"/>
      <c r="AC168" s="692" t="n"/>
      <c r="AD168" s="692" t="n"/>
      <c r="AE168" s="692" t="n"/>
      <c r="AF168" s="692" t="n"/>
      <c r="AG168" s="692" t="n"/>
      <c r="AH168" s="692" t="n"/>
      <c r="AI168" s="692" t="n"/>
      <c r="AJ168" s="692" t="n"/>
      <c r="AK168" s="692" t="n"/>
      <c r="AL168" s="692" t="n"/>
      <c r="AM168" s="692" t="n"/>
      <c r="AN168" s="692" t="n"/>
      <c r="AO168" s="692" t="n"/>
      <c r="AP168" s="692" t="n"/>
    </row>
    <row r="169">
      <c r="A169" s="692" t="n"/>
      <c r="B169" s="692" t="n"/>
      <c r="C169" s="692" t="n"/>
      <c r="D169" s="692" t="n"/>
      <c r="E169" s="692" t="n"/>
      <c r="F169" s="692" t="n"/>
      <c r="G169" s="692" t="n"/>
      <c r="H169" s="692" t="n"/>
      <c r="I169" s="692" t="n"/>
      <c r="J169" s="692" t="n"/>
      <c r="K169" s="692" t="n"/>
      <c r="L169" s="692" t="n"/>
      <c r="M169" s="692" t="n"/>
      <c r="N169" s="692" t="n"/>
      <c r="O169" s="692" t="n"/>
      <c r="P169" s="692" t="n"/>
      <c r="Q169" s="692" t="n"/>
      <c r="R169" s="692" t="n"/>
      <c r="S169" s="692" t="n"/>
      <c r="T169" s="692" t="n"/>
      <c r="U169" s="692" t="n"/>
      <c r="V169" s="692" t="n"/>
      <c r="W169" s="692" t="n"/>
      <c r="X169" s="692" t="n"/>
      <c r="Y169" s="692" t="n"/>
      <c r="Z169" s="692" t="n"/>
      <c r="AA169" s="692" t="n"/>
      <c r="AB169" s="692" t="n"/>
      <c r="AC169" s="692" t="n"/>
      <c r="AD169" s="692" t="n"/>
      <c r="AE169" s="692" t="n"/>
      <c r="AF169" s="692" t="n"/>
      <c r="AG169" s="692" t="n"/>
      <c r="AH169" s="692" t="n"/>
      <c r="AI169" s="692" t="n"/>
      <c r="AJ169" s="692" t="n"/>
      <c r="AK169" s="692" t="n"/>
      <c r="AL169" s="692" t="n"/>
      <c r="AM169" s="692" t="n"/>
      <c r="AN169" s="692" t="n"/>
      <c r="AO169" s="692" t="n"/>
      <c r="AP169" s="692" t="n"/>
    </row>
    <row r="170">
      <c r="A170" s="692" t="n"/>
      <c r="B170" s="692" t="n"/>
      <c r="C170" s="692" t="n"/>
      <c r="D170" s="692" t="n"/>
      <c r="E170" s="692" t="n"/>
      <c r="F170" s="692" t="n"/>
      <c r="G170" s="692" t="n"/>
      <c r="H170" s="692" t="n"/>
      <c r="I170" s="692" t="n"/>
      <c r="J170" s="692" t="n"/>
      <c r="K170" s="692" t="n"/>
      <c r="L170" s="692" t="n"/>
      <c r="M170" s="692" t="n"/>
      <c r="N170" s="692" t="n"/>
      <c r="O170" s="692" t="n"/>
      <c r="P170" s="692" t="n"/>
      <c r="Q170" s="692" t="n"/>
      <c r="R170" s="692" t="n"/>
      <c r="S170" s="692" t="n"/>
      <c r="T170" s="692" t="n"/>
      <c r="U170" s="692" t="n"/>
      <c r="V170" s="692" t="n"/>
      <c r="W170" s="692" t="n"/>
      <c r="X170" s="692" t="n"/>
      <c r="Y170" s="692" t="n"/>
      <c r="Z170" s="692" t="n"/>
      <c r="AA170" s="692" t="n"/>
      <c r="AB170" s="692" t="n"/>
      <c r="AC170" s="692" t="n"/>
      <c r="AD170" s="692" t="n"/>
      <c r="AE170" s="692" t="n"/>
      <c r="AF170" s="692" t="n"/>
      <c r="AG170" s="692" t="n"/>
      <c r="AH170" s="692" t="n"/>
      <c r="AI170" s="692" t="n"/>
      <c r="AJ170" s="692" t="n"/>
      <c r="AK170" s="692" t="n"/>
      <c r="AL170" s="692" t="n"/>
      <c r="AM170" s="692" t="n"/>
      <c r="AN170" s="692" t="n"/>
      <c r="AO170" s="692" t="n"/>
      <c r="AP170" s="692" t="n"/>
    </row>
    <row r="171">
      <c r="A171" s="692" t="n"/>
      <c r="B171" s="692" t="n"/>
      <c r="C171" s="692" t="n"/>
      <c r="D171" s="692" t="n"/>
      <c r="E171" s="692" t="n"/>
      <c r="F171" s="692" t="n"/>
      <c r="G171" s="692" t="n"/>
      <c r="H171" s="692" t="n"/>
      <c r="I171" s="692" t="n"/>
      <c r="J171" s="692" t="n"/>
      <c r="K171" s="692" t="n"/>
      <c r="L171" s="692" t="n"/>
      <c r="M171" s="692" t="n"/>
      <c r="N171" s="692" t="n"/>
      <c r="O171" s="692" t="n"/>
      <c r="P171" s="692" t="n"/>
      <c r="Q171" s="692" t="n"/>
      <c r="R171" s="692" t="n"/>
      <c r="S171" s="692" t="n"/>
      <c r="T171" s="692" t="n"/>
      <c r="U171" s="692" t="n"/>
      <c r="V171" s="692" t="n"/>
      <c r="W171" s="692" t="n"/>
      <c r="X171" s="692" t="n"/>
      <c r="Y171" s="692" t="n"/>
      <c r="Z171" s="692" t="n"/>
      <c r="AA171" s="692" t="n"/>
      <c r="AB171" s="692" t="n"/>
      <c r="AC171" s="692" t="n"/>
      <c r="AD171" s="692" t="n"/>
      <c r="AE171" s="692" t="n"/>
      <c r="AF171" s="692" t="n"/>
      <c r="AG171" s="692" t="n"/>
      <c r="AH171" s="692" t="n"/>
      <c r="AI171" s="692" t="n"/>
      <c r="AJ171" s="692" t="n"/>
      <c r="AK171" s="692" t="n"/>
      <c r="AL171" s="692" t="n"/>
      <c r="AM171" s="692" t="n"/>
      <c r="AN171" s="692" t="n"/>
      <c r="AO171" s="692" t="n"/>
      <c r="AP171" s="692" t="n"/>
    </row>
    <row r="172">
      <c r="A172" s="692" t="n"/>
      <c r="B172" s="692" t="n"/>
      <c r="C172" s="692" t="n"/>
      <c r="D172" s="692" t="n"/>
      <c r="E172" s="692" t="n"/>
      <c r="F172" s="692" t="n"/>
      <c r="G172" s="692" t="n"/>
      <c r="H172" s="692" t="n"/>
      <c r="I172" s="692" t="n"/>
      <c r="J172" s="692" t="n"/>
      <c r="K172" s="692" t="n"/>
      <c r="L172" s="692" t="n"/>
      <c r="M172" s="692" t="n"/>
      <c r="N172" s="692" t="n"/>
      <c r="O172" s="692" t="n"/>
      <c r="P172" s="692" t="n"/>
      <c r="Q172" s="692" t="n"/>
      <c r="R172" s="692" t="n"/>
      <c r="S172" s="692" t="n"/>
      <c r="T172" s="692" t="n"/>
      <c r="U172" s="692" t="n"/>
      <c r="V172" s="692" t="n"/>
      <c r="W172" s="692" t="n"/>
      <c r="X172" s="692" t="n"/>
      <c r="Y172" s="692" t="n"/>
      <c r="Z172" s="692" t="n"/>
      <c r="AA172" s="692" t="n"/>
      <c r="AB172" s="692" t="n"/>
      <c r="AC172" s="692" t="n"/>
      <c r="AD172" s="692" t="n"/>
      <c r="AE172" s="692" t="n"/>
      <c r="AF172" s="692" t="n"/>
      <c r="AG172" s="692" t="n"/>
      <c r="AH172" s="692" t="n"/>
      <c r="AI172" s="692" t="n"/>
      <c r="AJ172" s="692" t="n"/>
      <c r="AK172" s="692" t="n"/>
      <c r="AL172" s="692" t="n"/>
      <c r="AM172" s="692" t="n"/>
      <c r="AN172" s="692" t="n"/>
      <c r="AO172" s="692" t="n"/>
      <c r="AP172" s="692" t="n"/>
    </row>
    <row r="173">
      <c r="A173" s="692" t="n"/>
      <c r="B173" s="692" t="n"/>
      <c r="C173" s="692" t="n"/>
      <c r="D173" s="692" t="n"/>
      <c r="E173" s="692" t="n"/>
      <c r="F173" s="692" t="n"/>
      <c r="G173" s="692" t="n"/>
      <c r="H173" s="692" t="n"/>
      <c r="I173" s="692" t="n"/>
      <c r="J173" s="692" t="n"/>
      <c r="K173" s="692" t="n"/>
      <c r="L173" s="692" t="n"/>
      <c r="M173" s="692" t="n"/>
      <c r="N173" s="692" t="n"/>
      <c r="O173" s="692" t="n"/>
      <c r="P173" s="692" t="n"/>
      <c r="Q173" s="692" t="n"/>
      <c r="R173" s="692" t="n"/>
      <c r="S173" s="692" t="n"/>
      <c r="T173" s="692" t="n"/>
      <c r="U173" s="692" t="n"/>
      <c r="V173" s="692" t="n"/>
      <c r="W173" s="692" t="n"/>
      <c r="X173" s="692" t="n"/>
      <c r="Y173" s="692" t="n"/>
      <c r="Z173" s="692" t="n"/>
      <c r="AA173" s="692" t="n"/>
      <c r="AB173" s="692" t="n"/>
      <c r="AC173" s="692" t="n"/>
      <c r="AD173" s="692" t="n"/>
      <c r="AE173" s="692" t="n"/>
      <c r="AF173" s="692" t="n"/>
      <c r="AG173" s="692" t="n"/>
      <c r="AH173" s="692" t="n"/>
      <c r="AI173" s="692" t="n"/>
      <c r="AJ173" s="692" t="n"/>
      <c r="AK173" s="692" t="n"/>
      <c r="AL173" s="692" t="n"/>
      <c r="AM173" s="692" t="n"/>
      <c r="AN173" s="692" t="n"/>
      <c r="AO173" s="692" t="n"/>
      <c r="AP173" s="692" t="n"/>
    </row>
    <row r="174">
      <c r="A174" s="692" t="n"/>
      <c r="B174" s="692" t="n"/>
      <c r="C174" s="692" t="n"/>
      <c r="D174" s="692" t="n"/>
      <c r="E174" s="692" t="n"/>
      <c r="F174" s="692" t="n"/>
      <c r="G174" s="692" t="n"/>
      <c r="H174" s="692" t="n"/>
      <c r="I174" s="692" t="n"/>
      <c r="J174" s="692" t="n"/>
      <c r="K174" s="692" t="n"/>
      <c r="L174" s="692" t="n"/>
      <c r="M174" s="692" t="n"/>
      <c r="N174" s="692" t="n"/>
      <c r="O174" s="692" t="n"/>
      <c r="P174" s="692" t="n"/>
      <c r="Q174" s="692" t="n"/>
      <c r="R174" s="692" t="n"/>
      <c r="S174" s="692" t="n"/>
      <c r="T174" s="692" t="n"/>
      <c r="U174" s="692" t="n"/>
      <c r="V174" s="692" t="n"/>
      <c r="W174" s="692" t="n"/>
      <c r="X174" s="692" t="n"/>
      <c r="Y174" s="692" t="n"/>
      <c r="Z174" s="692" t="n"/>
      <c r="AA174" s="692" t="n"/>
      <c r="AB174" s="692" t="n"/>
      <c r="AC174" s="692" t="n"/>
      <c r="AD174" s="692" t="n"/>
      <c r="AE174" s="692" t="n"/>
      <c r="AF174" s="692" t="n"/>
      <c r="AG174" s="692" t="n"/>
      <c r="AH174" s="692" t="n"/>
      <c r="AI174" s="692" t="n"/>
      <c r="AJ174" s="692" t="n"/>
      <c r="AK174" s="692" t="n"/>
      <c r="AL174" s="692" t="n"/>
      <c r="AM174" s="692" t="n"/>
      <c r="AN174" s="692" t="n"/>
      <c r="AO174" s="692" t="n"/>
      <c r="AP174" s="692" t="n"/>
    </row>
    <row r="175">
      <c r="A175" s="692" t="n"/>
      <c r="B175" s="692" t="n"/>
      <c r="C175" s="692" t="n"/>
      <c r="D175" s="692" t="n"/>
      <c r="E175" s="692" t="n"/>
      <c r="F175" s="692" t="n"/>
      <c r="G175" s="692" t="n"/>
      <c r="H175" s="692" t="n"/>
      <c r="I175" s="692" t="n"/>
      <c r="J175" s="692" t="n"/>
      <c r="K175" s="692" t="n"/>
      <c r="L175" s="692" t="n"/>
      <c r="M175" s="692" t="n"/>
      <c r="N175" s="692" t="n"/>
      <c r="O175" s="692" t="n"/>
      <c r="P175" s="692" t="n"/>
      <c r="Q175" s="692" t="n"/>
      <c r="R175" s="692" t="n"/>
      <c r="S175" s="692" t="n"/>
      <c r="T175" s="692" t="n"/>
      <c r="U175" s="692" t="n"/>
      <c r="V175" s="692" t="n"/>
      <c r="W175" s="692" t="n"/>
      <c r="X175" s="692" t="n"/>
      <c r="Y175" s="692" t="n"/>
      <c r="Z175" s="692" t="n"/>
      <c r="AA175" s="692" t="n"/>
      <c r="AB175" s="692" t="n"/>
      <c r="AC175" s="692" t="n"/>
      <c r="AD175" s="692" t="n"/>
      <c r="AE175" s="692" t="n"/>
      <c r="AF175" s="692" t="n"/>
      <c r="AG175" s="692" t="n"/>
      <c r="AH175" s="692" t="n"/>
      <c r="AI175" s="692" t="n"/>
      <c r="AJ175" s="692" t="n"/>
      <c r="AK175" s="692" t="n"/>
      <c r="AL175" s="692" t="n"/>
      <c r="AM175" s="692" t="n"/>
      <c r="AN175" s="692" t="n"/>
      <c r="AO175" s="692" t="n"/>
      <c r="AP175" s="692" t="n"/>
    </row>
    <row r="176">
      <c r="A176" s="692" t="n"/>
      <c r="B176" s="692" t="n"/>
      <c r="C176" s="692" t="n"/>
      <c r="D176" s="692" t="n"/>
      <c r="E176" s="692" t="n"/>
      <c r="F176" s="692" t="n"/>
      <c r="G176" s="692" t="n"/>
      <c r="H176" s="692" t="n"/>
      <c r="I176" s="692" t="n"/>
      <c r="J176" s="692" t="n"/>
      <c r="K176" s="692" t="n"/>
      <c r="L176" s="692" t="n"/>
      <c r="M176" s="692" t="n"/>
      <c r="N176" s="692" t="n"/>
      <c r="O176" s="692" t="n"/>
      <c r="P176" s="692" t="n"/>
      <c r="Q176" s="692" t="n"/>
      <c r="R176" s="692" t="n"/>
      <c r="S176" s="692" t="n"/>
      <c r="T176" s="692" t="n"/>
      <c r="U176" s="692" t="n"/>
      <c r="V176" s="692" t="n"/>
      <c r="W176" s="692" t="n"/>
      <c r="X176" s="692" t="n"/>
      <c r="Y176" s="692" t="n"/>
      <c r="Z176" s="692" t="n"/>
      <c r="AA176" s="692" t="n"/>
      <c r="AB176" s="692" t="n"/>
      <c r="AC176" s="692" t="n"/>
      <c r="AD176" s="692" t="n"/>
      <c r="AE176" s="692" t="n"/>
      <c r="AF176" s="692" t="n"/>
      <c r="AG176" s="692" t="n"/>
      <c r="AH176" s="692" t="n"/>
      <c r="AI176" s="692" t="n"/>
      <c r="AJ176" s="692" t="n"/>
      <c r="AK176" s="692" t="n"/>
      <c r="AL176" s="692" t="n"/>
      <c r="AM176" s="692" t="n"/>
      <c r="AN176" s="692" t="n"/>
      <c r="AO176" s="692" t="n"/>
      <c r="AP176" s="692" t="n"/>
    </row>
    <row r="177">
      <c r="A177" s="692" t="n"/>
      <c r="B177" s="692" t="n"/>
      <c r="C177" s="692" t="n"/>
      <c r="D177" s="692" t="n"/>
      <c r="E177" s="692" t="n"/>
      <c r="F177" s="692" t="n"/>
      <c r="G177" s="692" t="n"/>
      <c r="H177" s="692" t="n"/>
      <c r="I177" s="692" t="n"/>
      <c r="J177" s="692" t="n"/>
      <c r="K177" s="692" t="n"/>
      <c r="L177" s="692" t="n"/>
      <c r="M177" s="692" t="n"/>
      <c r="N177" s="692" t="n"/>
      <c r="O177" s="692" t="n"/>
      <c r="P177" s="692" t="n"/>
      <c r="Q177" s="692" t="n"/>
      <c r="R177" s="692" t="n"/>
      <c r="S177" s="692" t="n"/>
      <c r="T177" s="692" t="n"/>
      <c r="U177" s="692" t="n"/>
      <c r="V177" s="692" t="n"/>
      <c r="W177" s="692" t="n"/>
      <c r="X177" s="692" t="n"/>
      <c r="Y177" s="692" t="n"/>
      <c r="Z177" s="692" t="n"/>
      <c r="AA177" s="692" t="n"/>
      <c r="AB177" s="692" t="n"/>
      <c r="AC177" s="692" t="n"/>
      <c r="AD177" s="692" t="n"/>
      <c r="AE177" s="692" t="n"/>
      <c r="AF177" s="692" t="n"/>
      <c r="AG177" s="692" t="n"/>
      <c r="AH177" s="692" t="n"/>
      <c r="AI177" s="692" t="n"/>
      <c r="AJ177" s="692" t="n"/>
      <c r="AK177" s="692" t="n"/>
      <c r="AL177" s="692" t="n"/>
      <c r="AM177" s="692" t="n"/>
      <c r="AN177" s="692" t="n"/>
      <c r="AO177" s="692" t="n"/>
      <c r="AP177" s="692" t="n"/>
    </row>
    <row r="178">
      <c r="A178" s="692" t="n"/>
      <c r="B178" s="692" t="n"/>
      <c r="C178" s="692" t="n"/>
      <c r="D178" s="692" t="n"/>
      <c r="E178" s="692" t="n"/>
      <c r="F178" s="692" t="n"/>
      <c r="G178" s="692" t="n"/>
      <c r="H178" s="692" t="n"/>
      <c r="I178" s="692" t="n"/>
      <c r="J178" s="692" t="n"/>
      <c r="K178" s="692" t="n"/>
      <c r="L178" s="692" t="n"/>
      <c r="M178" s="692" t="n"/>
      <c r="N178" s="692" t="n"/>
      <c r="O178" s="692" t="n"/>
      <c r="P178" s="692" t="n"/>
      <c r="Q178" s="692" t="n"/>
      <c r="R178" s="692" t="n"/>
      <c r="S178" s="692" t="n"/>
      <c r="T178" s="692" t="n"/>
      <c r="U178" s="692" t="n"/>
      <c r="V178" s="692" t="n"/>
      <c r="W178" s="692" t="n"/>
      <c r="X178" s="692" t="n"/>
      <c r="Y178" s="692" t="n"/>
      <c r="Z178" s="692" t="n"/>
      <c r="AA178" s="692" t="n"/>
      <c r="AB178" s="692" t="n"/>
      <c r="AC178" s="692" t="n"/>
      <c r="AD178" s="692" t="n"/>
      <c r="AE178" s="692" t="n"/>
      <c r="AF178" s="692" t="n"/>
      <c r="AG178" s="692" t="n"/>
      <c r="AH178" s="692" t="n"/>
      <c r="AI178" s="692" t="n"/>
      <c r="AJ178" s="692" t="n"/>
      <c r="AK178" s="692" t="n"/>
      <c r="AL178" s="692" t="n"/>
      <c r="AM178" s="692" t="n"/>
      <c r="AN178" s="692" t="n"/>
      <c r="AO178" s="692" t="n"/>
      <c r="AP178" s="692" t="n"/>
    </row>
    <row r="179">
      <c r="A179" s="692" t="n"/>
      <c r="B179" s="692" t="n"/>
      <c r="C179" s="692" t="n"/>
      <c r="D179" s="692" t="n"/>
      <c r="E179" s="692" t="n"/>
      <c r="F179" s="692" t="n"/>
      <c r="G179" s="692" t="n"/>
      <c r="H179" s="692" t="n"/>
      <c r="I179" s="692" t="n"/>
      <c r="J179" s="692" t="n"/>
      <c r="K179" s="692" t="n"/>
      <c r="L179" s="692" t="n"/>
      <c r="M179" s="692" t="n"/>
      <c r="N179" s="692" t="n"/>
      <c r="O179" s="692" t="n"/>
      <c r="P179" s="692" t="n"/>
      <c r="Q179" s="692" t="n"/>
      <c r="R179" s="692" t="n"/>
      <c r="S179" s="692" t="n"/>
      <c r="T179" s="692" t="n"/>
      <c r="U179" s="692" t="n"/>
      <c r="V179" s="692" t="n"/>
      <c r="W179" s="692" t="n"/>
      <c r="X179" s="692" t="n"/>
      <c r="Y179" s="692" t="n"/>
      <c r="Z179" s="692" t="n"/>
      <c r="AA179" s="692" t="n"/>
      <c r="AB179" s="692" t="n"/>
      <c r="AC179" s="692" t="n"/>
      <c r="AD179" s="692" t="n"/>
      <c r="AE179" s="692" t="n"/>
      <c r="AF179" s="692" t="n"/>
      <c r="AG179" s="692" t="n"/>
      <c r="AH179" s="692" t="n"/>
      <c r="AI179" s="692" t="n"/>
      <c r="AJ179" s="692" t="n"/>
      <c r="AK179" s="692" t="n"/>
      <c r="AL179" s="692" t="n"/>
      <c r="AM179" s="692" t="n"/>
      <c r="AN179" s="692" t="n"/>
      <c r="AO179" s="692" t="n"/>
      <c r="AP179" s="692" t="n"/>
    </row>
    <row r="180">
      <c r="A180" s="692" t="n"/>
      <c r="B180" s="692" t="n"/>
      <c r="C180" s="692" t="n"/>
      <c r="D180" s="692" t="n"/>
      <c r="E180" s="692" t="n"/>
      <c r="F180" s="692" t="n"/>
      <c r="G180" s="692" t="n"/>
      <c r="H180" s="692" t="n"/>
      <c r="I180" s="692" t="n"/>
      <c r="J180" s="692" t="n"/>
      <c r="K180" s="692" t="n"/>
      <c r="L180" s="692" t="n"/>
      <c r="M180" s="692" t="n"/>
      <c r="N180" s="692" t="n"/>
      <c r="O180" s="692" t="n"/>
      <c r="P180" s="692" t="n"/>
      <c r="Q180" s="692" t="n"/>
      <c r="R180" s="692" t="n"/>
      <c r="S180" s="692" t="n"/>
      <c r="T180" s="692" t="n"/>
      <c r="U180" s="692" t="n"/>
      <c r="V180" s="692" t="n"/>
      <c r="W180" s="692" t="n"/>
      <c r="X180" s="692" t="n"/>
      <c r="Y180" s="692" t="n"/>
      <c r="Z180" s="692" t="n"/>
      <c r="AA180" s="692" t="n"/>
      <c r="AB180" s="692" t="n"/>
      <c r="AC180" s="692" t="n"/>
      <c r="AD180" s="692" t="n"/>
      <c r="AE180" s="692" t="n"/>
      <c r="AF180" s="692" t="n"/>
      <c r="AG180" s="692" t="n"/>
      <c r="AH180" s="692" t="n"/>
      <c r="AI180" s="692" t="n"/>
      <c r="AJ180" s="692" t="n"/>
      <c r="AK180" s="692" t="n"/>
      <c r="AL180" s="692" t="n"/>
      <c r="AM180" s="692" t="n"/>
      <c r="AN180" s="692" t="n"/>
      <c r="AO180" s="692" t="n"/>
      <c r="AP180" s="692" t="n"/>
    </row>
    <row r="181">
      <c r="A181" s="692" t="n"/>
      <c r="B181" s="692" t="n"/>
      <c r="C181" s="692" t="n"/>
      <c r="D181" s="692" t="n"/>
      <c r="E181" s="692" t="n"/>
      <c r="F181" s="692" t="n"/>
      <c r="G181" s="692" t="n"/>
      <c r="H181" s="692" t="n"/>
      <c r="I181" s="692" t="n"/>
      <c r="J181" s="692" t="n"/>
      <c r="K181" s="692" t="n"/>
      <c r="L181" s="692" t="n"/>
      <c r="M181" s="692" t="n"/>
      <c r="N181" s="692" t="n"/>
      <c r="O181" s="692" t="n"/>
      <c r="P181" s="692" t="n"/>
      <c r="Q181" s="692" t="n"/>
      <c r="R181" s="692" t="n"/>
      <c r="S181" s="692" t="n"/>
      <c r="T181" s="692" t="n"/>
      <c r="U181" s="692" t="n"/>
      <c r="V181" s="692" t="n"/>
      <c r="W181" s="692" t="n"/>
      <c r="X181" s="692" t="n"/>
      <c r="Y181" s="692" t="n"/>
      <c r="Z181" s="692" t="n"/>
      <c r="AA181" s="692" t="n"/>
      <c r="AB181" s="692" t="n"/>
      <c r="AC181" s="692" t="n"/>
      <c r="AD181" s="692" t="n"/>
      <c r="AE181" s="692" t="n"/>
      <c r="AF181" s="692" t="n"/>
      <c r="AG181" s="692" t="n"/>
      <c r="AH181" s="692" t="n"/>
      <c r="AI181" s="692" t="n"/>
      <c r="AJ181" s="692" t="n"/>
      <c r="AK181" s="692" t="n"/>
      <c r="AL181" s="692" t="n"/>
      <c r="AM181" s="692" t="n"/>
      <c r="AN181" s="692" t="n"/>
      <c r="AO181" s="692" t="n"/>
      <c r="AP181" s="692" t="n"/>
    </row>
    <row r="182">
      <c r="A182" s="692" t="n"/>
      <c r="B182" s="692" t="n"/>
      <c r="C182" s="692" t="n"/>
      <c r="D182" s="692" t="n"/>
      <c r="E182" s="692" t="n"/>
      <c r="F182" s="692" t="n"/>
      <c r="G182" s="692" t="n"/>
      <c r="H182" s="692" t="n"/>
      <c r="I182" s="692" t="n"/>
      <c r="J182" s="692" t="n"/>
      <c r="K182" s="692" t="n"/>
      <c r="L182" s="692" t="n"/>
      <c r="M182" s="692" t="n"/>
      <c r="N182" s="692" t="n"/>
      <c r="O182" s="692" t="n"/>
      <c r="P182" s="692" t="n"/>
      <c r="Q182" s="692" t="n"/>
      <c r="R182" s="692" t="n"/>
      <c r="S182" s="692" t="n"/>
      <c r="T182" s="692" t="n"/>
      <c r="U182" s="692" t="n"/>
      <c r="V182" s="692" t="n"/>
      <c r="W182" s="692" t="n"/>
      <c r="X182" s="692" t="n"/>
      <c r="Y182" s="692" t="n"/>
      <c r="Z182" s="692" t="n"/>
      <c r="AA182" s="692" t="n"/>
      <c r="AB182" s="692" t="n"/>
      <c r="AC182" s="692" t="n"/>
      <c r="AD182" s="692" t="n"/>
      <c r="AE182" s="692" t="n"/>
      <c r="AF182" s="692" t="n"/>
      <c r="AG182" s="692" t="n"/>
      <c r="AH182" s="692" t="n"/>
      <c r="AI182" s="692" t="n"/>
      <c r="AJ182" s="692" t="n"/>
      <c r="AK182" s="692" t="n"/>
      <c r="AL182" s="692" t="n"/>
      <c r="AM182" s="692" t="n"/>
      <c r="AN182" s="692" t="n"/>
      <c r="AO182" s="692" t="n"/>
      <c r="AP182" s="692" t="n"/>
    </row>
    <row r="183">
      <c r="A183" s="692" t="n"/>
      <c r="B183" s="692" t="n"/>
      <c r="C183" s="692" t="n"/>
      <c r="D183" s="692" t="n"/>
      <c r="E183" s="692" t="n"/>
      <c r="F183" s="692" t="n"/>
      <c r="G183" s="692" t="n"/>
      <c r="H183" s="692" t="n"/>
      <c r="I183" s="692" t="n"/>
      <c r="J183" s="692" t="n"/>
      <c r="K183" s="692" t="n"/>
      <c r="L183" s="692" t="n"/>
      <c r="M183" s="692" t="n"/>
      <c r="N183" s="692" t="n"/>
      <c r="O183" s="692" t="n"/>
      <c r="P183" s="692" t="n"/>
      <c r="Q183" s="692" t="n"/>
      <c r="R183" s="692" t="n"/>
      <c r="S183" s="692" t="n"/>
      <c r="T183" s="692" t="n"/>
      <c r="U183" s="692" t="n"/>
      <c r="V183" s="692" t="n"/>
      <c r="W183" s="692" t="n"/>
      <c r="X183" s="692" t="n"/>
      <c r="Y183" s="692" t="n"/>
      <c r="Z183" s="692" t="n"/>
      <c r="AA183" s="692" t="n"/>
      <c r="AB183" s="692" t="n"/>
      <c r="AC183" s="692" t="n"/>
      <c r="AD183" s="692" t="n"/>
      <c r="AE183" s="692" t="n"/>
      <c r="AF183" s="692" t="n"/>
      <c r="AG183" s="692" t="n"/>
      <c r="AH183" s="692" t="n"/>
      <c r="AI183" s="692" t="n"/>
      <c r="AJ183" s="692" t="n"/>
      <c r="AK183" s="692" t="n"/>
      <c r="AL183" s="692" t="n"/>
      <c r="AM183" s="692" t="n"/>
      <c r="AN183" s="692" t="n"/>
      <c r="AO183" s="692" t="n"/>
      <c r="AP183" s="692" t="n"/>
    </row>
    <row r="184">
      <c r="A184" s="692" t="n"/>
      <c r="B184" s="692" t="n"/>
      <c r="C184" s="692" t="n"/>
      <c r="D184" s="692" t="n"/>
      <c r="E184" s="692" t="n"/>
      <c r="F184" s="692" t="n"/>
      <c r="G184" s="692" t="n"/>
      <c r="H184" s="692" t="n"/>
      <c r="I184" s="692" t="n"/>
      <c r="J184" s="692" t="n"/>
      <c r="K184" s="692" t="n"/>
      <c r="L184" s="692" t="n"/>
      <c r="M184" s="692" t="n"/>
      <c r="N184" s="692" t="n"/>
      <c r="O184" s="692" t="n"/>
      <c r="P184" s="692" t="n"/>
      <c r="Q184" s="692" t="n"/>
      <c r="R184" s="692" t="n"/>
      <c r="S184" s="692" t="n"/>
      <c r="T184" s="692" t="n"/>
      <c r="U184" s="692" t="n"/>
      <c r="V184" s="692" t="n"/>
      <c r="W184" s="692" t="n"/>
      <c r="X184" s="692" t="n"/>
      <c r="Y184" s="692" t="n"/>
      <c r="Z184" s="692" t="n"/>
      <c r="AA184" s="692" t="n"/>
      <c r="AB184" s="692" t="n"/>
      <c r="AC184" s="692" t="n"/>
      <c r="AD184" s="692" t="n"/>
      <c r="AE184" s="692" t="n"/>
      <c r="AF184" s="692" t="n"/>
      <c r="AG184" s="692" t="n"/>
      <c r="AH184" s="692" t="n"/>
      <c r="AI184" s="692" t="n"/>
      <c r="AJ184" s="692" t="n"/>
      <c r="AK184" s="692" t="n"/>
      <c r="AL184" s="692" t="n"/>
      <c r="AM184" s="692" t="n"/>
      <c r="AN184" s="692" t="n"/>
      <c r="AO184" s="692" t="n"/>
      <c r="AP184" s="692" t="n"/>
    </row>
    <row r="185">
      <c r="A185" s="692" t="n"/>
      <c r="B185" s="692" t="n"/>
      <c r="C185" s="692" t="n"/>
      <c r="D185" s="692" t="n"/>
      <c r="E185" s="692" t="n"/>
      <c r="F185" s="692" t="n"/>
      <c r="G185" s="692" t="n"/>
      <c r="H185" s="692" t="n"/>
      <c r="I185" s="692" t="n"/>
      <c r="J185" s="692" t="n"/>
      <c r="K185" s="692" t="n"/>
      <c r="L185" s="692" t="n"/>
      <c r="M185" s="692" t="n"/>
      <c r="N185" s="692" t="n"/>
      <c r="O185" s="692" t="n"/>
      <c r="P185" s="692" t="n"/>
      <c r="Q185" s="692" t="n"/>
      <c r="R185" s="692" t="n"/>
      <c r="S185" s="692" t="n"/>
      <c r="T185" s="692" t="n"/>
      <c r="U185" s="692" t="n"/>
      <c r="V185" s="692" t="n"/>
      <c r="W185" s="692" t="n"/>
      <c r="X185" s="692" t="n"/>
      <c r="Y185" s="692" t="n"/>
      <c r="Z185" s="692" t="n"/>
      <c r="AA185" s="692" t="n"/>
      <c r="AB185" s="692" t="n"/>
      <c r="AC185" s="692" t="n"/>
      <c r="AD185" s="692" t="n"/>
      <c r="AE185" s="692" t="n"/>
      <c r="AF185" s="692" t="n"/>
      <c r="AG185" s="692" t="n"/>
      <c r="AH185" s="692" t="n"/>
      <c r="AI185" s="692" t="n"/>
      <c r="AJ185" s="692" t="n"/>
      <c r="AK185" s="692" t="n"/>
      <c r="AL185" s="692" t="n"/>
      <c r="AM185" s="692" t="n"/>
      <c r="AN185" s="692" t="n"/>
      <c r="AO185" s="692" t="n"/>
      <c r="AP185" s="692" t="n"/>
    </row>
    <row r="186">
      <c r="A186" s="692" t="n"/>
      <c r="B186" s="692" t="n"/>
      <c r="C186" s="692" t="n"/>
      <c r="D186" s="692" t="n"/>
      <c r="E186" s="692" t="n"/>
      <c r="F186" s="692" t="n"/>
      <c r="G186" s="692" t="n"/>
      <c r="H186" s="692" t="n"/>
      <c r="I186" s="692" t="n"/>
      <c r="J186" s="692" t="n"/>
      <c r="K186" s="692" t="n"/>
      <c r="L186" s="692" t="n"/>
      <c r="M186" s="692" t="n"/>
      <c r="N186" s="692" t="n"/>
      <c r="O186" s="692" t="n"/>
      <c r="P186" s="692" t="n"/>
      <c r="Q186" s="692" t="n"/>
      <c r="R186" s="692" t="n"/>
      <c r="S186" s="692" t="n"/>
      <c r="T186" s="692" t="n"/>
      <c r="U186" s="692" t="n"/>
      <c r="V186" s="692" t="n"/>
      <c r="W186" s="692" t="n"/>
      <c r="X186" s="692" t="n"/>
      <c r="Y186" s="692" t="n"/>
      <c r="Z186" s="692" t="n"/>
      <c r="AA186" s="692" t="n"/>
      <c r="AB186" s="692" t="n"/>
      <c r="AC186" s="692" t="n"/>
      <c r="AD186" s="692" t="n"/>
      <c r="AE186" s="692" t="n"/>
      <c r="AF186" s="692" t="n"/>
      <c r="AG186" s="692" t="n"/>
      <c r="AH186" s="692" t="n"/>
      <c r="AI186" s="692" t="n"/>
      <c r="AJ186" s="692" t="n"/>
      <c r="AK186" s="692" t="n"/>
      <c r="AL186" s="692" t="n"/>
      <c r="AM186" s="692" t="n"/>
      <c r="AN186" s="692" t="n"/>
      <c r="AO186" s="692" t="n"/>
      <c r="AP186" s="692" t="n"/>
    </row>
    <row r="187">
      <c r="A187" s="692" t="n"/>
      <c r="B187" s="692" t="n"/>
      <c r="C187" s="692" t="n"/>
      <c r="D187" s="692" t="n"/>
      <c r="E187" s="692" t="n"/>
      <c r="F187" s="692" t="n"/>
      <c r="G187" s="692" t="n"/>
      <c r="H187" s="692" t="n"/>
      <c r="I187" s="692" t="n"/>
      <c r="J187" s="692" t="n"/>
      <c r="K187" s="692" t="n"/>
      <c r="L187" s="692" t="n"/>
      <c r="M187" s="692" t="n"/>
      <c r="N187" s="692" t="n"/>
      <c r="O187" s="692" t="n"/>
      <c r="P187" s="692" t="n"/>
      <c r="Q187" s="692" t="n"/>
      <c r="R187" s="692" t="n"/>
      <c r="S187" s="692" t="n"/>
      <c r="T187" s="692" t="n"/>
      <c r="U187" s="692" t="n"/>
      <c r="V187" s="692" t="n"/>
      <c r="W187" s="692" t="n"/>
      <c r="X187" s="692" t="n"/>
      <c r="Y187" s="692" t="n"/>
      <c r="Z187" s="692" t="n"/>
      <c r="AA187" s="692" t="n"/>
      <c r="AB187" s="692" t="n"/>
      <c r="AC187" s="692" t="n"/>
      <c r="AD187" s="692" t="n"/>
      <c r="AE187" s="692" t="n"/>
      <c r="AF187" s="692" t="n"/>
      <c r="AG187" s="692" t="n"/>
      <c r="AH187" s="692" t="n"/>
      <c r="AI187" s="692" t="n"/>
      <c r="AJ187" s="692" t="n"/>
      <c r="AK187" s="692" t="n"/>
      <c r="AL187" s="692" t="n"/>
      <c r="AM187" s="692" t="n"/>
      <c r="AN187" s="692" t="n"/>
      <c r="AO187" s="692" t="n"/>
      <c r="AP187" s="692" t="n"/>
    </row>
    <row r="188">
      <c r="A188" s="692" t="n"/>
      <c r="B188" s="692" t="n"/>
      <c r="C188" s="692" t="n"/>
      <c r="D188" s="692" t="n"/>
      <c r="E188" s="692" t="n"/>
      <c r="F188" s="692" t="n"/>
      <c r="G188" s="692" t="n"/>
      <c r="H188" s="692" t="n"/>
      <c r="I188" s="692" t="n"/>
      <c r="J188" s="692" t="n"/>
      <c r="K188" s="692" t="n"/>
      <c r="L188" s="692" t="n"/>
      <c r="M188" s="692" t="n"/>
      <c r="N188" s="692" t="n"/>
      <c r="O188" s="692" t="n"/>
      <c r="P188" s="692" t="n"/>
      <c r="Q188" s="692" t="n"/>
      <c r="R188" s="692" t="n"/>
      <c r="S188" s="692" t="n"/>
      <c r="T188" s="692" t="n"/>
      <c r="U188" s="692" t="n"/>
      <c r="V188" s="692" t="n"/>
      <c r="W188" s="692" t="n"/>
      <c r="X188" s="692" t="n"/>
      <c r="Y188" s="692" t="n"/>
      <c r="Z188" s="692" t="n"/>
      <c r="AA188" s="692" t="n"/>
      <c r="AB188" s="692" t="n"/>
      <c r="AC188" s="692" t="n"/>
      <c r="AD188" s="692" t="n"/>
      <c r="AE188" s="692" t="n"/>
      <c r="AF188" s="692" t="n"/>
      <c r="AG188" s="692" t="n"/>
      <c r="AH188" s="692" t="n"/>
      <c r="AI188" s="692" t="n"/>
      <c r="AJ188" s="692" t="n"/>
      <c r="AK188" s="692" t="n"/>
      <c r="AL188" s="692" t="n"/>
      <c r="AM188" s="692" t="n"/>
      <c r="AN188" s="692" t="n"/>
      <c r="AO188" s="692" t="n"/>
      <c r="AP188" s="692" t="n"/>
    </row>
    <row r="189">
      <c r="A189" s="692" t="n"/>
      <c r="B189" s="692" t="n"/>
      <c r="C189" s="692" t="n"/>
      <c r="D189" s="692" t="n"/>
      <c r="E189" s="692" t="n"/>
      <c r="F189" s="692" t="n"/>
      <c r="G189" s="692" t="n"/>
      <c r="H189" s="692" t="n"/>
      <c r="I189" s="692" t="n"/>
      <c r="J189" s="692" t="n"/>
      <c r="K189" s="692" t="n"/>
      <c r="L189" s="692" t="n"/>
      <c r="M189" s="692" t="n"/>
      <c r="N189" s="692" t="n"/>
      <c r="O189" s="692" t="n"/>
      <c r="P189" s="692" t="n"/>
      <c r="Q189" s="692" t="n"/>
      <c r="R189" s="692" t="n"/>
      <c r="S189" s="692" t="n"/>
      <c r="T189" s="692" t="n"/>
      <c r="U189" s="692" t="n"/>
      <c r="V189" s="692" t="n"/>
      <c r="W189" s="692" t="n"/>
      <c r="X189" s="692" t="n"/>
      <c r="Y189" s="692" t="n"/>
      <c r="Z189" s="692" t="n"/>
      <c r="AA189" s="692" t="n"/>
      <c r="AB189" s="692" t="n"/>
      <c r="AC189" s="692" t="n"/>
      <c r="AD189" s="692" t="n"/>
      <c r="AE189" s="692" t="n"/>
      <c r="AF189" s="692" t="n"/>
      <c r="AG189" s="692" t="n"/>
      <c r="AH189" s="692" t="n"/>
      <c r="AI189" s="692" t="n"/>
      <c r="AJ189" s="692" t="n"/>
      <c r="AK189" s="692" t="n"/>
      <c r="AL189" s="692" t="n"/>
      <c r="AM189" s="692" t="n"/>
      <c r="AN189" s="692" t="n"/>
      <c r="AO189" s="692" t="n"/>
      <c r="AP189" s="692" t="n"/>
    </row>
    <row r="190">
      <c r="A190" s="692" t="n"/>
      <c r="B190" s="692" t="n"/>
      <c r="C190" s="692" t="n"/>
      <c r="D190" s="692" t="n"/>
      <c r="E190" s="692" t="n"/>
      <c r="F190" s="692" t="n"/>
      <c r="G190" s="692" t="n"/>
      <c r="H190" s="692" t="n"/>
      <c r="I190" s="692" t="n"/>
      <c r="J190" s="692" t="n"/>
      <c r="K190" s="692" t="n"/>
      <c r="L190" s="692" t="n"/>
      <c r="M190" s="692" t="n"/>
      <c r="N190" s="692" t="n"/>
      <c r="O190" s="692" t="n"/>
      <c r="P190" s="692" t="n"/>
      <c r="Q190" s="692" t="n"/>
      <c r="R190" s="692" t="n"/>
      <c r="S190" s="692" t="n"/>
      <c r="T190" s="692" t="n"/>
      <c r="U190" s="692" t="n"/>
      <c r="V190" s="692" t="n"/>
      <c r="W190" s="692" t="n"/>
      <c r="X190" s="692" t="n"/>
      <c r="Y190" s="692" t="n"/>
      <c r="Z190" s="692" t="n"/>
      <c r="AA190" s="692" t="n"/>
      <c r="AB190" s="692" t="n"/>
      <c r="AC190" s="692" t="n"/>
      <c r="AD190" s="692" t="n"/>
      <c r="AE190" s="692" t="n"/>
      <c r="AF190" s="692" t="n"/>
      <c r="AG190" s="692" t="n"/>
      <c r="AH190" s="692" t="n"/>
      <c r="AI190" s="692" t="n"/>
      <c r="AJ190" s="692" t="n"/>
      <c r="AK190" s="692" t="n"/>
      <c r="AL190" s="692" t="n"/>
      <c r="AM190" s="692" t="n"/>
      <c r="AN190" s="692" t="n"/>
      <c r="AO190" s="692" t="n"/>
      <c r="AP190" s="692" t="n"/>
    </row>
    <row r="191">
      <c r="A191" s="692" t="n"/>
      <c r="B191" s="692" t="n"/>
      <c r="C191" s="692" t="n"/>
      <c r="D191" s="692" t="n"/>
      <c r="E191" s="692" t="n"/>
      <c r="F191" s="692" t="n"/>
      <c r="G191" s="692" t="n"/>
      <c r="H191" s="692" t="n"/>
      <c r="I191" s="692" t="n"/>
      <c r="J191" s="692" t="n"/>
      <c r="K191" s="692" t="n"/>
      <c r="L191" s="692" t="n"/>
      <c r="M191" s="692" t="n"/>
      <c r="N191" s="692" t="n"/>
      <c r="O191" s="692" t="n"/>
      <c r="P191" s="692" t="n"/>
      <c r="Q191" s="692" t="n"/>
      <c r="R191" s="692" t="n"/>
      <c r="S191" s="692" t="n"/>
      <c r="T191" s="692" t="n"/>
      <c r="U191" s="692" t="n"/>
      <c r="V191" s="692" t="n"/>
      <c r="W191" s="692" t="n"/>
      <c r="X191" s="692" t="n"/>
      <c r="Y191" s="692" t="n"/>
      <c r="Z191" s="692" t="n"/>
      <c r="AA191" s="692" t="n"/>
      <c r="AB191" s="692" t="n"/>
      <c r="AC191" s="692" t="n"/>
      <c r="AD191" s="692" t="n"/>
      <c r="AE191" s="692" t="n"/>
      <c r="AF191" s="692" t="n"/>
      <c r="AG191" s="692" t="n"/>
      <c r="AH191" s="692" t="n"/>
      <c r="AI191" s="692" t="n"/>
      <c r="AJ191" s="692" t="n"/>
      <c r="AK191" s="692" t="n"/>
      <c r="AL191" s="692" t="n"/>
      <c r="AM191" s="692" t="n"/>
      <c r="AN191" s="692" t="n"/>
      <c r="AO191" s="692" t="n"/>
      <c r="AP191" s="692" t="n"/>
    </row>
    <row r="192">
      <c r="A192" s="692" t="n"/>
      <c r="B192" s="692" t="n"/>
      <c r="C192" s="692" t="n"/>
      <c r="D192" s="692" t="n"/>
      <c r="E192" s="692" t="n"/>
      <c r="F192" s="692" t="n"/>
      <c r="G192" s="692" t="n"/>
      <c r="H192" s="692" t="n"/>
      <c r="I192" s="692" t="n"/>
      <c r="J192" s="692" t="n"/>
      <c r="K192" s="692" t="n"/>
      <c r="L192" s="692" t="n"/>
      <c r="M192" s="692" t="n"/>
      <c r="N192" s="692" t="n"/>
      <c r="O192" s="692" t="n"/>
      <c r="P192" s="692" t="n"/>
      <c r="Q192" s="692" t="n"/>
      <c r="R192" s="692" t="n"/>
      <c r="S192" s="692" t="n"/>
      <c r="T192" s="692" t="n"/>
      <c r="U192" s="692" t="n"/>
      <c r="V192" s="692" t="n"/>
      <c r="W192" s="692" t="n"/>
      <c r="X192" s="692" t="n"/>
      <c r="Y192" s="692" t="n"/>
      <c r="Z192" s="692" t="n"/>
      <c r="AA192" s="692" t="n"/>
      <c r="AB192" s="692" t="n"/>
      <c r="AC192" s="692" t="n"/>
      <c r="AD192" s="692" t="n"/>
      <c r="AE192" s="692" t="n"/>
      <c r="AF192" s="692" t="n"/>
      <c r="AG192" s="692" t="n"/>
      <c r="AH192" s="692" t="n"/>
      <c r="AI192" s="692" t="n"/>
      <c r="AJ192" s="692" t="n"/>
      <c r="AK192" s="692" t="n"/>
      <c r="AL192" s="692" t="n"/>
      <c r="AM192" s="692" t="n"/>
      <c r="AN192" s="692" t="n"/>
      <c r="AO192" s="692" t="n"/>
      <c r="AP192" s="692" t="n"/>
    </row>
    <row r="193">
      <c r="A193" s="692" t="n"/>
      <c r="B193" s="692" t="n"/>
      <c r="C193" s="692" t="n"/>
      <c r="D193" s="692" t="n"/>
      <c r="E193" s="692" t="n"/>
      <c r="F193" s="692" t="n"/>
      <c r="G193" s="692" t="n"/>
      <c r="H193" s="692" t="n"/>
      <c r="I193" s="692" t="n"/>
      <c r="J193" s="692" t="n"/>
      <c r="K193" s="692" t="n"/>
      <c r="L193" s="692" t="n"/>
      <c r="M193" s="692" t="n"/>
      <c r="N193" s="692" t="n"/>
      <c r="O193" s="692" t="n"/>
      <c r="P193" s="692" t="n"/>
      <c r="Q193" s="692" t="n"/>
      <c r="R193" s="692" t="n"/>
      <c r="S193" s="692" t="n"/>
      <c r="T193" s="692" t="n"/>
      <c r="U193" s="692" t="n"/>
      <c r="V193" s="692" t="n"/>
      <c r="W193" s="692" t="n"/>
      <c r="X193" s="692" t="n"/>
      <c r="Y193" s="692" t="n"/>
      <c r="Z193" s="692" t="n"/>
      <c r="AA193" s="692" t="n"/>
      <c r="AB193" s="692" t="n"/>
      <c r="AC193" s="692" t="n"/>
      <c r="AD193" s="692" t="n"/>
      <c r="AE193" s="692" t="n"/>
      <c r="AF193" s="692" t="n"/>
      <c r="AG193" s="692" t="n"/>
      <c r="AH193" s="692" t="n"/>
      <c r="AI193" s="692" t="n"/>
      <c r="AJ193" s="692" t="n"/>
      <c r="AK193" s="692" t="n"/>
      <c r="AL193" s="692" t="n"/>
      <c r="AM193" s="692" t="n"/>
      <c r="AN193" s="692" t="n"/>
      <c r="AO193" s="692" t="n"/>
      <c r="AP193" s="692" t="n"/>
    </row>
    <row r="194">
      <c r="A194" s="692" t="n"/>
      <c r="B194" s="692" t="n"/>
      <c r="C194" s="692" t="n"/>
      <c r="D194" s="692" t="n"/>
      <c r="E194" s="692" t="n"/>
      <c r="F194" s="692" t="n"/>
      <c r="G194" s="692" t="n"/>
      <c r="H194" s="692" t="n"/>
      <c r="I194" s="692" t="n"/>
      <c r="J194" s="692" t="n"/>
      <c r="K194" s="692" t="n"/>
      <c r="L194" s="692" t="n"/>
      <c r="M194" s="692" t="n"/>
      <c r="N194" s="692" t="n"/>
      <c r="O194" s="692" t="n"/>
      <c r="P194" s="692" t="n"/>
      <c r="Q194" s="692" t="n"/>
      <c r="R194" s="692" t="n"/>
      <c r="S194" s="692" t="n"/>
      <c r="T194" s="692" t="n"/>
      <c r="U194" s="692" t="n"/>
      <c r="V194" s="692" t="n"/>
      <c r="W194" s="692" t="n"/>
      <c r="X194" s="692" t="n"/>
      <c r="Y194" s="692" t="n"/>
      <c r="Z194" s="692" t="n"/>
      <c r="AA194" s="692" t="n"/>
      <c r="AB194" s="692" t="n"/>
      <c r="AC194" s="692" t="n"/>
      <c r="AD194" s="692" t="n"/>
      <c r="AE194" s="692" t="n"/>
      <c r="AF194" s="692" t="n"/>
      <c r="AG194" s="692" t="n"/>
      <c r="AH194" s="692" t="n"/>
      <c r="AI194" s="692" t="n"/>
      <c r="AJ194" s="692" t="n"/>
      <c r="AK194" s="692" t="n"/>
      <c r="AL194" s="692" t="n"/>
      <c r="AM194" s="692" t="n"/>
      <c r="AN194" s="692" t="n"/>
      <c r="AO194" s="692" t="n"/>
      <c r="AP194" s="692" t="n"/>
    </row>
    <row r="195">
      <c r="A195" s="692" t="n"/>
      <c r="B195" s="692" t="n"/>
      <c r="C195" s="692" t="n"/>
      <c r="D195" s="692" t="n"/>
      <c r="E195" s="692" t="n"/>
      <c r="F195" s="692" t="n"/>
      <c r="G195" s="692" t="n"/>
      <c r="H195" s="692" t="n"/>
      <c r="I195" s="692" t="n"/>
      <c r="J195" s="692" t="n"/>
      <c r="K195" s="692" t="n"/>
      <c r="L195" s="692" t="n"/>
      <c r="M195" s="692" t="n"/>
      <c r="N195" s="692" t="n"/>
      <c r="O195" s="692" t="n"/>
      <c r="P195" s="692" t="n"/>
      <c r="Q195" s="692" t="n"/>
      <c r="R195" s="692" t="n"/>
      <c r="S195" s="692" t="n"/>
      <c r="T195" s="692" t="n"/>
      <c r="U195" s="692" t="n"/>
      <c r="V195" s="692" t="n"/>
      <c r="W195" s="692" t="n"/>
      <c r="X195" s="692" t="n"/>
      <c r="Y195" s="692" t="n"/>
      <c r="Z195" s="692" t="n"/>
      <c r="AA195" s="692" t="n"/>
      <c r="AB195" s="692" t="n"/>
      <c r="AC195" s="692" t="n"/>
      <c r="AD195" s="692" t="n"/>
      <c r="AE195" s="692" t="n"/>
      <c r="AF195" s="692" t="n"/>
      <c r="AG195" s="692" t="n"/>
      <c r="AH195" s="692" t="n"/>
      <c r="AI195" s="692" t="n"/>
      <c r="AJ195" s="692" t="n"/>
      <c r="AK195" s="692" t="n"/>
      <c r="AL195" s="692" t="n"/>
      <c r="AM195" s="692" t="n"/>
      <c r="AN195" s="692" t="n"/>
      <c r="AO195" s="692" t="n"/>
      <c r="AP195" s="692" t="n"/>
    </row>
    <row r="196">
      <c r="A196" s="692" t="n"/>
      <c r="B196" s="692" t="n"/>
      <c r="C196" s="692" t="n"/>
      <c r="D196" s="692" t="n"/>
      <c r="E196" s="692" t="n"/>
      <c r="F196" s="692" t="n"/>
      <c r="G196" s="692" t="n"/>
      <c r="H196" s="692" t="n"/>
      <c r="I196" s="692" t="n"/>
      <c r="J196" s="692" t="n"/>
      <c r="K196" s="692" t="n"/>
      <c r="L196" s="692" t="n"/>
      <c r="M196" s="692" t="n"/>
      <c r="N196" s="692" t="n"/>
      <c r="O196" s="692" t="n"/>
      <c r="P196" s="692" t="n"/>
      <c r="Q196" s="692" t="n"/>
      <c r="R196" s="692" t="n"/>
      <c r="S196" s="692" t="n"/>
      <c r="T196" s="692" t="n"/>
      <c r="U196" s="692" t="n"/>
      <c r="V196" s="692" t="n"/>
      <c r="W196" s="692" t="n"/>
      <c r="X196" s="692" t="n"/>
      <c r="Y196" s="692" t="n"/>
      <c r="Z196" s="692" t="n"/>
      <c r="AA196" s="692" t="n"/>
      <c r="AB196" s="692" t="n"/>
      <c r="AC196" s="692" t="n"/>
      <c r="AD196" s="692" t="n"/>
      <c r="AE196" s="692" t="n"/>
      <c r="AF196" s="692" t="n"/>
      <c r="AG196" s="692" t="n"/>
      <c r="AH196" s="692" t="n"/>
      <c r="AI196" s="692" t="n"/>
      <c r="AJ196" s="692" t="n"/>
      <c r="AK196" s="692" t="n"/>
      <c r="AL196" s="692" t="n"/>
      <c r="AM196" s="692" t="n"/>
      <c r="AN196" s="692" t="n"/>
      <c r="AO196" s="692" t="n"/>
      <c r="AP196" s="692" t="n"/>
    </row>
    <row r="197">
      <c r="A197" s="692" t="n"/>
      <c r="B197" s="692" t="n"/>
      <c r="C197" s="692" t="n"/>
      <c r="D197" s="692" t="n"/>
      <c r="E197" s="692" t="n"/>
      <c r="F197" s="692" t="n"/>
      <c r="G197" s="692" t="n"/>
      <c r="H197" s="692" t="n"/>
      <c r="I197" s="692" t="n"/>
      <c r="J197" s="692" t="n"/>
      <c r="K197" s="692" t="n"/>
      <c r="L197" s="692" t="n"/>
      <c r="M197" s="692" t="n"/>
      <c r="N197" s="692" t="n"/>
      <c r="O197" s="692" t="n"/>
      <c r="P197" s="692" t="n"/>
      <c r="Q197" s="692" t="n"/>
      <c r="R197" s="692" t="n"/>
      <c r="S197" s="692" t="n"/>
      <c r="T197" s="692" t="n"/>
      <c r="U197" s="692" t="n"/>
      <c r="V197" s="692" t="n"/>
      <c r="W197" s="692" t="n"/>
      <c r="X197" s="692" t="n"/>
      <c r="Y197" s="692" t="n"/>
      <c r="Z197" s="692" t="n"/>
      <c r="AA197" s="692" t="n"/>
      <c r="AB197" s="692" t="n"/>
      <c r="AC197" s="692" t="n"/>
      <c r="AD197" s="692" t="n"/>
      <c r="AE197" s="692" t="n"/>
      <c r="AF197" s="692" t="n"/>
      <c r="AG197" s="692" t="n"/>
      <c r="AH197" s="692" t="n"/>
      <c r="AI197" s="692" t="n"/>
      <c r="AJ197" s="692" t="n"/>
      <c r="AK197" s="692" t="n"/>
      <c r="AL197" s="692" t="n"/>
      <c r="AM197" s="692" t="n"/>
      <c r="AN197" s="692" t="n"/>
      <c r="AO197" s="692" t="n"/>
      <c r="AP197" s="692" t="n"/>
    </row>
    <row r="198">
      <c r="A198" s="692" t="n"/>
      <c r="B198" s="692" t="n"/>
      <c r="C198" s="692" t="n"/>
      <c r="D198" s="692" t="n"/>
      <c r="E198" s="692" t="n"/>
      <c r="F198" s="692" t="n"/>
      <c r="G198" s="692" t="n"/>
      <c r="H198" s="692" t="n"/>
      <c r="I198" s="692" t="n"/>
      <c r="J198" s="692" t="n"/>
      <c r="K198" s="692" t="n"/>
      <c r="L198" s="692" t="n"/>
      <c r="M198" s="692" t="n"/>
      <c r="N198" s="692" t="n"/>
      <c r="O198" s="692" t="n"/>
      <c r="P198" s="692" t="n"/>
      <c r="Q198" s="692" t="n"/>
      <c r="R198" s="692" t="n"/>
      <c r="S198" s="692" t="n"/>
      <c r="T198" s="692" t="n"/>
      <c r="U198" s="692" t="n"/>
      <c r="V198" s="692" t="n"/>
      <c r="W198" s="692" t="n"/>
      <c r="X198" s="692" t="n"/>
      <c r="Y198" s="692" t="n"/>
      <c r="Z198" s="692" t="n"/>
      <c r="AA198" s="692" t="n"/>
      <c r="AB198" s="692" t="n"/>
      <c r="AC198" s="692" t="n"/>
      <c r="AD198" s="692" t="n"/>
      <c r="AE198" s="692" t="n"/>
      <c r="AF198" s="692" t="n"/>
      <c r="AG198" s="692" t="n"/>
      <c r="AH198" s="692" t="n"/>
      <c r="AI198" s="692" t="n"/>
      <c r="AJ198" s="692" t="n"/>
      <c r="AK198" s="692" t="n"/>
      <c r="AL198" s="692" t="n"/>
      <c r="AM198" s="692" t="n"/>
      <c r="AN198" s="692" t="n"/>
      <c r="AO198" s="692" t="n"/>
      <c r="AP198" s="692" t="n"/>
    </row>
    <row r="199">
      <c r="A199" s="692" t="n"/>
      <c r="B199" s="692" t="n"/>
      <c r="C199" s="692" t="n"/>
      <c r="D199" s="692" t="n"/>
      <c r="E199" s="692" t="n"/>
      <c r="F199" s="692" t="n"/>
      <c r="G199" s="692" t="n"/>
      <c r="H199" s="692" t="n"/>
      <c r="I199" s="692" t="n"/>
      <c r="J199" s="692" t="n"/>
      <c r="K199" s="692" t="n"/>
      <c r="L199" s="692" t="n"/>
      <c r="M199" s="692" t="n"/>
      <c r="N199" s="692" t="n"/>
      <c r="O199" s="692" t="n"/>
      <c r="P199" s="692" t="n"/>
      <c r="Q199" s="692" t="n"/>
      <c r="R199" s="692" t="n"/>
      <c r="S199" s="692" t="n"/>
      <c r="T199" s="692" t="n"/>
      <c r="U199" s="692" t="n"/>
      <c r="V199" s="692" t="n"/>
      <c r="W199" s="692" t="n"/>
      <c r="X199" s="692" t="n"/>
      <c r="Y199" s="692" t="n"/>
      <c r="Z199" s="692" t="n"/>
      <c r="AA199" s="692" t="n"/>
      <c r="AB199" s="692" t="n"/>
      <c r="AC199" s="692" t="n"/>
      <c r="AD199" s="692" t="n"/>
      <c r="AE199" s="692" t="n"/>
      <c r="AF199" s="692" t="n"/>
      <c r="AG199" s="692" t="n"/>
      <c r="AH199" s="692" t="n"/>
      <c r="AI199" s="692" t="n"/>
      <c r="AJ199" s="692" t="n"/>
      <c r="AK199" s="692" t="n"/>
      <c r="AL199" s="692" t="n"/>
      <c r="AM199" s="692" t="n"/>
      <c r="AN199" s="692" t="n"/>
      <c r="AO199" s="692" t="n"/>
      <c r="AP199" s="692" t="n"/>
    </row>
    <row r="200">
      <c r="A200" s="692" t="n"/>
      <c r="B200" s="692" t="n"/>
      <c r="C200" s="692" t="n"/>
      <c r="D200" s="692" t="n"/>
      <c r="E200" s="692" t="n"/>
      <c r="F200" s="692" t="n"/>
      <c r="G200" s="692" t="n"/>
      <c r="H200" s="692" t="n"/>
      <c r="I200" s="692" t="n"/>
      <c r="J200" s="692" t="n"/>
      <c r="K200" s="692" t="n"/>
      <c r="L200" s="692" t="n"/>
      <c r="M200" s="692" t="n"/>
      <c r="N200" s="692" t="n"/>
      <c r="O200" s="692" t="n"/>
      <c r="P200" s="692" t="n"/>
      <c r="Q200" s="692" t="n"/>
      <c r="R200" s="692" t="n"/>
      <c r="S200" s="692" t="n"/>
      <c r="T200" s="692" t="n"/>
      <c r="U200" s="692" t="n"/>
      <c r="V200" s="692" t="n"/>
      <c r="W200" s="692" t="n"/>
      <c r="X200" s="692" t="n"/>
      <c r="Y200" s="692" t="n"/>
      <c r="Z200" s="692" t="n"/>
      <c r="AA200" s="692" t="n"/>
      <c r="AB200" s="692" t="n"/>
      <c r="AC200" s="692" t="n"/>
      <c r="AD200" s="692" t="n"/>
      <c r="AE200" s="692" t="n"/>
      <c r="AF200" s="692" t="n"/>
      <c r="AG200" s="692" t="n"/>
      <c r="AH200" s="692" t="n"/>
      <c r="AI200" s="692" t="n"/>
      <c r="AJ200" s="692" t="n"/>
      <c r="AK200" s="692" t="n"/>
      <c r="AL200" s="692" t="n"/>
      <c r="AM200" s="692" t="n"/>
      <c r="AN200" s="692" t="n"/>
      <c r="AO200" s="692" t="n"/>
      <c r="AP200" s="692" t="n"/>
    </row>
    <row r="201">
      <c r="A201" s="692" t="n"/>
      <c r="B201" s="692" t="n"/>
      <c r="C201" s="692" t="n"/>
      <c r="D201" s="692" t="n"/>
      <c r="E201" s="692" t="n"/>
      <c r="F201" s="692" t="n"/>
      <c r="G201" s="692" t="n"/>
      <c r="H201" s="692" t="n"/>
      <c r="I201" s="692" t="n"/>
      <c r="J201" s="692" t="n"/>
      <c r="K201" s="692" t="n"/>
      <c r="L201" s="692" t="n"/>
      <c r="M201" s="692" t="n"/>
      <c r="N201" s="692" t="n"/>
      <c r="O201" s="692" t="n"/>
      <c r="P201" s="692" t="n"/>
      <c r="Q201" s="692" t="n"/>
      <c r="R201" s="692" t="n"/>
      <c r="S201" s="692" t="n"/>
      <c r="T201" s="692" t="n"/>
      <c r="U201" s="692" t="n"/>
      <c r="V201" s="692" t="n"/>
      <c r="W201" s="692" t="n"/>
      <c r="X201" s="692" t="n"/>
      <c r="Y201" s="692" t="n"/>
      <c r="Z201" s="692" t="n"/>
      <c r="AA201" s="692" t="n"/>
      <c r="AB201" s="692" t="n"/>
      <c r="AC201" s="692" t="n"/>
      <c r="AD201" s="692" t="n"/>
      <c r="AE201" s="692" t="n"/>
      <c r="AF201" s="692" t="n"/>
      <c r="AG201" s="692" t="n"/>
      <c r="AH201" s="692" t="n"/>
      <c r="AI201" s="692" t="n"/>
      <c r="AJ201" s="692" t="n"/>
      <c r="AK201" s="692" t="n"/>
      <c r="AL201" s="692" t="n"/>
      <c r="AM201" s="692" t="n"/>
      <c r="AN201" s="692" t="n"/>
      <c r="AO201" s="692" t="n"/>
      <c r="AP201" s="692" t="n"/>
    </row>
    <row r="202">
      <c r="A202" s="692" t="n"/>
      <c r="B202" s="692" t="n"/>
      <c r="C202" s="692" t="n"/>
      <c r="D202" s="692" t="n"/>
      <c r="E202" s="692" t="n"/>
      <c r="F202" s="692" t="n"/>
      <c r="G202" s="692" t="n"/>
      <c r="H202" s="692" t="n"/>
      <c r="I202" s="692" t="n"/>
      <c r="J202" s="692" t="n"/>
      <c r="K202" s="692" t="n"/>
      <c r="L202" s="692" t="n"/>
      <c r="M202" s="692" t="n"/>
      <c r="N202" s="692" t="n"/>
      <c r="O202" s="692" t="n"/>
      <c r="P202" s="692" t="n"/>
      <c r="Q202" s="692" t="n"/>
      <c r="R202" s="692" t="n"/>
      <c r="S202" s="692" t="n"/>
      <c r="T202" s="692" t="n"/>
      <c r="U202" s="692" t="n"/>
      <c r="V202" s="692" t="n"/>
      <c r="W202" s="692" t="n"/>
      <c r="X202" s="692" t="n"/>
      <c r="Y202" s="692" t="n"/>
      <c r="Z202" s="692" t="n"/>
      <c r="AA202" s="692" t="n"/>
      <c r="AB202" s="692" t="n"/>
      <c r="AC202" s="692" t="n"/>
      <c r="AD202" s="692" t="n"/>
      <c r="AE202" s="692" t="n"/>
      <c r="AF202" s="692" t="n"/>
      <c r="AG202" s="692" t="n"/>
      <c r="AH202" s="692" t="n"/>
      <c r="AI202" s="692" t="n"/>
      <c r="AJ202" s="692" t="n"/>
      <c r="AK202" s="692" t="n"/>
      <c r="AL202" s="692" t="n"/>
      <c r="AM202" s="692" t="n"/>
      <c r="AN202" s="692" t="n"/>
      <c r="AO202" s="692" t="n"/>
      <c r="AP202" s="692" t="n"/>
    </row>
    <row r="203">
      <c r="A203" s="692" t="n"/>
      <c r="B203" s="692" t="n"/>
      <c r="C203" s="692" t="n"/>
      <c r="D203" s="692" t="n"/>
      <c r="E203" s="692" t="n"/>
      <c r="F203" s="692" t="n"/>
      <c r="G203" s="692" t="n"/>
      <c r="H203" s="692" t="n"/>
      <c r="I203" s="692" t="n"/>
      <c r="J203" s="692" t="n"/>
      <c r="K203" s="692" t="n"/>
      <c r="L203" s="692" t="n"/>
      <c r="M203" s="692" t="n"/>
      <c r="N203" s="692" t="n"/>
      <c r="O203" s="692" t="n"/>
      <c r="P203" s="692" t="n"/>
      <c r="Q203" s="692" t="n"/>
      <c r="R203" s="692" t="n"/>
      <c r="S203" s="692" t="n"/>
      <c r="T203" s="692" t="n"/>
      <c r="U203" s="692" t="n"/>
      <c r="V203" s="692" t="n"/>
      <c r="W203" s="692" t="n"/>
      <c r="X203" s="692" t="n"/>
      <c r="Y203" s="692" t="n"/>
      <c r="Z203" s="692" t="n"/>
      <c r="AA203" s="692" t="n"/>
      <c r="AB203" s="692" t="n"/>
      <c r="AC203" s="692" t="n"/>
      <c r="AD203" s="692" t="n"/>
      <c r="AE203" s="692" t="n"/>
      <c r="AF203" s="692" t="n"/>
      <c r="AG203" s="692" t="n"/>
      <c r="AH203" s="692" t="n"/>
      <c r="AI203" s="692" t="n"/>
      <c r="AJ203" s="692" t="n"/>
      <c r="AK203" s="692" t="n"/>
      <c r="AL203" s="692" t="n"/>
      <c r="AM203" s="692" t="n"/>
      <c r="AN203" s="692" t="n"/>
      <c r="AO203" s="692" t="n"/>
      <c r="AP203" s="692" t="n"/>
    </row>
    <row r="204">
      <c r="A204" s="692" t="n"/>
      <c r="B204" s="692" t="n"/>
      <c r="C204" s="692" t="n"/>
      <c r="D204" s="692" t="n"/>
      <c r="E204" s="692" t="n"/>
      <c r="F204" s="692" t="n"/>
      <c r="G204" s="692" t="n"/>
      <c r="H204" s="692" t="n"/>
      <c r="I204" s="692" t="n"/>
      <c r="J204" s="692" t="n"/>
      <c r="K204" s="692" t="n"/>
      <c r="L204" s="692" t="n"/>
      <c r="M204" s="692" t="n"/>
      <c r="N204" s="692" t="n"/>
      <c r="O204" s="692" t="n"/>
      <c r="P204" s="692" t="n"/>
      <c r="Q204" s="692" t="n"/>
      <c r="R204" s="692" t="n"/>
      <c r="S204" s="692" t="n"/>
      <c r="T204" s="692" t="n"/>
      <c r="U204" s="692" t="n"/>
      <c r="V204" s="692" t="n"/>
      <c r="W204" s="692" t="n"/>
      <c r="X204" s="692" t="n"/>
      <c r="Y204" s="692" t="n"/>
      <c r="Z204" s="692" t="n"/>
      <c r="AA204" s="692" t="n"/>
      <c r="AB204" s="692" t="n"/>
      <c r="AC204" s="692" t="n"/>
      <c r="AD204" s="692" t="n"/>
      <c r="AE204" s="692" t="n"/>
      <c r="AF204" s="692" t="n"/>
      <c r="AG204" s="692" t="n"/>
      <c r="AH204" s="692" t="n"/>
      <c r="AI204" s="692" t="n"/>
      <c r="AJ204" s="692" t="n"/>
      <c r="AK204" s="692" t="n"/>
      <c r="AL204" s="692" t="n"/>
      <c r="AM204" s="692" t="n"/>
      <c r="AN204" s="692" t="n"/>
      <c r="AO204" s="692" t="n"/>
      <c r="AP204" s="692" t="n"/>
    </row>
    <row r="205">
      <c r="A205" s="692" t="n"/>
      <c r="B205" s="692" t="n"/>
      <c r="C205" s="692" t="n"/>
      <c r="D205" s="692" t="n"/>
      <c r="E205" s="692" t="n"/>
      <c r="F205" s="692" t="n"/>
      <c r="G205" s="692" t="n"/>
      <c r="H205" s="692" t="n"/>
      <c r="I205" s="692" t="n"/>
      <c r="J205" s="692" t="n"/>
      <c r="K205" s="692" t="n"/>
      <c r="L205" s="692" t="n"/>
      <c r="M205" s="692" t="n"/>
      <c r="N205" s="692" t="n"/>
      <c r="O205" s="692" t="n"/>
      <c r="P205" s="692" t="n"/>
      <c r="Q205" s="692" t="n"/>
      <c r="R205" s="692" t="n"/>
      <c r="S205" s="692" t="n"/>
      <c r="T205" s="692" t="n"/>
      <c r="U205" s="692" t="n"/>
      <c r="V205" s="692" t="n"/>
      <c r="W205" s="692" t="n"/>
      <c r="X205" s="692" t="n"/>
      <c r="Y205" s="692" t="n"/>
      <c r="Z205" s="692" t="n"/>
      <c r="AA205" s="692" t="n"/>
      <c r="AB205" s="692" t="n"/>
      <c r="AC205" s="692" t="n"/>
      <c r="AD205" s="692" t="n"/>
      <c r="AE205" s="692" t="n"/>
      <c r="AF205" s="692" t="n"/>
      <c r="AG205" s="692" t="n"/>
      <c r="AH205" s="692" t="n"/>
      <c r="AI205" s="692" t="n"/>
      <c r="AJ205" s="692" t="n"/>
      <c r="AK205" s="692" t="n"/>
      <c r="AL205" s="692" t="n"/>
      <c r="AM205" s="692" t="n"/>
      <c r="AN205" s="692" t="n"/>
      <c r="AO205" s="692" t="n"/>
      <c r="AP205" s="692" t="n"/>
    </row>
    <row r="206">
      <c r="A206" s="692" t="n"/>
      <c r="B206" s="692" t="n"/>
      <c r="C206" s="692" t="n"/>
      <c r="D206" s="692" t="n"/>
      <c r="E206" s="692" t="n"/>
      <c r="F206" s="692" t="n"/>
      <c r="G206" s="692" t="n"/>
      <c r="H206" s="692" t="n"/>
      <c r="I206" s="692" t="n"/>
      <c r="J206" s="692" t="n"/>
      <c r="K206" s="692" t="n"/>
      <c r="L206" s="692" t="n"/>
      <c r="M206" s="692" t="n"/>
      <c r="N206" s="692" t="n"/>
      <c r="O206" s="692" t="n"/>
      <c r="P206" s="692" t="n"/>
      <c r="Q206" s="692" t="n"/>
      <c r="R206" s="692" t="n"/>
      <c r="S206" s="692" t="n"/>
      <c r="T206" s="692" t="n"/>
      <c r="U206" s="692" t="n"/>
      <c r="V206" s="692" t="n"/>
      <c r="W206" s="692" t="n"/>
      <c r="X206" s="692" t="n"/>
      <c r="Y206" s="692" t="n"/>
      <c r="Z206" s="692" t="n"/>
      <c r="AA206" s="692" t="n"/>
      <c r="AB206" s="692" t="n"/>
      <c r="AC206" s="692" t="n"/>
      <c r="AD206" s="692" t="n"/>
      <c r="AE206" s="692" t="n"/>
      <c r="AF206" s="692" t="n"/>
      <c r="AG206" s="692" t="n"/>
      <c r="AH206" s="692" t="n"/>
      <c r="AI206" s="692" t="n"/>
      <c r="AJ206" s="692" t="n"/>
      <c r="AK206" s="692" t="n"/>
      <c r="AL206" s="692" t="n"/>
      <c r="AM206" s="692" t="n"/>
      <c r="AN206" s="692" t="n"/>
      <c r="AO206" s="692" t="n"/>
      <c r="AP206" s="692" t="n"/>
    </row>
    <row r="207">
      <c r="A207" s="692" t="n"/>
      <c r="B207" s="692" t="n"/>
      <c r="C207" s="692" t="n"/>
      <c r="D207" s="692" t="n"/>
      <c r="E207" s="692" t="n"/>
      <c r="F207" s="692" t="n"/>
      <c r="G207" s="692" t="n"/>
      <c r="H207" s="692" t="n"/>
      <c r="I207" s="692" t="n"/>
      <c r="J207" s="692" t="n"/>
      <c r="K207" s="692" t="n"/>
      <c r="L207" s="692" t="n"/>
      <c r="M207" s="692" t="n"/>
      <c r="N207" s="692" t="n"/>
      <c r="O207" s="692" t="n"/>
      <c r="P207" s="692" t="n"/>
      <c r="Q207" s="692" t="n"/>
      <c r="R207" s="692" t="n"/>
      <c r="S207" s="692" t="n"/>
      <c r="T207" s="692" t="n"/>
      <c r="U207" s="692" t="n"/>
      <c r="V207" s="692" t="n"/>
      <c r="W207" s="692" t="n"/>
      <c r="X207" s="692" t="n"/>
      <c r="Y207" s="692" t="n"/>
      <c r="Z207" s="692" t="n"/>
      <c r="AA207" s="692" t="n"/>
      <c r="AB207" s="692" t="n"/>
      <c r="AC207" s="692" t="n"/>
      <c r="AD207" s="692" t="n"/>
      <c r="AE207" s="692" t="n"/>
      <c r="AF207" s="692" t="n"/>
      <c r="AG207" s="692" t="n"/>
      <c r="AH207" s="692" t="n"/>
      <c r="AI207" s="692" t="n"/>
      <c r="AJ207" s="692" t="n"/>
      <c r="AK207" s="692" t="n"/>
      <c r="AL207" s="692" t="n"/>
      <c r="AM207" s="692" t="n"/>
      <c r="AN207" s="692" t="n"/>
      <c r="AO207" s="692" t="n"/>
      <c r="AP207" s="692" t="n"/>
    </row>
    <row r="208">
      <c r="A208" s="692" t="n"/>
      <c r="B208" s="692" t="n"/>
      <c r="C208" s="692" t="n"/>
      <c r="D208" s="692" t="n"/>
      <c r="E208" s="692" t="n"/>
      <c r="F208" s="692" t="n"/>
      <c r="G208" s="692" t="n"/>
      <c r="H208" s="692" t="n"/>
      <c r="I208" s="692" t="n"/>
      <c r="J208" s="692" t="n"/>
      <c r="K208" s="692" t="n"/>
      <c r="L208" s="692" t="n"/>
      <c r="M208" s="692" t="n"/>
      <c r="N208" s="692" t="n"/>
      <c r="O208" s="692" t="n"/>
      <c r="P208" s="692" t="n"/>
      <c r="Q208" s="692" t="n"/>
      <c r="R208" s="692" t="n"/>
      <c r="S208" s="692" t="n"/>
      <c r="T208" s="692" t="n"/>
      <c r="U208" s="692" t="n"/>
      <c r="V208" s="692" t="n"/>
      <c r="W208" s="692" t="n"/>
      <c r="X208" s="692" t="n"/>
      <c r="Y208" s="692" t="n"/>
      <c r="Z208" s="692" t="n"/>
      <c r="AA208" s="692" t="n"/>
      <c r="AB208" s="692" t="n"/>
      <c r="AC208" s="692" t="n"/>
      <c r="AD208" s="692" t="n"/>
      <c r="AE208" s="692" t="n"/>
      <c r="AF208" s="692" t="n"/>
      <c r="AG208" s="692" t="n"/>
      <c r="AH208" s="692" t="n"/>
      <c r="AI208" s="692" t="n"/>
      <c r="AJ208" s="692" t="n"/>
      <c r="AK208" s="692" t="n"/>
      <c r="AL208" s="692" t="n"/>
      <c r="AM208" s="692" t="n"/>
      <c r="AN208" s="692" t="n"/>
      <c r="AO208" s="692" t="n"/>
      <c r="AP208" s="692" t="n"/>
    </row>
    <row r="209">
      <c r="A209" s="692" t="n"/>
      <c r="B209" s="692" t="n"/>
      <c r="C209" s="692" t="n"/>
      <c r="D209" s="692" t="n"/>
      <c r="E209" s="692" t="n"/>
      <c r="F209" s="692" t="n"/>
      <c r="G209" s="692" t="n"/>
      <c r="H209" s="692" t="n"/>
      <c r="I209" s="692" t="n"/>
      <c r="J209" s="692" t="n"/>
      <c r="K209" s="692" t="n"/>
      <c r="L209" s="692" t="n"/>
      <c r="M209" s="692" t="n"/>
      <c r="N209" s="692" t="n"/>
      <c r="O209" s="692" t="n"/>
      <c r="P209" s="692" t="n"/>
      <c r="Q209" s="692" t="n"/>
      <c r="R209" s="692" t="n"/>
      <c r="S209" s="692" t="n"/>
      <c r="T209" s="692" t="n"/>
      <c r="U209" s="692" t="n"/>
      <c r="V209" s="692" t="n"/>
      <c r="W209" s="692" t="n"/>
      <c r="X209" s="692" t="n"/>
      <c r="Y209" s="692" t="n"/>
      <c r="Z209" s="692" t="n"/>
      <c r="AA209" s="692" t="n"/>
      <c r="AB209" s="692" t="n"/>
      <c r="AC209" s="692" t="n"/>
      <c r="AD209" s="692" t="n"/>
      <c r="AE209" s="692" t="n"/>
      <c r="AF209" s="692" t="n"/>
      <c r="AG209" s="692" t="n"/>
      <c r="AH209" s="692" t="n"/>
      <c r="AI209" s="692" t="n"/>
      <c r="AJ209" s="692" t="n"/>
      <c r="AK209" s="692" t="n"/>
      <c r="AL209" s="692" t="n"/>
      <c r="AM209" s="692" t="n"/>
      <c r="AN209" s="692" t="n"/>
      <c r="AO209" s="692" t="n"/>
      <c r="AP209" s="692" t="n"/>
    </row>
    <row r="210">
      <c r="A210" s="692" t="n"/>
      <c r="B210" s="692" t="n"/>
      <c r="C210" s="692" t="n"/>
      <c r="D210" s="692" t="n"/>
      <c r="E210" s="692" t="n"/>
      <c r="F210" s="692" t="n"/>
      <c r="G210" s="692" t="n"/>
      <c r="H210" s="692" t="n"/>
      <c r="I210" s="692" t="n"/>
      <c r="J210" s="692" t="n"/>
      <c r="K210" s="692" t="n"/>
      <c r="L210" s="692" t="n"/>
      <c r="M210" s="692" t="n"/>
      <c r="N210" s="692" t="n"/>
      <c r="O210" s="692" t="n"/>
      <c r="P210" s="692" t="n"/>
      <c r="Q210" s="692" t="n"/>
      <c r="R210" s="692" t="n"/>
      <c r="S210" s="692" t="n"/>
      <c r="T210" s="692" t="n"/>
      <c r="U210" s="692" t="n"/>
      <c r="V210" s="692" t="n"/>
      <c r="W210" s="692" t="n"/>
      <c r="X210" s="692" t="n"/>
      <c r="Y210" s="692" t="n"/>
      <c r="Z210" s="692" t="n"/>
      <c r="AA210" s="692" t="n"/>
      <c r="AB210" s="692" t="n"/>
      <c r="AC210" s="692" t="n"/>
      <c r="AD210" s="692" t="n"/>
      <c r="AE210" s="692" t="n"/>
      <c r="AF210" s="692" t="n"/>
      <c r="AG210" s="692" t="n"/>
      <c r="AH210" s="692" t="n"/>
      <c r="AI210" s="692" t="n"/>
      <c r="AJ210" s="692" t="n"/>
      <c r="AK210" s="692" t="n"/>
      <c r="AL210" s="692" t="n"/>
      <c r="AM210" s="692" t="n"/>
      <c r="AN210" s="692" t="n"/>
      <c r="AO210" s="692" t="n"/>
      <c r="AP210" s="692" t="n"/>
    </row>
    <row r="211">
      <c r="A211" s="692" t="n"/>
      <c r="B211" s="692" t="n"/>
      <c r="C211" s="692" t="n"/>
      <c r="D211" s="692" t="n"/>
      <c r="E211" s="692" t="n"/>
      <c r="F211" s="692" t="n"/>
      <c r="G211" s="692" t="n"/>
      <c r="H211" s="692" t="n"/>
      <c r="I211" s="692" t="n"/>
      <c r="J211" s="692" t="n"/>
      <c r="K211" s="692" t="n"/>
      <c r="L211" s="692" t="n"/>
      <c r="M211" s="692" t="n"/>
      <c r="N211" s="692" t="n"/>
      <c r="O211" s="692" t="n"/>
      <c r="P211" s="692" t="n"/>
      <c r="Q211" s="692" t="n"/>
      <c r="R211" s="692" t="n"/>
      <c r="S211" s="692" t="n"/>
      <c r="T211" s="692" t="n"/>
      <c r="U211" s="692" t="n"/>
      <c r="V211" s="692" t="n"/>
      <c r="W211" s="692" t="n"/>
      <c r="X211" s="692" t="n"/>
      <c r="Y211" s="692" t="n"/>
      <c r="Z211" s="692" t="n"/>
      <c r="AA211" s="692" t="n"/>
      <c r="AB211" s="692" t="n"/>
      <c r="AC211" s="692" t="n"/>
      <c r="AD211" s="692" t="n"/>
      <c r="AE211" s="692" t="n"/>
      <c r="AF211" s="692" t="n"/>
      <c r="AG211" s="692" t="n"/>
      <c r="AH211" s="692" t="n"/>
      <c r="AI211" s="692" t="n"/>
      <c r="AJ211" s="692" t="n"/>
      <c r="AK211" s="692" t="n"/>
      <c r="AL211" s="692" t="n"/>
      <c r="AM211" s="692" t="n"/>
      <c r="AN211" s="692" t="n"/>
      <c r="AO211" s="692" t="n"/>
      <c r="AP211" s="692" t="n"/>
    </row>
    <row r="212">
      <c r="A212" s="692" t="n"/>
      <c r="B212" s="692" t="n"/>
      <c r="C212" s="692" t="n"/>
      <c r="D212" s="692" t="n"/>
      <c r="E212" s="692" t="n"/>
      <c r="F212" s="692" t="n"/>
      <c r="G212" s="692" t="n"/>
      <c r="H212" s="692" t="n"/>
      <c r="I212" s="692" t="n"/>
      <c r="J212" s="692" t="n"/>
      <c r="K212" s="692" t="n"/>
      <c r="L212" s="692" t="n"/>
      <c r="M212" s="692" t="n"/>
      <c r="N212" s="692" t="n"/>
      <c r="O212" s="692" t="n"/>
      <c r="P212" s="692" t="n"/>
      <c r="Q212" s="692" t="n"/>
      <c r="R212" s="692" t="n"/>
      <c r="S212" s="692" t="n"/>
      <c r="T212" s="692" t="n"/>
      <c r="U212" s="692" t="n"/>
      <c r="V212" s="692" t="n"/>
      <c r="W212" s="692" t="n"/>
      <c r="X212" s="692" t="n"/>
      <c r="Y212" s="692" t="n"/>
      <c r="Z212" s="692" t="n"/>
      <c r="AA212" s="692" t="n"/>
      <c r="AB212" s="692" t="n"/>
      <c r="AC212" s="692" t="n"/>
      <c r="AD212" s="692" t="n"/>
      <c r="AE212" s="692" t="n"/>
      <c r="AF212" s="692" t="n"/>
      <c r="AG212" s="692" t="n"/>
      <c r="AH212" s="692" t="n"/>
      <c r="AI212" s="692" t="n"/>
      <c r="AJ212" s="692" t="n"/>
      <c r="AK212" s="692" t="n"/>
      <c r="AL212" s="692" t="n"/>
      <c r="AM212" s="692" t="n"/>
      <c r="AN212" s="692" t="n"/>
      <c r="AO212" s="692" t="n"/>
      <c r="AP212" s="692" t="n"/>
    </row>
    <row r="213">
      <c r="A213" s="692" t="n"/>
      <c r="B213" s="692" t="n"/>
      <c r="C213" s="692" t="n"/>
      <c r="D213" s="692" t="n"/>
      <c r="E213" s="692" t="n"/>
      <c r="F213" s="692" t="n"/>
      <c r="G213" s="692" t="n"/>
      <c r="H213" s="692" t="n"/>
      <c r="I213" s="692" t="n"/>
      <c r="J213" s="692" t="n"/>
      <c r="K213" s="692" t="n"/>
      <c r="L213" s="692" t="n"/>
      <c r="M213" s="692" t="n"/>
      <c r="N213" s="692" t="n"/>
      <c r="O213" s="692" t="n"/>
      <c r="P213" s="692" t="n"/>
      <c r="Q213" s="692" t="n"/>
      <c r="R213" s="692" t="n"/>
      <c r="S213" s="692" t="n"/>
      <c r="T213" s="692" t="n"/>
      <c r="U213" s="692" t="n"/>
      <c r="V213" s="692" t="n"/>
      <c r="W213" s="692" t="n"/>
      <c r="X213" s="692" t="n"/>
      <c r="Y213" s="692" t="n"/>
      <c r="Z213" s="692" t="n"/>
      <c r="AA213" s="692" t="n"/>
      <c r="AB213" s="692" t="n"/>
      <c r="AC213" s="692" t="n"/>
      <c r="AD213" s="692" t="n"/>
      <c r="AE213" s="692" t="n"/>
      <c r="AF213" s="692" t="n"/>
      <c r="AG213" s="692" t="n"/>
      <c r="AH213" s="692" t="n"/>
      <c r="AI213" s="692" t="n"/>
      <c r="AJ213" s="692" t="n"/>
      <c r="AK213" s="692" t="n"/>
      <c r="AL213" s="692" t="n"/>
      <c r="AM213" s="692" t="n"/>
      <c r="AN213" s="692" t="n"/>
      <c r="AO213" s="692" t="n"/>
      <c r="AP213" s="692" t="n"/>
    </row>
    <row r="214">
      <c r="A214" s="692" t="n"/>
      <c r="B214" s="692" t="n"/>
      <c r="C214" s="692" t="n"/>
      <c r="D214" s="692" t="n"/>
      <c r="E214" s="692" t="n"/>
      <c r="F214" s="692" t="n"/>
      <c r="G214" s="692" t="n"/>
      <c r="H214" s="692" t="n"/>
      <c r="I214" s="692" t="n"/>
      <c r="J214" s="692" t="n"/>
      <c r="K214" s="692" t="n"/>
      <c r="L214" s="692" t="n"/>
      <c r="M214" s="692" t="n"/>
      <c r="N214" s="692" t="n"/>
      <c r="O214" s="692" t="n"/>
      <c r="P214" s="692" t="n"/>
      <c r="Q214" s="692" t="n"/>
      <c r="R214" s="692" t="n"/>
      <c r="S214" s="692" t="n"/>
      <c r="T214" s="692" t="n"/>
      <c r="U214" s="692" t="n"/>
      <c r="V214" s="692" t="n"/>
      <c r="W214" s="692" t="n"/>
      <c r="X214" s="692" t="n"/>
      <c r="Y214" s="692" t="n"/>
      <c r="Z214" s="692" t="n"/>
      <c r="AA214" s="692" t="n"/>
      <c r="AB214" s="692" t="n"/>
      <c r="AC214" s="692" t="n"/>
      <c r="AD214" s="692" t="n"/>
      <c r="AE214" s="692" t="n"/>
      <c r="AF214" s="692" t="n"/>
      <c r="AG214" s="692" t="n"/>
      <c r="AH214" s="692" t="n"/>
      <c r="AI214" s="692" t="n"/>
      <c r="AJ214" s="692" t="n"/>
      <c r="AK214" s="692" t="n"/>
      <c r="AL214" s="692" t="n"/>
      <c r="AM214" s="692" t="n"/>
      <c r="AN214" s="692" t="n"/>
      <c r="AO214" s="692" t="n"/>
      <c r="AP214" s="692" t="n"/>
    </row>
    <row r="215">
      <c r="A215" s="692" t="n"/>
      <c r="B215" s="692" t="n"/>
      <c r="C215" s="692" t="n"/>
      <c r="D215" s="692" t="n"/>
      <c r="E215" s="692" t="n"/>
      <c r="F215" s="692" t="n"/>
      <c r="G215" s="692" t="n"/>
      <c r="H215" s="692" t="n"/>
      <c r="I215" s="692" t="n"/>
      <c r="J215" s="692" t="n"/>
      <c r="K215" s="692" t="n"/>
      <c r="L215" s="692" t="n"/>
      <c r="M215" s="692" t="n"/>
      <c r="N215" s="692" t="n"/>
      <c r="O215" s="692" t="n"/>
      <c r="P215" s="692" t="n"/>
      <c r="Q215" s="692" t="n"/>
      <c r="R215" s="692" t="n"/>
      <c r="S215" s="692" t="n"/>
      <c r="T215" s="692" t="n"/>
      <c r="U215" s="692" t="n"/>
      <c r="V215" s="692" t="n"/>
      <c r="W215" s="692" t="n"/>
      <c r="X215" s="692" t="n"/>
      <c r="Y215" s="692" t="n"/>
      <c r="Z215" s="692" t="n"/>
      <c r="AA215" s="692" t="n"/>
      <c r="AB215" s="692" t="n"/>
      <c r="AC215" s="692" t="n"/>
      <c r="AD215" s="692" t="n"/>
      <c r="AE215" s="692" t="n"/>
      <c r="AF215" s="692" t="n"/>
      <c r="AG215" s="692" t="n"/>
      <c r="AH215" s="692" t="n"/>
      <c r="AI215" s="692" t="n"/>
      <c r="AJ215" s="692" t="n"/>
      <c r="AK215" s="692" t="n"/>
      <c r="AL215" s="692" t="n"/>
      <c r="AM215" s="692" t="n"/>
      <c r="AN215" s="692" t="n"/>
      <c r="AO215" s="692" t="n"/>
      <c r="AP215" s="692" t="n"/>
    </row>
    <row r="216">
      <c r="A216" s="692" t="n"/>
      <c r="B216" s="692" t="n"/>
      <c r="C216" s="692" t="n"/>
      <c r="D216" s="692" t="n"/>
      <c r="E216" s="692" t="n"/>
      <c r="F216" s="692" t="n"/>
      <c r="G216" s="692" t="n"/>
      <c r="H216" s="692" t="n"/>
      <c r="I216" s="692" t="n"/>
      <c r="J216" s="692" t="n"/>
      <c r="K216" s="692" t="n"/>
      <c r="L216" s="692" t="n"/>
      <c r="M216" s="692" t="n"/>
      <c r="N216" s="692" t="n"/>
      <c r="O216" s="692" t="n"/>
      <c r="P216" s="692" t="n"/>
      <c r="Q216" s="692" t="n"/>
      <c r="R216" s="692" t="n"/>
      <c r="S216" s="692" t="n"/>
      <c r="T216" s="692" t="n"/>
      <c r="U216" s="692" t="n"/>
      <c r="V216" s="692" t="n"/>
      <c r="W216" s="692" t="n"/>
      <c r="X216" s="692" t="n"/>
      <c r="Y216" s="692" t="n"/>
      <c r="Z216" s="692" t="n"/>
      <c r="AA216" s="692" t="n"/>
      <c r="AB216" s="692" t="n"/>
      <c r="AC216" s="692" t="n"/>
      <c r="AD216" s="692" t="n"/>
      <c r="AE216" s="692" t="n"/>
      <c r="AF216" s="692" t="n"/>
      <c r="AG216" s="692" t="n"/>
      <c r="AH216" s="692" t="n"/>
      <c r="AI216" s="692" t="n"/>
      <c r="AJ216" s="692" t="n"/>
      <c r="AK216" s="692" t="n"/>
      <c r="AL216" s="692" t="n"/>
      <c r="AM216" s="692" t="n"/>
      <c r="AN216" s="692" t="n"/>
      <c r="AO216" s="692" t="n"/>
      <c r="AP216" s="692" t="n"/>
    </row>
    <row r="217">
      <c r="A217" s="692" t="n"/>
      <c r="B217" s="692" t="n"/>
      <c r="C217" s="692" t="n"/>
      <c r="D217" s="692" t="n"/>
      <c r="E217" s="692" t="n"/>
      <c r="F217" s="692" t="n"/>
      <c r="G217" s="692" t="n"/>
      <c r="H217" s="692" t="n"/>
      <c r="I217" s="692" t="n"/>
      <c r="J217" s="692" t="n"/>
      <c r="K217" s="692" t="n"/>
      <c r="L217" s="692" t="n"/>
      <c r="M217" s="692" t="n"/>
      <c r="N217" s="692" t="n"/>
      <c r="O217" s="692" t="n"/>
      <c r="P217" s="692" t="n"/>
      <c r="Q217" s="692" t="n"/>
      <c r="R217" s="692" t="n"/>
      <c r="S217" s="692" t="n"/>
      <c r="T217" s="692" t="n"/>
      <c r="U217" s="692" t="n"/>
      <c r="V217" s="692" t="n"/>
      <c r="W217" s="692" t="n"/>
      <c r="X217" s="692" t="n"/>
      <c r="Y217" s="692" t="n"/>
      <c r="Z217" s="692" t="n"/>
      <c r="AA217" s="692" t="n"/>
      <c r="AB217" s="692" t="n"/>
      <c r="AC217" s="692" t="n"/>
      <c r="AD217" s="692" t="n"/>
      <c r="AE217" s="692" t="n"/>
      <c r="AF217" s="692" t="n"/>
      <c r="AG217" s="692" t="n"/>
      <c r="AH217" s="692" t="n"/>
      <c r="AI217" s="692" t="n"/>
      <c r="AJ217" s="692" t="n"/>
      <c r="AK217" s="692" t="n"/>
      <c r="AL217" s="692" t="n"/>
      <c r="AM217" s="692" t="n"/>
      <c r="AN217" s="692" t="n"/>
      <c r="AO217" s="692" t="n"/>
      <c r="AP217" s="692" t="n"/>
    </row>
    <row r="218">
      <c r="A218" s="692" t="n"/>
      <c r="B218" s="692" t="n"/>
      <c r="C218" s="692" t="n"/>
      <c r="D218" s="692" t="n"/>
      <c r="E218" s="692" t="n"/>
      <c r="F218" s="692" t="n"/>
      <c r="G218" s="692" t="n"/>
      <c r="H218" s="692" t="n"/>
      <c r="I218" s="692" t="n"/>
      <c r="J218" s="692" t="n"/>
      <c r="K218" s="692" t="n"/>
      <c r="L218" s="692" t="n"/>
      <c r="M218" s="692" t="n"/>
      <c r="N218" s="692" t="n"/>
      <c r="O218" s="692" t="n"/>
      <c r="P218" s="692" t="n"/>
      <c r="Q218" s="692" t="n"/>
      <c r="R218" s="692" t="n"/>
      <c r="S218" s="692" t="n"/>
      <c r="T218" s="692" t="n"/>
      <c r="U218" s="692" t="n"/>
      <c r="V218" s="692" t="n"/>
      <c r="W218" s="692" t="n"/>
      <c r="X218" s="692" t="n"/>
      <c r="Y218" s="692" t="n"/>
      <c r="Z218" s="692" t="n"/>
      <c r="AA218" s="692" t="n"/>
      <c r="AB218" s="692" t="n"/>
      <c r="AC218" s="692" t="n"/>
      <c r="AD218" s="692" t="n"/>
      <c r="AE218" s="692" t="n"/>
      <c r="AF218" s="692" t="n"/>
      <c r="AG218" s="692" t="n"/>
      <c r="AH218" s="692" t="n"/>
      <c r="AI218" s="692" t="n"/>
      <c r="AJ218" s="692" t="n"/>
      <c r="AK218" s="692" t="n"/>
      <c r="AL218" s="692" t="n"/>
      <c r="AM218" s="692" t="n"/>
      <c r="AN218" s="692" t="n"/>
      <c r="AO218" s="692" t="n"/>
      <c r="AP218" s="692" t="n"/>
    </row>
    <row r="219">
      <c r="A219" s="692" t="n"/>
      <c r="B219" s="692" t="n"/>
      <c r="C219" s="692" t="n"/>
      <c r="D219" s="692" t="n"/>
      <c r="E219" s="692" t="n"/>
      <c r="F219" s="692" t="n"/>
      <c r="G219" s="692" t="n"/>
      <c r="H219" s="692" t="n"/>
      <c r="I219" s="692" t="n"/>
      <c r="J219" s="692" t="n"/>
      <c r="K219" s="692" t="n"/>
      <c r="L219" s="692" t="n"/>
      <c r="M219" s="692" t="n"/>
      <c r="N219" s="692" t="n"/>
      <c r="O219" s="692" t="n"/>
      <c r="P219" s="692" t="n"/>
      <c r="Q219" s="692" t="n"/>
      <c r="R219" s="692" t="n"/>
      <c r="S219" s="692" t="n"/>
      <c r="T219" s="692" t="n"/>
      <c r="U219" s="692" t="n"/>
      <c r="V219" s="692" t="n"/>
      <c r="W219" s="692" t="n"/>
      <c r="X219" s="692" t="n"/>
      <c r="Y219" s="692" t="n"/>
      <c r="Z219" s="692" t="n"/>
      <c r="AA219" s="692" t="n"/>
      <c r="AB219" s="692" t="n"/>
      <c r="AC219" s="692" t="n"/>
      <c r="AD219" s="692" t="n"/>
      <c r="AE219" s="692" t="n"/>
      <c r="AF219" s="692" t="n"/>
      <c r="AG219" s="692" t="n"/>
      <c r="AH219" s="692" t="n"/>
      <c r="AI219" s="692" t="n"/>
      <c r="AJ219" s="692" t="n"/>
      <c r="AK219" s="692" t="n"/>
      <c r="AL219" s="692" t="n"/>
      <c r="AM219" s="692" t="n"/>
      <c r="AN219" s="692" t="n"/>
      <c r="AO219" s="692" t="n"/>
      <c r="AP219" s="692" t="n"/>
    </row>
    <row r="220">
      <c r="A220" s="692" t="n"/>
      <c r="B220" s="692" t="n"/>
      <c r="C220" s="692" t="n"/>
      <c r="D220" s="692" t="n"/>
      <c r="E220" s="692" t="n"/>
      <c r="F220" s="692" t="n"/>
      <c r="G220" s="692" t="n"/>
      <c r="H220" s="692" t="n"/>
      <c r="I220" s="692" t="n"/>
      <c r="J220" s="692" t="n"/>
      <c r="K220" s="692" t="n"/>
      <c r="L220" s="692" t="n"/>
      <c r="M220" s="692" t="n"/>
      <c r="N220" s="692" t="n"/>
      <c r="O220" s="692" t="n"/>
      <c r="P220" s="692" t="n"/>
      <c r="Q220" s="692" t="n"/>
      <c r="R220" s="692" t="n"/>
      <c r="S220" s="692" t="n"/>
      <c r="T220" s="692" t="n"/>
      <c r="U220" s="692" t="n"/>
      <c r="V220" s="692" t="n"/>
      <c r="W220" s="692" t="n"/>
      <c r="X220" s="692" t="n"/>
      <c r="Y220" s="692" t="n"/>
      <c r="Z220" s="692" t="n"/>
      <c r="AA220" s="692" t="n"/>
      <c r="AB220" s="692" t="n"/>
      <c r="AC220" s="692" t="n"/>
      <c r="AD220" s="692" t="n"/>
      <c r="AE220" s="692" t="n"/>
      <c r="AF220" s="692" t="n"/>
      <c r="AG220" s="692" t="n"/>
      <c r="AH220" s="692" t="n"/>
      <c r="AI220" s="692" t="n"/>
      <c r="AJ220" s="692" t="n"/>
      <c r="AK220" s="692" t="n"/>
      <c r="AL220" s="692" t="n"/>
      <c r="AM220" s="692" t="n"/>
      <c r="AN220" s="692" t="n"/>
      <c r="AO220" s="692" t="n"/>
      <c r="AP220" s="692" t="n"/>
    </row>
    <row r="221">
      <c r="A221" s="692" t="n"/>
      <c r="B221" s="692" t="n"/>
      <c r="C221" s="692" t="n"/>
      <c r="D221" s="692" t="n"/>
      <c r="E221" s="692" t="n"/>
      <c r="F221" s="692" t="n"/>
      <c r="G221" s="692" t="n"/>
      <c r="H221" s="692" t="n"/>
      <c r="I221" s="692" t="n"/>
      <c r="J221" s="692" t="n"/>
      <c r="K221" s="692" t="n"/>
      <c r="L221" s="692" t="n"/>
      <c r="M221" s="692" t="n"/>
      <c r="N221" s="692" t="n"/>
      <c r="O221" s="692" t="n"/>
      <c r="P221" s="692" t="n"/>
      <c r="Q221" s="692" t="n"/>
      <c r="R221" s="692" t="n"/>
      <c r="S221" s="692" t="n"/>
      <c r="T221" s="692" t="n"/>
      <c r="U221" s="692" t="n"/>
      <c r="V221" s="692" t="n"/>
      <c r="W221" s="692" t="n"/>
      <c r="X221" s="692" t="n"/>
      <c r="Y221" s="692" t="n"/>
      <c r="Z221" s="692" t="n"/>
      <c r="AA221" s="692" t="n"/>
      <c r="AB221" s="692" t="n"/>
      <c r="AC221" s="692" t="n"/>
      <c r="AD221" s="692" t="n"/>
      <c r="AE221" s="692" t="n"/>
      <c r="AF221" s="692" t="n"/>
      <c r="AG221" s="692" t="n"/>
      <c r="AH221" s="692" t="n"/>
      <c r="AI221" s="692" t="n"/>
      <c r="AJ221" s="692" t="n"/>
      <c r="AK221" s="692" t="n"/>
      <c r="AL221" s="692" t="n"/>
      <c r="AM221" s="692" t="n"/>
      <c r="AN221" s="692" t="n"/>
      <c r="AO221" s="692" t="n"/>
      <c r="AP221" s="692" t="n"/>
    </row>
    <row r="222">
      <c r="A222" s="692" t="n"/>
      <c r="B222" s="692" t="n"/>
      <c r="C222" s="692" t="n"/>
      <c r="D222" s="692" t="n"/>
      <c r="E222" s="692" t="n"/>
      <c r="F222" s="692" t="n"/>
      <c r="G222" s="692" t="n"/>
      <c r="H222" s="692" t="n"/>
      <c r="I222" s="692" t="n"/>
      <c r="J222" s="692" t="n"/>
      <c r="K222" s="692" t="n"/>
      <c r="L222" s="692" t="n"/>
      <c r="M222" s="692" t="n"/>
      <c r="N222" s="692" t="n"/>
      <c r="O222" s="692" t="n"/>
      <c r="P222" s="692" t="n"/>
      <c r="Q222" s="692" t="n"/>
      <c r="R222" s="692" t="n"/>
      <c r="S222" s="692" t="n"/>
      <c r="T222" s="692" t="n"/>
      <c r="U222" s="692" t="n"/>
      <c r="V222" s="692" t="n"/>
      <c r="W222" s="692" t="n"/>
      <c r="X222" s="692" t="n"/>
      <c r="Y222" s="692" t="n"/>
      <c r="Z222" s="692" t="n"/>
      <c r="AA222" s="692" t="n"/>
      <c r="AB222" s="692" t="n"/>
      <c r="AC222" s="692" t="n"/>
      <c r="AD222" s="692" t="n"/>
      <c r="AE222" s="692" t="n"/>
      <c r="AF222" s="692" t="n"/>
      <c r="AG222" s="692" t="n"/>
      <c r="AH222" s="692" t="n"/>
      <c r="AI222" s="692" t="n"/>
      <c r="AJ222" s="692" t="n"/>
      <c r="AK222" s="692" t="n"/>
      <c r="AL222" s="692" t="n"/>
      <c r="AM222" s="692" t="n"/>
      <c r="AN222" s="692" t="n"/>
      <c r="AO222" s="692" t="n"/>
      <c r="AP222" s="692" t="n"/>
    </row>
    <row r="223">
      <c r="A223" s="692" t="n"/>
      <c r="B223" s="692" t="n"/>
      <c r="C223" s="692" t="n"/>
      <c r="D223" s="692" t="n"/>
      <c r="E223" s="692" t="n"/>
      <c r="F223" s="692" t="n"/>
      <c r="G223" s="692" t="n"/>
      <c r="H223" s="692" t="n"/>
      <c r="I223" s="692" t="n"/>
      <c r="J223" s="692" t="n"/>
      <c r="K223" s="692" t="n"/>
      <c r="L223" s="692" t="n"/>
      <c r="M223" s="692" t="n"/>
      <c r="N223" s="692" t="n"/>
      <c r="O223" s="692" t="n"/>
      <c r="P223" s="692" t="n"/>
      <c r="Q223" s="692" t="n"/>
      <c r="R223" s="692" t="n"/>
      <c r="S223" s="692" t="n"/>
      <c r="T223" s="692" t="n"/>
      <c r="U223" s="692" t="n"/>
      <c r="V223" s="692" t="n"/>
      <c r="W223" s="692" t="n"/>
      <c r="X223" s="692" t="n"/>
      <c r="Y223" s="692" t="n"/>
      <c r="Z223" s="692" t="n"/>
      <c r="AA223" s="692" t="n"/>
      <c r="AB223" s="692" t="n"/>
      <c r="AC223" s="692" t="n"/>
      <c r="AD223" s="692" t="n"/>
      <c r="AE223" s="692" t="n"/>
      <c r="AF223" s="692" t="n"/>
      <c r="AG223" s="692" t="n"/>
      <c r="AH223" s="692" t="n"/>
      <c r="AI223" s="692" t="n"/>
      <c r="AJ223" s="692" t="n"/>
      <c r="AK223" s="692" t="n"/>
      <c r="AL223" s="692" t="n"/>
      <c r="AM223" s="692" t="n"/>
      <c r="AN223" s="692" t="n"/>
      <c r="AO223" s="692" t="n"/>
      <c r="AP223" s="692" t="n"/>
    </row>
    <row r="224">
      <c r="A224" s="692" t="n"/>
      <c r="B224" s="692" t="n"/>
      <c r="C224" s="692" t="n"/>
      <c r="D224" s="692" t="n"/>
      <c r="E224" s="692" t="n"/>
      <c r="F224" s="692" t="n"/>
      <c r="G224" s="692" t="n"/>
      <c r="H224" s="692" t="n"/>
      <c r="I224" s="692" t="n"/>
      <c r="J224" s="692" t="n"/>
      <c r="K224" s="692" t="n"/>
      <c r="L224" s="692" t="n"/>
      <c r="M224" s="692" t="n"/>
      <c r="N224" s="692" t="n"/>
      <c r="O224" s="692" t="n"/>
      <c r="P224" s="692" t="n"/>
      <c r="Q224" s="692" t="n"/>
      <c r="R224" s="692" t="n"/>
      <c r="S224" s="692" t="n"/>
      <c r="T224" s="692" t="n"/>
      <c r="U224" s="692" t="n"/>
      <c r="V224" s="692" t="n"/>
      <c r="W224" s="692" t="n"/>
      <c r="X224" s="692" t="n"/>
      <c r="Y224" s="692" t="n"/>
      <c r="Z224" s="692" t="n"/>
      <c r="AA224" s="692" t="n"/>
      <c r="AB224" s="692" t="n"/>
      <c r="AC224" s="692" t="n"/>
      <c r="AD224" s="692" t="n"/>
      <c r="AE224" s="692" t="n"/>
      <c r="AF224" s="692" t="n"/>
      <c r="AG224" s="692" t="n"/>
      <c r="AH224" s="692" t="n"/>
      <c r="AI224" s="692" t="n"/>
      <c r="AJ224" s="692" t="n"/>
      <c r="AK224" s="692" t="n"/>
      <c r="AL224" s="692" t="n"/>
      <c r="AM224" s="692" t="n"/>
      <c r="AN224" s="692" t="n"/>
      <c r="AO224" s="692" t="n"/>
      <c r="AP224" s="692" t="n"/>
    </row>
    <row r="225">
      <c r="A225" s="692" t="n"/>
      <c r="B225" s="692" t="n"/>
      <c r="C225" s="692" t="n"/>
      <c r="D225" s="692" t="n"/>
      <c r="E225" s="692" t="n"/>
      <c r="F225" s="692" t="n"/>
      <c r="G225" s="692" t="n"/>
      <c r="H225" s="692" t="n"/>
      <c r="I225" s="692" t="n"/>
      <c r="J225" s="692" t="n"/>
      <c r="K225" s="692" t="n"/>
      <c r="L225" s="692" t="n"/>
      <c r="M225" s="692" t="n"/>
      <c r="N225" s="692" t="n"/>
      <c r="O225" s="692" t="n"/>
      <c r="P225" s="692" t="n"/>
      <c r="Q225" s="692" t="n"/>
      <c r="R225" s="692" t="n"/>
      <c r="S225" s="692" t="n"/>
      <c r="T225" s="692" t="n"/>
      <c r="U225" s="692" t="n"/>
      <c r="V225" s="692" t="n"/>
      <c r="W225" s="692" t="n"/>
      <c r="X225" s="692" t="n"/>
      <c r="Y225" s="692" t="n"/>
      <c r="Z225" s="692" t="n"/>
      <c r="AA225" s="692" t="n"/>
      <c r="AB225" s="692" t="n"/>
      <c r="AC225" s="692" t="n"/>
      <c r="AD225" s="692" t="n"/>
      <c r="AE225" s="692" t="n"/>
      <c r="AF225" s="692" t="n"/>
      <c r="AG225" s="692" t="n"/>
      <c r="AH225" s="692" t="n"/>
      <c r="AI225" s="692" t="n"/>
      <c r="AJ225" s="692" t="n"/>
      <c r="AK225" s="692" t="n"/>
      <c r="AL225" s="692" t="n"/>
      <c r="AM225" s="692" t="n"/>
      <c r="AN225" s="692" t="n"/>
      <c r="AO225" s="692" t="n"/>
      <c r="AP225" s="692" t="n"/>
    </row>
    <row r="226">
      <c r="A226" s="692" t="n"/>
      <c r="B226" s="692" t="n"/>
      <c r="C226" s="692" t="n"/>
      <c r="D226" s="692" t="n"/>
      <c r="E226" s="692" t="n"/>
      <c r="F226" s="692" t="n"/>
      <c r="G226" s="692" t="n"/>
      <c r="H226" s="692" t="n"/>
      <c r="I226" s="692" t="n"/>
      <c r="J226" s="692" t="n"/>
      <c r="K226" s="692" t="n"/>
      <c r="L226" s="692" t="n"/>
      <c r="M226" s="692" t="n"/>
      <c r="N226" s="692" t="n"/>
      <c r="O226" s="692" t="n"/>
      <c r="P226" s="692" t="n"/>
      <c r="Q226" s="692" t="n"/>
      <c r="R226" s="692" t="n"/>
      <c r="S226" s="692" t="n"/>
      <c r="T226" s="692" t="n"/>
      <c r="U226" s="692" t="n"/>
      <c r="V226" s="692" t="n"/>
      <c r="W226" s="692" t="n"/>
      <c r="X226" s="692" t="n"/>
      <c r="Y226" s="692" t="n"/>
      <c r="Z226" s="692" t="n"/>
      <c r="AA226" s="692" t="n"/>
      <c r="AB226" s="692" t="n"/>
      <c r="AC226" s="692" t="n"/>
      <c r="AD226" s="692" t="n"/>
      <c r="AE226" s="692" t="n"/>
      <c r="AF226" s="692" t="n"/>
      <c r="AG226" s="692" t="n"/>
      <c r="AH226" s="692" t="n"/>
      <c r="AI226" s="692" t="n"/>
      <c r="AJ226" s="692" t="n"/>
      <c r="AK226" s="692" t="n"/>
      <c r="AL226" s="692" t="n"/>
      <c r="AM226" s="692" t="n"/>
      <c r="AN226" s="692" t="n"/>
      <c r="AO226" s="692" t="n"/>
      <c r="AP226" s="692" t="n"/>
    </row>
    <row r="227">
      <c r="A227" s="692" t="n"/>
      <c r="B227" s="692" t="n"/>
      <c r="C227" s="692" t="n"/>
      <c r="D227" s="692" t="n"/>
      <c r="E227" s="692" t="n"/>
      <c r="F227" s="692" t="n"/>
      <c r="G227" s="692" t="n"/>
      <c r="H227" s="692" t="n"/>
      <c r="I227" s="692" t="n"/>
      <c r="J227" s="692" t="n"/>
      <c r="K227" s="692" t="n"/>
      <c r="L227" s="692" t="n"/>
      <c r="M227" s="692" t="n"/>
      <c r="N227" s="692" t="n"/>
      <c r="O227" s="692" t="n"/>
      <c r="P227" s="692" t="n"/>
      <c r="Q227" s="692" t="n"/>
      <c r="R227" s="692" t="n"/>
      <c r="S227" s="692" t="n"/>
      <c r="T227" s="692" t="n"/>
      <c r="U227" s="692" t="n"/>
      <c r="V227" s="692" t="n"/>
      <c r="W227" s="692" t="n"/>
      <c r="X227" s="692" t="n"/>
      <c r="Y227" s="692" t="n"/>
      <c r="Z227" s="692" t="n"/>
      <c r="AA227" s="692" t="n"/>
      <c r="AB227" s="692" t="n"/>
      <c r="AC227" s="692" t="n"/>
      <c r="AD227" s="692" t="n"/>
      <c r="AE227" s="692" t="n"/>
      <c r="AF227" s="692" t="n"/>
      <c r="AG227" s="692" t="n"/>
      <c r="AH227" s="692" t="n"/>
      <c r="AI227" s="692" t="n"/>
      <c r="AJ227" s="692" t="n"/>
      <c r="AK227" s="692" t="n"/>
      <c r="AL227" s="692" t="n"/>
      <c r="AM227" s="692" t="n"/>
      <c r="AN227" s="692" t="n"/>
      <c r="AO227" s="692" t="n"/>
      <c r="AP227" s="692" t="n"/>
    </row>
    <row r="228">
      <c r="A228" s="692" t="n"/>
      <c r="B228" s="692" t="n"/>
      <c r="C228" s="692" t="n"/>
      <c r="D228" s="692" t="n"/>
      <c r="E228" s="692" t="n"/>
      <c r="F228" s="692" t="n"/>
      <c r="G228" s="692" t="n"/>
      <c r="H228" s="692" t="n"/>
      <c r="I228" s="692" t="n"/>
      <c r="J228" s="692" t="n"/>
      <c r="K228" s="692" t="n"/>
      <c r="L228" s="692" t="n"/>
      <c r="M228" s="692" t="n"/>
      <c r="N228" s="692" t="n"/>
      <c r="O228" s="692" t="n"/>
      <c r="P228" s="692" t="n"/>
      <c r="Q228" s="692" t="n"/>
      <c r="R228" s="692" t="n"/>
      <c r="S228" s="692" t="n"/>
      <c r="T228" s="692" t="n"/>
      <c r="U228" s="692" t="n"/>
      <c r="V228" s="692" t="n"/>
      <c r="W228" s="692" t="n"/>
      <c r="X228" s="692" t="n"/>
      <c r="Y228" s="692" t="n"/>
      <c r="Z228" s="692" t="n"/>
      <c r="AA228" s="692" t="n"/>
      <c r="AB228" s="692" t="n"/>
      <c r="AC228" s="692" t="n"/>
      <c r="AD228" s="692" t="n"/>
      <c r="AE228" s="692" t="n"/>
      <c r="AF228" s="692" t="n"/>
      <c r="AG228" s="692" t="n"/>
      <c r="AH228" s="692" t="n"/>
      <c r="AI228" s="692" t="n"/>
      <c r="AJ228" s="692" t="n"/>
      <c r="AK228" s="692" t="n"/>
      <c r="AL228" s="692" t="n"/>
      <c r="AM228" s="692" t="n"/>
      <c r="AN228" s="692" t="n"/>
      <c r="AO228" s="692" t="n"/>
      <c r="AP228" s="692" t="n"/>
    </row>
    <row r="229">
      <c r="A229" s="692" t="n"/>
      <c r="B229" s="692" t="n"/>
      <c r="C229" s="692" t="n"/>
      <c r="D229" s="692" t="n"/>
      <c r="E229" s="692" t="n"/>
      <c r="F229" s="692" t="n"/>
      <c r="G229" s="692" t="n"/>
      <c r="H229" s="692" t="n"/>
      <c r="I229" s="692" t="n"/>
      <c r="J229" s="692" t="n"/>
      <c r="K229" s="692" t="n"/>
      <c r="L229" s="692" t="n"/>
      <c r="M229" s="692" t="n"/>
      <c r="N229" s="692" t="n"/>
      <c r="O229" s="692" t="n"/>
      <c r="P229" s="692" t="n"/>
      <c r="Q229" s="692" t="n"/>
      <c r="R229" s="692" t="n"/>
      <c r="S229" s="692" t="n"/>
      <c r="T229" s="692" t="n"/>
      <c r="U229" s="692" t="n"/>
      <c r="V229" s="692" t="n"/>
      <c r="W229" s="692" t="n"/>
      <c r="X229" s="692" t="n"/>
      <c r="Y229" s="692" t="n"/>
      <c r="Z229" s="692" t="n"/>
      <c r="AA229" s="692" t="n"/>
      <c r="AB229" s="692" t="n"/>
      <c r="AC229" s="692" t="n"/>
      <c r="AD229" s="692" t="n"/>
      <c r="AE229" s="692" t="n"/>
      <c r="AF229" s="692" t="n"/>
      <c r="AG229" s="692" t="n"/>
      <c r="AH229" s="692" t="n"/>
      <c r="AI229" s="692" t="n"/>
      <c r="AJ229" s="692" t="n"/>
      <c r="AK229" s="692" t="n"/>
      <c r="AL229" s="692" t="n"/>
      <c r="AM229" s="692" t="n"/>
      <c r="AN229" s="692" t="n"/>
      <c r="AO229" s="692" t="n"/>
      <c r="AP229" s="692" t="n"/>
    </row>
    <row r="230">
      <c r="A230" s="692" t="n"/>
      <c r="B230" s="692" t="n"/>
      <c r="C230" s="692" t="n"/>
      <c r="D230" s="692" t="n"/>
      <c r="E230" s="692" t="n"/>
      <c r="F230" s="692" t="n"/>
      <c r="G230" s="692" t="n"/>
      <c r="H230" s="692" t="n"/>
      <c r="I230" s="692" t="n"/>
      <c r="J230" s="692" t="n"/>
      <c r="K230" s="692" t="n"/>
      <c r="L230" s="692" t="n"/>
      <c r="M230" s="692" t="n"/>
      <c r="N230" s="692" t="n"/>
      <c r="O230" s="692" t="n"/>
      <c r="P230" s="692" t="n"/>
      <c r="Q230" s="692" t="n"/>
      <c r="R230" s="692" t="n"/>
      <c r="S230" s="692" t="n"/>
      <c r="T230" s="692" t="n"/>
      <c r="U230" s="692" t="n"/>
      <c r="V230" s="692" t="n"/>
      <c r="W230" s="692" t="n"/>
      <c r="X230" s="692" t="n"/>
      <c r="Y230" s="692" t="n"/>
      <c r="Z230" s="692" t="n"/>
      <c r="AA230" s="692" t="n"/>
      <c r="AB230" s="692" t="n"/>
      <c r="AC230" s="692" t="n"/>
      <c r="AD230" s="692" t="n"/>
      <c r="AE230" s="692" t="n"/>
      <c r="AF230" s="692" t="n"/>
      <c r="AG230" s="692" t="n"/>
      <c r="AH230" s="692" t="n"/>
      <c r="AI230" s="692" t="n"/>
      <c r="AJ230" s="692" t="n"/>
      <c r="AK230" s="692" t="n"/>
      <c r="AL230" s="692" t="n"/>
      <c r="AM230" s="692" t="n"/>
      <c r="AN230" s="692" t="n"/>
      <c r="AO230" s="692" t="n"/>
      <c r="AP230" s="692" t="n"/>
    </row>
    <row r="231">
      <c r="A231" s="692" t="n"/>
      <c r="B231" s="692" t="n"/>
      <c r="C231" s="692" t="n"/>
      <c r="D231" s="692" t="n"/>
      <c r="E231" s="692" t="n"/>
      <c r="F231" s="692" t="n"/>
      <c r="G231" s="692" t="n"/>
      <c r="H231" s="692" t="n"/>
      <c r="I231" s="692" t="n"/>
      <c r="J231" s="692" t="n"/>
      <c r="K231" s="692" t="n"/>
      <c r="L231" s="692" t="n"/>
      <c r="M231" s="692" t="n"/>
      <c r="N231" s="692" t="n"/>
      <c r="O231" s="692" t="n"/>
      <c r="P231" s="692" t="n"/>
      <c r="Q231" s="692" t="n"/>
      <c r="R231" s="692" t="n"/>
      <c r="S231" s="692" t="n"/>
      <c r="T231" s="692" t="n"/>
      <c r="U231" s="692" t="n"/>
      <c r="V231" s="692" t="n"/>
      <c r="W231" s="692" t="n"/>
      <c r="X231" s="692" t="n"/>
      <c r="Y231" s="692" t="n"/>
      <c r="Z231" s="692" t="n"/>
      <c r="AA231" s="692" t="n"/>
      <c r="AB231" s="692" t="n"/>
      <c r="AC231" s="692" t="n"/>
      <c r="AD231" s="692" t="n"/>
      <c r="AE231" s="692" t="n"/>
      <c r="AF231" s="692" t="n"/>
      <c r="AG231" s="692" t="n"/>
      <c r="AH231" s="692" t="n"/>
      <c r="AI231" s="692" t="n"/>
      <c r="AJ231" s="692" t="n"/>
      <c r="AK231" s="692" t="n"/>
      <c r="AL231" s="692" t="n"/>
      <c r="AM231" s="692" t="n"/>
      <c r="AN231" s="692" t="n"/>
      <c r="AO231" s="692" t="n"/>
      <c r="AP231" s="692" t="n"/>
    </row>
    <row r="232">
      <c r="A232" s="692" t="n"/>
      <c r="B232" s="692" t="n"/>
      <c r="C232" s="692" t="n"/>
      <c r="D232" s="692" t="n"/>
      <c r="E232" s="692" t="n"/>
      <c r="F232" s="692" t="n"/>
      <c r="G232" s="692" t="n"/>
      <c r="H232" s="692" t="n"/>
      <c r="I232" s="692" t="n"/>
      <c r="J232" s="692" t="n"/>
      <c r="K232" s="692" t="n"/>
      <c r="L232" s="692" t="n"/>
      <c r="M232" s="692" t="n"/>
      <c r="N232" s="692" t="n"/>
      <c r="O232" s="692" t="n"/>
      <c r="P232" s="692" t="n"/>
      <c r="Q232" s="692" t="n"/>
      <c r="R232" s="692" t="n"/>
      <c r="S232" s="692" t="n"/>
      <c r="T232" s="692" t="n"/>
      <c r="U232" s="692" t="n"/>
      <c r="V232" s="692" t="n"/>
      <c r="W232" s="692" t="n"/>
      <c r="X232" s="692" t="n"/>
      <c r="Y232" s="692" t="n"/>
      <c r="Z232" s="692" t="n"/>
      <c r="AA232" s="692" t="n"/>
      <c r="AB232" s="692" t="n"/>
      <c r="AC232" s="692" t="n"/>
      <c r="AD232" s="692" t="n"/>
      <c r="AE232" s="692" t="n"/>
      <c r="AF232" s="692" t="n"/>
      <c r="AG232" s="692" t="n"/>
      <c r="AH232" s="692" t="n"/>
      <c r="AI232" s="692" t="n"/>
      <c r="AJ232" s="692" t="n"/>
      <c r="AK232" s="692" t="n"/>
      <c r="AL232" s="692" t="n"/>
      <c r="AM232" s="692" t="n"/>
      <c r="AN232" s="692" t="n"/>
      <c r="AO232" s="692" t="n"/>
      <c r="AP232" s="692" t="n"/>
    </row>
    <row r="233">
      <c r="A233" s="692" t="n"/>
      <c r="B233" s="692" t="n"/>
      <c r="C233" s="692" t="n"/>
      <c r="D233" s="692" t="n"/>
      <c r="E233" s="692" t="n"/>
      <c r="F233" s="692" t="n"/>
      <c r="G233" s="692" t="n"/>
      <c r="H233" s="692" t="n"/>
      <c r="I233" s="692" t="n"/>
      <c r="J233" s="692" t="n"/>
      <c r="K233" s="692" t="n"/>
      <c r="L233" s="692" t="n"/>
      <c r="M233" s="692" t="n"/>
      <c r="N233" s="692" t="n"/>
      <c r="O233" s="692" t="n"/>
      <c r="P233" s="692" t="n"/>
      <c r="Q233" s="692" t="n"/>
      <c r="R233" s="692" t="n"/>
      <c r="S233" s="692" t="n"/>
      <c r="T233" s="692" t="n"/>
      <c r="U233" s="692" t="n"/>
      <c r="V233" s="692" t="n"/>
      <c r="W233" s="692" t="n"/>
      <c r="X233" s="692" t="n"/>
      <c r="Y233" s="692" t="n"/>
      <c r="Z233" s="692" t="n"/>
      <c r="AA233" s="692" t="n"/>
      <c r="AB233" s="692" t="n"/>
      <c r="AC233" s="692" t="n"/>
      <c r="AD233" s="692" t="n"/>
      <c r="AE233" s="692" t="n"/>
      <c r="AF233" s="692" t="n"/>
      <c r="AG233" s="692" t="n"/>
      <c r="AH233" s="692" t="n"/>
      <c r="AI233" s="692" t="n"/>
      <c r="AJ233" s="692" t="n"/>
      <c r="AK233" s="692" t="n"/>
      <c r="AL233" s="692" t="n"/>
      <c r="AM233" s="692" t="n"/>
      <c r="AN233" s="692" t="n"/>
      <c r="AO233" s="692" t="n"/>
      <c r="AP233" s="692" t="n"/>
    </row>
    <row r="234">
      <c r="A234" s="692" t="n"/>
      <c r="B234" s="692" t="n"/>
      <c r="C234" s="692" t="n"/>
      <c r="D234" s="692" t="n"/>
      <c r="E234" s="692" t="n"/>
      <c r="F234" s="692" t="n"/>
      <c r="G234" s="692" t="n"/>
      <c r="H234" s="692" t="n"/>
      <c r="I234" s="692" t="n"/>
      <c r="J234" s="692" t="n"/>
      <c r="K234" s="692" t="n"/>
      <c r="L234" s="692" t="n"/>
      <c r="M234" s="692" t="n"/>
      <c r="N234" s="692" t="n"/>
      <c r="O234" s="692" t="n"/>
      <c r="P234" s="692" t="n"/>
      <c r="Q234" s="692" t="n"/>
      <c r="R234" s="692" t="n"/>
      <c r="S234" s="692" t="n"/>
      <c r="T234" s="692" t="n"/>
      <c r="U234" s="692" t="n"/>
      <c r="V234" s="692" t="n"/>
      <c r="W234" s="692" t="n"/>
      <c r="X234" s="692" t="n"/>
      <c r="Y234" s="692" t="n"/>
      <c r="Z234" s="692" t="n"/>
      <c r="AA234" s="692" t="n"/>
      <c r="AB234" s="692" t="n"/>
      <c r="AC234" s="692" t="n"/>
      <c r="AD234" s="692" t="n"/>
      <c r="AE234" s="692" t="n"/>
      <c r="AF234" s="692" t="n"/>
      <c r="AG234" s="692" t="n"/>
      <c r="AH234" s="692" t="n"/>
      <c r="AI234" s="692" t="n"/>
      <c r="AJ234" s="692" t="n"/>
      <c r="AK234" s="692" t="n"/>
      <c r="AL234" s="692" t="n"/>
      <c r="AM234" s="692" t="n"/>
      <c r="AN234" s="692" t="n"/>
      <c r="AO234" s="692" t="n"/>
      <c r="AP234" s="692" t="n"/>
    </row>
    <row r="235">
      <c r="A235" s="692" t="n"/>
      <c r="B235" s="692" t="n"/>
      <c r="C235" s="692" t="n"/>
      <c r="D235" s="692" t="n"/>
      <c r="E235" s="692" t="n"/>
      <c r="F235" s="692" t="n"/>
      <c r="G235" s="692" t="n"/>
      <c r="H235" s="692" t="n"/>
      <c r="I235" s="692" t="n"/>
      <c r="J235" s="692" t="n"/>
      <c r="K235" s="692" t="n"/>
      <c r="L235" s="692" t="n"/>
      <c r="M235" s="692" t="n"/>
      <c r="N235" s="692" t="n"/>
      <c r="O235" s="692" t="n"/>
      <c r="P235" s="692" t="n"/>
      <c r="Q235" s="692" t="n"/>
      <c r="R235" s="692" t="n"/>
      <c r="S235" s="692" t="n"/>
      <c r="T235" s="692" t="n"/>
      <c r="U235" s="692" t="n"/>
      <c r="V235" s="692" t="n"/>
      <c r="W235" s="692" t="n"/>
      <c r="X235" s="692" t="n"/>
      <c r="Y235" s="692" t="n"/>
      <c r="Z235" s="692" t="n"/>
      <c r="AA235" s="692" t="n"/>
      <c r="AB235" s="692" t="n"/>
      <c r="AC235" s="692" t="n"/>
      <c r="AD235" s="692" t="n"/>
      <c r="AE235" s="692" t="n"/>
      <c r="AF235" s="692" t="n"/>
      <c r="AG235" s="692" t="n"/>
      <c r="AH235" s="692" t="n"/>
      <c r="AI235" s="692" t="n"/>
      <c r="AJ235" s="692" t="n"/>
      <c r="AK235" s="692" t="n"/>
      <c r="AL235" s="692" t="n"/>
      <c r="AM235" s="692" t="n"/>
      <c r="AN235" s="692" t="n"/>
      <c r="AO235" s="692" t="n"/>
      <c r="AP235" s="692" t="n"/>
    </row>
    <row r="236">
      <c r="A236" s="692" t="n"/>
      <c r="B236" s="692" t="n"/>
      <c r="C236" s="692" t="n"/>
      <c r="D236" s="692" t="n"/>
      <c r="E236" s="692" t="n"/>
      <c r="F236" s="692" t="n"/>
      <c r="G236" s="692" t="n"/>
      <c r="H236" s="692" t="n"/>
      <c r="I236" s="692" t="n"/>
      <c r="J236" s="692" t="n"/>
      <c r="K236" s="692" t="n"/>
      <c r="L236" s="692" t="n"/>
      <c r="M236" s="692" t="n"/>
      <c r="N236" s="692" t="n"/>
      <c r="O236" s="692" t="n"/>
      <c r="P236" s="692" t="n"/>
      <c r="Q236" s="692" t="n"/>
      <c r="R236" s="692" t="n"/>
      <c r="S236" s="692" t="n"/>
      <c r="T236" s="692" t="n"/>
      <c r="U236" s="692" t="n"/>
      <c r="V236" s="692" t="n"/>
      <c r="W236" s="692" t="n"/>
      <c r="X236" s="692" t="n"/>
      <c r="Y236" s="692" t="n"/>
      <c r="Z236" s="692" t="n"/>
      <c r="AA236" s="692" t="n"/>
      <c r="AB236" s="692" t="n"/>
      <c r="AC236" s="692" t="n"/>
      <c r="AD236" s="692" t="n"/>
      <c r="AE236" s="692" t="n"/>
      <c r="AF236" s="692" t="n"/>
      <c r="AG236" s="692" t="n"/>
      <c r="AH236" s="692" t="n"/>
      <c r="AI236" s="692" t="n"/>
      <c r="AJ236" s="692" t="n"/>
      <c r="AK236" s="692" t="n"/>
      <c r="AL236" s="692" t="n"/>
      <c r="AM236" s="692" t="n"/>
      <c r="AN236" s="692" t="n"/>
      <c r="AO236" s="692" t="n"/>
      <c r="AP236" s="692" t="n"/>
    </row>
    <row r="237">
      <c r="A237" s="692" t="n"/>
      <c r="B237" s="692" t="n"/>
      <c r="C237" s="692" t="n"/>
      <c r="D237" s="692" t="n"/>
      <c r="E237" s="692" t="n"/>
      <c r="F237" s="692" t="n"/>
      <c r="G237" s="692" t="n"/>
      <c r="H237" s="692" t="n"/>
      <c r="I237" s="692" t="n"/>
      <c r="J237" s="692" t="n"/>
      <c r="K237" s="692" t="n"/>
      <c r="L237" s="692" t="n"/>
      <c r="M237" s="692" t="n"/>
      <c r="N237" s="692" t="n"/>
      <c r="O237" s="692" t="n"/>
      <c r="P237" s="692" t="n"/>
      <c r="Q237" s="692" t="n"/>
      <c r="R237" s="692" t="n"/>
      <c r="S237" s="692" t="n"/>
      <c r="T237" s="692" t="n"/>
      <c r="U237" s="692" t="n"/>
      <c r="V237" s="692" t="n"/>
      <c r="W237" s="692" t="n"/>
      <c r="X237" s="692" t="n"/>
      <c r="Y237" s="692" t="n"/>
      <c r="Z237" s="692" t="n"/>
      <c r="AA237" s="692" t="n"/>
      <c r="AB237" s="692" t="n"/>
      <c r="AC237" s="692" t="n"/>
      <c r="AD237" s="692" t="n"/>
      <c r="AE237" s="692" t="n"/>
      <c r="AF237" s="692" t="n"/>
      <c r="AG237" s="692" t="n"/>
      <c r="AH237" s="692" t="n"/>
      <c r="AI237" s="692" t="n"/>
      <c r="AJ237" s="692" t="n"/>
      <c r="AK237" s="692" t="n"/>
      <c r="AL237" s="692" t="n"/>
      <c r="AM237" s="692" t="n"/>
      <c r="AN237" s="692" t="n"/>
      <c r="AO237" s="692" t="n"/>
      <c r="AP237" s="692" t="n"/>
    </row>
    <row r="238">
      <c r="A238" s="692" t="n"/>
      <c r="B238" s="692" t="n"/>
      <c r="C238" s="692" t="n"/>
      <c r="D238" s="692" t="n"/>
      <c r="E238" s="692" t="n"/>
      <c r="F238" s="692" t="n"/>
      <c r="G238" s="692" t="n"/>
      <c r="H238" s="692" t="n"/>
      <c r="I238" s="692" t="n"/>
      <c r="J238" s="692" t="n"/>
      <c r="K238" s="692" t="n"/>
      <c r="L238" s="692" t="n"/>
      <c r="M238" s="692" t="n"/>
      <c r="N238" s="692" t="n"/>
      <c r="O238" s="692" t="n"/>
      <c r="P238" s="692" t="n"/>
      <c r="Q238" s="692" t="n"/>
      <c r="R238" s="692" t="n"/>
      <c r="S238" s="692" t="n"/>
      <c r="T238" s="692" t="n"/>
      <c r="U238" s="692" t="n"/>
      <c r="V238" s="692" t="n"/>
      <c r="W238" s="692" t="n"/>
      <c r="X238" s="692" t="n"/>
      <c r="Y238" s="692" t="n"/>
      <c r="Z238" s="692" t="n"/>
      <c r="AA238" s="692" t="n"/>
      <c r="AB238" s="692" t="n"/>
      <c r="AC238" s="692" t="n"/>
      <c r="AD238" s="692" t="n"/>
      <c r="AE238" s="692" t="n"/>
      <c r="AF238" s="692" t="n"/>
      <c r="AG238" s="692" t="n"/>
      <c r="AH238" s="692" t="n"/>
      <c r="AI238" s="692" t="n"/>
      <c r="AJ238" s="692" t="n"/>
      <c r="AK238" s="692" t="n"/>
      <c r="AL238" s="692" t="n"/>
      <c r="AM238" s="692" t="n"/>
      <c r="AN238" s="692" t="n"/>
      <c r="AO238" s="692" t="n"/>
      <c r="AP238" s="692" t="n"/>
    </row>
    <row r="239">
      <c r="A239" s="692" t="n"/>
      <c r="B239" s="692" t="n"/>
      <c r="C239" s="692" t="n"/>
      <c r="D239" s="692" t="n"/>
      <c r="E239" s="692" t="n"/>
      <c r="F239" s="692" t="n"/>
      <c r="G239" s="692" t="n"/>
      <c r="H239" s="692" t="n"/>
      <c r="I239" s="692" t="n"/>
      <c r="J239" s="692" t="n"/>
      <c r="K239" s="692" t="n"/>
      <c r="L239" s="692" t="n"/>
      <c r="M239" s="692" t="n"/>
      <c r="N239" s="692" t="n"/>
      <c r="O239" s="692" t="n"/>
      <c r="P239" s="692" t="n"/>
      <c r="Q239" s="692" t="n"/>
      <c r="R239" s="692" t="n"/>
      <c r="S239" s="692" t="n"/>
      <c r="T239" s="692" t="n"/>
      <c r="U239" s="692" t="n"/>
      <c r="V239" s="692" t="n"/>
      <c r="W239" s="692" t="n"/>
      <c r="X239" s="692" t="n"/>
      <c r="Y239" s="692" t="n"/>
      <c r="Z239" s="692" t="n"/>
      <c r="AA239" s="692" t="n"/>
      <c r="AB239" s="692" t="n"/>
      <c r="AC239" s="692" t="n"/>
      <c r="AD239" s="692" t="n"/>
      <c r="AE239" s="692" t="n"/>
      <c r="AF239" s="692" t="n"/>
      <c r="AG239" s="692" t="n"/>
      <c r="AH239" s="692" t="n"/>
      <c r="AI239" s="692" t="n"/>
      <c r="AJ239" s="692" t="n"/>
      <c r="AK239" s="692" t="n"/>
      <c r="AL239" s="692" t="n"/>
      <c r="AM239" s="692" t="n"/>
      <c r="AN239" s="692" t="n"/>
      <c r="AO239" s="692" t="n"/>
      <c r="AP239" s="692" t="n"/>
    </row>
    <row r="240">
      <c r="A240" s="692" t="n"/>
      <c r="B240" s="692" t="n"/>
      <c r="C240" s="692" t="n"/>
      <c r="D240" s="692" t="n"/>
      <c r="E240" s="692" t="n"/>
      <c r="F240" s="692" t="n"/>
      <c r="G240" s="692" t="n"/>
      <c r="H240" s="692" t="n"/>
      <c r="I240" s="692" t="n"/>
      <c r="J240" s="692" t="n"/>
      <c r="K240" s="692" t="n"/>
      <c r="L240" s="692" t="n"/>
      <c r="M240" s="692" t="n"/>
      <c r="N240" s="692" t="n"/>
      <c r="O240" s="692" t="n"/>
      <c r="P240" s="692" t="n"/>
      <c r="Q240" s="692" t="n"/>
      <c r="R240" s="692" t="n"/>
      <c r="S240" s="692" t="n"/>
      <c r="T240" s="692" t="n"/>
      <c r="U240" s="692" t="n"/>
      <c r="V240" s="692" t="n"/>
      <c r="W240" s="692" t="n"/>
      <c r="X240" s="692" t="n"/>
      <c r="Y240" s="692" t="n"/>
      <c r="Z240" s="692" t="n"/>
      <c r="AA240" s="692" t="n"/>
      <c r="AB240" s="692" t="n"/>
      <c r="AC240" s="692" t="n"/>
      <c r="AD240" s="692" t="n"/>
      <c r="AE240" s="692" t="n"/>
      <c r="AF240" s="692" t="n"/>
      <c r="AG240" s="692" t="n"/>
      <c r="AH240" s="692" t="n"/>
      <c r="AI240" s="692" t="n"/>
      <c r="AJ240" s="692" t="n"/>
      <c r="AK240" s="692" t="n"/>
      <c r="AL240" s="692" t="n"/>
      <c r="AM240" s="692" t="n"/>
      <c r="AN240" s="692" t="n"/>
      <c r="AO240" s="692" t="n"/>
      <c r="AP240" s="692" t="n"/>
    </row>
    <row r="241">
      <c r="A241" s="692" t="n"/>
      <c r="B241" s="692" t="n"/>
      <c r="C241" s="692" t="n"/>
      <c r="D241" s="692" t="n"/>
      <c r="E241" s="692" t="n"/>
      <c r="F241" s="692" t="n"/>
      <c r="G241" s="692" t="n"/>
      <c r="H241" s="692" t="n"/>
      <c r="I241" s="692" t="n"/>
      <c r="J241" s="692" t="n"/>
      <c r="K241" s="692" t="n"/>
      <c r="L241" s="692" t="n"/>
      <c r="M241" s="692" t="n"/>
      <c r="N241" s="692" t="n"/>
      <c r="O241" s="692" t="n"/>
      <c r="P241" s="692" t="n"/>
      <c r="Q241" s="692" t="n"/>
      <c r="R241" s="692" t="n"/>
      <c r="S241" s="692" t="n"/>
      <c r="T241" s="692" t="n"/>
      <c r="U241" s="692" t="n"/>
      <c r="V241" s="692" t="n"/>
      <c r="W241" s="692" t="n"/>
      <c r="X241" s="692" t="n"/>
      <c r="Y241" s="692" t="n"/>
      <c r="Z241" s="692" t="n"/>
      <c r="AA241" s="692" t="n"/>
      <c r="AB241" s="692" t="n"/>
      <c r="AC241" s="692" t="n"/>
      <c r="AD241" s="692" t="n"/>
      <c r="AE241" s="692" t="n"/>
      <c r="AF241" s="692" t="n"/>
      <c r="AG241" s="692" t="n"/>
      <c r="AH241" s="692" t="n"/>
      <c r="AI241" s="692" t="n"/>
      <c r="AJ241" s="692" t="n"/>
      <c r="AK241" s="692" t="n"/>
      <c r="AL241" s="692" t="n"/>
      <c r="AM241" s="692" t="n"/>
      <c r="AN241" s="692" t="n"/>
      <c r="AO241" s="692" t="n"/>
      <c r="AP241" s="692" t="n"/>
    </row>
    <row r="242">
      <c r="A242" s="692" t="n"/>
      <c r="B242" s="692" t="n"/>
      <c r="C242" s="692" t="n"/>
      <c r="D242" s="692" t="n"/>
      <c r="E242" s="692" t="n"/>
      <c r="F242" s="692" t="n"/>
      <c r="G242" s="692" t="n"/>
      <c r="H242" s="692" t="n"/>
      <c r="I242" s="692" t="n"/>
      <c r="J242" s="692" t="n"/>
      <c r="K242" s="692" t="n"/>
      <c r="L242" s="692" t="n"/>
      <c r="M242" s="692" t="n"/>
      <c r="N242" s="692" t="n"/>
      <c r="O242" s="692" t="n"/>
      <c r="P242" s="692" t="n"/>
      <c r="Q242" s="692" t="n"/>
      <c r="R242" s="692" t="n"/>
      <c r="S242" s="692" t="n"/>
      <c r="T242" s="692" t="n"/>
      <c r="U242" s="692" t="n"/>
      <c r="V242" s="692" t="n"/>
      <c r="W242" s="692" t="n"/>
      <c r="X242" s="692" t="n"/>
      <c r="Y242" s="692" t="n"/>
      <c r="Z242" s="692" t="n"/>
      <c r="AA242" s="692" t="n"/>
      <c r="AB242" s="692" t="n"/>
      <c r="AC242" s="692" t="n"/>
      <c r="AD242" s="692" t="n"/>
      <c r="AE242" s="692" t="n"/>
      <c r="AF242" s="692" t="n"/>
      <c r="AG242" s="692" t="n"/>
      <c r="AH242" s="692" t="n"/>
      <c r="AI242" s="692" t="n"/>
      <c r="AJ242" s="692" t="n"/>
      <c r="AK242" s="692" t="n"/>
      <c r="AL242" s="692" t="n"/>
      <c r="AM242" s="692" t="n"/>
      <c r="AN242" s="692" t="n"/>
      <c r="AO242" s="692" t="n"/>
      <c r="AP242" s="692" t="n"/>
    </row>
    <row r="243">
      <c r="A243" s="692" t="n"/>
      <c r="B243" s="692" t="n"/>
      <c r="C243" s="692" t="n"/>
      <c r="D243" s="692" t="n"/>
      <c r="E243" s="692" t="n"/>
      <c r="F243" s="692" t="n"/>
      <c r="G243" s="692" t="n"/>
      <c r="H243" s="692" t="n"/>
      <c r="I243" s="692" t="n"/>
      <c r="J243" s="692" t="n"/>
      <c r="K243" s="692" t="n"/>
      <c r="L243" s="692" t="n"/>
      <c r="M243" s="692" t="n"/>
      <c r="N243" s="692" t="n"/>
      <c r="O243" s="692" t="n"/>
      <c r="P243" s="692" t="n"/>
      <c r="Q243" s="692" t="n"/>
      <c r="R243" s="692" t="n"/>
      <c r="S243" s="692" t="n"/>
      <c r="T243" s="692" t="n"/>
      <c r="U243" s="692" t="n"/>
      <c r="V243" s="692" t="n"/>
      <c r="W243" s="692" t="n"/>
      <c r="X243" s="692" t="n"/>
      <c r="Y243" s="692" t="n"/>
      <c r="Z243" s="692" t="n"/>
      <c r="AA243" s="692" t="n"/>
      <c r="AB243" s="692" t="n"/>
      <c r="AC243" s="692" t="n"/>
      <c r="AD243" s="692" t="n"/>
      <c r="AE243" s="692" t="n"/>
      <c r="AF243" s="692" t="n"/>
      <c r="AG243" s="692" t="n"/>
      <c r="AH243" s="692" t="n"/>
      <c r="AI243" s="692" t="n"/>
      <c r="AJ243" s="692" t="n"/>
      <c r="AK243" s="692" t="n"/>
      <c r="AL243" s="692" t="n"/>
      <c r="AM243" s="692" t="n"/>
      <c r="AN243" s="692" t="n"/>
      <c r="AO243" s="692" t="n"/>
      <c r="AP243" s="692" t="n"/>
    </row>
    <row r="244">
      <c r="A244" s="692" t="n"/>
      <c r="B244" s="692" t="n"/>
      <c r="C244" s="692" t="n"/>
      <c r="D244" s="692" t="n"/>
      <c r="E244" s="692" t="n"/>
      <c r="F244" s="692" t="n"/>
      <c r="G244" s="692" t="n"/>
      <c r="H244" s="692" t="n"/>
      <c r="I244" s="692" t="n"/>
      <c r="J244" s="692" t="n"/>
      <c r="K244" s="692" t="n"/>
      <c r="L244" s="692" t="n"/>
      <c r="M244" s="692" t="n"/>
      <c r="N244" s="692" t="n"/>
      <c r="O244" s="692" t="n"/>
      <c r="P244" s="692" t="n"/>
      <c r="Q244" s="692" t="n"/>
      <c r="R244" s="692" t="n"/>
      <c r="S244" s="692" t="n"/>
      <c r="T244" s="692" t="n"/>
      <c r="U244" s="692" t="n"/>
      <c r="V244" s="692" t="n"/>
      <c r="W244" s="692" t="n"/>
      <c r="X244" s="692" t="n"/>
      <c r="Y244" s="692" t="n"/>
      <c r="Z244" s="692" t="n"/>
      <c r="AA244" s="692" t="n"/>
      <c r="AB244" s="692" t="n"/>
      <c r="AC244" s="692" t="n"/>
      <c r="AD244" s="692" t="n"/>
      <c r="AE244" s="692" t="n"/>
      <c r="AF244" s="692" t="n"/>
      <c r="AG244" s="692" t="n"/>
      <c r="AH244" s="692" t="n"/>
      <c r="AI244" s="692" t="n"/>
      <c r="AJ244" s="692" t="n"/>
      <c r="AK244" s="692" t="n"/>
      <c r="AL244" s="692" t="n"/>
      <c r="AM244" s="692" t="n"/>
      <c r="AN244" s="692" t="n"/>
      <c r="AO244" s="692" t="n"/>
      <c r="AP244" s="692" t="n"/>
    </row>
    <row r="245">
      <c r="A245" s="692" t="n"/>
      <c r="B245" s="692" t="n"/>
      <c r="C245" s="692" t="n"/>
      <c r="D245" s="692" t="n"/>
      <c r="E245" s="692" t="n"/>
      <c r="F245" s="692" t="n"/>
      <c r="G245" s="692" t="n"/>
      <c r="H245" s="692" t="n"/>
      <c r="I245" s="692" t="n"/>
      <c r="J245" s="692" t="n"/>
      <c r="K245" s="692" t="n"/>
      <c r="L245" s="692" t="n"/>
      <c r="M245" s="692" t="n"/>
      <c r="N245" s="692" t="n"/>
      <c r="O245" s="692" t="n"/>
      <c r="P245" s="692" t="n"/>
      <c r="Q245" s="692" t="n"/>
      <c r="R245" s="692" t="n"/>
      <c r="S245" s="692" t="n"/>
      <c r="T245" s="692" t="n"/>
      <c r="U245" s="692" t="n"/>
      <c r="V245" s="692" t="n"/>
      <c r="W245" s="692" t="n"/>
      <c r="X245" s="692" t="n"/>
      <c r="Y245" s="692" t="n"/>
      <c r="Z245" s="692" t="n"/>
      <c r="AA245" s="692" t="n"/>
      <c r="AB245" s="692" t="n"/>
      <c r="AC245" s="692" t="n"/>
      <c r="AD245" s="692" t="n"/>
      <c r="AE245" s="692" t="n"/>
      <c r="AF245" s="692" t="n"/>
      <c r="AG245" s="692" t="n"/>
      <c r="AH245" s="692" t="n"/>
      <c r="AI245" s="692" t="n"/>
      <c r="AJ245" s="692" t="n"/>
      <c r="AK245" s="692" t="n"/>
      <c r="AL245" s="692" t="n"/>
      <c r="AM245" s="692" t="n"/>
      <c r="AN245" s="692" t="n"/>
      <c r="AO245" s="692" t="n"/>
      <c r="AP245" s="692" t="n"/>
    </row>
    <row r="246">
      <c r="A246" s="692" t="n"/>
      <c r="B246" s="692" t="n"/>
      <c r="C246" s="692" t="n"/>
      <c r="D246" s="692" t="n"/>
      <c r="E246" s="692" t="n"/>
      <c r="F246" s="692" t="n"/>
      <c r="G246" s="692" t="n"/>
      <c r="H246" s="692" t="n"/>
      <c r="I246" s="692" t="n"/>
      <c r="J246" s="692" t="n"/>
      <c r="K246" s="692" t="n"/>
      <c r="L246" s="692" t="n"/>
      <c r="M246" s="692" t="n"/>
      <c r="N246" s="692" t="n"/>
      <c r="O246" s="692" t="n"/>
      <c r="P246" s="692" t="n"/>
      <c r="Q246" s="692" t="n"/>
      <c r="R246" s="692" t="n"/>
      <c r="S246" s="692" t="n"/>
      <c r="T246" s="692" t="n"/>
      <c r="U246" s="692" t="n"/>
      <c r="V246" s="692" t="n"/>
      <c r="W246" s="692" t="n"/>
      <c r="X246" s="692" t="n"/>
      <c r="Y246" s="692" t="n"/>
      <c r="Z246" s="692" t="n"/>
      <c r="AA246" s="692" t="n"/>
      <c r="AB246" s="692" t="n"/>
      <c r="AC246" s="692" t="n"/>
      <c r="AD246" s="692" t="n"/>
      <c r="AE246" s="692" t="n"/>
      <c r="AF246" s="692" t="n"/>
      <c r="AG246" s="692" t="n"/>
      <c r="AH246" s="692" t="n"/>
      <c r="AI246" s="692" t="n"/>
      <c r="AJ246" s="692" t="n"/>
      <c r="AK246" s="692" t="n"/>
      <c r="AL246" s="692" t="n"/>
      <c r="AM246" s="692" t="n"/>
      <c r="AN246" s="692" t="n"/>
      <c r="AO246" s="692" t="n"/>
      <c r="AP246" s="692" t="n"/>
    </row>
    <row r="247">
      <c r="A247" s="692" t="n"/>
      <c r="B247" s="692" t="n"/>
      <c r="C247" s="692" t="n"/>
      <c r="D247" s="692" t="n"/>
      <c r="E247" s="692" t="n"/>
      <c r="F247" s="692" t="n"/>
      <c r="G247" s="692" t="n"/>
      <c r="H247" s="692" t="n"/>
      <c r="I247" s="692" t="n"/>
      <c r="J247" s="692" t="n"/>
      <c r="K247" s="692" t="n"/>
      <c r="L247" s="692" t="n"/>
      <c r="M247" s="692" t="n"/>
      <c r="N247" s="692" t="n"/>
      <c r="O247" s="692" t="n"/>
      <c r="P247" s="692" t="n"/>
      <c r="Q247" s="692" t="n"/>
      <c r="R247" s="692" t="n"/>
      <c r="S247" s="692" t="n"/>
      <c r="T247" s="692" t="n"/>
      <c r="U247" s="692" t="n"/>
      <c r="V247" s="692" t="n"/>
      <c r="W247" s="692" t="n"/>
      <c r="X247" s="692" t="n"/>
      <c r="Y247" s="692" t="n"/>
      <c r="Z247" s="692" t="n"/>
      <c r="AA247" s="692" t="n"/>
      <c r="AB247" s="692" t="n"/>
      <c r="AC247" s="692" t="n"/>
      <c r="AD247" s="692" t="n"/>
      <c r="AE247" s="692" t="n"/>
      <c r="AF247" s="692" t="n"/>
      <c r="AG247" s="692" t="n"/>
      <c r="AH247" s="692" t="n"/>
      <c r="AI247" s="692" t="n"/>
      <c r="AJ247" s="692" t="n"/>
      <c r="AK247" s="692" t="n"/>
      <c r="AL247" s="692" t="n"/>
      <c r="AM247" s="692" t="n"/>
      <c r="AN247" s="692" t="n"/>
      <c r="AO247" s="692" t="n"/>
      <c r="AP247" s="692" t="n"/>
    </row>
    <row r="248">
      <c r="A248" s="692" t="n"/>
      <c r="B248" s="692" t="n"/>
      <c r="C248" s="692" t="n"/>
      <c r="D248" s="692" t="n"/>
      <c r="E248" s="692" t="n"/>
      <c r="F248" s="692" t="n"/>
      <c r="G248" s="692" t="n"/>
      <c r="H248" s="692" t="n"/>
      <c r="I248" s="692" t="n"/>
      <c r="J248" s="692" t="n"/>
      <c r="K248" s="692" t="n"/>
      <c r="L248" s="692" t="n"/>
      <c r="M248" s="692" t="n"/>
      <c r="N248" s="692" t="n"/>
      <c r="O248" s="692" t="n"/>
      <c r="P248" s="692" t="n"/>
      <c r="Q248" s="692" t="n"/>
      <c r="R248" s="692" t="n"/>
      <c r="S248" s="692" t="n"/>
      <c r="T248" s="692" t="n"/>
      <c r="U248" s="692" t="n"/>
      <c r="V248" s="692" t="n"/>
      <c r="W248" s="692" t="n"/>
      <c r="X248" s="692" t="n"/>
      <c r="Y248" s="692" t="n"/>
      <c r="Z248" s="692" t="n"/>
      <c r="AA248" s="692" t="n"/>
      <c r="AB248" s="692" t="n"/>
      <c r="AC248" s="692" t="n"/>
      <c r="AD248" s="692" t="n"/>
      <c r="AE248" s="692" t="n"/>
      <c r="AF248" s="692" t="n"/>
      <c r="AG248" s="692" t="n"/>
      <c r="AH248" s="692" t="n"/>
      <c r="AI248" s="692" t="n"/>
      <c r="AJ248" s="692" t="n"/>
      <c r="AK248" s="692" t="n"/>
      <c r="AL248" s="692" t="n"/>
      <c r="AM248" s="692" t="n"/>
      <c r="AN248" s="692" t="n"/>
      <c r="AO248" s="692" t="n"/>
      <c r="AP248" s="692" t="n"/>
    </row>
    <row r="249">
      <c r="A249" s="692" t="n"/>
      <c r="B249" s="692" t="n"/>
      <c r="C249" s="692" t="n"/>
      <c r="D249" s="692" t="n"/>
      <c r="E249" s="692" t="n"/>
      <c r="F249" s="692" t="n"/>
      <c r="G249" s="692" t="n"/>
      <c r="H249" s="692" t="n"/>
      <c r="I249" s="692" t="n"/>
      <c r="J249" s="692" t="n"/>
      <c r="K249" s="692" t="n"/>
      <c r="L249" s="692" t="n"/>
      <c r="M249" s="692" t="n"/>
      <c r="N249" s="692" t="n"/>
      <c r="O249" s="692" t="n"/>
      <c r="P249" s="692" t="n"/>
      <c r="Q249" s="692" t="n"/>
      <c r="R249" s="692" t="n"/>
      <c r="S249" s="692" t="n"/>
      <c r="T249" s="692" t="n"/>
      <c r="U249" s="692" t="n"/>
      <c r="V249" s="692" t="n"/>
      <c r="W249" s="692" t="n"/>
      <c r="X249" s="692" t="n"/>
      <c r="Y249" s="692" t="n"/>
      <c r="Z249" s="692" t="n"/>
      <c r="AA249" s="692" t="n"/>
      <c r="AB249" s="692" t="n"/>
      <c r="AC249" s="692" t="n"/>
      <c r="AD249" s="692" t="n"/>
      <c r="AE249" s="692" t="n"/>
      <c r="AF249" s="692" t="n"/>
      <c r="AG249" s="692" t="n"/>
      <c r="AH249" s="692" t="n"/>
      <c r="AI249" s="692" t="n"/>
      <c r="AJ249" s="692" t="n"/>
      <c r="AK249" s="692" t="n"/>
      <c r="AL249" s="692" t="n"/>
      <c r="AM249" s="692" t="n"/>
      <c r="AN249" s="692" t="n"/>
      <c r="AO249" s="692" t="n"/>
      <c r="AP249" s="692" t="n"/>
    </row>
    <row r="250">
      <c r="A250" s="692" t="n"/>
      <c r="B250" s="692" t="n"/>
      <c r="C250" s="692" t="n"/>
      <c r="D250" s="692" t="n"/>
      <c r="E250" s="692" t="n"/>
      <c r="F250" s="692" t="n"/>
      <c r="G250" s="692" t="n"/>
      <c r="H250" s="692" t="n"/>
      <c r="I250" s="692" t="n"/>
      <c r="J250" s="692" t="n"/>
      <c r="K250" s="692" t="n"/>
      <c r="L250" s="692" t="n"/>
      <c r="M250" s="692" t="n"/>
      <c r="N250" s="692" t="n"/>
      <c r="O250" s="692" t="n"/>
      <c r="P250" s="692" t="n"/>
      <c r="Q250" s="692" t="n"/>
      <c r="R250" s="692" t="n"/>
      <c r="S250" s="692" t="n"/>
      <c r="T250" s="692" t="n"/>
      <c r="U250" s="692" t="n"/>
      <c r="V250" s="692" t="n"/>
      <c r="W250" s="692" t="n"/>
      <c r="X250" s="692" t="n"/>
      <c r="Y250" s="692" t="n"/>
      <c r="Z250" s="692" t="n"/>
      <c r="AA250" s="692" t="n"/>
      <c r="AB250" s="692" t="n"/>
      <c r="AC250" s="692" t="n"/>
      <c r="AD250" s="692" t="n"/>
      <c r="AE250" s="692" t="n"/>
      <c r="AF250" s="692" t="n"/>
      <c r="AG250" s="692" t="n"/>
      <c r="AH250" s="692" t="n"/>
      <c r="AI250" s="692" t="n"/>
      <c r="AJ250" s="692" t="n"/>
      <c r="AK250" s="692" t="n"/>
      <c r="AL250" s="692" t="n"/>
      <c r="AM250" s="692" t="n"/>
      <c r="AN250" s="692" t="n"/>
      <c r="AO250" s="692" t="n"/>
      <c r="AP250" s="692" t="n"/>
    </row>
    <row r="251">
      <c r="A251" s="692" t="n"/>
      <c r="B251" s="692" t="n"/>
      <c r="C251" s="692" t="n"/>
      <c r="D251" s="692" t="n"/>
      <c r="E251" s="692" t="n"/>
      <c r="F251" s="692" t="n"/>
      <c r="G251" s="692" t="n"/>
      <c r="H251" s="692" t="n"/>
      <c r="I251" s="692" t="n"/>
      <c r="J251" s="692" t="n"/>
      <c r="K251" s="692" t="n"/>
      <c r="L251" s="692" t="n"/>
      <c r="M251" s="692" t="n"/>
      <c r="N251" s="692" t="n"/>
      <c r="O251" s="692" t="n"/>
      <c r="P251" s="692" t="n"/>
      <c r="Q251" s="692" t="n"/>
      <c r="R251" s="692" t="n"/>
      <c r="S251" s="692" t="n"/>
      <c r="T251" s="692" t="n"/>
      <c r="U251" s="692" t="n"/>
      <c r="V251" s="692" t="n"/>
      <c r="W251" s="692" t="n"/>
      <c r="X251" s="692" t="n"/>
      <c r="Y251" s="692" t="n"/>
      <c r="Z251" s="692" t="n"/>
      <c r="AA251" s="692" t="n"/>
      <c r="AB251" s="692" t="n"/>
      <c r="AC251" s="692" t="n"/>
      <c r="AD251" s="692" t="n"/>
      <c r="AE251" s="692" t="n"/>
      <c r="AF251" s="692" t="n"/>
      <c r="AG251" s="692" t="n"/>
      <c r="AH251" s="692" t="n"/>
      <c r="AI251" s="692" t="n"/>
      <c r="AJ251" s="692" t="n"/>
      <c r="AK251" s="692" t="n"/>
      <c r="AL251" s="692" t="n"/>
      <c r="AM251" s="692" t="n"/>
      <c r="AN251" s="692" t="n"/>
      <c r="AO251" s="692" t="n"/>
      <c r="AP251" s="692" t="n"/>
    </row>
    <row r="252">
      <c r="A252" s="692" t="n"/>
      <c r="B252" s="692" t="n"/>
      <c r="C252" s="692" t="n"/>
      <c r="D252" s="692" t="n"/>
      <c r="E252" s="692" t="n"/>
      <c r="F252" s="692" t="n"/>
      <c r="G252" s="692" t="n"/>
      <c r="H252" s="692" t="n"/>
      <c r="I252" s="692" t="n"/>
      <c r="J252" s="692" t="n"/>
      <c r="K252" s="692" t="n"/>
      <c r="L252" s="692" t="n"/>
      <c r="M252" s="692" t="n"/>
      <c r="N252" s="692" t="n"/>
      <c r="O252" s="692" t="n"/>
      <c r="P252" s="692" t="n"/>
      <c r="Q252" s="692" t="n"/>
      <c r="R252" s="692" t="n"/>
      <c r="S252" s="692" t="n"/>
      <c r="T252" s="692" t="n"/>
      <c r="U252" s="692" t="n"/>
      <c r="V252" s="692" t="n"/>
      <c r="W252" s="692" t="n"/>
      <c r="X252" s="692" t="n"/>
      <c r="Y252" s="692" t="n"/>
      <c r="Z252" s="692" t="n"/>
      <c r="AA252" s="692" t="n"/>
      <c r="AB252" s="692" t="n"/>
      <c r="AC252" s="692" t="n"/>
      <c r="AD252" s="692" t="n"/>
      <c r="AE252" s="692" t="n"/>
      <c r="AF252" s="692" t="n"/>
      <c r="AG252" s="692" t="n"/>
      <c r="AH252" s="692" t="n"/>
      <c r="AI252" s="692" t="n"/>
      <c r="AJ252" s="692" t="n"/>
      <c r="AK252" s="692" t="n"/>
      <c r="AL252" s="692" t="n"/>
      <c r="AM252" s="692" t="n"/>
      <c r="AN252" s="692" t="n"/>
      <c r="AO252" s="692" t="n"/>
      <c r="AP252" s="692" t="n"/>
    </row>
    <row r="253">
      <c r="A253" s="692" t="n"/>
      <c r="B253" s="692" t="n"/>
      <c r="C253" s="692" t="n"/>
      <c r="D253" s="692" t="n"/>
      <c r="E253" s="692" t="n"/>
      <c r="F253" s="692" t="n"/>
      <c r="G253" s="692" t="n"/>
      <c r="H253" s="692" t="n"/>
      <c r="I253" s="692" t="n"/>
      <c r="J253" s="692" t="n"/>
      <c r="K253" s="692" t="n"/>
      <c r="L253" s="692" t="n"/>
      <c r="M253" s="692" t="n"/>
      <c r="N253" s="692" t="n"/>
      <c r="O253" s="692" t="n"/>
      <c r="P253" s="692" t="n"/>
      <c r="Q253" s="692" t="n"/>
      <c r="R253" s="692" t="n"/>
      <c r="S253" s="692" t="n"/>
      <c r="T253" s="692" t="n"/>
      <c r="U253" s="692" t="n"/>
      <c r="V253" s="692" t="n"/>
      <c r="W253" s="692" t="n"/>
      <c r="X253" s="692" t="n"/>
      <c r="Y253" s="692" t="n"/>
      <c r="Z253" s="692" t="n"/>
      <c r="AA253" s="692" t="n"/>
      <c r="AB253" s="692" t="n"/>
      <c r="AC253" s="692" t="n"/>
      <c r="AD253" s="692" t="n"/>
      <c r="AE253" s="692" t="n"/>
      <c r="AF253" s="692" t="n"/>
      <c r="AG253" s="692" t="n"/>
      <c r="AH253" s="692" t="n"/>
      <c r="AI253" s="692" t="n"/>
      <c r="AJ253" s="692" t="n"/>
      <c r="AK253" s="692" t="n"/>
      <c r="AL253" s="692" t="n"/>
      <c r="AM253" s="692" t="n"/>
      <c r="AN253" s="692" t="n"/>
      <c r="AO253" s="692" t="n"/>
      <c r="AP253" s="692" t="n"/>
    </row>
    <row r="254">
      <c r="A254" s="692" t="n"/>
      <c r="B254" s="692" t="n"/>
      <c r="C254" s="692" t="n"/>
      <c r="D254" s="692" t="n"/>
      <c r="E254" s="692" t="n"/>
      <c r="F254" s="692" t="n"/>
      <c r="G254" s="692" t="n"/>
      <c r="H254" s="692" t="n"/>
      <c r="I254" s="692" t="n"/>
      <c r="J254" s="692" t="n"/>
      <c r="K254" s="692" t="n"/>
      <c r="L254" s="692" t="n"/>
      <c r="M254" s="692" t="n"/>
      <c r="N254" s="692" t="n"/>
      <c r="O254" s="692" t="n"/>
      <c r="P254" s="692" t="n"/>
      <c r="Q254" s="692" t="n"/>
      <c r="R254" s="692" t="n"/>
      <c r="S254" s="692" t="n"/>
      <c r="T254" s="692" t="n"/>
      <c r="U254" s="692" t="n"/>
      <c r="V254" s="692" t="n"/>
      <c r="W254" s="692" t="n"/>
      <c r="X254" s="692" t="n"/>
      <c r="Y254" s="692" t="n"/>
      <c r="Z254" s="692" t="n"/>
      <c r="AA254" s="692" t="n"/>
      <c r="AB254" s="692" t="n"/>
      <c r="AC254" s="692" t="n"/>
      <c r="AD254" s="692" t="n"/>
      <c r="AE254" s="692" t="n"/>
      <c r="AF254" s="692" t="n"/>
      <c r="AG254" s="692" t="n"/>
      <c r="AH254" s="692" t="n"/>
      <c r="AI254" s="692" t="n"/>
      <c r="AJ254" s="692" t="n"/>
      <c r="AK254" s="692" t="n"/>
      <c r="AL254" s="692" t="n"/>
      <c r="AM254" s="692" t="n"/>
      <c r="AN254" s="692" t="n"/>
      <c r="AO254" s="692" t="n"/>
      <c r="AP254" s="692" t="n"/>
    </row>
    <row r="255">
      <c r="A255" s="692" t="n"/>
      <c r="B255" s="692" t="n"/>
      <c r="C255" s="692" t="n"/>
      <c r="D255" s="692" t="n"/>
      <c r="E255" s="692" t="n"/>
      <c r="F255" s="692" t="n"/>
      <c r="G255" s="692" t="n"/>
      <c r="H255" s="692" t="n"/>
      <c r="I255" s="692" t="n"/>
      <c r="J255" s="692" t="n"/>
      <c r="K255" s="692" t="n"/>
      <c r="L255" s="692" t="n"/>
      <c r="M255" s="692" t="n"/>
      <c r="N255" s="692" t="n"/>
      <c r="O255" s="692" t="n"/>
      <c r="P255" s="692" t="n"/>
      <c r="Q255" s="692" t="n"/>
      <c r="R255" s="692" t="n"/>
      <c r="S255" s="692" t="n"/>
      <c r="T255" s="692" t="n"/>
      <c r="U255" s="692" t="n"/>
      <c r="V255" s="692" t="n"/>
      <c r="W255" s="692" t="n"/>
      <c r="X255" s="692" t="n"/>
      <c r="Y255" s="692" t="n"/>
      <c r="Z255" s="692" t="n"/>
      <c r="AA255" s="692" t="n"/>
      <c r="AB255" s="692" t="n"/>
      <c r="AC255" s="692" t="n"/>
      <c r="AD255" s="692" t="n"/>
      <c r="AE255" s="692" t="n"/>
      <c r="AF255" s="692" t="n"/>
      <c r="AG255" s="692" t="n"/>
      <c r="AH255" s="692" t="n"/>
      <c r="AI255" s="692" t="n"/>
      <c r="AJ255" s="692" t="n"/>
      <c r="AK255" s="692" t="n"/>
      <c r="AL255" s="692" t="n"/>
      <c r="AM255" s="692" t="n"/>
      <c r="AN255" s="692" t="n"/>
      <c r="AO255" s="692" t="n"/>
      <c r="AP255" s="692" t="n"/>
    </row>
    <row r="256">
      <c r="A256" s="692" t="n"/>
      <c r="B256" s="692" t="n"/>
      <c r="C256" s="692" t="n"/>
      <c r="D256" s="692" t="n"/>
      <c r="E256" s="692" t="n"/>
      <c r="F256" s="692" t="n"/>
      <c r="G256" s="692" t="n"/>
      <c r="H256" s="692" t="n"/>
      <c r="I256" s="692" t="n"/>
      <c r="J256" s="692" t="n"/>
      <c r="K256" s="692" t="n"/>
      <c r="L256" s="692" t="n"/>
      <c r="M256" s="692" t="n"/>
      <c r="N256" s="692" t="n"/>
      <c r="O256" s="692" t="n"/>
      <c r="P256" s="692" t="n"/>
      <c r="Q256" s="692" t="n"/>
      <c r="R256" s="692" t="n"/>
      <c r="S256" s="692" t="n"/>
      <c r="T256" s="692" t="n"/>
      <c r="U256" s="692" t="n"/>
      <c r="V256" s="692" t="n"/>
      <c r="W256" s="692" t="n"/>
      <c r="X256" s="692" t="n"/>
      <c r="Y256" s="692" t="n"/>
      <c r="Z256" s="692" t="n"/>
      <c r="AA256" s="692" t="n"/>
      <c r="AB256" s="692" t="n"/>
      <c r="AC256" s="692" t="n"/>
      <c r="AD256" s="692" t="n"/>
      <c r="AE256" s="692" t="n"/>
      <c r="AF256" s="692" t="n"/>
      <c r="AG256" s="692" t="n"/>
      <c r="AH256" s="692" t="n"/>
      <c r="AI256" s="692" t="n"/>
      <c r="AJ256" s="692" t="n"/>
      <c r="AK256" s="692" t="n"/>
      <c r="AL256" s="692" t="n"/>
      <c r="AM256" s="692" t="n"/>
      <c r="AN256" s="692" t="n"/>
      <c r="AO256" s="692" t="n"/>
      <c r="AP256" s="692" t="n"/>
    </row>
    <row r="257">
      <c r="A257" s="692" t="n"/>
      <c r="B257" s="692" t="n"/>
      <c r="C257" s="692" t="n"/>
      <c r="D257" s="692" t="n"/>
      <c r="E257" s="692" t="n"/>
      <c r="F257" s="692" t="n"/>
      <c r="G257" s="692" t="n"/>
      <c r="H257" s="692" t="n"/>
      <c r="I257" s="692" t="n"/>
      <c r="J257" s="692" t="n"/>
      <c r="K257" s="692" t="n"/>
      <c r="L257" s="692" t="n"/>
      <c r="M257" s="692" t="n"/>
      <c r="N257" s="692" t="n"/>
      <c r="O257" s="692" t="n"/>
      <c r="P257" s="692" t="n"/>
      <c r="Q257" s="692" t="n"/>
      <c r="R257" s="692" t="n"/>
      <c r="S257" s="692" t="n"/>
      <c r="T257" s="692" t="n"/>
      <c r="U257" s="692" t="n"/>
      <c r="V257" s="692" t="n"/>
      <c r="W257" s="692" t="n"/>
      <c r="X257" s="692" t="n"/>
      <c r="Y257" s="692" t="n"/>
      <c r="Z257" s="692" t="n"/>
      <c r="AA257" s="692" t="n"/>
      <c r="AB257" s="692" t="n"/>
      <c r="AC257" s="692" t="n"/>
      <c r="AD257" s="692" t="n"/>
      <c r="AE257" s="692" t="n"/>
      <c r="AF257" s="692" t="n"/>
      <c r="AG257" s="692" t="n"/>
      <c r="AH257" s="692" t="n"/>
      <c r="AI257" s="692" t="n"/>
      <c r="AJ257" s="692" t="n"/>
      <c r="AK257" s="692" t="n"/>
      <c r="AL257" s="692" t="n"/>
      <c r="AM257" s="692" t="n"/>
      <c r="AN257" s="692" t="n"/>
      <c r="AO257" s="692" t="n"/>
      <c r="AP257" s="692" t="n"/>
    </row>
    <row r="258">
      <c r="A258" s="692" t="n"/>
      <c r="B258" s="692" t="n"/>
      <c r="C258" s="692" t="n"/>
      <c r="D258" s="692" t="n"/>
      <c r="E258" s="692" t="n"/>
      <c r="F258" s="692" t="n"/>
      <c r="G258" s="692" t="n"/>
      <c r="H258" s="692" t="n"/>
      <c r="I258" s="692" t="n"/>
      <c r="J258" s="692" t="n"/>
      <c r="K258" s="692" t="n"/>
      <c r="L258" s="692" t="n"/>
      <c r="M258" s="692" t="n"/>
      <c r="N258" s="692" t="n"/>
      <c r="O258" s="692" t="n"/>
      <c r="P258" s="692" t="n"/>
      <c r="Q258" s="692" t="n"/>
      <c r="R258" s="692" t="n"/>
      <c r="S258" s="692" t="n"/>
      <c r="T258" s="692" t="n"/>
      <c r="U258" s="692" t="n"/>
      <c r="V258" s="692" t="n"/>
      <c r="W258" s="692" t="n"/>
      <c r="X258" s="692" t="n"/>
      <c r="Y258" s="692" t="n"/>
      <c r="Z258" s="692" t="n"/>
      <c r="AA258" s="692" t="n"/>
      <c r="AB258" s="692" t="n"/>
      <c r="AC258" s="692" t="n"/>
      <c r="AD258" s="692" t="n"/>
      <c r="AE258" s="692" t="n"/>
      <c r="AF258" s="692" t="n"/>
      <c r="AG258" s="692" t="n"/>
      <c r="AH258" s="692" t="n"/>
      <c r="AI258" s="692" t="n"/>
      <c r="AJ258" s="692" t="n"/>
      <c r="AK258" s="692" t="n"/>
      <c r="AL258" s="692" t="n"/>
      <c r="AM258" s="692" t="n"/>
      <c r="AN258" s="692" t="n"/>
      <c r="AO258" s="692" t="n"/>
      <c r="AP258" s="692" t="n"/>
    </row>
    <row r="259">
      <c r="A259" s="692" t="n"/>
      <c r="B259" s="692" t="n"/>
      <c r="C259" s="692" t="n"/>
      <c r="D259" s="692" t="n"/>
      <c r="E259" s="692" t="n"/>
      <c r="F259" s="692" t="n"/>
      <c r="G259" s="692" t="n"/>
      <c r="H259" s="692" t="n"/>
      <c r="I259" s="692" t="n"/>
      <c r="J259" s="692" t="n"/>
      <c r="K259" s="692" t="n"/>
      <c r="L259" s="692" t="n"/>
      <c r="M259" s="692" t="n"/>
      <c r="N259" s="692" t="n"/>
      <c r="O259" s="692" t="n"/>
      <c r="P259" s="692" t="n"/>
      <c r="Q259" s="692" t="n"/>
      <c r="R259" s="692" t="n"/>
      <c r="S259" s="692" t="n"/>
      <c r="T259" s="692" t="n"/>
      <c r="U259" s="692" t="n"/>
      <c r="V259" s="692" t="n"/>
      <c r="W259" s="692" t="n"/>
      <c r="X259" s="692" t="n"/>
      <c r="Y259" s="692" t="n"/>
      <c r="Z259" s="692" t="n"/>
      <c r="AA259" s="692" t="n"/>
      <c r="AB259" s="692" t="n"/>
      <c r="AC259" s="692" t="n"/>
      <c r="AD259" s="692" t="n"/>
      <c r="AE259" s="692" t="n"/>
      <c r="AF259" s="692" t="n"/>
      <c r="AG259" s="692" t="n"/>
      <c r="AH259" s="692" t="n"/>
      <c r="AI259" s="692" t="n"/>
      <c r="AJ259" s="692" t="n"/>
      <c r="AK259" s="692" t="n"/>
      <c r="AL259" s="692" t="n"/>
      <c r="AM259" s="692" t="n"/>
      <c r="AN259" s="692" t="n"/>
      <c r="AO259" s="692" t="n"/>
      <c r="AP259" s="692" t="n"/>
    </row>
    <row r="260">
      <c r="A260" s="692" t="n"/>
      <c r="B260" s="692" t="n"/>
      <c r="C260" s="692" t="n"/>
      <c r="D260" s="692" t="n"/>
      <c r="E260" s="692" t="n"/>
      <c r="F260" s="692" t="n"/>
      <c r="G260" s="692" t="n"/>
      <c r="H260" s="692" t="n"/>
      <c r="I260" s="692" t="n"/>
      <c r="J260" s="692" t="n"/>
      <c r="K260" s="692" t="n"/>
      <c r="L260" s="692" t="n"/>
      <c r="M260" s="692" t="n"/>
      <c r="N260" s="692" t="n"/>
      <c r="O260" s="692" t="n"/>
      <c r="P260" s="692" t="n"/>
      <c r="Q260" s="692" t="n"/>
      <c r="R260" s="692" t="n"/>
      <c r="S260" s="692" t="n"/>
      <c r="T260" s="692" t="n"/>
      <c r="U260" s="692" t="n"/>
      <c r="V260" s="692" t="n"/>
      <c r="W260" s="692" t="n"/>
      <c r="X260" s="692" t="n"/>
      <c r="Y260" s="692" t="n"/>
      <c r="Z260" s="692" t="n"/>
      <c r="AA260" s="692" t="n"/>
      <c r="AB260" s="692" t="n"/>
      <c r="AC260" s="692" t="n"/>
      <c r="AD260" s="692" t="n"/>
      <c r="AE260" s="692" t="n"/>
      <c r="AF260" s="692" t="n"/>
      <c r="AG260" s="692" t="n"/>
      <c r="AH260" s="692" t="n"/>
      <c r="AI260" s="692" t="n"/>
      <c r="AJ260" s="692" t="n"/>
      <c r="AK260" s="692" t="n"/>
      <c r="AL260" s="692" t="n"/>
      <c r="AM260" s="692" t="n"/>
      <c r="AN260" s="692" t="n"/>
      <c r="AO260" s="692" t="n"/>
      <c r="AP260" s="692" t="n"/>
    </row>
    <row r="261">
      <c r="A261" s="692" t="n"/>
      <c r="B261" s="692" t="n"/>
      <c r="C261" s="692" t="n"/>
      <c r="D261" s="692" t="n"/>
      <c r="E261" s="692" t="n"/>
      <c r="F261" s="692" t="n"/>
      <c r="G261" s="692" t="n"/>
      <c r="H261" s="692" t="n"/>
      <c r="I261" s="692" t="n"/>
      <c r="J261" s="692" t="n"/>
      <c r="K261" s="692" t="n"/>
      <c r="L261" s="692" t="n"/>
      <c r="M261" s="692" t="n"/>
      <c r="N261" s="692" t="n"/>
      <c r="O261" s="692" t="n"/>
      <c r="P261" s="692" t="n"/>
      <c r="Q261" s="692" t="n"/>
      <c r="R261" s="692" t="n"/>
      <c r="S261" s="692" t="n"/>
      <c r="T261" s="692" t="n"/>
      <c r="U261" s="692" t="n"/>
      <c r="V261" s="692" t="n"/>
      <c r="W261" s="692" t="n"/>
      <c r="X261" s="692" t="n"/>
      <c r="Y261" s="692" t="n"/>
      <c r="Z261" s="692" t="n"/>
      <c r="AA261" s="692" t="n"/>
      <c r="AB261" s="692" t="n"/>
      <c r="AC261" s="692" t="n"/>
      <c r="AD261" s="692" t="n"/>
      <c r="AE261" s="692" t="n"/>
      <c r="AF261" s="692" t="n"/>
      <c r="AG261" s="692" t="n"/>
      <c r="AH261" s="692" t="n"/>
      <c r="AI261" s="692" t="n"/>
      <c r="AJ261" s="692" t="n"/>
      <c r="AK261" s="692" t="n"/>
      <c r="AL261" s="692" t="n"/>
      <c r="AM261" s="692" t="n"/>
      <c r="AN261" s="692" t="n"/>
      <c r="AO261" s="692" t="n"/>
      <c r="AP261" s="692" t="n"/>
    </row>
    <row r="262">
      <c r="A262" s="692" t="n"/>
      <c r="B262" s="692" t="n"/>
      <c r="C262" s="692" t="n"/>
      <c r="D262" s="692" t="n"/>
      <c r="E262" s="692" t="n"/>
      <c r="F262" s="692" t="n"/>
      <c r="G262" s="692" t="n"/>
      <c r="H262" s="692" t="n"/>
      <c r="I262" s="692" t="n"/>
      <c r="J262" s="692" t="n"/>
      <c r="K262" s="692" t="n"/>
      <c r="L262" s="692" t="n"/>
      <c r="M262" s="692" t="n"/>
      <c r="N262" s="692" t="n"/>
      <c r="O262" s="692" t="n"/>
      <c r="P262" s="692" t="n"/>
      <c r="Q262" s="692" t="n"/>
      <c r="R262" s="692" t="n"/>
      <c r="S262" s="692" t="n"/>
      <c r="T262" s="692" t="n"/>
      <c r="U262" s="692" t="n"/>
      <c r="V262" s="692" t="n"/>
      <c r="W262" s="692" t="n"/>
      <c r="X262" s="692" t="n"/>
      <c r="Y262" s="692" t="n"/>
      <c r="Z262" s="692" t="n"/>
      <c r="AA262" s="692" t="n"/>
      <c r="AB262" s="692" t="n"/>
      <c r="AC262" s="692" t="n"/>
      <c r="AD262" s="692" t="n"/>
      <c r="AE262" s="692" t="n"/>
      <c r="AF262" s="692" t="n"/>
      <c r="AG262" s="692" t="n"/>
      <c r="AH262" s="692" t="n"/>
      <c r="AI262" s="692" t="n"/>
      <c r="AJ262" s="692" t="n"/>
      <c r="AK262" s="692" t="n"/>
      <c r="AL262" s="692" t="n"/>
      <c r="AM262" s="692" t="n"/>
      <c r="AN262" s="692" t="n"/>
      <c r="AO262" s="692" t="n"/>
      <c r="AP262" s="692" t="n"/>
    </row>
    <row r="263">
      <c r="A263" s="692" t="n"/>
      <c r="B263" s="692" t="n"/>
      <c r="C263" s="692" t="n"/>
      <c r="D263" s="692" t="n"/>
      <c r="E263" s="692" t="n"/>
      <c r="F263" s="692" t="n"/>
      <c r="G263" s="692" t="n"/>
      <c r="H263" s="692" t="n"/>
      <c r="I263" s="692" t="n"/>
      <c r="J263" s="692" t="n"/>
      <c r="K263" s="692" t="n"/>
      <c r="L263" s="692" t="n"/>
      <c r="M263" s="692" t="n"/>
      <c r="N263" s="692" t="n"/>
      <c r="O263" s="692" t="n"/>
      <c r="P263" s="692" t="n"/>
      <c r="Q263" s="692" t="n"/>
      <c r="R263" s="692" t="n"/>
      <c r="S263" s="692" t="n"/>
      <c r="T263" s="692" t="n"/>
      <c r="U263" s="692" t="n"/>
      <c r="V263" s="692" t="n"/>
      <c r="W263" s="692" t="n"/>
      <c r="X263" s="692" t="n"/>
      <c r="Y263" s="692" t="n"/>
      <c r="Z263" s="692" t="n"/>
      <c r="AA263" s="692" t="n"/>
      <c r="AB263" s="692" t="n"/>
      <c r="AC263" s="692" t="n"/>
      <c r="AD263" s="692" t="n"/>
      <c r="AE263" s="692" t="n"/>
      <c r="AF263" s="692" t="n"/>
      <c r="AG263" s="692" t="n"/>
      <c r="AH263" s="692" t="n"/>
      <c r="AI263" s="692" t="n"/>
      <c r="AJ263" s="692" t="n"/>
      <c r="AK263" s="692" t="n"/>
      <c r="AL263" s="692" t="n"/>
      <c r="AM263" s="692" t="n"/>
      <c r="AN263" s="692" t="n"/>
      <c r="AO263" s="692" t="n"/>
      <c r="AP263" s="692" t="n"/>
    </row>
    <row r="264">
      <c r="A264" s="692" t="n"/>
      <c r="B264" s="692" t="n"/>
      <c r="C264" s="692" t="n"/>
      <c r="D264" s="692" t="n"/>
      <c r="E264" s="692" t="n"/>
      <c r="F264" s="692" t="n"/>
      <c r="G264" s="692" t="n"/>
      <c r="H264" s="692" t="n"/>
      <c r="I264" s="692" t="n"/>
      <c r="J264" s="692" t="n"/>
      <c r="K264" s="692" t="n"/>
      <c r="L264" s="692" t="n"/>
      <c r="M264" s="692" t="n"/>
      <c r="N264" s="692" t="n"/>
      <c r="O264" s="692" t="n"/>
      <c r="P264" s="692" t="n"/>
      <c r="Q264" s="692" t="n"/>
      <c r="R264" s="692" t="n"/>
      <c r="S264" s="692" t="n"/>
      <c r="T264" s="692" t="n"/>
      <c r="U264" s="692" t="n"/>
      <c r="V264" s="692" t="n"/>
      <c r="W264" s="692" t="n"/>
      <c r="X264" s="692" t="n"/>
      <c r="Y264" s="692" t="n"/>
      <c r="Z264" s="692" t="n"/>
      <c r="AA264" s="692" t="n"/>
      <c r="AB264" s="692" t="n"/>
      <c r="AC264" s="692" t="n"/>
      <c r="AD264" s="692" t="n"/>
      <c r="AE264" s="692" t="n"/>
      <c r="AF264" s="692" t="n"/>
      <c r="AG264" s="692" t="n"/>
      <c r="AH264" s="692" t="n"/>
      <c r="AI264" s="692" t="n"/>
      <c r="AJ264" s="692" t="n"/>
      <c r="AK264" s="692" t="n"/>
      <c r="AL264" s="692" t="n"/>
      <c r="AM264" s="692" t="n"/>
      <c r="AN264" s="692" t="n"/>
      <c r="AO264" s="692" t="n"/>
      <c r="AP264" s="692" t="n"/>
    </row>
    <row r="265">
      <c r="A265" s="692" t="n"/>
      <c r="B265" s="692" t="n"/>
      <c r="C265" s="692" t="n"/>
      <c r="D265" s="692" t="n"/>
      <c r="E265" s="692" t="n"/>
      <c r="F265" s="692" t="n"/>
      <c r="G265" s="692" t="n"/>
      <c r="H265" s="692" t="n"/>
      <c r="I265" s="692" t="n"/>
      <c r="J265" s="692" t="n"/>
      <c r="K265" s="692" t="n"/>
      <c r="L265" s="692" t="n"/>
      <c r="M265" s="692" t="n"/>
      <c r="N265" s="692" t="n"/>
      <c r="O265" s="692" t="n"/>
      <c r="P265" s="692" t="n"/>
      <c r="Q265" s="692" t="n"/>
      <c r="R265" s="692" t="n"/>
      <c r="S265" s="692" t="n"/>
      <c r="T265" s="692" t="n"/>
      <c r="U265" s="692" t="n"/>
      <c r="V265" s="692" t="n"/>
      <c r="W265" s="692" t="n"/>
      <c r="X265" s="692" t="n"/>
      <c r="Y265" s="692" t="n"/>
      <c r="Z265" s="692" t="n"/>
      <c r="AA265" s="692" t="n"/>
      <c r="AB265" s="692" t="n"/>
      <c r="AC265" s="692" t="n"/>
      <c r="AD265" s="692" t="n"/>
      <c r="AE265" s="692" t="n"/>
      <c r="AF265" s="692" t="n"/>
      <c r="AG265" s="692" t="n"/>
      <c r="AH265" s="692" t="n"/>
      <c r="AI265" s="692" t="n"/>
      <c r="AJ265" s="692" t="n"/>
      <c r="AK265" s="692" t="n"/>
      <c r="AL265" s="692" t="n"/>
      <c r="AM265" s="692" t="n"/>
      <c r="AN265" s="692" t="n"/>
      <c r="AO265" s="692" t="n"/>
      <c r="AP265" s="692" t="n"/>
    </row>
    <row r="266">
      <c r="A266" s="692" t="n"/>
      <c r="B266" s="692" t="n"/>
      <c r="C266" s="692" t="n"/>
      <c r="D266" s="692" t="n"/>
      <c r="E266" s="692" t="n"/>
      <c r="F266" s="692" t="n"/>
      <c r="G266" s="692" t="n"/>
      <c r="H266" s="692" t="n"/>
      <c r="I266" s="692" t="n"/>
      <c r="J266" s="692" t="n"/>
      <c r="K266" s="692" t="n"/>
      <c r="L266" s="692" t="n"/>
      <c r="M266" s="692" t="n"/>
      <c r="N266" s="692" t="n"/>
      <c r="O266" s="692" t="n"/>
      <c r="P266" s="692" t="n"/>
      <c r="Q266" s="692" t="n"/>
      <c r="R266" s="692" t="n"/>
      <c r="S266" s="692" t="n"/>
      <c r="T266" s="692" t="n"/>
      <c r="U266" s="692" t="n"/>
      <c r="V266" s="692" t="n"/>
      <c r="W266" s="692" t="n"/>
      <c r="X266" s="692" t="n"/>
      <c r="Y266" s="692" t="n"/>
      <c r="Z266" s="692" t="n"/>
      <c r="AA266" s="692" t="n"/>
      <c r="AB266" s="692" t="n"/>
      <c r="AC266" s="692" t="n"/>
      <c r="AD266" s="692" t="n"/>
      <c r="AE266" s="692" t="n"/>
      <c r="AF266" s="692" t="n"/>
      <c r="AG266" s="692" t="n"/>
      <c r="AH266" s="692" t="n"/>
      <c r="AI266" s="692" t="n"/>
      <c r="AJ266" s="692" t="n"/>
      <c r="AK266" s="692" t="n"/>
      <c r="AL266" s="692" t="n"/>
      <c r="AM266" s="692" t="n"/>
      <c r="AN266" s="692" t="n"/>
      <c r="AO266" s="692" t="n"/>
      <c r="AP266" s="692" t="n"/>
    </row>
    <row r="267">
      <c r="A267" s="692" t="n"/>
      <c r="B267" s="692" t="n"/>
      <c r="C267" s="692" t="n"/>
      <c r="D267" s="692" t="n"/>
      <c r="E267" s="692" t="n"/>
      <c r="F267" s="692" t="n"/>
      <c r="G267" s="692" t="n"/>
      <c r="H267" s="692" t="n"/>
      <c r="I267" s="692" t="n"/>
      <c r="J267" s="692" t="n"/>
      <c r="K267" s="692" t="n"/>
      <c r="L267" s="692" t="n"/>
      <c r="M267" s="692" t="n"/>
      <c r="N267" s="692" t="n"/>
      <c r="O267" s="692" t="n"/>
      <c r="P267" s="692" t="n"/>
      <c r="Q267" s="692" t="n"/>
      <c r="R267" s="692" t="n"/>
      <c r="S267" s="692" t="n"/>
      <c r="T267" s="692" t="n"/>
      <c r="U267" s="692" t="n"/>
      <c r="V267" s="692" t="n"/>
      <c r="W267" s="692" t="n"/>
      <c r="X267" s="692" t="n"/>
      <c r="Y267" s="692" t="n"/>
      <c r="Z267" s="692" t="n"/>
      <c r="AA267" s="692" t="n"/>
      <c r="AB267" s="692" t="n"/>
      <c r="AC267" s="692" t="n"/>
      <c r="AD267" s="692" t="n"/>
      <c r="AE267" s="692" t="n"/>
      <c r="AF267" s="692" t="n"/>
      <c r="AG267" s="692" t="n"/>
      <c r="AH267" s="692" t="n"/>
      <c r="AI267" s="692" t="n"/>
      <c r="AJ267" s="692" t="n"/>
      <c r="AK267" s="692" t="n"/>
      <c r="AL267" s="692" t="n"/>
      <c r="AM267" s="692" t="n"/>
      <c r="AN267" s="692" t="n"/>
      <c r="AO267" s="692" t="n"/>
      <c r="AP267" s="692" t="n"/>
    </row>
    <row r="268">
      <c r="A268" s="692" t="n"/>
      <c r="B268" s="692" t="n"/>
      <c r="C268" s="692" t="n"/>
      <c r="D268" s="692" t="n"/>
      <c r="E268" s="692" t="n"/>
      <c r="F268" s="692" t="n"/>
      <c r="G268" s="692" t="n"/>
      <c r="H268" s="692" t="n"/>
      <c r="I268" s="692" t="n"/>
      <c r="J268" s="692" t="n"/>
      <c r="K268" s="692" t="n"/>
      <c r="L268" s="692" t="n"/>
      <c r="M268" s="692" t="n"/>
      <c r="N268" s="692" t="n"/>
      <c r="O268" s="692" t="n"/>
      <c r="P268" s="692" t="n"/>
      <c r="Q268" s="692" t="n"/>
      <c r="R268" s="692" t="n"/>
      <c r="S268" s="692" t="n"/>
      <c r="T268" s="692" t="n"/>
      <c r="U268" s="692" t="n"/>
      <c r="V268" s="692" t="n"/>
      <c r="W268" s="692" t="n"/>
      <c r="X268" s="692" t="n"/>
      <c r="Y268" s="692" t="n"/>
      <c r="Z268" s="692" t="n"/>
      <c r="AA268" s="692" t="n"/>
      <c r="AB268" s="692" t="n"/>
      <c r="AC268" s="692" t="n"/>
      <c r="AD268" s="692" t="n"/>
      <c r="AE268" s="692" t="n"/>
      <c r="AF268" s="692" t="n"/>
      <c r="AG268" s="692" t="n"/>
      <c r="AH268" s="692" t="n"/>
      <c r="AI268" s="692" t="n"/>
      <c r="AJ268" s="692" t="n"/>
      <c r="AK268" s="692" t="n"/>
      <c r="AL268" s="692" t="n"/>
      <c r="AM268" s="692" t="n"/>
      <c r="AN268" s="692" t="n"/>
      <c r="AO268" s="692" t="n"/>
      <c r="AP268" s="692" t="n"/>
    </row>
    <row r="269">
      <c r="A269" s="692" t="n"/>
      <c r="B269" s="692" t="n"/>
      <c r="C269" s="692" t="n"/>
      <c r="D269" s="692" t="n"/>
      <c r="E269" s="692" t="n"/>
      <c r="F269" s="692" t="n"/>
      <c r="G269" s="692" t="n"/>
      <c r="H269" s="692" t="n"/>
      <c r="I269" s="692" t="n"/>
      <c r="J269" s="692" t="n"/>
      <c r="K269" s="692" t="n"/>
      <c r="L269" s="692" t="n"/>
      <c r="M269" s="692" t="n"/>
      <c r="N269" s="692" t="n"/>
      <c r="O269" s="692" t="n"/>
      <c r="P269" s="692" t="n"/>
      <c r="Q269" s="692" t="n"/>
      <c r="R269" s="692" t="n"/>
      <c r="S269" s="692" t="n"/>
      <c r="T269" s="692" t="n"/>
      <c r="U269" s="692" t="n"/>
      <c r="V269" s="692" t="n"/>
      <c r="W269" s="692" t="n"/>
      <c r="X269" s="692" t="n"/>
      <c r="Y269" s="692" t="n"/>
      <c r="Z269" s="692" t="n"/>
      <c r="AA269" s="692" t="n"/>
      <c r="AB269" s="692" t="n"/>
      <c r="AC269" s="692" t="n"/>
      <c r="AD269" s="692" t="n"/>
      <c r="AE269" s="692" t="n"/>
      <c r="AF269" s="692" t="n"/>
      <c r="AG269" s="692" t="n"/>
      <c r="AH269" s="692" t="n"/>
      <c r="AI269" s="692" t="n"/>
      <c r="AJ269" s="692" t="n"/>
      <c r="AK269" s="692" t="n"/>
      <c r="AL269" s="692" t="n"/>
      <c r="AM269" s="692" t="n"/>
      <c r="AN269" s="692" t="n"/>
      <c r="AO269" s="692" t="n"/>
      <c r="AP269" s="692" t="n"/>
    </row>
    <row r="270">
      <c r="A270" s="692" t="n"/>
      <c r="B270" s="692" t="n"/>
      <c r="C270" s="692" t="n"/>
      <c r="D270" s="692" t="n"/>
      <c r="E270" s="692" t="n"/>
      <c r="F270" s="692" t="n"/>
      <c r="G270" s="692" t="n"/>
      <c r="H270" s="692" t="n"/>
      <c r="I270" s="692" t="n"/>
      <c r="J270" s="692" t="n"/>
      <c r="K270" s="692" t="n"/>
      <c r="L270" s="692" t="n"/>
      <c r="M270" s="692" t="n"/>
      <c r="N270" s="692" t="n"/>
      <c r="O270" s="692" t="n"/>
      <c r="P270" s="692" t="n"/>
      <c r="Q270" s="692" t="n"/>
      <c r="R270" s="692" t="n"/>
      <c r="S270" s="692" t="n"/>
      <c r="T270" s="692" t="n"/>
      <c r="U270" s="692" t="n"/>
      <c r="V270" s="692" t="n"/>
      <c r="W270" s="692" t="n"/>
      <c r="X270" s="692" t="n"/>
      <c r="Y270" s="692" t="n"/>
      <c r="Z270" s="692" t="n"/>
      <c r="AA270" s="692" t="n"/>
      <c r="AB270" s="692" t="n"/>
      <c r="AC270" s="692" t="n"/>
      <c r="AD270" s="692" t="n"/>
      <c r="AE270" s="692" t="n"/>
      <c r="AF270" s="692" t="n"/>
      <c r="AG270" s="692" t="n"/>
      <c r="AH270" s="692" t="n"/>
      <c r="AI270" s="692" t="n"/>
      <c r="AJ270" s="692" t="n"/>
      <c r="AK270" s="692" t="n"/>
      <c r="AL270" s="692" t="n"/>
      <c r="AM270" s="692" t="n"/>
      <c r="AN270" s="692" t="n"/>
      <c r="AO270" s="692" t="n"/>
      <c r="AP270" s="692" t="n"/>
    </row>
    <row r="271">
      <c r="A271" s="692" t="n"/>
      <c r="B271" s="692" t="n"/>
      <c r="C271" s="692" t="n"/>
      <c r="D271" s="692" t="n"/>
      <c r="E271" s="692" t="n"/>
      <c r="F271" s="692" t="n"/>
      <c r="G271" s="692" t="n"/>
      <c r="H271" s="692" t="n"/>
      <c r="I271" s="692" t="n"/>
      <c r="J271" s="692" t="n"/>
      <c r="K271" s="692" t="n"/>
      <c r="L271" s="692" t="n"/>
      <c r="M271" s="692" t="n"/>
      <c r="N271" s="692" t="n"/>
      <c r="O271" s="692" t="n"/>
      <c r="P271" s="692" t="n"/>
      <c r="Q271" s="692" t="n"/>
      <c r="R271" s="692" t="n"/>
      <c r="S271" s="692" t="n"/>
      <c r="T271" s="692" t="n"/>
      <c r="U271" s="692" t="n"/>
      <c r="V271" s="692" t="n"/>
      <c r="W271" s="692" t="n"/>
      <c r="X271" s="692" t="n"/>
      <c r="Y271" s="692" t="n"/>
      <c r="Z271" s="692" t="n"/>
      <c r="AA271" s="692" t="n"/>
      <c r="AB271" s="692" t="n"/>
      <c r="AC271" s="692" t="n"/>
      <c r="AD271" s="692" t="n"/>
      <c r="AE271" s="692" t="n"/>
      <c r="AF271" s="692" t="n"/>
      <c r="AG271" s="692" t="n"/>
      <c r="AH271" s="692" t="n"/>
      <c r="AI271" s="692" t="n"/>
      <c r="AJ271" s="692" t="n"/>
      <c r="AK271" s="692" t="n"/>
      <c r="AL271" s="692" t="n"/>
      <c r="AM271" s="692" t="n"/>
      <c r="AN271" s="692" t="n"/>
      <c r="AO271" s="692" t="n"/>
      <c r="AP271" s="692" t="n"/>
    </row>
    <row r="272">
      <c r="A272" s="692" t="n"/>
      <c r="B272" s="692" t="n"/>
      <c r="C272" s="692" t="n"/>
      <c r="D272" s="692" t="n"/>
      <c r="E272" s="692" t="n"/>
      <c r="F272" s="692" t="n"/>
      <c r="G272" s="692" t="n"/>
      <c r="H272" s="692" t="n"/>
      <c r="I272" s="692" t="n"/>
      <c r="J272" s="692" t="n"/>
      <c r="K272" s="692" t="n"/>
      <c r="L272" s="692" t="n"/>
      <c r="M272" s="692" t="n"/>
      <c r="N272" s="692" t="n"/>
      <c r="O272" s="692" t="n"/>
      <c r="P272" s="692" t="n"/>
      <c r="Q272" s="692" t="n"/>
      <c r="R272" s="692" t="n"/>
      <c r="S272" s="692" t="n"/>
      <c r="T272" s="692" t="n"/>
      <c r="U272" s="692" t="n"/>
      <c r="V272" s="692" t="n"/>
      <c r="W272" s="692" t="n"/>
      <c r="X272" s="692" t="n"/>
      <c r="Y272" s="692" t="n"/>
      <c r="Z272" s="692" t="n"/>
      <c r="AA272" s="692" t="n"/>
      <c r="AB272" s="692" t="n"/>
      <c r="AC272" s="692" t="n"/>
      <c r="AD272" s="692" t="n"/>
      <c r="AE272" s="692" t="n"/>
      <c r="AF272" s="692" t="n"/>
      <c r="AG272" s="692" t="n"/>
      <c r="AH272" s="692" t="n"/>
      <c r="AI272" s="692" t="n"/>
      <c r="AJ272" s="692" t="n"/>
      <c r="AK272" s="692" t="n"/>
      <c r="AL272" s="692" t="n"/>
      <c r="AM272" s="692" t="n"/>
      <c r="AN272" s="692" t="n"/>
      <c r="AO272" s="692" t="n"/>
      <c r="AP272" s="692" t="n"/>
    </row>
    <row r="273">
      <c r="A273" s="692" t="n"/>
      <c r="B273" s="692" t="n"/>
      <c r="C273" s="692" t="n"/>
      <c r="D273" s="692" t="n"/>
      <c r="E273" s="692" t="n"/>
      <c r="F273" s="692" t="n"/>
      <c r="G273" s="692" t="n"/>
      <c r="H273" s="692" t="n"/>
      <c r="I273" s="692" t="n"/>
      <c r="J273" s="692" t="n"/>
      <c r="K273" s="692" t="n"/>
      <c r="L273" s="692" t="n"/>
      <c r="M273" s="692" t="n"/>
      <c r="N273" s="692" t="n"/>
      <c r="O273" s="692" t="n"/>
      <c r="P273" s="692" t="n"/>
      <c r="Q273" s="692" t="n"/>
      <c r="R273" s="692" t="n"/>
      <c r="S273" s="692" t="n"/>
      <c r="T273" s="692" t="n"/>
      <c r="U273" s="692" t="n"/>
      <c r="V273" s="692" t="n"/>
      <c r="W273" s="692" t="n"/>
      <c r="X273" s="692" t="n"/>
      <c r="Y273" s="692" t="n"/>
      <c r="Z273" s="692" t="n"/>
      <c r="AA273" s="692" t="n"/>
      <c r="AB273" s="692" t="n"/>
      <c r="AC273" s="692" t="n"/>
      <c r="AD273" s="692" t="n"/>
      <c r="AE273" s="692" t="n"/>
      <c r="AF273" s="692" t="n"/>
      <c r="AG273" s="692" t="n"/>
      <c r="AH273" s="692" t="n"/>
      <c r="AI273" s="692" t="n"/>
      <c r="AJ273" s="692" t="n"/>
      <c r="AK273" s="692" t="n"/>
      <c r="AL273" s="692" t="n"/>
      <c r="AM273" s="692" t="n"/>
      <c r="AN273" s="692" t="n"/>
      <c r="AO273" s="692" t="n"/>
      <c r="AP273" s="692" t="n"/>
    </row>
    <row r="274">
      <c r="A274" s="692" t="n"/>
      <c r="B274" s="692" t="n"/>
      <c r="C274" s="692" t="n"/>
      <c r="D274" s="692" t="n"/>
      <c r="E274" s="692" t="n"/>
      <c r="F274" s="692" t="n"/>
      <c r="G274" s="692" t="n"/>
      <c r="H274" s="692" t="n"/>
      <c r="I274" s="692" t="n"/>
      <c r="J274" s="692" t="n"/>
      <c r="K274" s="692" t="n"/>
      <c r="L274" s="692" t="n"/>
      <c r="M274" s="692" t="n"/>
      <c r="N274" s="692" t="n"/>
      <c r="O274" s="692" t="n"/>
      <c r="P274" s="692" t="n"/>
      <c r="Q274" s="692" t="n"/>
      <c r="R274" s="692" t="n"/>
      <c r="S274" s="692" t="n"/>
      <c r="T274" s="692" t="n"/>
      <c r="U274" s="692" t="n"/>
      <c r="V274" s="692" t="n"/>
      <c r="W274" s="692" t="n"/>
      <c r="X274" s="692" t="n"/>
      <c r="Y274" s="692" t="n"/>
      <c r="Z274" s="692" t="n"/>
      <c r="AA274" s="692" t="n"/>
      <c r="AB274" s="692" t="n"/>
      <c r="AC274" s="692" t="n"/>
      <c r="AD274" s="692" t="n"/>
      <c r="AE274" s="692" t="n"/>
      <c r="AF274" s="692" t="n"/>
      <c r="AG274" s="692" t="n"/>
      <c r="AH274" s="692" t="n"/>
      <c r="AI274" s="692" t="n"/>
      <c r="AJ274" s="692" t="n"/>
      <c r="AK274" s="692" t="n"/>
      <c r="AL274" s="692" t="n"/>
      <c r="AM274" s="692" t="n"/>
      <c r="AN274" s="692" t="n"/>
      <c r="AO274" s="692" t="n"/>
      <c r="AP274" s="692" t="n"/>
    </row>
    <row r="275">
      <c r="A275" s="692" t="n"/>
      <c r="B275" s="692" t="n"/>
      <c r="C275" s="692" t="n"/>
      <c r="D275" s="692" t="n"/>
      <c r="E275" s="692" t="n"/>
      <c r="F275" s="692" t="n"/>
      <c r="G275" s="692" t="n"/>
      <c r="H275" s="692" t="n"/>
      <c r="I275" s="692" t="n"/>
      <c r="J275" s="692" t="n"/>
      <c r="K275" s="692" t="n"/>
      <c r="L275" s="692" t="n"/>
      <c r="M275" s="692" t="n"/>
      <c r="N275" s="692" t="n"/>
      <c r="O275" s="692" t="n"/>
      <c r="P275" s="692" t="n"/>
      <c r="Q275" s="692" t="n"/>
      <c r="R275" s="692" t="n"/>
      <c r="S275" s="692" t="n"/>
      <c r="T275" s="692" t="n"/>
      <c r="U275" s="692" t="n"/>
      <c r="V275" s="692" t="n"/>
      <c r="W275" s="692" t="n"/>
      <c r="X275" s="692" t="n"/>
      <c r="Y275" s="692" t="n"/>
      <c r="Z275" s="692" t="n"/>
      <c r="AA275" s="692" t="n"/>
      <c r="AB275" s="692" t="n"/>
      <c r="AC275" s="692" t="n"/>
      <c r="AD275" s="692" t="n"/>
      <c r="AE275" s="692" t="n"/>
      <c r="AF275" s="692" t="n"/>
      <c r="AG275" s="692" t="n"/>
      <c r="AH275" s="692" t="n"/>
      <c r="AI275" s="692" t="n"/>
      <c r="AJ275" s="692" t="n"/>
      <c r="AK275" s="692" t="n"/>
      <c r="AL275" s="692" t="n"/>
      <c r="AM275" s="692" t="n"/>
      <c r="AN275" s="692" t="n"/>
      <c r="AO275" s="692" t="n"/>
      <c r="AP275" s="692" t="n"/>
    </row>
    <row r="276">
      <c r="A276" s="692" t="n"/>
      <c r="B276" s="692" t="n"/>
      <c r="C276" s="692" t="n"/>
      <c r="D276" s="692" t="n"/>
      <c r="E276" s="692" t="n"/>
      <c r="F276" s="692" t="n"/>
      <c r="G276" s="692" t="n"/>
      <c r="H276" s="692" t="n"/>
      <c r="I276" s="692" t="n"/>
      <c r="J276" s="692" t="n"/>
      <c r="K276" s="692" t="n"/>
      <c r="L276" s="692" t="n"/>
      <c r="M276" s="692" t="n"/>
      <c r="N276" s="692" t="n"/>
      <c r="O276" s="692" t="n"/>
      <c r="P276" s="692" t="n"/>
      <c r="Q276" s="692" t="n"/>
      <c r="R276" s="692" t="n"/>
      <c r="S276" s="692" t="n"/>
      <c r="T276" s="692" t="n"/>
      <c r="U276" s="692" t="n"/>
      <c r="V276" s="692" t="n"/>
      <c r="W276" s="692" t="n"/>
      <c r="X276" s="692" t="n"/>
      <c r="Y276" s="692" t="n"/>
      <c r="Z276" s="692" t="n"/>
      <c r="AA276" s="692" t="n"/>
      <c r="AB276" s="692" t="n"/>
      <c r="AC276" s="692" t="n"/>
      <c r="AD276" s="692" t="n"/>
      <c r="AE276" s="692" t="n"/>
      <c r="AF276" s="692" t="n"/>
      <c r="AG276" s="692" t="n"/>
      <c r="AH276" s="692" t="n"/>
      <c r="AI276" s="692" t="n"/>
      <c r="AJ276" s="692" t="n"/>
      <c r="AK276" s="692" t="n"/>
      <c r="AL276" s="692" t="n"/>
      <c r="AM276" s="692" t="n"/>
      <c r="AN276" s="692" t="n"/>
      <c r="AO276" s="692" t="n"/>
      <c r="AP276" s="692" t="n"/>
    </row>
    <row r="277">
      <c r="A277" s="692" t="n"/>
      <c r="B277" s="692" t="n"/>
      <c r="C277" s="692" t="n"/>
      <c r="D277" s="692" t="n"/>
      <c r="E277" s="692" t="n"/>
      <c r="F277" s="692" t="n"/>
      <c r="G277" s="692" t="n"/>
      <c r="H277" s="692" t="n"/>
      <c r="I277" s="692" t="n"/>
      <c r="J277" s="692" t="n"/>
      <c r="K277" s="692" t="n"/>
      <c r="L277" s="692" t="n"/>
      <c r="M277" s="692" t="n"/>
      <c r="N277" s="692" t="n"/>
      <c r="O277" s="692" t="n"/>
      <c r="P277" s="692" t="n"/>
      <c r="Q277" s="692" t="n"/>
      <c r="R277" s="692" t="n"/>
      <c r="S277" s="692" t="n"/>
      <c r="T277" s="692" t="n"/>
      <c r="U277" s="692" t="n"/>
      <c r="V277" s="692" t="n"/>
      <c r="W277" s="692" t="n"/>
      <c r="X277" s="692" t="n"/>
      <c r="Y277" s="692" t="n"/>
      <c r="Z277" s="692" t="n"/>
      <c r="AA277" s="692" t="n"/>
      <c r="AB277" s="692" t="n"/>
      <c r="AC277" s="692" t="n"/>
      <c r="AD277" s="692" t="n"/>
      <c r="AE277" s="692" t="n"/>
      <c r="AF277" s="692" t="n"/>
      <c r="AG277" s="692" t="n"/>
      <c r="AH277" s="692" t="n"/>
      <c r="AI277" s="692" t="n"/>
      <c r="AJ277" s="692" t="n"/>
      <c r="AK277" s="692" t="n"/>
      <c r="AL277" s="692" t="n"/>
      <c r="AM277" s="692" t="n"/>
      <c r="AN277" s="692" t="n"/>
      <c r="AO277" s="692" t="n"/>
      <c r="AP277" s="692" t="n"/>
    </row>
    <row r="278">
      <c r="A278" s="692" t="n"/>
      <c r="B278" s="692" t="n"/>
      <c r="C278" s="692" t="n"/>
      <c r="D278" s="692" t="n"/>
      <c r="E278" s="692" t="n"/>
      <c r="F278" s="692" t="n"/>
      <c r="G278" s="692" t="n"/>
      <c r="H278" s="692" t="n"/>
      <c r="I278" s="692" t="n"/>
      <c r="J278" s="692" t="n"/>
      <c r="K278" s="692" t="n"/>
      <c r="L278" s="692" t="n"/>
      <c r="M278" s="692" t="n"/>
      <c r="N278" s="692" t="n"/>
      <c r="O278" s="692" t="n"/>
      <c r="P278" s="692" t="n"/>
      <c r="Q278" s="692" t="n"/>
      <c r="R278" s="692" t="n"/>
      <c r="S278" s="692" t="n"/>
      <c r="T278" s="692" t="n"/>
      <c r="U278" s="692" t="n"/>
      <c r="V278" s="692" t="n"/>
      <c r="W278" s="692" t="n"/>
      <c r="X278" s="692" t="n"/>
      <c r="Y278" s="692" t="n"/>
      <c r="Z278" s="692" t="n"/>
      <c r="AA278" s="692" t="n"/>
      <c r="AB278" s="692" t="n"/>
      <c r="AC278" s="692" t="n"/>
      <c r="AD278" s="692" t="n"/>
      <c r="AE278" s="692" t="n"/>
      <c r="AF278" s="692" t="n"/>
      <c r="AG278" s="692" t="n"/>
      <c r="AH278" s="692" t="n"/>
      <c r="AI278" s="692" t="n"/>
      <c r="AJ278" s="692" t="n"/>
      <c r="AK278" s="692" t="n"/>
      <c r="AL278" s="692" t="n"/>
      <c r="AM278" s="692" t="n"/>
      <c r="AN278" s="692" t="n"/>
      <c r="AO278" s="692" t="n"/>
      <c r="AP278" s="692" t="n"/>
    </row>
    <row r="279">
      <c r="A279" s="692" t="n"/>
      <c r="B279" s="692" t="n"/>
      <c r="C279" s="692" t="n"/>
      <c r="D279" s="692" t="n"/>
      <c r="E279" s="692" t="n"/>
      <c r="F279" s="692" t="n"/>
      <c r="G279" s="692" t="n"/>
      <c r="H279" s="692" t="n"/>
      <c r="I279" s="692" t="n"/>
      <c r="J279" s="692" t="n"/>
      <c r="K279" s="692" t="n"/>
      <c r="L279" s="692" t="n"/>
      <c r="M279" s="692" t="n"/>
      <c r="N279" s="692" t="n"/>
      <c r="O279" s="692" t="n"/>
      <c r="P279" s="692" t="n"/>
      <c r="Q279" s="692" t="n"/>
      <c r="R279" s="692" t="n"/>
      <c r="S279" s="692" t="n"/>
      <c r="T279" s="692" t="n"/>
      <c r="U279" s="692" t="n"/>
      <c r="V279" s="692" t="n"/>
      <c r="W279" s="692" t="n"/>
      <c r="X279" s="692" t="n"/>
      <c r="Y279" s="692" t="n"/>
      <c r="Z279" s="692" t="n"/>
      <c r="AA279" s="692" t="n"/>
      <c r="AB279" s="692" t="n"/>
      <c r="AC279" s="692" t="n"/>
      <c r="AD279" s="692" t="n"/>
      <c r="AE279" s="692" t="n"/>
      <c r="AF279" s="692" t="n"/>
      <c r="AG279" s="692" t="n"/>
      <c r="AH279" s="692" t="n"/>
      <c r="AI279" s="692" t="n"/>
      <c r="AJ279" s="692" t="n"/>
      <c r="AK279" s="692" t="n"/>
      <c r="AL279" s="692" t="n"/>
      <c r="AM279" s="692" t="n"/>
      <c r="AN279" s="692" t="n"/>
      <c r="AO279" s="692" t="n"/>
      <c r="AP279" s="692" t="n"/>
    </row>
    <row r="280">
      <c r="A280" s="692" t="n"/>
      <c r="B280" s="692" t="n"/>
      <c r="C280" s="692" t="n"/>
      <c r="D280" s="692" t="n"/>
      <c r="E280" s="692" t="n"/>
      <c r="F280" s="692" t="n"/>
      <c r="G280" s="692" t="n"/>
      <c r="H280" s="692" t="n"/>
      <c r="I280" s="692" t="n"/>
      <c r="J280" s="692" t="n"/>
      <c r="K280" s="692" t="n"/>
      <c r="L280" s="692" t="n"/>
      <c r="M280" s="692" t="n"/>
      <c r="N280" s="692" t="n"/>
      <c r="O280" s="692" t="n"/>
      <c r="P280" s="692" t="n"/>
      <c r="Q280" s="692" t="n"/>
      <c r="R280" s="692" t="n"/>
      <c r="S280" s="692" t="n"/>
      <c r="T280" s="692" t="n"/>
      <c r="U280" s="692" t="n"/>
      <c r="V280" s="692" t="n"/>
      <c r="W280" s="692" t="n"/>
      <c r="X280" s="692" t="n"/>
      <c r="Y280" s="692" t="n"/>
      <c r="Z280" s="692" t="n"/>
      <c r="AA280" s="692" t="n"/>
      <c r="AB280" s="692" t="n"/>
      <c r="AC280" s="692" t="n"/>
      <c r="AD280" s="692" t="n"/>
      <c r="AE280" s="692" t="n"/>
      <c r="AF280" s="692" t="n"/>
      <c r="AG280" s="692" t="n"/>
      <c r="AH280" s="692" t="n"/>
      <c r="AI280" s="692" t="n"/>
      <c r="AJ280" s="692" t="n"/>
      <c r="AK280" s="692" t="n"/>
      <c r="AL280" s="692" t="n"/>
      <c r="AM280" s="692" t="n"/>
      <c r="AN280" s="692" t="n"/>
      <c r="AO280" s="692" t="n"/>
      <c r="AP280" s="692" t="n"/>
    </row>
    <row r="281">
      <c r="A281" s="692" t="n"/>
      <c r="B281" s="692" t="n"/>
      <c r="C281" s="692" t="n"/>
      <c r="D281" s="692" t="n"/>
      <c r="E281" s="692" t="n"/>
      <c r="F281" s="692" t="n"/>
      <c r="G281" s="692" t="n"/>
      <c r="H281" s="692" t="n"/>
      <c r="I281" s="692" t="n"/>
      <c r="J281" s="692" t="n"/>
      <c r="K281" s="692" t="n"/>
      <c r="L281" s="692" t="n"/>
      <c r="M281" s="692" t="n"/>
      <c r="N281" s="692" t="n"/>
      <c r="O281" s="692" t="n"/>
      <c r="P281" s="692" t="n"/>
      <c r="Q281" s="692" t="n"/>
      <c r="R281" s="692" t="n"/>
      <c r="S281" s="692" t="n"/>
      <c r="T281" s="692" t="n"/>
      <c r="U281" s="692" t="n"/>
      <c r="V281" s="692" t="n"/>
      <c r="W281" s="692" t="n"/>
      <c r="X281" s="692" t="n"/>
      <c r="Y281" s="692" t="n"/>
      <c r="Z281" s="692" t="n"/>
      <c r="AA281" s="692" t="n"/>
      <c r="AB281" s="692" t="n"/>
      <c r="AC281" s="692" t="n"/>
      <c r="AD281" s="692" t="n"/>
      <c r="AE281" s="692" t="n"/>
      <c r="AF281" s="692" t="n"/>
      <c r="AG281" s="692" t="n"/>
      <c r="AH281" s="692" t="n"/>
      <c r="AI281" s="692" t="n"/>
      <c r="AJ281" s="692" t="n"/>
      <c r="AK281" s="692" t="n"/>
      <c r="AL281" s="692" t="n"/>
      <c r="AM281" s="692" t="n"/>
      <c r="AN281" s="692" t="n"/>
      <c r="AO281" s="692" t="n"/>
      <c r="AP281" s="692" t="n"/>
    </row>
    <row r="282">
      <c r="A282" s="692" t="n"/>
      <c r="B282" s="692" t="n"/>
      <c r="C282" s="692" t="n"/>
      <c r="D282" s="692" t="n"/>
      <c r="E282" s="692" t="n"/>
      <c r="F282" s="692" t="n"/>
      <c r="G282" s="692" t="n"/>
      <c r="H282" s="692" t="n"/>
      <c r="I282" s="692" t="n"/>
      <c r="J282" s="692" t="n"/>
      <c r="K282" s="692" t="n"/>
      <c r="L282" s="692" t="n"/>
      <c r="M282" s="692" t="n"/>
      <c r="N282" s="692" t="n"/>
      <c r="O282" s="692" t="n"/>
      <c r="P282" s="692" t="n"/>
      <c r="Q282" s="692" t="n"/>
      <c r="R282" s="692" t="n"/>
      <c r="S282" s="692" t="n"/>
      <c r="T282" s="692" t="n"/>
      <c r="U282" s="692" t="n"/>
      <c r="V282" s="692" t="n"/>
      <c r="W282" s="692" t="n"/>
      <c r="X282" s="692" t="n"/>
      <c r="Y282" s="692" t="n"/>
      <c r="Z282" s="692" t="n"/>
      <c r="AA282" s="692" t="n"/>
      <c r="AB282" s="692" t="n"/>
      <c r="AC282" s="692" t="n"/>
      <c r="AD282" s="692" t="n"/>
      <c r="AE282" s="692" t="n"/>
      <c r="AF282" s="692" t="n"/>
      <c r="AG282" s="692" t="n"/>
      <c r="AH282" s="692" t="n"/>
      <c r="AI282" s="692" t="n"/>
      <c r="AJ282" s="692" t="n"/>
      <c r="AK282" s="692" t="n"/>
      <c r="AL282" s="692" t="n"/>
      <c r="AM282" s="692" t="n"/>
      <c r="AN282" s="692" t="n"/>
      <c r="AO282" s="692" t="n"/>
      <c r="AP282" s="692" t="n"/>
    </row>
    <row r="283">
      <c r="A283" s="692" t="n"/>
      <c r="B283" s="692" t="n"/>
      <c r="C283" s="692" t="n"/>
      <c r="D283" s="692" t="n"/>
      <c r="E283" s="692" t="n"/>
      <c r="F283" s="692" t="n"/>
      <c r="G283" s="692" t="n"/>
      <c r="H283" s="692" t="n"/>
      <c r="I283" s="692" t="n"/>
      <c r="J283" s="692" t="n"/>
      <c r="K283" s="692" t="n"/>
      <c r="L283" s="692" t="n"/>
      <c r="M283" s="692" t="n"/>
      <c r="N283" s="692" t="n"/>
      <c r="O283" s="692" t="n"/>
      <c r="P283" s="692" t="n"/>
      <c r="Q283" s="692" t="n"/>
      <c r="R283" s="692" t="n"/>
      <c r="S283" s="692" t="n"/>
      <c r="T283" s="692" t="n"/>
      <c r="U283" s="692" t="n"/>
      <c r="V283" s="692" t="n"/>
      <c r="W283" s="692" t="n"/>
      <c r="X283" s="692" t="n"/>
      <c r="Y283" s="692" t="n"/>
      <c r="Z283" s="692" t="n"/>
      <c r="AA283" s="692" t="n"/>
      <c r="AB283" s="692" t="n"/>
      <c r="AC283" s="692" t="n"/>
      <c r="AD283" s="692" t="n"/>
      <c r="AE283" s="692" t="n"/>
      <c r="AF283" s="692" t="n"/>
      <c r="AG283" s="692" t="n"/>
      <c r="AH283" s="692" t="n"/>
      <c r="AI283" s="692" t="n"/>
      <c r="AJ283" s="692" t="n"/>
      <c r="AK283" s="692" t="n"/>
      <c r="AL283" s="692" t="n"/>
      <c r="AM283" s="692" t="n"/>
      <c r="AN283" s="692" t="n"/>
      <c r="AO283" s="692" t="n"/>
      <c r="AP283" s="692" t="n"/>
    </row>
    <row r="284">
      <c r="A284" s="692" t="n"/>
      <c r="B284" s="692" t="n"/>
      <c r="C284" s="692" t="n"/>
      <c r="D284" s="692" t="n"/>
      <c r="E284" s="692" t="n"/>
      <c r="F284" s="692" t="n"/>
      <c r="G284" s="692" t="n"/>
      <c r="H284" s="692" t="n"/>
      <c r="I284" s="692" t="n"/>
      <c r="J284" s="692" t="n"/>
      <c r="K284" s="692" t="n"/>
      <c r="L284" s="692" t="n"/>
      <c r="M284" s="692" t="n"/>
      <c r="N284" s="692" t="n"/>
      <c r="O284" s="692" t="n"/>
      <c r="P284" s="692" t="n"/>
      <c r="Q284" s="692" t="n"/>
      <c r="R284" s="692" t="n"/>
      <c r="S284" s="692" t="n"/>
      <c r="T284" s="692" t="n"/>
      <c r="U284" s="692" t="n"/>
      <c r="V284" s="692" t="n"/>
      <c r="W284" s="692" t="n"/>
      <c r="X284" s="692" t="n"/>
      <c r="Y284" s="692" t="n"/>
      <c r="Z284" s="692" t="n"/>
      <c r="AA284" s="692" t="n"/>
      <c r="AB284" s="692" t="n"/>
      <c r="AC284" s="692" t="n"/>
      <c r="AD284" s="692" t="n"/>
      <c r="AE284" s="692" t="n"/>
      <c r="AF284" s="692" t="n"/>
      <c r="AG284" s="692" t="n"/>
      <c r="AH284" s="692" t="n"/>
      <c r="AI284" s="692" t="n"/>
      <c r="AJ284" s="692" t="n"/>
      <c r="AK284" s="692" t="n"/>
      <c r="AL284" s="692" t="n"/>
      <c r="AM284" s="692" t="n"/>
      <c r="AN284" s="692" t="n"/>
      <c r="AO284" s="692" t="n"/>
      <c r="AP284" s="692" t="n"/>
    </row>
    <row r="285">
      <c r="A285" s="692" t="n"/>
      <c r="B285" s="692" t="n"/>
      <c r="C285" s="692" t="n"/>
      <c r="D285" s="692" t="n"/>
      <c r="E285" s="692" t="n"/>
      <c r="F285" s="692" t="n"/>
      <c r="G285" s="692" t="n"/>
      <c r="H285" s="692" t="n"/>
      <c r="I285" s="692" t="n"/>
      <c r="J285" s="692" t="n"/>
      <c r="K285" s="692" t="n"/>
      <c r="L285" s="692" t="n"/>
      <c r="M285" s="692" t="n"/>
      <c r="N285" s="692" t="n"/>
      <c r="O285" s="692" t="n"/>
      <c r="P285" s="692" t="n"/>
      <c r="Q285" s="692" t="n"/>
      <c r="R285" s="692" t="n"/>
      <c r="S285" s="692" t="n"/>
      <c r="T285" s="692" t="n"/>
      <c r="U285" s="692" t="n"/>
      <c r="V285" s="692" t="n"/>
      <c r="W285" s="692" t="n"/>
      <c r="X285" s="692" t="n"/>
      <c r="Y285" s="692" t="n"/>
      <c r="Z285" s="692" t="n"/>
      <c r="AA285" s="692" t="n"/>
      <c r="AB285" s="692" t="n"/>
      <c r="AC285" s="692" t="n"/>
      <c r="AD285" s="692" t="n"/>
      <c r="AE285" s="692" t="n"/>
      <c r="AF285" s="692" t="n"/>
      <c r="AG285" s="692" t="n"/>
      <c r="AH285" s="692" t="n"/>
      <c r="AI285" s="692" t="n"/>
      <c r="AJ285" s="692" t="n"/>
      <c r="AK285" s="692" t="n"/>
      <c r="AL285" s="692" t="n"/>
      <c r="AM285" s="692" t="n"/>
      <c r="AN285" s="692" t="n"/>
      <c r="AO285" s="692" t="n"/>
      <c r="AP285" s="692" t="n"/>
    </row>
    <row r="286">
      <c r="A286" s="692" t="n"/>
      <c r="B286" s="692" t="n"/>
      <c r="C286" s="692" t="n"/>
      <c r="D286" s="692" t="n"/>
      <c r="E286" s="692" t="n"/>
      <c r="F286" s="692" t="n"/>
      <c r="G286" s="692" t="n"/>
      <c r="H286" s="692" t="n"/>
      <c r="I286" s="692" t="n"/>
      <c r="J286" s="692" t="n"/>
      <c r="K286" s="692" t="n"/>
      <c r="L286" s="692" t="n"/>
      <c r="M286" s="692" t="n"/>
      <c r="N286" s="692" t="n"/>
      <c r="O286" s="692" t="n"/>
      <c r="P286" s="692" t="n"/>
      <c r="Q286" s="692" t="n"/>
      <c r="R286" s="692" t="n"/>
      <c r="S286" s="692" t="n"/>
      <c r="T286" s="692" t="n"/>
      <c r="U286" s="692" t="n"/>
      <c r="V286" s="692" t="n"/>
      <c r="W286" s="692" t="n"/>
      <c r="X286" s="692" t="n"/>
      <c r="Y286" s="692" t="n"/>
      <c r="Z286" s="692" t="n"/>
      <c r="AA286" s="692" t="n"/>
      <c r="AB286" s="692" t="n"/>
      <c r="AC286" s="692" t="n"/>
      <c r="AD286" s="692" t="n"/>
      <c r="AE286" s="692" t="n"/>
      <c r="AF286" s="692" t="n"/>
      <c r="AG286" s="692" t="n"/>
      <c r="AH286" s="692" t="n"/>
      <c r="AI286" s="692" t="n"/>
      <c r="AJ286" s="692" t="n"/>
      <c r="AK286" s="692" t="n"/>
      <c r="AL286" s="692" t="n"/>
      <c r="AM286" s="692" t="n"/>
      <c r="AN286" s="692" t="n"/>
      <c r="AO286" s="692" t="n"/>
      <c r="AP286" s="692" t="n"/>
    </row>
    <row r="287">
      <c r="A287" s="692" t="n"/>
      <c r="B287" s="692" t="n"/>
      <c r="C287" s="692" t="n"/>
      <c r="D287" s="692" t="n"/>
      <c r="E287" s="692" t="n"/>
      <c r="F287" s="692" t="n"/>
      <c r="G287" s="692" t="n"/>
      <c r="H287" s="692" t="n"/>
      <c r="I287" s="692" t="n"/>
      <c r="J287" s="692" t="n"/>
      <c r="K287" s="692" t="n"/>
      <c r="L287" s="692" t="n"/>
      <c r="M287" s="692" t="n"/>
      <c r="N287" s="692" t="n"/>
      <c r="O287" s="692" t="n"/>
      <c r="P287" s="692" t="n"/>
      <c r="Q287" s="692" t="n"/>
      <c r="R287" s="692" t="n"/>
      <c r="S287" s="692" t="n"/>
      <c r="T287" s="692" t="n"/>
      <c r="U287" s="692" t="n"/>
      <c r="V287" s="692" t="n"/>
      <c r="W287" s="692" t="n"/>
      <c r="X287" s="692" t="n"/>
      <c r="Y287" s="692" t="n"/>
      <c r="Z287" s="692" t="n"/>
      <c r="AA287" s="692" t="n"/>
      <c r="AB287" s="692" t="n"/>
      <c r="AC287" s="692" t="n"/>
      <c r="AD287" s="692" t="n"/>
      <c r="AE287" s="692" t="n"/>
      <c r="AF287" s="692" t="n"/>
      <c r="AG287" s="692" t="n"/>
      <c r="AH287" s="692" t="n"/>
      <c r="AI287" s="692" t="n"/>
      <c r="AJ287" s="692" t="n"/>
      <c r="AK287" s="692" t="n"/>
      <c r="AL287" s="692" t="n"/>
      <c r="AM287" s="692" t="n"/>
      <c r="AN287" s="692" t="n"/>
      <c r="AO287" s="692" t="n"/>
      <c r="AP287" s="692" t="n"/>
    </row>
    <row r="288">
      <c r="A288" s="692" t="n"/>
      <c r="B288" s="692" t="n"/>
      <c r="C288" s="692" t="n"/>
      <c r="D288" s="692" t="n"/>
      <c r="E288" s="692" t="n"/>
      <c r="F288" s="692" t="n"/>
      <c r="G288" s="692" t="n"/>
      <c r="H288" s="692" t="n"/>
      <c r="I288" s="692" t="n"/>
      <c r="J288" s="692" t="n"/>
      <c r="K288" s="692" t="n"/>
      <c r="L288" s="692" t="n"/>
      <c r="M288" s="692" t="n"/>
      <c r="N288" s="692" t="n"/>
      <c r="O288" s="692" t="n"/>
      <c r="P288" s="692" t="n"/>
      <c r="Q288" s="692" t="n"/>
      <c r="R288" s="692" t="n"/>
      <c r="S288" s="692" t="n"/>
      <c r="T288" s="692" t="n"/>
      <c r="U288" s="692" t="n"/>
      <c r="V288" s="692" t="n"/>
      <c r="W288" s="692" t="n"/>
      <c r="X288" s="692" t="n"/>
      <c r="Y288" s="692" t="n"/>
      <c r="Z288" s="692" t="n"/>
      <c r="AA288" s="692" t="n"/>
      <c r="AB288" s="692" t="n"/>
      <c r="AC288" s="692" t="n"/>
      <c r="AD288" s="692" t="n"/>
      <c r="AE288" s="692" t="n"/>
      <c r="AF288" s="692" t="n"/>
      <c r="AG288" s="692" t="n"/>
      <c r="AH288" s="692" t="n"/>
      <c r="AI288" s="692" t="n"/>
      <c r="AJ288" s="692" t="n"/>
      <c r="AK288" s="692" t="n"/>
      <c r="AL288" s="692" t="n"/>
      <c r="AM288" s="692" t="n"/>
      <c r="AN288" s="692" t="n"/>
      <c r="AO288" s="692" t="n"/>
      <c r="AP288" s="692" t="n"/>
    </row>
    <row r="289">
      <c r="A289" s="692" t="n"/>
      <c r="B289" s="692" t="n"/>
      <c r="C289" s="692" t="n"/>
      <c r="D289" s="692" t="n"/>
      <c r="E289" s="692" t="n"/>
      <c r="F289" s="692" t="n"/>
      <c r="G289" s="692" t="n"/>
      <c r="H289" s="692" t="n"/>
      <c r="I289" s="692" t="n"/>
      <c r="J289" s="692" t="n"/>
      <c r="K289" s="692" t="n"/>
      <c r="L289" s="692" t="n"/>
      <c r="M289" s="692" t="n"/>
      <c r="N289" s="692" t="n"/>
      <c r="O289" s="692" t="n"/>
      <c r="P289" s="692" t="n"/>
      <c r="Q289" s="692" t="n"/>
      <c r="R289" s="692" t="n"/>
      <c r="S289" s="692" t="n"/>
      <c r="T289" s="692" t="n"/>
      <c r="U289" s="692" t="n"/>
      <c r="V289" s="692" t="n"/>
      <c r="W289" s="692" t="n"/>
      <c r="X289" s="692" t="n"/>
      <c r="Y289" s="692" t="n"/>
      <c r="Z289" s="692" t="n"/>
      <c r="AA289" s="692" t="n"/>
      <c r="AB289" s="692" t="n"/>
      <c r="AC289" s="692" t="n"/>
      <c r="AD289" s="692" t="n"/>
      <c r="AE289" s="692" t="n"/>
      <c r="AF289" s="692" t="n"/>
      <c r="AG289" s="692" t="n"/>
      <c r="AH289" s="692" t="n"/>
      <c r="AI289" s="692" t="n"/>
      <c r="AJ289" s="692" t="n"/>
      <c r="AK289" s="692" t="n"/>
      <c r="AL289" s="692" t="n"/>
      <c r="AM289" s="692" t="n"/>
      <c r="AN289" s="692" t="n"/>
      <c r="AO289" s="692" t="n"/>
      <c r="AP289" s="692" t="n"/>
    </row>
    <row r="290">
      <c r="A290" s="692" t="n"/>
      <c r="B290" s="692" t="n"/>
      <c r="C290" s="692" t="n"/>
      <c r="D290" s="692" t="n"/>
      <c r="E290" s="692" t="n"/>
      <c r="F290" s="692" t="n"/>
      <c r="G290" s="692" t="n"/>
      <c r="H290" s="692" t="n"/>
      <c r="I290" s="692" t="n"/>
      <c r="J290" s="692" t="n"/>
      <c r="K290" s="692" t="n"/>
      <c r="L290" s="692" t="n"/>
      <c r="M290" s="692" t="n"/>
      <c r="N290" s="692" t="n"/>
      <c r="O290" s="692" t="n"/>
      <c r="P290" s="692" t="n"/>
      <c r="Q290" s="692" t="n"/>
      <c r="R290" s="692" t="n"/>
      <c r="S290" s="692" t="n"/>
      <c r="T290" s="692" t="n"/>
      <c r="U290" s="692" t="n"/>
      <c r="V290" s="692" t="n"/>
      <c r="W290" s="692" t="n"/>
      <c r="X290" s="692" t="n"/>
      <c r="Y290" s="692" t="n"/>
      <c r="Z290" s="692" t="n"/>
      <c r="AA290" s="692" t="n"/>
      <c r="AB290" s="692" t="n"/>
      <c r="AC290" s="692" t="n"/>
      <c r="AD290" s="692" t="n"/>
      <c r="AE290" s="692" t="n"/>
      <c r="AF290" s="692" t="n"/>
      <c r="AG290" s="692" t="n"/>
      <c r="AH290" s="692" t="n"/>
      <c r="AI290" s="692" t="n"/>
      <c r="AJ290" s="692" t="n"/>
      <c r="AK290" s="692" t="n"/>
      <c r="AL290" s="692" t="n"/>
      <c r="AM290" s="692" t="n"/>
      <c r="AN290" s="692" t="n"/>
      <c r="AO290" s="692" t="n"/>
      <c r="AP290" s="692" t="n"/>
    </row>
    <row r="291">
      <c r="A291" s="692" t="n"/>
      <c r="B291" s="692" t="n"/>
      <c r="C291" s="692" t="n"/>
      <c r="D291" s="692" t="n"/>
      <c r="E291" s="692" t="n"/>
      <c r="F291" s="692" t="n"/>
      <c r="G291" s="692" t="n"/>
      <c r="H291" s="692" t="n"/>
      <c r="I291" s="692" t="n"/>
      <c r="J291" s="692" t="n"/>
      <c r="K291" s="692" t="n"/>
      <c r="L291" s="692" t="n"/>
      <c r="M291" s="692" t="n"/>
      <c r="N291" s="692" t="n"/>
      <c r="O291" s="692" t="n"/>
      <c r="P291" s="692" t="n"/>
      <c r="Q291" s="692" t="n"/>
      <c r="R291" s="692" t="n"/>
      <c r="S291" s="692" t="n"/>
      <c r="T291" s="692" t="n"/>
      <c r="U291" s="692" t="n"/>
      <c r="V291" s="692" t="n"/>
      <c r="W291" s="692" t="n"/>
      <c r="X291" s="692" t="n"/>
      <c r="Y291" s="692" t="n"/>
      <c r="Z291" s="692" t="n"/>
      <c r="AA291" s="692" t="n"/>
      <c r="AB291" s="692" t="n"/>
      <c r="AC291" s="692" t="n"/>
      <c r="AD291" s="692" t="n"/>
      <c r="AE291" s="692" t="n"/>
      <c r="AF291" s="692" t="n"/>
      <c r="AG291" s="692" t="n"/>
      <c r="AH291" s="692" t="n"/>
      <c r="AI291" s="692" t="n"/>
      <c r="AJ291" s="692" t="n"/>
      <c r="AK291" s="692" t="n"/>
      <c r="AL291" s="692" t="n"/>
      <c r="AM291" s="692" t="n"/>
      <c r="AN291" s="692" t="n"/>
      <c r="AO291" s="692" t="n"/>
      <c r="AP291" s="692" t="n"/>
    </row>
    <row r="292">
      <c r="A292" s="692" t="n"/>
      <c r="B292" s="692" t="n"/>
      <c r="C292" s="692" t="n"/>
      <c r="D292" s="692" t="n"/>
      <c r="E292" s="692" t="n"/>
      <c r="F292" s="692" t="n"/>
      <c r="G292" s="692" t="n"/>
      <c r="H292" s="692" t="n"/>
      <c r="I292" s="692" t="n"/>
      <c r="J292" s="692" t="n"/>
      <c r="K292" s="692" t="n"/>
      <c r="L292" s="692" t="n"/>
      <c r="M292" s="692" t="n"/>
      <c r="N292" s="692" t="n"/>
      <c r="O292" s="692" t="n"/>
      <c r="P292" s="692" t="n"/>
      <c r="Q292" s="692" t="n"/>
      <c r="R292" s="692" t="n"/>
      <c r="S292" s="692" t="n"/>
      <c r="T292" s="692" t="n"/>
      <c r="U292" s="692" t="n"/>
      <c r="V292" s="692" t="n"/>
      <c r="W292" s="692" t="n"/>
      <c r="X292" s="692" t="n"/>
      <c r="Y292" s="692" t="n"/>
      <c r="Z292" s="692" t="n"/>
      <c r="AA292" s="692" t="n"/>
      <c r="AB292" s="692" t="n"/>
      <c r="AC292" s="692" t="n"/>
      <c r="AD292" s="692" t="n"/>
      <c r="AE292" s="692" t="n"/>
      <c r="AF292" s="692" t="n"/>
      <c r="AG292" s="692" t="n"/>
      <c r="AH292" s="692" t="n"/>
      <c r="AI292" s="692" t="n"/>
      <c r="AJ292" s="692" t="n"/>
      <c r="AK292" s="692" t="n"/>
      <c r="AL292" s="692" t="n"/>
      <c r="AM292" s="692" t="n"/>
      <c r="AN292" s="692" t="n"/>
      <c r="AO292" s="692" t="n"/>
      <c r="AP292" s="692" t="n"/>
    </row>
    <row r="293">
      <c r="A293" s="692" t="n"/>
      <c r="B293" s="692" t="n"/>
      <c r="C293" s="692" t="n"/>
      <c r="D293" s="692" t="n"/>
      <c r="E293" s="692" t="n"/>
      <c r="F293" s="692" t="n"/>
      <c r="G293" s="692" t="n"/>
      <c r="H293" s="692" t="n"/>
      <c r="I293" s="692" t="n"/>
      <c r="J293" s="692" t="n"/>
      <c r="K293" s="692" t="n"/>
      <c r="L293" s="692" t="n"/>
      <c r="M293" s="692" t="n"/>
      <c r="N293" s="692" t="n"/>
      <c r="O293" s="692" t="n"/>
      <c r="P293" s="692" t="n"/>
      <c r="Q293" s="692" t="n"/>
      <c r="R293" s="692" t="n"/>
      <c r="S293" s="692" t="n"/>
      <c r="T293" s="692" t="n"/>
      <c r="U293" s="692" t="n"/>
      <c r="V293" s="692" t="n"/>
      <c r="W293" s="692" t="n"/>
      <c r="X293" s="692" t="n"/>
      <c r="Y293" s="692" t="n"/>
      <c r="Z293" s="692" t="n"/>
      <c r="AA293" s="692" t="n"/>
      <c r="AB293" s="692" t="n"/>
      <c r="AC293" s="692" t="n"/>
      <c r="AD293" s="692" t="n"/>
      <c r="AE293" s="692" t="n"/>
      <c r="AF293" s="692" t="n"/>
      <c r="AG293" s="692" t="n"/>
      <c r="AH293" s="692" t="n"/>
      <c r="AI293" s="692" t="n"/>
      <c r="AJ293" s="692" t="n"/>
      <c r="AK293" s="692" t="n"/>
      <c r="AL293" s="692" t="n"/>
      <c r="AM293" s="692" t="n"/>
      <c r="AN293" s="692" t="n"/>
      <c r="AO293" s="692" t="n"/>
      <c r="AP293" s="692" t="n"/>
    </row>
    <row r="294">
      <c r="A294" s="692" t="n"/>
      <c r="B294" s="692" t="n"/>
      <c r="C294" s="692" t="n"/>
      <c r="D294" s="692" t="n"/>
      <c r="E294" s="692" t="n"/>
      <c r="F294" s="692" t="n"/>
      <c r="G294" s="692" t="n"/>
      <c r="H294" s="692" t="n"/>
      <c r="I294" s="692" t="n"/>
      <c r="J294" s="692" t="n"/>
      <c r="K294" s="692" t="n"/>
      <c r="L294" s="692" t="n"/>
      <c r="M294" s="692" t="n"/>
      <c r="N294" s="692" t="n"/>
      <c r="O294" s="692" t="n"/>
      <c r="P294" s="692" t="n"/>
      <c r="Q294" s="692" t="n"/>
      <c r="R294" s="692" t="n"/>
      <c r="S294" s="692" t="n"/>
      <c r="T294" s="692" t="n"/>
      <c r="U294" s="692" t="n"/>
      <c r="V294" s="692" t="n"/>
      <c r="W294" s="692" t="n"/>
      <c r="X294" s="692" t="n"/>
      <c r="Y294" s="692" t="n"/>
      <c r="Z294" s="692" t="n"/>
      <c r="AA294" s="692" t="n"/>
      <c r="AB294" s="692" t="n"/>
      <c r="AC294" s="692" t="n"/>
      <c r="AD294" s="692" t="n"/>
      <c r="AE294" s="692" t="n"/>
      <c r="AF294" s="692" t="n"/>
      <c r="AG294" s="692" t="n"/>
      <c r="AH294" s="692" t="n"/>
      <c r="AI294" s="692" t="n"/>
      <c r="AJ294" s="692" t="n"/>
      <c r="AK294" s="692" t="n"/>
      <c r="AL294" s="692" t="n"/>
      <c r="AM294" s="692" t="n"/>
      <c r="AN294" s="692" t="n"/>
      <c r="AO294" s="692" t="n"/>
      <c r="AP294" s="692" t="n"/>
    </row>
    <row r="295">
      <c r="A295" s="692" t="n"/>
      <c r="B295" s="692" t="n"/>
      <c r="C295" s="692" t="n"/>
      <c r="D295" s="692" t="n"/>
      <c r="E295" s="692" t="n"/>
      <c r="F295" s="692" t="n"/>
      <c r="G295" s="692" t="n"/>
      <c r="H295" s="692" t="n"/>
      <c r="I295" s="692" t="n"/>
      <c r="J295" s="692" t="n"/>
      <c r="K295" s="692" t="n"/>
      <c r="L295" s="692" t="n"/>
      <c r="M295" s="692" t="n"/>
      <c r="N295" s="692" t="n"/>
      <c r="O295" s="692" t="n"/>
      <c r="P295" s="692" t="n"/>
      <c r="Q295" s="692" t="n"/>
      <c r="R295" s="692" t="n"/>
      <c r="S295" s="692" t="n"/>
      <c r="T295" s="692" t="n"/>
      <c r="U295" s="692" t="n"/>
      <c r="V295" s="692" t="n"/>
      <c r="W295" s="692" t="n"/>
      <c r="X295" s="692" t="n"/>
      <c r="Y295" s="692" t="n"/>
      <c r="Z295" s="692" t="n"/>
      <c r="AA295" s="692" t="n"/>
      <c r="AB295" s="692" t="n"/>
      <c r="AC295" s="692" t="n"/>
      <c r="AD295" s="692" t="n"/>
      <c r="AE295" s="692" t="n"/>
      <c r="AF295" s="692" t="n"/>
      <c r="AG295" s="692" t="n"/>
      <c r="AH295" s="692" t="n"/>
      <c r="AI295" s="692" t="n"/>
      <c r="AJ295" s="692" t="n"/>
      <c r="AK295" s="692" t="n"/>
      <c r="AL295" s="692" t="n"/>
      <c r="AM295" s="692" t="n"/>
      <c r="AN295" s="692" t="n"/>
      <c r="AO295" s="692" t="n"/>
      <c r="AP295" s="692" t="n"/>
    </row>
    <row r="296">
      <c r="A296" s="692" t="n"/>
      <c r="B296" s="692" t="n"/>
      <c r="C296" s="692" t="n"/>
      <c r="D296" s="692" t="n"/>
      <c r="E296" s="692" t="n"/>
      <c r="F296" s="692" t="n"/>
      <c r="G296" s="692" t="n"/>
      <c r="H296" s="692" t="n"/>
      <c r="I296" s="692" t="n"/>
      <c r="J296" s="692" t="n"/>
      <c r="K296" s="692" t="n"/>
      <c r="L296" s="692" t="n"/>
      <c r="M296" s="692" t="n"/>
      <c r="N296" s="692" t="n"/>
      <c r="O296" s="692" t="n"/>
      <c r="P296" s="692" t="n"/>
      <c r="Q296" s="692" t="n"/>
      <c r="R296" s="692" t="n"/>
      <c r="S296" s="692" t="n"/>
      <c r="T296" s="692" t="n"/>
      <c r="U296" s="692" t="n"/>
      <c r="V296" s="692" t="n"/>
      <c r="W296" s="692" t="n"/>
      <c r="X296" s="692" t="n"/>
      <c r="Y296" s="692" t="n"/>
      <c r="Z296" s="692" t="n"/>
      <c r="AA296" s="692" t="n"/>
      <c r="AB296" s="692" t="n"/>
      <c r="AC296" s="692" t="n"/>
      <c r="AD296" s="692" t="n"/>
      <c r="AE296" s="692" t="n"/>
      <c r="AF296" s="692" t="n"/>
      <c r="AG296" s="692" t="n"/>
      <c r="AH296" s="692" t="n"/>
      <c r="AI296" s="692" t="n"/>
      <c r="AJ296" s="692" t="n"/>
      <c r="AK296" s="692" t="n"/>
      <c r="AL296" s="692" t="n"/>
      <c r="AM296" s="692" t="n"/>
      <c r="AN296" s="692" t="n"/>
      <c r="AO296" s="692" t="n"/>
      <c r="AP296" s="692" t="n"/>
    </row>
    <row r="297">
      <c r="A297" s="692" t="n"/>
      <c r="B297" s="692" t="n"/>
      <c r="C297" s="692" t="n"/>
      <c r="D297" s="692" t="n"/>
      <c r="E297" s="692" t="n"/>
      <c r="F297" s="692" t="n"/>
      <c r="G297" s="692" t="n"/>
      <c r="H297" s="692" t="n"/>
      <c r="I297" s="692" t="n"/>
      <c r="J297" s="692" t="n"/>
      <c r="K297" s="692" t="n"/>
      <c r="L297" s="692" t="n"/>
      <c r="M297" s="692" t="n"/>
      <c r="N297" s="692" t="n"/>
      <c r="O297" s="692" t="n"/>
      <c r="P297" s="692" t="n"/>
      <c r="Q297" s="692" t="n"/>
      <c r="R297" s="692" t="n"/>
      <c r="S297" s="692" t="n"/>
      <c r="T297" s="692" t="n"/>
      <c r="U297" s="692" t="n"/>
      <c r="V297" s="692" t="n"/>
      <c r="W297" s="692" t="n"/>
      <c r="X297" s="692" t="n"/>
      <c r="Y297" s="692" t="n"/>
      <c r="Z297" s="692" t="n"/>
      <c r="AA297" s="692" t="n"/>
      <c r="AB297" s="692" t="n"/>
      <c r="AC297" s="692" t="n"/>
      <c r="AD297" s="692" t="n"/>
      <c r="AE297" s="692" t="n"/>
      <c r="AF297" s="692" t="n"/>
      <c r="AG297" s="692" t="n"/>
      <c r="AH297" s="692" t="n"/>
      <c r="AI297" s="692" t="n"/>
      <c r="AJ297" s="692" t="n"/>
      <c r="AK297" s="692" t="n"/>
      <c r="AL297" s="692" t="n"/>
      <c r="AM297" s="692" t="n"/>
      <c r="AN297" s="692" t="n"/>
      <c r="AO297" s="692" t="n"/>
      <c r="AP297" s="692" t="n"/>
    </row>
    <row r="298">
      <c r="A298" s="692" t="n"/>
      <c r="B298" s="692" t="n"/>
      <c r="C298" s="692" t="n"/>
      <c r="D298" s="692" t="n"/>
      <c r="E298" s="692" t="n"/>
      <c r="F298" s="692" t="n"/>
      <c r="G298" s="692" t="n"/>
      <c r="H298" s="692" t="n"/>
      <c r="I298" s="692" t="n"/>
      <c r="J298" s="692" t="n"/>
      <c r="K298" s="692" t="n"/>
      <c r="L298" s="692" t="n"/>
      <c r="M298" s="692" t="n"/>
      <c r="N298" s="692" t="n"/>
      <c r="O298" s="692" t="n"/>
      <c r="P298" s="692" t="n"/>
      <c r="Q298" s="692" t="n"/>
      <c r="R298" s="692" t="n"/>
      <c r="S298" s="692" t="n"/>
      <c r="T298" s="692" t="n"/>
      <c r="U298" s="692" t="n"/>
      <c r="V298" s="692" t="n"/>
      <c r="W298" s="692" t="n"/>
      <c r="X298" s="692" t="n"/>
      <c r="Y298" s="692" t="n"/>
      <c r="Z298" s="692" t="n"/>
      <c r="AA298" s="692" t="n"/>
      <c r="AB298" s="692" t="n"/>
      <c r="AC298" s="692" t="n"/>
      <c r="AD298" s="692" t="n"/>
      <c r="AE298" s="692" t="n"/>
      <c r="AF298" s="692" t="n"/>
      <c r="AG298" s="692" t="n"/>
      <c r="AH298" s="692" t="n"/>
      <c r="AI298" s="692" t="n"/>
      <c r="AJ298" s="692" t="n"/>
      <c r="AK298" s="692" t="n"/>
      <c r="AL298" s="692" t="n"/>
      <c r="AM298" s="692" t="n"/>
      <c r="AN298" s="692" t="n"/>
      <c r="AO298" s="692" t="n"/>
      <c r="AP298" s="692" t="n"/>
    </row>
    <row r="299">
      <c r="A299" s="692" t="n"/>
      <c r="B299" s="692" t="n"/>
      <c r="C299" s="692" t="n"/>
      <c r="D299" s="692" t="n"/>
      <c r="E299" s="692" t="n"/>
      <c r="F299" s="692" t="n"/>
      <c r="G299" s="692" t="n"/>
      <c r="H299" s="692" t="n"/>
      <c r="I299" s="692" t="n"/>
      <c r="J299" s="692" t="n"/>
      <c r="K299" s="692" t="n"/>
      <c r="L299" s="692" t="n"/>
      <c r="M299" s="692" t="n"/>
      <c r="N299" s="692" t="n"/>
      <c r="O299" s="692" t="n"/>
      <c r="P299" s="692" t="n"/>
      <c r="Q299" s="692" t="n"/>
      <c r="R299" s="692" t="n"/>
      <c r="S299" s="692" t="n"/>
      <c r="T299" s="692" t="n"/>
      <c r="U299" s="692" t="n"/>
      <c r="V299" s="692" t="n"/>
      <c r="W299" s="692" t="n"/>
      <c r="X299" s="692" t="n"/>
      <c r="Y299" s="692" t="n"/>
      <c r="Z299" s="692" t="n"/>
      <c r="AA299" s="692" t="n"/>
      <c r="AB299" s="692" t="n"/>
      <c r="AC299" s="692" t="n"/>
      <c r="AD299" s="692" t="n"/>
      <c r="AE299" s="692" t="n"/>
      <c r="AF299" s="692" t="n"/>
      <c r="AG299" s="692" t="n"/>
      <c r="AH299" s="692" t="n"/>
      <c r="AI299" s="692" t="n"/>
      <c r="AJ299" s="692" t="n"/>
      <c r="AK299" s="692" t="n"/>
      <c r="AL299" s="692" t="n"/>
      <c r="AM299" s="692" t="n"/>
      <c r="AN299" s="692" t="n"/>
      <c r="AO299" s="692" t="n"/>
      <c r="AP299" s="692" t="n"/>
    </row>
    <row r="300">
      <c r="A300" s="692" t="n"/>
      <c r="B300" s="692" t="n"/>
      <c r="C300" s="692" t="n"/>
      <c r="D300" s="692" t="n"/>
      <c r="E300" s="692" t="n"/>
      <c r="F300" s="692" t="n"/>
      <c r="G300" s="692" t="n"/>
      <c r="H300" s="692" t="n"/>
      <c r="I300" s="692" t="n"/>
      <c r="J300" s="692" t="n"/>
      <c r="K300" s="692" t="n"/>
      <c r="L300" s="692" t="n"/>
      <c r="M300" s="692" t="n"/>
      <c r="N300" s="692" t="n"/>
      <c r="O300" s="692" t="n"/>
      <c r="P300" s="692" t="n"/>
      <c r="Q300" s="692" t="n"/>
      <c r="R300" s="692" t="n"/>
      <c r="S300" s="692" t="n"/>
      <c r="T300" s="692" t="n"/>
      <c r="U300" s="692" t="n"/>
      <c r="V300" s="692" t="n"/>
      <c r="W300" s="692" t="n"/>
      <c r="X300" s="692" t="n"/>
      <c r="Y300" s="692" t="n"/>
      <c r="Z300" s="692" t="n"/>
      <c r="AA300" s="692" t="n"/>
      <c r="AB300" s="692" t="n"/>
      <c r="AC300" s="692" t="n"/>
      <c r="AD300" s="692" t="n"/>
      <c r="AE300" s="692" t="n"/>
      <c r="AF300" s="692" t="n"/>
      <c r="AG300" s="692" t="n"/>
      <c r="AH300" s="692" t="n"/>
      <c r="AI300" s="692" t="n"/>
      <c r="AJ300" s="692" t="n"/>
      <c r="AK300" s="692" t="n"/>
      <c r="AL300" s="692" t="n"/>
      <c r="AM300" s="692" t="n"/>
      <c r="AN300" s="692" t="n"/>
      <c r="AO300" s="692" t="n"/>
      <c r="AP300" s="692" t="n"/>
    </row>
    <row r="301">
      <c r="A301" s="692" t="n"/>
      <c r="B301" s="692" t="n"/>
      <c r="C301" s="692" t="n"/>
      <c r="D301" s="692" t="n"/>
      <c r="E301" s="692" t="n"/>
      <c r="F301" s="692" t="n"/>
      <c r="G301" s="692" t="n"/>
      <c r="H301" s="692" t="n"/>
      <c r="I301" s="692" t="n"/>
      <c r="J301" s="692" t="n"/>
      <c r="K301" s="692" t="n"/>
      <c r="L301" s="692" t="n"/>
      <c r="M301" s="692" t="n"/>
      <c r="N301" s="692" t="n"/>
      <c r="O301" s="692" t="n"/>
      <c r="P301" s="692" t="n"/>
      <c r="Q301" s="692" t="n"/>
      <c r="R301" s="692" t="n"/>
      <c r="S301" s="692" t="n"/>
      <c r="T301" s="692" t="n"/>
      <c r="U301" s="692" t="n"/>
      <c r="V301" s="692" t="n"/>
      <c r="W301" s="692" t="n"/>
      <c r="X301" s="692" t="n"/>
      <c r="Y301" s="692" t="n"/>
      <c r="Z301" s="692" t="n"/>
      <c r="AA301" s="692" t="n"/>
      <c r="AB301" s="692" t="n"/>
      <c r="AC301" s="692" t="n"/>
      <c r="AD301" s="692" t="n"/>
      <c r="AE301" s="692" t="n"/>
      <c r="AF301" s="692" t="n"/>
      <c r="AG301" s="692" t="n"/>
      <c r="AH301" s="692" t="n"/>
      <c r="AI301" s="692" t="n"/>
      <c r="AJ301" s="692" t="n"/>
      <c r="AK301" s="692" t="n"/>
      <c r="AL301" s="692" t="n"/>
      <c r="AM301" s="692" t="n"/>
      <c r="AN301" s="692" t="n"/>
      <c r="AO301" s="692" t="n"/>
      <c r="AP301" s="692" t="n"/>
    </row>
    <row r="302">
      <c r="A302" s="692" t="n"/>
      <c r="B302" s="692" t="n"/>
      <c r="C302" s="692" t="n"/>
      <c r="D302" s="692" t="n"/>
      <c r="E302" s="692" t="n"/>
      <c r="F302" s="692" t="n"/>
      <c r="G302" s="692" t="n"/>
      <c r="H302" s="692" t="n"/>
      <c r="I302" s="692" t="n"/>
      <c r="J302" s="692" t="n"/>
      <c r="K302" s="692" t="n"/>
      <c r="L302" s="692" t="n"/>
      <c r="M302" s="692" t="n"/>
      <c r="N302" s="692" t="n"/>
      <c r="O302" s="692" t="n"/>
      <c r="P302" s="692" t="n"/>
      <c r="Q302" s="692" t="n"/>
      <c r="R302" s="692" t="n"/>
      <c r="S302" s="692" t="n"/>
      <c r="T302" s="692" t="n"/>
      <c r="U302" s="692" t="n"/>
      <c r="V302" s="692" t="n"/>
      <c r="W302" s="692" t="n"/>
      <c r="X302" s="692" t="n"/>
      <c r="Y302" s="692" t="n"/>
      <c r="Z302" s="692" t="n"/>
      <c r="AA302" s="692" t="n"/>
      <c r="AB302" s="692" t="n"/>
      <c r="AC302" s="692" t="n"/>
      <c r="AD302" s="692" t="n"/>
      <c r="AE302" s="692" t="n"/>
      <c r="AF302" s="692" t="n"/>
      <c r="AG302" s="692" t="n"/>
      <c r="AH302" s="692" t="n"/>
      <c r="AI302" s="692" t="n"/>
      <c r="AJ302" s="692" t="n"/>
      <c r="AK302" s="692" t="n"/>
      <c r="AL302" s="692" t="n"/>
      <c r="AM302" s="692" t="n"/>
      <c r="AN302" s="692" t="n"/>
      <c r="AO302" s="692" t="n"/>
      <c r="AP302" s="692" t="n"/>
    </row>
    <row r="303">
      <c r="A303" s="692" t="n"/>
      <c r="B303" s="692" t="n"/>
      <c r="C303" s="692" t="n"/>
      <c r="D303" s="692" t="n"/>
      <c r="E303" s="692" t="n"/>
      <c r="F303" s="692" t="n"/>
      <c r="G303" s="692" t="n"/>
      <c r="H303" s="692" t="n"/>
      <c r="I303" s="692" t="n"/>
      <c r="J303" s="692" t="n"/>
      <c r="K303" s="692" t="n"/>
      <c r="L303" s="692" t="n"/>
      <c r="M303" s="692" t="n"/>
      <c r="N303" s="692" t="n"/>
      <c r="O303" s="692" t="n"/>
      <c r="P303" s="692" t="n"/>
      <c r="Q303" s="692" t="n"/>
      <c r="R303" s="692" t="n"/>
      <c r="S303" s="692" t="n"/>
      <c r="T303" s="692" t="n"/>
      <c r="U303" s="692" t="n"/>
      <c r="V303" s="692" t="n"/>
      <c r="W303" s="692" t="n"/>
      <c r="X303" s="692" t="n"/>
      <c r="Y303" s="692" t="n"/>
      <c r="Z303" s="692" t="n"/>
      <c r="AA303" s="692" t="n"/>
      <c r="AB303" s="692" t="n"/>
      <c r="AC303" s="692" t="n"/>
      <c r="AD303" s="692" t="n"/>
      <c r="AE303" s="692" t="n"/>
      <c r="AF303" s="692" t="n"/>
      <c r="AG303" s="692" t="n"/>
      <c r="AH303" s="692" t="n"/>
      <c r="AI303" s="692" t="n"/>
      <c r="AJ303" s="692" t="n"/>
      <c r="AK303" s="692" t="n"/>
      <c r="AL303" s="692" t="n"/>
      <c r="AM303" s="692" t="n"/>
      <c r="AN303" s="692" t="n"/>
      <c r="AO303" s="692" t="n"/>
      <c r="AP303" s="692" t="n"/>
    </row>
    <row r="304">
      <c r="A304" s="692" t="n"/>
      <c r="B304" s="692" t="n"/>
      <c r="C304" s="692" t="n"/>
      <c r="D304" s="692" t="n"/>
      <c r="E304" s="692" t="n"/>
      <c r="F304" s="692" t="n"/>
      <c r="G304" s="692" t="n"/>
      <c r="H304" s="692" t="n"/>
      <c r="I304" s="692" t="n"/>
      <c r="J304" s="692" t="n"/>
      <c r="K304" s="692" t="n"/>
      <c r="L304" s="692" t="n"/>
      <c r="M304" s="692" t="n"/>
      <c r="N304" s="692" t="n"/>
      <c r="O304" s="692" t="n"/>
      <c r="P304" s="692" t="n"/>
      <c r="Q304" s="692" t="n"/>
      <c r="R304" s="692" t="n"/>
      <c r="S304" s="692" t="n"/>
      <c r="T304" s="692" t="n"/>
      <c r="U304" s="692" t="n"/>
      <c r="V304" s="692" t="n"/>
      <c r="W304" s="692" t="n"/>
      <c r="X304" s="692" t="n"/>
      <c r="Y304" s="692" t="n"/>
      <c r="Z304" s="692" t="n"/>
      <c r="AA304" s="692" t="n"/>
      <c r="AB304" s="692" t="n"/>
      <c r="AC304" s="692" t="n"/>
      <c r="AD304" s="692" t="n"/>
      <c r="AE304" s="692" t="n"/>
      <c r="AF304" s="692" t="n"/>
      <c r="AG304" s="692" t="n"/>
      <c r="AH304" s="692" t="n"/>
      <c r="AI304" s="692" t="n"/>
      <c r="AJ304" s="692" t="n"/>
      <c r="AK304" s="692" t="n"/>
      <c r="AL304" s="692" t="n"/>
      <c r="AM304" s="692" t="n"/>
      <c r="AN304" s="692" t="n"/>
      <c r="AO304" s="692" t="n"/>
      <c r="AP304" s="692" t="n"/>
    </row>
    <row r="305">
      <c r="A305" s="692" t="n"/>
      <c r="B305" s="692" t="n"/>
      <c r="C305" s="692" t="n"/>
      <c r="D305" s="692" t="n"/>
      <c r="E305" s="692" t="n"/>
      <c r="F305" s="692" t="n"/>
      <c r="G305" s="692" t="n"/>
      <c r="H305" s="692" t="n"/>
      <c r="I305" s="692" t="n"/>
      <c r="J305" s="692" t="n"/>
      <c r="K305" s="692" t="n"/>
      <c r="L305" s="692" t="n"/>
      <c r="M305" s="692" t="n"/>
      <c r="N305" s="692" t="n"/>
      <c r="O305" s="692" t="n"/>
      <c r="P305" s="692" t="n"/>
      <c r="Q305" s="692" t="n"/>
      <c r="R305" s="692" t="n"/>
      <c r="S305" s="692" t="n"/>
      <c r="T305" s="692" t="n"/>
      <c r="U305" s="692" t="n"/>
      <c r="V305" s="692" t="n"/>
      <c r="W305" s="692" t="n"/>
      <c r="X305" s="692" t="n"/>
      <c r="Y305" s="692" t="n"/>
      <c r="Z305" s="692" t="n"/>
      <c r="AA305" s="692" t="n"/>
      <c r="AB305" s="692" t="n"/>
      <c r="AC305" s="692" t="n"/>
      <c r="AD305" s="692" t="n"/>
      <c r="AE305" s="692" t="n"/>
      <c r="AF305" s="692" t="n"/>
      <c r="AG305" s="692" t="n"/>
      <c r="AH305" s="692" t="n"/>
      <c r="AI305" s="692" t="n"/>
      <c r="AJ305" s="692" t="n"/>
      <c r="AK305" s="692" t="n"/>
      <c r="AL305" s="692" t="n"/>
      <c r="AM305" s="692" t="n"/>
      <c r="AN305" s="692" t="n"/>
      <c r="AO305" s="692" t="n"/>
      <c r="AP305" s="692" t="n"/>
    </row>
    <row r="306">
      <c r="A306" s="692" t="n"/>
      <c r="B306" s="692" t="n"/>
      <c r="C306" s="692" t="n"/>
      <c r="D306" s="692" t="n"/>
      <c r="E306" s="692" t="n"/>
      <c r="F306" s="692" t="n"/>
      <c r="G306" s="692" t="n"/>
      <c r="H306" s="692" t="n"/>
      <c r="I306" s="692" t="n"/>
      <c r="J306" s="692" t="n"/>
      <c r="K306" s="692" t="n"/>
      <c r="L306" s="692" t="n"/>
      <c r="M306" s="692" t="n"/>
      <c r="N306" s="692" t="n"/>
      <c r="O306" s="692" t="n"/>
      <c r="P306" s="692" t="n"/>
      <c r="Q306" s="692" t="n"/>
      <c r="R306" s="692" t="n"/>
      <c r="S306" s="692" t="n"/>
      <c r="T306" s="692" t="n"/>
      <c r="U306" s="692" t="n"/>
      <c r="V306" s="692" t="n"/>
      <c r="W306" s="692" t="n"/>
      <c r="X306" s="692" t="n"/>
      <c r="Y306" s="692" t="n"/>
      <c r="Z306" s="692" t="n"/>
      <c r="AA306" s="692" t="n"/>
      <c r="AB306" s="692" t="n"/>
      <c r="AC306" s="692" t="n"/>
      <c r="AD306" s="692" t="n"/>
      <c r="AE306" s="692" t="n"/>
      <c r="AF306" s="692" t="n"/>
      <c r="AG306" s="692" t="n"/>
      <c r="AH306" s="692" t="n"/>
      <c r="AI306" s="692" t="n"/>
      <c r="AJ306" s="692" t="n"/>
      <c r="AK306" s="692" t="n"/>
      <c r="AL306" s="692" t="n"/>
      <c r="AM306" s="692" t="n"/>
      <c r="AN306" s="692" t="n"/>
      <c r="AO306" s="692" t="n"/>
      <c r="AP306" s="692" t="n"/>
    </row>
    <row r="307">
      <c r="A307" s="692" t="n"/>
      <c r="B307" s="692" t="n"/>
      <c r="C307" s="692" t="n"/>
      <c r="D307" s="692" t="n"/>
      <c r="E307" s="692" t="n"/>
      <c r="F307" s="692" t="n"/>
      <c r="G307" s="692" t="n"/>
      <c r="H307" s="692" t="n"/>
      <c r="I307" s="692" t="n"/>
      <c r="J307" s="692" t="n"/>
      <c r="K307" s="692" t="n"/>
      <c r="L307" s="692" t="n"/>
      <c r="M307" s="692" t="n"/>
      <c r="N307" s="692" t="n"/>
      <c r="O307" s="692" t="n"/>
      <c r="P307" s="692" t="n"/>
      <c r="Q307" s="692" t="n"/>
      <c r="R307" s="692" t="n"/>
      <c r="S307" s="692" t="n"/>
      <c r="T307" s="692" t="n"/>
      <c r="U307" s="692" t="n"/>
      <c r="V307" s="692" t="n"/>
      <c r="W307" s="692" t="n"/>
      <c r="X307" s="692" t="n"/>
      <c r="Y307" s="692" t="n"/>
      <c r="Z307" s="692" t="n"/>
      <c r="AA307" s="692" t="n"/>
      <c r="AB307" s="692" t="n"/>
      <c r="AC307" s="692" t="n"/>
      <c r="AD307" s="692" t="n"/>
      <c r="AE307" s="692" t="n"/>
      <c r="AF307" s="692" t="n"/>
      <c r="AG307" s="692" t="n"/>
      <c r="AH307" s="692" t="n"/>
      <c r="AI307" s="692" t="n"/>
      <c r="AJ307" s="692" t="n"/>
      <c r="AK307" s="692" t="n"/>
      <c r="AL307" s="692" t="n"/>
      <c r="AM307" s="692" t="n"/>
      <c r="AN307" s="692" t="n"/>
      <c r="AO307" s="692" t="n"/>
      <c r="AP307" s="692" t="n"/>
    </row>
    <row r="308">
      <c r="A308" s="692" t="n"/>
      <c r="B308" s="692" t="n"/>
      <c r="C308" s="692" t="n"/>
      <c r="D308" s="692" t="n"/>
      <c r="E308" s="692" t="n"/>
      <c r="F308" s="692" t="n"/>
      <c r="G308" s="692" t="n"/>
      <c r="H308" s="692" t="n"/>
      <c r="I308" s="692" t="n"/>
      <c r="J308" s="692" t="n"/>
      <c r="K308" s="692" t="n"/>
      <c r="L308" s="692" t="n"/>
      <c r="M308" s="692" t="n"/>
      <c r="N308" s="692" t="n"/>
      <c r="O308" s="692" t="n"/>
      <c r="P308" s="692" t="n"/>
      <c r="Q308" s="692" t="n"/>
      <c r="R308" s="692" t="n"/>
      <c r="S308" s="692" t="n"/>
      <c r="T308" s="692" t="n"/>
      <c r="U308" s="692" t="n"/>
      <c r="V308" s="692" t="n"/>
      <c r="W308" s="692" t="n"/>
      <c r="X308" s="692" t="n"/>
      <c r="Y308" s="692" t="n"/>
      <c r="Z308" s="692" t="n"/>
      <c r="AA308" s="692" t="n"/>
      <c r="AB308" s="692" t="n"/>
      <c r="AC308" s="692" t="n"/>
      <c r="AD308" s="692" t="n"/>
      <c r="AE308" s="692" t="n"/>
      <c r="AF308" s="692" t="n"/>
      <c r="AG308" s="692" t="n"/>
      <c r="AH308" s="692" t="n"/>
      <c r="AI308" s="692" t="n"/>
      <c r="AJ308" s="692" t="n"/>
      <c r="AK308" s="692" t="n"/>
      <c r="AL308" s="692" t="n"/>
      <c r="AM308" s="692" t="n"/>
      <c r="AN308" s="692" t="n"/>
      <c r="AO308" s="692" t="n"/>
      <c r="AP308" s="692" t="n"/>
    </row>
    <row r="309">
      <c r="A309" s="692" t="n"/>
      <c r="B309" s="692" t="n"/>
      <c r="C309" s="692" t="n"/>
      <c r="D309" s="692" t="n"/>
      <c r="E309" s="692" t="n"/>
      <c r="F309" s="692" t="n"/>
      <c r="G309" s="692" t="n"/>
      <c r="H309" s="692" t="n"/>
      <c r="I309" s="692" t="n"/>
      <c r="J309" s="692" t="n"/>
      <c r="K309" s="692" t="n"/>
      <c r="L309" s="692" t="n"/>
      <c r="M309" s="692" t="n"/>
      <c r="N309" s="692" t="n"/>
      <c r="O309" s="692" t="n"/>
      <c r="P309" s="692" t="n"/>
      <c r="Q309" s="692" t="n"/>
      <c r="R309" s="692" t="n"/>
      <c r="S309" s="692" t="n"/>
      <c r="T309" s="692" t="n"/>
      <c r="U309" s="692" t="n"/>
      <c r="V309" s="692" t="n"/>
      <c r="W309" s="692" t="n"/>
      <c r="X309" s="692" t="n"/>
      <c r="Y309" s="692" t="n"/>
      <c r="Z309" s="692" t="n"/>
      <c r="AA309" s="692" t="n"/>
      <c r="AB309" s="692" t="n"/>
      <c r="AC309" s="692" t="n"/>
      <c r="AD309" s="692" t="n"/>
      <c r="AE309" s="692" t="n"/>
      <c r="AF309" s="692" t="n"/>
      <c r="AG309" s="692" t="n"/>
      <c r="AH309" s="692" t="n"/>
      <c r="AI309" s="692" t="n"/>
      <c r="AJ309" s="692" t="n"/>
      <c r="AK309" s="692" t="n"/>
      <c r="AL309" s="692" t="n"/>
      <c r="AM309" s="692" t="n"/>
      <c r="AN309" s="692" t="n"/>
      <c r="AO309" s="692" t="n"/>
      <c r="AP309" s="692" t="n"/>
    </row>
    <row r="310">
      <c r="A310" s="692" t="n"/>
      <c r="B310" s="692" t="n"/>
      <c r="C310" s="692" t="n"/>
      <c r="D310" s="692" t="n"/>
      <c r="E310" s="692" t="n"/>
      <c r="F310" s="692" t="n"/>
      <c r="G310" s="692" t="n"/>
      <c r="H310" s="692" t="n"/>
      <c r="I310" s="692" t="n"/>
      <c r="J310" s="692" t="n"/>
      <c r="K310" s="692" t="n"/>
      <c r="L310" s="692" t="n"/>
      <c r="M310" s="692" t="n"/>
      <c r="N310" s="692" t="n"/>
      <c r="O310" s="692" t="n"/>
      <c r="P310" s="692" t="n"/>
      <c r="Q310" s="692" t="n"/>
      <c r="R310" s="692" t="n"/>
      <c r="S310" s="692" t="n"/>
      <c r="T310" s="692" t="n"/>
      <c r="U310" s="692" t="n"/>
      <c r="V310" s="692" t="n"/>
      <c r="W310" s="692" t="n"/>
      <c r="X310" s="692" t="n"/>
      <c r="Y310" s="692" t="n"/>
      <c r="Z310" s="692" t="n"/>
      <c r="AA310" s="692" t="n"/>
      <c r="AB310" s="692" t="n"/>
      <c r="AC310" s="692" t="n"/>
      <c r="AD310" s="692" t="n"/>
      <c r="AE310" s="692" t="n"/>
      <c r="AF310" s="692" t="n"/>
      <c r="AG310" s="692" t="n"/>
      <c r="AH310" s="692" t="n"/>
      <c r="AI310" s="692" t="n"/>
      <c r="AJ310" s="692" t="n"/>
      <c r="AK310" s="692" t="n"/>
      <c r="AL310" s="692" t="n"/>
      <c r="AM310" s="692" t="n"/>
      <c r="AN310" s="692" t="n"/>
      <c r="AO310" s="692" t="n"/>
      <c r="AP310" s="692" t="n"/>
    </row>
    <row r="311">
      <c r="A311" s="692" t="n"/>
      <c r="B311" s="692" t="n"/>
      <c r="C311" s="692" t="n"/>
      <c r="D311" s="692" t="n"/>
      <c r="E311" s="692" t="n"/>
      <c r="F311" s="692" t="n"/>
      <c r="G311" s="692" t="n"/>
      <c r="H311" s="692" t="n"/>
      <c r="I311" s="692" t="n"/>
      <c r="J311" s="692" t="n"/>
      <c r="K311" s="692" t="n"/>
      <c r="L311" s="692" t="n"/>
      <c r="M311" s="692" t="n"/>
      <c r="N311" s="692" t="n"/>
      <c r="O311" s="692" t="n"/>
      <c r="P311" s="692" t="n"/>
      <c r="Q311" s="692" t="n"/>
      <c r="R311" s="692" t="n"/>
      <c r="S311" s="692" t="n"/>
      <c r="T311" s="692" t="n"/>
      <c r="U311" s="692" t="n"/>
      <c r="V311" s="692" t="n"/>
      <c r="W311" s="692" t="n"/>
      <c r="X311" s="692" t="n"/>
      <c r="Y311" s="692" t="n"/>
      <c r="Z311" s="692" t="n"/>
      <c r="AA311" s="692" t="n"/>
      <c r="AB311" s="692" t="n"/>
      <c r="AC311" s="692" t="n"/>
      <c r="AD311" s="692" t="n"/>
      <c r="AE311" s="692" t="n"/>
      <c r="AF311" s="692" t="n"/>
      <c r="AG311" s="692" t="n"/>
      <c r="AH311" s="692" t="n"/>
      <c r="AI311" s="692" t="n"/>
      <c r="AJ311" s="692" t="n"/>
      <c r="AK311" s="692" t="n"/>
      <c r="AL311" s="692" t="n"/>
      <c r="AM311" s="692" t="n"/>
      <c r="AN311" s="692" t="n"/>
      <c r="AO311" s="692" t="n"/>
      <c r="AP311" s="692" t="n"/>
    </row>
    <row r="312">
      <c r="A312" s="692" t="n"/>
      <c r="B312" s="692" t="n"/>
      <c r="C312" s="692" t="n"/>
      <c r="D312" s="692" t="n"/>
      <c r="E312" s="692" t="n"/>
      <c r="F312" s="692" t="n"/>
      <c r="G312" s="692" t="n"/>
      <c r="H312" s="692" t="n"/>
      <c r="I312" s="692" t="n"/>
      <c r="J312" s="692" t="n"/>
      <c r="K312" s="692" t="n"/>
      <c r="L312" s="692" t="n"/>
      <c r="M312" s="692" t="n"/>
      <c r="N312" s="692" t="n"/>
      <c r="O312" s="692" t="n"/>
      <c r="P312" s="692" t="n"/>
      <c r="Q312" s="692" t="n"/>
      <c r="R312" s="692" t="n"/>
      <c r="S312" s="692" t="n"/>
      <c r="T312" s="692" t="n"/>
      <c r="U312" s="692" t="n"/>
      <c r="V312" s="692" t="n"/>
      <c r="W312" s="692" t="n"/>
      <c r="X312" s="692" t="n"/>
      <c r="Y312" s="692" t="n"/>
      <c r="Z312" s="692" t="n"/>
      <c r="AA312" s="692" t="n"/>
      <c r="AB312" s="692" t="n"/>
      <c r="AC312" s="692" t="n"/>
      <c r="AD312" s="692" t="n"/>
      <c r="AE312" s="692" t="n"/>
      <c r="AF312" s="692" t="n"/>
      <c r="AG312" s="692" t="n"/>
      <c r="AH312" s="692" t="n"/>
      <c r="AI312" s="692" t="n"/>
      <c r="AJ312" s="692" t="n"/>
      <c r="AK312" s="692" t="n"/>
      <c r="AL312" s="692" t="n"/>
      <c r="AM312" s="692" t="n"/>
      <c r="AN312" s="692" t="n"/>
      <c r="AO312" s="692" t="n"/>
      <c r="AP312" s="692" t="n"/>
    </row>
    <row r="313">
      <c r="A313" s="692" t="n"/>
      <c r="B313" s="692" t="n"/>
      <c r="C313" s="692" t="n"/>
      <c r="D313" s="692" t="n"/>
      <c r="E313" s="692" t="n"/>
      <c r="F313" s="692" t="n"/>
      <c r="G313" s="692" t="n"/>
      <c r="H313" s="692" t="n"/>
      <c r="I313" s="692" t="n"/>
      <c r="J313" s="692" t="n"/>
      <c r="K313" s="692" t="n"/>
      <c r="L313" s="692" t="n"/>
      <c r="M313" s="692" t="n"/>
      <c r="N313" s="692" t="n"/>
      <c r="O313" s="692" t="n"/>
      <c r="P313" s="692" t="n"/>
      <c r="Q313" s="692" t="n"/>
      <c r="R313" s="692" t="n"/>
      <c r="S313" s="692" t="n"/>
      <c r="T313" s="692" t="n"/>
      <c r="U313" s="692" t="n"/>
      <c r="V313" s="692" t="n"/>
      <c r="W313" s="692" t="n"/>
      <c r="X313" s="692" t="n"/>
      <c r="Y313" s="692" t="n"/>
      <c r="Z313" s="692" t="n"/>
      <c r="AA313" s="692" t="n"/>
      <c r="AB313" s="692" t="n"/>
      <c r="AC313" s="692" t="n"/>
      <c r="AD313" s="692" t="n"/>
      <c r="AE313" s="692" t="n"/>
      <c r="AF313" s="692" t="n"/>
      <c r="AG313" s="692" t="n"/>
      <c r="AH313" s="692" t="n"/>
      <c r="AI313" s="692" t="n"/>
      <c r="AJ313" s="692" t="n"/>
      <c r="AK313" s="692" t="n"/>
      <c r="AL313" s="692" t="n"/>
      <c r="AM313" s="692" t="n"/>
      <c r="AN313" s="692" t="n"/>
      <c r="AO313" s="692" t="n"/>
      <c r="AP313" s="692" t="n"/>
    </row>
    <row r="314">
      <c r="A314" s="692" t="n"/>
      <c r="B314" s="692" t="n"/>
      <c r="C314" s="692" t="n"/>
      <c r="D314" s="692" t="n"/>
      <c r="E314" s="692" t="n"/>
      <c r="F314" s="692" t="n"/>
      <c r="G314" s="692" t="n"/>
      <c r="H314" s="692" t="n"/>
      <c r="I314" s="692" t="n"/>
      <c r="J314" s="692" t="n"/>
      <c r="K314" s="692" t="n"/>
      <c r="L314" s="692" t="n"/>
      <c r="M314" s="692" t="n"/>
      <c r="N314" s="692" t="n"/>
      <c r="O314" s="692" t="n"/>
      <c r="P314" s="692" t="n"/>
      <c r="Q314" s="692" t="n"/>
      <c r="R314" s="692" t="n"/>
      <c r="S314" s="692" t="n"/>
      <c r="T314" s="692" t="n"/>
      <c r="U314" s="692" t="n"/>
      <c r="V314" s="692" t="n"/>
      <c r="W314" s="692" t="n"/>
      <c r="X314" s="692" t="n"/>
      <c r="Y314" s="692" t="n"/>
      <c r="Z314" s="692" t="n"/>
      <c r="AA314" s="692" t="n"/>
      <c r="AB314" s="692" t="n"/>
      <c r="AC314" s="692" t="n"/>
      <c r="AD314" s="692" t="n"/>
      <c r="AE314" s="692" t="n"/>
      <c r="AF314" s="692" t="n"/>
      <c r="AG314" s="692" t="n"/>
      <c r="AH314" s="692" t="n"/>
      <c r="AI314" s="692" t="n"/>
      <c r="AJ314" s="692" t="n"/>
      <c r="AK314" s="692" t="n"/>
      <c r="AL314" s="692" t="n"/>
      <c r="AM314" s="692" t="n"/>
      <c r="AN314" s="692" t="n"/>
      <c r="AO314" s="692" t="n"/>
      <c r="AP314" s="692" t="n"/>
    </row>
    <row r="315">
      <c r="A315" s="692" t="n"/>
      <c r="B315" s="692" t="n"/>
      <c r="C315" s="692" t="n"/>
      <c r="D315" s="692" t="n"/>
      <c r="E315" s="692" t="n"/>
      <c r="F315" s="692" t="n"/>
      <c r="G315" s="692" t="n"/>
      <c r="H315" s="692" t="n"/>
      <c r="I315" s="692" t="n"/>
      <c r="J315" s="692" t="n"/>
      <c r="K315" s="692" t="n"/>
      <c r="L315" s="692" t="n"/>
      <c r="M315" s="692" t="n"/>
      <c r="N315" s="692" t="n"/>
      <c r="O315" s="692" t="n"/>
      <c r="P315" s="692" t="n"/>
      <c r="Q315" s="692" t="n"/>
      <c r="R315" s="692" t="n"/>
      <c r="S315" s="692" t="n"/>
      <c r="T315" s="692" t="n"/>
      <c r="U315" s="692" t="n"/>
      <c r="V315" s="692" t="n"/>
      <c r="W315" s="692" t="n"/>
      <c r="X315" s="692" t="n"/>
      <c r="Y315" s="692" t="n"/>
      <c r="Z315" s="692" t="n"/>
      <c r="AA315" s="692" t="n"/>
      <c r="AB315" s="692" t="n"/>
      <c r="AC315" s="692" t="n"/>
      <c r="AD315" s="692" t="n"/>
      <c r="AE315" s="692" t="n"/>
      <c r="AF315" s="692" t="n"/>
      <c r="AG315" s="692" t="n"/>
      <c r="AH315" s="692" t="n"/>
      <c r="AI315" s="692" t="n"/>
      <c r="AJ315" s="692" t="n"/>
      <c r="AK315" s="692" t="n"/>
      <c r="AL315" s="692" t="n"/>
      <c r="AM315" s="692" t="n"/>
      <c r="AN315" s="692" t="n"/>
      <c r="AO315" s="692" t="n"/>
      <c r="AP315" s="692" t="n"/>
    </row>
    <row r="316">
      <c r="A316" s="692" t="n"/>
      <c r="B316" s="692" t="n"/>
      <c r="C316" s="692" t="n"/>
      <c r="D316" s="692" t="n"/>
      <c r="E316" s="692" t="n"/>
      <c r="F316" s="692" t="n"/>
      <c r="G316" s="692" t="n"/>
      <c r="H316" s="692" t="n"/>
      <c r="I316" s="692" t="n"/>
      <c r="J316" s="692" t="n"/>
      <c r="K316" s="692" t="n"/>
      <c r="L316" s="692" t="n"/>
      <c r="M316" s="692" t="n"/>
      <c r="N316" s="692" t="n"/>
      <c r="O316" s="692" t="n"/>
      <c r="P316" s="692" t="n"/>
      <c r="Q316" s="692" t="n"/>
      <c r="R316" s="692" t="n"/>
      <c r="S316" s="692" t="n"/>
      <c r="T316" s="692" t="n"/>
      <c r="U316" s="692" t="n"/>
      <c r="V316" s="692" t="n"/>
      <c r="W316" s="692" t="n"/>
      <c r="X316" s="692" t="n"/>
      <c r="Y316" s="692" t="n"/>
      <c r="Z316" s="692" t="n"/>
      <c r="AA316" s="692" t="n"/>
      <c r="AB316" s="692" t="n"/>
      <c r="AC316" s="692" t="n"/>
      <c r="AD316" s="692" t="n"/>
      <c r="AE316" s="692" t="n"/>
      <c r="AF316" s="692" t="n"/>
      <c r="AG316" s="692" t="n"/>
      <c r="AH316" s="692" t="n"/>
      <c r="AI316" s="692" t="n"/>
      <c r="AJ316" s="692" t="n"/>
      <c r="AK316" s="692" t="n"/>
      <c r="AL316" s="692" t="n"/>
      <c r="AM316" s="692" t="n"/>
      <c r="AN316" s="692" t="n"/>
      <c r="AO316" s="692" t="n"/>
      <c r="AP316" s="692" t="n"/>
    </row>
    <row r="317">
      <c r="A317" s="692" t="n"/>
      <c r="B317" s="692" t="n"/>
      <c r="C317" s="692" t="n"/>
      <c r="D317" s="692" t="n"/>
      <c r="E317" s="692" t="n"/>
      <c r="F317" s="692" t="n"/>
      <c r="G317" s="692" t="n"/>
      <c r="H317" s="692" t="n"/>
      <c r="I317" s="692" t="n"/>
      <c r="J317" s="692" t="n"/>
      <c r="K317" s="692" t="n"/>
      <c r="L317" s="692" t="n"/>
      <c r="M317" s="692" t="n"/>
      <c r="N317" s="692" t="n"/>
      <c r="O317" s="692" t="n"/>
      <c r="P317" s="692" t="n"/>
      <c r="Q317" s="692" t="n"/>
      <c r="R317" s="692" t="n"/>
      <c r="S317" s="692" t="n"/>
      <c r="T317" s="692" t="n"/>
      <c r="U317" s="692" t="n"/>
      <c r="V317" s="692" t="n"/>
      <c r="W317" s="692" t="n"/>
      <c r="X317" s="692" t="n"/>
      <c r="Y317" s="692" t="n"/>
      <c r="Z317" s="692" t="n"/>
      <c r="AA317" s="692" t="n"/>
      <c r="AB317" s="692" t="n"/>
      <c r="AC317" s="692" t="n"/>
      <c r="AD317" s="692" t="n"/>
      <c r="AE317" s="692" t="n"/>
      <c r="AF317" s="692" t="n"/>
      <c r="AG317" s="692" t="n"/>
      <c r="AH317" s="692" t="n"/>
      <c r="AI317" s="692" t="n"/>
      <c r="AJ317" s="692" t="n"/>
      <c r="AK317" s="692" t="n"/>
      <c r="AL317" s="692" t="n"/>
      <c r="AM317" s="692" t="n"/>
      <c r="AN317" s="692" t="n"/>
      <c r="AO317" s="692" t="n"/>
      <c r="AP317" s="692" t="n"/>
    </row>
    <row r="318">
      <c r="A318" s="692" t="n"/>
      <c r="B318" s="692" t="n"/>
      <c r="C318" s="692" t="n"/>
      <c r="D318" s="692" t="n"/>
      <c r="E318" s="692" t="n"/>
      <c r="F318" s="692" t="n"/>
      <c r="G318" s="692" t="n"/>
      <c r="H318" s="692" t="n"/>
      <c r="I318" s="692" t="n"/>
      <c r="J318" s="692" t="n"/>
      <c r="K318" s="692" t="n"/>
      <c r="L318" s="692" t="n"/>
      <c r="M318" s="692" t="n"/>
      <c r="N318" s="692" t="n"/>
      <c r="O318" s="692" t="n"/>
      <c r="P318" s="692" t="n"/>
      <c r="Q318" s="692" t="n"/>
      <c r="R318" s="692" t="n"/>
      <c r="S318" s="692" t="n"/>
      <c r="T318" s="692" t="n"/>
      <c r="U318" s="692" t="n"/>
      <c r="V318" s="692" t="n"/>
      <c r="W318" s="692" t="n"/>
      <c r="X318" s="692" t="n"/>
      <c r="Y318" s="692" t="n"/>
      <c r="Z318" s="692" t="n"/>
      <c r="AA318" s="692" t="n"/>
      <c r="AB318" s="692" t="n"/>
      <c r="AC318" s="692" t="n"/>
      <c r="AD318" s="692" t="n"/>
      <c r="AE318" s="692" t="n"/>
      <c r="AF318" s="692" t="n"/>
      <c r="AG318" s="692" t="n"/>
      <c r="AH318" s="692" t="n"/>
      <c r="AI318" s="692" t="n"/>
      <c r="AJ318" s="692" t="n"/>
      <c r="AK318" s="692" t="n"/>
      <c r="AL318" s="692" t="n"/>
      <c r="AM318" s="692" t="n"/>
      <c r="AN318" s="692" t="n"/>
      <c r="AO318" s="692" t="n"/>
      <c r="AP318" s="692" t="n"/>
    </row>
    <row r="319">
      <c r="A319" s="692" t="n"/>
      <c r="B319" s="692" t="n"/>
      <c r="C319" s="692" t="n"/>
      <c r="D319" s="692" t="n"/>
      <c r="E319" s="692" t="n"/>
      <c r="F319" s="692" t="n"/>
      <c r="G319" s="692" t="n"/>
      <c r="H319" s="692" t="n"/>
      <c r="I319" s="692" t="n"/>
      <c r="J319" s="692" t="n"/>
      <c r="K319" s="692" t="n"/>
      <c r="L319" s="692" t="n"/>
      <c r="M319" s="692" t="n"/>
      <c r="N319" s="692" t="n"/>
      <c r="O319" s="692" t="n"/>
      <c r="P319" s="692" t="n"/>
      <c r="Q319" s="692" t="n"/>
      <c r="R319" s="692" t="n"/>
      <c r="S319" s="692" t="n"/>
      <c r="T319" s="692" t="n"/>
      <c r="U319" s="692" t="n"/>
      <c r="V319" s="692" t="n"/>
      <c r="W319" s="692" t="n"/>
      <c r="X319" s="692" t="n"/>
      <c r="Y319" s="692" t="n"/>
      <c r="Z319" s="692" t="n"/>
      <c r="AA319" s="692" t="n"/>
      <c r="AB319" s="692" t="n"/>
      <c r="AC319" s="692" t="n"/>
      <c r="AD319" s="692" t="n"/>
      <c r="AE319" s="692" t="n"/>
      <c r="AF319" s="692" t="n"/>
      <c r="AG319" s="692" t="n"/>
      <c r="AH319" s="692" t="n"/>
      <c r="AI319" s="692" t="n"/>
      <c r="AJ319" s="692" t="n"/>
      <c r="AK319" s="692" t="n"/>
      <c r="AL319" s="692" t="n"/>
      <c r="AM319" s="692" t="n"/>
      <c r="AN319" s="692" t="n"/>
      <c r="AO319" s="692" t="n"/>
      <c r="AP319" s="692" t="n"/>
    </row>
    <row r="320">
      <c r="A320" s="692" t="n"/>
      <c r="B320" s="692" t="n"/>
      <c r="C320" s="692" t="n"/>
      <c r="D320" s="692" t="n"/>
      <c r="E320" s="692" t="n"/>
      <c r="F320" s="692" t="n"/>
      <c r="G320" s="692" t="n"/>
      <c r="H320" s="692" t="n"/>
      <c r="I320" s="692" t="n"/>
      <c r="J320" s="692" t="n"/>
      <c r="K320" s="692" t="n"/>
      <c r="L320" s="692" t="n"/>
      <c r="M320" s="692" t="n"/>
      <c r="N320" s="692" t="n"/>
      <c r="O320" s="692" t="n"/>
      <c r="P320" s="692" t="n"/>
      <c r="Q320" s="692" t="n"/>
      <c r="R320" s="692" t="n"/>
      <c r="S320" s="692" t="n"/>
      <c r="T320" s="692" t="n"/>
      <c r="U320" s="692" t="n"/>
      <c r="V320" s="692" t="n"/>
      <c r="W320" s="692" t="n"/>
      <c r="X320" s="692" t="n"/>
      <c r="Y320" s="692" t="n"/>
      <c r="Z320" s="692" t="n"/>
      <c r="AA320" s="692" t="n"/>
      <c r="AB320" s="692" t="n"/>
      <c r="AC320" s="692" t="n"/>
      <c r="AD320" s="692" t="n"/>
      <c r="AE320" s="692" t="n"/>
      <c r="AF320" s="692" t="n"/>
      <c r="AG320" s="692" t="n"/>
      <c r="AH320" s="692" t="n"/>
      <c r="AI320" s="692" t="n"/>
      <c r="AJ320" s="692" t="n"/>
      <c r="AK320" s="692" t="n"/>
      <c r="AL320" s="692" t="n"/>
      <c r="AM320" s="692" t="n"/>
      <c r="AN320" s="692" t="n"/>
      <c r="AO320" s="692" t="n"/>
      <c r="AP320" s="692" t="n"/>
    </row>
    <row r="321">
      <c r="A321" s="692" t="n"/>
      <c r="B321" s="692" t="n"/>
      <c r="C321" s="692" t="n"/>
      <c r="D321" s="692" t="n"/>
      <c r="E321" s="692" t="n"/>
      <c r="F321" s="692" t="n"/>
      <c r="G321" s="692" t="n"/>
      <c r="H321" s="692" t="n"/>
      <c r="I321" s="692" t="n"/>
      <c r="J321" s="692" t="n"/>
      <c r="K321" s="692" t="n"/>
      <c r="L321" s="692" t="n"/>
      <c r="M321" s="692" t="n"/>
      <c r="N321" s="692" t="n"/>
      <c r="O321" s="692" t="n"/>
      <c r="P321" s="692" t="n"/>
      <c r="Q321" s="692" t="n"/>
      <c r="R321" s="692" t="n"/>
      <c r="S321" s="692" t="n"/>
      <c r="T321" s="692" t="n"/>
      <c r="U321" s="692" t="n"/>
      <c r="V321" s="692" t="n"/>
      <c r="W321" s="692" t="n"/>
      <c r="X321" s="692" t="n"/>
      <c r="Y321" s="692" t="n"/>
      <c r="Z321" s="692" t="n"/>
      <c r="AA321" s="692" t="n"/>
      <c r="AB321" s="692" t="n"/>
      <c r="AC321" s="692" t="n"/>
      <c r="AD321" s="692" t="n"/>
      <c r="AE321" s="692" t="n"/>
      <c r="AF321" s="692" t="n"/>
      <c r="AG321" s="692" t="n"/>
      <c r="AH321" s="692" t="n"/>
      <c r="AI321" s="692" t="n"/>
      <c r="AJ321" s="692" t="n"/>
      <c r="AK321" s="692" t="n"/>
      <c r="AL321" s="692" t="n"/>
      <c r="AM321" s="692" t="n"/>
      <c r="AN321" s="692" t="n"/>
      <c r="AO321" s="692" t="n"/>
      <c r="AP321" s="692" t="n"/>
    </row>
    <row r="322">
      <c r="A322" s="692" t="n"/>
      <c r="B322" s="692" t="n"/>
      <c r="C322" s="692" t="n"/>
      <c r="D322" s="692" t="n"/>
      <c r="E322" s="692" t="n"/>
      <c r="F322" s="692" t="n"/>
      <c r="G322" s="692" t="n"/>
      <c r="H322" s="692" t="n"/>
      <c r="I322" s="692" t="n"/>
      <c r="J322" s="692" t="n"/>
      <c r="K322" s="692" t="n"/>
      <c r="L322" s="692" t="n"/>
      <c r="M322" s="692" t="n"/>
      <c r="N322" s="692" t="n"/>
      <c r="O322" s="692" t="n"/>
      <c r="P322" s="692" t="n"/>
      <c r="Q322" s="692" t="n"/>
      <c r="R322" s="692" t="n"/>
      <c r="S322" s="692" t="n"/>
      <c r="T322" s="692" t="n"/>
      <c r="U322" s="692" t="n"/>
      <c r="V322" s="692" t="n"/>
      <c r="W322" s="692" t="n"/>
      <c r="X322" s="692" t="n"/>
      <c r="Y322" s="692" t="n"/>
      <c r="Z322" s="692" t="n"/>
      <c r="AA322" s="692" t="n"/>
      <c r="AB322" s="692" t="n"/>
      <c r="AC322" s="692" t="n"/>
      <c r="AD322" s="692" t="n"/>
      <c r="AE322" s="692" t="n"/>
      <c r="AF322" s="692" t="n"/>
      <c r="AG322" s="692" t="n"/>
      <c r="AH322" s="692" t="n"/>
      <c r="AI322" s="692" t="n"/>
      <c r="AJ322" s="692" t="n"/>
      <c r="AK322" s="692" t="n"/>
      <c r="AL322" s="692" t="n"/>
      <c r="AM322" s="692" t="n"/>
      <c r="AN322" s="692" t="n"/>
      <c r="AO322" s="692" t="n"/>
      <c r="AP322" s="692" t="n"/>
    </row>
    <row r="323">
      <c r="A323" s="692" t="n"/>
      <c r="B323" s="692" t="n"/>
      <c r="C323" s="692" t="n"/>
      <c r="D323" s="692" t="n"/>
      <c r="E323" s="692" t="n"/>
      <c r="F323" s="692" t="n"/>
      <c r="G323" s="692" t="n"/>
      <c r="H323" s="692" t="n"/>
      <c r="I323" s="692" t="n"/>
      <c r="J323" s="692" t="n"/>
      <c r="K323" s="692" t="n"/>
      <c r="L323" s="692" t="n"/>
      <c r="M323" s="692" t="n"/>
      <c r="N323" s="692" t="n"/>
      <c r="O323" s="692" t="n"/>
      <c r="P323" s="692" t="n"/>
      <c r="Q323" s="692" t="n"/>
      <c r="R323" s="692" t="n"/>
      <c r="S323" s="692" t="n"/>
      <c r="T323" s="692" t="n"/>
      <c r="U323" s="692" t="n"/>
      <c r="V323" s="692" t="n"/>
      <c r="W323" s="692" t="n"/>
      <c r="X323" s="692" t="n"/>
      <c r="Y323" s="692" t="n"/>
      <c r="Z323" s="692" t="n"/>
      <c r="AA323" s="692" t="n"/>
      <c r="AB323" s="692" t="n"/>
      <c r="AC323" s="692" t="n"/>
      <c r="AD323" s="692" t="n"/>
      <c r="AE323" s="692" t="n"/>
      <c r="AF323" s="692" t="n"/>
      <c r="AG323" s="692" t="n"/>
      <c r="AH323" s="692" t="n"/>
      <c r="AI323" s="692" t="n"/>
      <c r="AJ323" s="692" t="n"/>
      <c r="AK323" s="692" t="n"/>
      <c r="AL323" s="692" t="n"/>
      <c r="AM323" s="692" t="n"/>
      <c r="AN323" s="692" t="n"/>
      <c r="AO323" s="692" t="n"/>
      <c r="AP323" s="692" t="n"/>
    </row>
    <row r="324">
      <c r="A324" s="692" t="n"/>
      <c r="B324" s="692" t="n"/>
      <c r="C324" s="692" t="n"/>
      <c r="D324" s="692" t="n"/>
      <c r="E324" s="692" t="n"/>
      <c r="F324" s="692" t="n"/>
      <c r="G324" s="692" t="n"/>
      <c r="H324" s="692" t="n"/>
      <c r="I324" s="692" t="n"/>
      <c r="J324" s="692" t="n"/>
      <c r="K324" s="692" t="n"/>
      <c r="L324" s="692" t="n"/>
      <c r="M324" s="692" t="n"/>
      <c r="N324" s="692" t="n"/>
      <c r="O324" s="692" t="n"/>
      <c r="P324" s="692" t="n"/>
      <c r="Q324" s="692" t="n"/>
      <c r="R324" s="692" t="n"/>
      <c r="S324" s="692" t="n"/>
      <c r="T324" s="692" t="n"/>
      <c r="U324" s="692" t="n"/>
      <c r="V324" s="692" t="n"/>
      <c r="W324" s="692" t="n"/>
      <c r="X324" s="692" t="n"/>
      <c r="Y324" s="692" t="n"/>
      <c r="Z324" s="692" t="n"/>
      <c r="AA324" s="692" t="n"/>
      <c r="AB324" s="692" t="n"/>
      <c r="AC324" s="692" t="n"/>
      <c r="AD324" s="692" t="n"/>
      <c r="AE324" s="692" t="n"/>
      <c r="AF324" s="692" t="n"/>
      <c r="AG324" s="692" t="n"/>
      <c r="AH324" s="692" t="n"/>
      <c r="AI324" s="692" t="n"/>
      <c r="AJ324" s="692" t="n"/>
      <c r="AK324" s="692" t="n"/>
      <c r="AL324" s="692" t="n"/>
      <c r="AM324" s="692" t="n"/>
      <c r="AN324" s="692" t="n"/>
      <c r="AO324" s="692" t="n"/>
      <c r="AP324" s="692" t="n"/>
    </row>
    <row r="325">
      <c r="A325" s="692" t="n"/>
      <c r="B325" s="692" t="n"/>
      <c r="C325" s="692" t="n"/>
      <c r="D325" s="692" t="n"/>
      <c r="E325" s="692" t="n"/>
      <c r="F325" s="692" t="n"/>
      <c r="G325" s="692" t="n"/>
      <c r="H325" s="692" t="n"/>
      <c r="I325" s="692" t="n"/>
      <c r="J325" s="692" t="n"/>
      <c r="K325" s="692" t="n"/>
      <c r="L325" s="692" t="n"/>
      <c r="M325" s="692" t="n"/>
      <c r="N325" s="692" t="n"/>
      <c r="O325" s="692" t="n"/>
      <c r="P325" s="692" t="n"/>
      <c r="Q325" s="692" t="n"/>
      <c r="R325" s="692" t="n"/>
      <c r="S325" s="692" t="n"/>
      <c r="T325" s="692" t="n"/>
      <c r="U325" s="692" t="n"/>
      <c r="V325" s="692" t="n"/>
      <c r="W325" s="692" t="n"/>
      <c r="X325" s="692" t="n"/>
      <c r="Y325" s="692" t="n"/>
      <c r="Z325" s="692" t="n"/>
      <c r="AA325" s="692" t="n"/>
      <c r="AB325" s="692" t="n"/>
      <c r="AC325" s="692" t="n"/>
      <c r="AD325" s="692" t="n"/>
      <c r="AE325" s="692" t="n"/>
      <c r="AF325" s="692" t="n"/>
      <c r="AG325" s="692" t="n"/>
      <c r="AH325" s="692" t="n"/>
      <c r="AI325" s="692" t="n"/>
      <c r="AJ325" s="692" t="n"/>
      <c r="AK325" s="692" t="n"/>
      <c r="AL325" s="692" t="n"/>
      <c r="AM325" s="692" t="n"/>
      <c r="AN325" s="692" t="n"/>
      <c r="AO325" s="692" t="n"/>
      <c r="AP325" s="692" t="n"/>
    </row>
    <row r="326">
      <c r="A326" s="692" t="n"/>
      <c r="B326" s="692" t="n"/>
      <c r="C326" s="692" t="n"/>
      <c r="D326" s="692" t="n"/>
      <c r="E326" s="692" t="n"/>
      <c r="F326" s="692" t="n"/>
      <c r="G326" s="692" t="n"/>
      <c r="H326" s="692" t="n"/>
      <c r="I326" s="692" t="n"/>
      <c r="J326" s="692" t="n"/>
      <c r="K326" s="692" t="n"/>
      <c r="L326" s="692" t="n"/>
      <c r="M326" s="692" t="n"/>
      <c r="N326" s="692" t="n"/>
      <c r="O326" s="692" t="n"/>
      <c r="P326" s="692" t="n"/>
      <c r="Q326" s="692" t="n"/>
      <c r="R326" s="692" t="n"/>
      <c r="S326" s="692" t="n"/>
      <c r="T326" s="692" t="n"/>
      <c r="U326" s="692" t="n"/>
      <c r="V326" s="692" t="n"/>
      <c r="W326" s="692" t="n"/>
      <c r="X326" s="692" t="n"/>
      <c r="Y326" s="692" t="n"/>
      <c r="Z326" s="692" t="n"/>
      <c r="AA326" s="692" t="n"/>
      <c r="AB326" s="692" t="n"/>
      <c r="AC326" s="692" t="n"/>
      <c r="AD326" s="692" t="n"/>
      <c r="AE326" s="692" t="n"/>
      <c r="AF326" s="692" t="n"/>
      <c r="AG326" s="692" t="n"/>
      <c r="AH326" s="692" t="n"/>
      <c r="AI326" s="692" t="n"/>
      <c r="AJ326" s="692" t="n"/>
      <c r="AK326" s="692" t="n"/>
      <c r="AL326" s="692" t="n"/>
      <c r="AM326" s="692" t="n"/>
      <c r="AN326" s="692" t="n"/>
      <c r="AO326" s="692" t="n"/>
      <c r="AP326" s="692" t="n"/>
    </row>
    <row r="327">
      <c r="A327" s="692" t="n"/>
      <c r="B327" s="692" t="n"/>
      <c r="C327" s="692" t="n"/>
      <c r="D327" s="692" t="n"/>
      <c r="E327" s="692" t="n"/>
      <c r="F327" s="692" t="n"/>
      <c r="G327" s="692" t="n"/>
      <c r="H327" s="692" t="n"/>
      <c r="I327" s="692" t="n"/>
      <c r="J327" s="692" t="n"/>
      <c r="K327" s="692" t="n"/>
      <c r="L327" s="692" t="n"/>
      <c r="M327" s="692" t="n"/>
      <c r="N327" s="692" t="n"/>
      <c r="O327" s="692" t="n"/>
      <c r="P327" s="692" t="n"/>
      <c r="Q327" s="692" t="n"/>
      <c r="R327" s="692" t="n"/>
      <c r="S327" s="692" t="n"/>
      <c r="T327" s="692" t="n"/>
      <c r="U327" s="692" t="n"/>
      <c r="V327" s="692" t="n"/>
      <c r="W327" s="692" t="n"/>
      <c r="X327" s="692" t="n"/>
      <c r="Y327" s="692" t="n"/>
      <c r="Z327" s="692" t="n"/>
      <c r="AA327" s="692" t="n"/>
      <c r="AB327" s="692" t="n"/>
      <c r="AC327" s="692" t="n"/>
      <c r="AD327" s="692" t="n"/>
      <c r="AE327" s="692" t="n"/>
      <c r="AF327" s="692" t="n"/>
      <c r="AG327" s="692" t="n"/>
      <c r="AH327" s="692" t="n"/>
      <c r="AI327" s="692" t="n"/>
      <c r="AJ327" s="692" t="n"/>
      <c r="AK327" s="692" t="n"/>
      <c r="AL327" s="692" t="n"/>
      <c r="AM327" s="692" t="n"/>
      <c r="AN327" s="692" t="n"/>
      <c r="AO327" s="692" t="n"/>
      <c r="AP327" s="692" t="n"/>
    </row>
    <row r="328">
      <c r="A328" s="692" t="n"/>
      <c r="B328" s="692" t="n"/>
      <c r="C328" s="692" t="n"/>
      <c r="D328" s="692" t="n"/>
      <c r="E328" s="692" t="n"/>
      <c r="F328" s="692" t="n"/>
      <c r="G328" s="692" t="n"/>
      <c r="H328" s="692" t="n"/>
      <c r="I328" s="692" t="n"/>
      <c r="J328" s="692" t="n"/>
      <c r="K328" s="692" t="n"/>
      <c r="L328" s="692" t="n"/>
      <c r="M328" s="692" t="n"/>
      <c r="N328" s="692" t="n"/>
      <c r="O328" s="692" t="n"/>
      <c r="P328" s="692" t="n"/>
      <c r="Q328" s="692" t="n"/>
      <c r="R328" s="692" t="n"/>
      <c r="S328" s="692" t="n"/>
      <c r="T328" s="692" t="n"/>
      <c r="U328" s="692" t="n"/>
      <c r="V328" s="692" t="n"/>
      <c r="W328" s="692" t="n"/>
      <c r="X328" s="692" t="n"/>
      <c r="Y328" s="692" t="n"/>
      <c r="Z328" s="692" t="n"/>
      <c r="AA328" s="692" t="n"/>
      <c r="AB328" s="692" t="n"/>
      <c r="AC328" s="692" t="n"/>
      <c r="AD328" s="692" t="n"/>
      <c r="AE328" s="692" t="n"/>
      <c r="AF328" s="692" t="n"/>
      <c r="AG328" s="692" t="n"/>
      <c r="AH328" s="692" t="n"/>
      <c r="AI328" s="692" t="n"/>
      <c r="AJ328" s="692" t="n"/>
      <c r="AK328" s="692" t="n"/>
      <c r="AL328" s="692" t="n"/>
      <c r="AM328" s="692" t="n"/>
      <c r="AN328" s="692" t="n"/>
      <c r="AO328" s="692" t="n"/>
      <c r="AP328" s="692" t="n"/>
    </row>
    <row r="329">
      <c r="A329" s="692" t="n"/>
      <c r="B329" s="692" t="n"/>
      <c r="C329" s="692" t="n"/>
      <c r="D329" s="692" t="n"/>
      <c r="E329" s="692" t="n"/>
      <c r="F329" s="692" t="n"/>
      <c r="G329" s="692" t="n"/>
      <c r="H329" s="692" t="n"/>
      <c r="I329" s="692" t="n"/>
      <c r="J329" s="692" t="n"/>
      <c r="K329" s="692" t="n"/>
      <c r="L329" s="692" t="n"/>
      <c r="M329" s="692" t="n"/>
      <c r="N329" s="692" t="n"/>
      <c r="O329" s="692" t="n"/>
      <c r="P329" s="692" t="n"/>
      <c r="Q329" s="692" t="n"/>
      <c r="R329" s="692" t="n"/>
      <c r="S329" s="692" t="n"/>
      <c r="T329" s="692" t="n"/>
      <c r="U329" s="692" t="n"/>
      <c r="V329" s="692" t="n"/>
      <c r="W329" s="692" t="n"/>
      <c r="X329" s="692" t="n"/>
      <c r="Y329" s="692" t="n"/>
      <c r="Z329" s="692" t="n"/>
      <c r="AA329" s="692" t="n"/>
      <c r="AB329" s="692" t="n"/>
      <c r="AC329" s="692" t="n"/>
      <c r="AD329" s="692" t="n"/>
      <c r="AE329" s="692" t="n"/>
      <c r="AF329" s="692" t="n"/>
      <c r="AG329" s="692" t="n"/>
      <c r="AH329" s="692" t="n"/>
      <c r="AI329" s="692" t="n"/>
      <c r="AJ329" s="692" t="n"/>
      <c r="AK329" s="692" t="n"/>
      <c r="AL329" s="692" t="n"/>
      <c r="AM329" s="692" t="n"/>
      <c r="AN329" s="692" t="n"/>
      <c r="AO329" s="692" t="n"/>
      <c r="AP329" s="692" t="n"/>
    </row>
    <row r="330">
      <c r="A330" s="692" t="n"/>
      <c r="B330" s="692" t="n"/>
      <c r="C330" s="692" t="n"/>
      <c r="D330" s="692" t="n"/>
      <c r="E330" s="692" t="n"/>
      <c r="F330" s="692" t="n"/>
      <c r="G330" s="692" t="n"/>
      <c r="H330" s="692" t="n"/>
      <c r="I330" s="692" t="n"/>
      <c r="J330" s="692" t="n"/>
      <c r="K330" s="692" t="n"/>
      <c r="L330" s="692" t="n"/>
      <c r="M330" s="692" t="n"/>
      <c r="N330" s="692" t="n"/>
      <c r="O330" s="692" t="n"/>
      <c r="P330" s="692" t="n"/>
      <c r="Q330" s="692" t="n"/>
      <c r="R330" s="692" t="n"/>
      <c r="S330" s="692" t="n"/>
      <c r="T330" s="692" t="n"/>
      <c r="U330" s="692" t="n"/>
      <c r="V330" s="692" t="n"/>
      <c r="W330" s="692" t="n"/>
      <c r="X330" s="692" t="n"/>
      <c r="Y330" s="692" t="n"/>
      <c r="Z330" s="692" t="n"/>
      <c r="AA330" s="692" t="n"/>
      <c r="AB330" s="692" t="n"/>
      <c r="AC330" s="692" t="n"/>
      <c r="AD330" s="692" t="n"/>
      <c r="AE330" s="692" t="n"/>
      <c r="AF330" s="692" t="n"/>
      <c r="AG330" s="692" t="n"/>
      <c r="AH330" s="692" t="n"/>
      <c r="AI330" s="692" t="n"/>
      <c r="AJ330" s="692" t="n"/>
      <c r="AK330" s="692" t="n"/>
      <c r="AL330" s="692" t="n"/>
      <c r="AM330" s="692" t="n"/>
      <c r="AN330" s="692" t="n"/>
      <c r="AO330" s="692" t="n"/>
      <c r="AP330" s="692" t="n"/>
    </row>
    <row r="331">
      <c r="A331" s="692" t="n"/>
      <c r="B331" s="692" t="n"/>
      <c r="C331" s="692" t="n"/>
      <c r="D331" s="692" t="n"/>
      <c r="E331" s="692" t="n"/>
      <c r="F331" s="692" t="n"/>
      <c r="G331" s="692" t="n"/>
      <c r="H331" s="692" t="n"/>
      <c r="I331" s="692" t="n"/>
      <c r="J331" s="692" t="n"/>
      <c r="K331" s="692" t="n"/>
      <c r="L331" s="692" t="n"/>
      <c r="M331" s="692" t="n"/>
      <c r="N331" s="692" t="n"/>
      <c r="O331" s="692" t="n"/>
      <c r="P331" s="692" t="n"/>
      <c r="Q331" s="692" t="n"/>
      <c r="R331" s="692" t="n"/>
      <c r="S331" s="692" t="n"/>
      <c r="T331" s="692" t="n"/>
      <c r="U331" s="692" t="n"/>
      <c r="V331" s="692" t="n"/>
      <c r="W331" s="692" t="n"/>
      <c r="X331" s="692" t="n"/>
      <c r="Y331" s="692" t="n"/>
      <c r="Z331" s="692" t="n"/>
      <c r="AA331" s="692" t="n"/>
      <c r="AB331" s="692" t="n"/>
      <c r="AC331" s="692" t="n"/>
      <c r="AD331" s="692" t="n"/>
      <c r="AE331" s="692" t="n"/>
      <c r="AF331" s="692" t="n"/>
      <c r="AG331" s="692" t="n"/>
      <c r="AH331" s="692" t="n"/>
      <c r="AI331" s="692" t="n"/>
      <c r="AJ331" s="692" t="n"/>
      <c r="AK331" s="692" t="n"/>
      <c r="AL331" s="692" t="n"/>
      <c r="AM331" s="692" t="n"/>
      <c r="AN331" s="692" t="n"/>
      <c r="AO331" s="692" t="n"/>
      <c r="AP331" s="692" t="n"/>
    </row>
    <row r="332">
      <c r="A332" s="692" t="n"/>
      <c r="B332" s="692" t="n"/>
      <c r="C332" s="692" t="n"/>
      <c r="D332" s="692" t="n"/>
      <c r="E332" s="692" t="n"/>
      <c r="F332" s="692" t="n"/>
      <c r="G332" s="692" t="n"/>
      <c r="H332" s="692" t="n"/>
      <c r="I332" s="692" t="n"/>
      <c r="J332" s="692" t="n"/>
      <c r="K332" s="692" t="n"/>
      <c r="L332" s="692" t="n"/>
      <c r="M332" s="692" t="n"/>
      <c r="N332" s="692" t="n"/>
      <c r="O332" s="692" t="n"/>
      <c r="P332" s="692" t="n"/>
      <c r="Q332" s="692" t="n"/>
      <c r="R332" s="692" t="n"/>
      <c r="S332" s="692" t="n"/>
      <c r="T332" s="692" t="n"/>
      <c r="U332" s="692" t="n"/>
      <c r="V332" s="692" t="n"/>
      <c r="W332" s="692" t="n"/>
      <c r="X332" s="692" t="n"/>
      <c r="Y332" s="692" t="n"/>
      <c r="Z332" s="692" t="n"/>
      <c r="AA332" s="692" t="n"/>
      <c r="AB332" s="692" t="n"/>
      <c r="AC332" s="692" t="n"/>
      <c r="AD332" s="692" t="n"/>
      <c r="AE332" s="692" t="n"/>
      <c r="AF332" s="692" t="n"/>
      <c r="AG332" s="692" t="n"/>
      <c r="AH332" s="692" t="n"/>
      <c r="AI332" s="692" t="n"/>
      <c r="AJ332" s="692" t="n"/>
      <c r="AK332" s="692" t="n"/>
      <c r="AL332" s="692" t="n"/>
      <c r="AM332" s="692" t="n"/>
      <c r="AN332" s="692" t="n"/>
      <c r="AO332" s="692" t="n"/>
      <c r="AP332" s="692" t="n"/>
    </row>
    <row r="333">
      <c r="A333" s="692" t="n"/>
      <c r="B333" s="692" t="n"/>
      <c r="C333" s="692" t="n"/>
      <c r="D333" s="692" t="n"/>
      <c r="E333" s="692" t="n"/>
      <c r="F333" s="692" t="n"/>
      <c r="G333" s="692" t="n"/>
      <c r="H333" s="692" t="n"/>
      <c r="I333" s="692" t="n"/>
      <c r="J333" s="692" t="n"/>
      <c r="K333" s="692" t="n"/>
      <c r="L333" s="692" t="n"/>
      <c r="M333" s="692" t="n"/>
      <c r="N333" s="692" t="n"/>
      <c r="O333" s="692" t="n"/>
      <c r="P333" s="692" t="n"/>
      <c r="Q333" s="692" t="n"/>
      <c r="R333" s="692" t="n"/>
      <c r="S333" s="692" t="n"/>
      <c r="T333" s="692" t="n"/>
      <c r="U333" s="692" t="n"/>
      <c r="V333" s="692" t="n"/>
      <c r="W333" s="692" t="n"/>
      <c r="X333" s="692" t="n"/>
      <c r="Y333" s="692" t="n"/>
      <c r="Z333" s="692" t="n"/>
      <c r="AA333" s="692" t="n"/>
      <c r="AB333" s="692" t="n"/>
      <c r="AC333" s="692" t="n"/>
      <c r="AD333" s="692" t="n"/>
      <c r="AE333" s="692" t="n"/>
      <c r="AF333" s="692" t="n"/>
      <c r="AG333" s="692" t="n"/>
      <c r="AH333" s="692" t="n"/>
      <c r="AI333" s="692" t="n"/>
      <c r="AJ333" s="692" t="n"/>
      <c r="AK333" s="692" t="n"/>
      <c r="AL333" s="692" t="n"/>
      <c r="AM333" s="692" t="n"/>
      <c r="AN333" s="692" t="n"/>
      <c r="AO333" s="692" t="n"/>
      <c r="AP333" s="692" t="n"/>
    </row>
    <row r="334">
      <c r="A334" s="692" t="n"/>
      <c r="B334" s="692" t="n"/>
      <c r="C334" s="692" t="n"/>
      <c r="D334" s="692" t="n"/>
      <c r="E334" s="692" t="n"/>
      <c r="F334" s="692" t="n"/>
      <c r="G334" s="692" t="n"/>
      <c r="H334" s="692" t="n"/>
      <c r="I334" s="692" t="n"/>
      <c r="J334" s="692" t="n"/>
      <c r="K334" s="692" t="n"/>
      <c r="L334" s="692" t="n"/>
      <c r="M334" s="692" t="n"/>
      <c r="N334" s="692" t="n"/>
      <c r="O334" s="692" t="n"/>
      <c r="P334" s="692" t="n"/>
      <c r="Q334" s="692" t="n"/>
      <c r="R334" s="692" t="n"/>
      <c r="S334" s="692" t="n"/>
      <c r="T334" s="692" t="n"/>
      <c r="U334" s="692" t="n"/>
      <c r="V334" s="692" t="n"/>
      <c r="W334" s="692" t="n"/>
      <c r="X334" s="692" t="n"/>
      <c r="Y334" s="692" t="n"/>
      <c r="Z334" s="692" t="n"/>
      <c r="AA334" s="692" t="n"/>
      <c r="AB334" s="692" t="n"/>
      <c r="AC334" s="692" t="n"/>
      <c r="AD334" s="692" t="n"/>
      <c r="AE334" s="692" t="n"/>
      <c r="AF334" s="692" t="n"/>
      <c r="AG334" s="692" t="n"/>
      <c r="AH334" s="692" t="n"/>
      <c r="AI334" s="692" t="n"/>
      <c r="AJ334" s="692" t="n"/>
      <c r="AK334" s="692" t="n"/>
      <c r="AL334" s="692" t="n"/>
      <c r="AM334" s="692" t="n"/>
      <c r="AN334" s="692" t="n"/>
      <c r="AO334" s="692" t="n"/>
      <c r="AP334" s="692" t="n"/>
    </row>
    <row r="335">
      <c r="A335" s="692" t="n"/>
      <c r="B335" s="692" t="n"/>
      <c r="C335" s="692" t="n"/>
      <c r="D335" s="692" t="n"/>
      <c r="E335" s="692" t="n"/>
      <c r="F335" s="692" t="n"/>
      <c r="G335" s="692" t="n"/>
      <c r="H335" s="692" t="n"/>
      <c r="I335" s="692" t="n"/>
      <c r="J335" s="692" t="n"/>
      <c r="K335" s="692" t="n"/>
      <c r="L335" s="692" t="n"/>
      <c r="M335" s="692" t="n"/>
      <c r="N335" s="692" t="n"/>
      <c r="O335" s="692" t="n"/>
      <c r="P335" s="692" t="n"/>
      <c r="Q335" s="692" t="n"/>
      <c r="R335" s="692" t="n"/>
      <c r="S335" s="692" t="n"/>
      <c r="T335" s="692" t="n"/>
      <c r="U335" s="692" t="n"/>
      <c r="V335" s="692" t="n"/>
      <c r="W335" s="692" t="n"/>
      <c r="X335" s="692" t="n"/>
      <c r="Y335" s="692" t="n"/>
      <c r="Z335" s="692" t="n"/>
      <c r="AA335" s="692" t="n"/>
      <c r="AB335" s="692" t="n"/>
      <c r="AC335" s="692" t="n"/>
      <c r="AD335" s="692" t="n"/>
      <c r="AE335" s="692" t="n"/>
      <c r="AF335" s="692" t="n"/>
      <c r="AG335" s="692" t="n"/>
      <c r="AH335" s="692" t="n"/>
      <c r="AI335" s="692" t="n"/>
      <c r="AJ335" s="692" t="n"/>
      <c r="AK335" s="692" t="n"/>
      <c r="AL335" s="692" t="n"/>
      <c r="AM335" s="692" t="n"/>
      <c r="AN335" s="692" t="n"/>
      <c r="AO335" s="692" t="n"/>
      <c r="AP335" s="692" t="n"/>
    </row>
    <row r="336">
      <c r="A336" s="692" t="n"/>
      <c r="B336" s="692" t="n"/>
      <c r="C336" s="692" t="n"/>
      <c r="D336" s="692" t="n"/>
      <c r="E336" s="692" t="n"/>
      <c r="F336" s="692" t="n"/>
      <c r="G336" s="692" t="n"/>
      <c r="H336" s="692" t="n"/>
      <c r="I336" s="692" t="n"/>
      <c r="J336" s="692" t="n"/>
      <c r="K336" s="692" t="n"/>
      <c r="L336" s="692" t="n"/>
      <c r="M336" s="692" t="n"/>
      <c r="N336" s="692" t="n"/>
      <c r="O336" s="692" t="n"/>
      <c r="P336" s="692" t="n"/>
      <c r="Q336" s="692" t="n"/>
      <c r="R336" s="692" t="n"/>
      <c r="S336" s="692" t="n"/>
      <c r="T336" s="692" t="n"/>
      <c r="U336" s="692" t="n"/>
      <c r="V336" s="692" t="n"/>
      <c r="W336" s="692" t="n"/>
      <c r="X336" s="692" t="n"/>
      <c r="Y336" s="692" t="n"/>
      <c r="Z336" s="692" t="n"/>
      <c r="AA336" s="692" t="n"/>
      <c r="AB336" s="692" t="n"/>
      <c r="AC336" s="692" t="n"/>
      <c r="AD336" s="692" t="n"/>
      <c r="AE336" s="692" t="n"/>
      <c r="AF336" s="692" t="n"/>
      <c r="AG336" s="692" t="n"/>
      <c r="AH336" s="692" t="n"/>
      <c r="AI336" s="692" t="n"/>
      <c r="AJ336" s="692" t="n"/>
      <c r="AK336" s="692" t="n"/>
      <c r="AL336" s="692" t="n"/>
      <c r="AM336" s="692" t="n"/>
      <c r="AN336" s="692" t="n"/>
      <c r="AO336" s="692" t="n"/>
      <c r="AP336" s="692" t="n"/>
    </row>
    <row r="337">
      <c r="A337" s="692" t="n"/>
      <c r="B337" s="692" t="n"/>
      <c r="C337" s="692" t="n"/>
      <c r="D337" s="692" t="n"/>
      <c r="E337" s="692" t="n"/>
      <c r="F337" s="692" t="n"/>
      <c r="G337" s="692" t="n"/>
      <c r="H337" s="692" t="n"/>
      <c r="I337" s="692" t="n"/>
      <c r="J337" s="692" t="n"/>
      <c r="K337" s="692" t="n"/>
      <c r="L337" s="692" t="n"/>
      <c r="M337" s="692" t="n"/>
      <c r="N337" s="692" t="n"/>
      <c r="O337" s="692" t="n"/>
      <c r="P337" s="692" t="n"/>
      <c r="Q337" s="692" t="n"/>
      <c r="R337" s="692" t="n"/>
      <c r="S337" s="692" t="n"/>
      <c r="T337" s="692" t="n"/>
      <c r="U337" s="692" t="n"/>
      <c r="V337" s="692" t="n"/>
      <c r="W337" s="692" t="n"/>
      <c r="X337" s="692" t="n"/>
      <c r="Y337" s="692" t="n"/>
      <c r="Z337" s="692" t="n"/>
      <c r="AA337" s="692" t="n"/>
      <c r="AB337" s="692" t="n"/>
      <c r="AC337" s="692" t="n"/>
      <c r="AD337" s="692" t="n"/>
      <c r="AE337" s="692" t="n"/>
      <c r="AF337" s="692" t="n"/>
      <c r="AG337" s="692" t="n"/>
      <c r="AH337" s="692" t="n"/>
      <c r="AI337" s="692" t="n"/>
      <c r="AJ337" s="692" t="n"/>
      <c r="AK337" s="692" t="n"/>
      <c r="AL337" s="692" t="n"/>
      <c r="AM337" s="692" t="n"/>
      <c r="AN337" s="692" t="n"/>
      <c r="AO337" s="692" t="n"/>
      <c r="AP337" s="692" t="n"/>
    </row>
    <row r="338">
      <c r="A338" s="692" t="n"/>
      <c r="B338" s="692" t="n"/>
      <c r="C338" s="692" t="n"/>
      <c r="D338" s="692" t="n"/>
      <c r="E338" s="692" t="n"/>
      <c r="F338" s="692" t="n"/>
      <c r="G338" s="692" t="n"/>
      <c r="H338" s="692" t="n"/>
      <c r="I338" s="692" t="n"/>
      <c r="J338" s="692" t="n"/>
      <c r="K338" s="692" t="n"/>
      <c r="L338" s="692" t="n"/>
      <c r="M338" s="692" t="n"/>
      <c r="N338" s="692" t="n"/>
      <c r="O338" s="692" t="n"/>
      <c r="P338" s="692" t="n"/>
      <c r="Q338" s="692" t="n"/>
      <c r="R338" s="692" t="n"/>
      <c r="S338" s="692" t="n"/>
      <c r="T338" s="692" t="n"/>
      <c r="U338" s="692" t="n"/>
      <c r="V338" s="692" t="n"/>
      <c r="W338" s="692" t="n"/>
      <c r="X338" s="692" t="n"/>
      <c r="Y338" s="692" t="n"/>
      <c r="Z338" s="692" t="n"/>
      <c r="AA338" s="692" t="n"/>
      <c r="AB338" s="692" t="n"/>
      <c r="AC338" s="692" t="n"/>
      <c r="AD338" s="692" t="n"/>
      <c r="AE338" s="692" t="n"/>
      <c r="AF338" s="692" t="n"/>
      <c r="AG338" s="692" t="n"/>
      <c r="AH338" s="692" t="n"/>
      <c r="AI338" s="692" t="n"/>
      <c r="AJ338" s="692" t="n"/>
      <c r="AK338" s="692" t="n"/>
      <c r="AL338" s="692" t="n"/>
      <c r="AM338" s="692" t="n"/>
      <c r="AN338" s="692" t="n"/>
      <c r="AO338" s="692" t="n"/>
      <c r="AP338" s="692" t="n"/>
    </row>
    <row r="339">
      <c r="A339" s="692" t="n"/>
      <c r="B339" s="692" t="n"/>
      <c r="C339" s="692" t="n"/>
      <c r="D339" s="692" t="n"/>
      <c r="E339" s="692" t="n"/>
      <c r="F339" s="692" t="n"/>
      <c r="G339" s="692" t="n"/>
      <c r="H339" s="692" t="n"/>
      <c r="I339" s="692" t="n"/>
      <c r="J339" s="692" t="n"/>
      <c r="K339" s="692" t="n"/>
      <c r="L339" s="692" t="n"/>
      <c r="M339" s="692" t="n"/>
      <c r="N339" s="692" t="n"/>
      <c r="O339" s="692" t="n"/>
      <c r="P339" s="692" t="n"/>
      <c r="Q339" s="692" t="n"/>
      <c r="R339" s="692" t="n"/>
      <c r="S339" s="692" t="n"/>
      <c r="T339" s="692" t="n"/>
      <c r="U339" s="692" t="n"/>
      <c r="V339" s="692" t="n"/>
      <c r="W339" s="692" t="n"/>
      <c r="X339" s="692" t="n"/>
      <c r="Y339" s="692" t="n"/>
      <c r="Z339" s="692" t="n"/>
      <c r="AA339" s="692" t="n"/>
      <c r="AB339" s="692" t="n"/>
      <c r="AC339" s="692" t="n"/>
      <c r="AD339" s="692" t="n"/>
      <c r="AE339" s="692" t="n"/>
      <c r="AF339" s="692" t="n"/>
      <c r="AG339" s="692" t="n"/>
      <c r="AH339" s="692" t="n"/>
      <c r="AI339" s="692" t="n"/>
      <c r="AJ339" s="692" t="n"/>
      <c r="AK339" s="692" t="n"/>
      <c r="AL339" s="692" t="n"/>
      <c r="AM339" s="692" t="n"/>
      <c r="AN339" s="692" t="n"/>
      <c r="AO339" s="692" t="n"/>
      <c r="AP339" s="692" t="n"/>
    </row>
    <row r="340">
      <c r="A340" s="692" t="n"/>
      <c r="B340" s="692" t="n"/>
      <c r="C340" s="692" t="n"/>
      <c r="D340" s="692" t="n"/>
      <c r="E340" s="692" t="n"/>
      <c r="F340" s="692" t="n"/>
      <c r="G340" s="692" t="n"/>
      <c r="H340" s="692" t="n"/>
      <c r="I340" s="692" t="n"/>
      <c r="J340" s="692" t="n"/>
      <c r="K340" s="692" t="n"/>
      <c r="L340" s="692" t="n"/>
      <c r="M340" s="692" t="n"/>
      <c r="N340" s="692" t="n"/>
      <c r="O340" s="692" t="n"/>
      <c r="P340" s="692" t="n"/>
      <c r="Q340" s="692" t="n"/>
      <c r="R340" s="692" t="n"/>
      <c r="S340" s="692" t="n"/>
      <c r="T340" s="692" t="n"/>
      <c r="U340" s="692" t="n"/>
      <c r="V340" s="692" t="n"/>
      <c r="W340" s="692" t="n"/>
      <c r="X340" s="692" t="n"/>
      <c r="Y340" s="692" t="n"/>
      <c r="Z340" s="692" t="n"/>
      <c r="AA340" s="692" t="n"/>
      <c r="AB340" s="692" t="n"/>
      <c r="AC340" s="692" t="n"/>
      <c r="AD340" s="692" t="n"/>
      <c r="AE340" s="692" t="n"/>
      <c r="AF340" s="692" t="n"/>
      <c r="AG340" s="692" t="n"/>
      <c r="AH340" s="692" t="n"/>
      <c r="AI340" s="692" t="n"/>
      <c r="AJ340" s="692" t="n"/>
      <c r="AK340" s="692" t="n"/>
      <c r="AL340" s="692" t="n"/>
      <c r="AM340" s="692" t="n"/>
      <c r="AN340" s="692" t="n"/>
      <c r="AO340" s="692" t="n"/>
      <c r="AP340" s="692" t="n"/>
    </row>
    <row r="341">
      <c r="A341" s="692" t="n"/>
      <c r="B341" s="692" t="n"/>
      <c r="C341" s="692" t="n"/>
      <c r="D341" s="692" t="n"/>
      <c r="E341" s="692" t="n"/>
      <c r="F341" s="692" t="n"/>
      <c r="G341" s="692" t="n"/>
      <c r="H341" s="692" t="n"/>
      <c r="I341" s="692" t="n"/>
      <c r="J341" s="692" t="n"/>
      <c r="K341" s="692" t="n"/>
      <c r="L341" s="692" t="n"/>
      <c r="M341" s="692" t="n"/>
      <c r="N341" s="692" t="n"/>
      <c r="O341" s="692" t="n"/>
      <c r="P341" s="692" t="n"/>
      <c r="Q341" s="692" t="n"/>
      <c r="R341" s="692" t="n"/>
      <c r="S341" s="692" t="n"/>
      <c r="T341" s="692" t="n"/>
      <c r="U341" s="692" t="n"/>
      <c r="V341" s="692" t="n"/>
      <c r="W341" s="692" t="n"/>
      <c r="X341" s="692" t="n"/>
      <c r="Y341" s="692" t="n"/>
      <c r="Z341" s="692" t="n"/>
      <c r="AA341" s="692" t="n"/>
      <c r="AB341" s="692" t="n"/>
      <c r="AC341" s="692" t="n"/>
      <c r="AD341" s="692" t="n"/>
      <c r="AE341" s="692" t="n"/>
      <c r="AF341" s="692" t="n"/>
      <c r="AG341" s="692" t="n"/>
      <c r="AH341" s="692" t="n"/>
      <c r="AI341" s="692" t="n"/>
      <c r="AJ341" s="692" t="n"/>
      <c r="AK341" s="692" t="n"/>
      <c r="AL341" s="692" t="n"/>
      <c r="AM341" s="692" t="n"/>
      <c r="AN341" s="692" t="n"/>
      <c r="AO341" s="692" t="n"/>
      <c r="AP341" s="692" t="n"/>
    </row>
    <row r="342">
      <c r="A342" s="692" t="n"/>
      <c r="B342" s="692" t="n"/>
      <c r="C342" s="692" t="n"/>
      <c r="D342" s="692" t="n"/>
      <c r="E342" s="692" t="n"/>
      <c r="F342" s="692" t="n"/>
      <c r="G342" s="692" t="n"/>
      <c r="H342" s="692" t="n"/>
      <c r="I342" s="692" t="n"/>
      <c r="J342" s="692" t="n"/>
      <c r="K342" s="692" t="n"/>
      <c r="L342" s="692" t="n"/>
      <c r="M342" s="692" t="n"/>
      <c r="N342" s="692" t="n"/>
      <c r="O342" s="692" t="n"/>
      <c r="P342" s="692" t="n"/>
      <c r="Q342" s="692" t="n"/>
      <c r="R342" s="692" t="n"/>
      <c r="S342" s="692" t="n"/>
      <c r="T342" s="692" t="n"/>
      <c r="U342" s="692" t="n"/>
      <c r="V342" s="692" t="n"/>
      <c r="W342" s="692" t="n"/>
      <c r="X342" s="692" t="n"/>
      <c r="Y342" s="692" t="n"/>
      <c r="Z342" s="692" t="n"/>
      <c r="AA342" s="692" t="n"/>
      <c r="AB342" s="692" t="n"/>
      <c r="AC342" s="692" t="n"/>
      <c r="AD342" s="692" t="n"/>
      <c r="AE342" s="692" t="n"/>
      <c r="AF342" s="692" t="n"/>
      <c r="AG342" s="692" t="n"/>
      <c r="AH342" s="692" t="n"/>
      <c r="AI342" s="692" t="n"/>
      <c r="AJ342" s="692" t="n"/>
      <c r="AK342" s="692" t="n"/>
      <c r="AL342" s="692" t="n"/>
      <c r="AM342" s="692" t="n"/>
      <c r="AN342" s="692" t="n"/>
      <c r="AO342" s="692" t="n"/>
      <c r="AP342" s="692" t="n"/>
    </row>
    <row r="343">
      <c r="A343" s="692" t="n"/>
      <c r="B343" s="692" t="n"/>
      <c r="C343" s="692" t="n"/>
      <c r="D343" s="692" t="n"/>
      <c r="E343" s="692" t="n"/>
      <c r="F343" s="692" t="n"/>
      <c r="G343" s="692" t="n"/>
      <c r="H343" s="692" t="n"/>
      <c r="I343" s="692" t="n"/>
      <c r="J343" s="692" t="n"/>
      <c r="K343" s="692" t="n"/>
      <c r="L343" s="692" t="n"/>
      <c r="M343" s="692" t="n"/>
      <c r="N343" s="692" t="n"/>
      <c r="O343" s="692" t="n"/>
      <c r="P343" s="692" t="n"/>
      <c r="Q343" s="692" t="n"/>
      <c r="R343" s="692" t="n"/>
      <c r="S343" s="692" t="n"/>
      <c r="T343" s="692" t="n"/>
      <c r="U343" s="692" t="n"/>
      <c r="V343" s="692" t="n"/>
      <c r="W343" s="692" t="n"/>
      <c r="X343" s="692" t="n"/>
      <c r="Y343" s="692" t="n"/>
      <c r="Z343" s="692" t="n"/>
      <c r="AA343" s="692" t="n"/>
      <c r="AB343" s="692" t="n"/>
      <c r="AC343" s="692" t="n"/>
      <c r="AD343" s="692" t="n"/>
      <c r="AE343" s="692" t="n"/>
      <c r="AF343" s="692" t="n"/>
      <c r="AG343" s="692" t="n"/>
      <c r="AH343" s="692" t="n"/>
      <c r="AI343" s="692" t="n"/>
      <c r="AJ343" s="692" t="n"/>
      <c r="AK343" s="692" t="n"/>
      <c r="AL343" s="692" t="n"/>
      <c r="AM343" s="692" t="n"/>
      <c r="AN343" s="692" t="n"/>
      <c r="AO343" s="692" t="n"/>
      <c r="AP343" s="692" t="n"/>
    </row>
    <row r="344">
      <c r="A344" s="692" t="n"/>
      <c r="B344" s="692" t="n"/>
      <c r="C344" s="692" t="n"/>
      <c r="D344" s="692" t="n"/>
      <c r="E344" s="692" t="n"/>
      <c r="F344" s="692" t="n"/>
      <c r="G344" s="692" t="n"/>
      <c r="H344" s="692" t="n"/>
      <c r="I344" s="692" t="n"/>
      <c r="J344" s="692" t="n"/>
      <c r="K344" s="692" t="n"/>
      <c r="L344" s="692" t="n"/>
      <c r="M344" s="692" t="n"/>
      <c r="N344" s="692" t="n"/>
      <c r="O344" s="692" t="n"/>
      <c r="P344" s="692" t="n"/>
      <c r="Q344" s="692" t="n"/>
      <c r="R344" s="692" t="n"/>
      <c r="S344" s="692" t="n"/>
      <c r="T344" s="692" t="n"/>
      <c r="U344" s="692" t="n"/>
      <c r="V344" s="692" t="n"/>
      <c r="W344" s="692" t="n"/>
      <c r="X344" s="692" t="n"/>
      <c r="Y344" s="692" t="n"/>
      <c r="Z344" s="692" t="n"/>
      <c r="AA344" s="692" t="n"/>
      <c r="AB344" s="692" t="n"/>
      <c r="AC344" s="692" t="n"/>
      <c r="AD344" s="692" t="n"/>
      <c r="AE344" s="692" t="n"/>
      <c r="AF344" s="692" t="n"/>
      <c r="AG344" s="692" t="n"/>
      <c r="AH344" s="692" t="n"/>
      <c r="AI344" s="692" t="n"/>
      <c r="AJ344" s="692" t="n"/>
      <c r="AK344" s="692" t="n"/>
      <c r="AL344" s="692" t="n"/>
      <c r="AM344" s="692" t="n"/>
      <c r="AN344" s="692" t="n"/>
      <c r="AO344" s="692" t="n"/>
      <c r="AP344" s="692" t="n"/>
    </row>
    <row r="345">
      <c r="A345" s="692" t="n"/>
      <c r="B345" s="692" t="n"/>
      <c r="C345" s="692" t="n"/>
      <c r="D345" s="692" t="n"/>
      <c r="E345" s="692" t="n"/>
      <c r="F345" s="692" t="n"/>
      <c r="G345" s="692" t="n"/>
      <c r="H345" s="692" t="n"/>
      <c r="I345" s="692" t="n"/>
      <c r="J345" s="692" t="n"/>
      <c r="K345" s="692" t="n"/>
      <c r="L345" s="692" t="n"/>
      <c r="M345" s="692" t="n"/>
      <c r="N345" s="692" t="n"/>
      <c r="O345" s="692" t="n"/>
      <c r="P345" s="692" t="n"/>
      <c r="Q345" s="692" t="n"/>
      <c r="R345" s="692" t="n"/>
      <c r="S345" s="692" t="n"/>
      <c r="T345" s="692" t="n"/>
      <c r="U345" s="692" t="n"/>
      <c r="V345" s="692" t="n"/>
      <c r="W345" s="692" t="n"/>
      <c r="X345" s="692" t="n"/>
      <c r="Y345" s="692" t="n"/>
      <c r="Z345" s="692" t="n"/>
      <c r="AA345" s="692" t="n"/>
      <c r="AB345" s="692" t="n"/>
      <c r="AC345" s="692" t="n"/>
      <c r="AD345" s="692" t="n"/>
      <c r="AE345" s="692" t="n"/>
      <c r="AF345" s="692" t="n"/>
      <c r="AG345" s="692" t="n"/>
      <c r="AH345" s="692" t="n"/>
      <c r="AI345" s="692" t="n"/>
      <c r="AJ345" s="692" t="n"/>
      <c r="AK345" s="692" t="n"/>
      <c r="AL345" s="692" t="n"/>
      <c r="AM345" s="692" t="n"/>
      <c r="AN345" s="692" t="n"/>
      <c r="AO345" s="692" t="n"/>
      <c r="AP345" s="692" t="n"/>
    </row>
    <row r="346">
      <c r="A346" s="692" t="n"/>
      <c r="B346" s="692" t="n"/>
      <c r="C346" s="692" t="n"/>
      <c r="D346" s="692" t="n"/>
      <c r="E346" s="692" t="n"/>
      <c r="F346" s="692" t="n"/>
      <c r="G346" s="692" t="n"/>
      <c r="H346" s="692" t="n"/>
      <c r="I346" s="692" t="n"/>
      <c r="J346" s="692" t="n"/>
      <c r="K346" s="692" t="n"/>
      <c r="L346" s="692" t="n"/>
      <c r="M346" s="692" t="n"/>
      <c r="N346" s="692" t="n"/>
      <c r="O346" s="692" t="n"/>
      <c r="P346" s="692" t="n"/>
      <c r="Q346" s="692" t="n"/>
      <c r="R346" s="692" t="n"/>
      <c r="S346" s="692" t="n"/>
      <c r="T346" s="692" t="n"/>
      <c r="U346" s="692" t="n"/>
      <c r="V346" s="692" t="n"/>
      <c r="W346" s="692" t="n"/>
      <c r="X346" s="692" t="n"/>
      <c r="Y346" s="692" t="n"/>
      <c r="Z346" s="692" t="n"/>
      <c r="AA346" s="692" t="n"/>
      <c r="AB346" s="692" t="n"/>
      <c r="AC346" s="692" t="n"/>
      <c r="AD346" s="692" t="n"/>
      <c r="AE346" s="692" t="n"/>
      <c r="AF346" s="692" t="n"/>
      <c r="AG346" s="692" t="n"/>
      <c r="AH346" s="692" t="n"/>
      <c r="AI346" s="692" t="n"/>
      <c r="AJ346" s="692" t="n"/>
      <c r="AK346" s="692" t="n"/>
      <c r="AL346" s="692" t="n"/>
      <c r="AM346" s="692" t="n"/>
      <c r="AN346" s="692" t="n"/>
      <c r="AO346" s="692" t="n"/>
      <c r="AP346" s="692" t="n"/>
    </row>
    <row r="347">
      <c r="A347" s="692" t="n"/>
      <c r="B347" s="692" t="n"/>
      <c r="C347" s="692" t="n"/>
      <c r="D347" s="692" t="n"/>
      <c r="E347" s="692" t="n"/>
      <c r="F347" s="692" t="n"/>
      <c r="G347" s="692" t="n"/>
      <c r="H347" s="692" t="n"/>
      <c r="I347" s="692" t="n"/>
      <c r="J347" s="692" t="n"/>
      <c r="K347" s="692" t="n"/>
      <c r="L347" s="692" t="n"/>
      <c r="M347" s="692" t="n"/>
      <c r="N347" s="692" t="n"/>
      <c r="O347" s="692" t="n"/>
      <c r="P347" s="692" t="n"/>
      <c r="Q347" s="692" t="n"/>
      <c r="R347" s="692" t="n"/>
      <c r="S347" s="692" t="n"/>
      <c r="T347" s="692" t="n"/>
      <c r="U347" s="692" t="n"/>
      <c r="V347" s="692" t="n"/>
      <c r="W347" s="692" t="n"/>
      <c r="X347" s="692" t="n"/>
      <c r="Y347" s="692" t="n"/>
      <c r="Z347" s="692" t="n"/>
      <c r="AA347" s="692" t="n"/>
      <c r="AB347" s="692" t="n"/>
      <c r="AC347" s="692" t="n"/>
      <c r="AD347" s="692" t="n"/>
      <c r="AE347" s="692" t="n"/>
      <c r="AF347" s="692" t="n"/>
      <c r="AG347" s="692" t="n"/>
      <c r="AH347" s="692" t="n"/>
      <c r="AI347" s="692" t="n"/>
      <c r="AJ347" s="692" t="n"/>
      <c r="AK347" s="692" t="n"/>
      <c r="AL347" s="692" t="n"/>
      <c r="AM347" s="692" t="n"/>
      <c r="AN347" s="692" t="n"/>
      <c r="AO347" s="692" t="n"/>
      <c r="AP347" s="692" t="n"/>
    </row>
    <row r="348">
      <c r="A348" s="692" t="n"/>
      <c r="B348" s="692" t="n"/>
      <c r="C348" s="692" t="n"/>
      <c r="D348" s="692" t="n"/>
      <c r="E348" s="692" t="n"/>
      <c r="F348" s="692" t="n"/>
      <c r="G348" s="692" t="n"/>
      <c r="H348" s="692" t="n"/>
      <c r="I348" s="692" t="n"/>
      <c r="J348" s="692" t="n"/>
      <c r="K348" s="692" t="n"/>
      <c r="L348" s="692" t="n"/>
      <c r="M348" s="692" t="n"/>
      <c r="N348" s="692" t="n"/>
      <c r="O348" s="692" t="n"/>
      <c r="P348" s="692" t="n"/>
      <c r="Q348" s="692" t="n"/>
      <c r="R348" s="692" t="n"/>
      <c r="S348" s="692" t="n"/>
      <c r="T348" s="692" t="n"/>
      <c r="U348" s="692" t="n"/>
      <c r="V348" s="692" t="n"/>
      <c r="W348" s="692" t="n"/>
      <c r="X348" s="692" t="n"/>
      <c r="Y348" s="692" t="n"/>
      <c r="Z348" s="692" t="n"/>
      <c r="AA348" s="692" t="n"/>
      <c r="AB348" s="692" t="n"/>
      <c r="AC348" s="692" t="n"/>
      <c r="AD348" s="692" t="n"/>
      <c r="AE348" s="692" t="n"/>
      <c r="AF348" s="692" t="n"/>
      <c r="AG348" s="692" t="n"/>
      <c r="AH348" s="692" t="n"/>
      <c r="AI348" s="692" t="n"/>
      <c r="AJ348" s="692" t="n"/>
      <c r="AK348" s="692" t="n"/>
      <c r="AL348" s="692" t="n"/>
      <c r="AM348" s="692" t="n"/>
      <c r="AN348" s="692" t="n"/>
      <c r="AO348" s="692" t="n"/>
      <c r="AP348" s="692" t="n"/>
    </row>
    <row r="349">
      <c r="A349" s="692" t="n"/>
      <c r="B349" s="692" t="n"/>
      <c r="C349" s="692" t="n"/>
      <c r="D349" s="692" t="n"/>
      <c r="E349" s="692" t="n"/>
      <c r="F349" s="692" t="n"/>
      <c r="G349" s="692" t="n"/>
      <c r="H349" s="692" t="n"/>
      <c r="I349" s="692" t="n"/>
      <c r="J349" s="692" t="n"/>
      <c r="K349" s="692" t="n"/>
      <c r="L349" s="692" t="n"/>
      <c r="M349" s="692" t="n"/>
      <c r="N349" s="692" t="n"/>
      <c r="O349" s="692" t="n"/>
      <c r="P349" s="692" t="n"/>
      <c r="Q349" s="692" t="n"/>
      <c r="R349" s="692" t="n"/>
      <c r="S349" s="692" t="n"/>
      <c r="T349" s="692" t="n"/>
      <c r="U349" s="692" t="n"/>
      <c r="V349" s="692" t="n"/>
      <c r="W349" s="692" t="n"/>
      <c r="X349" s="692" t="n"/>
      <c r="Y349" s="692" t="n"/>
      <c r="Z349" s="692" t="n"/>
      <c r="AA349" s="692" t="n"/>
      <c r="AB349" s="692" t="n"/>
      <c r="AC349" s="692" t="n"/>
      <c r="AD349" s="692" t="n"/>
      <c r="AE349" s="692" t="n"/>
      <c r="AF349" s="692" t="n"/>
      <c r="AG349" s="692" t="n"/>
      <c r="AH349" s="692" t="n"/>
      <c r="AI349" s="692" t="n"/>
      <c r="AJ349" s="692" t="n"/>
      <c r="AK349" s="692" t="n"/>
      <c r="AL349" s="692" t="n"/>
      <c r="AM349" s="692" t="n"/>
      <c r="AN349" s="692" t="n"/>
      <c r="AO349" s="692" t="n"/>
      <c r="AP349" s="692" t="n"/>
    </row>
    <row r="350">
      <c r="A350" s="692" t="n"/>
      <c r="B350" s="692" t="n"/>
      <c r="C350" s="692" t="n"/>
      <c r="D350" s="692" t="n"/>
      <c r="E350" s="692" t="n"/>
      <c r="F350" s="692" t="n"/>
      <c r="G350" s="692" t="n"/>
      <c r="H350" s="692" t="n"/>
      <c r="I350" s="692" t="n"/>
      <c r="J350" s="692" t="n"/>
      <c r="K350" s="692" t="n"/>
      <c r="L350" s="692" t="n"/>
      <c r="M350" s="692" t="n"/>
      <c r="N350" s="692" t="n"/>
      <c r="O350" s="692" t="n"/>
      <c r="P350" s="692" t="n"/>
      <c r="Q350" s="692" t="n"/>
      <c r="R350" s="692" t="n"/>
      <c r="S350" s="692" t="n"/>
      <c r="T350" s="692" t="n"/>
      <c r="U350" s="692" t="n"/>
      <c r="V350" s="692" t="n"/>
      <c r="W350" s="692" t="n"/>
      <c r="X350" s="692" t="n"/>
      <c r="Y350" s="692" t="n"/>
      <c r="Z350" s="692" t="n"/>
      <c r="AA350" s="692" t="n"/>
      <c r="AB350" s="692" t="n"/>
      <c r="AC350" s="692" t="n"/>
      <c r="AD350" s="692" t="n"/>
      <c r="AE350" s="692" t="n"/>
      <c r="AF350" s="692" t="n"/>
      <c r="AG350" s="692" t="n"/>
      <c r="AH350" s="692" t="n"/>
      <c r="AI350" s="692" t="n"/>
      <c r="AJ350" s="692" t="n"/>
      <c r="AK350" s="692" t="n"/>
      <c r="AL350" s="692" t="n"/>
      <c r="AM350" s="692" t="n"/>
      <c r="AN350" s="692" t="n"/>
      <c r="AO350" s="692" t="n"/>
      <c r="AP350" s="692" t="n"/>
    </row>
    <row r="351">
      <c r="A351" s="692" t="n"/>
      <c r="B351" s="692" t="n"/>
      <c r="C351" s="692" t="n"/>
      <c r="D351" s="692" t="n"/>
      <c r="E351" s="692" t="n"/>
      <c r="F351" s="692" t="n"/>
      <c r="G351" s="692" t="n"/>
      <c r="H351" s="692" t="n"/>
      <c r="I351" s="692" t="n"/>
      <c r="J351" s="692" t="n"/>
      <c r="K351" s="692" t="n"/>
      <c r="L351" s="692" t="n"/>
      <c r="M351" s="692" t="n"/>
      <c r="N351" s="692" t="n"/>
      <c r="O351" s="692" t="n"/>
      <c r="P351" s="692" t="n"/>
      <c r="Q351" s="692" t="n"/>
      <c r="R351" s="692" t="n"/>
      <c r="S351" s="692" t="n"/>
      <c r="T351" s="692" t="n"/>
      <c r="U351" s="692" t="n"/>
      <c r="V351" s="692" t="n"/>
      <c r="W351" s="692" t="n"/>
      <c r="X351" s="692" t="n"/>
      <c r="Y351" s="692" t="n"/>
      <c r="Z351" s="692" t="n"/>
      <c r="AA351" s="692" t="n"/>
      <c r="AB351" s="692" t="n"/>
      <c r="AC351" s="692" t="n"/>
      <c r="AD351" s="692" t="n"/>
      <c r="AE351" s="692" t="n"/>
      <c r="AF351" s="692" t="n"/>
      <c r="AG351" s="692" t="n"/>
      <c r="AH351" s="692" t="n"/>
      <c r="AI351" s="692" t="n"/>
      <c r="AJ351" s="692" t="n"/>
      <c r="AK351" s="692" t="n"/>
      <c r="AL351" s="692" t="n"/>
      <c r="AM351" s="692" t="n"/>
      <c r="AN351" s="692" t="n"/>
      <c r="AO351" s="692" t="n"/>
      <c r="AP351" s="692" t="n"/>
    </row>
    <row r="352">
      <c r="A352" s="692" t="n"/>
      <c r="B352" s="692" t="n"/>
      <c r="C352" s="692" t="n"/>
      <c r="D352" s="692" t="n"/>
      <c r="E352" s="692" t="n"/>
      <c r="F352" s="692" t="n"/>
      <c r="G352" s="692" t="n"/>
      <c r="H352" s="692" t="n"/>
      <c r="I352" s="692" t="n"/>
      <c r="J352" s="692" t="n"/>
      <c r="K352" s="692" t="n"/>
      <c r="L352" s="692" t="n"/>
      <c r="M352" s="692" t="n"/>
      <c r="N352" s="692" t="n"/>
      <c r="O352" s="692" t="n"/>
      <c r="P352" s="692" t="n"/>
      <c r="Q352" s="692" t="n"/>
      <c r="R352" s="692" t="n"/>
      <c r="S352" s="692" t="n"/>
      <c r="T352" s="692" t="n"/>
      <c r="U352" s="692" t="n"/>
      <c r="V352" s="692" t="n"/>
      <c r="W352" s="692" t="n"/>
      <c r="X352" s="692" t="n"/>
      <c r="Y352" s="692" t="n"/>
      <c r="Z352" s="692" t="n"/>
      <c r="AA352" s="692" t="n"/>
      <c r="AB352" s="692" t="n"/>
      <c r="AC352" s="692" t="n"/>
      <c r="AD352" s="692" t="n"/>
      <c r="AE352" s="692" t="n"/>
      <c r="AF352" s="692" t="n"/>
      <c r="AG352" s="692" t="n"/>
      <c r="AH352" s="692" t="n"/>
      <c r="AI352" s="692" t="n"/>
      <c r="AJ352" s="692" t="n"/>
      <c r="AK352" s="692" t="n"/>
      <c r="AL352" s="692" t="n"/>
      <c r="AM352" s="692" t="n"/>
      <c r="AN352" s="692" t="n"/>
      <c r="AO352" s="692" t="n"/>
      <c r="AP352" s="692" t="n"/>
    </row>
    <row r="353">
      <c r="A353" s="692" t="n"/>
      <c r="B353" s="692" t="n"/>
      <c r="C353" s="692" t="n"/>
      <c r="D353" s="692" t="n"/>
      <c r="E353" s="692" t="n"/>
      <c r="F353" s="692" t="n"/>
      <c r="G353" s="692" t="n"/>
      <c r="H353" s="692" t="n"/>
      <c r="I353" s="692" t="n"/>
      <c r="J353" s="692" t="n"/>
      <c r="K353" s="692" t="n"/>
      <c r="L353" s="692" t="n"/>
      <c r="M353" s="692" t="n"/>
      <c r="N353" s="692" t="n"/>
      <c r="O353" s="692" t="n"/>
      <c r="P353" s="692" t="n"/>
      <c r="Q353" s="692" t="n"/>
      <c r="R353" s="692" t="n"/>
      <c r="S353" s="692" t="n"/>
      <c r="T353" s="692" t="n"/>
      <c r="U353" s="692" t="n"/>
      <c r="V353" s="692" t="n"/>
      <c r="W353" s="692" t="n"/>
      <c r="X353" s="692" t="n"/>
      <c r="Y353" s="692" t="n"/>
      <c r="Z353" s="692" t="n"/>
      <c r="AA353" s="692" t="n"/>
      <c r="AB353" s="692" t="n"/>
      <c r="AC353" s="692" t="n"/>
      <c r="AD353" s="692" t="n"/>
      <c r="AE353" s="692" t="n"/>
      <c r="AF353" s="692" t="n"/>
      <c r="AG353" s="692" t="n"/>
      <c r="AH353" s="692" t="n"/>
      <c r="AI353" s="692" t="n"/>
      <c r="AJ353" s="692" t="n"/>
      <c r="AK353" s="692" t="n"/>
      <c r="AL353" s="692" t="n"/>
      <c r="AM353" s="692" t="n"/>
      <c r="AN353" s="692" t="n"/>
      <c r="AO353" s="692" t="n"/>
      <c r="AP353" s="692" t="n"/>
    </row>
    <row r="354">
      <c r="A354" s="692" t="n"/>
      <c r="B354" s="692" t="n"/>
      <c r="C354" s="692" t="n"/>
      <c r="D354" s="692" t="n"/>
      <c r="E354" s="692" t="n"/>
      <c r="F354" s="692" t="n"/>
      <c r="G354" s="692" t="n"/>
      <c r="H354" s="692" t="n"/>
      <c r="I354" s="692" t="n"/>
      <c r="J354" s="692" t="n"/>
      <c r="K354" s="692" t="n"/>
      <c r="L354" s="692" t="n"/>
      <c r="M354" s="692" t="n"/>
      <c r="N354" s="692" t="n"/>
      <c r="O354" s="692" t="n"/>
      <c r="P354" s="692" t="n"/>
      <c r="Q354" s="692" t="n"/>
      <c r="R354" s="692" t="n"/>
      <c r="S354" s="692" t="n"/>
      <c r="T354" s="692" t="n"/>
      <c r="U354" s="692" t="n"/>
      <c r="V354" s="692" t="n"/>
      <c r="W354" s="692" t="n"/>
      <c r="X354" s="692" t="n"/>
      <c r="Y354" s="692" t="n"/>
      <c r="Z354" s="692" t="n"/>
      <c r="AA354" s="692" t="n"/>
      <c r="AB354" s="692" t="n"/>
      <c r="AC354" s="692" t="n"/>
      <c r="AD354" s="692" t="n"/>
      <c r="AE354" s="692" t="n"/>
      <c r="AF354" s="692" t="n"/>
      <c r="AG354" s="692" t="n"/>
      <c r="AH354" s="692" t="n"/>
      <c r="AI354" s="692" t="n"/>
      <c r="AJ354" s="692" t="n"/>
      <c r="AK354" s="692" t="n"/>
      <c r="AL354" s="692" t="n"/>
      <c r="AM354" s="692" t="n"/>
      <c r="AN354" s="692" t="n"/>
      <c r="AO354" s="692" t="n"/>
      <c r="AP354" s="692" t="n"/>
    </row>
    <row r="355">
      <c r="A355" s="692" t="n"/>
      <c r="B355" s="692" t="n"/>
      <c r="C355" s="692" t="n"/>
      <c r="D355" s="692" t="n"/>
      <c r="E355" s="692" t="n"/>
      <c r="F355" s="692" t="n"/>
      <c r="G355" s="692" t="n"/>
      <c r="H355" s="692" t="n"/>
      <c r="I355" s="692" t="n"/>
      <c r="J355" s="692" t="n"/>
      <c r="K355" s="692" t="n"/>
      <c r="L355" s="692" t="n"/>
      <c r="M355" s="692" t="n"/>
      <c r="N355" s="692" t="n"/>
      <c r="O355" s="692" t="n"/>
      <c r="P355" s="692" t="n"/>
      <c r="Q355" s="692" t="n"/>
      <c r="R355" s="692" t="n"/>
      <c r="S355" s="692" t="n"/>
      <c r="T355" s="692" t="n"/>
      <c r="U355" s="692" t="n"/>
      <c r="V355" s="692" t="n"/>
      <c r="W355" s="692" t="n"/>
      <c r="X355" s="692" t="n"/>
      <c r="Y355" s="692" t="n"/>
      <c r="Z355" s="692" t="n"/>
      <c r="AA355" s="692" t="n"/>
      <c r="AB355" s="692" t="n"/>
      <c r="AC355" s="692" t="n"/>
      <c r="AD355" s="692" t="n"/>
      <c r="AE355" s="692" t="n"/>
      <c r="AF355" s="692" t="n"/>
      <c r="AG355" s="692" t="n"/>
      <c r="AH355" s="692" t="n"/>
      <c r="AI355" s="692" t="n"/>
      <c r="AJ355" s="692" t="n"/>
      <c r="AK355" s="692" t="n"/>
      <c r="AL355" s="692" t="n"/>
      <c r="AM355" s="692" t="n"/>
      <c r="AN355" s="692" t="n"/>
      <c r="AO355" s="692" t="n"/>
      <c r="AP355" s="692" t="n"/>
    </row>
    <row r="356">
      <c r="A356" s="692" t="n"/>
      <c r="B356" s="692" t="n"/>
      <c r="C356" s="692" t="n"/>
      <c r="D356" s="692" t="n"/>
      <c r="E356" s="692" t="n"/>
      <c r="F356" s="692" t="n"/>
      <c r="G356" s="692" t="n"/>
      <c r="H356" s="692" t="n"/>
      <c r="I356" s="692" t="n"/>
      <c r="J356" s="692" t="n"/>
      <c r="K356" s="692" t="n"/>
      <c r="L356" s="692" t="n"/>
      <c r="M356" s="692" t="n"/>
      <c r="N356" s="692" t="n"/>
      <c r="O356" s="692" t="n"/>
      <c r="P356" s="692" t="n"/>
      <c r="Q356" s="692" t="n"/>
      <c r="R356" s="692" t="n"/>
      <c r="S356" s="692" t="n"/>
      <c r="T356" s="692" t="n"/>
      <c r="U356" s="692" t="n"/>
      <c r="V356" s="692" t="n"/>
      <c r="W356" s="692" t="n"/>
      <c r="X356" s="692" t="n"/>
      <c r="Y356" s="692" t="n"/>
      <c r="Z356" s="692" t="n"/>
      <c r="AA356" s="692" t="n"/>
      <c r="AB356" s="692" t="n"/>
      <c r="AC356" s="692" t="n"/>
      <c r="AD356" s="692" t="n"/>
      <c r="AE356" s="692" t="n"/>
      <c r="AF356" s="692" t="n"/>
      <c r="AG356" s="692" t="n"/>
      <c r="AH356" s="692" t="n"/>
      <c r="AI356" s="692" t="n"/>
      <c r="AJ356" s="692" t="n"/>
      <c r="AK356" s="692" t="n"/>
      <c r="AL356" s="692" t="n"/>
      <c r="AM356" s="692" t="n"/>
      <c r="AN356" s="692" t="n"/>
      <c r="AO356" s="692" t="n"/>
      <c r="AP356" s="692" t="n"/>
    </row>
    <row r="357">
      <c r="A357" s="692" t="n"/>
      <c r="B357" s="692" t="n"/>
      <c r="C357" s="692" t="n"/>
      <c r="D357" s="692" t="n"/>
      <c r="E357" s="692" t="n"/>
      <c r="F357" s="692" t="n"/>
      <c r="G357" s="692" t="n"/>
      <c r="H357" s="692" t="n"/>
      <c r="I357" s="692" t="n"/>
      <c r="J357" s="692" t="n"/>
      <c r="K357" s="692" t="n"/>
      <c r="L357" s="692" t="n"/>
      <c r="M357" s="692" t="n"/>
      <c r="N357" s="692" t="n"/>
      <c r="O357" s="692" t="n"/>
      <c r="P357" s="692" t="n"/>
      <c r="Q357" s="692" t="n"/>
      <c r="R357" s="692" t="n"/>
      <c r="S357" s="692" t="n"/>
      <c r="T357" s="692" t="n"/>
      <c r="U357" s="692" t="n"/>
      <c r="V357" s="692" t="n"/>
      <c r="W357" s="692" t="n"/>
      <c r="X357" s="692" t="n"/>
      <c r="Y357" s="692" t="n"/>
      <c r="Z357" s="692" t="n"/>
      <c r="AA357" s="692" t="n"/>
      <c r="AB357" s="692" t="n"/>
      <c r="AC357" s="692" t="n"/>
      <c r="AD357" s="692" t="n"/>
      <c r="AE357" s="692" t="n"/>
      <c r="AF357" s="692" t="n"/>
      <c r="AG357" s="692" t="n"/>
      <c r="AH357" s="692" t="n"/>
      <c r="AI357" s="692" t="n"/>
      <c r="AJ357" s="692" t="n"/>
      <c r="AK357" s="692" t="n"/>
      <c r="AL357" s="692" t="n"/>
      <c r="AM357" s="692" t="n"/>
      <c r="AN357" s="692" t="n"/>
      <c r="AO357" s="692" t="n"/>
      <c r="AP357" s="692" t="n"/>
    </row>
    <row r="358">
      <c r="A358" s="692" t="n"/>
      <c r="B358" s="692" t="n"/>
      <c r="C358" s="692" t="n"/>
      <c r="D358" s="692" t="n"/>
      <c r="E358" s="692" t="n"/>
      <c r="F358" s="692" t="n"/>
      <c r="G358" s="692" t="n"/>
      <c r="H358" s="692" t="n"/>
      <c r="I358" s="692" t="n"/>
      <c r="J358" s="692" t="n"/>
      <c r="K358" s="692" t="n"/>
      <c r="L358" s="692" t="n"/>
      <c r="M358" s="692" t="n"/>
      <c r="N358" s="692" t="n"/>
      <c r="O358" s="692" t="n"/>
      <c r="P358" s="692" t="n"/>
      <c r="Q358" s="692" t="n"/>
      <c r="R358" s="692" t="n"/>
      <c r="S358" s="692" t="n"/>
      <c r="T358" s="692" t="n"/>
      <c r="U358" s="692" t="n"/>
      <c r="V358" s="692" t="n"/>
      <c r="W358" s="692" t="n"/>
      <c r="X358" s="692" t="n"/>
      <c r="Y358" s="692" t="n"/>
      <c r="Z358" s="692" t="n"/>
      <c r="AA358" s="692" t="n"/>
      <c r="AB358" s="692" t="n"/>
      <c r="AC358" s="692" t="n"/>
      <c r="AD358" s="692" t="n"/>
      <c r="AE358" s="692" t="n"/>
      <c r="AF358" s="692" t="n"/>
      <c r="AG358" s="692" t="n"/>
      <c r="AH358" s="692" t="n"/>
      <c r="AI358" s="692" t="n"/>
      <c r="AJ358" s="692" t="n"/>
      <c r="AK358" s="692" t="n"/>
      <c r="AL358" s="692" t="n"/>
      <c r="AM358" s="692" t="n"/>
      <c r="AN358" s="692" t="n"/>
      <c r="AO358" s="692" t="n"/>
      <c r="AP358" s="692" t="n"/>
    </row>
    <row r="359">
      <c r="A359" s="692" t="n"/>
      <c r="B359" s="692" t="n"/>
      <c r="C359" s="692" t="n"/>
      <c r="D359" s="692" t="n"/>
      <c r="E359" s="692" t="n"/>
      <c r="F359" s="692" t="n"/>
      <c r="G359" s="692" t="n"/>
      <c r="H359" s="692" t="n"/>
      <c r="I359" s="692" t="n"/>
      <c r="J359" s="692" t="n"/>
      <c r="K359" s="692" t="n"/>
      <c r="L359" s="692" t="n"/>
      <c r="M359" s="692" t="n"/>
      <c r="N359" s="692" t="n"/>
      <c r="O359" s="692" t="n"/>
      <c r="P359" s="692" t="n"/>
      <c r="Q359" s="692" t="n"/>
      <c r="R359" s="692" t="n"/>
      <c r="S359" s="692" t="n"/>
      <c r="T359" s="692" t="n"/>
      <c r="U359" s="692" t="n"/>
      <c r="V359" s="692" t="n"/>
      <c r="W359" s="692" t="n"/>
      <c r="X359" s="692" t="n"/>
      <c r="Y359" s="692" t="n"/>
      <c r="Z359" s="692" t="n"/>
      <c r="AA359" s="692" t="n"/>
      <c r="AB359" s="692" t="n"/>
      <c r="AC359" s="692" t="n"/>
      <c r="AD359" s="692" t="n"/>
      <c r="AE359" s="692" t="n"/>
      <c r="AF359" s="692" t="n"/>
      <c r="AG359" s="692" t="n"/>
      <c r="AH359" s="692" t="n"/>
      <c r="AI359" s="692" t="n"/>
      <c r="AJ359" s="692" t="n"/>
      <c r="AK359" s="692" t="n"/>
      <c r="AL359" s="692" t="n"/>
      <c r="AM359" s="692" t="n"/>
      <c r="AN359" s="692" t="n"/>
      <c r="AO359" s="692" t="n"/>
      <c r="AP359" s="692" t="n"/>
    </row>
    <row r="360">
      <c r="A360" s="692" t="n"/>
      <c r="B360" s="692" t="n"/>
      <c r="C360" s="692" t="n"/>
      <c r="D360" s="692" t="n"/>
      <c r="E360" s="692" t="n"/>
      <c r="F360" s="692" t="n"/>
      <c r="G360" s="692" t="n"/>
      <c r="H360" s="692" t="n"/>
      <c r="I360" s="692" t="n"/>
      <c r="J360" s="692" t="n"/>
      <c r="K360" s="692" t="n"/>
      <c r="L360" s="692" t="n"/>
      <c r="M360" s="692" t="n"/>
      <c r="N360" s="692" t="n"/>
      <c r="O360" s="692" t="n"/>
      <c r="P360" s="692" t="n"/>
      <c r="Q360" s="692" t="n"/>
      <c r="R360" s="692" t="n"/>
      <c r="S360" s="692" t="n"/>
      <c r="T360" s="692" t="n"/>
      <c r="U360" s="692" t="n"/>
      <c r="V360" s="692" t="n"/>
      <c r="W360" s="692" t="n"/>
      <c r="X360" s="692" t="n"/>
      <c r="Y360" s="692" t="n"/>
      <c r="Z360" s="692" t="n"/>
      <c r="AA360" s="692" t="n"/>
      <c r="AB360" s="692" t="n"/>
      <c r="AC360" s="692" t="n"/>
      <c r="AD360" s="692" t="n"/>
      <c r="AE360" s="692" t="n"/>
      <c r="AF360" s="692" t="n"/>
      <c r="AG360" s="692" t="n"/>
      <c r="AH360" s="692" t="n"/>
      <c r="AI360" s="692" t="n"/>
      <c r="AJ360" s="692" t="n"/>
      <c r="AK360" s="692" t="n"/>
      <c r="AL360" s="692" t="n"/>
      <c r="AM360" s="692" t="n"/>
      <c r="AN360" s="692" t="n"/>
      <c r="AO360" s="692" t="n"/>
      <c r="AP360" s="692" t="n"/>
    </row>
    <row r="361">
      <c r="A361" s="692" t="n"/>
      <c r="B361" s="692" t="n"/>
      <c r="C361" s="692" t="n"/>
      <c r="D361" s="692" t="n"/>
      <c r="E361" s="692" t="n"/>
      <c r="F361" s="692" t="n"/>
      <c r="G361" s="692" t="n"/>
      <c r="H361" s="692" t="n"/>
      <c r="I361" s="692" t="n"/>
      <c r="J361" s="692" t="n"/>
      <c r="K361" s="692" t="n"/>
      <c r="L361" s="692" t="n"/>
      <c r="M361" s="692" t="n"/>
      <c r="N361" s="692" t="n"/>
      <c r="O361" s="692" t="n"/>
      <c r="P361" s="692" t="n"/>
      <c r="Q361" s="692" t="n"/>
      <c r="R361" s="692" t="n"/>
      <c r="S361" s="692" t="n"/>
      <c r="T361" s="692" t="n"/>
      <c r="U361" s="692" t="n"/>
      <c r="V361" s="692" t="n"/>
      <c r="W361" s="692" t="n"/>
      <c r="X361" s="692" t="n"/>
      <c r="Y361" s="692" t="n"/>
      <c r="Z361" s="692" t="n"/>
      <c r="AA361" s="692" t="n"/>
      <c r="AB361" s="692" t="n"/>
      <c r="AC361" s="692" t="n"/>
      <c r="AD361" s="692" t="n"/>
      <c r="AE361" s="692" t="n"/>
      <c r="AF361" s="692" t="n"/>
      <c r="AG361" s="692" t="n"/>
      <c r="AH361" s="692" t="n"/>
      <c r="AI361" s="692" t="n"/>
      <c r="AJ361" s="692" t="n"/>
      <c r="AK361" s="692" t="n"/>
      <c r="AL361" s="692" t="n"/>
      <c r="AM361" s="692" t="n"/>
      <c r="AN361" s="692" t="n"/>
      <c r="AO361" s="692" t="n"/>
      <c r="AP361" s="692" t="n"/>
    </row>
    <row r="362">
      <c r="A362" s="692" t="n"/>
      <c r="B362" s="692" t="n"/>
      <c r="C362" s="692" t="n"/>
      <c r="D362" s="692" t="n"/>
      <c r="E362" s="692" t="n"/>
      <c r="F362" s="692" t="n"/>
      <c r="G362" s="692" t="n"/>
      <c r="H362" s="692" t="n"/>
      <c r="I362" s="692" t="n"/>
      <c r="J362" s="692" t="n"/>
      <c r="K362" s="692" t="n"/>
      <c r="L362" s="692" t="n"/>
      <c r="M362" s="692" t="n"/>
      <c r="N362" s="692" t="n"/>
      <c r="O362" s="692" t="n"/>
      <c r="P362" s="692" t="n"/>
      <c r="Q362" s="692" t="n"/>
      <c r="R362" s="692" t="n"/>
      <c r="S362" s="692" t="n"/>
      <c r="T362" s="692" t="n"/>
      <c r="U362" s="692" t="n"/>
      <c r="V362" s="692" t="n"/>
      <c r="W362" s="692" t="n"/>
      <c r="X362" s="692" t="n"/>
      <c r="Y362" s="692" t="n"/>
      <c r="Z362" s="692" t="n"/>
      <c r="AA362" s="692" t="n"/>
      <c r="AB362" s="692" t="n"/>
      <c r="AC362" s="692" t="n"/>
      <c r="AD362" s="692" t="n"/>
      <c r="AE362" s="692" t="n"/>
      <c r="AF362" s="692" t="n"/>
      <c r="AG362" s="692" t="n"/>
      <c r="AH362" s="692" t="n"/>
      <c r="AI362" s="692" t="n"/>
      <c r="AJ362" s="692" t="n"/>
      <c r="AK362" s="692" t="n"/>
      <c r="AL362" s="692" t="n"/>
      <c r="AM362" s="692" t="n"/>
      <c r="AN362" s="692" t="n"/>
      <c r="AO362" s="692" t="n"/>
      <c r="AP362" s="692" t="n"/>
    </row>
    <row r="363">
      <c r="A363" s="692" t="n"/>
      <c r="B363" s="692" t="n"/>
      <c r="C363" s="692" t="n"/>
      <c r="D363" s="692" t="n"/>
      <c r="E363" s="692" t="n"/>
      <c r="F363" s="692" t="n"/>
      <c r="G363" s="692" t="n"/>
      <c r="H363" s="692" t="n"/>
      <c r="I363" s="692" t="n"/>
      <c r="J363" s="692" t="n"/>
      <c r="K363" s="692" t="n"/>
      <c r="L363" s="692" t="n"/>
      <c r="M363" s="692" t="n"/>
      <c r="N363" s="692" t="n"/>
      <c r="O363" s="692" t="n"/>
      <c r="P363" s="692" t="n"/>
      <c r="Q363" s="692" t="n"/>
      <c r="R363" s="692" t="n"/>
      <c r="S363" s="692" t="n"/>
      <c r="T363" s="692" t="n"/>
      <c r="U363" s="692" t="n"/>
      <c r="V363" s="692" t="n"/>
      <c r="W363" s="692" t="n"/>
      <c r="X363" s="692" t="n"/>
      <c r="Y363" s="692" t="n"/>
      <c r="Z363" s="692" t="n"/>
      <c r="AA363" s="692" t="n"/>
      <c r="AB363" s="692" t="n"/>
      <c r="AC363" s="692" t="n"/>
      <c r="AD363" s="692" t="n"/>
      <c r="AE363" s="692" t="n"/>
      <c r="AF363" s="692" t="n"/>
      <c r="AG363" s="692" t="n"/>
      <c r="AH363" s="692" t="n"/>
      <c r="AI363" s="692" t="n"/>
      <c r="AJ363" s="692" t="n"/>
      <c r="AK363" s="692" t="n"/>
      <c r="AL363" s="692" t="n"/>
      <c r="AM363" s="692" t="n"/>
      <c r="AN363" s="692" t="n"/>
      <c r="AO363" s="692" t="n"/>
      <c r="AP363" s="692" t="n"/>
    </row>
    <row r="364">
      <c r="A364" s="692" t="n"/>
      <c r="B364" s="692" t="n"/>
      <c r="C364" s="692" t="n"/>
      <c r="D364" s="692" t="n"/>
      <c r="E364" s="692" t="n"/>
      <c r="F364" s="692" t="n"/>
      <c r="G364" s="692" t="n"/>
      <c r="H364" s="692" t="n"/>
      <c r="I364" s="692" t="n"/>
      <c r="J364" s="692" t="n"/>
      <c r="K364" s="692" t="n"/>
      <c r="L364" s="692" t="n"/>
      <c r="M364" s="692" t="n"/>
      <c r="N364" s="692" t="n"/>
      <c r="O364" s="692" t="n"/>
      <c r="P364" s="692" t="n"/>
      <c r="Q364" s="692" t="n"/>
      <c r="R364" s="692" t="n"/>
      <c r="S364" s="692" t="n"/>
      <c r="T364" s="692" t="n"/>
      <c r="U364" s="692" t="n"/>
      <c r="V364" s="692" t="n"/>
      <c r="W364" s="692" t="n"/>
      <c r="X364" s="692" t="n"/>
      <c r="Y364" s="692" t="n"/>
      <c r="Z364" s="692" t="n"/>
      <c r="AA364" s="692" t="n"/>
      <c r="AB364" s="692" t="n"/>
      <c r="AC364" s="692" t="n"/>
      <c r="AD364" s="692" t="n"/>
      <c r="AE364" s="692" t="n"/>
      <c r="AF364" s="692" t="n"/>
      <c r="AG364" s="692" t="n"/>
      <c r="AH364" s="692" t="n"/>
      <c r="AI364" s="692" t="n"/>
      <c r="AJ364" s="692" t="n"/>
      <c r="AK364" s="692" t="n"/>
      <c r="AL364" s="692" t="n"/>
      <c r="AM364" s="692" t="n"/>
      <c r="AN364" s="692" t="n"/>
      <c r="AO364" s="692" t="n"/>
      <c r="AP364" s="692" t="n"/>
    </row>
    <row r="365">
      <c r="A365" s="692" t="n"/>
      <c r="B365" s="692" t="n"/>
      <c r="C365" s="692" t="n"/>
      <c r="D365" s="692" t="n"/>
      <c r="E365" s="692" t="n"/>
      <c r="F365" s="692" t="n"/>
      <c r="G365" s="692" t="n"/>
      <c r="H365" s="692" t="n"/>
      <c r="I365" s="692" t="n"/>
      <c r="J365" s="692" t="n"/>
      <c r="K365" s="692" t="n"/>
      <c r="L365" s="692" t="n"/>
      <c r="M365" s="692" t="n"/>
      <c r="N365" s="692" t="n"/>
      <c r="O365" s="692" t="n"/>
      <c r="P365" s="692" t="n"/>
      <c r="Q365" s="692" t="n"/>
      <c r="R365" s="692" t="n"/>
      <c r="S365" s="692" t="n"/>
      <c r="T365" s="692" t="n"/>
      <c r="U365" s="692" t="n"/>
      <c r="V365" s="692" t="n"/>
      <c r="W365" s="692" t="n"/>
      <c r="X365" s="692" t="n"/>
      <c r="Y365" s="692" t="n"/>
      <c r="Z365" s="692" t="n"/>
      <c r="AA365" s="692" t="n"/>
      <c r="AB365" s="692" t="n"/>
      <c r="AC365" s="692" t="n"/>
      <c r="AD365" s="692" t="n"/>
      <c r="AE365" s="692" t="n"/>
      <c r="AF365" s="692" t="n"/>
      <c r="AG365" s="692" t="n"/>
      <c r="AH365" s="692" t="n"/>
      <c r="AI365" s="692" t="n"/>
      <c r="AJ365" s="692" t="n"/>
      <c r="AK365" s="692" t="n"/>
      <c r="AL365" s="692" t="n"/>
      <c r="AM365" s="692" t="n"/>
      <c r="AN365" s="692" t="n"/>
      <c r="AO365" s="692" t="n"/>
      <c r="AP365" s="692" t="n"/>
    </row>
    <row r="366">
      <c r="A366" s="692" t="n"/>
      <c r="B366" s="692" t="n"/>
      <c r="C366" s="692" t="n"/>
      <c r="D366" s="692" t="n"/>
      <c r="E366" s="692" t="n"/>
      <c r="F366" s="692" t="n"/>
      <c r="G366" s="692" t="n"/>
      <c r="H366" s="692" t="n"/>
      <c r="I366" s="692" t="n"/>
      <c r="J366" s="692" t="n"/>
      <c r="K366" s="692" t="n"/>
      <c r="L366" s="692" t="n"/>
      <c r="M366" s="692" t="n"/>
      <c r="N366" s="692" t="n"/>
      <c r="O366" s="692" t="n"/>
      <c r="P366" s="692" t="n"/>
      <c r="Q366" s="692" t="n"/>
      <c r="R366" s="692" t="n"/>
      <c r="S366" s="692" t="n"/>
      <c r="T366" s="692" t="n"/>
      <c r="U366" s="692" t="n"/>
      <c r="V366" s="692" t="n"/>
      <c r="W366" s="692" t="n"/>
      <c r="X366" s="692" t="n"/>
      <c r="Y366" s="692" t="n"/>
      <c r="Z366" s="692" t="n"/>
      <c r="AA366" s="692" t="n"/>
      <c r="AB366" s="692" t="n"/>
      <c r="AC366" s="692" t="n"/>
      <c r="AD366" s="692" t="n"/>
      <c r="AE366" s="692" t="n"/>
      <c r="AF366" s="692" t="n"/>
      <c r="AG366" s="692" t="n"/>
      <c r="AH366" s="692" t="n"/>
      <c r="AI366" s="692" t="n"/>
      <c r="AJ366" s="692" t="n"/>
      <c r="AK366" s="692" t="n"/>
      <c r="AL366" s="692" t="n"/>
      <c r="AM366" s="692" t="n"/>
      <c r="AN366" s="692" t="n"/>
      <c r="AO366" s="692" t="n"/>
      <c r="AP366" s="692" t="n"/>
    </row>
    <row r="367">
      <c r="A367" s="692" t="n"/>
      <c r="B367" s="692" t="n"/>
      <c r="C367" s="692" t="n"/>
      <c r="D367" s="692" t="n"/>
      <c r="E367" s="692" t="n"/>
      <c r="F367" s="692" t="n"/>
      <c r="G367" s="692" t="n"/>
      <c r="H367" s="692" t="n"/>
      <c r="I367" s="692" t="n"/>
      <c r="J367" s="692" t="n"/>
      <c r="K367" s="692" t="n"/>
      <c r="L367" s="692" t="n"/>
      <c r="M367" s="692" t="n"/>
      <c r="N367" s="692" t="n"/>
      <c r="O367" s="692" t="n"/>
      <c r="P367" s="692" t="n"/>
      <c r="Q367" s="692" t="n"/>
      <c r="R367" s="692" t="n"/>
      <c r="S367" s="692" t="n"/>
      <c r="T367" s="692" t="n"/>
      <c r="U367" s="692" t="n"/>
      <c r="V367" s="692" t="n"/>
      <c r="W367" s="692" t="n"/>
      <c r="X367" s="692" t="n"/>
      <c r="Y367" s="692" t="n"/>
      <c r="Z367" s="692" t="n"/>
      <c r="AA367" s="692" t="n"/>
      <c r="AB367" s="692" t="n"/>
      <c r="AC367" s="692" t="n"/>
      <c r="AD367" s="692" t="n"/>
      <c r="AE367" s="692" t="n"/>
      <c r="AF367" s="692" t="n"/>
      <c r="AG367" s="692" t="n"/>
      <c r="AH367" s="692" t="n"/>
      <c r="AI367" s="692" t="n"/>
      <c r="AJ367" s="692" t="n"/>
      <c r="AK367" s="692" t="n"/>
      <c r="AL367" s="692" t="n"/>
      <c r="AM367" s="692" t="n"/>
      <c r="AN367" s="692" t="n"/>
      <c r="AO367" s="692" t="n"/>
      <c r="AP367" s="692" t="n"/>
    </row>
    <row r="368">
      <c r="A368" s="692" t="n"/>
      <c r="B368" s="692" t="n"/>
      <c r="C368" s="692" t="n"/>
      <c r="D368" s="692" t="n"/>
      <c r="E368" s="692" t="n"/>
      <c r="F368" s="692" t="n"/>
      <c r="G368" s="692" t="n"/>
      <c r="H368" s="692" t="n"/>
      <c r="I368" s="692" t="n"/>
      <c r="J368" s="692" t="n"/>
      <c r="K368" s="692" t="n"/>
      <c r="L368" s="692" t="n"/>
      <c r="M368" s="692" t="n"/>
      <c r="N368" s="692" t="n"/>
      <c r="O368" s="692" t="n"/>
      <c r="P368" s="692" t="n"/>
      <c r="Q368" s="692" t="n"/>
      <c r="R368" s="692" t="n"/>
      <c r="S368" s="692" t="n"/>
      <c r="T368" s="692" t="n"/>
      <c r="U368" s="692" t="n"/>
      <c r="V368" s="692" t="n"/>
      <c r="W368" s="692" t="n"/>
      <c r="X368" s="692" t="n"/>
      <c r="Y368" s="692" t="n"/>
      <c r="Z368" s="692" t="n"/>
      <c r="AA368" s="692" t="n"/>
      <c r="AB368" s="692" t="n"/>
      <c r="AC368" s="692" t="n"/>
      <c r="AD368" s="692" t="n"/>
      <c r="AE368" s="692" t="n"/>
      <c r="AF368" s="692" t="n"/>
      <c r="AG368" s="692" t="n"/>
      <c r="AH368" s="692" t="n"/>
      <c r="AI368" s="692" t="n"/>
      <c r="AJ368" s="692" t="n"/>
      <c r="AK368" s="692" t="n"/>
      <c r="AL368" s="692" t="n"/>
      <c r="AM368" s="692" t="n"/>
      <c r="AN368" s="692" t="n"/>
      <c r="AO368" s="692" t="n"/>
      <c r="AP368" s="692" t="n"/>
    </row>
    <row r="369">
      <c r="A369" s="692" t="n"/>
      <c r="B369" s="692" t="n"/>
      <c r="C369" s="692" t="n"/>
      <c r="D369" s="692" t="n"/>
      <c r="E369" s="692" t="n"/>
      <c r="F369" s="692" t="n"/>
      <c r="G369" s="692" t="n"/>
      <c r="H369" s="692" t="n"/>
      <c r="I369" s="692" t="n"/>
      <c r="J369" s="692" t="n"/>
      <c r="K369" s="692" t="n"/>
      <c r="L369" s="692" t="n"/>
      <c r="M369" s="692" t="n"/>
      <c r="N369" s="692" t="n"/>
      <c r="O369" s="692" t="n"/>
      <c r="P369" s="692" t="n"/>
      <c r="Q369" s="692" t="n"/>
      <c r="R369" s="692" t="n"/>
      <c r="S369" s="692" t="n"/>
      <c r="T369" s="692" t="n"/>
      <c r="U369" s="692" t="n"/>
      <c r="V369" s="692" t="n"/>
      <c r="W369" s="692" t="n"/>
      <c r="X369" s="692" t="n"/>
      <c r="Y369" s="692" t="n"/>
      <c r="Z369" s="692" t="n"/>
      <c r="AA369" s="692" t="n"/>
      <c r="AB369" s="692" t="n"/>
      <c r="AC369" s="692" t="n"/>
      <c r="AD369" s="692" t="n"/>
      <c r="AE369" s="692" t="n"/>
      <c r="AF369" s="692" t="n"/>
      <c r="AG369" s="692" t="n"/>
      <c r="AH369" s="692" t="n"/>
      <c r="AI369" s="692" t="n"/>
      <c r="AJ369" s="692" t="n"/>
      <c r="AK369" s="692" t="n"/>
      <c r="AL369" s="692" t="n"/>
      <c r="AM369" s="692" t="n"/>
      <c r="AN369" s="692" t="n"/>
      <c r="AO369" s="692" t="n"/>
      <c r="AP369" s="692" t="n"/>
    </row>
    <row r="370">
      <c r="A370" s="692" t="n"/>
      <c r="B370" s="692" t="n"/>
      <c r="C370" s="692" t="n"/>
      <c r="D370" s="692" t="n"/>
      <c r="E370" s="692" t="n"/>
      <c r="F370" s="692" t="n"/>
      <c r="G370" s="692" t="n"/>
      <c r="H370" s="692" t="n"/>
      <c r="I370" s="692" t="n"/>
      <c r="J370" s="692" t="n"/>
      <c r="K370" s="692" t="n"/>
      <c r="L370" s="692" t="n"/>
      <c r="M370" s="692" t="n"/>
      <c r="N370" s="692" t="n"/>
      <c r="O370" s="692" t="n"/>
      <c r="P370" s="692" t="n"/>
      <c r="Q370" s="692" t="n"/>
      <c r="R370" s="692" t="n"/>
      <c r="S370" s="692" t="n"/>
      <c r="T370" s="692" t="n"/>
      <c r="U370" s="692" t="n"/>
      <c r="V370" s="692" t="n"/>
      <c r="W370" s="692" t="n"/>
      <c r="X370" s="692" t="n"/>
      <c r="Y370" s="692" t="n"/>
      <c r="Z370" s="692" t="n"/>
      <c r="AA370" s="692" t="n"/>
      <c r="AB370" s="692" t="n"/>
      <c r="AC370" s="692" t="n"/>
      <c r="AD370" s="692" t="n"/>
      <c r="AE370" s="692" t="n"/>
      <c r="AF370" s="692" t="n"/>
      <c r="AG370" s="692" t="n"/>
      <c r="AH370" s="692" t="n"/>
      <c r="AI370" s="692" t="n"/>
      <c r="AJ370" s="692" t="n"/>
      <c r="AK370" s="692" t="n"/>
      <c r="AL370" s="692" t="n"/>
      <c r="AM370" s="692" t="n"/>
      <c r="AN370" s="692" t="n"/>
      <c r="AO370" s="692" t="n"/>
      <c r="AP370" s="692" t="n"/>
    </row>
    <row r="371">
      <c r="A371" s="692" t="n"/>
      <c r="B371" s="692" t="n"/>
      <c r="C371" s="692" t="n"/>
      <c r="D371" s="692" t="n"/>
      <c r="E371" s="692" t="n"/>
      <c r="F371" s="692" t="n"/>
      <c r="G371" s="692" t="n"/>
      <c r="H371" s="692" t="n"/>
      <c r="I371" s="692" t="n"/>
      <c r="J371" s="692" t="n"/>
      <c r="K371" s="692" t="n"/>
      <c r="L371" s="692" t="n"/>
      <c r="M371" s="692" t="n"/>
      <c r="N371" s="692" t="n"/>
      <c r="O371" s="692" t="n"/>
      <c r="P371" s="692" t="n"/>
      <c r="Q371" s="692" t="n"/>
      <c r="R371" s="692" t="n"/>
      <c r="S371" s="692" t="n"/>
      <c r="T371" s="692" t="n"/>
      <c r="U371" s="692" t="n"/>
      <c r="V371" s="692" t="n"/>
      <c r="W371" s="692" t="n"/>
      <c r="X371" s="692" t="n"/>
      <c r="Y371" s="692" t="n"/>
      <c r="Z371" s="692" t="n"/>
      <c r="AA371" s="692" t="n"/>
      <c r="AB371" s="692" t="n"/>
      <c r="AC371" s="692" t="n"/>
      <c r="AD371" s="692" t="n"/>
      <c r="AE371" s="692" t="n"/>
      <c r="AF371" s="692" t="n"/>
      <c r="AG371" s="692" t="n"/>
      <c r="AH371" s="692" t="n"/>
      <c r="AI371" s="692" t="n"/>
      <c r="AJ371" s="692" t="n"/>
      <c r="AK371" s="692" t="n"/>
      <c r="AL371" s="692" t="n"/>
      <c r="AM371" s="692" t="n"/>
      <c r="AN371" s="692" t="n"/>
      <c r="AO371" s="692" t="n"/>
      <c r="AP371" s="692" t="n"/>
    </row>
    <row r="372">
      <c r="A372" s="692" t="n"/>
      <c r="B372" s="692" t="n"/>
      <c r="C372" s="692" t="n"/>
      <c r="D372" s="692" t="n"/>
      <c r="E372" s="692" t="n"/>
      <c r="F372" s="692" t="n"/>
      <c r="G372" s="692" t="n"/>
      <c r="H372" s="692" t="n"/>
      <c r="I372" s="692" t="n"/>
      <c r="J372" s="692" t="n"/>
      <c r="K372" s="692" t="n"/>
      <c r="L372" s="692" t="n"/>
      <c r="M372" s="692" t="n"/>
      <c r="N372" s="692" t="n"/>
      <c r="O372" s="692" t="n"/>
      <c r="P372" s="692" t="n"/>
      <c r="Q372" s="692" t="n"/>
      <c r="R372" s="692" t="n"/>
      <c r="S372" s="692" t="n"/>
      <c r="T372" s="692" t="n"/>
      <c r="U372" s="692" t="n"/>
      <c r="V372" s="692" t="n"/>
      <c r="W372" s="692" t="n"/>
      <c r="X372" s="692" t="n"/>
      <c r="Y372" s="692" t="n"/>
      <c r="Z372" s="692" t="n"/>
      <c r="AA372" s="692" t="n"/>
      <c r="AB372" s="692" t="n"/>
      <c r="AC372" s="692" t="n"/>
      <c r="AD372" s="692" t="n"/>
      <c r="AE372" s="692" t="n"/>
      <c r="AF372" s="692" t="n"/>
      <c r="AG372" s="692" t="n"/>
      <c r="AH372" s="692" t="n"/>
      <c r="AI372" s="692" t="n"/>
      <c r="AJ372" s="692" t="n"/>
      <c r="AK372" s="692" t="n"/>
      <c r="AL372" s="692" t="n"/>
      <c r="AM372" s="692" t="n"/>
      <c r="AN372" s="692" t="n"/>
      <c r="AO372" s="692" t="n"/>
      <c r="AP372" s="692" t="n"/>
    </row>
    <row r="373">
      <c r="A373" s="692" t="n"/>
      <c r="B373" s="692" t="n"/>
      <c r="C373" s="692" t="n"/>
      <c r="D373" s="692" t="n"/>
      <c r="E373" s="692" t="n"/>
      <c r="F373" s="692" t="n"/>
      <c r="G373" s="692" t="n"/>
      <c r="H373" s="692" t="n"/>
      <c r="I373" s="692" t="n"/>
      <c r="J373" s="692" t="n"/>
      <c r="K373" s="692" t="n"/>
      <c r="L373" s="692" t="n"/>
      <c r="M373" s="692" t="n"/>
      <c r="N373" s="692" t="n"/>
      <c r="O373" s="692" t="n"/>
      <c r="P373" s="692" t="n"/>
      <c r="Q373" s="692" t="n"/>
      <c r="R373" s="692" t="n"/>
      <c r="S373" s="692" t="n"/>
      <c r="T373" s="692" t="n"/>
      <c r="U373" s="692" t="n"/>
      <c r="V373" s="692" t="n"/>
      <c r="W373" s="692" t="n"/>
      <c r="X373" s="692" t="n"/>
      <c r="Y373" s="692" t="n"/>
      <c r="Z373" s="692" t="n"/>
      <c r="AA373" s="692" t="n"/>
      <c r="AB373" s="692" t="n"/>
      <c r="AC373" s="692" t="n"/>
      <c r="AD373" s="692" t="n"/>
      <c r="AE373" s="692" t="n"/>
      <c r="AF373" s="692" t="n"/>
      <c r="AG373" s="692" t="n"/>
      <c r="AH373" s="692" t="n"/>
      <c r="AI373" s="692" t="n"/>
      <c r="AJ373" s="692" t="n"/>
      <c r="AK373" s="692" t="n"/>
      <c r="AL373" s="692" t="n"/>
      <c r="AM373" s="692" t="n"/>
      <c r="AN373" s="692" t="n"/>
      <c r="AO373" s="692" t="n"/>
      <c r="AP373" s="692" t="n"/>
    </row>
    <row r="374">
      <c r="A374" s="692" t="n"/>
      <c r="B374" s="692" t="n"/>
      <c r="C374" s="692" t="n"/>
      <c r="D374" s="692" t="n"/>
      <c r="E374" s="692" t="n"/>
      <c r="F374" s="692" t="n"/>
      <c r="G374" s="692" t="n"/>
      <c r="H374" s="692" t="n"/>
      <c r="I374" s="692" t="n"/>
      <c r="J374" s="692" t="n"/>
      <c r="K374" s="692" t="n"/>
      <c r="L374" s="692" t="n"/>
      <c r="M374" s="692" t="n"/>
      <c r="N374" s="692" t="n"/>
      <c r="O374" s="692" t="n"/>
      <c r="P374" s="692" t="n"/>
      <c r="Q374" s="692" t="n"/>
      <c r="R374" s="692" t="n"/>
      <c r="S374" s="692" t="n"/>
      <c r="T374" s="692" t="n"/>
      <c r="U374" s="692" t="n"/>
      <c r="V374" s="692" t="n"/>
      <c r="W374" s="692" t="n"/>
      <c r="X374" s="692" t="n"/>
      <c r="Y374" s="692" t="n"/>
      <c r="Z374" s="692" t="n"/>
      <c r="AA374" s="692" t="n"/>
      <c r="AB374" s="692" t="n"/>
      <c r="AC374" s="692" t="n"/>
      <c r="AD374" s="692" t="n"/>
      <c r="AE374" s="692" t="n"/>
      <c r="AF374" s="692" t="n"/>
      <c r="AG374" s="692" t="n"/>
      <c r="AH374" s="692" t="n"/>
      <c r="AI374" s="692" t="n"/>
      <c r="AJ374" s="692" t="n"/>
      <c r="AK374" s="692" t="n"/>
      <c r="AL374" s="692" t="n"/>
      <c r="AM374" s="692" t="n"/>
      <c r="AN374" s="692" t="n"/>
      <c r="AO374" s="692" t="n"/>
      <c r="AP374" s="692" t="n"/>
    </row>
    <row r="375">
      <c r="A375" s="692" t="n"/>
      <c r="B375" s="692" t="n"/>
      <c r="C375" s="692" t="n"/>
      <c r="D375" s="692" t="n"/>
      <c r="E375" s="692" t="n"/>
      <c r="F375" s="692" t="n"/>
      <c r="G375" s="692" t="n"/>
      <c r="H375" s="692" t="n"/>
      <c r="I375" s="692" t="n"/>
      <c r="J375" s="692" t="n"/>
      <c r="K375" s="692" t="n"/>
      <c r="L375" s="692" t="n"/>
      <c r="M375" s="692" t="n"/>
      <c r="N375" s="692" t="n"/>
      <c r="O375" s="692" t="n"/>
      <c r="P375" s="692" t="n"/>
      <c r="Q375" s="692" t="n"/>
      <c r="R375" s="692" t="n"/>
      <c r="S375" s="692" t="n"/>
      <c r="T375" s="692" t="n"/>
      <c r="U375" s="692" t="n"/>
      <c r="V375" s="692" t="n"/>
      <c r="W375" s="692" t="n"/>
      <c r="X375" s="692" t="n"/>
      <c r="Y375" s="692" t="n"/>
      <c r="Z375" s="692" t="n"/>
      <c r="AA375" s="692" t="n"/>
      <c r="AB375" s="692" t="n"/>
      <c r="AC375" s="692" t="n"/>
      <c r="AD375" s="692" t="n"/>
      <c r="AE375" s="692" t="n"/>
      <c r="AF375" s="692" t="n"/>
      <c r="AG375" s="692" t="n"/>
      <c r="AH375" s="692" t="n"/>
      <c r="AI375" s="692" t="n"/>
      <c r="AJ375" s="692" t="n"/>
      <c r="AK375" s="692" t="n"/>
      <c r="AL375" s="692" t="n"/>
      <c r="AM375" s="692" t="n"/>
      <c r="AN375" s="692" t="n"/>
      <c r="AO375" s="692" t="n"/>
      <c r="AP375" s="692" t="n"/>
    </row>
    <row r="376">
      <c r="A376" s="692" t="n"/>
      <c r="B376" s="692" t="n"/>
      <c r="C376" s="692" t="n"/>
      <c r="D376" s="692" t="n"/>
      <c r="E376" s="692" t="n"/>
      <c r="F376" s="692" t="n"/>
      <c r="G376" s="692" t="n"/>
      <c r="H376" s="692" t="n"/>
      <c r="I376" s="692" t="n"/>
      <c r="J376" s="692" t="n"/>
      <c r="K376" s="692" t="n"/>
      <c r="L376" s="692" t="n"/>
      <c r="M376" s="692" t="n"/>
      <c r="N376" s="692" t="n"/>
      <c r="O376" s="692" t="n"/>
      <c r="P376" s="692" t="n"/>
      <c r="Q376" s="692" t="n"/>
      <c r="R376" s="692" t="n"/>
      <c r="S376" s="692" t="n"/>
      <c r="T376" s="692" t="n"/>
      <c r="U376" s="692" t="n"/>
      <c r="V376" s="692" t="n"/>
      <c r="W376" s="692" t="n"/>
      <c r="X376" s="692" t="n"/>
      <c r="Y376" s="692" t="n"/>
      <c r="Z376" s="692" t="n"/>
      <c r="AA376" s="692" t="n"/>
      <c r="AB376" s="692" t="n"/>
      <c r="AC376" s="692" t="n"/>
      <c r="AD376" s="692" t="n"/>
      <c r="AE376" s="692" t="n"/>
      <c r="AF376" s="692" t="n"/>
      <c r="AG376" s="692" t="n"/>
      <c r="AH376" s="692" t="n"/>
      <c r="AI376" s="692" t="n"/>
      <c r="AJ376" s="692" t="n"/>
      <c r="AK376" s="692" t="n"/>
      <c r="AL376" s="692" t="n"/>
      <c r="AM376" s="692" t="n"/>
      <c r="AN376" s="692" t="n"/>
      <c r="AO376" s="692" t="n"/>
      <c r="AP376" s="692" t="n"/>
    </row>
    <row r="377">
      <c r="A377" s="692" t="n"/>
      <c r="B377" s="692" t="n"/>
      <c r="C377" s="692" t="n"/>
      <c r="D377" s="692" t="n"/>
      <c r="E377" s="692" t="n"/>
      <c r="F377" s="692" t="n"/>
      <c r="G377" s="692" t="n"/>
      <c r="H377" s="692" t="n"/>
      <c r="I377" s="692" t="n"/>
      <c r="J377" s="692" t="n"/>
      <c r="K377" s="692" t="n"/>
      <c r="L377" s="692" t="n"/>
      <c r="M377" s="692" t="n"/>
      <c r="N377" s="692" t="n"/>
      <c r="O377" s="692" t="n"/>
      <c r="P377" s="692" t="n"/>
      <c r="Q377" s="692" t="n"/>
      <c r="R377" s="692" t="n"/>
      <c r="S377" s="692" t="n"/>
      <c r="T377" s="692" t="n"/>
      <c r="U377" s="692" t="n"/>
      <c r="V377" s="692" t="n"/>
      <c r="W377" s="692" t="n"/>
      <c r="X377" s="692" t="n"/>
      <c r="Y377" s="692" t="n"/>
      <c r="Z377" s="692" t="n"/>
      <c r="AA377" s="692" t="n"/>
      <c r="AB377" s="692" t="n"/>
      <c r="AC377" s="692" t="n"/>
      <c r="AD377" s="692" t="n"/>
      <c r="AE377" s="692" t="n"/>
      <c r="AF377" s="692" t="n"/>
      <c r="AG377" s="692" t="n"/>
      <c r="AH377" s="692" t="n"/>
      <c r="AI377" s="692" t="n"/>
      <c r="AJ377" s="692" t="n"/>
      <c r="AK377" s="692" t="n"/>
      <c r="AL377" s="692" t="n"/>
      <c r="AM377" s="692" t="n"/>
      <c r="AN377" s="692" t="n"/>
      <c r="AO377" s="692" t="n"/>
      <c r="AP377" s="692" t="n"/>
    </row>
    <row r="378">
      <c r="A378" s="692" t="n"/>
      <c r="B378" s="692" t="n"/>
      <c r="C378" s="692" t="n"/>
      <c r="D378" s="692" t="n"/>
      <c r="E378" s="692" t="n"/>
      <c r="F378" s="692" t="n"/>
      <c r="G378" s="692" t="n"/>
      <c r="H378" s="692" t="n"/>
      <c r="I378" s="692" t="n"/>
      <c r="J378" s="692" t="n"/>
      <c r="K378" s="692" t="n"/>
      <c r="L378" s="692" t="n"/>
      <c r="M378" s="692" t="n"/>
      <c r="N378" s="692" t="n"/>
      <c r="O378" s="692" t="n"/>
      <c r="P378" s="692" t="n"/>
      <c r="Q378" s="692" t="n"/>
      <c r="R378" s="692" t="n"/>
      <c r="S378" s="692" t="n"/>
      <c r="T378" s="692" t="n"/>
      <c r="U378" s="692" t="n"/>
      <c r="V378" s="692" t="n"/>
      <c r="W378" s="692" t="n"/>
      <c r="X378" s="692" t="n"/>
      <c r="Y378" s="692" t="n"/>
      <c r="Z378" s="692" t="n"/>
      <c r="AA378" s="692" t="n"/>
      <c r="AB378" s="692" t="n"/>
      <c r="AC378" s="692" t="n"/>
      <c r="AD378" s="692" t="n"/>
      <c r="AE378" s="692" t="n"/>
      <c r="AF378" s="692" t="n"/>
      <c r="AG378" s="692" t="n"/>
      <c r="AH378" s="692" t="n"/>
      <c r="AI378" s="692" t="n"/>
      <c r="AJ378" s="692" t="n"/>
      <c r="AK378" s="692" t="n"/>
      <c r="AL378" s="692" t="n"/>
      <c r="AM378" s="692" t="n"/>
      <c r="AN378" s="692" t="n"/>
      <c r="AO378" s="692" t="n"/>
      <c r="AP378" s="692" t="n"/>
    </row>
    <row r="379">
      <c r="A379" s="692" t="n"/>
      <c r="B379" s="692" t="n"/>
      <c r="C379" s="692" t="n"/>
      <c r="D379" s="692" t="n"/>
      <c r="E379" s="692" t="n"/>
      <c r="F379" s="692" t="n"/>
      <c r="G379" s="692" t="n"/>
      <c r="H379" s="692" t="n"/>
      <c r="I379" s="692" t="n"/>
      <c r="J379" s="692" t="n"/>
      <c r="K379" s="692" t="n"/>
      <c r="L379" s="692" t="n"/>
      <c r="M379" s="692" t="n"/>
      <c r="N379" s="692" t="n"/>
      <c r="O379" s="692" t="n"/>
      <c r="P379" s="692" t="n"/>
      <c r="Q379" s="692" t="n"/>
      <c r="R379" s="692" t="n"/>
      <c r="S379" s="692" t="n"/>
      <c r="T379" s="692" t="n"/>
      <c r="U379" s="692" t="n"/>
      <c r="V379" s="692" t="n"/>
      <c r="W379" s="692" t="n"/>
      <c r="X379" s="692" t="n"/>
      <c r="Y379" s="692" t="n"/>
      <c r="Z379" s="692" t="n"/>
      <c r="AA379" s="692" t="n"/>
      <c r="AB379" s="692" t="n"/>
      <c r="AC379" s="692" t="n"/>
      <c r="AD379" s="692" t="n"/>
      <c r="AE379" s="692" t="n"/>
      <c r="AF379" s="692" t="n"/>
      <c r="AG379" s="692" t="n"/>
      <c r="AH379" s="692" t="n"/>
      <c r="AI379" s="692" t="n"/>
      <c r="AJ379" s="692" t="n"/>
      <c r="AK379" s="692" t="n"/>
      <c r="AL379" s="692" t="n"/>
      <c r="AM379" s="692" t="n"/>
      <c r="AN379" s="692" t="n"/>
      <c r="AO379" s="692" t="n"/>
      <c r="AP379" s="692" t="n"/>
    </row>
    <row r="380">
      <c r="A380" s="692" t="n"/>
      <c r="B380" s="692" t="n"/>
      <c r="C380" s="692" t="n"/>
      <c r="D380" s="692" t="n"/>
      <c r="E380" s="692" t="n"/>
      <c r="F380" s="692" t="n"/>
      <c r="G380" s="692" t="n"/>
      <c r="H380" s="692" t="n"/>
      <c r="I380" s="692" t="n"/>
      <c r="J380" s="692" t="n"/>
      <c r="K380" s="692" t="n"/>
      <c r="L380" s="692" t="n"/>
      <c r="M380" s="692" t="n"/>
      <c r="N380" s="692" t="n"/>
      <c r="O380" s="692" t="n"/>
      <c r="P380" s="692" t="n"/>
      <c r="Q380" s="692" t="n"/>
      <c r="R380" s="692" t="n"/>
      <c r="S380" s="692" t="n"/>
      <c r="T380" s="692" t="n"/>
      <c r="U380" s="692" t="n"/>
      <c r="V380" s="692" t="n"/>
      <c r="W380" s="692" t="n"/>
      <c r="X380" s="692" t="n"/>
      <c r="Y380" s="692" t="n"/>
      <c r="Z380" s="692" t="n"/>
      <c r="AA380" s="692" t="n"/>
      <c r="AB380" s="692" t="n"/>
      <c r="AC380" s="692" t="n"/>
      <c r="AD380" s="692" t="n"/>
      <c r="AE380" s="692" t="n"/>
      <c r="AF380" s="692" t="n"/>
      <c r="AG380" s="692" t="n"/>
      <c r="AH380" s="692" t="n"/>
      <c r="AI380" s="692" t="n"/>
      <c r="AJ380" s="692" t="n"/>
      <c r="AK380" s="692" t="n"/>
      <c r="AL380" s="692" t="n"/>
      <c r="AM380" s="692" t="n"/>
      <c r="AN380" s="692" t="n"/>
      <c r="AO380" s="692" t="n"/>
      <c r="AP380" s="692" t="n"/>
    </row>
    <row r="381">
      <c r="A381" s="692" t="n"/>
      <c r="B381" s="692" t="n"/>
      <c r="C381" s="692" t="n"/>
      <c r="D381" s="692" t="n"/>
      <c r="E381" s="692" t="n"/>
      <c r="F381" s="692" t="n"/>
      <c r="G381" s="692" t="n"/>
      <c r="H381" s="692" t="n"/>
      <c r="I381" s="692" t="n"/>
      <c r="J381" s="692" t="n"/>
      <c r="K381" s="692" t="n"/>
      <c r="L381" s="692" t="n"/>
      <c r="M381" s="692" t="n"/>
      <c r="N381" s="692" t="n"/>
      <c r="O381" s="692" t="n"/>
      <c r="P381" s="692" t="n"/>
      <c r="Q381" s="692" t="n"/>
      <c r="R381" s="692" t="n"/>
      <c r="S381" s="692" t="n"/>
      <c r="T381" s="692" t="n"/>
      <c r="U381" s="692" t="n"/>
      <c r="V381" s="692" t="n"/>
      <c r="W381" s="692" t="n"/>
      <c r="X381" s="692" t="n"/>
      <c r="Y381" s="692" t="n"/>
      <c r="Z381" s="692" t="n"/>
      <c r="AA381" s="692" t="n"/>
      <c r="AB381" s="692" t="n"/>
      <c r="AC381" s="692" t="n"/>
      <c r="AD381" s="692" t="n"/>
      <c r="AE381" s="692" t="n"/>
      <c r="AF381" s="692" t="n"/>
      <c r="AG381" s="692" t="n"/>
      <c r="AH381" s="692" t="n"/>
      <c r="AI381" s="692" t="n"/>
      <c r="AJ381" s="692" t="n"/>
      <c r="AK381" s="692" t="n"/>
      <c r="AL381" s="692" t="n"/>
      <c r="AM381" s="692" t="n"/>
      <c r="AN381" s="692" t="n"/>
      <c r="AO381" s="692" t="n"/>
      <c r="AP381" s="692" t="n"/>
    </row>
    <row r="382">
      <c r="A382" s="692" t="n"/>
      <c r="B382" s="692" t="n"/>
      <c r="C382" s="692" t="n"/>
      <c r="D382" s="692" t="n"/>
      <c r="E382" s="692" t="n"/>
      <c r="F382" s="692" t="n"/>
      <c r="G382" s="692" t="n"/>
      <c r="H382" s="692" t="n"/>
      <c r="I382" s="692" t="n"/>
      <c r="J382" s="692" t="n"/>
      <c r="K382" s="692" t="n"/>
      <c r="L382" s="692" t="n"/>
      <c r="M382" s="692" t="n"/>
      <c r="N382" s="692" t="n"/>
      <c r="O382" s="692" t="n"/>
      <c r="P382" s="692" t="n"/>
      <c r="Q382" s="692" t="n"/>
      <c r="R382" s="692" t="n"/>
      <c r="S382" s="692" t="n"/>
      <c r="T382" s="692" t="n"/>
      <c r="U382" s="692" t="n"/>
      <c r="V382" s="692" t="n"/>
      <c r="W382" s="692" t="n"/>
      <c r="X382" s="692" t="n"/>
      <c r="Y382" s="692" t="n"/>
      <c r="Z382" s="692" t="n"/>
      <c r="AA382" s="692" t="n"/>
      <c r="AB382" s="692" t="n"/>
      <c r="AC382" s="692" t="n"/>
      <c r="AD382" s="692" t="n"/>
      <c r="AE382" s="692" t="n"/>
      <c r="AF382" s="692" t="n"/>
      <c r="AG382" s="692" t="n"/>
      <c r="AH382" s="692" t="n"/>
      <c r="AI382" s="692" t="n"/>
      <c r="AJ382" s="692" t="n"/>
      <c r="AK382" s="692" t="n"/>
      <c r="AL382" s="692" t="n"/>
      <c r="AM382" s="692" t="n"/>
      <c r="AN382" s="692" t="n"/>
      <c r="AO382" s="692" t="n"/>
      <c r="AP382" s="692" t="n"/>
    </row>
    <row r="383">
      <c r="A383" s="692" t="n"/>
      <c r="B383" s="692" t="n"/>
      <c r="C383" s="692" t="n"/>
      <c r="D383" s="692" t="n"/>
      <c r="E383" s="692" t="n"/>
      <c r="F383" s="692" t="n"/>
      <c r="G383" s="692" t="n"/>
      <c r="H383" s="692" t="n"/>
      <c r="I383" s="692" t="n"/>
      <c r="J383" s="692" t="n"/>
      <c r="K383" s="692" t="n"/>
      <c r="L383" s="692" t="n"/>
      <c r="M383" s="692" t="n"/>
      <c r="N383" s="692" t="n"/>
      <c r="O383" s="692" t="n"/>
      <c r="P383" s="692" t="n"/>
      <c r="Q383" s="692" t="n"/>
      <c r="R383" s="692" t="n"/>
      <c r="S383" s="692" t="n"/>
      <c r="T383" s="692" t="n"/>
      <c r="U383" s="692" t="n"/>
      <c r="V383" s="692" t="n"/>
      <c r="W383" s="692" t="n"/>
      <c r="X383" s="692" t="n"/>
      <c r="Y383" s="692" t="n"/>
      <c r="Z383" s="692" t="n"/>
      <c r="AA383" s="692" t="n"/>
      <c r="AB383" s="692" t="n"/>
      <c r="AC383" s="692" t="n"/>
      <c r="AD383" s="692" t="n"/>
      <c r="AE383" s="692" t="n"/>
      <c r="AF383" s="692" t="n"/>
      <c r="AG383" s="692" t="n"/>
      <c r="AH383" s="692" t="n"/>
      <c r="AI383" s="692" t="n"/>
      <c r="AJ383" s="692" t="n"/>
      <c r="AK383" s="692" t="n"/>
      <c r="AL383" s="692" t="n"/>
      <c r="AM383" s="692" t="n"/>
      <c r="AN383" s="692" t="n"/>
      <c r="AO383" s="692" t="n"/>
      <c r="AP383" s="692" t="n"/>
    </row>
    <row r="384">
      <c r="A384" s="692" t="n"/>
      <c r="B384" s="692" t="n"/>
      <c r="C384" s="692" t="n"/>
      <c r="D384" s="692" t="n"/>
      <c r="E384" s="692" t="n"/>
      <c r="F384" s="692" t="n"/>
      <c r="G384" s="692" t="n"/>
      <c r="H384" s="692" t="n"/>
      <c r="I384" s="692" t="n"/>
      <c r="J384" s="692" t="n"/>
      <c r="K384" s="692" t="n"/>
      <c r="L384" s="692" t="n"/>
      <c r="M384" s="692" t="n"/>
      <c r="N384" s="692" t="n"/>
      <c r="O384" s="692" t="n"/>
      <c r="P384" s="692" t="n"/>
      <c r="Q384" s="692" t="n"/>
      <c r="R384" s="692" t="n"/>
      <c r="S384" s="692" t="n"/>
      <c r="T384" s="692" t="n"/>
      <c r="U384" s="692" t="n"/>
      <c r="V384" s="692" t="n"/>
      <c r="W384" s="692" t="n"/>
      <c r="X384" s="692" t="n"/>
      <c r="Y384" s="692" t="n"/>
      <c r="Z384" s="692" t="n"/>
      <c r="AA384" s="692" t="n"/>
      <c r="AB384" s="692" t="n"/>
      <c r="AC384" s="692" t="n"/>
      <c r="AD384" s="692" t="n"/>
      <c r="AE384" s="692" t="n"/>
      <c r="AF384" s="692" t="n"/>
      <c r="AG384" s="692" t="n"/>
      <c r="AH384" s="692" t="n"/>
      <c r="AI384" s="692" t="n"/>
      <c r="AJ384" s="692" t="n"/>
      <c r="AK384" s="692" t="n"/>
      <c r="AL384" s="692" t="n"/>
      <c r="AM384" s="692" t="n"/>
      <c r="AN384" s="692" t="n"/>
      <c r="AO384" s="692" t="n"/>
      <c r="AP384" s="692" t="n"/>
    </row>
    <row r="385">
      <c r="A385" s="692" t="n"/>
      <c r="B385" s="692" t="n"/>
      <c r="C385" s="692" t="n"/>
      <c r="D385" s="692" t="n"/>
      <c r="E385" s="692" t="n"/>
      <c r="F385" s="692" t="n"/>
      <c r="G385" s="692" t="n"/>
      <c r="H385" s="692" t="n"/>
      <c r="I385" s="692" t="n"/>
      <c r="J385" s="692" t="n"/>
      <c r="K385" s="692" t="n"/>
      <c r="L385" s="692" t="n"/>
      <c r="M385" s="692" t="n"/>
      <c r="N385" s="692" t="n"/>
      <c r="O385" s="692" t="n"/>
      <c r="P385" s="692" t="n"/>
      <c r="Q385" s="692" t="n"/>
      <c r="R385" s="692" t="n"/>
      <c r="S385" s="692" t="n"/>
      <c r="T385" s="692" t="n"/>
      <c r="U385" s="692" t="n"/>
      <c r="V385" s="692" t="n"/>
      <c r="W385" s="692" t="n"/>
      <c r="X385" s="692" t="n"/>
      <c r="Y385" s="692" t="n"/>
      <c r="Z385" s="692" t="n"/>
      <c r="AA385" s="692" t="n"/>
      <c r="AB385" s="692" t="n"/>
      <c r="AC385" s="692" t="n"/>
      <c r="AD385" s="692" t="n"/>
      <c r="AE385" s="692" t="n"/>
      <c r="AF385" s="692" t="n"/>
      <c r="AG385" s="692" t="n"/>
      <c r="AH385" s="692" t="n"/>
      <c r="AI385" s="692" t="n"/>
      <c r="AJ385" s="692" t="n"/>
      <c r="AK385" s="692" t="n"/>
      <c r="AL385" s="692" t="n"/>
      <c r="AM385" s="692" t="n"/>
      <c r="AN385" s="692" t="n"/>
      <c r="AO385" s="692" t="n"/>
      <c r="AP385" s="692" t="n"/>
    </row>
    <row r="386">
      <c r="A386" s="692" t="n"/>
      <c r="B386" s="692" t="n"/>
      <c r="C386" s="692" t="n"/>
      <c r="D386" s="692" t="n"/>
      <c r="E386" s="692" t="n"/>
      <c r="F386" s="692" t="n"/>
      <c r="G386" s="692" t="n"/>
      <c r="H386" s="692" t="n"/>
      <c r="I386" s="692" t="n"/>
      <c r="J386" s="692" t="n"/>
      <c r="K386" s="692" t="n"/>
      <c r="L386" s="692" t="n"/>
      <c r="M386" s="692" t="n"/>
      <c r="N386" s="692" t="n"/>
      <c r="O386" s="692" t="n"/>
      <c r="P386" s="692" t="n"/>
      <c r="Q386" s="692" t="n"/>
      <c r="R386" s="692" t="n"/>
      <c r="S386" s="692" t="n"/>
      <c r="T386" s="692" t="n"/>
      <c r="U386" s="692" t="n"/>
      <c r="V386" s="692" t="n"/>
      <c r="W386" s="692" t="n"/>
      <c r="X386" s="692" t="n"/>
      <c r="Y386" s="692" t="n"/>
      <c r="Z386" s="692" t="n"/>
      <c r="AA386" s="692" t="n"/>
      <c r="AB386" s="692" t="n"/>
      <c r="AC386" s="692" t="n"/>
      <c r="AD386" s="692" t="n"/>
      <c r="AE386" s="692" t="n"/>
      <c r="AF386" s="692" t="n"/>
      <c r="AG386" s="692" t="n"/>
      <c r="AH386" s="692" t="n"/>
      <c r="AI386" s="692" t="n"/>
      <c r="AJ386" s="692" t="n"/>
      <c r="AK386" s="692" t="n"/>
      <c r="AL386" s="692" t="n"/>
      <c r="AM386" s="692" t="n"/>
      <c r="AN386" s="692" t="n"/>
      <c r="AO386" s="692" t="n"/>
      <c r="AP386" s="692" t="n"/>
    </row>
    <row r="387">
      <c r="A387" s="692" t="n"/>
      <c r="B387" s="692" t="n"/>
      <c r="C387" s="692" t="n"/>
      <c r="D387" s="692" t="n"/>
      <c r="E387" s="692" t="n"/>
      <c r="F387" s="692" t="n"/>
      <c r="G387" s="692" t="n"/>
      <c r="H387" s="692" t="n"/>
      <c r="I387" s="692" t="n"/>
      <c r="J387" s="692" t="n"/>
      <c r="K387" s="692" t="n"/>
      <c r="L387" s="692" t="n"/>
      <c r="M387" s="692" t="n"/>
      <c r="N387" s="692" t="n"/>
      <c r="O387" s="692" t="n"/>
      <c r="P387" s="692" t="n"/>
      <c r="Q387" s="692" t="n"/>
      <c r="R387" s="692" t="n"/>
      <c r="S387" s="692" t="n"/>
      <c r="T387" s="692" t="n"/>
      <c r="U387" s="692" t="n"/>
      <c r="V387" s="692" t="n"/>
      <c r="W387" s="692" t="n"/>
      <c r="X387" s="692" t="n"/>
      <c r="Y387" s="692" t="n"/>
      <c r="Z387" s="692" t="n"/>
      <c r="AA387" s="692" t="n"/>
      <c r="AB387" s="692" t="n"/>
      <c r="AC387" s="692" t="n"/>
      <c r="AD387" s="692" t="n"/>
      <c r="AE387" s="692" t="n"/>
      <c r="AF387" s="692" t="n"/>
      <c r="AG387" s="692" t="n"/>
      <c r="AH387" s="692" t="n"/>
      <c r="AI387" s="692" t="n"/>
      <c r="AJ387" s="692" t="n"/>
      <c r="AK387" s="692" t="n"/>
      <c r="AL387" s="692" t="n"/>
      <c r="AM387" s="692" t="n"/>
      <c r="AN387" s="692" t="n"/>
      <c r="AO387" s="692" t="n"/>
      <c r="AP387" s="692" t="n"/>
    </row>
    <row r="388">
      <c r="A388" s="692" t="n"/>
      <c r="B388" s="692" t="n"/>
      <c r="C388" s="692" t="n"/>
      <c r="D388" s="692" t="n"/>
      <c r="E388" s="692" t="n"/>
      <c r="F388" s="692" t="n"/>
      <c r="G388" s="692" t="n"/>
      <c r="H388" s="692" t="n"/>
      <c r="I388" s="692" t="n"/>
      <c r="J388" s="692" t="n"/>
      <c r="K388" s="692" t="n"/>
      <c r="L388" s="692" t="n"/>
      <c r="M388" s="692" t="n"/>
      <c r="N388" s="692" t="n"/>
      <c r="O388" s="692" t="n"/>
      <c r="P388" s="692" t="n"/>
      <c r="Q388" s="692" t="n"/>
      <c r="R388" s="692" t="n"/>
      <c r="S388" s="692" t="n"/>
      <c r="T388" s="692" t="n"/>
      <c r="U388" s="692" t="n"/>
      <c r="V388" s="692" t="n"/>
      <c r="W388" s="692" t="n"/>
      <c r="X388" s="692" t="n"/>
      <c r="Y388" s="692" t="n"/>
      <c r="Z388" s="692" t="n"/>
      <c r="AA388" s="692" t="n"/>
      <c r="AB388" s="692" t="n"/>
      <c r="AC388" s="692" t="n"/>
      <c r="AD388" s="692" t="n"/>
      <c r="AE388" s="692" t="n"/>
      <c r="AF388" s="692" t="n"/>
      <c r="AG388" s="692" t="n"/>
      <c r="AH388" s="692" t="n"/>
      <c r="AI388" s="692" t="n"/>
      <c r="AJ388" s="692" t="n"/>
      <c r="AK388" s="692" t="n"/>
      <c r="AL388" s="692" t="n"/>
      <c r="AM388" s="692" t="n"/>
      <c r="AN388" s="692" t="n"/>
      <c r="AO388" s="692" t="n"/>
      <c r="AP388" s="692" t="n"/>
    </row>
    <row r="389">
      <c r="A389" s="692" t="n"/>
      <c r="B389" s="692" t="n"/>
      <c r="C389" s="692" t="n"/>
      <c r="D389" s="692" t="n"/>
      <c r="E389" s="692" t="n"/>
      <c r="F389" s="692" t="n"/>
      <c r="G389" s="692" t="n"/>
      <c r="H389" s="692" t="n"/>
      <c r="I389" s="692" t="n"/>
      <c r="J389" s="692" t="n"/>
      <c r="K389" s="692" t="n"/>
      <c r="L389" s="692" t="n"/>
      <c r="M389" s="692" t="n"/>
      <c r="N389" s="692" t="n"/>
      <c r="O389" s="692" t="n"/>
      <c r="P389" s="692" t="n"/>
      <c r="Q389" s="692" t="n"/>
      <c r="R389" s="692" t="n"/>
      <c r="S389" s="692" t="n"/>
      <c r="T389" s="692" t="n"/>
      <c r="U389" s="692" t="n"/>
      <c r="V389" s="692" t="n"/>
      <c r="W389" s="692" t="n"/>
      <c r="X389" s="692" t="n"/>
      <c r="Y389" s="692" t="n"/>
      <c r="Z389" s="692" t="n"/>
      <c r="AA389" s="692" t="n"/>
      <c r="AB389" s="692" t="n"/>
      <c r="AC389" s="692" t="n"/>
      <c r="AD389" s="692" t="n"/>
      <c r="AE389" s="692" t="n"/>
      <c r="AF389" s="692" t="n"/>
      <c r="AG389" s="692" t="n"/>
      <c r="AH389" s="692" t="n"/>
      <c r="AI389" s="692" t="n"/>
      <c r="AJ389" s="692" t="n"/>
      <c r="AK389" s="692" t="n"/>
      <c r="AL389" s="692" t="n"/>
      <c r="AM389" s="692" t="n"/>
      <c r="AN389" s="692" t="n"/>
      <c r="AO389" s="692" t="n"/>
      <c r="AP389" s="692" t="n"/>
    </row>
    <row r="390">
      <c r="A390" s="692" t="n"/>
      <c r="B390" s="692" t="n"/>
      <c r="C390" s="692" t="n"/>
      <c r="D390" s="692" t="n"/>
      <c r="E390" s="692" t="n"/>
      <c r="F390" s="692" t="n"/>
      <c r="G390" s="692" t="n"/>
      <c r="H390" s="692" t="n"/>
      <c r="I390" s="692" t="n"/>
      <c r="J390" s="692" t="n"/>
      <c r="K390" s="692" t="n"/>
      <c r="L390" s="692" t="n"/>
      <c r="M390" s="692" t="n"/>
      <c r="N390" s="692" t="n"/>
      <c r="O390" s="692" t="n"/>
      <c r="P390" s="692" t="n"/>
      <c r="Q390" s="692" t="n"/>
      <c r="R390" s="692" t="n"/>
      <c r="S390" s="692" t="n"/>
      <c r="T390" s="692" t="n"/>
      <c r="U390" s="692" t="n"/>
      <c r="V390" s="692" t="n"/>
      <c r="W390" s="692" t="n"/>
      <c r="X390" s="692" t="n"/>
      <c r="Y390" s="692" t="n"/>
      <c r="Z390" s="692" t="n"/>
      <c r="AA390" s="692" t="n"/>
      <c r="AB390" s="692" t="n"/>
      <c r="AC390" s="692" t="n"/>
      <c r="AD390" s="692" t="n"/>
      <c r="AE390" s="692" t="n"/>
      <c r="AF390" s="692" t="n"/>
      <c r="AG390" s="692" t="n"/>
      <c r="AH390" s="692" t="n"/>
      <c r="AI390" s="692" t="n"/>
      <c r="AJ390" s="692" t="n"/>
      <c r="AK390" s="692" t="n"/>
      <c r="AL390" s="692" t="n"/>
      <c r="AM390" s="692" t="n"/>
      <c r="AN390" s="692" t="n"/>
      <c r="AO390" s="692" t="n"/>
      <c r="AP390" s="692" t="n"/>
    </row>
    <row r="391">
      <c r="A391" s="692" t="n"/>
      <c r="B391" s="692" t="n"/>
      <c r="C391" s="692" t="n"/>
      <c r="D391" s="692" t="n"/>
      <c r="E391" s="692" t="n"/>
      <c r="F391" s="692" t="n"/>
      <c r="G391" s="692" t="n"/>
      <c r="H391" s="692" t="n"/>
      <c r="I391" s="692" t="n"/>
      <c r="J391" s="692" t="n"/>
      <c r="K391" s="692" t="n"/>
      <c r="L391" s="692" t="n"/>
      <c r="M391" s="692" t="n"/>
      <c r="N391" s="692" t="n"/>
      <c r="O391" s="692" t="n"/>
      <c r="P391" s="692" t="n"/>
      <c r="Q391" s="692" t="n"/>
      <c r="R391" s="692" t="n"/>
      <c r="S391" s="692" t="n"/>
      <c r="T391" s="692" t="n"/>
      <c r="U391" s="692" t="n"/>
      <c r="V391" s="692" t="n"/>
      <c r="W391" s="692" t="n"/>
      <c r="X391" s="692" t="n"/>
      <c r="Y391" s="692" t="n"/>
      <c r="Z391" s="692" t="n"/>
      <c r="AA391" s="692" t="n"/>
      <c r="AB391" s="692" t="n"/>
      <c r="AC391" s="692" t="n"/>
      <c r="AD391" s="692" t="n"/>
      <c r="AE391" s="692" t="n"/>
      <c r="AF391" s="692" t="n"/>
      <c r="AG391" s="692" t="n"/>
      <c r="AH391" s="692" t="n"/>
      <c r="AI391" s="692" t="n"/>
      <c r="AJ391" s="692" t="n"/>
      <c r="AK391" s="692" t="n"/>
      <c r="AL391" s="692" t="n"/>
      <c r="AM391" s="692" t="n"/>
      <c r="AN391" s="692" t="n"/>
      <c r="AO391" s="692" t="n"/>
      <c r="AP391" s="692" t="n"/>
    </row>
    <row r="392">
      <c r="A392" s="692" t="n"/>
      <c r="B392" s="692" t="n"/>
      <c r="C392" s="692" t="n"/>
      <c r="D392" s="692" t="n"/>
      <c r="E392" s="692" t="n"/>
      <c r="F392" s="692" t="n"/>
      <c r="G392" s="692" t="n"/>
      <c r="H392" s="692" t="n"/>
      <c r="I392" s="692" t="n"/>
      <c r="J392" s="692" t="n"/>
      <c r="K392" s="692" t="n"/>
      <c r="L392" s="692" t="n"/>
      <c r="M392" s="692" t="n"/>
      <c r="N392" s="692" t="n"/>
      <c r="O392" s="692" t="n"/>
      <c r="P392" s="692" t="n"/>
      <c r="Q392" s="692" t="n"/>
      <c r="R392" s="692" t="n"/>
      <c r="S392" s="692" t="n"/>
      <c r="T392" s="692" t="n"/>
      <c r="U392" s="692" t="n"/>
      <c r="V392" s="692" t="n"/>
      <c r="W392" s="692" t="n"/>
      <c r="X392" s="692" t="n"/>
      <c r="Y392" s="692" t="n"/>
      <c r="Z392" s="692" t="n"/>
      <c r="AA392" s="692" t="n"/>
      <c r="AB392" s="692" t="n"/>
      <c r="AC392" s="692" t="n"/>
      <c r="AD392" s="692" t="n"/>
      <c r="AE392" s="692" t="n"/>
      <c r="AF392" s="692" t="n"/>
      <c r="AG392" s="692" t="n"/>
      <c r="AH392" s="692" t="n"/>
      <c r="AI392" s="692" t="n"/>
      <c r="AJ392" s="692" t="n"/>
      <c r="AK392" s="692" t="n"/>
      <c r="AL392" s="692" t="n"/>
      <c r="AM392" s="692" t="n"/>
      <c r="AN392" s="692" t="n"/>
      <c r="AO392" s="692" t="n"/>
      <c r="AP392" s="692" t="n"/>
    </row>
    <row r="393">
      <c r="A393" s="692" t="n"/>
      <c r="B393" s="692" t="n"/>
      <c r="C393" s="692" t="n"/>
      <c r="D393" s="692" t="n"/>
      <c r="E393" s="692" t="n"/>
      <c r="F393" s="692" t="n"/>
      <c r="G393" s="692" t="n"/>
      <c r="H393" s="692" t="n"/>
      <c r="I393" s="692" t="n"/>
      <c r="J393" s="692" t="n"/>
      <c r="K393" s="692" t="n"/>
      <c r="L393" s="692" t="n"/>
      <c r="M393" s="692" t="n"/>
      <c r="N393" s="692" t="n"/>
      <c r="O393" s="692" t="n"/>
      <c r="P393" s="692" t="n"/>
      <c r="Q393" s="692" t="n"/>
      <c r="R393" s="692" t="n"/>
      <c r="S393" s="692" t="n"/>
      <c r="T393" s="692" t="n"/>
      <c r="U393" s="692" t="n"/>
      <c r="V393" s="692" t="n"/>
      <c r="W393" s="692" t="n"/>
      <c r="X393" s="692" t="n"/>
      <c r="Y393" s="692" t="n"/>
      <c r="Z393" s="692" t="n"/>
      <c r="AA393" s="692" t="n"/>
      <c r="AB393" s="692" t="n"/>
      <c r="AC393" s="692" t="n"/>
      <c r="AD393" s="692" t="n"/>
      <c r="AE393" s="692" t="n"/>
      <c r="AF393" s="692" t="n"/>
      <c r="AG393" s="692" t="n"/>
      <c r="AH393" s="692" t="n"/>
      <c r="AI393" s="692" t="n"/>
      <c r="AJ393" s="692" t="n"/>
      <c r="AK393" s="692" t="n"/>
      <c r="AL393" s="692" t="n"/>
      <c r="AM393" s="692" t="n"/>
      <c r="AN393" s="692" t="n"/>
      <c r="AO393" s="692" t="n"/>
      <c r="AP393" s="692" t="n"/>
    </row>
    <row r="394">
      <c r="A394" s="692" t="n"/>
      <c r="B394" s="692" t="n"/>
      <c r="C394" s="692" t="n"/>
      <c r="D394" s="692" t="n"/>
      <c r="E394" s="692" t="n"/>
      <c r="F394" s="692" t="n"/>
      <c r="G394" s="692" t="n"/>
      <c r="H394" s="692" t="n"/>
      <c r="I394" s="692" t="n"/>
      <c r="J394" s="692" t="n"/>
      <c r="K394" s="692" t="n"/>
      <c r="L394" s="692" t="n"/>
      <c r="M394" s="692" t="n"/>
      <c r="N394" s="692" t="n"/>
      <c r="O394" s="692" t="n"/>
      <c r="P394" s="692" t="n"/>
      <c r="Q394" s="692" t="n"/>
      <c r="R394" s="692" t="n"/>
      <c r="S394" s="692" t="n"/>
      <c r="T394" s="692" t="n"/>
      <c r="U394" s="692" t="n"/>
      <c r="V394" s="692" t="n"/>
      <c r="W394" s="692" t="n"/>
      <c r="X394" s="692" t="n"/>
      <c r="Y394" s="692" t="n"/>
      <c r="Z394" s="692" t="n"/>
      <c r="AA394" s="692" t="n"/>
      <c r="AB394" s="692" t="n"/>
      <c r="AC394" s="692" t="n"/>
      <c r="AD394" s="692" t="n"/>
      <c r="AE394" s="692" t="n"/>
      <c r="AF394" s="692" t="n"/>
      <c r="AG394" s="692" t="n"/>
      <c r="AH394" s="692" t="n"/>
      <c r="AI394" s="692" t="n"/>
      <c r="AJ394" s="692" t="n"/>
      <c r="AK394" s="692" t="n"/>
      <c r="AL394" s="692" t="n"/>
      <c r="AM394" s="692" t="n"/>
      <c r="AN394" s="692" t="n"/>
      <c r="AO394" s="692" t="n"/>
      <c r="AP394" s="692" t="n"/>
    </row>
    <row r="395">
      <c r="A395" s="692" t="n"/>
      <c r="B395" s="692" t="n"/>
      <c r="C395" s="692" t="n"/>
      <c r="D395" s="692" t="n"/>
      <c r="E395" s="692" t="n"/>
      <c r="F395" s="692" t="n"/>
      <c r="G395" s="692" t="n"/>
      <c r="H395" s="692" t="n"/>
      <c r="I395" s="692" t="n"/>
      <c r="J395" s="692" t="n"/>
      <c r="K395" s="692" t="n"/>
      <c r="L395" s="692" t="n"/>
      <c r="M395" s="692" t="n"/>
      <c r="N395" s="692" t="n"/>
      <c r="O395" s="692" t="n"/>
      <c r="P395" s="692" t="n"/>
      <c r="Q395" s="692" t="n"/>
      <c r="R395" s="692" t="n"/>
      <c r="S395" s="692" t="n"/>
      <c r="T395" s="692" t="n"/>
      <c r="U395" s="692" t="n"/>
      <c r="V395" s="692" t="n"/>
      <c r="W395" s="692" t="n"/>
      <c r="X395" s="692" t="n"/>
      <c r="Y395" s="692" t="n"/>
      <c r="Z395" s="692" t="n"/>
      <c r="AA395" s="692" t="n"/>
      <c r="AB395" s="692" t="n"/>
      <c r="AC395" s="692" t="n"/>
      <c r="AD395" s="692" t="n"/>
      <c r="AE395" s="692" t="n"/>
      <c r="AF395" s="692" t="n"/>
      <c r="AG395" s="692" t="n"/>
      <c r="AH395" s="692" t="n"/>
      <c r="AI395" s="692" t="n"/>
      <c r="AJ395" s="692" t="n"/>
      <c r="AK395" s="692" t="n"/>
      <c r="AL395" s="692" t="n"/>
      <c r="AM395" s="692" t="n"/>
      <c r="AN395" s="692" t="n"/>
      <c r="AO395" s="692" t="n"/>
      <c r="AP395" s="692" t="n"/>
    </row>
    <row r="396">
      <c r="A396" s="692" t="n"/>
      <c r="B396" s="692" t="n"/>
      <c r="C396" s="692" t="n"/>
      <c r="D396" s="692" t="n"/>
      <c r="E396" s="692" t="n"/>
      <c r="F396" s="692" t="n"/>
      <c r="G396" s="692" t="n"/>
      <c r="H396" s="692" t="n"/>
      <c r="I396" s="692" t="n"/>
      <c r="J396" s="692" t="n"/>
      <c r="K396" s="692" t="n"/>
      <c r="L396" s="692" t="n"/>
      <c r="M396" s="692" t="n"/>
      <c r="N396" s="692" t="n"/>
      <c r="O396" s="692" t="n"/>
      <c r="P396" s="692" t="n"/>
      <c r="Q396" s="692" t="n"/>
      <c r="R396" s="692" t="n"/>
      <c r="S396" s="692" t="n"/>
      <c r="T396" s="692" t="n"/>
      <c r="U396" s="692" t="n"/>
      <c r="V396" s="692" t="n"/>
      <c r="W396" s="692" t="n"/>
      <c r="X396" s="692" t="n"/>
      <c r="Y396" s="692" t="n"/>
      <c r="Z396" s="692" t="n"/>
      <c r="AA396" s="692" t="n"/>
      <c r="AB396" s="692" t="n"/>
      <c r="AC396" s="692" t="n"/>
      <c r="AD396" s="692" t="n"/>
      <c r="AE396" s="692" t="n"/>
      <c r="AF396" s="692" t="n"/>
      <c r="AG396" s="692" t="n"/>
      <c r="AH396" s="692" t="n"/>
      <c r="AI396" s="692" t="n"/>
      <c r="AJ396" s="692" t="n"/>
      <c r="AK396" s="692" t="n"/>
      <c r="AL396" s="692" t="n"/>
      <c r="AM396" s="692" t="n"/>
      <c r="AN396" s="692" t="n"/>
      <c r="AO396" s="692" t="n"/>
      <c r="AP396" s="692" t="n"/>
    </row>
    <row r="397">
      <c r="A397" s="692" t="n"/>
      <c r="B397" s="692" t="n"/>
      <c r="C397" s="692" t="n"/>
      <c r="D397" s="692" t="n"/>
      <c r="E397" s="692" t="n"/>
      <c r="F397" s="692" t="n"/>
      <c r="G397" s="692" t="n"/>
      <c r="H397" s="692" t="n"/>
      <c r="I397" s="692" t="n"/>
      <c r="J397" s="692" t="n"/>
      <c r="K397" s="692" t="n"/>
      <c r="L397" s="692" t="n"/>
      <c r="M397" s="692" t="n"/>
      <c r="N397" s="692" t="n"/>
      <c r="O397" s="692" t="n"/>
      <c r="P397" s="692" t="n"/>
      <c r="Q397" s="692" t="n"/>
      <c r="R397" s="692" t="n"/>
      <c r="S397" s="692" t="n"/>
      <c r="T397" s="692" t="n"/>
      <c r="U397" s="692" t="n"/>
      <c r="V397" s="692" t="n"/>
      <c r="W397" s="692" t="n"/>
      <c r="X397" s="692" t="n"/>
      <c r="Y397" s="692" t="n"/>
      <c r="Z397" s="692" t="n"/>
      <c r="AA397" s="692" t="n"/>
      <c r="AB397" s="692" t="n"/>
      <c r="AC397" s="692" t="n"/>
      <c r="AD397" s="692" t="n"/>
      <c r="AE397" s="692" t="n"/>
      <c r="AF397" s="692" t="n"/>
      <c r="AG397" s="692" t="n"/>
      <c r="AH397" s="692" t="n"/>
      <c r="AI397" s="692" t="n"/>
      <c r="AJ397" s="692" t="n"/>
      <c r="AK397" s="692" t="n"/>
      <c r="AL397" s="692" t="n"/>
      <c r="AM397" s="692" t="n"/>
      <c r="AN397" s="692" t="n"/>
      <c r="AO397" s="692" t="n"/>
      <c r="AP397" s="692" t="n"/>
    </row>
    <row r="398">
      <c r="A398" s="692" t="n"/>
      <c r="B398" s="692" t="n"/>
      <c r="C398" s="692" t="n"/>
      <c r="D398" s="692" t="n"/>
      <c r="E398" s="692" t="n"/>
      <c r="F398" s="692" t="n"/>
      <c r="G398" s="692" t="n"/>
      <c r="H398" s="692" t="n"/>
      <c r="I398" s="692" t="n"/>
      <c r="J398" s="692" t="n"/>
      <c r="K398" s="692" t="n"/>
      <c r="L398" s="692" t="n"/>
      <c r="M398" s="692" t="n"/>
      <c r="N398" s="692" t="n"/>
      <c r="O398" s="692" t="n"/>
      <c r="P398" s="692" t="n"/>
      <c r="Q398" s="692" t="n"/>
      <c r="R398" s="692" t="n"/>
      <c r="S398" s="692" t="n"/>
      <c r="T398" s="692" t="n"/>
      <c r="U398" s="692" t="n"/>
      <c r="V398" s="692" t="n"/>
      <c r="W398" s="692" t="n"/>
      <c r="X398" s="692" t="n"/>
      <c r="Y398" s="692" t="n"/>
      <c r="Z398" s="692" t="n"/>
      <c r="AA398" s="692" t="n"/>
      <c r="AB398" s="692" t="n"/>
      <c r="AC398" s="692" t="n"/>
      <c r="AD398" s="692" t="n"/>
      <c r="AE398" s="692" t="n"/>
      <c r="AF398" s="692" t="n"/>
      <c r="AG398" s="692" t="n"/>
      <c r="AH398" s="692" t="n"/>
      <c r="AI398" s="692" t="n"/>
      <c r="AJ398" s="692" t="n"/>
      <c r="AK398" s="692" t="n"/>
      <c r="AL398" s="692" t="n"/>
      <c r="AM398" s="692" t="n"/>
      <c r="AN398" s="692" t="n"/>
      <c r="AO398" s="692" t="n"/>
      <c r="AP398" s="692" t="n"/>
    </row>
    <row r="399">
      <c r="A399" s="692" t="n"/>
      <c r="B399" s="692" t="n"/>
      <c r="C399" s="692" t="n"/>
      <c r="D399" s="692" t="n"/>
      <c r="E399" s="692" t="n"/>
      <c r="F399" s="692" t="n"/>
      <c r="G399" s="692" t="n"/>
      <c r="H399" s="692" t="n"/>
      <c r="I399" s="692" t="n"/>
      <c r="J399" s="692" t="n"/>
      <c r="K399" s="692" t="n"/>
      <c r="L399" s="692" t="n"/>
      <c r="M399" s="692" t="n"/>
      <c r="N399" s="692" t="n"/>
      <c r="O399" s="692" t="n"/>
      <c r="P399" s="692" t="n"/>
      <c r="Q399" s="692" t="n"/>
      <c r="R399" s="692" t="n"/>
      <c r="S399" s="692" t="n"/>
      <c r="T399" s="692" t="n"/>
      <c r="U399" s="692" t="n"/>
      <c r="V399" s="692" t="n"/>
      <c r="W399" s="692" t="n"/>
      <c r="X399" s="692" t="n"/>
      <c r="Y399" s="692" t="n"/>
      <c r="Z399" s="692" t="n"/>
      <c r="AA399" s="692" t="n"/>
      <c r="AB399" s="692" t="n"/>
      <c r="AC399" s="692" t="n"/>
      <c r="AD399" s="692" t="n"/>
      <c r="AE399" s="692" t="n"/>
      <c r="AF399" s="692" t="n"/>
      <c r="AG399" s="692" t="n"/>
      <c r="AH399" s="692" t="n"/>
      <c r="AI399" s="692" t="n"/>
      <c r="AJ399" s="692" t="n"/>
      <c r="AK399" s="692" t="n"/>
      <c r="AL399" s="692" t="n"/>
      <c r="AM399" s="692" t="n"/>
      <c r="AN399" s="692" t="n"/>
      <c r="AO399" s="692" t="n"/>
      <c r="AP399" s="692" t="n"/>
    </row>
    <row r="400">
      <c r="A400" s="692" t="n"/>
      <c r="B400" s="692" t="n"/>
      <c r="C400" s="692" t="n"/>
      <c r="D400" s="692" t="n"/>
      <c r="E400" s="692" t="n"/>
      <c r="F400" s="692" t="n"/>
      <c r="G400" s="692" t="n"/>
      <c r="H400" s="692" t="n"/>
      <c r="I400" s="692" t="n"/>
      <c r="J400" s="692" t="n"/>
      <c r="K400" s="692" t="n"/>
      <c r="L400" s="692" t="n"/>
      <c r="M400" s="692" t="n"/>
      <c r="N400" s="692" t="n"/>
      <c r="O400" s="692" t="n"/>
      <c r="P400" s="692" t="n"/>
      <c r="Q400" s="692" t="n"/>
      <c r="R400" s="692" t="n"/>
      <c r="S400" s="692" t="n"/>
      <c r="T400" s="692" t="n"/>
      <c r="U400" s="692" t="n"/>
      <c r="V400" s="692" t="n"/>
      <c r="W400" s="692" t="n"/>
      <c r="X400" s="692" t="n"/>
      <c r="Y400" s="692" t="n"/>
      <c r="Z400" s="692" t="n"/>
      <c r="AA400" s="692" t="n"/>
      <c r="AB400" s="692" t="n"/>
      <c r="AC400" s="692" t="n"/>
      <c r="AD400" s="692" t="n"/>
      <c r="AE400" s="692" t="n"/>
      <c r="AF400" s="692" t="n"/>
      <c r="AG400" s="692" t="n"/>
      <c r="AH400" s="692" t="n"/>
      <c r="AI400" s="692" t="n"/>
      <c r="AJ400" s="692" t="n"/>
      <c r="AK400" s="692" t="n"/>
      <c r="AL400" s="692" t="n"/>
      <c r="AM400" s="692" t="n"/>
      <c r="AN400" s="692" t="n"/>
      <c r="AO400" s="692" t="n"/>
      <c r="AP400" s="692" t="n"/>
    </row>
    <row r="401">
      <c r="A401" s="692" t="n"/>
      <c r="B401" s="692" t="n"/>
      <c r="C401" s="692" t="n"/>
      <c r="D401" s="692" t="n"/>
      <c r="E401" s="692" t="n"/>
      <c r="F401" s="692" t="n"/>
      <c r="G401" s="692" t="n"/>
      <c r="H401" s="692" t="n"/>
      <c r="I401" s="692" t="n"/>
      <c r="J401" s="692" t="n"/>
      <c r="K401" s="692" t="n"/>
      <c r="L401" s="692" t="n"/>
      <c r="M401" s="692" t="n"/>
      <c r="N401" s="692" t="n"/>
      <c r="O401" s="692" t="n"/>
      <c r="P401" s="692" t="n"/>
      <c r="Q401" s="692" t="n"/>
      <c r="R401" s="692" t="n"/>
      <c r="S401" s="692" t="n"/>
      <c r="T401" s="692" t="n"/>
      <c r="U401" s="692" t="n"/>
      <c r="V401" s="692" t="n"/>
      <c r="W401" s="692" t="n"/>
      <c r="X401" s="692" t="n"/>
      <c r="Y401" s="692" t="n"/>
      <c r="Z401" s="692" t="n"/>
      <c r="AA401" s="692" t="n"/>
      <c r="AB401" s="692" t="n"/>
      <c r="AC401" s="692" t="n"/>
      <c r="AD401" s="692" t="n"/>
      <c r="AE401" s="692" t="n"/>
      <c r="AF401" s="692" t="n"/>
      <c r="AG401" s="692" t="n"/>
      <c r="AH401" s="692" t="n"/>
      <c r="AI401" s="692" t="n"/>
      <c r="AJ401" s="692" t="n"/>
      <c r="AK401" s="692" t="n"/>
      <c r="AL401" s="692" t="n"/>
      <c r="AM401" s="692" t="n"/>
      <c r="AN401" s="692" t="n"/>
      <c r="AO401" s="692" t="n"/>
      <c r="AP401" s="692" t="n"/>
    </row>
    <row r="402">
      <c r="A402" s="692" t="n"/>
      <c r="B402" s="692" t="n"/>
      <c r="C402" s="692" t="n"/>
      <c r="D402" s="692" t="n"/>
      <c r="E402" s="692" t="n"/>
      <c r="F402" s="692" t="n"/>
      <c r="G402" s="692" t="n"/>
      <c r="H402" s="692" t="n"/>
      <c r="I402" s="692" t="n"/>
      <c r="J402" s="692" t="n"/>
      <c r="K402" s="692" t="n"/>
      <c r="L402" s="692" t="n"/>
      <c r="M402" s="692" t="n"/>
      <c r="N402" s="692" t="n"/>
      <c r="O402" s="692" t="n"/>
      <c r="P402" s="692" t="n"/>
      <c r="Q402" s="692" t="n"/>
      <c r="R402" s="692" t="n"/>
      <c r="S402" s="692" t="n"/>
      <c r="T402" s="692" t="n"/>
      <c r="U402" s="692" t="n"/>
      <c r="V402" s="692" t="n"/>
      <c r="W402" s="692" t="n"/>
      <c r="X402" s="692" t="n"/>
      <c r="Y402" s="692" t="n"/>
      <c r="Z402" s="692" t="n"/>
      <c r="AA402" s="692" t="n"/>
      <c r="AB402" s="692" t="n"/>
      <c r="AC402" s="692" t="n"/>
      <c r="AD402" s="692" t="n"/>
      <c r="AE402" s="692" t="n"/>
      <c r="AF402" s="692" t="n"/>
      <c r="AG402" s="692" t="n"/>
      <c r="AH402" s="692" t="n"/>
      <c r="AI402" s="692" t="n"/>
      <c r="AJ402" s="692" t="n"/>
      <c r="AK402" s="692" t="n"/>
      <c r="AL402" s="692" t="n"/>
      <c r="AM402" s="692" t="n"/>
      <c r="AN402" s="692" t="n"/>
      <c r="AO402" s="692" t="n"/>
      <c r="AP402" s="692" t="n"/>
    </row>
    <row r="403">
      <c r="A403" s="692" t="n"/>
      <c r="B403" s="692" t="n"/>
      <c r="C403" s="692" t="n"/>
      <c r="D403" s="692" t="n"/>
      <c r="E403" s="692" t="n"/>
      <c r="F403" s="692" t="n"/>
      <c r="G403" s="692" t="n"/>
      <c r="H403" s="692" t="n"/>
      <c r="I403" s="692" t="n"/>
      <c r="J403" s="692" t="n"/>
      <c r="K403" s="692" t="n"/>
      <c r="L403" s="692" t="n"/>
      <c r="M403" s="692" t="n"/>
      <c r="N403" s="692" t="n"/>
      <c r="O403" s="692" t="n"/>
      <c r="P403" s="692" t="n"/>
      <c r="Q403" s="692" t="n"/>
      <c r="R403" s="692" t="n"/>
      <c r="S403" s="692" t="n"/>
      <c r="T403" s="692" t="n"/>
      <c r="U403" s="692" t="n"/>
      <c r="V403" s="692" t="n"/>
      <c r="W403" s="692" t="n"/>
      <c r="X403" s="692" t="n"/>
      <c r="Y403" s="692" t="n"/>
      <c r="Z403" s="692" t="n"/>
      <c r="AA403" s="692" t="n"/>
      <c r="AB403" s="692" t="n"/>
      <c r="AC403" s="692" t="n"/>
      <c r="AD403" s="692" t="n"/>
      <c r="AE403" s="692" t="n"/>
      <c r="AF403" s="692" t="n"/>
      <c r="AG403" s="692" t="n"/>
      <c r="AH403" s="692" t="n"/>
      <c r="AI403" s="692" t="n"/>
      <c r="AJ403" s="692" t="n"/>
      <c r="AK403" s="692" t="n"/>
      <c r="AL403" s="692" t="n"/>
      <c r="AM403" s="692" t="n"/>
      <c r="AN403" s="692" t="n"/>
      <c r="AO403" s="692" t="n"/>
      <c r="AP403" s="692" t="n"/>
    </row>
    <row r="404">
      <c r="A404" s="692" t="n"/>
      <c r="B404" s="692" t="n"/>
      <c r="C404" s="692" t="n"/>
      <c r="D404" s="692" t="n"/>
      <c r="E404" s="692" t="n"/>
      <c r="F404" s="692" t="n"/>
      <c r="G404" s="692" t="n"/>
      <c r="H404" s="692" t="n"/>
      <c r="I404" s="692" t="n"/>
      <c r="J404" s="692" t="n"/>
      <c r="K404" s="692" t="n"/>
      <c r="L404" s="692" t="n"/>
      <c r="M404" s="692" t="n"/>
      <c r="N404" s="692" t="n"/>
      <c r="O404" s="692" t="n"/>
      <c r="P404" s="692" t="n"/>
      <c r="Q404" s="692" t="n"/>
      <c r="R404" s="692" t="n"/>
      <c r="S404" s="692" t="n"/>
      <c r="T404" s="692" t="n"/>
      <c r="U404" s="692" t="n"/>
      <c r="V404" s="692" t="n"/>
      <c r="W404" s="692" t="n"/>
      <c r="X404" s="692" t="n"/>
      <c r="Y404" s="692" t="n"/>
      <c r="Z404" s="692" t="n"/>
      <c r="AA404" s="692" t="n"/>
      <c r="AB404" s="692" t="n"/>
      <c r="AC404" s="692" t="n"/>
      <c r="AD404" s="692" t="n"/>
      <c r="AE404" s="692" t="n"/>
      <c r="AF404" s="692" t="n"/>
      <c r="AG404" s="692" t="n"/>
      <c r="AH404" s="692" t="n"/>
      <c r="AI404" s="692" t="n"/>
      <c r="AJ404" s="692" t="n"/>
      <c r="AK404" s="692" t="n"/>
      <c r="AL404" s="692" t="n"/>
      <c r="AM404" s="692" t="n"/>
      <c r="AN404" s="692" t="n"/>
      <c r="AO404" s="692" t="n"/>
      <c r="AP404" s="692" t="n"/>
    </row>
    <row r="405">
      <c r="A405" s="692" t="n"/>
      <c r="B405" s="692" t="n"/>
      <c r="C405" s="692" t="n"/>
      <c r="D405" s="692" t="n"/>
      <c r="E405" s="692" t="n"/>
      <c r="F405" s="692" t="n"/>
      <c r="G405" s="692" t="n"/>
      <c r="H405" s="692" t="n"/>
      <c r="I405" s="692" t="n"/>
      <c r="J405" s="692" t="n"/>
      <c r="K405" s="692" t="n"/>
      <c r="L405" s="692" t="n"/>
      <c r="M405" s="692" t="n"/>
      <c r="N405" s="692" t="n"/>
      <c r="O405" s="692" t="n"/>
      <c r="P405" s="692" t="n"/>
      <c r="Q405" s="692" t="n"/>
      <c r="R405" s="692" t="n"/>
      <c r="S405" s="692" t="n"/>
      <c r="T405" s="692" t="n"/>
      <c r="U405" s="692" t="n"/>
      <c r="V405" s="692" t="n"/>
      <c r="W405" s="692" t="n"/>
      <c r="X405" s="692" t="n"/>
      <c r="Y405" s="692" t="n"/>
      <c r="Z405" s="692" t="n"/>
      <c r="AA405" s="692" t="n"/>
      <c r="AB405" s="692" t="n"/>
      <c r="AC405" s="692" t="n"/>
      <c r="AD405" s="692" t="n"/>
      <c r="AE405" s="692" t="n"/>
      <c r="AF405" s="692" t="n"/>
      <c r="AG405" s="692" t="n"/>
      <c r="AH405" s="692" t="n"/>
      <c r="AI405" s="692" t="n"/>
      <c r="AJ405" s="692" t="n"/>
      <c r="AK405" s="692" t="n"/>
      <c r="AL405" s="692" t="n"/>
      <c r="AM405" s="692" t="n"/>
      <c r="AN405" s="692" t="n"/>
      <c r="AO405" s="692" t="n"/>
      <c r="AP405" s="692" t="n"/>
    </row>
    <row r="406">
      <c r="A406" s="692" t="n"/>
      <c r="B406" s="692" t="n"/>
      <c r="C406" s="692" t="n"/>
      <c r="D406" s="692" t="n"/>
      <c r="E406" s="692" t="n"/>
      <c r="F406" s="692" t="n"/>
      <c r="G406" s="692" t="n"/>
      <c r="H406" s="692" t="n"/>
      <c r="I406" s="692" t="n"/>
      <c r="J406" s="692" t="n"/>
      <c r="K406" s="692" t="n"/>
      <c r="L406" s="692" t="n"/>
      <c r="M406" s="692" t="n"/>
      <c r="N406" s="692" t="n"/>
      <c r="O406" s="692" t="n"/>
      <c r="P406" s="692" t="n"/>
      <c r="Q406" s="692" t="n"/>
      <c r="R406" s="692" t="n"/>
      <c r="S406" s="692" t="n"/>
      <c r="T406" s="692" t="n"/>
      <c r="U406" s="692" t="n"/>
      <c r="V406" s="692" t="n"/>
      <c r="W406" s="692" t="n"/>
      <c r="X406" s="692" t="n"/>
      <c r="Y406" s="692" t="n"/>
      <c r="Z406" s="692" t="n"/>
      <c r="AA406" s="692" t="n"/>
      <c r="AB406" s="692" t="n"/>
      <c r="AC406" s="692" t="n"/>
      <c r="AD406" s="692" t="n"/>
      <c r="AE406" s="692" t="n"/>
      <c r="AF406" s="692" t="n"/>
      <c r="AG406" s="692" t="n"/>
      <c r="AH406" s="692" t="n"/>
      <c r="AI406" s="692" t="n"/>
      <c r="AJ406" s="692" t="n"/>
      <c r="AK406" s="692" t="n"/>
      <c r="AL406" s="692" t="n"/>
      <c r="AM406" s="692" t="n"/>
      <c r="AN406" s="692" t="n"/>
      <c r="AO406" s="692" t="n"/>
      <c r="AP406" s="692" t="n"/>
    </row>
    <row r="407">
      <c r="A407" s="692" t="n"/>
      <c r="B407" s="692" t="n"/>
      <c r="C407" s="692" t="n"/>
      <c r="D407" s="692" t="n"/>
      <c r="E407" s="692" t="n"/>
      <c r="F407" s="692" t="n"/>
      <c r="G407" s="692" t="n"/>
      <c r="H407" s="692" t="n"/>
      <c r="I407" s="692" t="n"/>
      <c r="J407" s="692" t="n"/>
      <c r="K407" s="692" t="n"/>
      <c r="L407" s="692" t="n"/>
      <c r="M407" s="692" t="n"/>
      <c r="N407" s="692" t="n"/>
      <c r="O407" s="692" t="n"/>
      <c r="P407" s="692" t="n"/>
      <c r="Q407" s="692" t="n"/>
      <c r="R407" s="692" t="n"/>
      <c r="S407" s="692" t="n"/>
      <c r="T407" s="692" t="n"/>
      <c r="U407" s="692" t="n"/>
      <c r="V407" s="692" t="n"/>
      <c r="W407" s="692" t="n"/>
      <c r="X407" s="692" t="n"/>
      <c r="Y407" s="692" t="n"/>
      <c r="Z407" s="692" t="n"/>
      <c r="AA407" s="692" t="n"/>
      <c r="AB407" s="692" t="n"/>
      <c r="AC407" s="692" t="n"/>
      <c r="AD407" s="692" t="n"/>
      <c r="AE407" s="692" t="n"/>
      <c r="AF407" s="692" t="n"/>
      <c r="AG407" s="692" t="n"/>
      <c r="AH407" s="692" t="n"/>
      <c r="AI407" s="692" t="n"/>
      <c r="AJ407" s="692" t="n"/>
      <c r="AK407" s="692" t="n"/>
      <c r="AL407" s="692" t="n"/>
      <c r="AM407" s="692" t="n"/>
      <c r="AN407" s="692" t="n"/>
      <c r="AO407" s="692" t="n"/>
      <c r="AP407" s="692" t="n"/>
    </row>
    <row r="408">
      <c r="A408" s="692" t="n"/>
      <c r="B408" s="692" t="n"/>
      <c r="C408" s="692" t="n"/>
      <c r="D408" s="692" t="n"/>
      <c r="E408" s="692" t="n"/>
      <c r="F408" s="692" t="n"/>
      <c r="G408" s="692" t="n"/>
      <c r="H408" s="692" t="n"/>
      <c r="I408" s="692" t="n"/>
      <c r="J408" s="692" t="n"/>
      <c r="K408" s="692" t="n"/>
      <c r="L408" s="692" t="n"/>
      <c r="M408" s="692" t="n"/>
      <c r="N408" s="692" t="n"/>
      <c r="O408" s="692" t="n"/>
      <c r="P408" s="692" t="n"/>
      <c r="Q408" s="692" t="n"/>
      <c r="R408" s="692" t="n"/>
      <c r="S408" s="692" t="n"/>
      <c r="T408" s="692" t="n"/>
      <c r="U408" s="692" t="n"/>
      <c r="V408" s="692" t="n"/>
      <c r="W408" s="692" t="n"/>
      <c r="X408" s="692" t="n"/>
      <c r="Y408" s="692" t="n"/>
      <c r="Z408" s="692" t="n"/>
      <c r="AA408" s="692" t="n"/>
      <c r="AB408" s="692" t="n"/>
      <c r="AC408" s="692" t="n"/>
      <c r="AD408" s="692" t="n"/>
      <c r="AE408" s="692" t="n"/>
      <c r="AF408" s="692" t="n"/>
      <c r="AG408" s="692" t="n"/>
      <c r="AH408" s="692" t="n"/>
      <c r="AI408" s="692" t="n"/>
      <c r="AJ408" s="692" t="n"/>
      <c r="AK408" s="692" t="n"/>
      <c r="AL408" s="692" t="n"/>
      <c r="AM408" s="692" t="n"/>
      <c r="AN408" s="692" t="n"/>
      <c r="AO408" s="692" t="n"/>
      <c r="AP408" s="692" t="n"/>
    </row>
    <row r="409">
      <c r="A409" s="692" t="n"/>
      <c r="B409" s="692" t="n"/>
      <c r="C409" s="692" t="n"/>
      <c r="D409" s="692" t="n"/>
      <c r="E409" s="692" t="n"/>
      <c r="F409" s="692" t="n"/>
      <c r="G409" s="692" t="n"/>
      <c r="H409" s="692" t="n"/>
      <c r="I409" s="692" t="n"/>
      <c r="J409" s="692" t="n"/>
      <c r="K409" s="692" t="n"/>
      <c r="L409" s="692" t="n"/>
      <c r="M409" s="692" t="n"/>
      <c r="N409" s="692" t="n"/>
      <c r="O409" s="692" t="n"/>
      <c r="P409" s="692" t="n"/>
      <c r="Q409" s="692" t="n"/>
      <c r="R409" s="692" t="n"/>
      <c r="S409" s="692" t="n"/>
      <c r="T409" s="692" t="n"/>
      <c r="U409" s="692" t="n"/>
      <c r="V409" s="692" t="n"/>
      <c r="W409" s="692" t="n"/>
      <c r="X409" s="692" t="n"/>
      <c r="Y409" s="692" t="n"/>
      <c r="Z409" s="692" t="n"/>
      <c r="AA409" s="692" t="n"/>
      <c r="AB409" s="692" t="n"/>
      <c r="AC409" s="692" t="n"/>
      <c r="AD409" s="692" t="n"/>
      <c r="AE409" s="692" t="n"/>
      <c r="AF409" s="692" t="n"/>
      <c r="AG409" s="692" t="n"/>
      <c r="AH409" s="692" t="n"/>
      <c r="AI409" s="692" t="n"/>
      <c r="AJ409" s="692" t="n"/>
      <c r="AK409" s="692" t="n"/>
      <c r="AL409" s="692" t="n"/>
      <c r="AM409" s="692" t="n"/>
      <c r="AN409" s="692" t="n"/>
      <c r="AO409" s="692" t="n"/>
      <c r="AP409" s="692" t="n"/>
    </row>
    <row r="410">
      <c r="A410" s="692" t="n"/>
      <c r="B410" s="692" t="n"/>
      <c r="C410" s="692" t="n"/>
      <c r="D410" s="692" t="n"/>
      <c r="E410" s="692" t="n"/>
      <c r="F410" s="692" t="n"/>
      <c r="G410" s="692" t="n"/>
      <c r="H410" s="692" t="n"/>
      <c r="I410" s="692" t="n"/>
      <c r="J410" s="692" t="n"/>
      <c r="K410" s="692" t="n"/>
      <c r="L410" s="692" t="n"/>
      <c r="M410" s="692" t="n"/>
      <c r="N410" s="692" t="n"/>
      <c r="O410" s="692" t="n"/>
      <c r="P410" s="692" t="n"/>
      <c r="Q410" s="692" t="n"/>
      <c r="R410" s="692" t="n"/>
      <c r="S410" s="692" t="n"/>
      <c r="T410" s="692" t="n"/>
      <c r="U410" s="692" t="n"/>
      <c r="V410" s="692" t="n"/>
      <c r="W410" s="692" t="n"/>
      <c r="X410" s="692" t="n"/>
      <c r="Y410" s="692" t="n"/>
      <c r="Z410" s="692" t="n"/>
      <c r="AA410" s="692" t="n"/>
      <c r="AB410" s="692" t="n"/>
      <c r="AC410" s="692" t="n"/>
      <c r="AD410" s="692" t="n"/>
      <c r="AE410" s="692" t="n"/>
      <c r="AF410" s="692" t="n"/>
      <c r="AG410" s="692" t="n"/>
      <c r="AH410" s="692" t="n"/>
      <c r="AI410" s="692" t="n"/>
      <c r="AJ410" s="692" t="n"/>
      <c r="AK410" s="692" t="n"/>
      <c r="AL410" s="692" t="n"/>
      <c r="AM410" s="692" t="n"/>
      <c r="AN410" s="692" t="n"/>
      <c r="AO410" s="692" t="n"/>
      <c r="AP410" s="692" t="n"/>
    </row>
    <row r="411">
      <c r="A411" s="692" t="n"/>
      <c r="B411" s="692" t="n"/>
      <c r="C411" s="692" t="n"/>
      <c r="D411" s="692" t="n"/>
      <c r="E411" s="692" t="n"/>
      <c r="F411" s="692" t="n"/>
      <c r="G411" s="692" t="n"/>
      <c r="H411" s="692" t="n"/>
      <c r="I411" s="692" t="n"/>
      <c r="J411" s="692" t="n"/>
      <c r="K411" s="692" t="n"/>
      <c r="L411" s="692" t="n"/>
      <c r="M411" s="692" t="n"/>
      <c r="N411" s="692" t="n"/>
      <c r="O411" s="692" t="n"/>
      <c r="P411" s="692" t="n"/>
      <c r="Q411" s="692" t="n"/>
      <c r="R411" s="692" t="n"/>
      <c r="S411" s="692" t="n"/>
      <c r="T411" s="692" t="n"/>
      <c r="U411" s="692" t="n"/>
      <c r="V411" s="692" t="n"/>
      <c r="W411" s="692" t="n"/>
      <c r="X411" s="692" t="n"/>
      <c r="Y411" s="692" t="n"/>
      <c r="Z411" s="692" t="n"/>
      <c r="AA411" s="692" t="n"/>
      <c r="AB411" s="692" t="n"/>
      <c r="AC411" s="692" t="n"/>
      <c r="AD411" s="692" t="n"/>
      <c r="AE411" s="692" t="n"/>
      <c r="AF411" s="692" t="n"/>
      <c r="AG411" s="692" t="n"/>
      <c r="AH411" s="692" t="n"/>
      <c r="AI411" s="692" t="n"/>
      <c r="AJ411" s="692" t="n"/>
      <c r="AK411" s="692" t="n"/>
      <c r="AL411" s="692" t="n"/>
      <c r="AM411" s="692" t="n"/>
      <c r="AN411" s="692" t="n"/>
      <c r="AO411" s="692" t="n"/>
      <c r="AP411" s="692" t="n"/>
    </row>
    <row r="412">
      <c r="A412" s="692" t="n"/>
      <c r="B412" s="692" t="n"/>
      <c r="C412" s="692" t="n"/>
      <c r="D412" s="692" t="n"/>
      <c r="E412" s="692" t="n"/>
      <c r="F412" s="692" t="n"/>
      <c r="G412" s="692" t="n"/>
      <c r="H412" s="692" t="n"/>
      <c r="I412" s="692" t="n"/>
      <c r="J412" s="692" t="n"/>
      <c r="K412" s="692" t="n"/>
      <c r="L412" s="692" t="n"/>
      <c r="M412" s="692" t="n"/>
      <c r="N412" s="692" t="n"/>
      <c r="O412" s="692" t="n"/>
      <c r="P412" s="692" t="n"/>
      <c r="Q412" s="692" t="n"/>
      <c r="R412" s="692" t="n"/>
      <c r="S412" s="692" t="n"/>
      <c r="T412" s="692" t="n"/>
      <c r="U412" s="692" t="n"/>
      <c r="V412" s="692" t="n"/>
      <c r="W412" s="692" t="n"/>
      <c r="X412" s="692" t="n"/>
      <c r="Y412" s="692" t="n"/>
      <c r="Z412" s="692" t="n"/>
      <c r="AA412" s="692" t="n"/>
      <c r="AB412" s="692" t="n"/>
      <c r="AC412" s="692" t="n"/>
      <c r="AD412" s="692" t="n"/>
      <c r="AE412" s="692" t="n"/>
      <c r="AF412" s="692" t="n"/>
      <c r="AG412" s="692" t="n"/>
      <c r="AH412" s="692" t="n"/>
      <c r="AI412" s="692" t="n"/>
      <c r="AJ412" s="692" t="n"/>
      <c r="AK412" s="692" t="n"/>
      <c r="AL412" s="692" t="n"/>
      <c r="AM412" s="692" t="n"/>
      <c r="AN412" s="692" t="n"/>
      <c r="AO412" s="692" t="n"/>
      <c r="AP412" s="692" t="n"/>
    </row>
    <row r="413">
      <c r="A413" s="692" t="n"/>
      <c r="B413" s="692" t="n"/>
      <c r="C413" s="692" t="n"/>
      <c r="D413" s="692" t="n"/>
      <c r="E413" s="692" t="n"/>
      <c r="F413" s="692" t="n"/>
      <c r="G413" s="692" t="n"/>
      <c r="H413" s="692" t="n"/>
      <c r="I413" s="692" t="n"/>
      <c r="J413" s="692" t="n"/>
      <c r="K413" s="692" t="n"/>
      <c r="L413" s="692" t="n"/>
      <c r="M413" s="692" t="n"/>
      <c r="N413" s="692" t="n"/>
      <c r="O413" s="692" t="n"/>
      <c r="P413" s="692" t="n"/>
      <c r="Q413" s="692" t="n"/>
      <c r="R413" s="692" t="n"/>
      <c r="S413" s="692" t="n"/>
      <c r="T413" s="692" t="n"/>
      <c r="U413" s="692" t="n"/>
      <c r="V413" s="692" t="n"/>
      <c r="W413" s="692" t="n"/>
      <c r="X413" s="692" t="n"/>
      <c r="Y413" s="692" t="n"/>
      <c r="Z413" s="692" t="n"/>
      <c r="AA413" s="692" t="n"/>
      <c r="AB413" s="692" t="n"/>
      <c r="AC413" s="692" t="n"/>
      <c r="AD413" s="692" t="n"/>
      <c r="AE413" s="692" t="n"/>
      <c r="AF413" s="692" t="n"/>
      <c r="AG413" s="692" t="n"/>
      <c r="AH413" s="692" t="n"/>
      <c r="AI413" s="692" t="n"/>
      <c r="AJ413" s="692" t="n"/>
      <c r="AK413" s="692" t="n"/>
      <c r="AL413" s="692" t="n"/>
      <c r="AM413" s="692" t="n"/>
      <c r="AN413" s="692" t="n"/>
      <c r="AO413" s="692" t="n"/>
      <c r="AP413" s="692" t="n"/>
    </row>
    <row r="414">
      <c r="A414" s="692" t="n"/>
      <c r="B414" s="692" t="n"/>
      <c r="C414" s="692" t="n"/>
      <c r="D414" s="692" t="n"/>
      <c r="E414" s="692" t="n"/>
      <c r="F414" s="692" t="n"/>
      <c r="G414" s="692" t="n"/>
      <c r="H414" s="692" t="n"/>
      <c r="I414" s="692" t="n"/>
      <c r="J414" s="692" t="n"/>
      <c r="K414" s="692" t="n"/>
      <c r="L414" s="692" t="n"/>
      <c r="M414" s="692" t="n"/>
      <c r="N414" s="692" t="n"/>
      <c r="O414" s="692" t="n"/>
      <c r="P414" s="692" t="n"/>
      <c r="Q414" s="692" t="n"/>
      <c r="R414" s="692" t="n"/>
      <c r="S414" s="692" t="n"/>
      <c r="T414" s="692" t="n"/>
      <c r="U414" s="692" t="n"/>
      <c r="V414" s="692" t="n"/>
      <c r="W414" s="692" t="n"/>
      <c r="X414" s="692" t="n"/>
      <c r="Y414" s="692" t="n"/>
      <c r="Z414" s="692" t="n"/>
      <c r="AA414" s="692" t="n"/>
      <c r="AB414" s="692" t="n"/>
      <c r="AC414" s="692" t="n"/>
      <c r="AD414" s="692" t="n"/>
      <c r="AE414" s="692" t="n"/>
      <c r="AF414" s="692" t="n"/>
      <c r="AG414" s="692" t="n"/>
      <c r="AH414" s="692" t="n"/>
      <c r="AI414" s="692" t="n"/>
      <c r="AJ414" s="692" t="n"/>
      <c r="AK414" s="692" t="n"/>
      <c r="AL414" s="692" t="n"/>
      <c r="AM414" s="692" t="n"/>
      <c r="AN414" s="692" t="n"/>
      <c r="AO414" s="692" t="n"/>
      <c r="AP414" s="692" t="n"/>
    </row>
    <row r="415">
      <c r="A415" s="692" t="n"/>
      <c r="B415" s="692" t="n"/>
      <c r="C415" s="692" t="n"/>
      <c r="D415" s="692" t="n"/>
      <c r="E415" s="692" t="n"/>
      <c r="F415" s="692" t="n"/>
      <c r="G415" s="692" t="n"/>
      <c r="H415" s="692" t="n"/>
      <c r="I415" s="692" t="n"/>
      <c r="J415" s="692" t="n"/>
      <c r="K415" s="692" t="n"/>
      <c r="L415" s="692" t="n"/>
      <c r="M415" s="692" t="n"/>
      <c r="N415" s="692" t="n"/>
      <c r="O415" s="692" t="n"/>
      <c r="P415" s="692" t="n"/>
      <c r="Q415" s="692" t="n"/>
      <c r="R415" s="692" t="n"/>
      <c r="S415" s="692" t="n"/>
      <c r="T415" s="692" t="n"/>
      <c r="U415" s="692" t="n"/>
      <c r="V415" s="692" t="n"/>
      <c r="W415" s="692" t="n"/>
      <c r="X415" s="692" t="n"/>
      <c r="Y415" s="692" t="n"/>
      <c r="Z415" s="692" t="n"/>
      <c r="AA415" s="692" t="n"/>
      <c r="AB415" s="692" t="n"/>
      <c r="AC415" s="692" t="n"/>
      <c r="AD415" s="692" t="n"/>
      <c r="AE415" s="692" t="n"/>
      <c r="AF415" s="692" t="n"/>
      <c r="AG415" s="692" t="n"/>
      <c r="AH415" s="692" t="n"/>
      <c r="AI415" s="692" t="n"/>
      <c r="AJ415" s="692" t="n"/>
      <c r="AK415" s="692" t="n"/>
      <c r="AL415" s="692" t="n"/>
      <c r="AM415" s="692" t="n"/>
      <c r="AN415" s="692" t="n"/>
      <c r="AO415" s="692" t="n"/>
      <c r="AP415" s="692" t="n"/>
    </row>
    <row r="416">
      <c r="A416" s="692" t="n"/>
      <c r="B416" s="692" t="n"/>
      <c r="C416" s="692" t="n"/>
      <c r="D416" s="692" t="n"/>
      <c r="E416" s="692" t="n"/>
      <c r="F416" s="692" t="n"/>
      <c r="G416" s="692" t="n"/>
      <c r="H416" s="692" t="n"/>
      <c r="I416" s="692" t="n"/>
      <c r="J416" s="692" t="n"/>
      <c r="K416" s="692" t="n"/>
      <c r="L416" s="692" t="n"/>
      <c r="M416" s="692" t="n"/>
      <c r="N416" s="692" t="n"/>
      <c r="O416" s="692" t="n"/>
      <c r="P416" s="692" t="n"/>
      <c r="Q416" s="692" t="n"/>
      <c r="R416" s="692" t="n"/>
      <c r="S416" s="692" t="n"/>
      <c r="T416" s="692" t="n"/>
      <c r="U416" s="692" t="n"/>
      <c r="V416" s="692" t="n"/>
      <c r="W416" s="692" t="n"/>
      <c r="X416" s="692" t="n"/>
      <c r="Y416" s="692" t="n"/>
      <c r="Z416" s="692" t="n"/>
      <c r="AA416" s="692" t="n"/>
      <c r="AB416" s="692" t="n"/>
      <c r="AC416" s="692" t="n"/>
      <c r="AD416" s="692" t="n"/>
      <c r="AE416" s="692" t="n"/>
      <c r="AF416" s="692" t="n"/>
      <c r="AG416" s="692" t="n"/>
      <c r="AH416" s="692" t="n"/>
      <c r="AI416" s="692" t="n"/>
      <c r="AJ416" s="692" t="n"/>
      <c r="AK416" s="692" t="n"/>
      <c r="AL416" s="692" t="n"/>
      <c r="AM416" s="692" t="n"/>
      <c r="AN416" s="692" t="n"/>
      <c r="AO416" s="692" t="n"/>
      <c r="AP416" s="692" t="n"/>
    </row>
    <row r="417">
      <c r="A417" s="692" t="n"/>
      <c r="B417" s="692" t="n"/>
      <c r="C417" s="692" t="n"/>
      <c r="D417" s="692" t="n"/>
      <c r="E417" s="692" t="n"/>
      <c r="F417" s="692" t="n"/>
      <c r="G417" s="692" t="n"/>
      <c r="H417" s="692" t="n"/>
      <c r="I417" s="692" t="n"/>
      <c r="J417" s="692" t="n"/>
      <c r="K417" s="692" t="n"/>
      <c r="L417" s="692" t="n"/>
      <c r="M417" s="692" t="n"/>
      <c r="N417" s="692" t="n"/>
      <c r="O417" s="692" t="n"/>
      <c r="P417" s="692" t="n"/>
      <c r="Q417" s="692" t="n"/>
      <c r="R417" s="692" t="n"/>
      <c r="S417" s="692" t="n"/>
      <c r="T417" s="692" t="n"/>
      <c r="U417" s="692" t="n"/>
      <c r="V417" s="692" t="n"/>
      <c r="W417" s="692" t="n"/>
      <c r="X417" s="692" t="n"/>
      <c r="Y417" s="692" t="n"/>
      <c r="Z417" s="692" t="n"/>
      <c r="AA417" s="692" t="n"/>
      <c r="AB417" s="692" t="n"/>
      <c r="AC417" s="692" t="n"/>
      <c r="AD417" s="692" t="n"/>
      <c r="AE417" s="692" t="n"/>
      <c r="AF417" s="692" t="n"/>
      <c r="AG417" s="692" t="n"/>
      <c r="AH417" s="692" t="n"/>
      <c r="AI417" s="692" t="n"/>
      <c r="AJ417" s="692" t="n"/>
      <c r="AK417" s="692" t="n"/>
      <c r="AL417" s="692" t="n"/>
      <c r="AM417" s="692" t="n"/>
      <c r="AN417" s="692" t="n"/>
      <c r="AO417" s="692" t="n"/>
      <c r="AP417" s="692" t="n"/>
    </row>
    <row r="418">
      <c r="A418" s="692" t="n"/>
      <c r="B418" s="692" t="n"/>
      <c r="C418" s="692" t="n"/>
      <c r="D418" s="692" t="n"/>
      <c r="E418" s="692" t="n"/>
      <c r="F418" s="692" t="n"/>
      <c r="G418" s="692" t="n"/>
      <c r="H418" s="692" t="n"/>
      <c r="I418" s="692" t="n"/>
      <c r="J418" s="692" t="n"/>
      <c r="K418" s="692" t="n"/>
      <c r="L418" s="692" t="n"/>
      <c r="M418" s="692" t="n"/>
      <c r="N418" s="692" t="n"/>
      <c r="O418" s="692" t="n"/>
      <c r="P418" s="692" t="n"/>
      <c r="Q418" s="692" t="n"/>
      <c r="R418" s="692" t="n"/>
      <c r="S418" s="692" t="n"/>
      <c r="T418" s="692" t="n"/>
      <c r="U418" s="692" t="n"/>
      <c r="V418" s="692" t="n"/>
      <c r="W418" s="692" t="n"/>
      <c r="X418" s="692" t="n"/>
      <c r="Y418" s="692" t="n"/>
      <c r="Z418" s="692" t="n"/>
      <c r="AA418" s="692" t="n"/>
      <c r="AB418" s="692" t="n"/>
      <c r="AC418" s="692" t="n"/>
      <c r="AD418" s="692" t="n"/>
      <c r="AE418" s="692" t="n"/>
      <c r="AF418" s="692" t="n"/>
      <c r="AG418" s="692" t="n"/>
      <c r="AH418" s="692" t="n"/>
      <c r="AI418" s="692" t="n"/>
      <c r="AJ418" s="692" t="n"/>
      <c r="AK418" s="692" t="n"/>
      <c r="AL418" s="692" t="n"/>
      <c r="AM418" s="692" t="n"/>
      <c r="AN418" s="692" t="n"/>
      <c r="AO418" s="692" t="n"/>
      <c r="AP418" s="692" t="n"/>
    </row>
    <row r="419">
      <c r="A419" s="692" t="n"/>
      <c r="B419" s="692" t="n"/>
      <c r="C419" s="692" t="n"/>
      <c r="D419" s="692" t="n"/>
      <c r="E419" s="692" t="n"/>
      <c r="F419" s="692" t="n"/>
      <c r="G419" s="692" t="n"/>
      <c r="H419" s="692" t="n"/>
      <c r="I419" s="692" t="n"/>
      <c r="J419" s="692" t="n"/>
      <c r="K419" s="692" t="n"/>
      <c r="L419" s="692" t="n"/>
      <c r="M419" s="692" t="n"/>
      <c r="N419" s="692" t="n"/>
      <c r="O419" s="692" t="n"/>
      <c r="P419" s="692" t="n"/>
      <c r="Q419" s="692" t="n"/>
      <c r="R419" s="692" t="n"/>
      <c r="S419" s="692" t="n"/>
      <c r="T419" s="692" t="n"/>
      <c r="U419" s="692" t="n"/>
      <c r="V419" s="692" t="n"/>
      <c r="W419" s="692" t="n"/>
      <c r="X419" s="692" t="n"/>
      <c r="Y419" s="692" t="n"/>
      <c r="Z419" s="692" t="n"/>
      <c r="AA419" s="692" t="n"/>
      <c r="AB419" s="692" t="n"/>
      <c r="AC419" s="692" t="n"/>
      <c r="AD419" s="692" t="n"/>
      <c r="AE419" s="692" t="n"/>
      <c r="AF419" s="692" t="n"/>
      <c r="AG419" s="692" t="n"/>
      <c r="AH419" s="692" t="n"/>
      <c r="AI419" s="692" t="n"/>
      <c r="AJ419" s="692" t="n"/>
      <c r="AK419" s="692" t="n"/>
      <c r="AL419" s="692" t="n"/>
      <c r="AM419" s="692" t="n"/>
      <c r="AN419" s="692" t="n"/>
      <c r="AO419" s="692" t="n"/>
      <c r="AP419" s="692" t="n"/>
    </row>
    <row r="420">
      <c r="A420" s="692" t="n"/>
      <c r="B420" s="692" t="n"/>
      <c r="C420" s="692" t="n"/>
      <c r="D420" s="692" t="n"/>
      <c r="E420" s="692" t="n"/>
      <c r="F420" s="692" t="n"/>
      <c r="G420" s="692" t="n"/>
      <c r="H420" s="692" t="n"/>
      <c r="I420" s="692" t="n"/>
      <c r="J420" s="692" t="n"/>
      <c r="K420" s="692" t="n"/>
      <c r="L420" s="692" t="n"/>
      <c r="M420" s="692" t="n"/>
      <c r="N420" s="692" t="n"/>
      <c r="O420" s="692" t="n"/>
      <c r="P420" s="692" t="n"/>
      <c r="Q420" s="692" t="n"/>
      <c r="R420" s="692" t="n"/>
      <c r="S420" s="692" t="n"/>
      <c r="T420" s="692" t="n"/>
      <c r="U420" s="692" t="n"/>
      <c r="V420" s="692" t="n"/>
      <c r="W420" s="692" t="n"/>
      <c r="X420" s="692" t="n"/>
      <c r="Y420" s="692" t="n"/>
      <c r="Z420" s="692" t="n"/>
      <c r="AA420" s="692" t="n"/>
      <c r="AB420" s="692" t="n"/>
      <c r="AC420" s="692" t="n"/>
      <c r="AD420" s="692" t="n"/>
      <c r="AE420" s="692" t="n"/>
      <c r="AF420" s="692" t="n"/>
      <c r="AG420" s="692" t="n"/>
      <c r="AH420" s="692" t="n"/>
      <c r="AI420" s="692" t="n"/>
      <c r="AJ420" s="692" t="n"/>
      <c r="AK420" s="692" t="n"/>
      <c r="AL420" s="692" t="n"/>
      <c r="AM420" s="692" t="n"/>
      <c r="AN420" s="692" t="n"/>
      <c r="AO420" s="692" t="n"/>
      <c r="AP420" s="692" t="n"/>
    </row>
    <row r="421">
      <c r="A421" s="692" t="n"/>
      <c r="B421" s="692" t="n"/>
      <c r="C421" s="692" t="n"/>
      <c r="D421" s="692" t="n"/>
      <c r="E421" s="692" t="n"/>
      <c r="F421" s="692" t="n"/>
      <c r="G421" s="692" t="n"/>
      <c r="H421" s="692" t="n"/>
      <c r="I421" s="692" t="n"/>
      <c r="J421" s="692" t="n"/>
      <c r="K421" s="692" t="n"/>
      <c r="L421" s="692" t="n"/>
      <c r="M421" s="692" t="n"/>
      <c r="N421" s="692" t="n"/>
      <c r="O421" s="692" t="n"/>
      <c r="P421" s="692" t="n"/>
      <c r="Q421" s="692" t="n"/>
      <c r="R421" s="692" t="n"/>
      <c r="S421" s="692" t="n"/>
      <c r="T421" s="692" t="n"/>
      <c r="U421" s="692" t="n"/>
      <c r="V421" s="692" t="n"/>
      <c r="W421" s="692" t="n"/>
      <c r="X421" s="692" t="n"/>
      <c r="Y421" s="692" t="n"/>
      <c r="Z421" s="692" t="n"/>
      <c r="AA421" s="692" t="n"/>
      <c r="AB421" s="692" t="n"/>
      <c r="AC421" s="692" t="n"/>
      <c r="AD421" s="692" t="n"/>
      <c r="AE421" s="692" t="n"/>
      <c r="AF421" s="692" t="n"/>
      <c r="AG421" s="692" t="n"/>
      <c r="AH421" s="692" t="n"/>
      <c r="AI421" s="692" t="n"/>
      <c r="AJ421" s="692" t="n"/>
      <c r="AK421" s="692" t="n"/>
      <c r="AL421" s="692" t="n"/>
      <c r="AM421" s="692" t="n"/>
      <c r="AN421" s="692" t="n"/>
      <c r="AO421" s="692" t="n"/>
      <c r="AP421" s="692" t="n"/>
    </row>
    <row r="422">
      <c r="A422" s="692" t="n"/>
      <c r="B422" s="692" t="n"/>
      <c r="C422" s="692" t="n"/>
      <c r="D422" s="692" t="n"/>
      <c r="E422" s="692" t="n"/>
      <c r="F422" s="692" t="n"/>
      <c r="G422" s="692" t="n"/>
      <c r="H422" s="692" t="n"/>
      <c r="I422" s="692" t="n"/>
      <c r="J422" s="692" t="n"/>
      <c r="K422" s="692" t="n"/>
      <c r="L422" s="692" t="n"/>
      <c r="M422" s="692" t="n"/>
      <c r="N422" s="692" t="n"/>
      <c r="O422" s="692" t="n"/>
      <c r="P422" s="692" t="n"/>
      <c r="Q422" s="692" t="n"/>
      <c r="R422" s="692" t="n"/>
      <c r="S422" s="692" t="n"/>
      <c r="T422" s="692" t="n"/>
      <c r="U422" s="692" t="n"/>
      <c r="V422" s="692" t="n"/>
      <c r="W422" s="692" t="n"/>
      <c r="X422" s="692" t="n"/>
      <c r="Y422" s="692" t="n"/>
      <c r="Z422" s="692" t="n"/>
      <c r="AA422" s="692" t="n"/>
      <c r="AB422" s="692" t="n"/>
      <c r="AC422" s="692" t="n"/>
      <c r="AD422" s="692" t="n"/>
      <c r="AE422" s="692" t="n"/>
      <c r="AF422" s="692" t="n"/>
      <c r="AG422" s="692" t="n"/>
      <c r="AH422" s="692" t="n"/>
      <c r="AI422" s="692" t="n"/>
      <c r="AJ422" s="692" t="n"/>
      <c r="AK422" s="692" t="n"/>
      <c r="AL422" s="692" t="n"/>
      <c r="AM422" s="692" t="n"/>
      <c r="AN422" s="692" t="n"/>
      <c r="AO422" s="692" t="n"/>
      <c r="AP422" s="692" t="n"/>
    </row>
    <row r="423">
      <c r="A423" s="692" t="n"/>
      <c r="B423" s="692" t="n"/>
      <c r="C423" s="692" t="n"/>
      <c r="D423" s="692" t="n"/>
      <c r="E423" s="692" t="n"/>
      <c r="F423" s="692" t="n"/>
      <c r="G423" s="692" t="n"/>
      <c r="H423" s="692" t="n"/>
      <c r="I423" s="692" t="n"/>
      <c r="J423" s="692" t="n"/>
      <c r="K423" s="692" t="n"/>
      <c r="L423" s="692" t="n"/>
      <c r="M423" s="692" t="n"/>
      <c r="N423" s="692" t="n"/>
      <c r="O423" s="692" t="n"/>
      <c r="P423" s="692" t="n"/>
      <c r="Q423" s="692" t="n"/>
      <c r="R423" s="692" t="n"/>
      <c r="S423" s="692" t="n"/>
      <c r="T423" s="692" t="n"/>
      <c r="U423" s="692" t="n"/>
      <c r="V423" s="692" t="n"/>
      <c r="W423" s="692" t="n"/>
      <c r="X423" s="692" t="n"/>
      <c r="Y423" s="692" t="n"/>
      <c r="Z423" s="692" t="n"/>
      <c r="AA423" s="692" t="n"/>
      <c r="AB423" s="692" t="n"/>
      <c r="AC423" s="692" t="n"/>
      <c r="AD423" s="692" t="n"/>
      <c r="AE423" s="692" t="n"/>
      <c r="AF423" s="692" t="n"/>
      <c r="AG423" s="692" t="n"/>
      <c r="AH423" s="692" t="n"/>
      <c r="AI423" s="692" t="n"/>
      <c r="AJ423" s="692" t="n"/>
      <c r="AK423" s="692" t="n"/>
      <c r="AL423" s="692" t="n"/>
      <c r="AM423" s="692" t="n"/>
      <c r="AN423" s="692" t="n"/>
      <c r="AO423" s="692" t="n"/>
      <c r="AP423" s="692" t="n"/>
    </row>
    <row r="424">
      <c r="A424" s="692" t="n"/>
      <c r="B424" s="692" t="n"/>
      <c r="C424" s="692" t="n"/>
      <c r="D424" s="692" t="n"/>
      <c r="E424" s="692" t="n"/>
      <c r="F424" s="692" t="n"/>
      <c r="G424" s="692" t="n"/>
      <c r="H424" s="692" t="n"/>
      <c r="I424" s="692" t="n"/>
      <c r="J424" s="692" t="n"/>
      <c r="K424" s="692" t="n"/>
      <c r="L424" s="692" t="n"/>
      <c r="M424" s="692" t="n"/>
      <c r="N424" s="692" t="n"/>
      <c r="O424" s="692" t="n"/>
      <c r="P424" s="692" t="n"/>
      <c r="Q424" s="692" t="n"/>
      <c r="R424" s="692" t="n"/>
      <c r="S424" s="692" t="n"/>
      <c r="T424" s="692" t="n"/>
      <c r="U424" s="692" t="n"/>
      <c r="V424" s="692" t="n"/>
      <c r="W424" s="692" t="n"/>
      <c r="X424" s="692" t="n"/>
      <c r="Y424" s="692" t="n"/>
      <c r="Z424" s="692" t="n"/>
      <c r="AA424" s="692" t="n"/>
      <c r="AB424" s="692" t="n"/>
      <c r="AC424" s="692" t="n"/>
      <c r="AD424" s="692" t="n"/>
      <c r="AE424" s="692" t="n"/>
      <c r="AF424" s="692" t="n"/>
      <c r="AG424" s="692" t="n"/>
      <c r="AH424" s="692" t="n"/>
      <c r="AI424" s="692" t="n"/>
      <c r="AJ424" s="692" t="n"/>
      <c r="AK424" s="692" t="n"/>
      <c r="AL424" s="692" t="n"/>
      <c r="AM424" s="692" t="n"/>
      <c r="AN424" s="692" t="n"/>
      <c r="AO424" s="692" t="n"/>
      <c r="AP424" s="692" t="n"/>
    </row>
    <row r="425">
      <c r="A425" s="692" t="n"/>
      <c r="B425" s="692" t="n"/>
      <c r="C425" s="692" t="n"/>
      <c r="D425" s="692" t="n"/>
      <c r="E425" s="692" t="n"/>
      <c r="F425" s="692" t="n"/>
      <c r="G425" s="692" t="n"/>
      <c r="H425" s="692" t="n"/>
      <c r="I425" s="692" t="n"/>
      <c r="J425" s="692" t="n"/>
      <c r="K425" s="692" t="n"/>
      <c r="L425" s="692" t="n"/>
      <c r="M425" s="692" t="n"/>
      <c r="N425" s="692" t="n"/>
      <c r="O425" s="692" t="n"/>
      <c r="P425" s="692" t="n"/>
      <c r="Q425" s="692" t="n"/>
      <c r="R425" s="692" t="n"/>
      <c r="S425" s="692" t="n"/>
      <c r="T425" s="692" t="n"/>
      <c r="U425" s="692" t="n"/>
      <c r="V425" s="692" t="n"/>
      <c r="W425" s="692" t="n"/>
      <c r="X425" s="692" t="n"/>
      <c r="Y425" s="692" t="n"/>
      <c r="Z425" s="692" t="n"/>
      <c r="AA425" s="692" t="n"/>
      <c r="AB425" s="692" t="n"/>
      <c r="AC425" s="692" t="n"/>
      <c r="AD425" s="692" t="n"/>
      <c r="AE425" s="692" t="n"/>
      <c r="AF425" s="692" t="n"/>
      <c r="AG425" s="692" t="n"/>
      <c r="AH425" s="692" t="n"/>
      <c r="AI425" s="692" t="n"/>
      <c r="AJ425" s="692" t="n"/>
      <c r="AK425" s="692" t="n"/>
      <c r="AL425" s="692" t="n"/>
      <c r="AM425" s="692" t="n"/>
      <c r="AN425" s="692" t="n"/>
      <c r="AO425" s="692" t="n"/>
      <c r="AP425" s="692" t="n"/>
    </row>
    <row r="426">
      <c r="A426" s="692" t="n"/>
      <c r="B426" s="692" t="n"/>
      <c r="C426" s="692" t="n"/>
      <c r="D426" s="692" t="n"/>
      <c r="E426" s="692" t="n"/>
      <c r="F426" s="692" t="n"/>
      <c r="G426" s="692" t="n"/>
      <c r="H426" s="692" t="n"/>
      <c r="I426" s="692" t="n"/>
      <c r="J426" s="692" t="n"/>
      <c r="K426" s="692" t="n"/>
      <c r="L426" s="692" t="n"/>
      <c r="M426" s="692" t="n"/>
      <c r="N426" s="692" t="n"/>
      <c r="O426" s="692" t="n"/>
      <c r="P426" s="692" t="n"/>
      <c r="Q426" s="692" t="n"/>
      <c r="R426" s="692" t="n"/>
      <c r="S426" s="692" t="n"/>
      <c r="T426" s="692" t="n"/>
      <c r="U426" s="692" t="n"/>
      <c r="V426" s="692" t="n"/>
      <c r="W426" s="692" t="n"/>
      <c r="X426" s="692" t="n"/>
      <c r="Y426" s="692" t="n"/>
      <c r="Z426" s="692" t="n"/>
      <c r="AA426" s="692" t="n"/>
      <c r="AB426" s="692" t="n"/>
      <c r="AC426" s="692" t="n"/>
      <c r="AD426" s="692" t="n"/>
      <c r="AE426" s="692" t="n"/>
      <c r="AF426" s="692" t="n"/>
      <c r="AG426" s="692" t="n"/>
      <c r="AH426" s="692" t="n"/>
      <c r="AI426" s="692" t="n"/>
      <c r="AJ426" s="692" t="n"/>
      <c r="AK426" s="692" t="n"/>
      <c r="AL426" s="692" t="n"/>
      <c r="AM426" s="692" t="n"/>
      <c r="AN426" s="692" t="n"/>
      <c r="AO426" s="692" t="n"/>
      <c r="AP426" s="692" t="n"/>
    </row>
    <row r="427">
      <c r="A427" s="692" t="n"/>
      <c r="B427" s="692" t="n"/>
      <c r="C427" s="692" t="n"/>
      <c r="D427" s="692" t="n"/>
      <c r="E427" s="692" t="n"/>
      <c r="F427" s="692" t="n"/>
      <c r="G427" s="692" t="n"/>
      <c r="H427" s="692" t="n"/>
      <c r="I427" s="692" t="n"/>
      <c r="J427" s="692" t="n"/>
      <c r="K427" s="692" t="n"/>
      <c r="L427" s="692" t="n"/>
      <c r="M427" s="692" t="n"/>
      <c r="N427" s="692" t="n"/>
      <c r="O427" s="692" t="n"/>
      <c r="P427" s="692" t="n"/>
      <c r="Q427" s="692" t="n"/>
      <c r="R427" s="692" t="n"/>
      <c r="S427" s="692" t="n"/>
      <c r="T427" s="692" t="n"/>
      <c r="U427" s="692" t="n"/>
      <c r="V427" s="692" t="n"/>
      <c r="W427" s="692" t="n"/>
      <c r="X427" s="692" t="n"/>
      <c r="Y427" s="692" t="n"/>
      <c r="Z427" s="692" t="n"/>
      <c r="AA427" s="692" t="n"/>
      <c r="AB427" s="692" t="n"/>
      <c r="AC427" s="692" t="n"/>
      <c r="AD427" s="692" t="n"/>
      <c r="AE427" s="692" t="n"/>
      <c r="AF427" s="692" t="n"/>
      <c r="AG427" s="692" t="n"/>
      <c r="AH427" s="692" t="n"/>
      <c r="AI427" s="692" t="n"/>
      <c r="AJ427" s="692" t="n"/>
      <c r="AK427" s="692" t="n"/>
      <c r="AL427" s="692" t="n"/>
      <c r="AM427" s="692" t="n"/>
      <c r="AN427" s="692" t="n"/>
      <c r="AO427" s="692" t="n"/>
      <c r="AP427" s="692" t="n"/>
    </row>
    <row r="428">
      <c r="A428" s="692" t="n"/>
      <c r="B428" s="692" t="n"/>
      <c r="C428" s="692" t="n"/>
      <c r="D428" s="692" t="n"/>
      <c r="E428" s="692" t="n"/>
      <c r="F428" s="692" t="n"/>
      <c r="G428" s="692" t="n"/>
      <c r="H428" s="692" t="n"/>
      <c r="I428" s="692" t="n"/>
      <c r="J428" s="692" t="n"/>
      <c r="K428" s="692" t="n"/>
      <c r="L428" s="692" t="n"/>
      <c r="M428" s="692" t="n"/>
      <c r="N428" s="692" t="n"/>
      <c r="O428" s="692" t="n"/>
      <c r="P428" s="692" t="n"/>
      <c r="Q428" s="692" t="n"/>
      <c r="R428" s="692" t="n"/>
      <c r="S428" s="692" t="n"/>
      <c r="T428" s="692" t="n"/>
      <c r="U428" s="692" t="n"/>
      <c r="V428" s="692" t="n"/>
      <c r="W428" s="692" t="n"/>
      <c r="X428" s="692" t="n"/>
      <c r="Y428" s="692" t="n"/>
      <c r="Z428" s="692" t="n"/>
      <c r="AA428" s="692" t="n"/>
      <c r="AB428" s="692" t="n"/>
      <c r="AC428" s="692" t="n"/>
      <c r="AD428" s="692" t="n"/>
      <c r="AE428" s="692" t="n"/>
      <c r="AF428" s="692" t="n"/>
      <c r="AG428" s="692" t="n"/>
      <c r="AH428" s="692" t="n"/>
      <c r="AI428" s="692" t="n"/>
      <c r="AJ428" s="692" t="n"/>
      <c r="AK428" s="692" t="n"/>
      <c r="AL428" s="692" t="n"/>
      <c r="AM428" s="692" t="n"/>
      <c r="AN428" s="692" t="n"/>
      <c r="AO428" s="692" t="n"/>
      <c r="AP428" s="692" t="n"/>
    </row>
    <row r="429">
      <c r="A429" s="692" t="n"/>
      <c r="B429" s="692" t="n"/>
      <c r="C429" s="692" t="n"/>
      <c r="D429" s="692" t="n"/>
      <c r="E429" s="692" t="n"/>
      <c r="F429" s="692" t="n"/>
      <c r="G429" s="692" t="n"/>
      <c r="H429" s="692" t="n"/>
      <c r="I429" s="692" t="n"/>
      <c r="J429" s="692" t="n"/>
      <c r="K429" s="692" t="n"/>
      <c r="L429" s="692" t="n"/>
      <c r="M429" s="692" t="n"/>
      <c r="N429" s="692" t="n"/>
      <c r="O429" s="692" t="n"/>
      <c r="P429" s="692" t="n"/>
      <c r="Q429" s="692" t="n"/>
      <c r="R429" s="692" t="n"/>
      <c r="S429" s="692" t="n"/>
      <c r="T429" s="692" t="n"/>
      <c r="U429" s="692" t="n"/>
      <c r="V429" s="692" t="n"/>
      <c r="W429" s="692" t="n"/>
      <c r="X429" s="692" t="n"/>
      <c r="Y429" s="692" t="n"/>
      <c r="Z429" s="692" t="n"/>
      <c r="AA429" s="692" t="n"/>
      <c r="AB429" s="692" t="n"/>
      <c r="AC429" s="692" t="n"/>
      <c r="AD429" s="692" t="n"/>
      <c r="AE429" s="692" t="n"/>
      <c r="AF429" s="692" t="n"/>
      <c r="AG429" s="692" t="n"/>
      <c r="AH429" s="692" t="n"/>
      <c r="AI429" s="692" t="n"/>
      <c r="AJ429" s="692" t="n"/>
      <c r="AK429" s="692" t="n"/>
      <c r="AL429" s="692" t="n"/>
      <c r="AM429" s="692" t="n"/>
      <c r="AN429" s="692" t="n"/>
      <c r="AO429" s="692" t="n"/>
      <c r="AP429" s="692" t="n"/>
    </row>
    <row r="430">
      <c r="A430" s="692" t="n"/>
      <c r="B430" s="692" t="n"/>
      <c r="C430" s="692" t="n"/>
      <c r="D430" s="692" t="n"/>
      <c r="E430" s="692" t="n"/>
      <c r="F430" s="692" t="n"/>
      <c r="G430" s="692" t="n"/>
      <c r="H430" s="692" t="n"/>
      <c r="I430" s="692" t="n"/>
      <c r="J430" s="692" t="n"/>
      <c r="K430" s="692" t="n"/>
      <c r="L430" s="692" t="n"/>
      <c r="M430" s="692" t="n"/>
      <c r="N430" s="692" t="n"/>
      <c r="O430" s="692" t="n"/>
      <c r="P430" s="692" t="n"/>
      <c r="Q430" s="692" t="n"/>
      <c r="R430" s="692" t="n"/>
      <c r="S430" s="692" t="n"/>
      <c r="T430" s="692" t="n"/>
      <c r="U430" s="692" t="n"/>
      <c r="V430" s="692" t="n"/>
      <c r="W430" s="692" t="n"/>
      <c r="X430" s="692" t="n"/>
      <c r="Y430" s="692" t="n"/>
      <c r="Z430" s="692" t="n"/>
      <c r="AA430" s="692" t="n"/>
      <c r="AB430" s="692" t="n"/>
      <c r="AC430" s="692" t="n"/>
      <c r="AD430" s="692" t="n"/>
      <c r="AE430" s="692" t="n"/>
      <c r="AF430" s="692" t="n"/>
      <c r="AG430" s="692" t="n"/>
      <c r="AH430" s="692" t="n"/>
      <c r="AI430" s="692" t="n"/>
      <c r="AJ430" s="692" t="n"/>
      <c r="AK430" s="692" t="n"/>
      <c r="AL430" s="692" t="n"/>
      <c r="AM430" s="692" t="n"/>
      <c r="AN430" s="692" t="n"/>
      <c r="AO430" s="692" t="n"/>
      <c r="AP430" s="692" t="n"/>
    </row>
    <row r="431">
      <c r="A431" s="692" t="n"/>
      <c r="B431" s="692" t="n"/>
      <c r="C431" s="692" t="n"/>
      <c r="D431" s="692" t="n"/>
      <c r="E431" s="692" t="n"/>
      <c r="F431" s="692" t="n"/>
      <c r="G431" s="692" t="n"/>
      <c r="H431" s="692" t="n"/>
      <c r="I431" s="692" t="n"/>
      <c r="J431" s="692" t="n"/>
      <c r="K431" s="692" t="n"/>
      <c r="L431" s="692" t="n"/>
      <c r="M431" s="692" t="n"/>
      <c r="N431" s="692" t="n"/>
      <c r="O431" s="692" t="n"/>
      <c r="P431" s="692" t="n"/>
      <c r="Q431" s="692" t="n"/>
      <c r="R431" s="692" t="n"/>
      <c r="S431" s="692" t="n"/>
      <c r="T431" s="692" t="n"/>
      <c r="U431" s="692" t="n"/>
      <c r="V431" s="692" t="n"/>
      <c r="W431" s="692" t="n"/>
      <c r="X431" s="692" t="n"/>
      <c r="Y431" s="692" t="n"/>
      <c r="Z431" s="692" t="n"/>
      <c r="AA431" s="692" t="n"/>
      <c r="AB431" s="692" t="n"/>
      <c r="AC431" s="692" t="n"/>
      <c r="AD431" s="692" t="n"/>
      <c r="AE431" s="692" t="n"/>
      <c r="AF431" s="692" t="n"/>
      <c r="AG431" s="692" t="n"/>
      <c r="AH431" s="692" t="n"/>
      <c r="AI431" s="692" t="n"/>
      <c r="AJ431" s="692" t="n"/>
      <c r="AK431" s="692" t="n"/>
      <c r="AL431" s="692" t="n"/>
      <c r="AM431" s="692" t="n"/>
      <c r="AN431" s="692" t="n"/>
      <c r="AO431" s="692" t="n"/>
      <c r="AP431" s="692" t="n"/>
    </row>
    <row r="432">
      <c r="A432" s="692" t="n"/>
      <c r="B432" s="692" t="n"/>
      <c r="C432" s="692" t="n"/>
      <c r="D432" s="692" t="n"/>
      <c r="E432" s="692" t="n"/>
      <c r="F432" s="692" t="n"/>
      <c r="G432" s="692" t="n"/>
      <c r="H432" s="692" t="n"/>
      <c r="I432" s="692" t="n"/>
      <c r="J432" s="692" t="n"/>
      <c r="K432" s="692" t="n"/>
      <c r="L432" s="692" t="n"/>
      <c r="M432" s="692" t="n"/>
      <c r="N432" s="692" t="n"/>
      <c r="O432" s="692" t="n"/>
      <c r="P432" s="692" t="n"/>
      <c r="Q432" s="692" t="n"/>
      <c r="R432" s="692" t="n"/>
      <c r="S432" s="692" t="n"/>
      <c r="T432" s="692" t="n"/>
      <c r="U432" s="692" t="n"/>
      <c r="V432" s="692" t="n"/>
      <c r="W432" s="692" t="n"/>
      <c r="X432" s="692" t="n"/>
      <c r="Y432" s="692" t="n"/>
      <c r="Z432" s="692" t="n"/>
      <c r="AA432" s="692" t="n"/>
      <c r="AB432" s="692" t="n"/>
      <c r="AC432" s="692" t="n"/>
      <c r="AD432" s="692" t="n"/>
      <c r="AE432" s="692" t="n"/>
      <c r="AF432" s="692" t="n"/>
      <c r="AG432" s="692" t="n"/>
      <c r="AH432" s="692" t="n"/>
      <c r="AI432" s="692" t="n"/>
      <c r="AJ432" s="692" t="n"/>
      <c r="AK432" s="692" t="n"/>
      <c r="AL432" s="692" t="n"/>
      <c r="AM432" s="692" t="n"/>
      <c r="AN432" s="692" t="n"/>
      <c r="AO432" s="692" t="n"/>
      <c r="AP432" s="692" t="n"/>
    </row>
    <row r="433">
      <c r="A433" s="692" t="n"/>
      <c r="B433" s="692" t="n"/>
      <c r="C433" s="692" t="n"/>
      <c r="D433" s="692" t="n"/>
      <c r="E433" s="692" t="n"/>
      <c r="F433" s="692" t="n"/>
      <c r="G433" s="692" t="n"/>
      <c r="H433" s="692" t="n"/>
      <c r="I433" s="692" t="n"/>
      <c r="J433" s="692" t="n"/>
      <c r="K433" s="692" t="n"/>
      <c r="L433" s="692" t="n"/>
      <c r="M433" s="692" t="n"/>
      <c r="N433" s="692" t="n"/>
      <c r="O433" s="692" t="n"/>
      <c r="P433" s="692" t="n"/>
      <c r="Q433" s="692" t="n"/>
      <c r="R433" s="692" t="n"/>
      <c r="S433" s="692" t="n"/>
      <c r="T433" s="692" t="n"/>
      <c r="U433" s="692" t="n"/>
      <c r="V433" s="692" t="n"/>
      <c r="W433" s="692" t="n"/>
      <c r="X433" s="692" t="n"/>
      <c r="Y433" s="692" t="n"/>
      <c r="Z433" s="692" t="n"/>
      <c r="AA433" s="692" t="n"/>
      <c r="AB433" s="692" t="n"/>
      <c r="AC433" s="692" t="n"/>
      <c r="AD433" s="692" t="n"/>
      <c r="AE433" s="692" t="n"/>
      <c r="AF433" s="692" t="n"/>
      <c r="AG433" s="692" t="n"/>
      <c r="AH433" s="692" t="n"/>
      <c r="AI433" s="692" t="n"/>
      <c r="AJ433" s="692" t="n"/>
      <c r="AK433" s="692" t="n"/>
      <c r="AL433" s="692" t="n"/>
      <c r="AM433" s="692" t="n"/>
      <c r="AN433" s="692" t="n"/>
      <c r="AO433" s="692" t="n"/>
      <c r="AP433" s="692" t="n"/>
    </row>
    <row r="434">
      <c r="A434" s="692" t="n"/>
      <c r="B434" s="692" t="n"/>
      <c r="C434" s="692" t="n"/>
      <c r="D434" s="692" t="n"/>
      <c r="E434" s="692" t="n"/>
      <c r="F434" s="692" t="n"/>
      <c r="G434" s="692" t="n"/>
      <c r="H434" s="692" t="n"/>
      <c r="I434" s="692" t="n"/>
      <c r="J434" s="692" t="n"/>
      <c r="K434" s="692" t="n"/>
      <c r="L434" s="692" t="n"/>
      <c r="M434" s="692" t="n"/>
      <c r="N434" s="692" t="n"/>
      <c r="O434" s="692" t="n"/>
      <c r="P434" s="692" t="n"/>
      <c r="Q434" s="692" t="n"/>
      <c r="R434" s="692" t="n"/>
      <c r="S434" s="692" t="n"/>
      <c r="T434" s="692" t="n"/>
      <c r="U434" s="692" t="n"/>
      <c r="V434" s="692" t="n"/>
      <c r="W434" s="692" t="n"/>
      <c r="X434" s="692" t="n"/>
      <c r="Y434" s="692" t="n"/>
      <c r="Z434" s="692" t="n"/>
      <c r="AA434" s="692" t="n"/>
      <c r="AB434" s="692" t="n"/>
      <c r="AC434" s="692" t="n"/>
      <c r="AD434" s="692" t="n"/>
      <c r="AE434" s="692" t="n"/>
      <c r="AF434" s="692" t="n"/>
      <c r="AG434" s="692" t="n"/>
      <c r="AH434" s="692" t="n"/>
      <c r="AI434" s="692" t="n"/>
      <c r="AJ434" s="692" t="n"/>
      <c r="AK434" s="692" t="n"/>
      <c r="AL434" s="692" t="n"/>
      <c r="AM434" s="692" t="n"/>
      <c r="AN434" s="692" t="n"/>
      <c r="AO434" s="692" t="n"/>
      <c r="AP434" s="692" t="n"/>
    </row>
    <row r="435">
      <c r="A435" s="692" t="n"/>
      <c r="B435" s="692" t="n"/>
      <c r="C435" s="692" t="n"/>
      <c r="D435" s="692" t="n"/>
      <c r="E435" s="692" t="n"/>
      <c r="F435" s="692" t="n"/>
      <c r="G435" s="692" t="n"/>
      <c r="H435" s="692" t="n"/>
      <c r="I435" s="692" t="n"/>
      <c r="J435" s="692" t="n"/>
      <c r="K435" s="692" t="n"/>
      <c r="L435" s="692" t="n"/>
      <c r="M435" s="692" t="n"/>
      <c r="N435" s="692" t="n"/>
      <c r="O435" s="692" t="n"/>
      <c r="P435" s="692" t="n"/>
      <c r="Q435" s="692" t="n"/>
      <c r="R435" s="692" t="n"/>
      <c r="S435" s="692" t="n"/>
      <c r="T435" s="692" t="n"/>
      <c r="U435" s="692" t="n"/>
      <c r="V435" s="692" t="n"/>
      <c r="W435" s="692" t="n"/>
      <c r="X435" s="692" t="n"/>
      <c r="Y435" s="692" t="n"/>
      <c r="Z435" s="692" t="n"/>
      <c r="AA435" s="692" t="n"/>
      <c r="AB435" s="692" t="n"/>
      <c r="AC435" s="692" t="n"/>
      <c r="AD435" s="692" t="n"/>
      <c r="AE435" s="692" t="n"/>
      <c r="AF435" s="692" t="n"/>
      <c r="AG435" s="692" t="n"/>
      <c r="AH435" s="692" t="n"/>
      <c r="AI435" s="692" t="n"/>
      <c r="AJ435" s="692" t="n"/>
      <c r="AK435" s="692" t="n"/>
      <c r="AL435" s="692" t="n"/>
      <c r="AM435" s="692" t="n"/>
      <c r="AN435" s="692" t="n"/>
      <c r="AO435" s="692" t="n"/>
      <c r="AP435" s="692" t="n"/>
    </row>
    <row r="436">
      <c r="A436" s="692" t="n"/>
      <c r="B436" s="692" t="n"/>
      <c r="C436" s="692" t="n"/>
      <c r="D436" s="692" t="n"/>
      <c r="E436" s="692" t="n"/>
      <c r="F436" s="692" t="n"/>
      <c r="G436" s="692" t="n"/>
      <c r="H436" s="692" t="n"/>
      <c r="I436" s="692" t="n"/>
      <c r="J436" s="692" t="n"/>
      <c r="K436" s="692" t="n"/>
      <c r="L436" s="692" t="n"/>
      <c r="M436" s="692" t="n"/>
      <c r="N436" s="692" t="n"/>
      <c r="O436" s="692" t="n"/>
      <c r="P436" s="692" t="n"/>
      <c r="Q436" s="692" t="n"/>
      <c r="R436" s="692" t="n"/>
      <c r="S436" s="692" t="n"/>
      <c r="T436" s="692" t="n"/>
      <c r="U436" s="692" t="n"/>
      <c r="V436" s="692" t="n"/>
      <c r="W436" s="692" t="n"/>
      <c r="X436" s="692" t="n"/>
      <c r="Y436" s="692" t="n"/>
      <c r="Z436" s="692" t="n"/>
      <c r="AA436" s="692" t="n"/>
      <c r="AB436" s="692" t="n"/>
      <c r="AC436" s="692" t="n"/>
      <c r="AD436" s="692" t="n"/>
      <c r="AE436" s="692" t="n"/>
      <c r="AF436" s="692" t="n"/>
      <c r="AG436" s="692" t="n"/>
      <c r="AH436" s="692" t="n"/>
      <c r="AI436" s="692" t="n"/>
      <c r="AJ436" s="692" t="n"/>
      <c r="AK436" s="692" t="n"/>
      <c r="AL436" s="692" t="n"/>
      <c r="AM436" s="692" t="n"/>
      <c r="AN436" s="692" t="n"/>
      <c r="AO436" s="692" t="n"/>
      <c r="AP436" s="692" t="n"/>
    </row>
    <row r="437">
      <c r="A437" s="692" t="n"/>
      <c r="B437" s="692" t="n"/>
      <c r="C437" s="692" t="n"/>
      <c r="D437" s="692" t="n"/>
      <c r="E437" s="692" t="n"/>
      <c r="F437" s="692" t="n"/>
      <c r="G437" s="692" t="n"/>
      <c r="H437" s="692" t="n"/>
      <c r="I437" s="692" t="n"/>
      <c r="J437" s="692" t="n"/>
      <c r="K437" s="692" t="n"/>
      <c r="L437" s="692" t="n"/>
      <c r="M437" s="692" t="n"/>
      <c r="N437" s="692" t="n"/>
      <c r="O437" s="692" t="n"/>
      <c r="P437" s="692" t="n"/>
      <c r="Q437" s="692" t="n"/>
      <c r="R437" s="692" t="n"/>
      <c r="S437" s="692" t="n"/>
      <c r="T437" s="692" t="n"/>
      <c r="U437" s="692" t="n"/>
      <c r="V437" s="692" t="n"/>
      <c r="W437" s="692" t="n"/>
      <c r="X437" s="692" t="n"/>
      <c r="Y437" s="692" t="n"/>
      <c r="Z437" s="692" t="n"/>
      <c r="AA437" s="692" t="n"/>
      <c r="AB437" s="692" t="n"/>
      <c r="AC437" s="692" t="n"/>
      <c r="AD437" s="692" t="n"/>
      <c r="AE437" s="692" t="n"/>
      <c r="AF437" s="692" t="n"/>
      <c r="AG437" s="692" t="n"/>
      <c r="AH437" s="692" t="n"/>
      <c r="AI437" s="692" t="n"/>
      <c r="AJ437" s="692" t="n"/>
      <c r="AK437" s="692" t="n"/>
      <c r="AL437" s="692" t="n"/>
      <c r="AM437" s="692" t="n"/>
      <c r="AN437" s="692" t="n"/>
      <c r="AO437" s="692" t="n"/>
      <c r="AP437" s="692" t="n"/>
    </row>
    <row r="438">
      <c r="A438" s="692" t="n"/>
      <c r="B438" s="692" t="n"/>
      <c r="C438" s="692" t="n"/>
      <c r="D438" s="692" t="n"/>
      <c r="E438" s="692" t="n"/>
      <c r="F438" s="692" t="n"/>
      <c r="G438" s="692" t="n"/>
      <c r="H438" s="692" t="n"/>
      <c r="I438" s="692" t="n"/>
      <c r="J438" s="692" t="n"/>
      <c r="K438" s="692" t="n"/>
      <c r="L438" s="692" t="n"/>
      <c r="M438" s="692" t="n"/>
      <c r="N438" s="692" t="n"/>
      <c r="O438" s="692" t="n"/>
      <c r="P438" s="692" t="n"/>
      <c r="Q438" s="692" t="n"/>
      <c r="R438" s="692" t="n"/>
      <c r="S438" s="692" t="n"/>
      <c r="T438" s="692" t="n"/>
      <c r="U438" s="692" t="n"/>
      <c r="V438" s="692" t="n"/>
      <c r="W438" s="692" t="n"/>
      <c r="X438" s="692" t="n"/>
      <c r="Y438" s="692" t="n"/>
      <c r="Z438" s="692" t="n"/>
      <c r="AA438" s="692" t="n"/>
      <c r="AB438" s="692" t="n"/>
      <c r="AC438" s="692" t="n"/>
      <c r="AD438" s="692" t="n"/>
      <c r="AE438" s="692" t="n"/>
      <c r="AF438" s="692" t="n"/>
      <c r="AG438" s="692" t="n"/>
      <c r="AH438" s="692" t="n"/>
      <c r="AI438" s="692" t="n"/>
      <c r="AJ438" s="692" t="n"/>
      <c r="AK438" s="692" t="n"/>
      <c r="AL438" s="692" t="n"/>
      <c r="AM438" s="692" t="n"/>
      <c r="AN438" s="692" t="n"/>
      <c r="AO438" s="692" t="n"/>
      <c r="AP438" s="692" t="n"/>
    </row>
    <row r="439">
      <c r="A439" s="692" t="n"/>
      <c r="B439" s="692" t="n"/>
      <c r="C439" s="692" t="n"/>
      <c r="D439" s="692" t="n"/>
      <c r="E439" s="692" t="n"/>
      <c r="F439" s="692" t="n"/>
      <c r="G439" s="692" t="n"/>
      <c r="H439" s="692" t="n"/>
      <c r="I439" s="692" t="n"/>
      <c r="J439" s="692" t="n"/>
      <c r="K439" s="692" t="n"/>
      <c r="L439" s="692" t="n"/>
      <c r="M439" s="692" t="n"/>
      <c r="N439" s="692" t="n"/>
      <c r="O439" s="692" t="n"/>
      <c r="P439" s="692" t="n"/>
      <c r="Q439" s="692" t="n"/>
      <c r="R439" s="692" t="n"/>
      <c r="S439" s="692" t="n"/>
      <c r="T439" s="692" t="n"/>
      <c r="U439" s="692" t="n"/>
      <c r="V439" s="692" t="n"/>
      <c r="W439" s="692" t="n"/>
      <c r="X439" s="692" t="n"/>
      <c r="Y439" s="692" t="n"/>
      <c r="Z439" s="692" t="n"/>
      <c r="AA439" s="692" t="n"/>
      <c r="AB439" s="692" t="n"/>
      <c r="AC439" s="692" t="n"/>
      <c r="AD439" s="692" t="n"/>
      <c r="AE439" s="692" t="n"/>
      <c r="AF439" s="692" t="n"/>
      <c r="AG439" s="692" t="n"/>
      <c r="AH439" s="692" t="n"/>
      <c r="AI439" s="692" t="n"/>
      <c r="AJ439" s="692" t="n"/>
      <c r="AK439" s="692" t="n"/>
      <c r="AL439" s="692" t="n"/>
      <c r="AM439" s="692" t="n"/>
      <c r="AN439" s="692" t="n"/>
      <c r="AO439" s="692" t="n"/>
      <c r="AP439" s="692" t="n"/>
    </row>
    <row r="440">
      <c r="A440" s="692" t="n"/>
      <c r="B440" s="692" t="n"/>
      <c r="C440" s="692" t="n"/>
      <c r="D440" s="692" t="n"/>
      <c r="E440" s="692" t="n"/>
      <c r="F440" s="692" t="n"/>
      <c r="G440" s="692" t="n"/>
      <c r="H440" s="692" t="n"/>
      <c r="I440" s="692" t="n"/>
      <c r="J440" s="692" t="n"/>
      <c r="K440" s="692" t="n"/>
      <c r="L440" s="692" t="n"/>
      <c r="M440" s="692" t="n"/>
      <c r="N440" s="692" t="n"/>
      <c r="O440" s="692" t="n"/>
      <c r="P440" s="692" t="n"/>
      <c r="Q440" s="692" t="n"/>
      <c r="R440" s="692" t="n"/>
      <c r="S440" s="692" t="n"/>
      <c r="T440" s="692" t="n"/>
      <c r="U440" s="692" t="n"/>
      <c r="V440" s="692" t="n"/>
      <c r="W440" s="692" t="n"/>
      <c r="X440" s="692" t="n"/>
      <c r="Y440" s="692" t="n"/>
      <c r="Z440" s="692" t="n"/>
      <c r="AA440" s="692" t="n"/>
      <c r="AB440" s="692" t="n"/>
      <c r="AC440" s="692" t="n"/>
      <c r="AD440" s="692" t="n"/>
      <c r="AE440" s="692" t="n"/>
      <c r="AF440" s="692" t="n"/>
      <c r="AG440" s="692" t="n"/>
      <c r="AH440" s="692" t="n"/>
      <c r="AI440" s="692" t="n"/>
      <c r="AJ440" s="692" t="n"/>
      <c r="AK440" s="692" t="n"/>
      <c r="AL440" s="692" t="n"/>
      <c r="AM440" s="692" t="n"/>
      <c r="AN440" s="692" t="n"/>
      <c r="AO440" s="692" t="n"/>
      <c r="AP440" s="692" t="n"/>
    </row>
    <row r="441">
      <c r="A441" s="692" t="n"/>
      <c r="B441" s="692" t="n"/>
      <c r="C441" s="692" t="n"/>
      <c r="D441" s="692" t="n"/>
      <c r="E441" s="692" t="n"/>
      <c r="F441" s="692" t="n"/>
      <c r="G441" s="692" t="n"/>
      <c r="H441" s="692" t="n"/>
      <c r="I441" s="692" t="n"/>
      <c r="J441" s="692" t="n"/>
      <c r="K441" s="692" t="n"/>
      <c r="L441" s="692" t="n"/>
      <c r="M441" s="692" t="n"/>
      <c r="N441" s="692" t="n"/>
      <c r="O441" s="692" t="n"/>
      <c r="P441" s="692" t="n"/>
      <c r="Q441" s="692" t="n"/>
      <c r="R441" s="692" t="n"/>
      <c r="S441" s="692" t="n"/>
      <c r="T441" s="692" t="n"/>
      <c r="U441" s="692" t="n"/>
      <c r="V441" s="692" t="n"/>
      <c r="W441" s="692" t="n"/>
      <c r="X441" s="692" t="n"/>
      <c r="Y441" s="692" t="n"/>
      <c r="Z441" s="692" t="n"/>
      <c r="AA441" s="692" t="n"/>
      <c r="AB441" s="692" t="n"/>
      <c r="AC441" s="692" t="n"/>
      <c r="AD441" s="692" t="n"/>
      <c r="AE441" s="692" t="n"/>
      <c r="AF441" s="692" t="n"/>
      <c r="AG441" s="692" t="n"/>
      <c r="AH441" s="692" t="n"/>
      <c r="AI441" s="692" t="n"/>
      <c r="AJ441" s="692" t="n"/>
      <c r="AK441" s="692" t="n"/>
      <c r="AL441" s="692" t="n"/>
      <c r="AM441" s="692" t="n"/>
      <c r="AN441" s="692" t="n"/>
      <c r="AO441" s="692" t="n"/>
      <c r="AP441" s="692" t="n"/>
    </row>
    <row r="442">
      <c r="A442" s="692" t="n"/>
      <c r="B442" s="692" t="n"/>
      <c r="C442" s="692" t="n"/>
      <c r="D442" s="692" t="n"/>
      <c r="E442" s="692" t="n"/>
      <c r="F442" s="692" t="n"/>
      <c r="G442" s="692" t="n"/>
      <c r="H442" s="692" t="n"/>
      <c r="I442" s="692" t="n"/>
      <c r="J442" s="692" t="n"/>
      <c r="K442" s="692" t="n"/>
      <c r="L442" s="692" t="n"/>
      <c r="M442" s="692" t="n"/>
      <c r="N442" s="692" t="n"/>
      <c r="O442" s="692" t="n"/>
      <c r="P442" s="692" t="n"/>
      <c r="Q442" s="692" t="n"/>
      <c r="R442" s="692" t="n"/>
      <c r="S442" s="692" t="n"/>
      <c r="T442" s="692" t="n"/>
      <c r="U442" s="692" t="n"/>
      <c r="V442" s="692" t="n"/>
      <c r="W442" s="692" t="n"/>
      <c r="X442" s="692" t="n"/>
      <c r="Y442" s="692" t="n"/>
      <c r="Z442" s="692" t="n"/>
      <c r="AA442" s="692" t="n"/>
      <c r="AB442" s="692" t="n"/>
      <c r="AC442" s="692" t="n"/>
      <c r="AD442" s="692" t="n"/>
      <c r="AE442" s="692" t="n"/>
      <c r="AF442" s="692" t="n"/>
      <c r="AG442" s="692" t="n"/>
      <c r="AH442" s="692" t="n"/>
      <c r="AI442" s="692" t="n"/>
      <c r="AJ442" s="692" t="n"/>
      <c r="AK442" s="692" t="n"/>
      <c r="AL442" s="692" t="n"/>
      <c r="AM442" s="692" t="n"/>
      <c r="AN442" s="692" t="n"/>
      <c r="AO442" s="692" t="n"/>
      <c r="AP442" s="692" t="n"/>
    </row>
    <row r="443">
      <c r="A443" s="692" t="n"/>
      <c r="B443" s="692" t="n"/>
      <c r="C443" s="692" t="n"/>
      <c r="D443" s="692" t="n"/>
      <c r="E443" s="692" t="n"/>
      <c r="F443" s="692" t="n"/>
      <c r="G443" s="692" t="n"/>
      <c r="H443" s="692" t="n"/>
      <c r="I443" s="692" t="n"/>
      <c r="J443" s="692" t="n"/>
      <c r="K443" s="692" t="n"/>
      <c r="L443" s="692" t="n"/>
      <c r="M443" s="692" t="n"/>
      <c r="N443" s="692" t="n"/>
      <c r="O443" s="692" t="n"/>
      <c r="P443" s="692" t="n"/>
      <c r="Q443" s="692" t="n"/>
      <c r="R443" s="692" t="n"/>
      <c r="S443" s="692" t="n"/>
      <c r="T443" s="692" t="n"/>
      <c r="U443" s="692" t="n"/>
      <c r="V443" s="692" t="n"/>
      <c r="W443" s="692" t="n"/>
      <c r="X443" s="692" t="n"/>
      <c r="Y443" s="692" t="n"/>
      <c r="Z443" s="692" t="n"/>
      <c r="AA443" s="692" t="n"/>
      <c r="AB443" s="692" t="n"/>
      <c r="AC443" s="692" t="n"/>
      <c r="AD443" s="692" t="n"/>
      <c r="AE443" s="692" t="n"/>
      <c r="AF443" s="692" t="n"/>
      <c r="AG443" s="692" t="n"/>
      <c r="AH443" s="692" t="n"/>
      <c r="AI443" s="692" t="n"/>
      <c r="AJ443" s="692" t="n"/>
      <c r="AK443" s="692" t="n"/>
      <c r="AL443" s="692" t="n"/>
      <c r="AM443" s="692" t="n"/>
      <c r="AN443" s="692" t="n"/>
      <c r="AO443" s="692" t="n"/>
      <c r="AP443" s="692" t="n"/>
    </row>
    <row r="444">
      <c r="A444" s="692" t="n"/>
      <c r="B444" s="692" t="n"/>
      <c r="C444" s="692" t="n"/>
      <c r="D444" s="692" t="n"/>
      <c r="E444" s="692" t="n"/>
      <c r="F444" s="692" t="n"/>
      <c r="G444" s="692" t="n"/>
      <c r="H444" s="692" t="n"/>
      <c r="I444" s="692" t="n"/>
      <c r="J444" s="692" t="n"/>
      <c r="K444" s="692" t="n"/>
      <c r="L444" s="692" t="n"/>
      <c r="M444" s="692" t="n"/>
      <c r="N444" s="692" t="n"/>
      <c r="O444" s="692" t="n"/>
      <c r="P444" s="692" t="n"/>
      <c r="Q444" s="692" t="n"/>
      <c r="R444" s="692" t="n"/>
      <c r="S444" s="692" t="n"/>
      <c r="T444" s="692" t="n"/>
      <c r="U444" s="692" t="n"/>
      <c r="V444" s="692" t="n"/>
      <c r="W444" s="692" t="n"/>
      <c r="X444" s="692" t="n"/>
      <c r="Y444" s="692" t="n"/>
      <c r="Z444" s="692" t="n"/>
      <c r="AA444" s="692" t="n"/>
      <c r="AB444" s="692" t="n"/>
      <c r="AC444" s="692" t="n"/>
      <c r="AD444" s="692" t="n"/>
      <c r="AE444" s="692" t="n"/>
      <c r="AF444" s="692" t="n"/>
      <c r="AG444" s="692" t="n"/>
      <c r="AH444" s="692" t="n"/>
      <c r="AI444" s="692" t="n"/>
      <c r="AJ444" s="692" t="n"/>
      <c r="AK444" s="692" t="n"/>
      <c r="AL444" s="692" t="n"/>
      <c r="AM444" s="692" t="n"/>
      <c r="AN444" s="692" t="n"/>
      <c r="AO444" s="692" t="n"/>
      <c r="AP444" s="692" t="n"/>
    </row>
    <row r="445">
      <c r="A445" s="692" t="n"/>
      <c r="B445" s="692" t="n"/>
      <c r="C445" s="692" t="n"/>
      <c r="D445" s="692" t="n"/>
      <c r="E445" s="692" t="n"/>
      <c r="F445" s="692" t="n"/>
      <c r="G445" s="692" t="n"/>
      <c r="H445" s="692" t="n"/>
      <c r="I445" s="692" t="n"/>
      <c r="J445" s="692" t="n"/>
      <c r="K445" s="692" t="n"/>
      <c r="L445" s="692" t="n"/>
      <c r="M445" s="692" t="n"/>
      <c r="N445" s="692" t="n"/>
      <c r="O445" s="692" t="n"/>
      <c r="P445" s="692" t="n"/>
      <c r="Q445" s="692" t="n"/>
      <c r="R445" s="692" t="n"/>
      <c r="S445" s="692" t="n"/>
      <c r="T445" s="692" t="n"/>
      <c r="U445" s="692" t="n"/>
      <c r="V445" s="692" t="n"/>
      <c r="W445" s="692" t="n"/>
      <c r="X445" s="692" t="n"/>
      <c r="Y445" s="692" t="n"/>
      <c r="Z445" s="692" t="n"/>
      <c r="AA445" s="692" t="n"/>
      <c r="AB445" s="692" t="n"/>
      <c r="AC445" s="692" t="n"/>
      <c r="AD445" s="692" t="n"/>
      <c r="AE445" s="692" t="n"/>
      <c r="AF445" s="692" t="n"/>
      <c r="AG445" s="692" t="n"/>
      <c r="AH445" s="692" t="n"/>
      <c r="AI445" s="692" t="n"/>
      <c r="AJ445" s="692" t="n"/>
      <c r="AK445" s="692" t="n"/>
      <c r="AL445" s="692" t="n"/>
      <c r="AM445" s="692" t="n"/>
      <c r="AN445" s="692" t="n"/>
      <c r="AO445" s="692" t="n"/>
      <c r="AP445" s="692" t="n"/>
    </row>
    <row r="446">
      <c r="A446" s="692" t="n"/>
      <c r="B446" s="692" t="n"/>
      <c r="C446" s="692" t="n"/>
      <c r="D446" s="692" t="n"/>
      <c r="E446" s="692" t="n"/>
      <c r="F446" s="692" t="n"/>
      <c r="G446" s="692" t="n"/>
      <c r="H446" s="692" t="n"/>
      <c r="I446" s="692" t="n"/>
      <c r="J446" s="692" t="n"/>
      <c r="K446" s="692" t="n"/>
      <c r="L446" s="692" t="n"/>
      <c r="M446" s="692" t="n"/>
      <c r="N446" s="692" t="n"/>
      <c r="O446" s="692" t="n"/>
      <c r="P446" s="692" t="n"/>
      <c r="Q446" s="692" t="n"/>
      <c r="R446" s="692" t="n"/>
      <c r="S446" s="692" t="n"/>
      <c r="T446" s="692" t="n"/>
      <c r="U446" s="692" t="n"/>
      <c r="V446" s="692" t="n"/>
      <c r="W446" s="692" t="n"/>
      <c r="X446" s="692" t="n"/>
      <c r="Y446" s="692" t="n"/>
      <c r="Z446" s="692" t="n"/>
      <c r="AA446" s="692" t="n"/>
      <c r="AB446" s="692" t="n"/>
      <c r="AC446" s="692" t="n"/>
      <c r="AD446" s="692" t="n"/>
      <c r="AE446" s="692" t="n"/>
      <c r="AF446" s="692" t="n"/>
      <c r="AG446" s="692" t="n"/>
      <c r="AH446" s="692" t="n"/>
      <c r="AI446" s="692" t="n"/>
      <c r="AJ446" s="692" t="n"/>
      <c r="AK446" s="692" t="n"/>
      <c r="AL446" s="692" t="n"/>
      <c r="AM446" s="692" t="n"/>
      <c r="AN446" s="692" t="n"/>
      <c r="AO446" s="692" t="n"/>
      <c r="AP446" s="692" t="n"/>
    </row>
    <row r="447">
      <c r="A447" s="692" t="n"/>
      <c r="B447" s="692" t="n"/>
      <c r="C447" s="692" t="n"/>
      <c r="D447" s="692" t="n"/>
      <c r="E447" s="692" t="n"/>
      <c r="F447" s="692" t="n"/>
      <c r="G447" s="692" t="n"/>
      <c r="H447" s="692" t="n"/>
      <c r="I447" s="692" t="n"/>
      <c r="J447" s="692" t="n"/>
      <c r="K447" s="692" t="n"/>
      <c r="L447" s="692" t="n"/>
      <c r="M447" s="692" t="n"/>
      <c r="N447" s="692" t="n"/>
      <c r="O447" s="692" t="n"/>
      <c r="P447" s="692" t="n"/>
      <c r="Q447" s="692" t="n"/>
      <c r="R447" s="692" t="n"/>
      <c r="S447" s="692" t="n"/>
      <c r="T447" s="692" t="n"/>
      <c r="U447" s="692" t="n"/>
      <c r="V447" s="692" t="n"/>
      <c r="W447" s="692" t="n"/>
      <c r="X447" s="692" t="n"/>
      <c r="Y447" s="692" t="n"/>
      <c r="Z447" s="692" t="n"/>
      <c r="AA447" s="692" t="n"/>
      <c r="AB447" s="692" t="n"/>
      <c r="AC447" s="692" t="n"/>
      <c r="AD447" s="692" t="n"/>
      <c r="AE447" s="692" t="n"/>
      <c r="AF447" s="692" t="n"/>
      <c r="AG447" s="692" t="n"/>
      <c r="AH447" s="692" t="n"/>
      <c r="AI447" s="692" t="n"/>
      <c r="AJ447" s="692" t="n"/>
      <c r="AK447" s="692" t="n"/>
      <c r="AL447" s="692" t="n"/>
      <c r="AM447" s="692" t="n"/>
      <c r="AN447" s="692" t="n"/>
      <c r="AO447" s="692" t="n"/>
      <c r="AP447" s="692" t="n"/>
    </row>
    <row r="448">
      <c r="A448" s="692" t="n"/>
      <c r="B448" s="692" t="n"/>
      <c r="C448" s="692" t="n"/>
      <c r="D448" s="692" t="n"/>
      <c r="E448" s="692" t="n"/>
      <c r="F448" s="692" t="n"/>
      <c r="G448" s="692" t="n"/>
      <c r="H448" s="692" t="n"/>
      <c r="I448" s="692" t="n"/>
      <c r="J448" s="692" t="n"/>
      <c r="K448" s="692" t="n"/>
      <c r="L448" s="692" t="n"/>
      <c r="M448" s="692" t="n"/>
      <c r="N448" s="692" t="n"/>
      <c r="O448" s="692" t="n"/>
      <c r="P448" s="692" t="n"/>
      <c r="Q448" s="692" t="n"/>
      <c r="R448" s="692" t="n"/>
      <c r="S448" s="692" t="n"/>
      <c r="T448" s="692" t="n"/>
      <c r="U448" s="692" t="n"/>
      <c r="V448" s="692" t="n"/>
      <c r="W448" s="692" t="n"/>
      <c r="X448" s="692" t="n"/>
      <c r="Y448" s="692" t="n"/>
      <c r="Z448" s="692" t="n"/>
      <c r="AA448" s="692" t="n"/>
      <c r="AB448" s="692" t="n"/>
      <c r="AC448" s="692" t="n"/>
      <c r="AD448" s="692" t="n"/>
      <c r="AE448" s="692" t="n"/>
      <c r="AF448" s="692" t="n"/>
      <c r="AG448" s="692" t="n"/>
      <c r="AH448" s="692" t="n"/>
      <c r="AI448" s="692" t="n"/>
      <c r="AJ448" s="692" t="n"/>
      <c r="AK448" s="692" t="n"/>
      <c r="AL448" s="692" t="n"/>
      <c r="AM448" s="692" t="n"/>
      <c r="AN448" s="692" t="n"/>
      <c r="AO448" s="692" t="n"/>
      <c r="AP448" s="692" t="n"/>
    </row>
    <row r="449">
      <c r="A449" s="692" t="n"/>
      <c r="B449" s="692" t="n"/>
      <c r="C449" s="692" t="n"/>
      <c r="D449" s="692" t="n"/>
      <c r="E449" s="692" t="n"/>
      <c r="F449" s="692" t="n"/>
      <c r="G449" s="692" t="n"/>
      <c r="H449" s="692" t="n"/>
      <c r="I449" s="692" t="n"/>
      <c r="J449" s="692" t="n"/>
      <c r="K449" s="692" t="n"/>
      <c r="L449" s="692" t="n"/>
      <c r="M449" s="692" t="n"/>
      <c r="N449" s="692" t="n"/>
      <c r="O449" s="692" t="n"/>
      <c r="P449" s="692" t="n"/>
      <c r="Q449" s="692" t="n"/>
      <c r="R449" s="692" t="n"/>
      <c r="S449" s="692" t="n"/>
      <c r="T449" s="692" t="n"/>
      <c r="U449" s="692" t="n"/>
      <c r="V449" s="692" t="n"/>
      <c r="W449" s="692" t="n"/>
      <c r="X449" s="692" t="n"/>
      <c r="Y449" s="692" t="n"/>
      <c r="Z449" s="692" t="n"/>
      <c r="AA449" s="692" t="n"/>
      <c r="AB449" s="692" t="n"/>
      <c r="AC449" s="692" t="n"/>
      <c r="AD449" s="692" t="n"/>
      <c r="AE449" s="692" t="n"/>
      <c r="AF449" s="692" t="n"/>
      <c r="AG449" s="692" t="n"/>
      <c r="AH449" s="692" t="n"/>
      <c r="AI449" s="692" t="n"/>
      <c r="AJ449" s="692" t="n"/>
      <c r="AK449" s="692" t="n"/>
      <c r="AL449" s="692" t="n"/>
      <c r="AM449" s="692" t="n"/>
      <c r="AN449" s="692" t="n"/>
      <c r="AO449" s="692" t="n"/>
      <c r="AP449" s="692" t="n"/>
    </row>
    <row r="450">
      <c r="A450" s="692" t="n"/>
      <c r="B450" s="692" t="n"/>
      <c r="C450" s="692" t="n"/>
      <c r="D450" s="692" t="n"/>
      <c r="E450" s="692" t="n"/>
      <c r="F450" s="692" t="n"/>
      <c r="G450" s="692" t="n"/>
      <c r="H450" s="692" t="n"/>
      <c r="I450" s="692" t="n"/>
      <c r="J450" s="692" t="n"/>
      <c r="K450" s="692" t="n"/>
      <c r="L450" s="692" t="n"/>
      <c r="M450" s="692" t="n"/>
      <c r="N450" s="692" t="n"/>
      <c r="O450" s="692" t="n"/>
      <c r="P450" s="692" t="n"/>
      <c r="Q450" s="692" t="n"/>
      <c r="R450" s="692" t="n"/>
      <c r="S450" s="692" t="n"/>
      <c r="T450" s="692" t="n"/>
      <c r="U450" s="692" t="n"/>
      <c r="V450" s="692" t="n"/>
      <c r="W450" s="692" t="n"/>
      <c r="X450" s="692" t="n"/>
      <c r="Y450" s="692" t="n"/>
      <c r="Z450" s="692" t="n"/>
      <c r="AA450" s="692" t="n"/>
      <c r="AB450" s="692" t="n"/>
      <c r="AC450" s="692" t="n"/>
      <c r="AD450" s="692" t="n"/>
      <c r="AE450" s="692" t="n"/>
      <c r="AF450" s="692" t="n"/>
      <c r="AG450" s="692" t="n"/>
      <c r="AH450" s="692" t="n"/>
      <c r="AI450" s="692" t="n"/>
      <c r="AJ450" s="692" t="n"/>
      <c r="AK450" s="692" t="n"/>
      <c r="AL450" s="692" t="n"/>
      <c r="AM450" s="692" t="n"/>
      <c r="AN450" s="692" t="n"/>
      <c r="AO450" s="692" t="n"/>
      <c r="AP450" s="692" t="n"/>
    </row>
    <row r="451">
      <c r="A451" s="692" t="n"/>
      <c r="B451" s="692" t="n"/>
      <c r="C451" s="692" t="n"/>
      <c r="D451" s="692" t="n"/>
      <c r="E451" s="692" t="n"/>
      <c r="F451" s="692" t="n"/>
      <c r="G451" s="692" t="n"/>
      <c r="H451" s="692" t="n"/>
      <c r="I451" s="692" t="n"/>
      <c r="J451" s="692" t="n"/>
      <c r="K451" s="692" t="n"/>
      <c r="L451" s="692" t="n"/>
      <c r="M451" s="692" t="n"/>
      <c r="N451" s="692" t="n"/>
      <c r="O451" s="692" t="n"/>
      <c r="P451" s="692" t="n"/>
      <c r="Q451" s="692" t="n"/>
      <c r="R451" s="692" t="n"/>
      <c r="S451" s="692" t="n"/>
      <c r="T451" s="692" t="n"/>
      <c r="U451" s="692" t="n"/>
      <c r="V451" s="692" t="n"/>
      <c r="W451" s="692" t="n"/>
      <c r="X451" s="692" t="n"/>
      <c r="Y451" s="692" t="n"/>
      <c r="Z451" s="692" t="n"/>
      <c r="AA451" s="692" t="n"/>
      <c r="AB451" s="692" t="n"/>
      <c r="AC451" s="692" t="n"/>
      <c r="AD451" s="692" t="n"/>
      <c r="AE451" s="692" t="n"/>
      <c r="AF451" s="692" t="n"/>
      <c r="AG451" s="692" t="n"/>
      <c r="AH451" s="692" t="n"/>
      <c r="AI451" s="692" t="n"/>
      <c r="AJ451" s="692" t="n"/>
      <c r="AK451" s="692" t="n"/>
      <c r="AL451" s="692" t="n"/>
      <c r="AM451" s="692" t="n"/>
      <c r="AN451" s="692" t="n"/>
      <c r="AO451" s="692" t="n"/>
      <c r="AP451" s="692" t="n"/>
    </row>
    <row r="452">
      <c r="A452" s="692" t="n"/>
      <c r="B452" s="692" t="n"/>
      <c r="C452" s="692" t="n"/>
      <c r="D452" s="692" t="n"/>
      <c r="E452" s="692" t="n"/>
      <c r="F452" s="692" t="n"/>
      <c r="G452" s="692" t="n"/>
      <c r="H452" s="692" t="n"/>
      <c r="I452" s="692" t="n"/>
      <c r="J452" s="692" t="n"/>
      <c r="K452" s="692" t="n"/>
      <c r="L452" s="692" t="n"/>
      <c r="M452" s="692" t="n"/>
      <c r="N452" s="692" t="n"/>
      <c r="O452" s="692" t="n"/>
      <c r="P452" s="692" t="n"/>
      <c r="Q452" s="692" t="n"/>
      <c r="R452" s="692" t="n"/>
      <c r="S452" s="692" t="n"/>
      <c r="T452" s="692" t="n"/>
      <c r="U452" s="692" t="n"/>
      <c r="V452" s="692" t="n"/>
      <c r="W452" s="692" t="n"/>
      <c r="X452" s="692" t="n"/>
      <c r="Y452" s="692" t="n"/>
      <c r="Z452" s="692" t="n"/>
      <c r="AA452" s="692" t="n"/>
      <c r="AB452" s="692" t="n"/>
      <c r="AC452" s="692" t="n"/>
      <c r="AD452" s="692" t="n"/>
      <c r="AE452" s="692" t="n"/>
      <c r="AF452" s="692" t="n"/>
      <c r="AG452" s="692" t="n"/>
      <c r="AH452" s="692" t="n"/>
      <c r="AI452" s="692" t="n"/>
      <c r="AJ452" s="692" t="n"/>
      <c r="AK452" s="692" t="n"/>
      <c r="AL452" s="692" t="n"/>
      <c r="AM452" s="692" t="n"/>
      <c r="AN452" s="692" t="n"/>
      <c r="AO452" s="692" t="n"/>
      <c r="AP452" s="692" t="n"/>
    </row>
    <row r="453">
      <c r="A453" s="692" t="n"/>
      <c r="B453" s="692" t="n"/>
      <c r="C453" s="692" t="n"/>
      <c r="D453" s="692" t="n"/>
      <c r="E453" s="692" t="n"/>
      <c r="F453" s="692" t="n"/>
      <c r="G453" s="692" t="n"/>
      <c r="H453" s="692" t="n"/>
      <c r="I453" s="692" t="n"/>
      <c r="J453" s="692" t="n"/>
      <c r="K453" s="692" t="n"/>
      <c r="L453" s="692" t="n"/>
      <c r="M453" s="692" t="n"/>
      <c r="N453" s="692" t="n"/>
      <c r="O453" s="692" t="n"/>
      <c r="P453" s="692" t="n"/>
      <c r="Q453" s="692" t="n"/>
      <c r="R453" s="692" t="n"/>
      <c r="S453" s="692" t="n"/>
      <c r="T453" s="692" t="n"/>
      <c r="U453" s="692" t="n"/>
      <c r="V453" s="692" t="n"/>
      <c r="W453" s="692" t="n"/>
      <c r="X453" s="692" t="n"/>
      <c r="Y453" s="692" t="n"/>
      <c r="Z453" s="692" t="n"/>
      <c r="AA453" s="692" t="n"/>
      <c r="AB453" s="692" t="n"/>
      <c r="AC453" s="692" t="n"/>
      <c r="AD453" s="692" t="n"/>
      <c r="AE453" s="692" t="n"/>
      <c r="AF453" s="692" t="n"/>
      <c r="AG453" s="692" t="n"/>
      <c r="AH453" s="692" t="n"/>
      <c r="AI453" s="692" t="n"/>
      <c r="AJ453" s="692" t="n"/>
      <c r="AK453" s="692" t="n"/>
      <c r="AL453" s="692" t="n"/>
      <c r="AM453" s="692" t="n"/>
      <c r="AN453" s="692" t="n"/>
      <c r="AO453" s="692" t="n"/>
      <c r="AP453" s="692" t="n"/>
    </row>
    <row r="454">
      <c r="A454" s="692" t="n"/>
      <c r="B454" s="692" t="n"/>
      <c r="C454" s="692" t="n"/>
      <c r="D454" s="692" t="n"/>
      <c r="E454" s="692" t="n"/>
      <c r="F454" s="692" t="n"/>
      <c r="G454" s="692" t="n"/>
      <c r="H454" s="692" t="n"/>
      <c r="I454" s="692" t="n"/>
      <c r="J454" s="692" t="n"/>
      <c r="K454" s="692" t="n"/>
      <c r="L454" s="692" t="n"/>
      <c r="M454" s="692" t="n"/>
      <c r="N454" s="692" t="n"/>
      <c r="O454" s="692" t="n"/>
      <c r="P454" s="692" t="n"/>
      <c r="Q454" s="692" t="n"/>
      <c r="R454" s="692" t="n"/>
      <c r="S454" s="692" t="n"/>
      <c r="T454" s="692" t="n"/>
      <c r="U454" s="692" t="n"/>
      <c r="V454" s="692" t="n"/>
      <c r="W454" s="692" t="n"/>
      <c r="X454" s="692" t="n"/>
      <c r="Y454" s="692" t="n"/>
      <c r="Z454" s="692" t="n"/>
      <c r="AA454" s="692" t="n"/>
      <c r="AB454" s="692" t="n"/>
      <c r="AC454" s="692" t="n"/>
      <c r="AD454" s="692" t="n"/>
      <c r="AE454" s="692" t="n"/>
      <c r="AF454" s="692" t="n"/>
      <c r="AG454" s="692" t="n"/>
      <c r="AH454" s="692" t="n"/>
      <c r="AI454" s="692" t="n"/>
      <c r="AJ454" s="692" t="n"/>
      <c r="AK454" s="692" t="n"/>
      <c r="AL454" s="692" t="n"/>
      <c r="AM454" s="692" t="n"/>
      <c r="AN454" s="692" t="n"/>
      <c r="AO454" s="692" t="n"/>
      <c r="AP454" s="692" t="n"/>
    </row>
    <row r="455">
      <c r="A455" s="692" t="n"/>
      <c r="B455" s="692" t="n"/>
      <c r="C455" s="692" t="n"/>
      <c r="D455" s="692" t="n"/>
      <c r="E455" s="692" t="n"/>
      <c r="F455" s="692" t="n"/>
      <c r="G455" s="692" t="n"/>
      <c r="H455" s="692" t="n"/>
      <c r="I455" s="692" t="n"/>
      <c r="J455" s="692" t="n"/>
      <c r="K455" s="692" t="n"/>
      <c r="L455" s="692" t="n"/>
      <c r="M455" s="692" t="n"/>
      <c r="N455" s="692" t="n"/>
      <c r="O455" s="692" t="n"/>
      <c r="P455" s="692" t="n"/>
      <c r="Q455" s="692" t="n"/>
      <c r="R455" s="692" t="n"/>
      <c r="S455" s="692" t="n"/>
      <c r="T455" s="692" t="n"/>
      <c r="U455" s="692" t="n"/>
      <c r="V455" s="692" t="n"/>
      <c r="W455" s="692" t="n"/>
      <c r="X455" s="692" t="n"/>
      <c r="Y455" s="692" t="n"/>
      <c r="Z455" s="692" t="n"/>
      <c r="AA455" s="692" t="n"/>
      <c r="AB455" s="692" t="n"/>
      <c r="AC455" s="692" t="n"/>
      <c r="AD455" s="692" t="n"/>
      <c r="AE455" s="692" t="n"/>
      <c r="AF455" s="692" t="n"/>
      <c r="AG455" s="692" t="n"/>
      <c r="AH455" s="692" t="n"/>
      <c r="AI455" s="692" t="n"/>
      <c r="AJ455" s="692" t="n"/>
      <c r="AK455" s="692" t="n"/>
      <c r="AL455" s="692" t="n"/>
      <c r="AM455" s="692" t="n"/>
      <c r="AN455" s="692" t="n"/>
      <c r="AO455" s="692" t="n"/>
      <c r="AP455" s="692" t="n"/>
    </row>
    <row r="456">
      <c r="A456" s="692" t="n"/>
      <c r="B456" s="692" t="n"/>
      <c r="C456" s="692" t="n"/>
      <c r="D456" s="692" t="n"/>
      <c r="E456" s="692" t="n"/>
      <c r="F456" s="692" t="n"/>
      <c r="G456" s="692" t="n"/>
      <c r="H456" s="692" t="n"/>
      <c r="I456" s="692" t="n"/>
      <c r="J456" s="692" t="n"/>
      <c r="K456" s="692" t="n"/>
      <c r="L456" s="692" t="n"/>
      <c r="M456" s="692" t="n"/>
      <c r="N456" s="692" t="n"/>
      <c r="O456" s="692" t="n"/>
      <c r="P456" s="692" t="n"/>
      <c r="Q456" s="692" t="n"/>
      <c r="R456" s="692" t="n"/>
      <c r="S456" s="692" t="n"/>
      <c r="T456" s="692" t="n"/>
      <c r="U456" s="692" t="n"/>
      <c r="V456" s="692" t="n"/>
      <c r="W456" s="692" t="n"/>
      <c r="X456" s="692" t="n"/>
      <c r="Y456" s="692" t="n"/>
      <c r="Z456" s="692" t="n"/>
      <c r="AA456" s="692" t="n"/>
      <c r="AB456" s="692" t="n"/>
      <c r="AC456" s="692" t="n"/>
      <c r="AD456" s="692" t="n"/>
      <c r="AE456" s="692" t="n"/>
      <c r="AF456" s="692" t="n"/>
      <c r="AG456" s="692" t="n"/>
      <c r="AH456" s="692" t="n"/>
      <c r="AI456" s="692" t="n"/>
      <c r="AJ456" s="692" t="n"/>
      <c r="AK456" s="692" t="n"/>
      <c r="AL456" s="692" t="n"/>
      <c r="AM456" s="692" t="n"/>
      <c r="AN456" s="692" t="n"/>
      <c r="AO456" s="692" t="n"/>
      <c r="AP456" s="692" t="n"/>
    </row>
    <row r="457">
      <c r="A457" s="692" t="n"/>
      <c r="B457" s="692" t="n"/>
      <c r="C457" s="692" t="n"/>
      <c r="D457" s="692" t="n"/>
      <c r="E457" s="692" t="n"/>
      <c r="F457" s="692" t="n"/>
      <c r="G457" s="692" t="n"/>
      <c r="H457" s="692" t="n"/>
      <c r="I457" s="692" t="n"/>
      <c r="J457" s="692" t="n"/>
      <c r="K457" s="692" t="n"/>
      <c r="L457" s="692" t="n"/>
      <c r="M457" s="692" t="n"/>
      <c r="N457" s="692" t="n"/>
      <c r="O457" s="692" t="n"/>
      <c r="P457" s="692" t="n"/>
      <c r="Q457" s="692" t="n"/>
      <c r="R457" s="692" t="n"/>
      <c r="S457" s="692" t="n"/>
      <c r="T457" s="692" t="n"/>
      <c r="U457" s="692" t="n"/>
      <c r="V457" s="692" t="n"/>
      <c r="W457" s="692" t="n"/>
      <c r="X457" s="692" t="n"/>
      <c r="Y457" s="692" t="n"/>
      <c r="Z457" s="692" t="n"/>
      <c r="AA457" s="692" t="n"/>
      <c r="AB457" s="692" t="n"/>
      <c r="AC457" s="692" t="n"/>
      <c r="AD457" s="692" t="n"/>
      <c r="AE457" s="692" t="n"/>
      <c r="AF457" s="692" t="n"/>
      <c r="AG457" s="692" t="n"/>
      <c r="AH457" s="692" t="n"/>
      <c r="AI457" s="692" t="n"/>
      <c r="AJ457" s="692" t="n"/>
      <c r="AK457" s="692" t="n"/>
      <c r="AL457" s="692" t="n"/>
      <c r="AM457" s="692" t="n"/>
      <c r="AN457" s="692" t="n"/>
      <c r="AO457" s="692" t="n"/>
      <c r="AP457" s="692" t="n"/>
    </row>
    <row r="458">
      <c r="A458" s="692" t="n"/>
      <c r="B458" s="692" t="n"/>
      <c r="C458" s="692" t="n"/>
      <c r="D458" s="692" t="n"/>
      <c r="E458" s="692" t="n"/>
      <c r="F458" s="692" t="n"/>
      <c r="G458" s="692" t="n"/>
      <c r="H458" s="692" t="n"/>
      <c r="I458" s="692" t="n"/>
      <c r="J458" s="692" t="n"/>
      <c r="K458" s="692" t="n"/>
      <c r="L458" s="692" t="n"/>
      <c r="M458" s="692" t="n"/>
      <c r="N458" s="692" t="n"/>
      <c r="O458" s="692" t="n"/>
      <c r="P458" s="692" t="n"/>
      <c r="Q458" s="692" t="n"/>
      <c r="R458" s="692" t="n"/>
      <c r="S458" s="692" t="n"/>
      <c r="T458" s="692" t="n"/>
      <c r="U458" s="692" t="n"/>
      <c r="V458" s="692" t="n"/>
      <c r="W458" s="692" t="n"/>
      <c r="X458" s="692" t="n"/>
      <c r="Y458" s="692" t="n"/>
      <c r="Z458" s="692" t="n"/>
      <c r="AA458" s="692" t="n"/>
      <c r="AB458" s="692" t="n"/>
      <c r="AC458" s="692" t="n"/>
      <c r="AD458" s="692" t="n"/>
      <c r="AE458" s="692" t="n"/>
      <c r="AF458" s="692" t="n"/>
      <c r="AG458" s="692" t="n"/>
      <c r="AH458" s="692" t="n"/>
      <c r="AI458" s="692" t="n"/>
      <c r="AJ458" s="692" t="n"/>
      <c r="AK458" s="692" t="n"/>
      <c r="AL458" s="692" t="n"/>
      <c r="AM458" s="692" t="n"/>
      <c r="AN458" s="692" t="n"/>
      <c r="AO458" s="692" t="n"/>
      <c r="AP458" s="692" t="n"/>
    </row>
    <row r="459">
      <c r="A459" s="692" t="n"/>
      <c r="B459" s="692" t="n"/>
      <c r="C459" s="692" t="n"/>
      <c r="D459" s="692" t="n"/>
      <c r="E459" s="692" t="n"/>
      <c r="F459" s="692" t="n"/>
      <c r="G459" s="692" t="n"/>
      <c r="H459" s="692" t="n"/>
      <c r="I459" s="692" t="n"/>
      <c r="J459" s="692" t="n"/>
      <c r="K459" s="692" t="n"/>
      <c r="L459" s="692" t="n"/>
      <c r="M459" s="692" t="n"/>
      <c r="N459" s="692" t="n"/>
      <c r="O459" s="692" t="n"/>
      <c r="P459" s="692" t="n"/>
      <c r="Q459" s="692" t="n"/>
      <c r="R459" s="692" t="n"/>
      <c r="S459" s="692" t="n"/>
      <c r="T459" s="692" t="n"/>
      <c r="U459" s="692" t="n"/>
      <c r="V459" s="692" t="n"/>
      <c r="W459" s="692" t="n"/>
      <c r="X459" s="692" t="n"/>
      <c r="Y459" s="692" t="n"/>
      <c r="Z459" s="692" t="n"/>
      <c r="AA459" s="692" t="n"/>
      <c r="AB459" s="692" t="n"/>
      <c r="AC459" s="692" t="n"/>
      <c r="AD459" s="692" t="n"/>
      <c r="AE459" s="692" t="n"/>
      <c r="AF459" s="692" t="n"/>
      <c r="AG459" s="692" t="n"/>
      <c r="AH459" s="692" t="n"/>
      <c r="AI459" s="692" t="n"/>
      <c r="AJ459" s="692" t="n"/>
      <c r="AK459" s="692" t="n"/>
      <c r="AL459" s="692" t="n"/>
      <c r="AM459" s="692" t="n"/>
      <c r="AN459" s="692" t="n"/>
      <c r="AO459" s="692" t="n"/>
      <c r="AP459" s="692" t="n"/>
    </row>
    <row r="460">
      <c r="A460" s="692" t="n"/>
      <c r="B460" s="692" t="n"/>
      <c r="C460" s="692" t="n"/>
      <c r="D460" s="692" t="n"/>
      <c r="E460" s="692" t="n"/>
      <c r="F460" s="692" t="n"/>
      <c r="G460" s="692" t="n"/>
      <c r="H460" s="692" t="n"/>
      <c r="I460" s="692" t="n"/>
      <c r="J460" s="692" t="n"/>
      <c r="K460" s="692" t="n"/>
      <c r="L460" s="692" t="n"/>
      <c r="M460" s="692" t="n"/>
      <c r="N460" s="692" t="n"/>
      <c r="O460" s="692" t="n"/>
      <c r="P460" s="692" t="n"/>
      <c r="Q460" s="692" t="n"/>
      <c r="R460" s="692" t="n"/>
      <c r="S460" s="692" t="n"/>
      <c r="T460" s="692" t="n"/>
      <c r="U460" s="692" t="n"/>
      <c r="V460" s="692" t="n"/>
      <c r="W460" s="692" t="n"/>
      <c r="X460" s="692" t="n"/>
      <c r="Y460" s="692" t="n"/>
      <c r="Z460" s="692" t="n"/>
      <c r="AA460" s="692" t="n"/>
      <c r="AB460" s="692" t="n"/>
      <c r="AC460" s="692" t="n"/>
      <c r="AD460" s="692" t="n"/>
      <c r="AE460" s="692" t="n"/>
      <c r="AF460" s="692" t="n"/>
      <c r="AG460" s="692" t="n"/>
      <c r="AH460" s="692" t="n"/>
      <c r="AI460" s="692" t="n"/>
      <c r="AJ460" s="692" t="n"/>
      <c r="AK460" s="692" t="n"/>
      <c r="AL460" s="692" t="n"/>
      <c r="AM460" s="692" t="n"/>
      <c r="AN460" s="692" t="n"/>
      <c r="AO460" s="692" t="n"/>
      <c r="AP460" s="692" t="n"/>
    </row>
    <row r="461">
      <c r="A461" s="692" t="n"/>
      <c r="B461" s="692" t="n"/>
      <c r="C461" s="692" t="n"/>
      <c r="D461" s="692" t="n"/>
      <c r="E461" s="692" t="n"/>
      <c r="F461" s="692" t="n"/>
      <c r="G461" s="692" t="n"/>
      <c r="H461" s="692" t="n"/>
      <c r="I461" s="692" t="n"/>
      <c r="J461" s="692" t="n"/>
      <c r="K461" s="692" t="n"/>
      <c r="L461" s="692" t="n"/>
      <c r="M461" s="692" t="n"/>
      <c r="N461" s="692" t="n"/>
      <c r="O461" s="692" t="n"/>
      <c r="P461" s="692" t="n"/>
      <c r="Q461" s="692" t="n"/>
      <c r="R461" s="692" t="n"/>
      <c r="S461" s="692" t="n"/>
      <c r="T461" s="692" t="n"/>
      <c r="U461" s="692" t="n"/>
      <c r="V461" s="692" t="n"/>
      <c r="W461" s="692" t="n"/>
      <c r="X461" s="692" t="n"/>
      <c r="Y461" s="692" t="n"/>
      <c r="Z461" s="692" t="n"/>
      <c r="AA461" s="692" t="n"/>
      <c r="AB461" s="692" t="n"/>
      <c r="AC461" s="692" t="n"/>
      <c r="AD461" s="692" t="n"/>
      <c r="AE461" s="692" t="n"/>
      <c r="AF461" s="692" t="n"/>
      <c r="AG461" s="692" t="n"/>
      <c r="AH461" s="692" t="n"/>
      <c r="AI461" s="692" t="n"/>
      <c r="AJ461" s="692" t="n"/>
      <c r="AK461" s="692" t="n"/>
      <c r="AL461" s="692" t="n"/>
      <c r="AM461" s="692" t="n"/>
      <c r="AN461" s="692" t="n"/>
      <c r="AO461" s="692" t="n"/>
      <c r="AP461" s="692" t="n"/>
    </row>
    <row r="462">
      <c r="A462" s="692" t="n"/>
      <c r="B462" s="692" t="n"/>
      <c r="C462" s="692" t="n"/>
      <c r="D462" s="692" t="n"/>
      <c r="E462" s="692" t="n"/>
      <c r="F462" s="692" t="n"/>
      <c r="G462" s="692" t="n"/>
      <c r="H462" s="692" t="n"/>
      <c r="I462" s="692" t="n"/>
      <c r="J462" s="692" t="n"/>
      <c r="K462" s="692" t="n"/>
      <c r="L462" s="692" t="n"/>
      <c r="M462" s="692" t="n"/>
      <c r="N462" s="692" t="n"/>
      <c r="O462" s="692" t="n"/>
      <c r="P462" s="692" t="n"/>
      <c r="Q462" s="692" t="n"/>
      <c r="R462" s="692" t="n"/>
      <c r="S462" s="692" t="n"/>
      <c r="T462" s="692" t="n"/>
      <c r="U462" s="692" t="n"/>
      <c r="V462" s="692" t="n"/>
      <c r="W462" s="692" t="n"/>
      <c r="X462" s="692" t="n"/>
      <c r="Y462" s="692" t="n"/>
      <c r="Z462" s="692" t="n"/>
      <c r="AA462" s="692" t="n"/>
      <c r="AB462" s="692" t="n"/>
      <c r="AC462" s="692" t="n"/>
      <c r="AD462" s="692" t="n"/>
      <c r="AE462" s="692" t="n"/>
      <c r="AF462" s="692" t="n"/>
      <c r="AG462" s="692" t="n"/>
      <c r="AH462" s="692" t="n"/>
      <c r="AI462" s="692" t="n"/>
      <c r="AJ462" s="692" t="n"/>
      <c r="AK462" s="692" t="n"/>
      <c r="AL462" s="692" t="n"/>
      <c r="AM462" s="692" t="n"/>
      <c r="AN462" s="692" t="n"/>
      <c r="AO462" s="692" t="n"/>
      <c r="AP462" s="692" t="n"/>
    </row>
    <row r="463">
      <c r="A463" s="692" t="n"/>
      <c r="B463" s="692" t="n"/>
      <c r="C463" s="692" t="n"/>
      <c r="D463" s="692" t="n"/>
      <c r="E463" s="692" t="n"/>
      <c r="F463" s="692" t="n"/>
      <c r="G463" s="692" t="n"/>
      <c r="H463" s="692" t="n"/>
      <c r="I463" s="692" t="n"/>
      <c r="J463" s="692" t="n"/>
      <c r="K463" s="692" t="n"/>
      <c r="L463" s="692" t="n"/>
      <c r="M463" s="692" t="n"/>
      <c r="N463" s="692" t="n"/>
      <c r="O463" s="692" t="n"/>
      <c r="P463" s="692" t="n"/>
      <c r="Q463" s="692" t="n"/>
      <c r="R463" s="692" t="n"/>
      <c r="S463" s="692" t="n"/>
      <c r="T463" s="692" t="n"/>
      <c r="U463" s="692" t="n"/>
      <c r="V463" s="692" t="n"/>
      <c r="W463" s="692" t="n"/>
      <c r="X463" s="692" t="n"/>
      <c r="Y463" s="692" t="n"/>
      <c r="Z463" s="692" t="n"/>
      <c r="AA463" s="692" t="n"/>
      <c r="AB463" s="692" t="n"/>
      <c r="AC463" s="692" t="n"/>
      <c r="AD463" s="692" t="n"/>
      <c r="AE463" s="692" t="n"/>
      <c r="AF463" s="692" t="n"/>
      <c r="AG463" s="692" t="n"/>
      <c r="AH463" s="692" t="n"/>
      <c r="AI463" s="692" t="n"/>
      <c r="AJ463" s="692" t="n"/>
      <c r="AK463" s="692" t="n"/>
      <c r="AL463" s="692" t="n"/>
      <c r="AM463" s="692" t="n"/>
      <c r="AN463" s="692" t="n"/>
      <c r="AO463" s="692" t="n"/>
      <c r="AP463" s="692" t="n"/>
    </row>
    <row r="464">
      <c r="A464" s="692" t="n"/>
      <c r="B464" s="692" t="n"/>
      <c r="C464" s="692" t="n"/>
      <c r="D464" s="692" t="n"/>
      <c r="E464" s="692" t="n"/>
      <c r="F464" s="692" t="n"/>
      <c r="G464" s="692" t="n"/>
      <c r="H464" s="692" t="n"/>
      <c r="I464" s="692" t="n"/>
      <c r="J464" s="692" t="n"/>
      <c r="K464" s="692" t="n"/>
      <c r="L464" s="692" t="n"/>
      <c r="M464" s="692" t="n"/>
      <c r="N464" s="692" t="n"/>
      <c r="O464" s="692" t="n"/>
      <c r="P464" s="692" t="n"/>
      <c r="Q464" s="692" t="n"/>
      <c r="R464" s="692" t="n"/>
      <c r="S464" s="692" t="n"/>
      <c r="T464" s="692" t="n"/>
      <c r="U464" s="692" t="n"/>
      <c r="V464" s="692" t="n"/>
      <c r="W464" s="692" t="n"/>
      <c r="X464" s="692" t="n"/>
      <c r="Y464" s="692" t="n"/>
      <c r="Z464" s="692" t="n"/>
      <c r="AA464" s="692" t="n"/>
      <c r="AB464" s="692" t="n"/>
      <c r="AC464" s="692" t="n"/>
      <c r="AD464" s="692" t="n"/>
      <c r="AE464" s="692" t="n"/>
      <c r="AF464" s="692" t="n"/>
      <c r="AG464" s="692" t="n"/>
      <c r="AH464" s="692" t="n"/>
      <c r="AI464" s="692" t="n"/>
      <c r="AJ464" s="692" t="n"/>
      <c r="AK464" s="692" t="n"/>
      <c r="AL464" s="692" t="n"/>
      <c r="AM464" s="692" t="n"/>
      <c r="AN464" s="692" t="n"/>
      <c r="AO464" s="692" t="n"/>
      <c r="AP464" s="692" t="n"/>
    </row>
    <row r="465">
      <c r="A465" s="692" t="n"/>
      <c r="B465" s="692" t="n"/>
      <c r="C465" s="692" t="n"/>
      <c r="D465" s="692" t="n"/>
      <c r="E465" s="692" t="n"/>
      <c r="F465" s="692" t="n"/>
      <c r="G465" s="692" t="n"/>
      <c r="H465" s="692" t="n"/>
      <c r="I465" s="692" t="n"/>
      <c r="J465" s="692" t="n"/>
      <c r="K465" s="692" t="n"/>
      <c r="L465" s="692" t="n"/>
      <c r="M465" s="692" t="n"/>
      <c r="N465" s="692" t="n"/>
      <c r="O465" s="692" t="n"/>
      <c r="P465" s="692" t="n"/>
      <c r="Q465" s="692" t="n"/>
      <c r="R465" s="692" t="n"/>
      <c r="S465" s="692" t="n"/>
      <c r="T465" s="692" t="n"/>
      <c r="U465" s="692" t="n"/>
      <c r="V465" s="692" t="n"/>
      <c r="W465" s="692" t="n"/>
      <c r="X465" s="692" t="n"/>
      <c r="Y465" s="692" t="n"/>
      <c r="Z465" s="692" t="n"/>
      <c r="AA465" s="692" t="n"/>
      <c r="AB465" s="692" t="n"/>
      <c r="AC465" s="692" t="n"/>
      <c r="AD465" s="692" t="n"/>
      <c r="AE465" s="692" t="n"/>
      <c r="AF465" s="692" t="n"/>
      <c r="AG465" s="692" t="n"/>
      <c r="AH465" s="692" t="n"/>
      <c r="AI465" s="692" t="n"/>
      <c r="AJ465" s="692" t="n"/>
      <c r="AK465" s="692" t="n"/>
      <c r="AL465" s="692" t="n"/>
      <c r="AM465" s="692" t="n"/>
      <c r="AN465" s="692" t="n"/>
      <c r="AO465" s="692" t="n"/>
      <c r="AP465" s="692" t="n"/>
    </row>
    <row r="466">
      <c r="A466" s="692" t="n"/>
      <c r="B466" s="692" t="n"/>
      <c r="C466" s="692" t="n"/>
      <c r="D466" s="692" t="n"/>
      <c r="E466" s="692" t="n"/>
      <c r="F466" s="692" t="n"/>
      <c r="G466" s="692" t="n"/>
      <c r="H466" s="692" t="n"/>
      <c r="I466" s="692" t="n"/>
      <c r="J466" s="692" t="n"/>
      <c r="K466" s="692" t="n"/>
      <c r="L466" s="692" t="n"/>
      <c r="M466" s="692" t="n"/>
      <c r="N466" s="692" t="n"/>
      <c r="O466" s="692" t="n"/>
      <c r="P466" s="692" t="n"/>
      <c r="Q466" s="692" t="n"/>
      <c r="R466" s="692" t="n"/>
      <c r="S466" s="692" t="n"/>
      <c r="T466" s="692" t="n"/>
      <c r="U466" s="692" t="n"/>
      <c r="V466" s="692" t="n"/>
      <c r="W466" s="692" t="n"/>
      <c r="X466" s="692" t="n"/>
      <c r="Y466" s="692" t="n"/>
      <c r="Z466" s="692" t="n"/>
      <c r="AA466" s="692" t="n"/>
      <c r="AB466" s="692" t="n"/>
      <c r="AC466" s="692" t="n"/>
      <c r="AD466" s="692" t="n"/>
      <c r="AE466" s="692" t="n"/>
      <c r="AF466" s="692" t="n"/>
      <c r="AG466" s="692" t="n"/>
      <c r="AH466" s="692" t="n"/>
      <c r="AI466" s="692" t="n"/>
      <c r="AJ466" s="692" t="n"/>
      <c r="AK466" s="692" t="n"/>
      <c r="AL466" s="692" t="n"/>
      <c r="AM466" s="692" t="n"/>
      <c r="AN466" s="692" t="n"/>
      <c r="AO466" s="692" t="n"/>
      <c r="AP466" s="692" t="n"/>
    </row>
    <row r="467">
      <c r="A467" s="692" t="n"/>
      <c r="B467" s="692" t="n"/>
      <c r="C467" s="692" t="n"/>
      <c r="D467" s="692" t="n"/>
      <c r="E467" s="692" t="n"/>
      <c r="F467" s="692" t="n"/>
      <c r="G467" s="692" t="n"/>
      <c r="H467" s="692" t="n"/>
      <c r="I467" s="692" t="n"/>
      <c r="J467" s="692" t="n"/>
      <c r="K467" s="692" t="n"/>
      <c r="L467" s="692" t="n"/>
      <c r="M467" s="692" t="n"/>
      <c r="N467" s="692" t="n"/>
      <c r="O467" s="692" t="n"/>
      <c r="P467" s="692" t="n"/>
      <c r="Q467" s="692" t="n"/>
      <c r="R467" s="692" t="n"/>
      <c r="S467" s="692" t="n"/>
      <c r="T467" s="692" t="n"/>
      <c r="U467" s="692" t="n"/>
      <c r="V467" s="692" t="n"/>
      <c r="W467" s="692" t="n"/>
      <c r="X467" s="692" t="n"/>
      <c r="Y467" s="692" t="n"/>
      <c r="Z467" s="692" t="n"/>
      <c r="AA467" s="692" t="n"/>
      <c r="AB467" s="692" t="n"/>
      <c r="AC467" s="692" t="n"/>
      <c r="AD467" s="692" t="n"/>
      <c r="AE467" s="692" t="n"/>
      <c r="AF467" s="692" t="n"/>
      <c r="AG467" s="692" t="n"/>
      <c r="AH467" s="692" t="n"/>
      <c r="AI467" s="692" t="n"/>
      <c r="AJ467" s="692" t="n"/>
      <c r="AK467" s="692" t="n"/>
      <c r="AL467" s="692" t="n"/>
      <c r="AM467" s="692" t="n"/>
      <c r="AN467" s="692" t="n"/>
      <c r="AO467" s="692" t="n"/>
      <c r="AP467" s="692" t="n"/>
    </row>
    <row r="468">
      <c r="A468" s="692" t="n"/>
      <c r="B468" s="692" t="n"/>
      <c r="C468" s="692" t="n"/>
      <c r="D468" s="692" t="n"/>
      <c r="E468" s="692" t="n"/>
      <c r="F468" s="692" t="n"/>
      <c r="G468" s="692" t="n"/>
      <c r="H468" s="692" t="n"/>
      <c r="I468" s="692" t="n"/>
      <c r="J468" s="692" t="n"/>
      <c r="K468" s="692" t="n"/>
      <c r="L468" s="692" t="n"/>
      <c r="M468" s="692" t="n"/>
      <c r="N468" s="692" t="n"/>
      <c r="O468" s="692" t="n"/>
      <c r="P468" s="692" t="n"/>
      <c r="Q468" s="692" t="n"/>
      <c r="R468" s="692" t="n"/>
      <c r="S468" s="692" t="n"/>
      <c r="T468" s="692" t="n"/>
      <c r="U468" s="692" t="n"/>
      <c r="V468" s="692" t="n"/>
      <c r="W468" s="692" t="n"/>
      <c r="X468" s="692" t="n"/>
      <c r="Y468" s="692" t="n"/>
      <c r="Z468" s="692" t="n"/>
      <c r="AA468" s="692" t="n"/>
      <c r="AB468" s="692" t="n"/>
      <c r="AC468" s="692" t="n"/>
      <c r="AD468" s="692" t="n"/>
      <c r="AE468" s="692" t="n"/>
      <c r="AF468" s="692" t="n"/>
      <c r="AG468" s="692" t="n"/>
      <c r="AH468" s="692" t="n"/>
      <c r="AI468" s="692" t="n"/>
      <c r="AJ468" s="692" t="n"/>
      <c r="AK468" s="692" t="n"/>
      <c r="AL468" s="692" t="n"/>
      <c r="AM468" s="692" t="n"/>
      <c r="AN468" s="692" t="n"/>
      <c r="AO468" s="692" t="n"/>
      <c r="AP468" s="692" t="n"/>
    </row>
    <row r="469">
      <c r="A469" s="692" t="n"/>
      <c r="B469" s="692" t="n"/>
      <c r="C469" s="692" t="n"/>
      <c r="D469" s="692" t="n"/>
      <c r="E469" s="692" t="n"/>
      <c r="F469" s="692" t="n"/>
      <c r="G469" s="692" t="n"/>
      <c r="H469" s="692" t="n"/>
      <c r="I469" s="692" t="n"/>
      <c r="J469" s="692" t="n"/>
      <c r="K469" s="692" t="n"/>
      <c r="L469" s="692" t="n"/>
      <c r="M469" s="692" t="n"/>
      <c r="N469" s="692" t="n"/>
      <c r="O469" s="692" t="n"/>
      <c r="P469" s="692" t="n"/>
      <c r="Q469" s="692" t="n"/>
      <c r="R469" s="692" t="n"/>
      <c r="S469" s="692" t="n"/>
      <c r="T469" s="692" t="n"/>
      <c r="U469" s="692" t="n"/>
      <c r="V469" s="692" t="n"/>
      <c r="W469" s="692" t="n"/>
      <c r="X469" s="692" t="n"/>
      <c r="Y469" s="692" t="n"/>
      <c r="Z469" s="692" t="n"/>
      <c r="AA469" s="692" t="n"/>
      <c r="AB469" s="692" t="n"/>
      <c r="AC469" s="692" t="n"/>
      <c r="AD469" s="692" t="n"/>
      <c r="AE469" s="692" t="n"/>
      <c r="AF469" s="692" t="n"/>
      <c r="AG469" s="692" t="n"/>
      <c r="AH469" s="692" t="n"/>
      <c r="AI469" s="692" t="n"/>
      <c r="AJ469" s="692" t="n"/>
      <c r="AK469" s="692" t="n"/>
      <c r="AL469" s="692" t="n"/>
      <c r="AM469" s="692" t="n"/>
      <c r="AN469" s="692" t="n"/>
      <c r="AO469" s="692" t="n"/>
      <c r="AP469" s="692" t="n"/>
    </row>
    <row r="470">
      <c r="A470" s="692" t="n"/>
      <c r="B470" s="692" t="n"/>
      <c r="C470" s="692" t="n"/>
      <c r="D470" s="692" t="n"/>
      <c r="E470" s="692" t="n"/>
      <c r="F470" s="692" t="n"/>
      <c r="G470" s="692" t="n"/>
      <c r="H470" s="692" t="n"/>
      <c r="I470" s="692" t="n"/>
      <c r="J470" s="692" t="n"/>
      <c r="K470" s="692" t="n"/>
      <c r="L470" s="692" t="n"/>
      <c r="M470" s="692" t="n"/>
      <c r="N470" s="692" t="n"/>
      <c r="O470" s="692" t="n"/>
      <c r="P470" s="692" t="n"/>
      <c r="Q470" s="692" t="n"/>
      <c r="R470" s="692" t="n"/>
      <c r="S470" s="692" t="n"/>
      <c r="T470" s="692" t="n"/>
      <c r="U470" s="692" t="n"/>
      <c r="V470" s="692" t="n"/>
      <c r="W470" s="692" t="n"/>
      <c r="X470" s="692" t="n"/>
      <c r="Y470" s="692" t="n"/>
      <c r="Z470" s="692" t="n"/>
      <c r="AA470" s="692" t="n"/>
      <c r="AB470" s="692" t="n"/>
      <c r="AC470" s="692" t="n"/>
      <c r="AD470" s="692" t="n"/>
      <c r="AE470" s="692" t="n"/>
      <c r="AF470" s="692" t="n"/>
      <c r="AG470" s="692" t="n"/>
      <c r="AH470" s="692" t="n"/>
      <c r="AI470" s="692" t="n"/>
      <c r="AJ470" s="692" t="n"/>
      <c r="AK470" s="692" t="n"/>
      <c r="AL470" s="692" t="n"/>
      <c r="AM470" s="692" t="n"/>
      <c r="AN470" s="692" t="n"/>
      <c r="AO470" s="692" t="n"/>
      <c r="AP470" s="692" t="n"/>
    </row>
    <row r="471">
      <c r="A471" s="692" t="n"/>
      <c r="B471" s="692" t="n"/>
      <c r="C471" s="692" t="n"/>
      <c r="D471" s="692" t="n"/>
      <c r="E471" s="692" t="n"/>
      <c r="F471" s="692" t="n"/>
      <c r="G471" s="692" t="n"/>
      <c r="H471" s="692" t="n"/>
      <c r="I471" s="692" t="n"/>
      <c r="J471" s="692" t="n"/>
      <c r="K471" s="692" t="n"/>
      <c r="L471" s="692" t="n"/>
      <c r="M471" s="692" t="n"/>
      <c r="N471" s="692" t="n"/>
      <c r="O471" s="692" t="n"/>
      <c r="P471" s="692" t="n"/>
      <c r="Q471" s="692" t="n"/>
      <c r="R471" s="692" t="n"/>
      <c r="S471" s="692" t="n"/>
      <c r="T471" s="692" t="n"/>
      <c r="U471" s="692" t="n"/>
      <c r="V471" s="692" t="n"/>
      <c r="W471" s="692" t="n"/>
      <c r="X471" s="692" t="n"/>
      <c r="Y471" s="692" t="n"/>
      <c r="Z471" s="692" t="n"/>
      <c r="AA471" s="692" t="n"/>
      <c r="AB471" s="692" t="n"/>
      <c r="AC471" s="692" t="n"/>
      <c r="AD471" s="692" t="n"/>
      <c r="AE471" s="692" t="n"/>
      <c r="AF471" s="692" t="n"/>
      <c r="AG471" s="692" t="n"/>
      <c r="AH471" s="692" t="n"/>
      <c r="AI471" s="692" t="n"/>
      <c r="AJ471" s="692" t="n"/>
      <c r="AK471" s="692" t="n"/>
      <c r="AL471" s="692" t="n"/>
      <c r="AM471" s="692" t="n"/>
      <c r="AN471" s="692" t="n"/>
      <c r="AO471" s="692" t="n"/>
      <c r="AP471" s="692" t="n"/>
    </row>
    <row r="472">
      <c r="A472" s="692" t="n"/>
      <c r="B472" s="692" t="n"/>
      <c r="C472" s="692" t="n"/>
      <c r="D472" s="692" t="n"/>
      <c r="E472" s="692" t="n"/>
      <c r="F472" s="692" t="n"/>
      <c r="G472" s="692" t="n"/>
      <c r="H472" s="692" t="n"/>
      <c r="I472" s="692" t="n"/>
      <c r="J472" s="692" t="n"/>
      <c r="K472" s="692" t="n"/>
      <c r="L472" s="692" t="n"/>
      <c r="M472" s="692" t="n"/>
      <c r="N472" s="692" t="n"/>
      <c r="O472" s="692" t="n"/>
      <c r="P472" s="692" t="n"/>
      <c r="Q472" s="692" t="n"/>
      <c r="R472" s="692" t="n"/>
      <c r="S472" s="692" t="n"/>
      <c r="T472" s="692" t="n"/>
      <c r="U472" s="692" t="n"/>
      <c r="V472" s="692" t="n"/>
      <c r="W472" s="692" t="n"/>
      <c r="X472" s="692" t="n"/>
      <c r="Y472" s="692" t="n"/>
      <c r="Z472" s="692" t="n"/>
      <c r="AA472" s="692" t="n"/>
      <c r="AB472" s="692" t="n"/>
      <c r="AC472" s="692" t="n"/>
      <c r="AD472" s="692" t="n"/>
      <c r="AE472" s="692" t="n"/>
      <c r="AF472" s="692" t="n"/>
      <c r="AG472" s="692" t="n"/>
      <c r="AH472" s="692" t="n"/>
      <c r="AI472" s="692" t="n"/>
      <c r="AJ472" s="692" t="n"/>
      <c r="AK472" s="692" t="n"/>
      <c r="AL472" s="692" t="n"/>
      <c r="AM472" s="692" t="n"/>
      <c r="AN472" s="692" t="n"/>
      <c r="AO472" s="692" t="n"/>
      <c r="AP472" s="692" t="n"/>
    </row>
    <row r="473">
      <c r="A473" s="692" t="n"/>
      <c r="B473" s="692" t="n"/>
      <c r="C473" s="692" t="n"/>
      <c r="D473" s="692" t="n"/>
      <c r="E473" s="692" t="n"/>
      <c r="F473" s="692" t="n"/>
      <c r="G473" s="692" t="n"/>
      <c r="H473" s="692" t="n"/>
      <c r="I473" s="692" t="n"/>
      <c r="J473" s="692" t="n"/>
      <c r="K473" s="692" t="n"/>
      <c r="L473" s="692" t="n"/>
      <c r="M473" s="692" t="n"/>
      <c r="N473" s="692" t="n"/>
      <c r="O473" s="692" t="n"/>
      <c r="P473" s="692" t="n"/>
      <c r="Q473" s="692" t="n"/>
      <c r="R473" s="692" t="n"/>
      <c r="S473" s="692" t="n"/>
      <c r="T473" s="692" t="n"/>
      <c r="U473" s="692" t="n"/>
      <c r="V473" s="692" t="n"/>
      <c r="W473" s="692" t="n"/>
      <c r="X473" s="692" t="n"/>
      <c r="Y473" s="692" t="n"/>
      <c r="Z473" s="692" t="n"/>
      <c r="AA473" s="692" t="n"/>
      <c r="AB473" s="692" t="n"/>
      <c r="AC473" s="692" t="n"/>
      <c r="AD473" s="692" t="n"/>
      <c r="AE473" s="692" t="n"/>
      <c r="AF473" s="692" t="n"/>
      <c r="AG473" s="692" t="n"/>
      <c r="AH473" s="692" t="n"/>
      <c r="AI473" s="692" t="n"/>
      <c r="AJ473" s="692" t="n"/>
      <c r="AK473" s="692" t="n"/>
      <c r="AL473" s="692" t="n"/>
      <c r="AM473" s="692" t="n"/>
      <c r="AN473" s="692" t="n"/>
      <c r="AO473" s="692" t="n"/>
      <c r="AP473" s="692" t="n"/>
    </row>
    <row r="474">
      <c r="A474" s="692" t="n"/>
      <c r="B474" s="692" t="n"/>
      <c r="C474" s="692" t="n"/>
      <c r="D474" s="692" t="n"/>
      <c r="E474" s="692" t="n"/>
      <c r="F474" s="692" t="n"/>
      <c r="G474" s="692" t="n"/>
      <c r="H474" s="692" t="n"/>
      <c r="I474" s="692" t="n"/>
      <c r="J474" s="692" t="n"/>
      <c r="K474" s="692" t="n"/>
      <c r="L474" s="692" t="n"/>
      <c r="M474" s="692" t="n"/>
      <c r="N474" s="692" t="n"/>
      <c r="O474" s="692" t="n"/>
      <c r="P474" s="692" t="n"/>
      <c r="Q474" s="692" t="n"/>
      <c r="R474" s="692" t="n"/>
      <c r="S474" s="692" t="n"/>
      <c r="T474" s="692" t="n"/>
      <c r="U474" s="692" t="n"/>
      <c r="V474" s="692" t="n"/>
      <c r="W474" s="692" t="n"/>
      <c r="X474" s="692" t="n"/>
      <c r="Y474" s="692" t="n"/>
      <c r="Z474" s="692" t="n"/>
      <c r="AA474" s="692" t="n"/>
      <c r="AB474" s="692" t="n"/>
      <c r="AC474" s="692" t="n"/>
      <c r="AD474" s="692" t="n"/>
      <c r="AE474" s="692" t="n"/>
      <c r="AF474" s="692" t="n"/>
      <c r="AG474" s="692" t="n"/>
      <c r="AH474" s="692" t="n"/>
      <c r="AI474" s="692" t="n"/>
      <c r="AJ474" s="692" t="n"/>
      <c r="AK474" s="692" t="n"/>
      <c r="AL474" s="692" t="n"/>
      <c r="AM474" s="692" t="n"/>
      <c r="AN474" s="692" t="n"/>
      <c r="AO474" s="692" t="n"/>
      <c r="AP474" s="692" t="n"/>
    </row>
    <row r="475">
      <c r="A475" s="692" t="n"/>
      <c r="B475" s="692" t="n"/>
      <c r="C475" s="692" t="n"/>
      <c r="D475" s="692" t="n"/>
      <c r="E475" s="692" t="n"/>
      <c r="F475" s="692" t="n"/>
      <c r="G475" s="692" t="n"/>
      <c r="H475" s="692" t="n"/>
      <c r="I475" s="692" t="n"/>
      <c r="J475" s="692" t="n"/>
      <c r="K475" s="692" t="n"/>
      <c r="L475" s="692" t="n"/>
      <c r="M475" s="692" t="n"/>
      <c r="N475" s="692" t="n"/>
      <c r="O475" s="692" t="n"/>
      <c r="P475" s="692" t="n"/>
      <c r="Q475" s="692" t="n"/>
      <c r="R475" s="692" t="n"/>
      <c r="S475" s="692" t="n"/>
      <c r="T475" s="692" t="n"/>
      <c r="U475" s="692" t="n"/>
      <c r="V475" s="692" t="n"/>
      <c r="W475" s="692" t="n"/>
      <c r="X475" s="692" t="n"/>
      <c r="Y475" s="692" t="n"/>
      <c r="Z475" s="692" t="n"/>
      <c r="AA475" s="692" t="n"/>
      <c r="AB475" s="692" t="n"/>
      <c r="AC475" s="692" t="n"/>
      <c r="AD475" s="692" t="n"/>
      <c r="AE475" s="692" t="n"/>
      <c r="AF475" s="692" t="n"/>
      <c r="AG475" s="692" t="n"/>
      <c r="AH475" s="692" t="n"/>
      <c r="AI475" s="692" t="n"/>
      <c r="AJ475" s="692" t="n"/>
      <c r="AK475" s="692" t="n"/>
      <c r="AL475" s="692" t="n"/>
      <c r="AM475" s="692" t="n"/>
      <c r="AN475" s="692" t="n"/>
      <c r="AO475" s="692" t="n"/>
      <c r="AP475" s="692" t="n"/>
    </row>
    <row r="476">
      <c r="A476" s="692" t="n"/>
      <c r="B476" s="692" t="n"/>
      <c r="C476" s="692" t="n"/>
      <c r="D476" s="692" t="n"/>
      <c r="E476" s="692" t="n"/>
      <c r="F476" s="692" t="n"/>
      <c r="G476" s="692" t="n"/>
      <c r="H476" s="692" t="n"/>
      <c r="I476" s="692" t="n"/>
      <c r="J476" s="692" t="n"/>
      <c r="K476" s="692" t="n"/>
      <c r="L476" s="692" t="n"/>
      <c r="M476" s="692" t="n"/>
      <c r="N476" s="692" t="n"/>
      <c r="O476" s="692" t="n"/>
      <c r="P476" s="692" t="n"/>
      <c r="Q476" s="692" t="n"/>
      <c r="R476" s="692" t="n"/>
      <c r="S476" s="692" t="n"/>
      <c r="T476" s="692" t="n"/>
      <c r="U476" s="692" t="n"/>
      <c r="V476" s="692" t="n"/>
      <c r="W476" s="692" t="n"/>
      <c r="X476" s="692" t="n"/>
      <c r="Y476" s="692" t="n"/>
      <c r="Z476" s="692" t="n"/>
      <c r="AA476" s="692" t="n"/>
      <c r="AB476" s="692" t="n"/>
      <c r="AC476" s="692" t="n"/>
      <c r="AD476" s="692" t="n"/>
      <c r="AE476" s="692" t="n"/>
      <c r="AF476" s="692" t="n"/>
      <c r="AG476" s="692" t="n"/>
      <c r="AH476" s="692" t="n"/>
      <c r="AI476" s="692" t="n"/>
      <c r="AJ476" s="692" t="n"/>
      <c r="AK476" s="692" t="n"/>
      <c r="AL476" s="692" t="n"/>
      <c r="AM476" s="692" t="n"/>
      <c r="AN476" s="692" t="n"/>
      <c r="AO476" s="692" t="n"/>
      <c r="AP476" s="692" t="n"/>
    </row>
    <row r="477">
      <c r="A477" s="692" t="n"/>
      <c r="B477" s="692" t="n"/>
      <c r="C477" s="692" t="n"/>
      <c r="D477" s="692" t="n"/>
      <c r="E477" s="692" t="n"/>
      <c r="F477" s="692" t="n"/>
      <c r="G477" s="692" t="n"/>
      <c r="H477" s="692" t="n"/>
      <c r="I477" s="692" t="n"/>
      <c r="J477" s="692" t="n"/>
      <c r="K477" s="692" t="n"/>
      <c r="L477" s="692" t="n"/>
      <c r="M477" s="692" t="n"/>
      <c r="N477" s="692" t="n"/>
      <c r="O477" s="692" t="n"/>
      <c r="P477" s="692" t="n"/>
      <c r="Q477" s="692" t="n"/>
      <c r="R477" s="692" t="n"/>
      <c r="S477" s="692" t="n"/>
      <c r="T477" s="692" t="n"/>
      <c r="U477" s="692" t="n"/>
      <c r="V477" s="692" t="n"/>
      <c r="W477" s="692" t="n"/>
      <c r="X477" s="692" t="n"/>
      <c r="Y477" s="692" t="n"/>
      <c r="Z477" s="692" t="n"/>
      <c r="AA477" s="692" t="n"/>
      <c r="AB477" s="692" t="n"/>
      <c r="AC477" s="692" t="n"/>
      <c r="AD477" s="692" t="n"/>
      <c r="AE477" s="692" t="n"/>
      <c r="AF477" s="692" t="n"/>
      <c r="AG477" s="692" t="n"/>
      <c r="AH477" s="692" t="n"/>
      <c r="AI477" s="692" t="n"/>
      <c r="AJ477" s="692" t="n"/>
      <c r="AK477" s="692" t="n"/>
      <c r="AL477" s="692" t="n"/>
      <c r="AM477" s="692" t="n"/>
      <c r="AN477" s="692" t="n"/>
      <c r="AO477" s="692" t="n"/>
      <c r="AP477" s="692" t="n"/>
    </row>
    <row r="478">
      <c r="A478" s="692" t="n"/>
      <c r="B478" s="692" t="n"/>
      <c r="C478" s="692" t="n"/>
      <c r="D478" s="692" t="n"/>
      <c r="E478" s="692" t="n"/>
      <c r="F478" s="692" t="n"/>
      <c r="G478" s="692" t="n"/>
      <c r="H478" s="692" t="n"/>
      <c r="I478" s="692" t="n"/>
      <c r="J478" s="692" t="n"/>
      <c r="K478" s="692" t="n"/>
      <c r="L478" s="692" t="n"/>
      <c r="M478" s="692" t="n"/>
      <c r="N478" s="692" t="n"/>
      <c r="O478" s="692" t="n"/>
      <c r="P478" s="692" t="n"/>
      <c r="Q478" s="692" t="n"/>
      <c r="R478" s="692" t="n"/>
      <c r="S478" s="692" t="n"/>
      <c r="T478" s="692" t="n"/>
      <c r="U478" s="692" t="n"/>
      <c r="V478" s="692" t="n"/>
      <c r="W478" s="692" t="n"/>
      <c r="X478" s="692" t="n"/>
      <c r="Y478" s="692" t="n"/>
      <c r="Z478" s="692" t="n"/>
      <c r="AA478" s="692" t="n"/>
      <c r="AB478" s="692" t="n"/>
      <c r="AC478" s="692" t="n"/>
      <c r="AD478" s="692" t="n"/>
      <c r="AE478" s="692" t="n"/>
      <c r="AF478" s="692" t="n"/>
      <c r="AG478" s="692" t="n"/>
      <c r="AH478" s="692" t="n"/>
      <c r="AI478" s="692" t="n"/>
      <c r="AJ478" s="692" t="n"/>
      <c r="AK478" s="692" t="n"/>
      <c r="AL478" s="692" t="n"/>
      <c r="AM478" s="692" t="n"/>
      <c r="AN478" s="692" t="n"/>
      <c r="AO478" s="692" t="n"/>
      <c r="AP478" s="692" t="n"/>
    </row>
    <row r="479">
      <c r="A479" s="692" t="n"/>
      <c r="B479" s="692" t="n"/>
      <c r="C479" s="692" t="n"/>
      <c r="D479" s="692" t="n"/>
      <c r="E479" s="692" t="n"/>
      <c r="F479" s="692" t="n"/>
      <c r="G479" s="692" t="n"/>
      <c r="H479" s="692" t="n"/>
      <c r="I479" s="692" t="n"/>
      <c r="J479" s="692" t="n"/>
      <c r="K479" s="692" t="n"/>
      <c r="L479" s="692" t="n"/>
      <c r="M479" s="692" t="n"/>
      <c r="N479" s="692" t="n"/>
      <c r="O479" s="692" t="n"/>
      <c r="P479" s="692" t="n"/>
      <c r="Q479" s="692" t="n"/>
      <c r="R479" s="692" t="n"/>
      <c r="S479" s="692" t="n"/>
      <c r="T479" s="692" t="n"/>
      <c r="U479" s="692" t="n"/>
      <c r="V479" s="692" t="n"/>
      <c r="W479" s="692" t="n"/>
      <c r="X479" s="692" t="n"/>
      <c r="Y479" s="692" t="n"/>
      <c r="Z479" s="692" t="n"/>
      <c r="AA479" s="692" t="n"/>
      <c r="AB479" s="692" t="n"/>
      <c r="AC479" s="692" t="n"/>
      <c r="AD479" s="692" t="n"/>
      <c r="AE479" s="692" t="n"/>
      <c r="AF479" s="692" t="n"/>
      <c r="AG479" s="692" t="n"/>
      <c r="AH479" s="692" t="n"/>
      <c r="AI479" s="692" t="n"/>
      <c r="AJ479" s="692" t="n"/>
      <c r="AK479" s="692" t="n"/>
      <c r="AL479" s="692" t="n"/>
      <c r="AM479" s="692" t="n"/>
      <c r="AN479" s="692" t="n"/>
      <c r="AO479" s="692" t="n"/>
      <c r="AP479" s="692" t="n"/>
    </row>
    <row r="480">
      <c r="A480" s="692" t="n"/>
      <c r="B480" s="692" t="n"/>
      <c r="C480" s="692" t="n"/>
      <c r="D480" s="692" t="n"/>
      <c r="E480" s="692" t="n"/>
      <c r="F480" s="692" t="n"/>
      <c r="G480" s="692" t="n"/>
      <c r="H480" s="692" t="n"/>
      <c r="I480" s="692" t="n"/>
      <c r="J480" s="692" t="n"/>
      <c r="K480" s="692" t="n"/>
      <c r="L480" s="692" t="n"/>
      <c r="M480" s="692" t="n"/>
      <c r="N480" s="692" t="n"/>
      <c r="O480" s="692" t="n"/>
      <c r="P480" s="692" t="n"/>
      <c r="Q480" s="692" t="n"/>
      <c r="R480" s="692" t="n"/>
      <c r="S480" s="692" t="n"/>
      <c r="T480" s="692" t="n"/>
      <c r="U480" s="692" t="n"/>
      <c r="V480" s="692" t="n"/>
      <c r="W480" s="692" t="n"/>
      <c r="X480" s="692" t="n"/>
      <c r="Y480" s="692" t="n"/>
      <c r="Z480" s="692" t="n"/>
      <c r="AA480" s="692" t="n"/>
      <c r="AB480" s="692" t="n"/>
      <c r="AC480" s="692" t="n"/>
      <c r="AD480" s="692" t="n"/>
      <c r="AE480" s="692" t="n"/>
      <c r="AF480" s="692" t="n"/>
      <c r="AG480" s="692" t="n"/>
      <c r="AH480" s="692" t="n"/>
      <c r="AI480" s="692" t="n"/>
      <c r="AJ480" s="692" t="n"/>
      <c r="AK480" s="692" t="n"/>
      <c r="AL480" s="692" t="n"/>
      <c r="AM480" s="692" t="n"/>
      <c r="AN480" s="692" t="n"/>
      <c r="AO480" s="692" t="n"/>
      <c r="AP480" s="692" t="n"/>
    </row>
    <row r="481">
      <c r="A481" s="692" t="n"/>
      <c r="B481" s="692" t="n"/>
      <c r="C481" s="692" t="n"/>
      <c r="D481" s="692" t="n"/>
      <c r="E481" s="692" t="n"/>
      <c r="F481" s="692" t="n"/>
      <c r="G481" s="692" t="n"/>
      <c r="H481" s="692" t="n"/>
      <c r="I481" s="692" t="n"/>
      <c r="J481" s="692" t="n"/>
      <c r="K481" s="692" t="n"/>
      <c r="L481" s="692" t="n"/>
      <c r="M481" s="692" t="n"/>
      <c r="N481" s="692" t="n"/>
      <c r="O481" s="692" t="n"/>
      <c r="P481" s="692" t="n"/>
      <c r="Q481" s="692" t="n"/>
      <c r="R481" s="692" t="n"/>
      <c r="S481" s="692" t="n"/>
      <c r="T481" s="692" t="n"/>
      <c r="U481" s="692" t="n"/>
      <c r="V481" s="692" t="n"/>
      <c r="W481" s="692" t="n"/>
      <c r="X481" s="692" t="n"/>
      <c r="Y481" s="692" t="n"/>
      <c r="Z481" s="692" t="n"/>
      <c r="AA481" s="692" t="n"/>
      <c r="AB481" s="692" t="n"/>
      <c r="AC481" s="692" t="n"/>
      <c r="AD481" s="692" t="n"/>
      <c r="AE481" s="692" t="n"/>
      <c r="AF481" s="692" t="n"/>
      <c r="AG481" s="692" t="n"/>
      <c r="AH481" s="692" t="n"/>
      <c r="AI481" s="692" t="n"/>
      <c r="AJ481" s="692" t="n"/>
      <c r="AK481" s="692" t="n"/>
      <c r="AL481" s="692" t="n"/>
      <c r="AM481" s="692" t="n"/>
      <c r="AN481" s="692" t="n"/>
      <c r="AO481" s="692" t="n"/>
      <c r="AP481" s="692" t="n"/>
    </row>
    <row r="482">
      <c r="A482" s="692" t="n"/>
      <c r="B482" s="692" t="n"/>
      <c r="C482" s="692" t="n"/>
      <c r="D482" s="692" t="n"/>
      <c r="E482" s="692" t="n"/>
      <c r="F482" s="692" t="n"/>
      <c r="G482" s="692" t="n"/>
      <c r="H482" s="692" t="n"/>
      <c r="I482" s="692" t="n"/>
      <c r="J482" s="692" t="n"/>
      <c r="K482" s="692" t="n"/>
      <c r="L482" s="692" t="n"/>
      <c r="M482" s="692" t="n"/>
      <c r="N482" s="692" t="n"/>
      <c r="O482" s="692" t="n"/>
      <c r="P482" s="692" t="n"/>
      <c r="Q482" s="692" t="n"/>
      <c r="R482" s="692" t="n"/>
      <c r="S482" s="692" t="n"/>
      <c r="T482" s="692" t="n"/>
      <c r="U482" s="692" t="n"/>
      <c r="V482" s="692" t="n"/>
      <c r="W482" s="692" t="n"/>
      <c r="X482" s="692" t="n"/>
      <c r="Y482" s="692" t="n"/>
      <c r="Z482" s="692" t="n"/>
      <c r="AA482" s="692" t="n"/>
      <c r="AB482" s="692" t="n"/>
      <c r="AC482" s="692" t="n"/>
      <c r="AD482" s="692" t="n"/>
      <c r="AE482" s="692" t="n"/>
      <c r="AF482" s="692" t="n"/>
      <c r="AG482" s="692" t="n"/>
      <c r="AH482" s="692" t="n"/>
      <c r="AI482" s="692" t="n"/>
      <c r="AJ482" s="692" t="n"/>
      <c r="AK482" s="692" t="n"/>
      <c r="AL482" s="692" t="n"/>
      <c r="AM482" s="692" t="n"/>
      <c r="AN482" s="692" t="n"/>
      <c r="AO482" s="692" t="n"/>
      <c r="AP482" s="692" t="n"/>
    </row>
    <row r="483">
      <c r="A483" s="692" t="n"/>
      <c r="B483" s="692" t="n"/>
      <c r="C483" s="692" t="n"/>
      <c r="D483" s="692" t="n"/>
      <c r="E483" s="692" t="n"/>
      <c r="F483" s="692" t="n"/>
      <c r="G483" s="692" t="n"/>
      <c r="H483" s="692" t="n"/>
      <c r="I483" s="692" t="n"/>
      <c r="J483" s="692" t="n"/>
      <c r="K483" s="692" t="n"/>
      <c r="L483" s="692" t="n"/>
      <c r="M483" s="692" t="n"/>
      <c r="N483" s="692" t="n"/>
      <c r="O483" s="692" t="n"/>
      <c r="P483" s="692" t="n"/>
      <c r="Q483" s="692" t="n"/>
      <c r="R483" s="692" t="n"/>
      <c r="S483" s="692" t="n"/>
      <c r="T483" s="692" t="n"/>
      <c r="U483" s="692" t="n"/>
      <c r="V483" s="692" t="n"/>
      <c r="W483" s="692" t="n"/>
      <c r="X483" s="692" t="n"/>
      <c r="Y483" s="692" t="n"/>
      <c r="Z483" s="692" t="n"/>
      <c r="AA483" s="692" t="n"/>
      <c r="AB483" s="692" t="n"/>
      <c r="AC483" s="692" t="n"/>
      <c r="AD483" s="692" t="n"/>
      <c r="AE483" s="692" t="n"/>
      <c r="AF483" s="692" t="n"/>
      <c r="AG483" s="692" t="n"/>
      <c r="AH483" s="692" t="n"/>
      <c r="AI483" s="692" t="n"/>
      <c r="AJ483" s="692" t="n"/>
      <c r="AK483" s="692" t="n"/>
      <c r="AL483" s="692" t="n"/>
      <c r="AM483" s="692" t="n"/>
      <c r="AN483" s="692" t="n"/>
      <c r="AO483" s="692" t="n"/>
      <c r="AP483" s="692" t="n"/>
    </row>
    <row r="484">
      <c r="A484" s="692" t="n"/>
      <c r="B484" s="692" t="n"/>
      <c r="C484" s="692" t="n"/>
      <c r="D484" s="692" t="n"/>
      <c r="E484" s="692" t="n"/>
      <c r="F484" s="692" t="n"/>
      <c r="G484" s="692" t="n"/>
      <c r="H484" s="692" t="n"/>
      <c r="I484" s="692" t="n"/>
      <c r="J484" s="692" t="n"/>
      <c r="K484" s="692" t="n"/>
      <c r="L484" s="692" t="n"/>
      <c r="M484" s="692" t="n"/>
      <c r="N484" s="692" t="n"/>
      <c r="O484" s="692" t="n"/>
      <c r="P484" s="692" t="n"/>
      <c r="Q484" s="692" t="n"/>
      <c r="R484" s="692" t="n"/>
      <c r="S484" s="692" t="n"/>
      <c r="T484" s="692" t="n"/>
      <c r="U484" s="692" t="n"/>
      <c r="V484" s="692" t="n"/>
      <c r="W484" s="692" t="n"/>
      <c r="X484" s="692" t="n"/>
      <c r="Y484" s="692" t="n"/>
      <c r="Z484" s="692" t="n"/>
      <c r="AA484" s="692" t="n"/>
      <c r="AB484" s="692" t="n"/>
      <c r="AC484" s="692" t="n"/>
      <c r="AD484" s="692" t="n"/>
      <c r="AE484" s="692" t="n"/>
      <c r="AF484" s="692" t="n"/>
      <c r="AG484" s="692" t="n"/>
      <c r="AH484" s="692" t="n"/>
      <c r="AI484" s="692" t="n"/>
      <c r="AJ484" s="692" t="n"/>
      <c r="AK484" s="692" t="n"/>
      <c r="AL484" s="692" t="n"/>
      <c r="AM484" s="692" t="n"/>
      <c r="AN484" s="692" t="n"/>
      <c r="AO484" s="692" t="n"/>
      <c r="AP484" s="692" t="n"/>
    </row>
    <row r="485">
      <c r="A485" s="692" t="n"/>
      <c r="B485" s="692" t="n"/>
      <c r="C485" s="692" t="n"/>
      <c r="D485" s="692" t="n"/>
      <c r="E485" s="692" t="n"/>
      <c r="F485" s="692" t="n"/>
      <c r="G485" s="692" t="n"/>
      <c r="H485" s="692" t="n"/>
      <c r="I485" s="692" t="n"/>
      <c r="J485" s="692" t="n"/>
      <c r="K485" s="692" t="n"/>
      <c r="L485" s="692" t="n"/>
      <c r="M485" s="692" t="n"/>
      <c r="N485" s="692" t="n"/>
      <c r="O485" s="692" t="n"/>
      <c r="P485" s="692" t="n"/>
      <c r="Q485" s="692" t="n"/>
      <c r="R485" s="692" t="n"/>
      <c r="S485" s="692" t="n"/>
      <c r="T485" s="692" t="n"/>
      <c r="U485" s="692" t="n"/>
      <c r="V485" s="692" t="n"/>
      <c r="W485" s="692" t="n"/>
      <c r="X485" s="692" t="n"/>
      <c r="Y485" s="692" t="n"/>
      <c r="Z485" s="692" t="n"/>
      <c r="AA485" s="692" t="n"/>
      <c r="AB485" s="692" t="n"/>
      <c r="AC485" s="692" t="n"/>
      <c r="AD485" s="692" t="n"/>
      <c r="AE485" s="692" t="n"/>
      <c r="AF485" s="692" t="n"/>
      <c r="AG485" s="692" t="n"/>
      <c r="AH485" s="692" t="n"/>
      <c r="AI485" s="692" t="n"/>
      <c r="AJ485" s="692" t="n"/>
      <c r="AK485" s="692" t="n"/>
      <c r="AL485" s="692" t="n"/>
      <c r="AM485" s="692" t="n"/>
      <c r="AN485" s="692" t="n"/>
      <c r="AO485" s="692" t="n"/>
      <c r="AP485" s="692" t="n"/>
    </row>
    <row r="486">
      <c r="A486" s="692" t="n"/>
      <c r="B486" s="692" t="n"/>
      <c r="C486" s="692" t="n"/>
      <c r="D486" s="692" t="n"/>
      <c r="E486" s="692" t="n"/>
      <c r="F486" s="692" t="n"/>
      <c r="G486" s="692" t="n"/>
      <c r="H486" s="692" t="n"/>
      <c r="I486" s="692" t="n"/>
      <c r="J486" s="692" t="n"/>
      <c r="K486" s="692" t="n"/>
      <c r="L486" s="692" t="n"/>
      <c r="M486" s="692" t="n"/>
      <c r="N486" s="692" t="n"/>
      <c r="O486" s="692" t="n"/>
      <c r="P486" s="692" t="n"/>
      <c r="Q486" s="692" t="n"/>
      <c r="R486" s="692" t="n"/>
      <c r="S486" s="692" t="n"/>
      <c r="T486" s="692" t="n"/>
      <c r="U486" s="692" t="n"/>
      <c r="V486" s="692" t="n"/>
      <c r="W486" s="692" t="n"/>
      <c r="X486" s="692" t="n"/>
      <c r="Y486" s="692" t="n"/>
      <c r="Z486" s="692" t="n"/>
      <c r="AA486" s="692" t="n"/>
      <c r="AB486" s="692" t="n"/>
      <c r="AC486" s="692" t="n"/>
      <c r="AD486" s="692" t="n"/>
      <c r="AE486" s="692" t="n"/>
      <c r="AF486" s="692" t="n"/>
      <c r="AG486" s="692" t="n"/>
      <c r="AH486" s="692" t="n"/>
      <c r="AI486" s="692" t="n"/>
      <c r="AJ486" s="692" t="n"/>
      <c r="AK486" s="692" t="n"/>
      <c r="AL486" s="692" t="n"/>
      <c r="AM486" s="692" t="n"/>
      <c r="AN486" s="692" t="n"/>
      <c r="AO486" s="692" t="n"/>
      <c r="AP486" s="692" t="n"/>
    </row>
    <row r="487">
      <c r="A487" s="692" t="n"/>
      <c r="B487" s="692" t="n"/>
      <c r="C487" s="692" t="n"/>
      <c r="D487" s="692" t="n"/>
      <c r="E487" s="692" t="n"/>
      <c r="F487" s="692" t="n"/>
      <c r="G487" s="692" t="n"/>
      <c r="H487" s="692" t="n"/>
      <c r="I487" s="692" t="n"/>
      <c r="J487" s="692" t="n"/>
      <c r="K487" s="692" t="n"/>
      <c r="L487" s="692" t="n"/>
      <c r="M487" s="692" t="n"/>
      <c r="N487" s="692" t="n"/>
      <c r="O487" s="692" t="n"/>
      <c r="P487" s="692" t="n"/>
      <c r="Q487" s="692" t="n"/>
      <c r="R487" s="692" t="n"/>
      <c r="S487" s="692" t="n"/>
      <c r="T487" s="692" t="n"/>
      <c r="U487" s="692" t="n"/>
      <c r="V487" s="692" t="n"/>
      <c r="W487" s="692" t="n"/>
      <c r="X487" s="692" t="n"/>
      <c r="Y487" s="692" t="n"/>
      <c r="Z487" s="692" t="n"/>
      <c r="AA487" s="692" t="n"/>
      <c r="AB487" s="692" t="n"/>
      <c r="AC487" s="692" t="n"/>
      <c r="AD487" s="692" t="n"/>
      <c r="AE487" s="692" t="n"/>
      <c r="AF487" s="692" t="n"/>
      <c r="AG487" s="692" t="n"/>
      <c r="AH487" s="692" t="n"/>
      <c r="AI487" s="692" t="n"/>
      <c r="AJ487" s="692" t="n"/>
      <c r="AK487" s="692" t="n"/>
      <c r="AL487" s="692" t="n"/>
      <c r="AM487" s="692" t="n"/>
      <c r="AN487" s="692" t="n"/>
      <c r="AO487" s="692" t="n"/>
      <c r="AP487" s="692" t="n"/>
    </row>
    <row r="488">
      <c r="A488" s="692" t="n"/>
      <c r="B488" s="692" t="n"/>
      <c r="C488" s="692" t="n"/>
      <c r="D488" s="692" t="n"/>
      <c r="E488" s="692" t="n"/>
      <c r="F488" s="692" t="n"/>
      <c r="G488" s="692" t="n"/>
      <c r="H488" s="692" t="n"/>
      <c r="I488" s="692" t="n"/>
      <c r="J488" s="692" t="n"/>
      <c r="K488" s="692" t="n"/>
      <c r="L488" s="692" t="n"/>
      <c r="M488" s="692" t="n"/>
      <c r="N488" s="692" t="n"/>
      <c r="O488" s="692" t="n"/>
      <c r="P488" s="692" t="n"/>
      <c r="Q488" s="692" t="n"/>
      <c r="R488" s="692" t="n"/>
      <c r="S488" s="692" t="n"/>
      <c r="T488" s="692" t="n"/>
      <c r="U488" s="692" t="n"/>
      <c r="V488" s="692" t="n"/>
      <c r="W488" s="692" t="n"/>
      <c r="X488" s="692" t="n"/>
      <c r="Y488" s="692" t="n"/>
      <c r="Z488" s="692" t="n"/>
      <c r="AA488" s="692" t="n"/>
      <c r="AB488" s="692" t="n"/>
      <c r="AC488" s="692" t="n"/>
      <c r="AD488" s="692" t="n"/>
      <c r="AE488" s="692" t="n"/>
      <c r="AF488" s="692" t="n"/>
      <c r="AG488" s="692" t="n"/>
      <c r="AH488" s="692" t="n"/>
      <c r="AI488" s="692" t="n"/>
      <c r="AJ488" s="692" t="n"/>
      <c r="AK488" s="692" t="n"/>
      <c r="AL488" s="692" t="n"/>
      <c r="AM488" s="692" t="n"/>
      <c r="AN488" s="692" t="n"/>
      <c r="AO488" s="692" t="n"/>
      <c r="AP488" s="692" t="n"/>
    </row>
    <row r="489">
      <c r="A489" s="692" t="n"/>
      <c r="B489" s="692" t="n"/>
      <c r="C489" s="692" t="n"/>
      <c r="D489" s="692" t="n"/>
      <c r="E489" s="692" t="n"/>
      <c r="F489" s="692" t="n"/>
      <c r="G489" s="692" t="n"/>
      <c r="H489" s="692" t="n"/>
      <c r="I489" s="692" t="n"/>
      <c r="J489" s="692" t="n"/>
      <c r="K489" s="692" t="n"/>
      <c r="L489" s="692" t="n"/>
      <c r="M489" s="692" t="n"/>
      <c r="N489" s="692" t="n"/>
      <c r="O489" s="692" t="n"/>
      <c r="P489" s="692" t="n"/>
      <c r="Q489" s="692" t="n"/>
      <c r="R489" s="692" t="n"/>
      <c r="S489" s="692" t="n"/>
      <c r="T489" s="692" t="n"/>
      <c r="U489" s="692" t="n"/>
      <c r="V489" s="692" t="n"/>
      <c r="W489" s="692" t="n"/>
      <c r="X489" s="692" t="n"/>
      <c r="Y489" s="692" t="n"/>
      <c r="Z489" s="692" t="n"/>
      <c r="AA489" s="692" t="n"/>
      <c r="AB489" s="692" t="n"/>
      <c r="AC489" s="692" t="n"/>
      <c r="AD489" s="692" t="n"/>
      <c r="AE489" s="692" t="n"/>
      <c r="AF489" s="692" t="n"/>
      <c r="AG489" s="692" t="n"/>
      <c r="AH489" s="692" t="n"/>
      <c r="AI489" s="692" t="n"/>
      <c r="AJ489" s="692" t="n"/>
      <c r="AK489" s="692" t="n"/>
      <c r="AL489" s="692" t="n"/>
      <c r="AM489" s="692" t="n"/>
      <c r="AN489" s="692" t="n"/>
      <c r="AO489" s="692" t="n"/>
      <c r="AP489" s="692" t="n"/>
    </row>
    <row r="490">
      <c r="A490" s="692" t="n"/>
      <c r="B490" s="692" t="n"/>
      <c r="C490" s="692" t="n"/>
      <c r="D490" s="692" t="n"/>
      <c r="E490" s="692" t="n"/>
      <c r="F490" s="692" t="n"/>
      <c r="G490" s="692" t="n"/>
      <c r="H490" s="692" t="n"/>
      <c r="I490" s="692" t="n"/>
      <c r="J490" s="692" t="n"/>
      <c r="K490" s="692" t="n"/>
      <c r="L490" s="692" t="n"/>
      <c r="M490" s="692" t="n"/>
      <c r="N490" s="692" t="n"/>
      <c r="O490" s="692" t="n"/>
      <c r="P490" s="692" t="n"/>
      <c r="Q490" s="692" t="n"/>
      <c r="R490" s="692" t="n"/>
      <c r="S490" s="692" t="n"/>
      <c r="T490" s="692" t="n"/>
      <c r="U490" s="692" t="n"/>
      <c r="V490" s="692" t="n"/>
      <c r="W490" s="692" t="n"/>
      <c r="X490" s="692" t="n"/>
      <c r="Y490" s="692" t="n"/>
      <c r="Z490" s="692" t="n"/>
      <c r="AA490" s="692" t="n"/>
      <c r="AB490" s="692" t="n"/>
      <c r="AC490" s="692" t="n"/>
      <c r="AD490" s="692" t="n"/>
      <c r="AE490" s="692" t="n"/>
      <c r="AF490" s="692" t="n"/>
      <c r="AG490" s="692" t="n"/>
      <c r="AH490" s="692" t="n"/>
      <c r="AI490" s="692" t="n"/>
      <c r="AJ490" s="692" t="n"/>
      <c r="AK490" s="692" t="n"/>
      <c r="AL490" s="692" t="n"/>
      <c r="AM490" s="692" t="n"/>
      <c r="AN490" s="692" t="n"/>
      <c r="AO490" s="692" t="n"/>
      <c r="AP490" s="692" t="n"/>
    </row>
    <row r="491">
      <c r="A491" s="692" t="n"/>
      <c r="B491" s="692" t="n"/>
      <c r="C491" s="692" t="n"/>
      <c r="D491" s="692" t="n"/>
      <c r="E491" s="692" t="n"/>
      <c r="F491" s="692" t="n"/>
      <c r="G491" s="692" t="n"/>
      <c r="H491" s="692" t="n"/>
      <c r="I491" s="692" t="n"/>
      <c r="J491" s="692" t="n"/>
      <c r="K491" s="692" t="n"/>
      <c r="L491" s="692" t="n"/>
      <c r="M491" s="692" t="n"/>
      <c r="N491" s="692" t="n"/>
      <c r="O491" s="692" t="n"/>
      <c r="P491" s="692" t="n"/>
      <c r="Q491" s="692" t="n"/>
      <c r="R491" s="692" t="n"/>
      <c r="S491" s="692" t="n"/>
      <c r="T491" s="692" t="n"/>
      <c r="U491" s="692" t="n"/>
      <c r="V491" s="692" t="n"/>
      <c r="W491" s="692" t="n"/>
      <c r="X491" s="692" t="n"/>
      <c r="Y491" s="692" t="n"/>
      <c r="Z491" s="692" t="n"/>
      <c r="AA491" s="692" t="n"/>
      <c r="AB491" s="692" t="n"/>
      <c r="AC491" s="692" t="n"/>
      <c r="AD491" s="692" t="n"/>
      <c r="AE491" s="692" t="n"/>
      <c r="AF491" s="692" t="n"/>
      <c r="AG491" s="692" t="n"/>
      <c r="AH491" s="692" t="n"/>
      <c r="AI491" s="692" t="n"/>
      <c r="AJ491" s="692" t="n"/>
      <c r="AK491" s="692" t="n"/>
      <c r="AL491" s="692" t="n"/>
      <c r="AM491" s="692" t="n"/>
      <c r="AN491" s="692" t="n"/>
      <c r="AO491" s="692" t="n"/>
      <c r="AP491" s="692" t="n"/>
    </row>
    <row r="492">
      <c r="A492" s="692" t="n"/>
      <c r="B492" s="692" t="n"/>
      <c r="C492" s="692" t="n"/>
      <c r="D492" s="692" t="n"/>
      <c r="E492" s="692" t="n"/>
      <c r="F492" s="692" t="n"/>
      <c r="G492" s="692" t="n"/>
      <c r="H492" s="692" t="n"/>
      <c r="I492" s="692" t="n"/>
      <c r="J492" s="692" t="n"/>
      <c r="K492" s="692" t="n"/>
      <c r="L492" s="692" t="n"/>
      <c r="M492" s="692" t="n"/>
      <c r="N492" s="692" t="n"/>
      <c r="O492" s="692" t="n"/>
      <c r="P492" s="692" t="n"/>
      <c r="Q492" s="692" t="n"/>
      <c r="R492" s="692" t="n"/>
      <c r="S492" s="692" t="n"/>
      <c r="T492" s="692" t="n"/>
      <c r="U492" s="692" t="n"/>
      <c r="V492" s="692" t="n"/>
      <c r="W492" s="692" t="n"/>
      <c r="X492" s="692" t="n"/>
      <c r="Y492" s="692" t="n"/>
      <c r="Z492" s="692" t="n"/>
      <c r="AA492" s="692" t="n"/>
      <c r="AB492" s="692" t="n"/>
      <c r="AC492" s="692" t="n"/>
      <c r="AD492" s="692" t="n"/>
      <c r="AE492" s="692" t="n"/>
      <c r="AF492" s="692" t="n"/>
      <c r="AG492" s="692" t="n"/>
      <c r="AH492" s="692" t="n"/>
      <c r="AI492" s="692" t="n"/>
      <c r="AJ492" s="692" t="n"/>
      <c r="AK492" s="692" t="n"/>
      <c r="AL492" s="692" t="n"/>
      <c r="AM492" s="692" t="n"/>
      <c r="AN492" s="692" t="n"/>
      <c r="AO492" s="692" t="n"/>
      <c r="AP492" s="692" t="n"/>
    </row>
    <row r="493">
      <c r="A493" s="692" t="n"/>
      <c r="B493" s="692" t="n"/>
      <c r="C493" s="692" t="n"/>
      <c r="D493" s="692" t="n"/>
      <c r="E493" s="692" t="n"/>
      <c r="F493" s="692" t="n"/>
      <c r="G493" s="692" t="n"/>
      <c r="H493" s="692" t="n"/>
      <c r="I493" s="692" t="n"/>
      <c r="J493" s="692" t="n"/>
      <c r="K493" s="692" t="n"/>
      <c r="L493" s="692" t="n"/>
      <c r="M493" s="692" t="n"/>
      <c r="N493" s="692" t="n"/>
      <c r="O493" s="692" t="n"/>
      <c r="P493" s="692" t="n"/>
      <c r="Q493" s="692" t="n"/>
      <c r="R493" s="692" t="n"/>
      <c r="S493" s="692" t="n"/>
      <c r="T493" s="692" t="n"/>
      <c r="U493" s="692" t="n"/>
      <c r="V493" s="692" t="n"/>
      <c r="W493" s="692" t="n"/>
      <c r="X493" s="692" t="n"/>
      <c r="Y493" s="692" t="n"/>
      <c r="Z493" s="692" t="n"/>
      <c r="AA493" s="692" t="n"/>
      <c r="AB493" s="692" t="n"/>
      <c r="AC493" s="692" t="n"/>
      <c r="AD493" s="692" t="n"/>
      <c r="AE493" s="692" t="n"/>
      <c r="AF493" s="692" t="n"/>
      <c r="AG493" s="692" t="n"/>
      <c r="AH493" s="692" t="n"/>
      <c r="AI493" s="692" t="n"/>
      <c r="AJ493" s="692" t="n"/>
      <c r="AK493" s="692" t="n"/>
      <c r="AL493" s="692" t="n"/>
      <c r="AM493" s="692" t="n"/>
      <c r="AN493" s="692" t="n"/>
      <c r="AO493" s="692" t="n"/>
      <c r="AP493" s="692" t="n"/>
    </row>
    <row r="494">
      <c r="A494" s="692" t="n"/>
      <c r="B494" s="692" t="n"/>
      <c r="C494" s="692" t="n"/>
      <c r="D494" s="692" t="n"/>
      <c r="E494" s="692" t="n"/>
      <c r="F494" s="692" t="n"/>
      <c r="G494" s="692" t="n"/>
      <c r="H494" s="692" t="n"/>
      <c r="I494" s="692" t="n"/>
      <c r="J494" s="692" t="n"/>
      <c r="K494" s="692" t="n"/>
      <c r="L494" s="692" t="n"/>
      <c r="M494" s="692" t="n"/>
      <c r="N494" s="692" t="n"/>
      <c r="O494" s="692" t="n"/>
      <c r="P494" s="692" t="n"/>
      <c r="Q494" s="692" t="n"/>
      <c r="R494" s="692" t="n"/>
      <c r="S494" s="692" t="n"/>
      <c r="T494" s="692" t="n"/>
      <c r="U494" s="692" t="n"/>
      <c r="V494" s="692" t="n"/>
      <c r="W494" s="692" t="n"/>
      <c r="X494" s="692" t="n"/>
      <c r="Y494" s="692" t="n"/>
      <c r="Z494" s="692" t="n"/>
      <c r="AA494" s="692" t="n"/>
      <c r="AB494" s="692" t="n"/>
      <c r="AC494" s="692" t="n"/>
      <c r="AD494" s="692" t="n"/>
      <c r="AE494" s="692" t="n"/>
      <c r="AF494" s="692" t="n"/>
      <c r="AG494" s="692" t="n"/>
      <c r="AH494" s="692" t="n"/>
      <c r="AI494" s="692" t="n"/>
      <c r="AJ494" s="692" t="n"/>
      <c r="AK494" s="692" t="n"/>
      <c r="AL494" s="692" t="n"/>
      <c r="AM494" s="692" t="n"/>
      <c r="AN494" s="692" t="n"/>
      <c r="AO494" s="692" t="n"/>
      <c r="AP494" s="692" t="n"/>
    </row>
    <row r="495">
      <c r="A495" s="692" t="n"/>
      <c r="B495" s="692" t="n"/>
      <c r="C495" s="692" t="n"/>
      <c r="D495" s="692" t="n"/>
      <c r="E495" s="692" t="n"/>
      <c r="F495" s="692" t="n"/>
      <c r="G495" s="692" t="n"/>
      <c r="H495" s="692" t="n"/>
      <c r="I495" s="692" t="n"/>
      <c r="J495" s="692" t="n"/>
      <c r="K495" s="692" t="n"/>
      <c r="L495" s="692" t="n"/>
      <c r="M495" s="692" t="n"/>
      <c r="N495" s="692" t="n"/>
      <c r="O495" s="692" t="n"/>
      <c r="P495" s="692" t="n"/>
      <c r="Q495" s="692" t="n"/>
      <c r="R495" s="692" t="n"/>
      <c r="S495" s="692" t="n"/>
      <c r="T495" s="692" t="n"/>
      <c r="U495" s="692" t="n"/>
      <c r="V495" s="692" t="n"/>
      <c r="W495" s="692" t="n"/>
      <c r="X495" s="692" t="n"/>
      <c r="Y495" s="692" t="n"/>
      <c r="Z495" s="692" t="n"/>
      <c r="AA495" s="692" t="n"/>
      <c r="AB495" s="692" t="n"/>
      <c r="AC495" s="692" t="n"/>
      <c r="AD495" s="692" t="n"/>
      <c r="AE495" s="692" t="n"/>
      <c r="AF495" s="692" t="n"/>
      <c r="AG495" s="692" t="n"/>
      <c r="AH495" s="692" t="n"/>
      <c r="AI495" s="692" t="n"/>
      <c r="AJ495" s="692" t="n"/>
      <c r="AK495" s="692" t="n"/>
      <c r="AL495" s="692" t="n"/>
      <c r="AM495" s="692" t="n"/>
      <c r="AN495" s="692" t="n"/>
      <c r="AO495" s="692" t="n"/>
      <c r="AP495" s="692" t="n"/>
    </row>
    <row r="496">
      <c r="A496" s="692" t="n"/>
      <c r="B496" s="692" t="n"/>
      <c r="C496" s="692" t="n"/>
      <c r="D496" s="692" t="n"/>
      <c r="E496" s="692" t="n"/>
      <c r="F496" s="692" t="n"/>
      <c r="G496" s="692" t="n"/>
      <c r="H496" s="692" t="n"/>
      <c r="I496" s="692" t="n"/>
      <c r="J496" s="692" t="n"/>
      <c r="K496" s="692" t="n"/>
      <c r="L496" s="692" t="n"/>
      <c r="M496" s="692" t="n"/>
      <c r="N496" s="692" t="n"/>
      <c r="O496" s="692" t="n"/>
      <c r="P496" s="692" t="n"/>
      <c r="Q496" s="692" t="n"/>
      <c r="R496" s="692" t="n"/>
      <c r="S496" s="692" t="n"/>
      <c r="T496" s="692" t="n"/>
      <c r="U496" s="692" t="n"/>
      <c r="V496" s="692" t="n"/>
      <c r="W496" s="692" t="n"/>
      <c r="X496" s="692" t="n"/>
      <c r="Y496" s="692" t="n"/>
      <c r="Z496" s="692" t="n"/>
      <c r="AA496" s="692" t="n"/>
      <c r="AB496" s="692" t="n"/>
      <c r="AC496" s="692" t="n"/>
      <c r="AD496" s="692" t="n"/>
      <c r="AE496" s="692" t="n"/>
      <c r="AF496" s="692" t="n"/>
      <c r="AG496" s="692" t="n"/>
      <c r="AH496" s="692" t="n"/>
      <c r="AI496" s="692" t="n"/>
      <c r="AJ496" s="692" t="n"/>
      <c r="AK496" s="692" t="n"/>
      <c r="AL496" s="692" t="n"/>
      <c r="AM496" s="692" t="n"/>
      <c r="AN496" s="692" t="n"/>
      <c r="AO496" s="692" t="n"/>
      <c r="AP496" s="692" t="n"/>
    </row>
    <row r="497">
      <c r="A497" s="692" t="n"/>
      <c r="B497" s="692" t="n"/>
      <c r="C497" s="692" t="n"/>
      <c r="D497" s="692" t="n"/>
      <c r="E497" s="692" t="n"/>
      <c r="F497" s="692" t="n"/>
      <c r="G497" s="692" t="n"/>
      <c r="H497" s="692" t="n"/>
      <c r="I497" s="692" t="n"/>
      <c r="J497" s="692" t="n"/>
      <c r="K497" s="692" t="n"/>
      <c r="L497" s="692" t="n"/>
      <c r="M497" s="692" t="n"/>
      <c r="N497" s="692" t="n"/>
      <c r="O497" s="692" t="n"/>
      <c r="P497" s="692" t="n"/>
      <c r="Q497" s="692" t="n"/>
      <c r="R497" s="692" t="n"/>
      <c r="S497" s="692" t="n"/>
      <c r="T497" s="692" t="n"/>
      <c r="U497" s="692" t="n"/>
      <c r="V497" s="692" t="n"/>
      <c r="W497" s="692" t="n"/>
      <c r="X497" s="692" t="n"/>
      <c r="Y497" s="692" t="n"/>
      <c r="Z497" s="692" t="n"/>
      <c r="AA497" s="692" t="n"/>
      <c r="AB497" s="692" t="n"/>
      <c r="AC497" s="692" t="n"/>
      <c r="AD497" s="692" t="n"/>
      <c r="AE497" s="692" t="n"/>
      <c r="AF497" s="692" t="n"/>
      <c r="AG497" s="692" t="n"/>
      <c r="AH497" s="692" t="n"/>
      <c r="AI497" s="692" t="n"/>
      <c r="AJ497" s="692" t="n"/>
      <c r="AK497" s="692" t="n"/>
      <c r="AL497" s="692" t="n"/>
      <c r="AM497" s="692" t="n"/>
      <c r="AN497" s="692" t="n"/>
      <c r="AO497" s="692" t="n"/>
      <c r="AP497" s="692" t="n"/>
    </row>
    <row r="498">
      <c r="A498" s="692" t="n"/>
      <c r="B498" s="692" t="n"/>
      <c r="C498" s="692" t="n"/>
      <c r="D498" s="692" t="n"/>
      <c r="E498" s="692" t="n"/>
      <c r="F498" s="692" t="n"/>
      <c r="G498" s="692" t="n"/>
      <c r="H498" s="692" t="n"/>
      <c r="I498" s="692" t="n"/>
      <c r="J498" s="692" t="n"/>
      <c r="K498" s="692" t="n"/>
      <c r="L498" s="692" t="n"/>
      <c r="M498" s="692" t="n"/>
      <c r="N498" s="692" t="n"/>
      <c r="O498" s="692" t="n"/>
      <c r="P498" s="692" t="n"/>
      <c r="Q498" s="692" t="n"/>
      <c r="R498" s="692" t="n"/>
      <c r="S498" s="692" t="n"/>
      <c r="T498" s="692" t="n"/>
      <c r="U498" s="692" t="n"/>
      <c r="V498" s="692" t="n"/>
      <c r="W498" s="692" t="n"/>
      <c r="X498" s="692" t="n"/>
      <c r="Y498" s="692" t="n"/>
      <c r="Z498" s="692" t="n"/>
      <c r="AA498" s="692" t="n"/>
      <c r="AB498" s="692" t="n"/>
      <c r="AC498" s="692" t="n"/>
      <c r="AD498" s="692" t="n"/>
      <c r="AE498" s="692" t="n"/>
      <c r="AF498" s="692" t="n"/>
      <c r="AG498" s="692" t="n"/>
      <c r="AH498" s="692" t="n"/>
      <c r="AI498" s="692" t="n"/>
      <c r="AJ498" s="692" t="n"/>
      <c r="AK498" s="692" t="n"/>
      <c r="AL498" s="692" t="n"/>
      <c r="AM498" s="692" t="n"/>
      <c r="AN498" s="692" t="n"/>
      <c r="AO498" s="692" t="n"/>
      <c r="AP498" s="692" t="n"/>
    </row>
    <row r="499">
      <c r="A499" s="692" t="n"/>
      <c r="B499" s="692" t="n"/>
      <c r="C499" s="692" t="n"/>
      <c r="D499" s="692" t="n"/>
      <c r="E499" s="692" t="n"/>
      <c r="F499" s="692" t="n"/>
      <c r="G499" s="692" t="n"/>
      <c r="H499" s="692" t="n"/>
      <c r="I499" s="692" t="n"/>
      <c r="J499" s="692" t="n"/>
      <c r="K499" s="692" t="n"/>
      <c r="L499" s="692" t="n"/>
      <c r="M499" s="692" t="n"/>
      <c r="N499" s="692" t="n"/>
      <c r="O499" s="692" t="n"/>
      <c r="P499" s="692" t="n"/>
      <c r="Q499" s="692" t="n"/>
      <c r="R499" s="692" t="n"/>
      <c r="S499" s="692" t="n"/>
      <c r="T499" s="692" t="n"/>
      <c r="U499" s="692" t="n"/>
      <c r="V499" s="692" t="n"/>
      <c r="W499" s="692" t="n"/>
      <c r="X499" s="692" t="n"/>
      <c r="Y499" s="692" t="n"/>
      <c r="Z499" s="692" t="n"/>
      <c r="AA499" s="692" t="n"/>
      <c r="AB499" s="692" t="n"/>
      <c r="AC499" s="692" t="n"/>
      <c r="AD499" s="692" t="n"/>
      <c r="AE499" s="692" t="n"/>
      <c r="AF499" s="692" t="n"/>
      <c r="AG499" s="692" t="n"/>
      <c r="AH499" s="692" t="n"/>
      <c r="AI499" s="692" t="n"/>
      <c r="AJ499" s="692" t="n"/>
      <c r="AK499" s="692" t="n"/>
      <c r="AL499" s="692" t="n"/>
      <c r="AM499" s="692" t="n"/>
      <c r="AN499" s="692" t="n"/>
      <c r="AO499" s="692" t="n"/>
      <c r="AP499" s="692" t="n"/>
    </row>
    <row r="500">
      <c r="A500" s="692" t="n"/>
      <c r="B500" s="692" t="n"/>
      <c r="C500" s="692" t="n"/>
      <c r="D500" s="692" t="n"/>
      <c r="E500" s="692" t="n"/>
      <c r="F500" s="692" t="n"/>
      <c r="G500" s="692" t="n"/>
      <c r="H500" s="692" t="n"/>
      <c r="I500" s="692" t="n"/>
      <c r="J500" s="692" t="n"/>
      <c r="K500" s="692" t="n"/>
      <c r="L500" s="692" t="n"/>
      <c r="M500" s="692" t="n"/>
      <c r="N500" s="692" t="n"/>
      <c r="O500" s="692" t="n"/>
      <c r="P500" s="692" t="n"/>
      <c r="Q500" s="692" t="n"/>
      <c r="R500" s="692" t="n"/>
      <c r="S500" s="692" t="n"/>
      <c r="T500" s="692" t="n"/>
      <c r="U500" s="692" t="n"/>
      <c r="V500" s="692" t="n"/>
      <c r="W500" s="692" t="n"/>
      <c r="X500" s="692" t="n"/>
      <c r="Y500" s="692" t="n"/>
      <c r="Z500" s="692" t="n"/>
      <c r="AA500" s="692" t="n"/>
      <c r="AB500" s="692" t="n"/>
      <c r="AC500" s="692" t="n"/>
      <c r="AD500" s="692" t="n"/>
      <c r="AE500" s="692" t="n"/>
      <c r="AF500" s="692" t="n"/>
      <c r="AG500" s="692" t="n"/>
      <c r="AH500" s="692" t="n"/>
      <c r="AI500" s="692" t="n"/>
      <c r="AJ500" s="692" t="n"/>
      <c r="AK500" s="692" t="n"/>
      <c r="AL500" s="692" t="n"/>
      <c r="AM500" s="692" t="n"/>
      <c r="AN500" s="692" t="n"/>
      <c r="AO500" s="692" t="n"/>
      <c r="AP500" s="692" t="n"/>
    </row>
    <row r="501">
      <c r="A501" s="692" t="n"/>
      <c r="B501" s="692" t="n"/>
      <c r="C501" s="692" t="n"/>
      <c r="D501" s="692" t="n"/>
      <c r="E501" s="692" t="n"/>
      <c r="F501" s="692" t="n"/>
      <c r="G501" s="692" t="n"/>
      <c r="H501" s="692" t="n"/>
      <c r="I501" s="692" t="n"/>
      <c r="J501" s="692" t="n"/>
      <c r="K501" s="692" t="n"/>
      <c r="L501" s="692" t="n"/>
      <c r="M501" s="692" t="n"/>
      <c r="N501" s="692" t="n"/>
      <c r="O501" s="692" t="n"/>
      <c r="P501" s="692" t="n"/>
      <c r="Q501" s="692" t="n"/>
      <c r="R501" s="692" t="n"/>
      <c r="S501" s="692" t="n"/>
      <c r="T501" s="692" t="n"/>
      <c r="U501" s="692" t="n"/>
      <c r="V501" s="692" t="n"/>
      <c r="W501" s="692" t="n"/>
      <c r="X501" s="692" t="n"/>
      <c r="Y501" s="692" t="n"/>
      <c r="Z501" s="692" t="n"/>
      <c r="AA501" s="692" t="n"/>
      <c r="AB501" s="692" t="n"/>
      <c r="AC501" s="692" t="n"/>
      <c r="AD501" s="692" t="n"/>
      <c r="AE501" s="692" t="n"/>
      <c r="AF501" s="692" t="n"/>
      <c r="AG501" s="692" t="n"/>
      <c r="AH501" s="692" t="n"/>
      <c r="AI501" s="692" t="n"/>
      <c r="AJ501" s="692" t="n"/>
      <c r="AK501" s="692" t="n"/>
      <c r="AL501" s="692" t="n"/>
      <c r="AM501" s="692" t="n"/>
      <c r="AN501" s="692" t="n"/>
      <c r="AO501" s="692" t="n"/>
      <c r="AP501" s="692" t="n"/>
    </row>
    <row r="502">
      <c r="A502" s="692" t="n"/>
      <c r="B502" s="692" t="n"/>
      <c r="C502" s="692" t="n"/>
      <c r="D502" s="692" t="n"/>
      <c r="E502" s="692" t="n"/>
      <c r="F502" s="692" t="n"/>
      <c r="G502" s="692" t="n"/>
      <c r="H502" s="692" t="n"/>
      <c r="I502" s="692" t="n"/>
      <c r="J502" s="692" t="n"/>
      <c r="K502" s="692" t="n"/>
      <c r="L502" s="692" t="n"/>
      <c r="M502" s="692" t="n"/>
      <c r="N502" s="692" t="n"/>
      <c r="O502" s="692" t="n"/>
      <c r="P502" s="692" t="n"/>
      <c r="Q502" s="692" t="n"/>
      <c r="R502" s="692" t="n"/>
      <c r="S502" s="692" t="n"/>
      <c r="T502" s="692" t="n"/>
      <c r="U502" s="692" t="n"/>
      <c r="V502" s="692" t="n"/>
      <c r="W502" s="692" t="n"/>
      <c r="X502" s="692" t="n"/>
      <c r="Y502" s="692" t="n"/>
      <c r="Z502" s="692" t="n"/>
      <c r="AA502" s="692" t="n"/>
      <c r="AB502" s="692" t="n"/>
      <c r="AC502" s="692" t="n"/>
      <c r="AD502" s="692" t="n"/>
      <c r="AE502" s="692" t="n"/>
      <c r="AF502" s="692" t="n"/>
      <c r="AG502" s="692" t="n"/>
      <c r="AH502" s="692" t="n"/>
      <c r="AI502" s="692" t="n"/>
      <c r="AJ502" s="692" t="n"/>
      <c r="AK502" s="692" t="n"/>
      <c r="AL502" s="692" t="n"/>
      <c r="AM502" s="692" t="n"/>
      <c r="AN502" s="692" t="n"/>
      <c r="AO502" s="692" t="n"/>
      <c r="AP502" s="692" t="n"/>
    </row>
    <row r="503">
      <c r="A503" s="692" t="n"/>
      <c r="B503" s="692" t="n"/>
      <c r="C503" s="692" t="n"/>
      <c r="D503" s="692" t="n"/>
      <c r="E503" s="692" t="n"/>
      <c r="F503" s="692" t="n"/>
      <c r="G503" s="692" t="n"/>
      <c r="H503" s="692" t="n"/>
      <c r="I503" s="692" t="n"/>
      <c r="J503" s="692" t="n"/>
      <c r="K503" s="692" t="n"/>
      <c r="L503" s="692" t="n"/>
      <c r="M503" s="692" t="n"/>
      <c r="N503" s="692" t="n"/>
      <c r="O503" s="692" t="n"/>
      <c r="P503" s="692" t="n"/>
      <c r="Q503" s="692" t="n"/>
      <c r="R503" s="692" t="n"/>
      <c r="S503" s="692" t="n"/>
      <c r="T503" s="692" t="n"/>
      <c r="U503" s="692" t="n"/>
      <c r="V503" s="692" t="n"/>
      <c r="W503" s="692" t="n"/>
      <c r="X503" s="692" t="n"/>
      <c r="Y503" s="692" t="n"/>
      <c r="Z503" s="692" t="n"/>
      <c r="AA503" s="692" t="n"/>
      <c r="AB503" s="692" t="n"/>
      <c r="AC503" s="692" t="n"/>
      <c r="AD503" s="692" t="n"/>
      <c r="AE503" s="692" t="n"/>
      <c r="AF503" s="692" t="n"/>
      <c r="AG503" s="692" t="n"/>
      <c r="AH503" s="692" t="n"/>
      <c r="AI503" s="692" t="n"/>
      <c r="AJ503" s="692" t="n"/>
      <c r="AK503" s="692" t="n"/>
      <c r="AL503" s="692" t="n"/>
      <c r="AM503" s="692" t="n"/>
      <c r="AN503" s="692" t="n"/>
      <c r="AO503" s="692" t="n"/>
      <c r="AP503" s="692" t="n"/>
    </row>
    <row r="504">
      <c r="A504" s="692" t="n"/>
      <c r="B504" s="692" t="n"/>
      <c r="C504" s="692" t="n"/>
      <c r="D504" s="692" t="n"/>
      <c r="E504" s="692" t="n"/>
      <c r="F504" s="692" t="n"/>
      <c r="G504" s="692" t="n"/>
      <c r="H504" s="692" t="n"/>
      <c r="I504" s="692" t="n"/>
      <c r="J504" s="692" t="n"/>
      <c r="K504" s="692" t="n"/>
      <c r="L504" s="692" t="n"/>
      <c r="M504" s="692" t="n"/>
      <c r="N504" s="692" t="n"/>
      <c r="O504" s="692" t="n"/>
      <c r="P504" s="692" t="n"/>
      <c r="Q504" s="692" t="n"/>
      <c r="R504" s="692" t="n"/>
      <c r="S504" s="692" t="n"/>
      <c r="T504" s="692" t="n"/>
      <c r="U504" s="692" t="n"/>
      <c r="V504" s="692" t="n"/>
      <c r="W504" s="692" t="n"/>
      <c r="X504" s="692" t="n"/>
      <c r="Y504" s="692" t="n"/>
      <c r="Z504" s="692" t="n"/>
      <c r="AA504" s="692" t="n"/>
      <c r="AB504" s="692" t="n"/>
      <c r="AC504" s="692" t="n"/>
      <c r="AD504" s="692" t="n"/>
      <c r="AE504" s="692" t="n"/>
      <c r="AF504" s="692" t="n"/>
      <c r="AG504" s="692" t="n"/>
      <c r="AH504" s="692" t="n"/>
      <c r="AI504" s="692" t="n"/>
      <c r="AJ504" s="692" t="n"/>
      <c r="AK504" s="692" t="n"/>
      <c r="AL504" s="692" t="n"/>
      <c r="AM504" s="692" t="n"/>
      <c r="AN504" s="692" t="n"/>
      <c r="AO504" s="692" t="n"/>
      <c r="AP504" s="692" t="n"/>
    </row>
    <row r="505">
      <c r="A505" s="692" t="n"/>
      <c r="B505" s="692" t="n"/>
      <c r="C505" s="692" t="n"/>
      <c r="D505" s="692" t="n"/>
      <c r="E505" s="692" t="n"/>
      <c r="F505" s="692" t="n"/>
      <c r="G505" s="692" t="n"/>
      <c r="H505" s="692" t="n"/>
      <c r="I505" s="692" t="n"/>
      <c r="J505" s="692" t="n"/>
      <c r="K505" s="692" t="n"/>
      <c r="L505" s="692" t="n"/>
      <c r="M505" s="692" t="n"/>
      <c r="N505" s="692" t="n"/>
      <c r="O505" s="692" t="n"/>
      <c r="P505" s="692" t="n"/>
      <c r="Q505" s="692" t="n"/>
      <c r="R505" s="692" t="n"/>
      <c r="S505" s="692" t="n"/>
      <c r="T505" s="692" t="n"/>
      <c r="U505" s="692" t="n"/>
      <c r="V505" s="692" t="n"/>
      <c r="W505" s="692" t="n"/>
      <c r="X505" s="692" t="n"/>
      <c r="Y505" s="692" t="n"/>
      <c r="Z505" s="692" t="n"/>
      <c r="AA505" s="692" t="n"/>
      <c r="AB505" s="692" t="n"/>
      <c r="AC505" s="692" t="n"/>
      <c r="AD505" s="692" t="n"/>
      <c r="AE505" s="692" t="n"/>
      <c r="AF505" s="692" t="n"/>
      <c r="AG505" s="692" t="n"/>
      <c r="AH505" s="692" t="n"/>
      <c r="AI505" s="692" t="n"/>
      <c r="AJ505" s="692" t="n"/>
      <c r="AK505" s="692" t="n"/>
      <c r="AL505" s="692" t="n"/>
      <c r="AM505" s="692" t="n"/>
      <c r="AN505" s="692" t="n"/>
      <c r="AO505" s="692" t="n"/>
      <c r="AP505" s="692" t="n"/>
    </row>
    <row r="506">
      <c r="A506" s="692" t="n"/>
      <c r="B506" s="692" t="n"/>
      <c r="C506" s="692" t="n"/>
      <c r="D506" s="692" t="n"/>
      <c r="E506" s="692" t="n"/>
      <c r="F506" s="692" t="n"/>
      <c r="G506" s="692" t="n"/>
      <c r="H506" s="692" t="n"/>
      <c r="I506" s="692" t="n"/>
      <c r="J506" s="692" t="n"/>
      <c r="K506" s="692" t="n"/>
      <c r="L506" s="692" t="n"/>
      <c r="M506" s="692" t="n"/>
      <c r="N506" s="692" t="n"/>
      <c r="O506" s="692" t="n"/>
      <c r="P506" s="692" t="n"/>
      <c r="Q506" s="692" t="n"/>
      <c r="R506" s="692" t="n"/>
      <c r="S506" s="692" t="n"/>
      <c r="T506" s="692" t="n"/>
      <c r="U506" s="692" t="n"/>
      <c r="V506" s="692" t="n"/>
      <c r="W506" s="692" t="n"/>
      <c r="X506" s="692" t="n"/>
      <c r="Y506" s="692" t="n"/>
      <c r="Z506" s="692" t="n"/>
      <c r="AA506" s="692" t="n"/>
      <c r="AB506" s="692" t="n"/>
      <c r="AC506" s="692" t="n"/>
      <c r="AD506" s="692" t="n"/>
      <c r="AE506" s="692" t="n"/>
      <c r="AF506" s="692" t="n"/>
      <c r="AG506" s="692" t="n"/>
      <c r="AH506" s="692" t="n"/>
      <c r="AI506" s="692" t="n"/>
      <c r="AJ506" s="692" t="n"/>
      <c r="AK506" s="692" t="n"/>
      <c r="AL506" s="692" t="n"/>
      <c r="AM506" s="692" t="n"/>
      <c r="AN506" s="692" t="n"/>
      <c r="AO506" s="692" t="n"/>
      <c r="AP506" s="692" t="n"/>
    </row>
    <row r="507">
      <c r="A507" s="692" t="n"/>
      <c r="B507" s="692" t="n"/>
      <c r="C507" s="692" t="n"/>
      <c r="D507" s="692" t="n"/>
      <c r="E507" s="692" t="n"/>
      <c r="F507" s="692" t="n"/>
      <c r="G507" s="692" t="n"/>
      <c r="H507" s="692" t="n"/>
      <c r="I507" s="692" t="n"/>
      <c r="J507" s="692" t="n"/>
      <c r="K507" s="692" t="n"/>
      <c r="L507" s="692" t="n"/>
      <c r="M507" s="692" t="n"/>
      <c r="N507" s="692" t="n"/>
      <c r="O507" s="692" t="n"/>
      <c r="P507" s="692" t="n"/>
      <c r="Q507" s="692" t="n"/>
      <c r="R507" s="692" t="n"/>
      <c r="S507" s="692" t="n"/>
      <c r="T507" s="692" t="n"/>
      <c r="U507" s="692" t="n"/>
      <c r="V507" s="692" t="n"/>
      <c r="W507" s="692" t="n"/>
      <c r="X507" s="692" t="n"/>
      <c r="Y507" s="692" t="n"/>
      <c r="Z507" s="692" t="n"/>
      <c r="AA507" s="692" t="n"/>
      <c r="AB507" s="692" t="n"/>
      <c r="AC507" s="692" t="n"/>
      <c r="AD507" s="692" t="n"/>
      <c r="AE507" s="692" t="n"/>
      <c r="AF507" s="692" t="n"/>
      <c r="AG507" s="692" t="n"/>
      <c r="AH507" s="692" t="n"/>
      <c r="AI507" s="692" t="n"/>
      <c r="AJ507" s="692" t="n"/>
      <c r="AK507" s="692" t="n"/>
      <c r="AL507" s="692" t="n"/>
      <c r="AM507" s="692" t="n"/>
      <c r="AN507" s="692" t="n"/>
      <c r="AO507" s="692" t="n"/>
      <c r="AP507" s="692" t="n"/>
    </row>
    <row r="508">
      <c r="A508" s="692" t="n"/>
      <c r="B508" s="692" t="n"/>
      <c r="C508" s="692" t="n"/>
      <c r="D508" s="692" t="n"/>
      <c r="E508" s="692" t="n"/>
      <c r="F508" s="692" t="n"/>
      <c r="G508" s="692" t="n"/>
      <c r="H508" s="692" t="n"/>
      <c r="I508" s="692" t="n"/>
      <c r="J508" s="692" t="n"/>
      <c r="K508" s="692" t="n"/>
      <c r="L508" s="692" t="n"/>
      <c r="M508" s="692" t="n"/>
      <c r="N508" s="692" t="n"/>
      <c r="O508" s="692" t="n"/>
      <c r="P508" s="692" t="n"/>
      <c r="Q508" s="692" t="n"/>
      <c r="R508" s="692" t="n"/>
      <c r="S508" s="692" t="n"/>
      <c r="T508" s="692" t="n"/>
      <c r="U508" s="692" t="n"/>
      <c r="V508" s="692" t="n"/>
      <c r="W508" s="692" t="n"/>
      <c r="X508" s="692" t="n"/>
      <c r="Y508" s="692" t="n"/>
      <c r="Z508" s="692" t="n"/>
      <c r="AA508" s="692" t="n"/>
      <c r="AB508" s="692" t="n"/>
      <c r="AC508" s="692" t="n"/>
      <c r="AD508" s="692" t="n"/>
      <c r="AE508" s="692" t="n"/>
      <c r="AF508" s="692" t="n"/>
      <c r="AG508" s="692" t="n"/>
      <c r="AH508" s="692" t="n"/>
      <c r="AI508" s="692" t="n"/>
      <c r="AJ508" s="692" t="n"/>
      <c r="AK508" s="692" t="n"/>
      <c r="AL508" s="692" t="n"/>
      <c r="AM508" s="692" t="n"/>
      <c r="AN508" s="692" t="n"/>
      <c r="AO508" s="692" t="n"/>
      <c r="AP508" s="692" t="n"/>
    </row>
    <row r="509">
      <c r="A509" s="692" t="n"/>
      <c r="B509" s="692" t="n"/>
      <c r="C509" s="692" t="n"/>
      <c r="D509" s="692" t="n"/>
      <c r="E509" s="692" t="n"/>
      <c r="F509" s="692" t="n"/>
      <c r="G509" s="692" t="n"/>
      <c r="H509" s="692" t="n"/>
      <c r="I509" s="692" t="n"/>
      <c r="J509" s="692" t="n"/>
      <c r="K509" s="692" t="n"/>
      <c r="L509" s="692" t="n"/>
      <c r="M509" s="692" t="n"/>
      <c r="N509" s="692" t="n"/>
      <c r="O509" s="692" t="n"/>
      <c r="P509" s="692" t="n"/>
      <c r="Q509" s="692" t="n"/>
      <c r="R509" s="692" t="n"/>
      <c r="S509" s="692" t="n"/>
      <c r="T509" s="692" t="n"/>
      <c r="U509" s="692" t="n"/>
      <c r="V509" s="692" t="n"/>
      <c r="W509" s="692" t="n"/>
      <c r="X509" s="692" t="n"/>
      <c r="Y509" s="692" t="n"/>
      <c r="Z509" s="692" t="n"/>
      <c r="AA509" s="692" t="n"/>
      <c r="AB509" s="692" t="n"/>
      <c r="AC509" s="692" t="n"/>
      <c r="AD509" s="692" t="n"/>
      <c r="AE509" s="692" t="n"/>
      <c r="AF509" s="692" t="n"/>
      <c r="AG509" s="692" t="n"/>
      <c r="AH509" s="692" t="n"/>
      <c r="AI509" s="692" t="n"/>
      <c r="AJ509" s="692" t="n"/>
      <c r="AK509" s="692" t="n"/>
      <c r="AL509" s="692" t="n"/>
      <c r="AM509" s="692" t="n"/>
      <c r="AN509" s="692" t="n"/>
      <c r="AO509" s="692" t="n"/>
      <c r="AP509" s="692" t="n"/>
    </row>
    <row r="510">
      <c r="A510" s="692" t="n"/>
      <c r="B510" s="692" t="n"/>
      <c r="C510" s="692" t="n"/>
      <c r="D510" s="692" t="n"/>
      <c r="E510" s="692" t="n"/>
      <c r="F510" s="692" t="n"/>
      <c r="G510" s="692" t="n"/>
      <c r="H510" s="692" t="n"/>
      <c r="I510" s="692" t="n"/>
      <c r="J510" s="692" t="n"/>
      <c r="K510" s="692" t="n"/>
      <c r="L510" s="692" t="n"/>
      <c r="M510" s="692" t="n"/>
      <c r="N510" s="692" t="n"/>
      <c r="O510" s="692" t="n"/>
      <c r="P510" s="692" t="n"/>
      <c r="Q510" s="692" t="n"/>
      <c r="R510" s="692" t="n"/>
      <c r="S510" s="692" t="n"/>
      <c r="T510" s="692" t="n"/>
      <c r="U510" s="692" t="n"/>
      <c r="V510" s="692" t="n"/>
      <c r="W510" s="692" t="n"/>
      <c r="X510" s="692" t="n"/>
      <c r="Y510" s="692" t="n"/>
      <c r="Z510" s="692" t="n"/>
      <c r="AA510" s="692" t="n"/>
      <c r="AB510" s="692" t="n"/>
      <c r="AC510" s="692" t="n"/>
      <c r="AD510" s="692" t="n"/>
      <c r="AE510" s="692" t="n"/>
      <c r="AF510" s="692" t="n"/>
      <c r="AG510" s="692" t="n"/>
      <c r="AH510" s="692" t="n"/>
      <c r="AI510" s="692" t="n"/>
      <c r="AJ510" s="692" t="n"/>
      <c r="AK510" s="692" t="n"/>
      <c r="AL510" s="692" t="n"/>
      <c r="AM510" s="692" t="n"/>
      <c r="AN510" s="692" t="n"/>
      <c r="AO510" s="692" t="n"/>
      <c r="AP510" s="692" t="n"/>
    </row>
    <row r="511">
      <c r="A511" s="692" t="n"/>
      <c r="B511" s="692" t="n"/>
      <c r="C511" s="692" t="n"/>
      <c r="D511" s="692" t="n"/>
      <c r="E511" s="692" t="n"/>
      <c r="F511" s="692" t="n"/>
      <c r="G511" s="692" t="n"/>
      <c r="H511" s="692" t="n"/>
      <c r="I511" s="692" t="n"/>
      <c r="J511" s="692" t="n"/>
      <c r="K511" s="692" t="n"/>
      <c r="L511" s="692" t="n"/>
      <c r="M511" s="692" t="n"/>
      <c r="N511" s="692" t="n"/>
      <c r="O511" s="692" t="n"/>
      <c r="P511" s="692" t="n"/>
      <c r="Q511" s="692" t="n"/>
      <c r="R511" s="692" t="n"/>
      <c r="S511" s="692" t="n"/>
      <c r="T511" s="692" t="n"/>
      <c r="U511" s="692" t="n"/>
      <c r="V511" s="692" t="n"/>
      <c r="W511" s="692" t="n"/>
      <c r="X511" s="692" t="n"/>
      <c r="Y511" s="692" t="n"/>
      <c r="Z511" s="692" t="n"/>
      <c r="AA511" s="692" t="n"/>
      <c r="AB511" s="692" t="n"/>
      <c r="AC511" s="692" t="n"/>
      <c r="AD511" s="692" t="n"/>
      <c r="AE511" s="692" t="n"/>
      <c r="AF511" s="692" t="n"/>
      <c r="AG511" s="692" t="n"/>
      <c r="AH511" s="692" t="n"/>
      <c r="AI511" s="692" t="n"/>
      <c r="AJ511" s="692" t="n"/>
      <c r="AK511" s="692" t="n"/>
      <c r="AL511" s="692" t="n"/>
      <c r="AM511" s="692" t="n"/>
      <c r="AN511" s="692" t="n"/>
      <c r="AO511" s="692" t="n"/>
      <c r="AP511" s="692" t="n"/>
    </row>
    <row r="512">
      <c r="A512" s="692" t="n"/>
      <c r="B512" s="692" t="n"/>
      <c r="C512" s="692" t="n"/>
      <c r="D512" s="692" t="n"/>
      <c r="E512" s="692" t="n"/>
      <c r="F512" s="692" t="n"/>
      <c r="G512" s="692" t="n"/>
      <c r="H512" s="692" t="n"/>
      <c r="I512" s="692" t="n"/>
      <c r="J512" s="692" t="n"/>
      <c r="K512" s="692" t="n"/>
      <c r="L512" s="692" t="n"/>
      <c r="M512" s="692" t="n"/>
      <c r="N512" s="692" t="n"/>
      <c r="O512" s="692" t="n"/>
      <c r="P512" s="692" t="n"/>
      <c r="Q512" s="692" t="n"/>
      <c r="R512" s="692" t="n"/>
      <c r="S512" s="692" t="n"/>
      <c r="T512" s="692" t="n"/>
      <c r="U512" s="692" t="n"/>
      <c r="V512" s="692" t="n"/>
      <c r="W512" s="692" t="n"/>
      <c r="X512" s="692" t="n"/>
      <c r="Y512" s="692" t="n"/>
      <c r="Z512" s="692" t="n"/>
      <c r="AA512" s="692" t="n"/>
      <c r="AB512" s="692" t="n"/>
      <c r="AC512" s="692" t="n"/>
      <c r="AD512" s="692" t="n"/>
      <c r="AE512" s="692" t="n"/>
      <c r="AF512" s="692" t="n"/>
      <c r="AG512" s="692" t="n"/>
      <c r="AH512" s="692" t="n"/>
      <c r="AI512" s="692" t="n"/>
      <c r="AJ512" s="692" t="n"/>
      <c r="AK512" s="692" t="n"/>
      <c r="AL512" s="692" t="n"/>
      <c r="AM512" s="692" t="n"/>
      <c r="AN512" s="692" t="n"/>
      <c r="AO512" s="692" t="n"/>
      <c r="AP512" s="692" t="n"/>
    </row>
    <row r="513">
      <c r="A513" s="692" t="n"/>
      <c r="B513" s="692" t="n"/>
      <c r="C513" s="692" t="n"/>
      <c r="D513" s="692" t="n"/>
      <c r="E513" s="692" t="n"/>
      <c r="F513" s="692" t="n"/>
      <c r="G513" s="692" t="n"/>
      <c r="H513" s="692" t="n"/>
      <c r="I513" s="692" t="n"/>
      <c r="J513" s="692" t="n"/>
      <c r="K513" s="692" t="n"/>
      <c r="L513" s="692" t="n"/>
      <c r="M513" s="692" t="n"/>
      <c r="N513" s="692" t="n"/>
      <c r="O513" s="692" t="n"/>
      <c r="P513" s="692" t="n"/>
      <c r="Q513" s="692" t="n"/>
      <c r="R513" s="692" t="n"/>
      <c r="S513" s="692" t="n"/>
      <c r="T513" s="692" t="n"/>
      <c r="U513" s="692" t="n"/>
      <c r="V513" s="692" t="n"/>
      <c r="W513" s="692" t="n"/>
      <c r="X513" s="692" t="n"/>
      <c r="Y513" s="692" t="n"/>
      <c r="Z513" s="692" t="n"/>
      <c r="AA513" s="692" t="n"/>
      <c r="AB513" s="692" t="n"/>
      <c r="AC513" s="692" t="n"/>
      <c r="AD513" s="692" t="n"/>
      <c r="AE513" s="692" t="n"/>
      <c r="AF513" s="692" t="n"/>
      <c r="AG513" s="692" t="n"/>
      <c r="AH513" s="692" t="n"/>
      <c r="AI513" s="692" t="n"/>
      <c r="AJ513" s="692" t="n"/>
      <c r="AK513" s="692" t="n"/>
      <c r="AL513" s="692" t="n"/>
      <c r="AM513" s="692" t="n"/>
      <c r="AN513" s="692" t="n"/>
      <c r="AO513" s="692" t="n"/>
      <c r="AP513" s="692" t="n"/>
    </row>
    <row r="514">
      <c r="A514" s="692" t="n"/>
      <c r="B514" s="692" t="n"/>
      <c r="C514" s="692" t="n"/>
      <c r="D514" s="692" t="n"/>
      <c r="E514" s="692" t="n"/>
      <c r="F514" s="692" t="n"/>
      <c r="G514" s="692" t="n"/>
      <c r="H514" s="692" t="n"/>
      <c r="I514" s="692" t="n"/>
      <c r="J514" s="692" t="n"/>
      <c r="K514" s="692" t="n"/>
      <c r="L514" s="692" t="n"/>
      <c r="M514" s="692" t="n"/>
      <c r="N514" s="692" t="n"/>
      <c r="O514" s="692" t="n"/>
      <c r="P514" s="692" t="n"/>
      <c r="Q514" s="692" t="n"/>
      <c r="R514" s="692" t="n"/>
      <c r="S514" s="692" t="n"/>
      <c r="T514" s="692" t="n"/>
      <c r="U514" s="692" t="n"/>
      <c r="V514" s="692" t="n"/>
      <c r="W514" s="692" t="n"/>
      <c r="X514" s="692" t="n"/>
      <c r="Y514" s="692" t="n"/>
      <c r="Z514" s="692" t="n"/>
      <c r="AA514" s="692" t="n"/>
      <c r="AB514" s="692" t="n"/>
      <c r="AC514" s="692" t="n"/>
      <c r="AD514" s="692" t="n"/>
      <c r="AE514" s="692" t="n"/>
      <c r="AF514" s="692" t="n"/>
      <c r="AG514" s="692" t="n"/>
      <c r="AH514" s="692" t="n"/>
      <c r="AI514" s="692" t="n"/>
      <c r="AJ514" s="692" t="n"/>
      <c r="AK514" s="692" t="n"/>
      <c r="AL514" s="692" t="n"/>
      <c r="AM514" s="692" t="n"/>
      <c r="AN514" s="692" t="n"/>
      <c r="AO514" s="692" t="n"/>
      <c r="AP514" s="692" t="n"/>
    </row>
    <row r="515">
      <c r="A515" s="692" t="n"/>
      <c r="B515" s="692" t="n"/>
      <c r="C515" s="692" t="n"/>
      <c r="D515" s="692" t="n"/>
      <c r="E515" s="692" t="n"/>
      <c r="F515" s="692" t="n"/>
      <c r="G515" s="692" t="n"/>
      <c r="H515" s="692" t="n"/>
      <c r="I515" s="692" t="n"/>
      <c r="J515" s="692" t="n"/>
      <c r="K515" s="692" t="n"/>
      <c r="L515" s="692" t="n"/>
      <c r="M515" s="692" t="n"/>
      <c r="N515" s="692" t="n"/>
      <c r="O515" s="692" t="n"/>
      <c r="P515" s="692" t="n"/>
      <c r="Q515" s="692" t="n"/>
      <c r="R515" s="692" t="n"/>
      <c r="S515" s="692" t="n"/>
      <c r="T515" s="692" t="n"/>
      <c r="U515" s="692" t="n"/>
      <c r="V515" s="692" t="n"/>
      <c r="W515" s="692" t="n"/>
      <c r="X515" s="692" t="n"/>
      <c r="Y515" s="692" t="n"/>
      <c r="Z515" s="692" t="n"/>
      <c r="AA515" s="692" t="n"/>
      <c r="AB515" s="692" t="n"/>
      <c r="AC515" s="692" t="n"/>
      <c r="AD515" s="692" t="n"/>
      <c r="AE515" s="692" t="n"/>
      <c r="AF515" s="692" t="n"/>
      <c r="AG515" s="692" t="n"/>
      <c r="AH515" s="692" t="n"/>
      <c r="AI515" s="692" t="n"/>
      <c r="AJ515" s="692" t="n"/>
      <c r="AK515" s="692" t="n"/>
      <c r="AL515" s="692" t="n"/>
      <c r="AM515" s="692" t="n"/>
      <c r="AN515" s="692" t="n"/>
      <c r="AO515" s="692" t="n"/>
      <c r="AP515" s="692" t="n"/>
    </row>
    <row r="516">
      <c r="A516" s="692" t="n"/>
      <c r="B516" s="692" t="n"/>
      <c r="C516" s="692" t="n"/>
      <c r="D516" s="692" t="n"/>
      <c r="E516" s="692" t="n"/>
      <c r="F516" s="692" t="n"/>
      <c r="G516" s="692" t="n"/>
      <c r="H516" s="692" t="n"/>
      <c r="I516" s="692" t="n"/>
      <c r="J516" s="692" t="n"/>
      <c r="K516" s="692" t="n"/>
      <c r="L516" s="692" t="n"/>
      <c r="M516" s="692" t="n"/>
      <c r="N516" s="692" t="n"/>
      <c r="O516" s="692" t="n"/>
      <c r="P516" s="692" t="n"/>
      <c r="Q516" s="692" t="n"/>
      <c r="R516" s="692" t="n"/>
      <c r="S516" s="692" t="n"/>
      <c r="T516" s="692" t="n"/>
      <c r="U516" s="692" t="n"/>
      <c r="V516" s="692" t="n"/>
      <c r="W516" s="692" t="n"/>
      <c r="X516" s="692" t="n"/>
      <c r="Y516" s="692" t="n"/>
      <c r="Z516" s="692" t="n"/>
      <c r="AA516" s="692" t="n"/>
      <c r="AB516" s="692" t="n"/>
      <c r="AC516" s="692" t="n"/>
      <c r="AD516" s="692" t="n"/>
      <c r="AE516" s="692" t="n"/>
      <c r="AF516" s="692" t="n"/>
      <c r="AG516" s="692" t="n"/>
      <c r="AH516" s="692" t="n"/>
      <c r="AI516" s="692" t="n"/>
      <c r="AJ516" s="692" t="n"/>
      <c r="AK516" s="692" t="n"/>
      <c r="AL516" s="692" t="n"/>
      <c r="AM516" s="692" t="n"/>
      <c r="AN516" s="692" t="n"/>
      <c r="AO516" s="692" t="n"/>
      <c r="AP516" s="692" t="n"/>
    </row>
    <row r="517">
      <c r="A517" s="692" t="n"/>
      <c r="B517" s="692" t="n"/>
      <c r="C517" s="692" t="n"/>
      <c r="D517" s="692" t="n"/>
      <c r="E517" s="692" t="n"/>
      <c r="F517" s="692" t="n"/>
      <c r="G517" s="692" t="n"/>
      <c r="H517" s="692" t="n"/>
      <c r="I517" s="692" t="n"/>
      <c r="J517" s="692" t="n"/>
      <c r="K517" s="692" t="n"/>
      <c r="L517" s="692" t="n"/>
      <c r="M517" s="692" t="n"/>
      <c r="N517" s="692" t="n"/>
      <c r="O517" s="692" t="n"/>
      <c r="P517" s="692" t="n"/>
      <c r="Q517" s="692" t="n"/>
      <c r="R517" s="692" t="n"/>
      <c r="S517" s="692" t="n"/>
      <c r="T517" s="692" t="n"/>
      <c r="U517" s="692" t="n"/>
      <c r="V517" s="692" t="n"/>
      <c r="W517" s="692" t="n"/>
      <c r="X517" s="692" t="n"/>
      <c r="Y517" s="692" t="n"/>
      <c r="Z517" s="692" t="n"/>
      <c r="AA517" s="692" t="n"/>
      <c r="AB517" s="692" t="n"/>
      <c r="AC517" s="692" t="n"/>
      <c r="AD517" s="692" t="n"/>
      <c r="AE517" s="692" t="n"/>
      <c r="AF517" s="692" t="n"/>
      <c r="AG517" s="692" t="n"/>
      <c r="AH517" s="692" t="n"/>
      <c r="AI517" s="692" t="n"/>
      <c r="AJ517" s="692" t="n"/>
      <c r="AK517" s="692" t="n"/>
      <c r="AL517" s="692" t="n"/>
      <c r="AM517" s="692" t="n"/>
      <c r="AN517" s="692" t="n"/>
      <c r="AO517" s="692" t="n"/>
      <c r="AP517" s="692" t="n"/>
    </row>
    <row r="518">
      <c r="A518" s="692" t="n"/>
      <c r="B518" s="692" t="n"/>
      <c r="C518" s="692" t="n"/>
      <c r="D518" s="692" t="n"/>
      <c r="E518" s="692" t="n"/>
      <c r="F518" s="692" t="n"/>
      <c r="G518" s="692" t="n"/>
      <c r="H518" s="692" t="n"/>
      <c r="I518" s="692" t="n"/>
      <c r="J518" s="692" t="n"/>
      <c r="K518" s="692" t="n"/>
      <c r="L518" s="692" t="n"/>
      <c r="M518" s="692" t="n"/>
      <c r="N518" s="692" t="n"/>
      <c r="O518" s="692" t="n"/>
      <c r="P518" s="692" t="n"/>
      <c r="Q518" s="692" t="n"/>
      <c r="R518" s="692" t="n"/>
      <c r="S518" s="692" t="n"/>
      <c r="T518" s="692" t="n"/>
      <c r="U518" s="692" t="n"/>
      <c r="V518" s="692" t="n"/>
      <c r="W518" s="692" t="n"/>
      <c r="X518" s="692" t="n"/>
      <c r="Y518" s="692" t="n"/>
      <c r="Z518" s="692" t="n"/>
      <c r="AA518" s="692" t="n"/>
      <c r="AB518" s="692" t="n"/>
      <c r="AC518" s="692" t="n"/>
      <c r="AD518" s="692" t="n"/>
      <c r="AE518" s="692" t="n"/>
      <c r="AF518" s="692" t="n"/>
      <c r="AG518" s="692" t="n"/>
      <c r="AH518" s="692" t="n"/>
      <c r="AI518" s="692" t="n"/>
      <c r="AJ518" s="692" t="n"/>
      <c r="AK518" s="692" t="n"/>
      <c r="AL518" s="692" t="n"/>
      <c r="AM518" s="692" t="n"/>
      <c r="AN518" s="692" t="n"/>
      <c r="AO518" s="692" t="n"/>
      <c r="AP518" s="692" t="n"/>
    </row>
    <row r="519">
      <c r="A519" s="692" t="n"/>
      <c r="B519" s="692" t="n"/>
      <c r="C519" s="692" t="n"/>
      <c r="D519" s="692" t="n"/>
      <c r="E519" s="692" t="n"/>
      <c r="F519" s="692" t="n"/>
      <c r="G519" s="692" t="n"/>
      <c r="H519" s="692" t="n"/>
      <c r="I519" s="692" t="n"/>
      <c r="J519" s="692" t="n"/>
      <c r="K519" s="692" t="n"/>
      <c r="L519" s="692" t="n"/>
      <c r="M519" s="692" t="n"/>
      <c r="N519" s="692" t="n"/>
      <c r="O519" s="692" t="n"/>
      <c r="P519" s="692" t="n"/>
      <c r="Q519" s="692" t="n"/>
      <c r="R519" s="692" t="n"/>
      <c r="S519" s="692" t="n"/>
      <c r="T519" s="692" t="n"/>
      <c r="U519" s="692" t="n"/>
      <c r="V519" s="692" t="n"/>
      <c r="W519" s="692" t="n"/>
      <c r="X519" s="692" t="n"/>
      <c r="Y519" s="692" t="n"/>
      <c r="Z519" s="692" t="n"/>
      <c r="AA519" s="692" t="n"/>
      <c r="AB519" s="692" t="n"/>
      <c r="AC519" s="692" t="n"/>
      <c r="AD519" s="692" t="n"/>
      <c r="AE519" s="692" t="n"/>
      <c r="AF519" s="692" t="n"/>
      <c r="AG519" s="692" t="n"/>
      <c r="AH519" s="692" t="n"/>
      <c r="AI519" s="692" t="n"/>
      <c r="AJ519" s="692" t="n"/>
      <c r="AK519" s="692" t="n"/>
      <c r="AL519" s="692" t="n"/>
      <c r="AM519" s="692" t="n"/>
      <c r="AN519" s="692" t="n"/>
      <c r="AO519" s="692" t="n"/>
      <c r="AP519" s="692" t="n"/>
    </row>
    <row r="520">
      <c r="A520" s="692" t="n"/>
      <c r="B520" s="692" t="n"/>
      <c r="C520" s="692" t="n"/>
      <c r="D520" s="692" t="n"/>
      <c r="E520" s="692" t="n"/>
      <c r="F520" s="692" t="n"/>
      <c r="G520" s="692" t="n"/>
      <c r="H520" s="692" t="n"/>
      <c r="I520" s="692" t="n"/>
      <c r="J520" s="692" t="n"/>
      <c r="K520" s="692" t="n"/>
      <c r="L520" s="692" t="n"/>
      <c r="M520" s="692" t="n"/>
      <c r="N520" s="692" t="n"/>
      <c r="O520" s="692" t="n"/>
      <c r="P520" s="692" t="n"/>
      <c r="Q520" s="692" t="n"/>
      <c r="R520" s="692" t="n"/>
      <c r="S520" s="692" t="n"/>
      <c r="T520" s="692" t="n"/>
      <c r="U520" s="692" t="n"/>
      <c r="V520" s="692" t="n"/>
      <c r="W520" s="692" t="n"/>
      <c r="X520" s="692" t="n"/>
      <c r="Y520" s="692" t="n"/>
      <c r="Z520" s="692" t="n"/>
      <c r="AA520" s="692" t="n"/>
      <c r="AB520" s="692" t="n"/>
      <c r="AC520" s="692" t="n"/>
      <c r="AD520" s="692" t="n"/>
      <c r="AE520" s="692" t="n"/>
      <c r="AF520" s="692" t="n"/>
      <c r="AG520" s="692" t="n"/>
      <c r="AH520" s="692" t="n"/>
      <c r="AI520" s="692" t="n"/>
      <c r="AJ520" s="692" t="n"/>
      <c r="AK520" s="692" t="n"/>
      <c r="AL520" s="692" t="n"/>
      <c r="AM520" s="692" t="n"/>
      <c r="AN520" s="692" t="n"/>
      <c r="AO520" s="692" t="n"/>
      <c r="AP520" s="692" t="n"/>
    </row>
    <row r="521">
      <c r="A521" s="692" t="n"/>
      <c r="B521" s="692" t="n"/>
      <c r="C521" s="692" t="n"/>
      <c r="D521" s="692" t="n"/>
      <c r="E521" s="692" t="n"/>
      <c r="F521" s="692" t="n"/>
      <c r="G521" s="692" t="n"/>
      <c r="H521" s="692" t="n"/>
      <c r="I521" s="692" t="n"/>
      <c r="J521" s="692" t="n"/>
      <c r="K521" s="692" t="n"/>
      <c r="L521" s="692" t="n"/>
      <c r="M521" s="692" t="n"/>
      <c r="N521" s="692" t="n"/>
      <c r="O521" s="692" t="n"/>
      <c r="P521" s="692" t="n"/>
      <c r="Q521" s="692" t="n"/>
      <c r="R521" s="692" t="n"/>
      <c r="S521" s="692" t="n"/>
      <c r="T521" s="692" t="n"/>
      <c r="U521" s="692" t="n"/>
      <c r="V521" s="692" t="n"/>
      <c r="W521" s="692" t="n"/>
      <c r="X521" s="692" t="n"/>
      <c r="Y521" s="692" t="n"/>
      <c r="Z521" s="692" t="n"/>
      <c r="AA521" s="692" t="n"/>
      <c r="AB521" s="692" t="n"/>
      <c r="AC521" s="692" t="n"/>
      <c r="AD521" s="692" t="n"/>
      <c r="AE521" s="692" t="n"/>
      <c r="AF521" s="692" t="n"/>
      <c r="AG521" s="692" t="n"/>
      <c r="AH521" s="692" t="n"/>
      <c r="AI521" s="692" t="n"/>
      <c r="AJ521" s="692" t="n"/>
      <c r="AK521" s="692" t="n"/>
      <c r="AL521" s="692" t="n"/>
      <c r="AM521" s="692" t="n"/>
      <c r="AN521" s="692" t="n"/>
      <c r="AO521" s="692" t="n"/>
      <c r="AP521" s="692" t="n"/>
    </row>
    <row r="522">
      <c r="A522" s="692" t="n"/>
      <c r="B522" s="692" t="n"/>
      <c r="C522" s="692" t="n"/>
      <c r="D522" s="692" t="n"/>
      <c r="E522" s="692" t="n"/>
      <c r="F522" s="692" t="n"/>
      <c r="G522" s="692" t="n"/>
      <c r="H522" s="692" t="n"/>
      <c r="I522" s="692" t="n"/>
      <c r="J522" s="692" t="n"/>
      <c r="K522" s="692" t="n"/>
      <c r="L522" s="692" t="n"/>
      <c r="M522" s="692" t="n"/>
      <c r="N522" s="692" t="n"/>
      <c r="O522" s="692" t="n"/>
      <c r="P522" s="692" t="n"/>
      <c r="Q522" s="692" t="n"/>
      <c r="R522" s="692" t="n"/>
      <c r="S522" s="692" t="n"/>
      <c r="T522" s="692" t="n"/>
      <c r="U522" s="692" t="n"/>
      <c r="V522" s="692" t="n"/>
      <c r="W522" s="692" t="n"/>
      <c r="X522" s="692" t="n"/>
      <c r="Y522" s="692" t="n"/>
      <c r="Z522" s="692" t="n"/>
      <c r="AA522" s="692" t="n"/>
      <c r="AB522" s="692" t="n"/>
      <c r="AC522" s="692" t="n"/>
      <c r="AD522" s="692" t="n"/>
      <c r="AE522" s="692" t="n"/>
      <c r="AF522" s="692" t="n"/>
      <c r="AG522" s="692" t="n"/>
      <c r="AH522" s="692" t="n"/>
      <c r="AI522" s="692" t="n"/>
      <c r="AJ522" s="692" t="n"/>
      <c r="AK522" s="692" t="n"/>
      <c r="AL522" s="692" t="n"/>
      <c r="AM522" s="692" t="n"/>
      <c r="AN522" s="692" t="n"/>
      <c r="AO522" s="692" t="n"/>
      <c r="AP522" s="692" t="n"/>
    </row>
    <row r="523">
      <c r="A523" s="692" t="n"/>
      <c r="B523" s="692" t="n"/>
      <c r="C523" s="692" t="n"/>
      <c r="D523" s="692" t="n"/>
      <c r="E523" s="692" t="n"/>
      <c r="F523" s="692" t="n"/>
      <c r="G523" s="692" t="n"/>
      <c r="H523" s="692" t="n"/>
      <c r="I523" s="692" t="n"/>
      <c r="J523" s="692" t="n"/>
      <c r="K523" s="692" t="n"/>
      <c r="L523" s="692" t="n"/>
      <c r="M523" s="692" t="n"/>
      <c r="N523" s="692" t="n"/>
      <c r="O523" s="692" t="n"/>
      <c r="P523" s="692" t="n"/>
      <c r="Q523" s="692" t="n"/>
      <c r="R523" s="692" t="n"/>
      <c r="S523" s="692" t="n"/>
      <c r="T523" s="692" t="n"/>
      <c r="U523" s="692" t="n"/>
      <c r="V523" s="692" t="n"/>
      <c r="W523" s="692" t="n"/>
      <c r="X523" s="692" t="n"/>
      <c r="Y523" s="692" t="n"/>
      <c r="Z523" s="692" t="n"/>
      <c r="AA523" s="692" t="n"/>
      <c r="AB523" s="692" t="n"/>
      <c r="AC523" s="692" t="n"/>
      <c r="AD523" s="692" t="n"/>
      <c r="AE523" s="692" t="n"/>
      <c r="AF523" s="692" t="n"/>
      <c r="AG523" s="692" t="n"/>
      <c r="AH523" s="692" t="n"/>
      <c r="AI523" s="692" t="n"/>
      <c r="AJ523" s="692" t="n"/>
      <c r="AK523" s="692" t="n"/>
      <c r="AL523" s="692" t="n"/>
      <c r="AM523" s="692" t="n"/>
      <c r="AN523" s="692" t="n"/>
      <c r="AO523" s="692" t="n"/>
      <c r="AP523" s="692" t="n"/>
    </row>
    <row r="524">
      <c r="A524" s="692" t="n"/>
      <c r="B524" s="692" t="n"/>
      <c r="C524" s="692" t="n"/>
      <c r="D524" s="692" t="n"/>
      <c r="E524" s="692" t="n"/>
      <c r="F524" s="692" t="n"/>
      <c r="G524" s="692" t="n"/>
      <c r="H524" s="692" t="n"/>
      <c r="I524" s="692" t="n"/>
      <c r="J524" s="692" t="n"/>
      <c r="K524" s="692" t="n"/>
      <c r="L524" s="692" t="n"/>
      <c r="M524" s="692" t="n"/>
      <c r="N524" s="692" t="n"/>
      <c r="O524" s="692" t="n"/>
      <c r="P524" s="692" t="n"/>
      <c r="Q524" s="692" t="n"/>
      <c r="R524" s="692" t="n"/>
      <c r="S524" s="692" t="n"/>
      <c r="T524" s="692" t="n"/>
      <c r="U524" s="692" t="n"/>
      <c r="V524" s="692" t="n"/>
      <c r="W524" s="692" t="n"/>
      <c r="X524" s="692" t="n"/>
      <c r="Y524" s="692" t="n"/>
      <c r="Z524" s="692" t="n"/>
      <c r="AA524" s="692" t="n"/>
      <c r="AB524" s="692" t="n"/>
      <c r="AC524" s="692" t="n"/>
      <c r="AD524" s="692" t="n"/>
      <c r="AE524" s="692" t="n"/>
      <c r="AF524" s="692" t="n"/>
      <c r="AG524" s="692" t="n"/>
      <c r="AH524" s="692" t="n"/>
      <c r="AI524" s="692" t="n"/>
      <c r="AJ524" s="692" t="n"/>
      <c r="AK524" s="692" t="n"/>
      <c r="AL524" s="692" t="n"/>
      <c r="AM524" s="692" t="n"/>
      <c r="AN524" s="692" t="n"/>
      <c r="AO524" s="692" t="n"/>
      <c r="AP524" s="692" t="n"/>
    </row>
    <row r="525">
      <c r="A525" s="692" t="n"/>
      <c r="B525" s="692" t="n"/>
      <c r="C525" s="692" t="n"/>
      <c r="D525" s="692" t="n"/>
      <c r="E525" s="692" t="n"/>
      <c r="F525" s="692" t="n"/>
      <c r="G525" s="692" t="n"/>
      <c r="H525" s="692" t="n"/>
      <c r="I525" s="692" t="n"/>
      <c r="J525" s="692" t="n"/>
      <c r="K525" s="692" t="n"/>
      <c r="L525" s="692" t="n"/>
      <c r="M525" s="692" t="n"/>
      <c r="N525" s="692" t="n"/>
      <c r="O525" s="692" t="n"/>
      <c r="P525" s="692" t="n"/>
      <c r="Q525" s="692" t="n"/>
      <c r="R525" s="692" t="n"/>
      <c r="S525" s="692" t="n"/>
      <c r="T525" s="692" t="n"/>
      <c r="U525" s="692" t="n"/>
      <c r="V525" s="692" t="n"/>
      <c r="W525" s="692" t="n"/>
      <c r="X525" s="692" t="n"/>
      <c r="Y525" s="692" t="n"/>
      <c r="Z525" s="692" t="n"/>
      <c r="AA525" s="692" t="n"/>
      <c r="AB525" s="692" t="n"/>
      <c r="AC525" s="692" t="n"/>
      <c r="AD525" s="692" t="n"/>
      <c r="AE525" s="692" t="n"/>
      <c r="AF525" s="692" t="n"/>
      <c r="AG525" s="692" t="n"/>
      <c r="AH525" s="692" t="n"/>
      <c r="AI525" s="692" t="n"/>
      <c r="AJ525" s="692" t="n"/>
      <c r="AK525" s="692" t="n"/>
      <c r="AL525" s="692" t="n"/>
      <c r="AM525" s="692" t="n"/>
      <c r="AN525" s="692" t="n"/>
      <c r="AO525" s="692" t="n"/>
      <c r="AP525" s="692" t="n"/>
    </row>
    <row r="526">
      <c r="A526" s="692" t="n"/>
      <c r="B526" s="692" t="n"/>
      <c r="C526" s="692" t="n"/>
      <c r="D526" s="692" t="n"/>
      <c r="E526" s="692" t="n"/>
      <c r="F526" s="692" t="n"/>
      <c r="G526" s="692" t="n"/>
      <c r="H526" s="692" t="n"/>
      <c r="I526" s="692" t="n"/>
      <c r="J526" s="692" t="n"/>
      <c r="K526" s="692" t="n"/>
      <c r="L526" s="692" t="n"/>
      <c r="M526" s="692" t="n"/>
      <c r="N526" s="692" t="n"/>
      <c r="O526" s="692" t="n"/>
      <c r="P526" s="692" t="n"/>
      <c r="Q526" s="692" t="n"/>
      <c r="R526" s="692" t="n"/>
      <c r="S526" s="692" t="n"/>
      <c r="T526" s="692" t="n"/>
      <c r="U526" s="692" t="n"/>
      <c r="V526" s="692" t="n"/>
      <c r="W526" s="692" t="n"/>
      <c r="X526" s="692" t="n"/>
      <c r="Y526" s="692" t="n"/>
      <c r="Z526" s="692" t="n"/>
      <c r="AA526" s="692" t="n"/>
      <c r="AB526" s="692" t="n"/>
      <c r="AC526" s="692" t="n"/>
      <c r="AD526" s="692" t="n"/>
      <c r="AE526" s="692" t="n"/>
      <c r="AF526" s="692" t="n"/>
      <c r="AG526" s="692" t="n"/>
      <c r="AH526" s="692" t="n"/>
      <c r="AI526" s="692" t="n"/>
      <c r="AJ526" s="692" t="n"/>
      <c r="AK526" s="692" t="n"/>
      <c r="AL526" s="692" t="n"/>
      <c r="AM526" s="692" t="n"/>
      <c r="AN526" s="692" t="n"/>
      <c r="AO526" s="692" t="n"/>
      <c r="AP526" s="692" t="n"/>
    </row>
    <row r="527">
      <c r="A527" s="692" t="n"/>
      <c r="B527" s="692" t="n"/>
      <c r="C527" s="692" t="n"/>
      <c r="D527" s="692" t="n"/>
      <c r="E527" s="692" t="n"/>
      <c r="F527" s="692" t="n"/>
      <c r="G527" s="692" t="n"/>
      <c r="H527" s="692" t="n"/>
      <c r="I527" s="692" t="n"/>
      <c r="J527" s="692" t="n"/>
      <c r="K527" s="692" t="n"/>
      <c r="L527" s="692" t="n"/>
      <c r="M527" s="692" t="n"/>
      <c r="N527" s="692" t="n"/>
      <c r="O527" s="692" t="n"/>
      <c r="P527" s="692" t="n"/>
      <c r="Q527" s="692" t="n"/>
      <c r="R527" s="692" t="n"/>
      <c r="S527" s="692" t="n"/>
      <c r="T527" s="692" t="n"/>
      <c r="U527" s="692" t="n"/>
      <c r="V527" s="692" t="n"/>
      <c r="W527" s="692" t="n"/>
      <c r="X527" s="692" t="n"/>
      <c r="Y527" s="692" t="n"/>
      <c r="Z527" s="692" t="n"/>
      <c r="AA527" s="692" t="n"/>
      <c r="AB527" s="692" t="n"/>
      <c r="AC527" s="692" t="n"/>
      <c r="AD527" s="692" t="n"/>
      <c r="AE527" s="692" t="n"/>
      <c r="AF527" s="692" t="n"/>
      <c r="AG527" s="692" t="n"/>
      <c r="AH527" s="692" t="n"/>
      <c r="AI527" s="692" t="n"/>
      <c r="AJ527" s="692" t="n"/>
      <c r="AK527" s="692" t="n"/>
      <c r="AL527" s="692" t="n"/>
      <c r="AM527" s="692" t="n"/>
      <c r="AN527" s="692" t="n"/>
      <c r="AO527" s="692" t="n"/>
      <c r="AP527" s="692" t="n"/>
    </row>
    <row r="528">
      <c r="A528" s="692" t="n"/>
      <c r="B528" s="692" t="n"/>
      <c r="C528" s="692" t="n"/>
      <c r="D528" s="692" t="n"/>
      <c r="E528" s="692" t="n"/>
      <c r="F528" s="692" t="n"/>
      <c r="G528" s="692" t="n"/>
      <c r="H528" s="692" t="n"/>
      <c r="I528" s="692" t="n"/>
      <c r="J528" s="692" t="n"/>
      <c r="K528" s="692" t="n"/>
      <c r="L528" s="692" t="n"/>
      <c r="M528" s="692" t="n"/>
      <c r="N528" s="692" t="n"/>
      <c r="O528" s="692" t="n"/>
      <c r="P528" s="692" t="n"/>
      <c r="Q528" s="692" t="n"/>
      <c r="R528" s="692" t="n"/>
      <c r="S528" s="692" t="n"/>
      <c r="T528" s="692" t="n"/>
      <c r="U528" s="692" t="n"/>
      <c r="V528" s="692" t="n"/>
      <c r="W528" s="692" t="n"/>
      <c r="X528" s="692" t="n"/>
      <c r="Y528" s="692" t="n"/>
      <c r="Z528" s="692" t="n"/>
      <c r="AA528" s="692" t="n"/>
      <c r="AB528" s="692" t="n"/>
      <c r="AC528" s="692" t="n"/>
      <c r="AD528" s="692" t="n"/>
      <c r="AE528" s="692" t="n"/>
      <c r="AF528" s="692" t="n"/>
      <c r="AG528" s="692" t="n"/>
      <c r="AH528" s="692" t="n"/>
      <c r="AI528" s="692" t="n"/>
      <c r="AJ528" s="692" t="n"/>
      <c r="AK528" s="692" t="n"/>
      <c r="AL528" s="692" t="n"/>
      <c r="AM528" s="692" t="n"/>
      <c r="AN528" s="692" t="n"/>
      <c r="AO528" s="692" t="n"/>
      <c r="AP528" s="692" t="n"/>
    </row>
    <row r="529">
      <c r="A529" s="692" t="n"/>
      <c r="B529" s="692" t="n"/>
      <c r="C529" s="692" t="n"/>
      <c r="D529" s="692" t="n"/>
      <c r="E529" s="692" t="n"/>
      <c r="F529" s="692" t="n"/>
      <c r="G529" s="692" t="n"/>
      <c r="H529" s="692" t="n"/>
      <c r="I529" s="692" t="n"/>
      <c r="J529" s="692" t="n"/>
      <c r="K529" s="692" t="n"/>
      <c r="L529" s="692" t="n"/>
      <c r="M529" s="692" t="n"/>
      <c r="N529" s="692" t="n"/>
      <c r="O529" s="692" t="n"/>
      <c r="P529" s="692" t="n"/>
      <c r="Q529" s="692" t="n"/>
      <c r="R529" s="692" t="n"/>
      <c r="S529" s="692" t="n"/>
      <c r="T529" s="692" t="n"/>
      <c r="U529" s="692" t="n"/>
      <c r="V529" s="692" t="n"/>
      <c r="W529" s="692" t="n"/>
      <c r="X529" s="692" t="n"/>
      <c r="Y529" s="692" t="n"/>
      <c r="Z529" s="692" t="n"/>
      <c r="AA529" s="692" t="n"/>
      <c r="AB529" s="692" t="n"/>
      <c r="AC529" s="692" t="n"/>
      <c r="AD529" s="692" t="n"/>
      <c r="AE529" s="692" t="n"/>
      <c r="AF529" s="692" t="n"/>
      <c r="AG529" s="692" t="n"/>
      <c r="AH529" s="692" t="n"/>
      <c r="AI529" s="692" t="n"/>
      <c r="AJ529" s="692" t="n"/>
      <c r="AK529" s="692" t="n"/>
      <c r="AL529" s="692" t="n"/>
      <c r="AM529" s="692" t="n"/>
      <c r="AN529" s="692" t="n"/>
      <c r="AO529" s="692" t="n"/>
      <c r="AP529" s="692" t="n"/>
    </row>
    <row r="530">
      <c r="A530" s="692" t="n"/>
      <c r="B530" s="692" t="n"/>
      <c r="C530" s="692" t="n"/>
      <c r="D530" s="692" t="n"/>
      <c r="E530" s="692" t="n"/>
      <c r="F530" s="692" t="n"/>
      <c r="G530" s="692" t="n"/>
      <c r="H530" s="692" t="n"/>
      <c r="I530" s="692" t="n"/>
      <c r="J530" s="692" t="n"/>
      <c r="K530" s="692" t="n"/>
      <c r="L530" s="692" t="n"/>
      <c r="M530" s="692" t="n"/>
      <c r="N530" s="692" t="n"/>
      <c r="O530" s="692" t="n"/>
      <c r="P530" s="692" t="n"/>
      <c r="Q530" s="692" t="n"/>
      <c r="R530" s="692" t="n"/>
      <c r="S530" s="692" t="n"/>
      <c r="T530" s="692" t="n"/>
      <c r="U530" s="692" t="n"/>
      <c r="V530" s="692" t="n"/>
      <c r="W530" s="692" t="n"/>
      <c r="X530" s="692" t="n"/>
      <c r="Y530" s="692" t="n"/>
      <c r="Z530" s="692" t="n"/>
      <c r="AA530" s="692" t="n"/>
      <c r="AB530" s="692" t="n"/>
      <c r="AC530" s="692" t="n"/>
      <c r="AD530" s="692" t="n"/>
      <c r="AE530" s="692" t="n"/>
      <c r="AF530" s="692" t="n"/>
      <c r="AG530" s="692" t="n"/>
      <c r="AH530" s="692" t="n"/>
      <c r="AI530" s="692" t="n"/>
      <c r="AJ530" s="692" t="n"/>
      <c r="AK530" s="692" t="n"/>
      <c r="AL530" s="692" t="n"/>
      <c r="AM530" s="692" t="n"/>
      <c r="AN530" s="692" t="n"/>
      <c r="AO530" s="692" t="n"/>
      <c r="AP530" s="692" t="n"/>
    </row>
    <row r="531">
      <c r="A531" s="692" t="n"/>
      <c r="B531" s="692" t="n"/>
      <c r="C531" s="692" t="n"/>
      <c r="D531" s="692" t="n"/>
      <c r="E531" s="692" t="n"/>
      <c r="F531" s="692" t="n"/>
      <c r="G531" s="692" t="n"/>
      <c r="H531" s="692" t="n"/>
      <c r="I531" s="692" t="n"/>
      <c r="J531" s="692" t="n"/>
      <c r="K531" s="692" t="n"/>
      <c r="L531" s="692" t="n"/>
      <c r="M531" s="692" t="n"/>
      <c r="N531" s="692" t="n"/>
      <c r="O531" s="692" t="n"/>
      <c r="P531" s="692" t="n"/>
      <c r="Q531" s="692" t="n"/>
      <c r="R531" s="692" t="n"/>
      <c r="S531" s="692" t="n"/>
      <c r="T531" s="692" t="n"/>
      <c r="U531" s="692" t="n"/>
      <c r="V531" s="692" t="n"/>
      <c r="W531" s="692" t="n"/>
      <c r="X531" s="692" t="n"/>
      <c r="Y531" s="692" t="n"/>
      <c r="Z531" s="692" t="n"/>
      <c r="AA531" s="692" t="n"/>
      <c r="AB531" s="692" t="n"/>
      <c r="AC531" s="692" t="n"/>
      <c r="AD531" s="692" t="n"/>
      <c r="AE531" s="692" t="n"/>
      <c r="AF531" s="692" t="n"/>
      <c r="AG531" s="692" t="n"/>
      <c r="AH531" s="692" t="n"/>
      <c r="AI531" s="692" t="n"/>
      <c r="AJ531" s="692" t="n"/>
      <c r="AK531" s="692" t="n"/>
      <c r="AL531" s="692" t="n"/>
      <c r="AM531" s="692" t="n"/>
      <c r="AN531" s="692" t="n"/>
      <c r="AO531" s="692" t="n"/>
      <c r="AP531" s="692" t="n"/>
    </row>
    <row r="532">
      <c r="A532" s="692" t="n"/>
      <c r="B532" s="692" t="n"/>
      <c r="C532" s="692" t="n"/>
      <c r="D532" s="692" t="n"/>
      <c r="E532" s="692" t="n"/>
      <c r="F532" s="692" t="n"/>
      <c r="G532" s="692" t="n"/>
      <c r="H532" s="692" t="n"/>
      <c r="I532" s="692" t="n"/>
      <c r="J532" s="692" t="n"/>
      <c r="K532" s="692" t="n"/>
      <c r="L532" s="692" t="n"/>
      <c r="M532" s="692" t="n"/>
      <c r="N532" s="692" t="n"/>
      <c r="O532" s="692" t="n"/>
      <c r="P532" s="692" t="n"/>
      <c r="Q532" s="692" t="n"/>
      <c r="R532" s="692" t="n"/>
      <c r="S532" s="692" t="n"/>
      <c r="T532" s="692" t="n"/>
      <c r="U532" s="692" t="n"/>
      <c r="V532" s="692" t="n"/>
      <c r="W532" s="692" t="n"/>
      <c r="X532" s="692" t="n"/>
      <c r="Y532" s="692" t="n"/>
      <c r="Z532" s="692" t="n"/>
      <c r="AA532" s="692" t="n"/>
      <c r="AB532" s="692" t="n"/>
      <c r="AC532" s="692" t="n"/>
      <c r="AD532" s="692" t="n"/>
      <c r="AE532" s="692" t="n"/>
      <c r="AF532" s="692" t="n"/>
      <c r="AG532" s="692" t="n"/>
      <c r="AH532" s="692" t="n"/>
      <c r="AI532" s="692" t="n"/>
      <c r="AJ532" s="692" t="n"/>
      <c r="AK532" s="692" t="n"/>
      <c r="AL532" s="692" t="n"/>
      <c r="AM532" s="692" t="n"/>
      <c r="AN532" s="692" t="n"/>
      <c r="AO532" s="692" t="n"/>
      <c r="AP532" s="692" t="n"/>
    </row>
    <row r="533">
      <c r="A533" s="692" t="n"/>
      <c r="B533" s="692" t="n"/>
      <c r="C533" s="692" t="n"/>
      <c r="D533" s="692" t="n"/>
      <c r="E533" s="692" t="n"/>
      <c r="F533" s="692" t="n"/>
      <c r="G533" s="692" t="n"/>
      <c r="H533" s="692" t="n"/>
      <c r="I533" s="692" t="n"/>
      <c r="J533" s="692" t="n"/>
      <c r="K533" s="692" t="n"/>
      <c r="L533" s="692" t="n"/>
      <c r="M533" s="692" t="n"/>
      <c r="N533" s="692" t="n"/>
      <c r="O533" s="692" t="n"/>
      <c r="P533" s="692" t="n"/>
      <c r="Q533" s="692" t="n"/>
      <c r="R533" s="692" t="n"/>
      <c r="S533" s="692" t="n"/>
      <c r="T533" s="692" t="n"/>
      <c r="U533" s="692" t="n"/>
      <c r="V533" s="692" t="n"/>
      <c r="W533" s="692" t="n"/>
      <c r="X533" s="692" t="n"/>
      <c r="Y533" s="692" t="n"/>
      <c r="Z533" s="692" t="n"/>
      <c r="AA533" s="692" t="n"/>
      <c r="AB533" s="692" t="n"/>
      <c r="AC533" s="692" t="n"/>
      <c r="AD533" s="692" t="n"/>
      <c r="AE533" s="692" t="n"/>
      <c r="AF533" s="692" t="n"/>
      <c r="AG533" s="692" t="n"/>
      <c r="AH533" s="692" t="n"/>
      <c r="AI533" s="692" t="n"/>
      <c r="AJ533" s="692" t="n"/>
      <c r="AK533" s="692" t="n"/>
      <c r="AL533" s="692" t="n"/>
      <c r="AM533" s="692" t="n"/>
      <c r="AN533" s="692" t="n"/>
      <c r="AO533" s="692" t="n"/>
      <c r="AP533" s="692" t="n"/>
    </row>
    <row r="534">
      <c r="A534" s="692" t="n"/>
      <c r="B534" s="692" t="n"/>
      <c r="C534" s="692" t="n"/>
      <c r="D534" s="692" t="n"/>
      <c r="E534" s="692" t="n"/>
      <c r="F534" s="692" t="n"/>
      <c r="G534" s="692" t="n"/>
      <c r="H534" s="692" t="n"/>
      <c r="I534" s="692" t="n"/>
      <c r="J534" s="692" t="n"/>
      <c r="K534" s="692" t="n"/>
      <c r="L534" s="692" t="n"/>
      <c r="M534" s="692" t="n"/>
      <c r="N534" s="692" t="n"/>
      <c r="O534" s="692" t="n"/>
      <c r="P534" s="692" t="n"/>
      <c r="Q534" s="692" t="n"/>
      <c r="R534" s="692" t="n"/>
      <c r="S534" s="692" t="n"/>
      <c r="T534" s="692" t="n"/>
      <c r="U534" s="692" t="n"/>
      <c r="V534" s="692" t="n"/>
      <c r="W534" s="692" t="n"/>
      <c r="X534" s="692" t="n"/>
      <c r="Y534" s="692" t="n"/>
      <c r="Z534" s="692" t="n"/>
      <c r="AA534" s="692" t="n"/>
      <c r="AB534" s="692" t="n"/>
      <c r="AC534" s="692" t="n"/>
      <c r="AD534" s="692" t="n"/>
      <c r="AE534" s="692" t="n"/>
      <c r="AF534" s="692" t="n"/>
      <c r="AG534" s="692" t="n"/>
      <c r="AH534" s="692" t="n"/>
      <c r="AI534" s="692" t="n"/>
      <c r="AJ534" s="692" t="n"/>
      <c r="AK534" s="692" t="n"/>
      <c r="AL534" s="692" t="n"/>
      <c r="AM534" s="692" t="n"/>
      <c r="AN534" s="692" t="n"/>
      <c r="AO534" s="692" t="n"/>
      <c r="AP534" s="692" t="n"/>
    </row>
    <row r="535">
      <c r="A535" s="692" t="n"/>
      <c r="B535" s="692" t="n"/>
      <c r="C535" s="692" t="n"/>
      <c r="D535" s="692" t="n"/>
      <c r="E535" s="692" t="n"/>
      <c r="F535" s="692" t="n"/>
      <c r="G535" s="692" t="n"/>
      <c r="H535" s="692" t="n"/>
      <c r="I535" s="692" t="n"/>
      <c r="J535" s="692" t="n"/>
      <c r="K535" s="692" t="n"/>
      <c r="L535" s="692" t="n"/>
      <c r="M535" s="692" t="n"/>
      <c r="N535" s="692" t="n"/>
      <c r="O535" s="692" t="n"/>
      <c r="P535" s="692" t="n"/>
      <c r="Q535" s="692" t="n"/>
      <c r="R535" s="692" t="n"/>
      <c r="S535" s="692" t="n"/>
      <c r="T535" s="692" t="n"/>
      <c r="U535" s="692" t="n"/>
      <c r="V535" s="692" t="n"/>
      <c r="W535" s="692" t="n"/>
      <c r="X535" s="692" t="n"/>
      <c r="Y535" s="692" t="n"/>
      <c r="Z535" s="692" t="n"/>
      <c r="AA535" s="692" t="n"/>
      <c r="AB535" s="692" t="n"/>
      <c r="AC535" s="692" t="n"/>
      <c r="AD535" s="692" t="n"/>
      <c r="AE535" s="692" t="n"/>
      <c r="AF535" s="692" t="n"/>
      <c r="AG535" s="692" t="n"/>
      <c r="AH535" s="692" t="n"/>
      <c r="AI535" s="692" t="n"/>
      <c r="AJ535" s="692" t="n"/>
      <c r="AK535" s="692" t="n"/>
      <c r="AL535" s="692" t="n"/>
      <c r="AM535" s="692" t="n"/>
      <c r="AN535" s="692" t="n"/>
      <c r="AO535" s="692" t="n"/>
      <c r="AP535" s="692" t="n"/>
    </row>
    <row r="536">
      <c r="A536" s="692" t="n"/>
      <c r="B536" s="692" t="n"/>
      <c r="C536" s="692" t="n"/>
      <c r="D536" s="692" t="n"/>
      <c r="E536" s="692" t="n"/>
      <c r="F536" s="692" t="n"/>
      <c r="G536" s="692" t="n"/>
      <c r="H536" s="692" t="n"/>
      <c r="I536" s="692" t="n"/>
      <c r="J536" s="692" t="n"/>
      <c r="K536" s="692" t="n"/>
      <c r="L536" s="692" t="n"/>
      <c r="M536" s="692" t="n"/>
      <c r="N536" s="692" t="n"/>
      <c r="O536" s="692" t="n"/>
      <c r="P536" s="692" t="n"/>
      <c r="Q536" s="692" t="n"/>
      <c r="R536" s="692" t="n"/>
      <c r="S536" s="692" t="n"/>
      <c r="T536" s="692" t="n"/>
      <c r="U536" s="692" t="n"/>
      <c r="V536" s="692" t="n"/>
      <c r="W536" s="692" t="n"/>
      <c r="X536" s="692" t="n"/>
      <c r="Y536" s="692" t="n"/>
      <c r="Z536" s="692" t="n"/>
      <c r="AA536" s="692" t="n"/>
      <c r="AB536" s="692" t="n"/>
      <c r="AC536" s="692" t="n"/>
      <c r="AD536" s="692" t="n"/>
      <c r="AE536" s="692" t="n"/>
      <c r="AF536" s="692" t="n"/>
      <c r="AG536" s="692" t="n"/>
      <c r="AH536" s="692" t="n"/>
      <c r="AI536" s="692" t="n"/>
      <c r="AJ536" s="692" t="n"/>
      <c r="AK536" s="692" t="n"/>
      <c r="AL536" s="692" t="n"/>
      <c r="AM536" s="692" t="n"/>
      <c r="AN536" s="692" t="n"/>
      <c r="AO536" s="692" t="n"/>
      <c r="AP536" s="692" t="n"/>
    </row>
    <row r="537">
      <c r="A537" s="692" t="n"/>
      <c r="B537" s="692" t="n"/>
      <c r="C537" s="692" t="n"/>
      <c r="D537" s="692" t="n"/>
      <c r="E537" s="692" t="n"/>
      <c r="F537" s="692" t="n"/>
      <c r="G537" s="692" t="n"/>
      <c r="H537" s="692" t="n"/>
      <c r="I537" s="692" t="n"/>
      <c r="J537" s="692" t="n"/>
      <c r="K537" s="692" t="n"/>
      <c r="L537" s="692" t="n"/>
      <c r="M537" s="692" t="n"/>
      <c r="N537" s="692" t="n"/>
      <c r="O537" s="692" t="n"/>
      <c r="P537" s="692" t="n"/>
      <c r="Q537" s="692" t="n"/>
      <c r="R537" s="692" t="n"/>
      <c r="S537" s="692" t="n"/>
      <c r="T537" s="692" t="n"/>
      <c r="U537" s="692" t="n"/>
      <c r="V537" s="692" t="n"/>
      <c r="W537" s="692" t="n"/>
      <c r="X537" s="692" t="n"/>
      <c r="Y537" s="692" t="n"/>
      <c r="Z537" s="692" t="n"/>
      <c r="AA537" s="692" t="n"/>
      <c r="AB537" s="692" t="n"/>
      <c r="AC537" s="692" t="n"/>
      <c r="AD537" s="692" t="n"/>
      <c r="AE537" s="692" t="n"/>
      <c r="AF537" s="692" t="n"/>
      <c r="AG537" s="692" t="n"/>
      <c r="AH537" s="692" t="n"/>
      <c r="AI537" s="692" t="n"/>
      <c r="AJ537" s="692" t="n"/>
      <c r="AK537" s="692" t="n"/>
      <c r="AL537" s="692" t="n"/>
      <c r="AM537" s="692" t="n"/>
      <c r="AN537" s="692" t="n"/>
      <c r="AO537" s="692" t="n"/>
      <c r="AP537" s="692" t="n"/>
    </row>
    <row r="538">
      <c r="A538" s="692" t="n"/>
      <c r="B538" s="692" t="n"/>
      <c r="C538" s="692" t="n"/>
      <c r="D538" s="692" t="n"/>
      <c r="E538" s="692" t="n"/>
      <c r="F538" s="692" t="n"/>
      <c r="G538" s="692" t="n"/>
      <c r="H538" s="692" t="n"/>
      <c r="I538" s="692" t="n"/>
      <c r="J538" s="692" t="n"/>
      <c r="K538" s="692" t="n"/>
      <c r="L538" s="692" t="n"/>
      <c r="M538" s="692" t="n"/>
      <c r="N538" s="692" t="n"/>
      <c r="O538" s="692" t="n"/>
      <c r="P538" s="692" t="n"/>
      <c r="Q538" s="692" t="n"/>
      <c r="R538" s="692" t="n"/>
      <c r="S538" s="692" t="n"/>
      <c r="T538" s="692" t="n"/>
      <c r="U538" s="692" t="n"/>
      <c r="V538" s="692" t="n"/>
      <c r="W538" s="692" t="n"/>
      <c r="X538" s="692" t="n"/>
      <c r="Y538" s="692" t="n"/>
      <c r="Z538" s="692" t="n"/>
      <c r="AA538" s="692" t="n"/>
      <c r="AB538" s="692" t="n"/>
      <c r="AC538" s="692" t="n"/>
      <c r="AD538" s="692" t="n"/>
      <c r="AE538" s="692" t="n"/>
      <c r="AF538" s="692" t="n"/>
      <c r="AG538" s="692" t="n"/>
      <c r="AH538" s="692" t="n"/>
      <c r="AI538" s="692" t="n"/>
      <c r="AJ538" s="692" t="n"/>
      <c r="AK538" s="692" t="n"/>
      <c r="AL538" s="692" t="n"/>
      <c r="AM538" s="692" t="n"/>
      <c r="AN538" s="692" t="n"/>
      <c r="AO538" s="692" t="n"/>
      <c r="AP538" s="692" t="n"/>
    </row>
    <row r="539">
      <c r="A539" s="692" t="n"/>
      <c r="B539" s="692" t="n"/>
      <c r="C539" s="692" t="n"/>
      <c r="D539" s="692" t="n"/>
      <c r="E539" s="692" t="n"/>
      <c r="F539" s="692" t="n"/>
      <c r="G539" s="692" t="n"/>
      <c r="H539" s="692" t="n"/>
      <c r="I539" s="692" t="n"/>
      <c r="J539" s="692" t="n"/>
      <c r="K539" s="692" t="n"/>
      <c r="L539" s="692" t="n"/>
      <c r="M539" s="692" t="n"/>
      <c r="N539" s="692" t="n"/>
      <c r="O539" s="692" t="n"/>
      <c r="P539" s="692" t="n"/>
      <c r="Q539" s="692" t="n"/>
      <c r="R539" s="692" t="n"/>
      <c r="S539" s="692" t="n"/>
      <c r="T539" s="692" t="n"/>
      <c r="U539" s="692" t="n"/>
      <c r="V539" s="692" t="n"/>
      <c r="W539" s="692" t="n"/>
      <c r="X539" s="692" t="n"/>
      <c r="Y539" s="692" t="n"/>
      <c r="Z539" s="692" t="n"/>
      <c r="AA539" s="692" t="n"/>
      <c r="AB539" s="692" t="n"/>
      <c r="AC539" s="692" t="n"/>
      <c r="AD539" s="692" t="n"/>
      <c r="AE539" s="692" t="n"/>
      <c r="AF539" s="692" t="n"/>
      <c r="AG539" s="692" t="n"/>
      <c r="AH539" s="692" t="n"/>
      <c r="AI539" s="692" t="n"/>
      <c r="AJ539" s="692" t="n"/>
      <c r="AK539" s="692" t="n"/>
      <c r="AL539" s="692" t="n"/>
      <c r="AM539" s="692" t="n"/>
      <c r="AN539" s="692" t="n"/>
      <c r="AO539" s="692" t="n"/>
      <c r="AP539" s="692" t="n"/>
    </row>
    <row r="540">
      <c r="A540" s="692" t="n"/>
      <c r="B540" s="692" t="n"/>
      <c r="C540" s="692" t="n"/>
      <c r="D540" s="692" t="n"/>
      <c r="E540" s="692" t="n"/>
      <c r="F540" s="692" t="n"/>
      <c r="G540" s="692" t="n"/>
      <c r="H540" s="692" t="n"/>
      <c r="I540" s="692" t="n"/>
      <c r="J540" s="692" t="n"/>
      <c r="K540" s="692" t="n"/>
      <c r="L540" s="692" t="n"/>
      <c r="M540" s="692" t="n"/>
      <c r="N540" s="692" t="n"/>
      <c r="O540" s="692" t="n"/>
      <c r="P540" s="692" t="n"/>
      <c r="Q540" s="692" t="n"/>
      <c r="R540" s="692" t="n"/>
      <c r="S540" s="692" t="n"/>
      <c r="T540" s="692" t="n"/>
      <c r="U540" s="692" t="n"/>
      <c r="V540" s="692" t="n"/>
      <c r="W540" s="692" t="n"/>
      <c r="X540" s="692" t="n"/>
      <c r="Y540" s="692" t="n"/>
      <c r="Z540" s="692" t="n"/>
      <c r="AA540" s="692" t="n"/>
      <c r="AB540" s="692" t="n"/>
      <c r="AC540" s="692" t="n"/>
      <c r="AD540" s="692" t="n"/>
      <c r="AE540" s="692" t="n"/>
      <c r="AF540" s="692" t="n"/>
      <c r="AG540" s="692" t="n"/>
      <c r="AH540" s="692" t="n"/>
      <c r="AI540" s="692" t="n"/>
      <c r="AJ540" s="692" t="n"/>
      <c r="AK540" s="692" t="n"/>
      <c r="AL540" s="692" t="n"/>
      <c r="AM540" s="692" t="n"/>
      <c r="AN540" s="692" t="n"/>
      <c r="AO540" s="692" t="n"/>
      <c r="AP540" s="692" t="n"/>
    </row>
    <row r="541">
      <c r="A541" s="692" t="n"/>
      <c r="B541" s="692" t="n"/>
      <c r="C541" s="692" t="n"/>
      <c r="D541" s="692" t="n"/>
      <c r="E541" s="692" t="n"/>
      <c r="F541" s="692" t="n"/>
      <c r="G541" s="692" t="n"/>
      <c r="H541" s="692" t="n"/>
      <c r="I541" s="692" t="n"/>
      <c r="J541" s="692" t="n"/>
      <c r="K541" s="692" t="n"/>
      <c r="L541" s="692" t="n"/>
      <c r="M541" s="692" t="n"/>
      <c r="N541" s="692" t="n"/>
      <c r="O541" s="692" t="n"/>
      <c r="P541" s="692" t="n"/>
      <c r="Q541" s="692" t="n"/>
      <c r="R541" s="692" t="n"/>
      <c r="S541" s="692" t="n"/>
      <c r="T541" s="692" t="n"/>
      <c r="U541" s="692" t="n"/>
      <c r="V541" s="692" t="n"/>
      <c r="W541" s="692" t="n"/>
      <c r="X541" s="692" t="n"/>
      <c r="Y541" s="692" t="n"/>
      <c r="Z541" s="692" t="n"/>
      <c r="AA541" s="692" t="n"/>
      <c r="AB541" s="692" t="n"/>
      <c r="AC541" s="692" t="n"/>
      <c r="AD541" s="692" t="n"/>
      <c r="AE541" s="692" t="n"/>
      <c r="AF541" s="692" t="n"/>
      <c r="AG541" s="692" t="n"/>
      <c r="AH541" s="692" t="n"/>
      <c r="AI541" s="692" t="n"/>
      <c r="AJ541" s="692" t="n"/>
      <c r="AK541" s="692" t="n"/>
      <c r="AL541" s="692" t="n"/>
      <c r="AM541" s="692" t="n"/>
      <c r="AN541" s="692" t="n"/>
      <c r="AO541" s="692" t="n"/>
      <c r="AP541" s="692" t="n"/>
    </row>
    <row r="542">
      <c r="A542" s="692" t="n"/>
      <c r="B542" s="692" t="n"/>
      <c r="C542" s="692" t="n"/>
      <c r="D542" s="692" t="n"/>
      <c r="E542" s="692" t="n"/>
      <c r="F542" s="692" t="n"/>
      <c r="G542" s="692" t="n"/>
      <c r="H542" s="692" t="n"/>
      <c r="I542" s="692" t="n"/>
      <c r="J542" s="692" t="n"/>
      <c r="K542" s="692" t="n"/>
      <c r="L542" s="692" t="n"/>
      <c r="M542" s="692" t="n"/>
      <c r="N542" s="692" t="n"/>
      <c r="O542" s="692" t="n"/>
      <c r="P542" s="692" t="n"/>
      <c r="Q542" s="692" t="n"/>
      <c r="R542" s="692" t="n"/>
      <c r="S542" s="692" t="n"/>
      <c r="T542" s="692" t="n"/>
      <c r="U542" s="692" t="n"/>
      <c r="V542" s="692" t="n"/>
      <c r="W542" s="692" t="n"/>
      <c r="X542" s="692" t="n"/>
      <c r="Y542" s="692" t="n"/>
      <c r="Z542" s="692" t="n"/>
      <c r="AA542" s="692" t="n"/>
      <c r="AB542" s="692" t="n"/>
      <c r="AC542" s="692" t="n"/>
      <c r="AD542" s="692" t="n"/>
      <c r="AE542" s="692" t="n"/>
      <c r="AF542" s="692" t="n"/>
      <c r="AG542" s="692" t="n"/>
      <c r="AH542" s="692" t="n"/>
      <c r="AI542" s="692" t="n"/>
      <c r="AJ542" s="692" t="n"/>
      <c r="AK542" s="692" t="n"/>
      <c r="AL542" s="692" t="n"/>
      <c r="AM542" s="692" t="n"/>
      <c r="AN542" s="692" t="n"/>
      <c r="AO542" s="692" t="n"/>
      <c r="AP542" s="692" t="n"/>
    </row>
    <row r="543">
      <c r="A543" s="692" t="n"/>
      <c r="B543" s="692" t="n"/>
      <c r="C543" s="692" t="n"/>
      <c r="D543" s="692" t="n"/>
      <c r="E543" s="692" t="n"/>
      <c r="F543" s="692" t="n"/>
      <c r="G543" s="692" t="n"/>
      <c r="H543" s="692" t="n"/>
      <c r="I543" s="692" t="n"/>
      <c r="J543" s="692" t="n"/>
      <c r="K543" s="692" t="n"/>
      <c r="L543" s="692" t="n"/>
      <c r="M543" s="692" t="n"/>
      <c r="N543" s="692" t="n"/>
      <c r="O543" s="692" t="n"/>
      <c r="P543" s="692" t="n"/>
      <c r="Q543" s="692" t="n"/>
      <c r="R543" s="692" t="n"/>
      <c r="S543" s="692" t="n"/>
      <c r="T543" s="692" t="n"/>
      <c r="U543" s="692" t="n"/>
      <c r="V543" s="692" t="n"/>
      <c r="W543" s="692" t="n"/>
      <c r="X543" s="692" t="n"/>
      <c r="Y543" s="692" t="n"/>
      <c r="Z543" s="692" t="n"/>
      <c r="AA543" s="692" t="n"/>
      <c r="AB543" s="692" t="n"/>
      <c r="AC543" s="692" t="n"/>
      <c r="AD543" s="692" t="n"/>
      <c r="AE543" s="692" t="n"/>
      <c r="AF543" s="692" t="n"/>
      <c r="AG543" s="692" t="n"/>
      <c r="AH543" s="692" t="n"/>
      <c r="AI543" s="692" t="n"/>
      <c r="AJ543" s="692" t="n"/>
      <c r="AK543" s="692" t="n"/>
      <c r="AL543" s="692" t="n"/>
      <c r="AM543" s="692" t="n"/>
      <c r="AN543" s="692" t="n"/>
      <c r="AO543" s="692" t="n"/>
      <c r="AP543" s="692" t="n"/>
    </row>
    <row r="544">
      <c r="A544" s="692" t="n"/>
      <c r="B544" s="692" t="n"/>
      <c r="C544" s="692" t="n"/>
      <c r="D544" s="692" t="n"/>
      <c r="E544" s="692" t="n"/>
      <c r="F544" s="692" t="n"/>
      <c r="G544" s="692" t="n"/>
      <c r="H544" s="692" t="n"/>
      <c r="I544" s="692" t="n"/>
      <c r="J544" s="692" t="n"/>
      <c r="K544" s="692" t="n"/>
      <c r="L544" s="692" t="n"/>
      <c r="M544" s="692" t="n"/>
      <c r="N544" s="692" t="n"/>
      <c r="O544" s="692" t="n"/>
      <c r="P544" s="692" t="n"/>
      <c r="Q544" s="692" t="n"/>
      <c r="R544" s="692" t="n"/>
      <c r="S544" s="692" t="n"/>
      <c r="T544" s="692" t="n"/>
      <c r="U544" s="692" t="n"/>
      <c r="V544" s="692" t="n"/>
      <c r="W544" s="692" t="n"/>
      <c r="X544" s="692" t="n"/>
      <c r="Y544" s="692" t="n"/>
      <c r="Z544" s="692" t="n"/>
      <c r="AA544" s="692" t="n"/>
      <c r="AB544" s="692" t="n"/>
      <c r="AC544" s="692" t="n"/>
      <c r="AD544" s="692" t="n"/>
      <c r="AE544" s="692" t="n"/>
      <c r="AF544" s="692" t="n"/>
      <c r="AG544" s="692" t="n"/>
      <c r="AH544" s="692" t="n"/>
      <c r="AI544" s="692" t="n"/>
      <c r="AJ544" s="692" t="n"/>
      <c r="AK544" s="692" t="n"/>
      <c r="AL544" s="692" t="n"/>
      <c r="AM544" s="692" t="n"/>
      <c r="AN544" s="692" t="n"/>
      <c r="AO544" s="692" t="n"/>
      <c r="AP544" s="692" t="n"/>
    </row>
    <row r="545">
      <c r="A545" s="692" t="n"/>
      <c r="B545" s="692" t="n"/>
      <c r="C545" s="692" t="n"/>
      <c r="D545" s="692" t="n"/>
      <c r="E545" s="692" t="n"/>
      <c r="F545" s="692" t="n"/>
      <c r="G545" s="692" t="n"/>
      <c r="H545" s="692" t="n"/>
      <c r="I545" s="692" t="n"/>
      <c r="J545" s="692" t="n"/>
      <c r="K545" s="692" t="n"/>
      <c r="L545" s="692" t="n"/>
      <c r="M545" s="692" t="n"/>
      <c r="N545" s="692" t="n"/>
      <c r="O545" s="692" t="n"/>
      <c r="P545" s="692" t="n"/>
      <c r="Q545" s="692" t="n"/>
      <c r="R545" s="692" t="n"/>
      <c r="S545" s="692" t="n"/>
      <c r="T545" s="692" t="n"/>
      <c r="U545" s="692" t="n"/>
      <c r="V545" s="692" t="n"/>
      <c r="W545" s="692" t="n"/>
      <c r="X545" s="692" t="n"/>
      <c r="Y545" s="692" t="n"/>
      <c r="Z545" s="692" t="n"/>
      <c r="AA545" s="692" t="n"/>
      <c r="AB545" s="692" t="n"/>
      <c r="AC545" s="692" t="n"/>
      <c r="AD545" s="692" t="n"/>
      <c r="AE545" s="692" t="n"/>
      <c r="AF545" s="692" t="n"/>
      <c r="AG545" s="692" t="n"/>
      <c r="AH545" s="692" t="n"/>
      <c r="AI545" s="692" t="n"/>
      <c r="AJ545" s="692" t="n"/>
      <c r="AK545" s="692" t="n"/>
      <c r="AL545" s="692" t="n"/>
      <c r="AM545" s="692" t="n"/>
      <c r="AN545" s="692" t="n"/>
      <c r="AO545" s="692" t="n"/>
      <c r="AP545" s="692" t="n"/>
    </row>
    <row r="546">
      <c r="A546" s="692" t="n"/>
      <c r="B546" s="692" t="n"/>
      <c r="C546" s="692" t="n"/>
      <c r="D546" s="692" t="n"/>
      <c r="E546" s="692" t="n"/>
      <c r="F546" s="692" t="n"/>
      <c r="G546" s="692" t="n"/>
      <c r="H546" s="692" t="n"/>
      <c r="I546" s="692" t="n"/>
      <c r="J546" s="692" t="n"/>
      <c r="K546" s="692" t="n"/>
      <c r="L546" s="692" t="n"/>
      <c r="M546" s="692" t="n"/>
      <c r="N546" s="692" t="n"/>
      <c r="O546" s="692" t="n"/>
      <c r="P546" s="692" t="n"/>
      <c r="Q546" s="692" t="n"/>
      <c r="R546" s="692" t="n"/>
      <c r="S546" s="692" t="n"/>
      <c r="T546" s="692" t="n"/>
      <c r="U546" s="692" t="n"/>
      <c r="V546" s="692" t="n"/>
      <c r="W546" s="692" t="n"/>
      <c r="X546" s="692" t="n"/>
      <c r="Y546" s="692" t="n"/>
      <c r="Z546" s="692" t="n"/>
      <c r="AA546" s="692" t="n"/>
      <c r="AB546" s="692" t="n"/>
      <c r="AC546" s="692" t="n"/>
      <c r="AD546" s="692" t="n"/>
      <c r="AE546" s="692" t="n"/>
      <c r="AF546" s="692" t="n"/>
      <c r="AG546" s="692" t="n"/>
      <c r="AH546" s="692" t="n"/>
      <c r="AI546" s="692" t="n"/>
      <c r="AJ546" s="692" t="n"/>
      <c r="AK546" s="692" t="n"/>
      <c r="AL546" s="692" t="n"/>
      <c r="AM546" s="692" t="n"/>
      <c r="AN546" s="692" t="n"/>
      <c r="AO546" s="692" t="n"/>
      <c r="AP546" s="692" t="n"/>
    </row>
    <row r="547">
      <c r="A547" s="692" t="n"/>
      <c r="B547" s="692" t="n"/>
      <c r="C547" s="692" t="n"/>
      <c r="D547" s="692" t="n"/>
      <c r="E547" s="692" t="n"/>
      <c r="F547" s="692" t="n"/>
      <c r="G547" s="692" t="n"/>
      <c r="H547" s="692" t="n"/>
      <c r="I547" s="692" t="n"/>
      <c r="J547" s="692" t="n"/>
      <c r="K547" s="692" t="n"/>
      <c r="L547" s="692" t="n"/>
      <c r="M547" s="692" t="n"/>
      <c r="N547" s="692" t="n"/>
      <c r="O547" s="692" t="n"/>
      <c r="P547" s="692" t="n"/>
      <c r="Q547" s="692" t="n"/>
      <c r="R547" s="692" t="n"/>
      <c r="S547" s="692" t="n"/>
      <c r="T547" s="692" t="n"/>
      <c r="U547" s="692" t="n"/>
      <c r="V547" s="692" t="n"/>
      <c r="W547" s="692" t="n"/>
      <c r="X547" s="692" t="n"/>
      <c r="Y547" s="692" t="n"/>
      <c r="Z547" s="692" t="n"/>
      <c r="AA547" s="692" t="n"/>
      <c r="AB547" s="692" t="n"/>
      <c r="AC547" s="692" t="n"/>
      <c r="AD547" s="692" t="n"/>
      <c r="AE547" s="692" t="n"/>
      <c r="AF547" s="692" t="n"/>
      <c r="AG547" s="692" t="n"/>
      <c r="AH547" s="692" t="n"/>
      <c r="AI547" s="692" t="n"/>
      <c r="AJ547" s="692" t="n"/>
      <c r="AK547" s="692" t="n"/>
      <c r="AL547" s="692" t="n"/>
      <c r="AM547" s="692" t="n"/>
      <c r="AN547" s="692" t="n"/>
      <c r="AO547" s="692" t="n"/>
      <c r="AP547" s="692" t="n"/>
    </row>
    <row r="548">
      <c r="A548" s="692" t="n"/>
      <c r="B548" s="692" t="n"/>
      <c r="C548" s="692" t="n"/>
      <c r="D548" s="692" t="n"/>
      <c r="E548" s="692" t="n"/>
      <c r="F548" s="692" t="n"/>
      <c r="G548" s="692" t="n"/>
      <c r="H548" s="692" t="n"/>
      <c r="I548" s="692" t="n"/>
      <c r="J548" s="692" t="n"/>
      <c r="K548" s="692" t="n"/>
      <c r="L548" s="692" t="n"/>
      <c r="M548" s="692" t="n"/>
      <c r="N548" s="692" t="n"/>
      <c r="O548" s="692" t="n"/>
      <c r="P548" s="692" t="n"/>
      <c r="Q548" s="692" t="n"/>
      <c r="R548" s="692" t="n"/>
      <c r="S548" s="692" t="n"/>
      <c r="T548" s="692" t="n"/>
      <c r="U548" s="692" t="n"/>
      <c r="V548" s="692" t="n"/>
      <c r="W548" s="692" t="n"/>
      <c r="X548" s="692" t="n"/>
      <c r="Y548" s="692" t="n"/>
      <c r="Z548" s="692" t="n"/>
      <c r="AA548" s="692" t="n"/>
      <c r="AB548" s="692" t="n"/>
      <c r="AC548" s="692" t="n"/>
      <c r="AD548" s="692" t="n"/>
      <c r="AE548" s="692" t="n"/>
      <c r="AF548" s="692" t="n"/>
      <c r="AG548" s="692" t="n"/>
      <c r="AH548" s="692" t="n"/>
      <c r="AI548" s="692" t="n"/>
      <c r="AJ548" s="692" t="n"/>
      <c r="AK548" s="692" t="n"/>
      <c r="AL548" s="692" t="n"/>
      <c r="AM548" s="692" t="n"/>
      <c r="AN548" s="692" t="n"/>
      <c r="AO548" s="692" t="n"/>
      <c r="AP548" s="692" t="n"/>
    </row>
    <row r="549">
      <c r="A549" s="692" t="n"/>
      <c r="B549" s="692" t="n"/>
      <c r="C549" s="692" t="n"/>
      <c r="D549" s="692" t="n"/>
      <c r="E549" s="692" t="n"/>
      <c r="F549" s="692" t="n"/>
      <c r="G549" s="692" t="n"/>
      <c r="H549" s="692" t="n"/>
      <c r="I549" s="692" t="n"/>
      <c r="J549" s="692" t="n"/>
      <c r="K549" s="692" t="n"/>
      <c r="L549" s="692" t="n"/>
      <c r="M549" s="692" t="n"/>
      <c r="N549" s="692" t="n"/>
      <c r="O549" s="692" t="n"/>
      <c r="P549" s="692" t="n"/>
      <c r="Q549" s="692" t="n"/>
      <c r="R549" s="692" t="n"/>
      <c r="S549" s="692" t="n"/>
      <c r="T549" s="692" t="n"/>
      <c r="U549" s="692" t="n"/>
      <c r="V549" s="692" t="n"/>
      <c r="W549" s="692" t="n"/>
      <c r="X549" s="692" t="n"/>
      <c r="Y549" s="692" t="n"/>
      <c r="Z549" s="692" t="n"/>
      <c r="AA549" s="692" t="n"/>
      <c r="AB549" s="692" t="n"/>
      <c r="AC549" s="692" t="n"/>
      <c r="AD549" s="692" t="n"/>
      <c r="AE549" s="692" t="n"/>
      <c r="AF549" s="692" t="n"/>
      <c r="AG549" s="692" t="n"/>
      <c r="AH549" s="692" t="n"/>
      <c r="AI549" s="692" t="n"/>
      <c r="AJ549" s="692" t="n"/>
      <c r="AK549" s="692" t="n"/>
      <c r="AL549" s="692" t="n"/>
      <c r="AM549" s="692" t="n"/>
      <c r="AN549" s="692" t="n"/>
      <c r="AO549" s="692" t="n"/>
      <c r="AP549" s="692" t="n"/>
    </row>
    <row r="550">
      <c r="A550" s="692" t="n"/>
      <c r="B550" s="692" t="n"/>
      <c r="C550" s="692" t="n"/>
      <c r="D550" s="692" t="n"/>
      <c r="E550" s="692" t="n"/>
      <c r="F550" s="692" t="n"/>
      <c r="G550" s="692" t="n"/>
      <c r="H550" s="692" t="n"/>
      <c r="I550" s="692" t="n"/>
      <c r="J550" s="692" t="n"/>
      <c r="K550" s="692" t="n"/>
      <c r="L550" s="692" t="n"/>
      <c r="M550" s="692" t="n"/>
      <c r="N550" s="692" t="n"/>
      <c r="O550" s="692" t="n"/>
      <c r="P550" s="692" t="n"/>
      <c r="Q550" s="692" t="n"/>
      <c r="R550" s="692" t="n"/>
      <c r="S550" s="692" t="n"/>
      <c r="T550" s="692" t="n"/>
      <c r="U550" s="692" t="n"/>
      <c r="V550" s="692" t="n"/>
      <c r="W550" s="692" t="n"/>
      <c r="X550" s="692" t="n"/>
      <c r="Y550" s="692" t="n"/>
      <c r="Z550" s="692" t="n"/>
      <c r="AA550" s="692" t="n"/>
      <c r="AB550" s="692" t="n"/>
      <c r="AC550" s="692" t="n"/>
      <c r="AD550" s="692" t="n"/>
      <c r="AE550" s="692" t="n"/>
      <c r="AF550" s="692" t="n"/>
      <c r="AG550" s="692" t="n"/>
      <c r="AH550" s="692" t="n"/>
      <c r="AI550" s="692" t="n"/>
      <c r="AJ550" s="692" t="n"/>
      <c r="AK550" s="692" t="n"/>
      <c r="AL550" s="692" t="n"/>
      <c r="AM550" s="692" t="n"/>
      <c r="AN550" s="692" t="n"/>
      <c r="AO550" s="692" t="n"/>
      <c r="AP550" s="692" t="n"/>
    </row>
    <row r="551">
      <c r="A551" s="692" t="n"/>
      <c r="B551" s="692" t="n"/>
      <c r="C551" s="692" t="n"/>
      <c r="D551" s="692" t="n"/>
      <c r="E551" s="692" t="n"/>
      <c r="F551" s="692" t="n"/>
      <c r="G551" s="692" t="n"/>
      <c r="H551" s="692" t="n"/>
      <c r="I551" s="692" t="n"/>
      <c r="J551" s="692" t="n"/>
      <c r="K551" s="692" t="n"/>
      <c r="L551" s="692" t="n"/>
      <c r="M551" s="692" t="n"/>
      <c r="N551" s="692" t="n"/>
      <c r="O551" s="692" t="n"/>
      <c r="P551" s="692" t="n"/>
      <c r="Q551" s="692" t="n"/>
      <c r="R551" s="692" t="n"/>
      <c r="S551" s="692" t="n"/>
      <c r="T551" s="692" t="n"/>
      <c r="U551" s="692" t="n"/>
      <c r="V551" s="692" t="n"/>
      <c r="W551" s="692" t="n"/>
      <c r="X551" s="692" t="n"/>
      <c r="Y551" s="692" t="n"/>
      <c r="Z551" s="692" t="n"/>
      <c r="AA551" s="692" t="n"/>
      <c r="AB551" s="692" t="n"/>
      <c r="AC551" s="692" t="n"/>
      <c r="AD551" s="692" t="n"/>
      <c r="AE551" s="692" t="n"/>
      <c r="AF551" s="692" t="n"/>
      <c r="AG551" s="692" t="n"/>
      <c r="AH551" s="692" t="n"/>
      <c r="AI551" s="692" t="n"/>
      <c r="AJ551" s="692" t="n"/>
      <c r="AK551" s="692" t="n"/>
      <c r="AL551" s="692" t="n"/>
      <c r="AM551" s="692" t="n"/>
      <c r="AN551" s="692" t="n"/>
      <c r="AO551" s="692" t="n"/>
      <c r="AP551" s="692" t="n"/>
    </row>
    <row r="552">
      <c r="A552" s="692" t="n"/>
      <c r="B552" s="692" t="n"/>
      <c r="C552" s="692" t="n"/>
      <c r="D552" s="692" t="n"/>
      <c r="E552" s="692" t="n"/>
      <c r="F552" s="692" t="n"/>
      <c r="G552" s="692" t="n"/>
      <c r="H552" s="692" t="n"/>
      <c r="I552" s="692" t="n"/>
      <c r="J552" s="692" t="n"/>
      <c r="K552" s="692" t="n"/>
      <c r="L552" s="692" t="n"/>
      <c r="M552" s="692" t="n"/>
      <c r="N552" s="692" t="n"/>
      <c r="O552" s="692" t="n"/>
      <c r="P552" s="692" t="n"/>
      <c r="Q552" s="692" t="n"/>
      <c r="R552" s="692" t="n"/>
      <c r="S552" s="692" t="n"/>
      <c r="T552" s="692" t="n"/>
      <c r="U552" s="692" t="n"/>
      <c r="V552" s="692" t="n"/>
      <c r="W552" s="692" t="n"/>
      <c r="X552" s="692" t="n"/>
      <c r="Y552" s="692" t="n"/>
      <c r="Z552" s="692" t="n"/>
      <c r="AA552" s="692" t="n"/>
      <c r="AB552" s="692" t="n"/>
      <c r="AC552" s="692" t="n"/>
      <c r="AD552" s="692" t="n"/>
      <c r="AE552" s="692" t="n"/>
      <c r="AF552" s="692" t="n"/>
      <c r="AG552" s="692" t="n"/>
      <c r="AH552" s="692" t="n"/>
      <c r="AI552" s="692" t="n"/>
      <c r="AJ552" s="692" t="n"/>
      <c r="AK552" s="692" t="n"/>
      <c r="AL552" s="692" t="n"/>
      <c r="AM552" s="692" t="n"/>
      <c r="AN552" s="692" t="n"/>
      <c r="AO552" s="692" t="n"/>
      <c r="AP552" s="692" t="n"/>
    </row>
    <row r="553">
      <c r="A553" s="692" t="n"/>
      <c r="B553" s="692" t="n"/>
      <c r="C553" s="692" t="n"/>
      <c r="D553" s="692" t="n"/>
      <c r="E553" s="692" t="n"/>
      <c r="F553" s="692" t="n"/>
      <c r="G553" s="692" t="n"/>
      <c r="H553" s="692" t="n"/>
      <c r="I553" s="692" t="n"/>
      <c r="J553" s="692" t="n"/>
      <c r="K553" s="692" t="n"/>
      <c r="L553" s="692" t="n"/>
      <c r="M553" s="692" t="n"/>
      <c r="N553" s="692" t="n"/>
      <c r="O553" s="692" t="n"/>
      <c r="P553" s="692" t="n"/>
      <c r="Q553" s="692" t="n"/>
      <c r="R553" s="692" t="n"/>
      <c r="S553" s="692" t="n"/>
      <c r="T553" s="692" t="n"/>
      <c r="U553" s="692" t="n"/>
      <c r="V553" s="692" t="n"/>
      <c r="W553" s="692" t="n"/>
      <c r="X553" s="692" t="n"/>
      <c r="Y553" s="692" t="n"/>
      <c r="Z553" s="692" t="n"/>
      <c r="AA553" s="692" t="n"/>
      <c r="AB553" s="692" t="n"/>
      <c r="AC553" s="692" t="n"/>
      <c r="AD553" s="692" t="n"/>
      <c r="AE553" s="692" t="n"/>
      <c r="AF553" s="692" t="n"/>
      <c r="AG553" s="692" t="n"/>
      <c r="AH553" s="692" t="n"/>
      <c r="AI553" s="692" t="n"/>
      <c r="AJ553" s="692" t="n"/>
      <c r="AK553" s="692" t="n"/>
      <c r="AL553" s="692" t="n"/>
      <c r="AM553" s="692" t="n"/>
      <c r="AN553" s="692" t="n"/>
      <c r="AO553" s="692" t="n"/>
      <c r="AP553" s="692" t="n"/>
    </row>
    <row r="554">
      <c r="A554" s="692" t="n"/>
      <c r="B554" s="692" t="n"/>
      <c r="C554" s="692" t="n"/>
      <c r="D554" s="692" t="n"/>
      <c r="E554" s="692" t="n"/>
      <c r="F554" s="692" t="n"/>
      <c r="G554" s="692" t="n"/>
      <c r="H554" s="692" t="n"/>
      <c r="I554" s="692" t="n"/>
      <c r="J554" s="692" t="n"/>
      <c r="K554" s="692" t="n"/>
      <c r="L554" s="692" t="n"/>
      <c r="M554" s="692" t="n"/>
      <c r="N554" s="692" t="n"/>
      <c r="O554" s="692" t="n"/>
      <c r="P554" s="692" t="n"/>
      <c r="Q554" s="692" t="n"/>
      <c r="R554" s="692" t="n"/>
      <c r="S554" s="692" t="n"/>
      <c r="T554" s="692" t="n"/>
      <c r="U554" s="692" t="n"/>
      <c r="V554" s="692" t="n"/>
      <c r="W554" s="692" t="n"/>
      <c r="X554" s="692" t="n"/>
      <c r="Y554" s="692" t="n"/>
      <c r="Z554" s="692" t="n"/>
      <c r="AA554" s="692" t="n"/>
      <c r="AB554" s="692" t="n"/>
      <c r="AC554" s="692" t="n"/>
      <c r="AD554" s="692" t="n"/>
      <c r="AE554" s="692" t="n"/>
      <c r="AF554" s="692" t="n"/>
      <c r="AG554" s="692" t="n"/>
      <c r="AH554" s="692" t="n"/>
      <c r="AI554" s="692" t="n"/>
      <c r="AJ554" s="692" t="n"/>
      <c r="AK554" s="692" t="n"/>
      <c r="AL554" s="692" t="n"/>
      <c r="AM554" s="692" t="n"/>
      <c r="AN554" s="692" t="n"/>
      <c r="AO554" s="692" t="n"/>
      <c r="AP554" s="692" t="n"/>
    </row>
    <row r="555">
      <c r="A555" s="692" t="n"/>
      <c r="B555" s="692" t="n"/>
      <c r="C555" s="692" t="n"/>
      <c r="D555" s="692" t="n"/>
      <c r="E555" s="692" t="n"/>
      <c r="F555" s="692" t="n"/>
      <c r="G555" s="692" t="n"/>
      <c r="H555" s="692" t="n"/>
      <c r="I555" s="692" t="n"/>
      <c r="J555" s="692" t="n"/>
      <c r="K555" s="692" t="n"/>
      <c r="L555" s="692" t="n"/>
      <c r="M555" s="692" t="n"/>
      <c r="N555" s="692" t="n"/>
      <c r="O555" s="692" t="n"/>
      <c r="P555" s="692" t="n"/>
      <c r="Q555" s="692" t="n"/>
      <c r="R555" s="692" t="n"/>
      <c r="S555" s="692" t="n"/>
      <c r="T555" s="692" t="n"/>
      <c r="U555" s="692" t="n"/>
      <c r="V555" s="692" t="n"/>
      <c r="W555" s="692" t="n"/>
      <c r="X555" s="692" t="n"/>
      <c r="Y555" s="692" t="n"/>
      <c r="Z555" s="692" t="n"/>
      <c r="AA555" s="692" t="n"/>
      <c r="AB555" s="692" t="n"/>
      <c r="AC555" s="692" t="n"/>
      <c r="AD555" s="692" t="n"/>
      <c r="AE555" s="692" t="n"/>
      <c r="AF555" s="692" t="n"/>
      <c r="AG555" s="692" t="n"/>
      <c r="AH555" s="692" t="n"/>
      <c r="AI555" s="692" t="n"/>
      <c r="AJ555" s="692" t="n"/>
      <c r="AK555" s="692" t="n"/>
      <c r="AL555" s="692" t="n"/>
      <c r="AM555" s="692" t="n"/>
      <c r="AN555" s="692" t="n"/>
      <c r="AO555" s="692" t="n"/>
      <c r="AP555" s="692" t="n"/>
    </row>
    <row r="556">
      <c r="A556" s="692" t="n"/>
      <c r="B556" s="692" t="n"/>
      <c r="C556" s="692" t="n"/>
      <c r="D556" s="692" t="n"/>
      <c r="E556" s="692" t="n"/>
      <c r="F556" s="692" t="n"/>
      <c r="G556" s="692" t="n"/>
      <c r="H556" s="692" t="n"/>
      <c r="I556" s="692" t="n"/>
      <c r="J556" s="692" t="n"/>
      <c r="K556" s="692" t="n"/>
      <c r="L556" s="692" t="n"/>
      <c r="M556" s="692" t="n"/>
      <c r="N556" s="692" t="n"/>
      <c r="O556" s="692" t="n"/>
      <c r="P556" s="692" t="n"/>
      <c r="Q556" s="692" t="n"/>
      <c r="R556" s="692" t="n"/>
      <c r="S556" s="692" t="n"/>
      <c r="T556" s="692" t="n"/>
      <c r="U556" s="692" t="n"/>
      <c r="V556" s="692" t="n"/>
      <c r="W556" s="692" t="n"/>
      <c r="X556" s="692" t="n"/>
      <c r="Y556" s="692" t="n"/>
      <c r="Z556" s="692" t="n"/>
      <c r="AA556" s="692" t="n"/>
      <c r="AB556" s="692" t="n"/>
      <c r="AC556" s="692" t="n"/>
      <c r="AD556" s="692" t="n"/>
      <c r="AE556" s="692" t="n"/>
      <c r="AF556" s="692" t="n"/>
      <c r="AG556" s="692" t="n"/>
      <c r="AH556" s="692" t="n"/>
      <c r="AI556" s="692" t="n"/>
      <c r="AJ556" s="692" t="n"/>
      <c r="AK556" s="692" t="n"/>
      <c r="AL556" s="692" t="n"/>
      <c r="AM556" s="692" t="n"/>
      <c r="AN556" s="692" t="n"/>
      <c r="AO556" s="692" t="n"/>
      <c r="AP556" s="692" t="n"/>
    </row>
    <row r="557">
      <c r="A557" s="692" t="n"/>
      <c r="B557" s="692" t="n"/>
      <c r="C557" s="692" t="n"/>
      <c r="D557" s="692" t="n"/>
      <c r="E557" s="692" t="n"/>
      <c r="F557" s="692" t="n"/>
      <c r="G557" s="692" t="n"/>
      <c r="H557" s="692" t="n"/>
      <c r="I557" s="692" t="n"/>
      <c r="J557" s="692" t="n"/>
      <c r="K557" s="692" t="n"/>
      <c r="L557" s="692" t="n"/>
      <c r="M557" s="692" t="n"/>
      <c r="N557" s="692" t="n"/>
      <c r="O557" s="692" t="n"/>
      <c r="P557" s="692" t="n"/>
      <c r="Q557" s="692" t="n"/>
      <c r="R557" s="692" t="n"/>
      <c r="S557" s="692" t="n"/>
      <c r="T557" s="692" t="n"/>
      <c r="U557" s="692" t="n"/>
      <c r="V557" s="692" t="n"/>
      <c r="W557" s="692" t="n"/>
      <c r="X557" s="692" t="n"/>
      <c r="Y557" s="692" t="n"/>
      <c r="Z557" s="692" t="n"/>
      <c r="AA557" s="692" t="n"/>
      <c r="AB557" s="692" t="n"/>
      <c r="AC557" s="692" t="n"/>
      <c r="AD557" s="692" t="n"/>
      <c r="AE557" s="692" t="n"/>
      <c r="AF557" s="692" t="n"/>
      <c r="AG557" s="692" t="n"/>
      <c r="AH557" s="692" t="n"/>
      <c r="AI557" s="692" t="n"/>
      <c r="AJ557" s="692" t="n"/>
      <c r="AK557" s="692" t="n"/>
      <c r="AL557" s="692" t="n"/>
      <c r="AM557" s="692" t="n"/>
      <c r="AN557" s="692" t="n"/>
      <c r="AO557" s="692" t="n"/>
      <c r="AP557" s="692" t="n"/>
    </row>
    <row r="558">
      <c r="A558" s="692" t="n"/>
      <c r="B558" s="692" t="n"/>
      <c r="C558" s="692" t="n"/>
      <c r="D558" s="692" t="n"/>
      <c r="E558" s="692" t="n"/>
      <c r="F558" s="692" t="n"/>
      <c r="G558" s="692" t="n"/>
      <c r="H558" s="692" t="n"/>
      <c r="I558" s="692" t="n"/>
      <c r="J558" s="692" t="n"/>
      <c r="K558" s="692" t="n"/>
      <c r="L558" s="692" t="n"/>
      <c r="M558" s="692" t="n"/>
      <c r="N558" s="692" t="n"/>
      <c r="O558" s="692" t="n"/>
      <c r="P558" s="692" t="n"/>
      <c r="Q558" s="692" t="n"/>
      <c r="R558" s="692" t="n"/>
      <c r="S558" s="692" t="n"/>
      <c r="T558" s="692" t="n"/>
      <c r="U558" s="692" t="n"/>
      <c r="V558" s="692" t="n"/>
      <c r="W558" s="692" t="n"/>
      <c r="X558" s="692" t="n"/>
      <c r="Y558" s="692" t="n"/>
      <c r="Z558" s="692" t="n"/>
      <c r="AA558" s="692" t="n"/>
      <c r="AB558" s="692" t="n"/>
      <c r="AC558" s="692" t="n"/>
      <c r="AD558" s="692" t="n"/>
      <c r="AE558" s="692" t="n"/>
      <c r="AF558" s="692" t="n"/>
      <c r="AG558" s="692" t="n"/>
      <c r="AH558" s="692" t="n"/>
      <c r="AI558" s="692" t="n"/>
      <c r="AJ558" s="692" t="n"/>
      <c r="AK558" s="692" t="n"/>
      <c r="AL558" s="692" t="n"/>
      <c r="AM558" s="692" t="n"/>
      <c r="AN558" s="692" t="n"/>
      <c r="AO558" s="692" t="n"/>
      <c r="AP558" s="692" t="n"/>
    </row>
    <row r="559">
      <c r="A559" s="692" t="n"/>
      <c r="B559" s="692" t="n"/>
      <c r="C559" s="692" t="n"/>
      <c r="D559" s="692" t="n"/>
      <c r="E559" s="692" t="n"/>
      <c r="F559" s="692" t="n"/>
      <c r="G559" s="692" t="n"/>
      <c r="H559" s="692" t="n"/>
      <c r="I559" s="692" t="n"/>
      <c r="J559" s="692" t="n"/>
      <c r="K559" s="692" t="n"/>
      <c r="L559" s="692" t="n"/>
      <c r="M559" s="692" t="n"/>
      <c r="N559" s="692" t="n"/>
      <c r="O559" s="692" t="n"/>
      <c r="P559" s="692" t="n"/>
      <c r="Q559" s="692" t="n"/>
      <c r="R559" s="692" t="n"/>
      <c r="S559" s="692" t="n"/>
      <c r="T559" s="692" t="n"/>
      <c r="U559" s="692" t="n"/>
      <c r="V559" s="692" t="n"/>
      <c r="W559" s="692" t="n"/>
      <c r="X559" s="692" t="n"/>
      <c r="Y559" s="692" t="n"/>
      <c r="Z559" s="692" t="n"/>
      <c r="AA559" s="692" t="n"/>
      <c r="AB559" s="692" t="n"/>
      <c r="AC559" s="692" t="n"/>
      <c r="AD559" s="692" t="n"/>
      <c r="AE559" s="692" t="n"/>
      <c r="AF559" s="692" t="n"/>
      <c r="AG559" s="692" t="n"/>
      <c r="AH559" s="692" t="n"/>
      <c r="AI559" s="692" t="n"/>
      <c r="AJ559" s="692" t="n"/>
      <c r="AK559" s="692" t="n"/>
      <c r="AL559" s="692" t="n"/>
      <c r="AM559" s="692" t="n"/>
      <c r="AN559" s="692" t="n"/>
      <c r="AO559" s="692" t="n"/>
      <c r="AP559" s="692" t="n"/>
    </row>
    <row r="560">
      <c r="A560" s="692" t="n"/>
      <c r="B560" s="692" t="n"/>
      <c r="C560" s="692" t="n"/>
      <c r="D560" s="692" t="n"/>
      <c r="E560" s="692" t="n"/>
      <c r="F560" s="692" t="n"/>
      <c r="G560" s="692" t="n"/>
      <c r="H560" s="692" t="n"/>
      <c r="I560" s="692" t="n"/>
      <c r="J560" s="692" t="n"/>
      <c r="K560" s="692" t="n"/>
      <c r="L560" s="692" t="n"/>
      <c r="M560" s="692" t="n"/>
      <c r="N560" s="692" t="n"/>
      <c r="O560" s="692" t="n"/>
      <c r="P560" s="692" t="n"/>
      <c r="Q560" s="692" t="n"/>
      <c r="R560" s="692" t="n"/>
      <c r="S560" s="692" t="n"/>
      <c r="T560" s="692" t="n"/>
      <c r="U560" s="692" t="n"/>
      <c r="V560" s="692" t="n"/>
      <c r="W560" s="692" t="n"/>
      <c r="X560" s="692" t="n"/>
      <c r="Y560" s="692" t="n"/>
      <c r="Z560" s="692" t="n"/>
      <c r="AA560" s="692" t="n"/>
      <c r="AB560" s="692" t="n"/>
      <c r="AC560" s="692" t="n"/>
      <c r="AD560" s="692" t="n"/>
      <c r="AE560" s="692" t="n"/>
      <c r="AF560" s="692" t="n"/>
      <c r="AG560" s="692" t="n"/>
      <c r="AH560" s="692" t="n"/>
      <c r="AI560" s="692" t="n"/>
      <c r="AJ560" s="692" t="n"/>
      <c r="AK560" s="692" t="n"/>
      <c r="AL560" s="692" t="n"/>
      <c r="AM560" s="692" t="n"/>
      <c r="AN560" s="692" t="n"/>
      <c r="AO560" s="692" t="n"/>
      <c r="AP560" s="692" t="n"/>
    </row>
    <row r="561">
      <c r="A561" s="692" t="n"/>
      <c r="B561" s="692" t="n"/>
      <c r="C561" s="692" t="n"/>
      <c r="D561" s="692" t="n"/>
      <c r="E561" s="692" t="n"/>
      <c r="F561" s="692" t="n"/>
      <c r="G561" s="692" t="n"/>
      <c r="H561" s="692" t="n"/>
      <c r="I561" s="692" t="n"/>
      <c r="J561" s="692" t="n"/>
      <c r="K561" s="692" t="n"/>
      <c r="L561" s="692" t="n"/>
      <c r="M561" s="692" t="n"/>
      <c r="N561" s="692" t="n"/>
      <c r="O561" s="692" t="n"/>
      <c r="P561" s="692" t="n"/>
      <c r="Q561" s="692" t="n"/>
      <c r="R561" s="692" t="n"/>
      <c r="S561" s="692" t="n"/>
      <c r="T561" s="692" t="n"/>
      <c r="U561" s="692" t="n"/>
      <c r="V561" s="692" t="n"/>
      <c r="W561" s="692" t="n"/>
      <c r="X561" s="692" t="n"/>
      <c r="Y561" s="692" t="n"/>
      <c r="Z561" s="692" t="n"/>
      <c r="AA561" s="692" t="n"/>
      <c r="AB561" s="692" t="n"/>
      <c r="AC561" s="692" t="n"/>
      <c r="AD561" s="692" t="n"/>
      <c r="AE561" s="692" t="n"/>
      <c r="AF561" s="692" t="n"/>
      <c r="AG561" s="692" t="n"/>
      <c r="AH561" s="692" t="n"/>
      <c r="AI561" s="692" t="n"/>
      <c r="AJ561" s="692" t="n"/>
      <c r="AK561" s="692" t="n"/>
      <c r="AL561" s="692" t="n"/>
      <c r="AM561" s="692" t="n"/>
      <c r="AN561" s="692" t="n"/>
      <c r="AO561" s="692" t="n"/>
      <c r="AP561" s="692" t="n"/>
    </row>
    <row r="562">
      <c r="A562" s="692" t="n"/>
      <c r="B562" s="692" t="n"/>
      <c r="C562" s="692" t="n"/>
      <c r="D562" s="692" t="n"/>
      <c r="E562" s="692" t="n"/>
      <c r="F562" s="692" t="n"/>
      <c r="G562" s="692" t="n"/>
      <c r="H562" s="692" t="n"/>
      <c r="I562" s="692" t="n"/>
      <c r="J562" s="692" t="n"/>
      <c r="K562" s="692" t="n"/>
      <c r="L562" s="692" t="n"/>
      <c r="M562" s="692" t="n"/>
      <c r="N562" s="692" t="n"/>
      <c r="O562" s="692" t="n"/>
      <c r="P562" s="692" t="n"/>
      <c r="Q562" s="692" t="n"/>
      <c r="R562" s="692" t="n"/>
      <c r="S562" s="692" t="n"/>
      <c r="T562" s="692" t="n"/>
      <c r="U562" s="692" t="n"/>
      <c r="V562" s="692" t="n"/>
      <c r="W562" s="692" t="n"/>
      <c r="X562" s="692" t="n"/>
      <c r="Y562" s="692" t="n"/>
      <c r="Z562" s="692" t="n"/>
      <c r="AA562" s="692" t="n"/>
      <c r="AB562" s="692" t="n"/>
      <c r="AC562" s="692" t="n"/>
      <c r="AD562" s="692" t="n"/>
      <c r="AE562" s="692" t="n"/>
      <c r="AF562" s="692" t="n"/>
      <c r="AG562" s="692" t="n"/>
      <c r="AH562" s="692" t="n"/>
      <c r="AI562" s="692" t="n"/>
      <c r="AJ562" s="692" t="n"/>
      <c r="AK562" s="692" t="n"/>
      <c r="AL562" s="692" t="n"/>
      <c r="AM562" s="692" t="n"/>
      <c r="AN562" s="692" t="n"/>
      <c r="AO562" s="692" t="n"/>
      <c r="AP562" s="692" t="n"/>
    </row>
    <row r="563">
      <c r="A563" s="692" t="n"/>
      <c r="B563" s="692" t="n"/>
      <c r="C563" s="692" t="n"/>
      <c r="D563" s="692" t="n"/>
      <c r="E563" s="692" t="n"/>
      <c r="F563" s="692" t="n"/>
      <c r="G563" s="692" t="n"/>
      <c r="H563" s="692" t="n"/>
      <c r="I563" s="692" t="n"/>
      <c r="J563" s="692" t="n"/>
      <c r="K563" s="692" t="n"/>
      <c r="L563" s="692" t="n"/>
      <c r="M563" s="692" t="n"/>
      <c r="N563" s="692" t="n"/>
      <c r="O563" s="692" t="n"/>
      <c r="P563" s="692" t="n"/>
      <c r="Q563" s="692" t="n"/>
      <c r="R563" s="692" t="n"/>
      <c r="S563" s="692" t="n"/>
      <c r="T563" s="692" t="n"/>
      <c r="U563" s="692" t="n"/>
      <c r="V563" s="692" t="n"/>
      <c r="W563" s="692" t="n"/>
      <c r="X563" s="692" t="n"/>
      <c r="Y563" s="692" t="n"/>
      <c r="Z563" s="692" t="n"/>
      <c r="AA563" s="692" t="n"/>
      <c r="AB563" s="692" t="n"/>
      <c r="AC563" s="692" t="n"/>
      <c r="AD563" s="692" t="n"/>
      <c r="AE563" s="692" t="n"/>
      <c r="AF563" s="692" t="n"/>
      <c r="AG563" s="692" t="n"/>
      <c r="AH563" s="692" t="n"/>
      <c r="AI563" s="692" t="n"/>
      <c r="AJ563" s="692" t="n"/>
      <c r="AK563" s="692" t="n"/>
      <c r="AL563" s="692" t="n"/>
      <c r="AM563" s="692" t="n"/>
      <c r="AN563" s="692" t="n"/>
      <c r="AO563" s="692" t="n"/>
      <c r="AP563" s="692" t="n"/>
    </row>
    <row r="564">
      <c r="A564" s="692" t="n"/>
      <c r="B564" s="692" t="n"/>
      <c r="C564" s="692" t="n"/>
      <c r="D564" s="692" t="n"/>
      <c r="E564" s="692" t="n"/>
      <c r="F564" s="692" t="n"/>
      <c r="G564" s="692" t="n"/>
      <c r="H564" s="692" t="n"/>
      <c r="I564" s="692" t="n"/>
      <c r="J564" s="692" t="n"/>
      <c r="K564" s="692" t="n"/>
      <c r="L564" s="692" t="n"/>
      <c r="M564" s="692" t="n"/>
      <c r="N564" s="692" t="n"/>
      <c r="O564" s="692" t="n"/>
      <c r="P564" s="692" t="n"/>
      <c r="Q564" s="692" t="n"/>
      <c r="R564" s="692" t="n"/>
      <c r="S564" s="692" t="n"/>
      <c r="T564" s="692" t="n"/>
      <c r="U564" s="692" t="n"/>
      <c r="V564" s="692" t="n"/>
      <c r="W564" s="692" t="n"/>
      <c r="X564" s="692" t="n"/>
      <c r="Y564" s="692" t="n"/>
      <c r="Z564" s="692" t="n"/>
      <c r="AA564" s="692" t="n"/>
      <c r="AB564" s="692" t="n"/>
      <c r="AC564" s="692" t="n"/>
      <c r="AD564" s="692" t="n"/>
      <c r="AE564" s="692" t="n"/>
      <c r="AF564" s="692" t="n"/>
      <c r="AG564" s="692" t="n"/>
      <c r="AH564" s="692" t="n"/>
      <c r="AI564" s="692" t="n"/>
      <c r="AJ564" s="692" t="n"/>
      <c r="AK564" s="692" t="n"/>
      <c r="AL564" s="692" t="n"/>
      <c r="AM564" s="692" t="n"/>
      <c r="AN564" s="692" t="n"/>
      <c r="AO564" s="692" t="n"/>
      <c r="AP564" s="692" t="n"/>
    </row>
    <row r="565">
      <c r="A565" s="692" t="n"/>
      <c r="B565" s="692" t="n"/>
      <c r="C565" s="692" t="n"/>
      <c r="D565" s="692" t="n"/>
      <c r="E565" s="692" t="n"/>
      <c r="F565" s="692" t="n"/>
      <c r="G565" s="692" t="n"/>
      <c r="H565" s="692" t="n"/>
      <c r="I565" s="692" t="n"/>
      <c r="J565" s="692" t="n"/>
      <c r="K565" s="692" t="n"/>
      <c r="L565" s="692" t="n"/>
      <c r="M565" s="692" t="n"/>
      <c r="N565" s="692" t="n"/>
      <c r="O565" s="692" t="n"/>
      <c r="P565" s="692" t="n"/>
      <c r="Q565" s="692" t="n"/>
      <c r="R565" s="692" t="n"/>
      <c r="S565" s="692" t="n"/>
      <c r="T565" s="692" t="n"/>
      <c r="U565" s="692" t="n"/>
      <c r="V565" s="692" t="n"/>
      <c r="W565" s="692" t="n"/>
      <c r="X565" s="692" t="n"/>
      <c r="Y565" s="692" t="n"/>
      <c r="Z565" s="692" t="n"/>
      <c r="AA565" s="692" t="n"/>
      <c r="AB565" s="692" t="n"/>
      <c r="AC565" s="692" t="n"/>
      <c r="AD565" s="692" t="n"/>
      <c r="AE565" s="692" t="n"/>
      <c r="AF565" s="692" t="n"/>
      <c r="AG565" s="692" t="n"/>
      <c r="AH565" s="692" t="n"/>
      <c r="AI565" s="692" t="n"/>
      <c r="AJ565" s="692" t="n"/>
      <c r="AK565" s="692" t="n"/>
      <c r="AL565" s="692" t="n"/>
      <c r="AM565" s="692" t="n"/>
      <c r="AN565" s="692" t="n"/>
      <c r="AO565" s="692" t="n"/>
      <c r="AP565" s="692" t="n"/>
    </row>
    <row r="566">
      <c r="A566" s="692" t="n"/>
      <c r="B566" s="692" t="n"/>
      <c r="C566" s="692" t="n"/>
      <c r="D566" s="692" t="n"/>
      <c r="E566" s="692" t="n"/>
      <c r="F566" s="692" t="n"/>
      <c r="G566" s="692" t="n"/>
      <c r="H566" s="692" t="n"/>
      <c r="I566" s="692" t="n"/>
      <c r="J566" s="692" t="n"/>
      <c r="K566" s="692" t="n"/>
      <c r="L566" s="692" t="n"/>
      <c r="M566" s="692" t="n"/>
      <c r="N566" s="692" t="n"/>
      <c r="O566" s="692" t="n"/>
      <c r="P566" s="692" t="n"/>
      <c r="Q566" s="692" t="n"/>
      <c r="R566" s="692" t="n"/>
      <c r="S566" s="692" t="n"/>
      <c r="T566" s="692" t="n"/>
      <c r="U566" s="692" t="n"/>
      <c r="V566" s="692" t="n"/>
      <c r="W566" s="692" t="n"/>
      <c r="X566" s="692" t="n"/>
      <c r="Y566" s="692" t="n"/>
      <c r="Z566" s="692" t="n"/>
      <c r="AA566" s="692" t="n"/>
      <c r="AB566" s="692" t="n"/>
      <c r="AC566" s="692" t="n"/>
      <c r="AD566" s="692" t="n"/>
      <c r="AE566" s="692" t="n"/>
      <c r="AF566" s="692" t="n"/>
      <c r="AG566" s="692" t="n"/>
      <c r="AH566" s="692" t="n"/>
      <c r="AI566" s="692" t="n"/>
      <c r="AJ566" s="692" t="n"/>
      <c r="AK566" s="692" t="n"/>
      <c r="AL566" s="692" t="n"/>
      <c r="AM566" s="692" t="n"/>
      <c r="AN566" s="692" t="n"/>
      <c r="AO566" s="692" t="n"/>
      <c r="AP566" s="692" t="n"/>
    </row>
    <row r="567">
      <c r="A567" s="692" t="n"/>
      <c r="B567" s="692" t="n"/>
      <c r="C567" s="692" t="n"/>
      <c r="D567" s="692" t="n"/>
      <c r="E567" s="692" t="n"/>
      <c r="F567" s="692" t="n"/>
      <c r="G567" s="692" t="n"/>
      <c r="H567" s="692" t="n"/>
      <c r="I567" s="692" t="n"/>
      <c r="J567" s="692" t="n"/>
      <c r="K567" s="692" t="n"/>
      <c r="L567" s="692" t="n"/>
      <c r="M567" s="692" t="n"/>
      <c r="N567" s="692" t="n"/>
      <c r="O567" s="692" t="n"/>
      <c r="P567" s="692" t="n"/>
      <c r="Q567" s="692" t="n"/>
      <c r="R567" s="692" t="n"/>
      <c r="S567" s="692" t="n"/>
      <c r="T567" s="692" t="n"/>
      <c r="U567" s="692" t="n"/>
      <c r="V567" s="692" t="n"/>
      <c r="W567" s="692" t="n"/>
      <c r="X567" s="692" t="n"/>
      <c r="Y567" s="692" t="n"/>
      <c r="Z567" s="692" t="n"/>
      <c r="AA567" s="692" t="n"/>
      <c r="AB567" s="692" t="n"/>
      <c r="AC567" s="692" t="n"/>
      <c r="AD567" s="692" t="n"/>
      <c r="AE567" s="692" t="n"/>
      <c r="AF567" s="692" t="n"/>
      <c r="AG567" s="692" t="n"/>
      <c r="AH567" s="692" t="n"/>
      <c r="AI567" s="692" t="n"/>
      <c r="AJ567" s="692" t="n"/>
      <c r="AK567" s="692" t="n"/>
      <c r="AL567" s="692" t="n"/>
      <c r="AM567" s="692" t="n"/>
      <c r="AN567" s="692" t="n"/>
      <c r="AO567" s="692" t="n"/>
      <c r="AP567" s="692" t="n"/>
    </row>
    <row r="568">
      <c r="A568" s="692" t="n"/>
      <c r="B568" s="692" t="n"/>
      <c r="C568" s="692" t="n"/>
      <c r="D568" s="692" t="n"/>
      <c r="E568" s="692" t="n"/>
      <c r="F568" s="692" t="n"/>
      <c r="G568" s="692" t="n"/>
      <c r="H568" s="692" t="n"/>
      <c r="I568" s="692" t="n"/>
      <c r="J568" s="692" t="n"/>
      <c r="K568" s="692" t="n"/>
      <c r="L568" s="692" t="n"/>
      <c r="M568" s="692" t="n"/>
      <c r="N568" s="692" t="n"/>
      <c r="O568" s="692" t="n"/>
      <c r="P568" s="692" t="n"/>
      <c r="Q568" s="692" t="n"/>
      <c r="R568" s="692" t="n"/>
      <c r="S568" s="692" t="n"/>
      <c r="T568" s="692" t="n"/>
      <c r="U568" s="692" t="n"/>
      <c r="V568" s="692" t="n"/>
      <c r="W568" s="692" t="n"/>
      <c r="X568" s="692" t="n"/>
      <c r="Y568" s="692" t="n"/>
      <c r="Z568" s="692" t="n"/>
      <c r="AA568" s="692" t="n"/>
      <c r="AB568" s="692" t="n"/>
      <c r="AC568" s="692" t="n"/>
      <c r="AD568" s="692" t="n"/>
      <c r="AE568" s="692" t="n"/>
      <c r="AF568" s="692" t="n"/>
      <c r="AG568" s="692" t="n"/>
      <c r="AH568" s="692" t="n"/>
      <c r="AI568" s="692" t="n"/>
      <c r="AJ568" s="692" t="n"/>
      <c r="AK568" s="692" t="n"/>
      <c r="AL568" s="692" t="n"/>
      <c r="AM568" s="692" t="n"/>
      <c r="AN568" s="692" t="n"/>
      <c r="AO568" s="692" t="n"/>
      <c r="AP568" s="692" t="n"/>
    </row>
    <row r="569">
      <c r="A569" s="692" t="n"/>
      <c r="B569" s="692" t="n"/>
      <c r="C569" s="692" t="n"/>
      <c r="D569" s="692" t="n"/>
      <c r="E569" s="692" t="n"/>
      <c r="F569" s="692" t="n"/>
      <c r="G569" s="692" t="n"/>
      <c r="H569" s="692" t="n"/>
      <c r="I569" s="692" t="n"/>
      <c r="J569" s="692" t="n"/>
      <c r="K569" s="692" t="n"/>
      <c r="L569" s="692" t="n"/>
      <c r="M569" s="692" t="n"/>
      <c r="N569" s="692" t="n"/>
      <c r="O569" s="692" t="n"/>
      <c r="P569" s="692" t="n"/>
      <c r="Q569" s="692" t="n"/>
      <c r="R569" s="692" t="n"/>
      <c r="S569" s="692" t="n"/>
      <c r="T569" s="692" t="n"/>
      <c r="U569" s="692" t="n"/>
      <c r="V569" s="692" t="n"/>
      <c r="W569" s="692" t="n"/>
      <c r="X569" s="692" t="n"/>
      <c r="Y569" s="692" t="n"/>
      <c r="Z569" s="692" t="n"/>
      <c r="AA569" s="692" t="n"/>
      <c r="AB569" s="692" t="n"/>
      <c r="AC569" s="692" t="n"/>
      <c r="AD569" s="692" t="n"/>
      <c r="AE569" s="692" t="n"/>
      <c r="AF569" s="692" t="n"/>
      <c r="AG569" s="692" t="n"/>
      <c r="AH569" s="692" t="n"/>
      <c r="AI569" s="692" t="n"/>
      <c r="AJ569" s="692" t="n"/>
      <c r="AK569" s="692" t="n"/>
      <c r="AL569" s="692" t="n"/>
      <c r="AM569" s="692" t="n"/>
      <c r="AN569" s="692" t="n"/>
      <c r="AO569" s="692" t="n"/>
      <c r="AP569" s="692" t="n"/>
    </row>
    <row r="570">
      <c r="A570" s="692" t="n"/>
      <c r="B570" s="692" t="n"/>
      <c r="C570" s="692" t="n"/>
      <c r="D570" s="692" t="n"/>
      <c r="E570" s="692" t="n"/>
      <c r="F570" s="692" t="n"/>
      <c r="G570" s="692" t="n"/>
      <c r="H570" s="692" t="n"/>
      <c r="I570" s="692" t="n"/>
      <c r="J570" s="692" t="n"/>
      <c r="K570" s="692" t="n"/>
      <c r="L570" s="692" t="n"/>
      <c r="M570" s="692" t="n"/>
      <c r="N570" s="692" t="n"/>
      <c r="O570" s="692" t="n"/>
      <c r="P570" s="692" t="n"/>
      <c r="Q570" s="692" t="n"/>
      <c r="R570" s="692" t="n"/>
      <c r="S570" s="692" t="n"/>
      <c r="T570" s="692" t="n"/>
      <c r="U570" s="692" t="n"/>
      <c r="V570" s="692" t="n"/>
      <c r="W570" s="692" t="n"/>
      <c r="X570" s="692" t="n"/>
      <c r="Y570" s="692" t="n"/>
      <c r="Z570" s="692" t="n"/>
      <c r="AA570" s="692" t="n"/>
      <c r="AB570" s="692" t="n"/>
      <c r="AC570" s="692" t="n"/>
      <c r="AD570" s="692" t="n"/>
      <c r="AE570" s="692" t="n"/>
      <c r="AF570" s="692" t="n"/>
      <c r="AG570" s="692" t="n"/>
      <c r="AH570" s="692" t="n"/>
      <c r="AI570" s="692" t="n"/>
      <c r="AJ570" s="692" t="n"/>
      <c r="AK570" s="692" t="n"/>
      <c r="AL570" s="692" t="n"/>
      <c r="AM570" s="692" t="n"/>
      <c r="AN570" s="692" t="n"/>
      <c r="AO570" s="692" t="n"/>
      <c r="AP570" s="692" t="n"/>
    </row>
    <row r="571">
      <c r="A571" s="692" t="n"/>
      <c r="B571" s="692" t="n"/>
      <c r="C571" s="692" t="n"/>
      <c r="D571" s="692" t="n"/>
      <c r="E571" s="692" t="n"/>
      <c r="F571" s="692" t="n"/>
      <c r="G571" s="692" t="n"/>
      <c r="H571" s="692" t="n"/>
      <c r="I571" s="692" t="n"/>
      <c r="J571" s="692" t="n"/>
      <c r="K571" s="692" t="n"/>
      <c r="L571" s="692" t="n"/>
      <c r="M571" s="692" t="n"/>
      <c r="N571" s="692" t="n"/>
      <c r="O571" s="692" t="n"/>
      <c r="P571" s="692" t="n"/>
      <c r="Q571" s="692" t="n"/>
      <c r="R571" s="692" t="n"/>
      <c r="S571" s="692" t="n"/>
      <c r="T571" s="692" t="n"/>
      <c r="U571" s="692" t="n"/>
      <c r="V571" s="692" t="n"/>
      <c r="W571" s="692" t="n"/>
      <c r="X571" s="692" t="n"/>
      <c r="Y571" s="692" t="n"/>
      <c r="Z571" s="692" t="n"/>
      <c r="AA571" s="692" t="n"/>
      <c r="AB571" s="692" t="n"/>
      <c r="AC571" s="692" t="n"/>
      <c r="AD571" s="692" t="n"/>
      <c r="AE571" s="692" t="n"/>
      <c r="AF571" s="692" t="n"/>
      <c r="AG571" s="692" t="n"/>
      <c r="AH571" s="692" t="n"/>
      <c r="AI571" s="692" t="n"/>
      <c r="AJ571" s="692" t="n"/>
      <c r="AK571" s="692" t="n"/>
      <c r="AL571" s="692" t="n"/>
      <c r="AM571" s="692" t="n"/>
      <c r="AN571" s="692" t="n"/>
      <c r="AO571" s="692" t="n"/>
      <c r="AP571" s="692" t="n"/>
    </row>
    <row r="572">
      <c r="A572" s="692" t="n"/>
      <c r="B572" s="692" t="n"/>
      <c r="C572" s="692" t="n"/>
      <c r="D572" s="692" t="n"/>
      <c r="E572" s="692" t="n"/>
      <c r="F572" s="692" t="n"/>
      <c r="G572" s="692" t="n"/>
      <c r="H572" s="692" t="n"/>
      <c r="I572" s="692" t="n"/>
      <c r="J572" s="692" t="n"/>
      <c r="K572" s="692" t="n"/>
      <c r="L572" s="692" t="n"/>
      <c r="M572" s="692" t="n"/>
      <c r="N572" s="692" t="n"/>
      <c r="O572" s="692" t="n"/>
      <c r="P572" s="692" t="n"/>
      <c r="Q572" s="692" t="n"/>
      <c r="R572" s="692" t="n"/>
      <c r="S572" s="692" t="n"/>
      <c r="T572" s="692" t="n"/>
      <c r="U572" s="692" t="n"/>
      <c r="V572" s="692" t="n"/>
      <c r="W572" s="692" t="n"/>
      <c r="X572" s="692" t="n"/>
      <c r="Y572" s="692" t="n"/>
      <c r="Z572" s="692" t="n"/>
      <c r="AA572" s="692" t="n"/>
      <c r="AB572" s="692" t="n"/>
      <c r="AC572" s="692" t="n"/>
      <c r="AD572" s="692" t="n"/>
      <c r="AE572" s="692" t="n"/>
      <c r="AF572" s="692" t="n"/>
      <c r="AG572" s="692" t="n"/>
      <c r="AH572" s="692" t="n"/>
      <c r="AI572" s="692" t="n"/>
      <c r="AJ572" s="692" t="n"/>
      <c r="AK572" s="692" t="n"/>
      <c r="AL572" s="692" t="n"/>
      <c r="AM572" s="692" t="n"/>
      <c r="AN572" s="692" t="n"/>
      <c r="AO572" s="692" t="n"/>
      <c r="AP572" s="692" t="n"/>
    </row>
    <row r="573">
      <c r="A573" s="692" t="n"/>
      <c r="B573" s="692" t="n"/>
      <c r="C573" s="692" t="n"/>
      <c r="D573" s="692" t="n"/>
      <c r="E573" s="692" t="n"/>
      <c r="F573" s="692" t="n"/>
      <c r="G573" s="692" t="n"/>
      <c r="H573" s="692" t="n"/>
      <c r="I573" s="692" t="n"/>
      <c r="J573" s="692" t="n"/>
      <c r="K573" s="692" t="n"/>
      <c r="L573" s="692" t="n"/>
      <c r="M573" s="692" t="n"/>
      <c r="N573" s="692" t="n"/>
      <c r="O573" s="692" t="n"/>
      <c r="P573" s="692" t="n"/>
      <c r="Q573" s="692" t="n"/>
      <c r="R573" s="692" t="n"/>
      <c r="S573" s="692" t="n"/>
      <c r="T573" s="692" t="n"/>
      <c r="U573" s="692" t="n"/>
      <c r="V573" s="692" t="n"/>
      <c r="W573" s="692" t="n"/>
      <c r="X573" s="692" t="n"/>
      <c r="Y573" s="692" t="n"/>
      <c r="Z573" s="692" t="n"/>
      <c r="AA573" s="692" t="n"/>
      <c r="AB573" s="692" t="n"/>
      <c r="AC573" s="692" t="n"/>
      <c r="AD573" s="692" t="n"/>
      <c r="AE573" s="692" t="n"/>
      <c r="AF573" s="692" t="n"/>
      <c r="AG573" s="692" t="n"/>
      <c r="AH573" s="692" t="n"/>
      <c r="AI573" s="692" t="n"/>
      <c r="AJ573" s="692" t="n"/>
      <c r="AK573" s="692" t="n"/>
      <c r="AL573" s="692" t="n"/>
      <c r="AM573" s="692" t="n"/>
      <c r="AN573" s="692" t="n"/>
      <c r="AO573" s="692" t="n"/>
      <c r="AP573" s="692" t="n"/>
    </row>
    <row r="574">
      <c r="A574" s="692" t="n"/>
      <c r="B574" s="692" t="n"/>
      <c r="C574" s="692" t="n"/>
      <c r="D574" s="692" t="n"/>
      <c r="E574" s="692" t="n"/>
      <c r="F574" s="692" t="n"/>
      <c r="G574" s="692" t="n"/>
      <c r="H574" s="692" t="n"/>
      <c r="I574" s="692" t="n"/>
      <c r="J574" s="692" t="n"/>
      <c r="K574" s="692" t="n"/>
      <c r="L574" s="692" t="n"/>
      <c r="M574" s="692" t="n"/>
      <c r="N574" s="692" t="n"/>
      <c r="O574" s="692" t="n"/>
      <c r="P574" s="692" t="n"/>
      <c r="Q574" s="692" t="n"/>
      <c r="R574" s="692" t="n"/>
      <c r="S574" s="692" t="n"/>
      <c r="T574" s="692" t="n"/>
      <c r="U574" s="692" t="n"/>
      <c r="V574" s="692" t="n"/>
      <c r="W574" s="692" t="n"/>
      <c r="X574" s="692" t="n"/>
      <c r="Y574" s="692" t="n"/>
      <c r="Z574" s="692" t="n"/>
      <c r="AA574" s="692" t="n"/>
      <c r="AB574" s="692" t="n"/>
      <c r="AC574" s="692" t="n"/>
      <c r="AD574" s="692" t="n"/>
      <c r="AE574" s="692" t="n"/>
      <c r="AF574" s="692" t="n"/>
      <c r="AG574" s="692" t="n"/>
      <c r="AH574" s="692" t="n"/>
      <c r="AI574" s="692" t="n"/>
      <c r="AJ574" s="692" t="n"/>
      <c r="AK574" s="692" t="n"/>
      <c r="AL574" s="692" t="n"/>
      <c r="AM574" s="692" t="n"/>
      <c r="AN574" s="692" t="n"/>
      <c r="AO574" s="692" t="n"/>
      <c r="AP574" s="692" t="n"/>
    </row>
    <row r="575">
      <c r="A575" s="692" t="n"/>
      <c r="B575" s="692" t="n"/>
      <c r="C575" s="692" t="n"/>
      <c r="D575" s="692" t="n"/>
      <c r="E575" s="692" t="n"/>
      <c r="F575" s="692" t="n"/>
      <c r="G575" s="692" t="n"/>
      <c r="H575" s="692" t="n"/>
      <c r="I575" s="692" t="n"/>
      <c r="J575" s="692" t="n"/>
      <c r="K575" s="692" t="n"/>
      <c r="L575" s="692" t="n"/>
      <c r="M575" s="692" t="n"/>
      <c r="N575" s="692" t="n"/>
      <c r="O575" s="692" t="n"/>
      <c r="P575" s="692" t="n"/>
      <c r="Q575" s="692" t="n"/>
      <c r="R575" s="692" t="n"/>
      <c r="S575" s="692" t="n"/>
      <c r="T575" s="692" t="n"/>
      <c r="U575" s="692" t="n"/>
      <c r="V575" s="692" t="n"/>
      <c r="W575" s="692" t="n"/>
      <c r="X575" s="692" t="n"/>
      <c r="Y575" s="692" t="n"/>
      <c r="Z575" s="692" t="n"/>
      <c r="AA575" s="692" t="n"/>
      <c r="AB575" s="692" t="n"/>
      <c r="AC575" s="692" t="n"/>
      <c r="AD575" s="692" t="n"/>
      <c r="AE575" s="692" t="n"/>
      <c r="AF575" s="692" t="n"/>
      <c r="AG575" s="692" t="n"/>
      <c r="AH575" s="692" t="n"/>
      <c r="AI575" s="692" t="n"/>
      <c r="AJ575" s="692" t="n"/>
      <c r="AK575" s="692" t="n"/>
      <c r="AL575" s="692" t="n"/>
      <c r="AM575" s="692" t="n"/>
      <c r="AN575" s="692" t="n"/>
      <c r="AO575" s="692" t="n"/>
      <c r="AP575" s="692" t="n"/>
    </row>
    <row r="576">
      <c r="A576" s="692" t="n"/>
      <c r="B576" s="692" t="n"/>
      <c r="C576" s="692" t="n"/>
      <c r="D576" s="692" t="n"/>
      <c r="E576" s="692" t="n"/>
      <c r="F576" s="692" t="n"/>
      <c r="G576" s="692" t="n"/>
      <c r="H576" s="692" t="n"/>
      <c r="I576" s="692" t="n"/>
      <c r="J576" s="692" t="n"/>
      <c r="K576" s="692" t="n"/>
      <c r="L576" s="692" t="n"/>
      <c r="M576" s="692" t="n"/>
      <c r="N576" s="692" t="n"/>
      <c r="O576" s="692" t="n"/>
      <c r="P576" s="692" t="n"/>
      <c r="Q576" s="692" t="n"/>
      <c r="R576" s="692" t="n"/>
      <c r="S576" s="692" t="n"/>
      <c r="T576" s="692" t="n"/>
      <c r="U576" s="692" t="n"/>
      <c r="V576" s="692" t="n"/>
      <c r="W576" s="692" t="n"/>
      <c r="X576" s="692" t="n"/>
      <c r="Y576" s="692" t="n"/>
      <c r="Z576" s="692" t="n"/>
      <c r="AA576" s="692" t="n"/>
      <c r="AB576" s="692" t="n"/>
      <c r="AC576" s="692" t="n"/>
      <c r="AD576" s="692" t="n"/>
      <c r="AE576" s="692" t="n"/>
      <c r="AF576" s="692" t="n"/>
      <c r="AG576" s="692" t="n"/>
      <c r="AH576" s="692" t="n"/>
      <c r="AI576" s="692" t="n"/>
      <c r="AJ576" s="692" t="n"/>
      <c r="AK576" s="692" t="n"/>
      <c r="AL576" s="692" t="n"/>
      <c r="AM576" s="692" t="n"/>
      <c r="AN576" s="692" t="n"/>
      <c r="AO576" s="692" t="n"/>
      <c r="AP576" s="692" t="n"/>
    </row>
    <row r="577">
      <c r="A577" s="692" t="n"/>
      <c r="B577" s="692" t="n"/>
      <c r="C577" s="692" t="n"/>
      <c r="D577" s="692" t="n"/>
      <c r="E577" s="692" t="n"/>
      <c r="F577" s="692" t="n"/>
      <c r="G577" s="692" t="n"/>
      <c r="H577" s="692" t="n"/>
      <c r="I577" s="692" t="n"/>
      <c r="J577" s="692" t="n"/>
      <c r="K577" s="692" t="n"/>
      <c r="L577" s="692" t="n"/>
      <c r="M577" s="692" t="n"/>
      <c r="N577" s="692" t="n"/>
      <c r="O577" s="692" t="n"/>
      <c r="P577" s="692" t="n"/>
      <c r="Q577" s="692" t="n"/>
      <c r="R577" s="692" t="n"/>
      <c r="S577" s="692" t="n"/>
      <c r="T577" s="692" t="n"/>
      <c r="U577" s="692" t="n"/>
      <c r="V577" s="692" t="n"/>
      <c r="W577" s="692" t="n"/>
      <c r="X577" s="692" t="n"/>
      <c r="Y577" s="692" t="n"/>
      <c r="Z577" s="692" t="n"/>
      <c r="AA577" s="692" t="n"/>
      <c r="AB577" s="692" t="n"/>
      <c r="AC577" s="692" t="n"/>
      <c r="AD577" s="692" t="n"/>
      <c r="AE577" s="692" t="n"/>
      <c r="AF577" s="692" t="n"/>
      <c r="AG577" s="692" t="n"/>
      <c r="AH577" s="692" t="n"/>
      <c r="AI577" s="692" t="n"/>
      <c r="AJ577" s="692" t="n"/>
      <c r="AK577" s="692" t="n"/>
      <c r="AL577" s="692" t="n"/>
      <c r="AM577" s="692" t="n"/>
      <c r="AN577" s="692" t="n"/>
      <c r="AO577" s="692" t="n"/>
      <c r="AP577" s="692" t="n"/>
    </row>
    <row r="578">
      <c r="A578" s="692" t="n"/>
      <c r="B578" s="692" t="n"/>
      <c r="C578" s="692" t="n"/>
      <c r="D578" s="692" t="n"/>
      <c r="E578" s="692" t="n"/>
      <c r="F578" s="692" t="n"/>
      <c r="G578" s="692" t="n"/>
      <c r="H578" s="692" t="n"/>
      <c r="I578" s="692" t="n"/>
      <c r="J578" s="692" t="n"/>
      <c r="K578" s="692" t="n"/>
      <c r="L578" s="692" t="n"/>
      <c r="M578" s="692" t="n"/>
      <c r="N578" s="692" t="n"/>
      <c r="O578" s="692" t="n"/>
      <c r="P578" s="692" t="n"/>
      <c r="Q578" s="692" t="n"/>
      <c r="R578" s="692" t="n"/>
      <c r="S578" s="692" t="n"/>
      <c r="T578" s="692" t="n"/>
      <c r="U578" s="692" t="n"/>
      <c r="V578" s="692" t="n"/>
      <c r="W578" s="692" t="n"/>
      <c r="X578" s="692" t="n"/>
      <c r="Y578" s="692" t="n"/>
      <c r="Z578" s="692" t="n"/>
      <c r="AA578" s="692" t="n"/>
      <c r="AB578" s="692" t="n"/>
      <c r="AC578" s="692" t="n"/>
      <c r="AD578" s="692" t="n"/>
      <c r="AE578" s="692" t="n"/>
      <c r="AF578" s="692" t="n"/>
      <c r="AG578" s="692" t="n"/>
      <c r="AH578" s="692" t="n"/>
      <c r="AI578" s="692" t="n"/>
      <c r="AJ578" s="692" t="n"/>
      <c r="AK578" s="692" t="n"/>
      <c r="AL578" s="692" t="n"/>
      <c r="AM578" s="692" t="n"/>
      <c r="AN578" s="692" t="n"/>
      <c r="AO578" s="692" t="n"/>
      <c r="AP578" s="692" t="n"/>
    </row>
    <row r="579">
      <c r="A579" s="692" t="n"/>
      <c r="B579" s="692" t="n"/>
      <c r="C579" s="692" t="n"/>
      <c r="D579" s="692" t="n"/>
      <c r="E579" s="692" t="n"/>
      <c r="F579" s="692" t="n"/>
      <c r="G579" s="692" t="n"/>
      <c r="H579" s="692" t="n"/>
      <c r="I579" s="692" t="n"/>
      <c r="J579" s="692" t="n"/>
      <c r="K579" s="692" t="n"/>
      <c r="L579" s="692" t="n"/>
      <c r="M579" s="692" t="n"/>
      <c r="N579" s="692" t="n"/>
      <c r="O579" s="692" t="n"/>
      <c r="P579" s="692" t="n"/>
      <c r="Q579" s="692" t="n"/>
      <c r="R579" s="692" t="n"/>
      <c r="S579" s="692" t="n"/>
      <c r="T579" s="692" t="n"/>
      <c r="U579" s="692" t="n"/>
      <c r="V579" s="692" t="n"/>
      <c r="W579" s="692" t="n"/>
      <c r="X579" s="692" t="n"/>
      <c r="Y579" s="692" t="n"/>
      <c r="Z579" s="692" t="n"/>
      <c r="AA579" s="692" t="n"/>
      <c r="AB579" s="692" t="n"/>
      <c r="AC579" s="692" t="n"/>
      <c r="AD579" s="692" t="n"/>
      <c r="AE579" s="692" t="n"/>
      <c r="AF579" s="692" t="n"/>
      <c r="AG579" s="692" t="n"/>
      <c r="AH579" s="692" t="n"/>
      <c r="AI579" s="692" t="n"/>
      <c r="AJ579" s="692" t="n"/>
      <c r="AK579" s="692" t="n"/>
      <c r="AL579" s="692" t="n"/>
      <c r="AM579" s="692" t="n"/>
      <c r="AN579" s="692" t="n"/>
      <c r="AO579" s="692" t="n"/>
      <c r="AP579" s="692" t="n"/>
    </row>
    <row r="580">
      <c r="A580" s="692" t="n"/>
      <c r="B580" s="692" t="n"/>
      <c r="C580" s="692" t="n"/>
      <c r="D580" s="692" t="n"/>
      <c r="E580" s="692" t="n"/>
      <c r="F580" s="692" t="n"/>
      <c r="G580" s="692" t="n"/>
      <c r="H580" s="692" t="n"/>
      <c r="I580" s="692" t="n"/>
      <c r="J580" s="692" t="n"/>
      <c r="K580" s="692" t="n"/>
      <c r="L580" s="692" t="n"/>
      <c r="M580" s="692" t="n"/>
      <c r="N580" s="692" t="n"/>
      <c r="O580" s="692" t="n"/>
      <c r="P580" s="692" t="n"/>
      <c r="Q580" s="692" t="n"/>
      <c r="R580" s="692" t="n"/>
      <c r="S580" s="692" t="n"/>
      <c r="T580" s="692" t="n"/>
      <c r="U580" s="692" t="n"/>
      <c r="V580" s="692" t="n"/>
      <c r="W580" s="692" t="n"/>
      <c r="X580" s="692" t="n"/>
      <c r="Y580" s="692" t="n"/>
      <c r="Z580" s="692" t="n"/>
      <c r="AA580" s="692" t="n"/>
      <c r="AB580" s="692" t="n"/>
      <c r="AC580" s="692" t="n"/>
      <c r="AD580" s="692" t="n"/>
      <c r="AE580" s="692" t="n"/>
      <c r="AF580" s="692" t="n"/>
      <c r="AG580" s="692" t="n"/>
      <c r="AH580" s="692" t="n"/>
      <c r="AI580" s="692" t="n"/>
      <c r="AJ580" s="692" t="n"/>
      <c r="AK580" s="692" t="n"/>
      <c r="AL580" s="692" t="n"/>
      <c r="AM580" s="692" t="n"/>
      <c r="AN580" s="692" t="n"/>
      <c r="AO580" s="692" t="n"/>
      <c r="AP580" s="692" t="n"/>
    </row>
    <row r="581">
      <c r="A581" s="692" t="n"/>
      <c r="B581" s="692" t="n"/>
      <c r="C581" s="692" t="n"/>
      <c r="D581" s="692" t="n"/>
      <c r="E581" s="692" t="n"/>
      <c r="F581" s="692" t="n"/>
      <c r="G581" s="692" t="n"/>
      <c r="H581" s="692" t="n"/>
      <c r="I581" s="692" t="n"/>
      <c r="J581" s="692" t="n"/>
      <c r="K581" s="692" t="n"/>
      <c r="L581" s="692" t="n"/>
      <c r="M581" s="692" t="n"/>
      <c r="N581" s="692" t="n"/>
      <c r="O581" s="692" t="n"/>
      <c r="P581" s="692" t="n"/>
      <c r="Q581" s="692" t="n"/>
      <c r="R581" s="692" t="n"/>
      <c r="S581" s="692" t="n"/>
      <c r="T581" s="692" t="n"/>
      <c r="U581" s="692" t="n"/>
      <c r="V581" s="692" t="n"/>
      <c r="W581" s="692" t="n"/>
      <c r="X581" s="692" t="n"/>
      <c r="Y581" s="692" t="n"/>
      <c r="Z581" s="692" t="n"/>
      <c r="AA581" s="692" t="n"/>
      <c r="AB581" s="692" t="n"/>
      <c r="AC581" s="692" t="n"/>
      <c r="AD581" s="692" t="n"/>
      <c r="AE581" s="692" t="n"/>
      <c r="AF581" s="692" t="n"/>
      <c r="AG581" s="692" t="n"/>
      <c r="AH581" s="692" t="n"/>
      <c r="AI581" s="692" t="n"/>
      <c r="AJ581" s="692" t="n"/>
      <c r="AK581" s="692" t="n"/>
      <c r="AL581" s="692" t="n"/>
      <c r="AM581" s="692" t="n"/>
      <c r="AN581" s="692" t="n"/>
      <c r="AO581" s="692" t="n"/>
      <c r="AP581" s="692" t="n"/>
    </row>
    <row r="582">
      <c r="A582" s="692" t="n"/>
      <c r="B582" s="692" t="n"/>
      <c r="C582" s="692" t="n"/>
      <c r="D582" s="692" t="n"/>
      <c r="E582" s="692" t="n"/>
      <c r="F582" s="692" t="n"/>
      <c r="G582" s="692" t="n"/>
      <c r="H582" s="692" t="n"/>
      <c r="I582" s="692" t="n"/>
      <c r="J582" s="692" t="n"/>
      <c r="K582" s="692" t="n"/>
      <c r="L582" s="692" t="n"/>
      <c r="M582" s="692" t="n"/>
      <c r="N582" s="692" t="n"/>
      <c r="O582" s="692" t="n"/>
      <c r="P582" s="692" t="n"/>
      <c r="Q582" s="692" t="n"/>
      <c r="R582" s="692" t="n"/>
      <c r="S582" s="692" t="n"/>
      <c r="T582" s="692" t="n"/>
      <c r="U582" s="692" t="n"/>
      <c r="V582" s="692" t="n"/>
      <c r="W582" s="692" t="n"/>
      <c r="X582" s="692" t="n"/>
      <c r="Y582" s="692" t="n"/>
      <c r="Z582" s="692" t="n"/>
      <c r="AA582" s="692" t="n"/>
      <c r="AB582" s="692" t="n"/>
      <c r="AC582" s="692" t="n"/>
      <c r="AD582" s="692" t="n"/>
      <c r="AE582" s="692" t="n"/>
      <c r="AF582" s="692" t="n"/>
      <c r="AG582" s="692" t="n"/>
      <c r="AH582" s="692" t="n"/>
      <c r="AI582" s="692" t="n"/>
      <c r="AJ582" s="692" t="n"/>
      <c r="AK582" s="692" t="n"/>
      <c r="AL582" s="692" t="n"/>
      <c r="AM582" s="692" t="n"/>
      <c r="AN582" s="692" t="n"/>
      <c r="AO582" s="692" t="n"/>
      <c r="AP582" s="692" t="n"/>
    </row>
    <row r="583">
      <c r="A583" s="692" t="n"/>
      <c r="B583" s="692" t="n"/>
      <c r="C583" s="692" t="n"/>
      <c r="D583" s="692" t="n"/>
      <c r="E583" s="692" t="n"/>
      <c r="F583" s="692" t="n"/>
      <c r="G583" s="692" t="n"/>
      <c r="H583" s="692" t="n"/>
      <c r="I583" s="692" t="n"/>
      <c r="J583" s="692" t="n"/>
      <c r="K583" s="692" t="n"/>
      <c r="L583" s="692" t="n"/>
      <c r="M583" s="692" t="n"/>
      <c r="N583" s="692" t="n"/>
      <c r="O583" s="692" t="n"/>
      <c r="P583" s="692" t="n"/>
      <c r="Q583" s="692" t="n"/>
      <c r="R583" s="692" t="n"/>
      <c r="S583" s="692" t="n"/>
      <c r="T583" s="692" t="n"/>
      <c r="U583" s="692" t="n"/>
      <c r="V583" s="692" t="n"/>
      <c r="W583" s="692" t="n"/>
      <c r="X583" s="692" t="n"/>
      <c r="Y583" s="692" t="n"/>
      <c r="Z583" s="692" t="n"/>
      <c r="AA583" s="692" t="n"/>
      <c r="AB583" s="692" t="n"/>
      <c r="AC583" s="692" t="n"/>
      <c r="AD583" s="692" t="n"/>
      <c r="AE583" s="692" t="n"/>
      <c r="AF583" s="692" t="n"/>
      <c r="AG583" s="692" t="n"/>
      <c r="AH583" s="692" t="n"/>
      <c r="AI583" s="692" t="n"/>
      <c r="AJ583" s="692" t="n"/>
      <c r="AK583" s="692" t="n"/>
      <c r="AL583" s="692" t="n"/>
      <c r="AM583" s="692" t="n"/>
      <c r="AN583" s="692" t="n"/>
      <c r="AO583" s="692" t="n"/>
      <c r="AP583" s="692" t="n"/>
    </row>
    <row r="584">
      <c r="A584" s="692" t="n"/>
      <c r="B584" s="692" t="n"/>
      <c r="C584" s="692" t="n"/>
      <c r="D584" s="692" t="n"/>
      <c r="E584" s="692" t="n"/>
      <c r="F584" s="692" t="n"/>
      <c r="G584" s="692" t="n"/>
      <c r="H584" s="692" t="n"/>
      <c r="I584" s="692" t="n"/>
      <c r="J584" s="692" t="n"/>
      <c r="K584" s="692" t="n"/>
      <c r="L584" s="692" t="n"/>
      <c r="M584" s="692" t="n"/>
      <c r="N584" s="692" t="n"/>
      <c r="O584" s="692" t="n"/>
      <c r="P584" s="692" t="n"/>
      <c r="Q584" s="692" t="n"/>
      <c r="R584" s="692" t="n"/>
      <c r="S584" s="692" t="n"/>
      <c r="T584" s="692" t="n"/>
      <c r="U584" s="692" t="n"/>
      <c r="V584" s="692" t="n"/>
      <c r="W584" s="692" t="n"/>
      <c r="X584" s="692" t="n"/>
      <c r="Y584" s="692" t="n"/>
      <c r="Z584" s="692" t="n"/>
      <c r="AA584" s="692" t="n"/>
      <c r="AB584" s="692" t="n"/>
      <c r="AC584" s="692" t="n"/>
      <c r="AD584" s="692" t="n"/>
      <c r="AE584" s="692" t="n"/>
      <c r="AF584" s="692" t="n"/>
      <c r="AG584" s="692" t="n"/>
      <c r="AH584" s="692" t="n"/>
      <c r="AI584" s="692" t="n"/>
      <c r="AJ584" s="692" t="n"/>
      <c r="AK584" s="692" t="n"/>
      <c r="AL584" s="692" t="n"/>
      <c r="AM584" s="692" t="n"/>
      <c r="AN584" s="692" t="n"/>
      <c r="AO584" s="692" t="n"/>
      <c r="AP584" s="692" t="n"/>
    </row>
    <row r="585">
      <c r="A585" s="692" t="n"/>
      <c r="B585" s="692" t="n"/>
      <c r="C585" s="692" t="n"/>
      <c r="D585" s="692" t="n"/>
      <c r="E585" s="692" t="n"/>
      <c r="F585" s="692" t="n"/>
      <c r="G585" s="692" t="n"/>
      <c r="H585" s="692" t="n"/>
      <c r="I585" s="692" t="n"/>
      <c r="J585" s="692" t="n"/>
      <c r="K585" s="692" t="n"/>
      <c r="L585" s="692" t="n"/>
      <c r="M585" s="692" t="n"/>
      <c r="N585" s="692" t="n"/>
      <c r="O585" s="692" t="n"/>
      <c r="P585" s="692" t="n"/>
      <c r="Q585" s="692" t="n"/>
      <c r="R585" s="692" t="n"/>
      <c r="S585" s="692" t="n"/>
      <c r="T585" s="692" t="n"/>
      <c r="U585" s="692" t="n"/>
      <c r="V585" s="692" t="n"/>
      <c r="W585" s="692" t="n"/>
      <c r="X585" s="692" t="n"/>
      <c r="Y585" s="692" t="n"/>
      <c r="Z585" s="692" t="n"/>
      <c r="AA585" s="692" t="n"/>
      <c r="AB585" s="692" t="n"/>
      <c r="AC585" s="692" t="n"/>
      <c r="AD585" s="692" t="n"/>
      <c r="AE585" s="692" t="n"/>
      <c r="AF585" s="692" t="n"/>
      <c r="AG585" s="692" t="n"/>
      <c r="AH585" s="692" t="n"/>
      <c r="AI585" s="692" t="n"/>
      <c r="AJ585" s="692" t="n"/>
      <c r="AK585" s="692" t="n"/>
      <c r="AL585" s="692" t="n"/>
      <c r="AM585" s="692" t="n"/>
      <c r="AN585" s="692" t="n"/>
      <c r="AO585" s="692" t="n"/>
      <c r="AP585" s="692" t="n"/>
    </row>
    <row r="586">
      <c r="A586" s="692" t="n"/>
      <c r="B586" s="692" t="n"/>
      <c r="C586" s="692" t="n"/>
      <c r="D586" s="692" t="n"/>
      <c r="E586" s="692" t="n"/>
      <c r="F586" s="692" t="n"/>
      <c r="G586" s="692" t="n"/>
      <c r="H586" s="692" t="n"/>
      <c r="I586" s="692" t="n"/>
      <c r="J586" s="692" t="n"/>
      <c r="K586" s="692" t="n"/>
      <c r="L586" s="692" t="n"/>
      <c r="M586" s="692" t="n"/>
      <c r="N586" s="692" t="n"/>
      <c r="O586" s="692" t="n"/>
      <c r="P586" s="692" t="n"/>
      <c r="Q586" s="692" t="n"/>
      <c r="R586" s="692" t="n"/>
      <c r="S586" s="692" t="n"/>
      <c r="T586" s="692" t="n"/>
      <c r="U586" s="692" t="n"/>
      <c r="V586" s="692" t="n"/>
      <c r="W586" s="692" t="n"/>
      <c r="X586" s="692" t="n"/>
      <c r="Y586" s="692" t="n"/>
      <c r="Z586" s="692" t="n"/>
      <c r="AA586" s="692" t="n"/>
      <c r="AB586" s="692" t="n"/>
      <c r="AC586" s="692" t="n"/>
      <c r="AD586" s="692" t="n"/>
      <c r="AE586" s="692" t="n"/>
      <c r="AF586" s="692" t="n"/>
      <c r="AG586" s="692" t="n"/>
      <c r="AH586" s="692" t="n"/>
      <c r="AI586" s="692" t="n"/>
      <c r="AJ586" s="692" t="n"/>
      <c r="AK586" s="692" t="n"/>
      <c r="AL586" s="692" t="n"/>
      <c r="AM586" s="692" t="n"/>
      <c r="AN586" s="692" t="n"/>
      <c r="AO586" s="692" t="n"/>
      <c r="AP586" s="692" t="n"/>
    </row>
    <row r="587">
      <c r="A587" s="692" t="n"/>
      <c r="B587" s="692" t="n"/>
      <c r="C587" s="692" t="n"/>
      <c r="D587" s="692" t="n"/>
      <c r="E587" s="692" t="n"/>
      <c r="F587" s="692" t="n"/>
      <c r="G587" s="692" t="n"/>
      <c r="H587" s="692" t="n"/>
      <c r="I587" s="692" t="n"/>
      <c r="J587" s="692" t="n"/>
      <c r="K587" s="692" t="n"/>
      <c r="L587" s="692" t="n"/>
      <c r="M587" s="692" t="n"/>
      <c r="N587" s="692" t="n"/>
      <c r="O587" s="692" t="n"/>
      <c r="P587" s="692" t="n"/>
      <c r="Q587" s="692" t="n"/>
      <c r="R587" s="692" t="n"/>
      <c r="S587" s="692" t="n"/>
      <c r="T587" s="692" t="n"/>
      <c r="U587" s="692" t="n"/>
      <c r="V587" s="692" t="n"/>
      <c r="W587" s="692" t="n"/>
      <c r="X587" s="692" t="n"/>
      <c r="Y587" s="692" t="n"/>
      <c r="Z587" s="692" t="n"/>
      <c r="AA587" s="692" t="n"/>
      <c r="AB587" s="692" t="n"/>
      <c r="AC587" s="692" t="n"/>
      <c r="AD587" s="692" t="n"/>
      <c r="AE587" s="692" t="n"/>
      <c r="AF587" s="692" t="n"/>
      <c r="AG587" s="692" t="n"/>
      <c r="AH587" s="692" t="n"/>
      <c r="AI587" s="692" t="n"/>
      <c r="AJ587" s="692" t="n"/>
      <c r="AK587" s="692" t="n"/>
      <c r="AL587" s="692" t="n"/>
      <c r="AM587" s="692" t="n"/>
      <c r="AN587" s="692" t="n"/>
      <c r="AO587" s="692" t="n"/>
      <c r="AP587" s="692" t="n"/>
    </row>
    <row r="588">
      <c r="A588" s="692" t="n"/>
      <c r="B588" s="692" t="n"/>
      <c r="C588" s="692" t="n"/>
      <c r="D588" s="692" t="n"/>
      <c r="E588" s="692" t="n"/>
      <c r="F588" s="692" t="n"/>
      <c r="G588" s="692" t="n"/>
      <c r="H588" s="692" t="n"/>
      <c r="I588" s="692" t="n"/>
      <c r="J588" s="692" t="n"/>
      <c r="K588" s="692" t="n"/>
      <c r="L588" s="692" t="n"/>
      <c r="M588" s="692" t="n"/>
      <c r="N588" s="692" t="n"/>
      <c r="O588" s="692" t="n"/>
      <c r="P588" s="692" t="n"/>
      <c r="Q588" s="692" t="n"/>
      <c r="R588" s="692" t="n"/>
      <c r="S588" s="692" t="n"/>
      <c r="T588" s="692" t="n"/>
      <c r="U588" s="692" t="n"/>
      <c r="V588" s="692" t="n"/>
      <c r="W588" s="692" t="n"/>
      <c r="X588" s="692" t="n"/>
      <c r="Y588" s="692" t="n"/>
      <c r="Z588" s="692" t="n"/>
      <c r="AA588" s="692" t="n"/>
      <c r="AB588" s="692" t="n"/>
      <c r="AC588" s="692" t="n"/>
      <c r="AD588" s="692" t="n"/>
      <c r="AE588" s="692" t="n"/>
      <c r="AF588" s="692" t="n"/>
      <c r="AG588" s="692" t="n"/>
      <c r="AH588" s="692" t="n"/>
      <c r="AI588" s="692" t="n"/>
      <c r="AJ588" s="692" t="n"/>
      <c r="AK588" s="692" t="n"/>
      <c r="AL588" s="692" t="n"/>
      <c r="AM588" s="692" t="n"/>
      <c r="AN588" s="692" t="n"/>
      <c r="AO588" s="692" t="n"/>
      <c r="AP588" s="692" t="n"/>
    </row>
    <row r="589">
      <c r="A589" s="692" t="n"/>
      <c r="B589" s="692" t="n"/>
      <c r="C589" s="692" t="n"/>
      <c r="D589" s="692" t="n"/>
      <c r="E589" s="692" t="n"/>
      <c r="F589" s="692" t="n"/>
      <c r="G589" s="692" t="n"/>
      <c r="H589" s="692" t="n"/>
      <c r="I589" s="692" t="n"/>
      <c r="J589" s="692" t="n"/>
      <c r="K589" s="692" t="n"/>
      <c r="L589" s="692" t="n"/>
      <c r="M589" s="692" t="n"/>
      <c r="N589" s="692" t="n"/>
      <c r="O589" s="692" t="n"/>
      <c r="P589" s="692" t="n"/>
      <c r="Q589" s="692" t="n"/>
      <c r="R589" s="692" t="n"/>
      <c r="S589" s="692" t="n"/>
      <c r="T589" s="692" t="n"/>
      <c r="U589" s="692" t="n"/>
      <c r="V589" s="692" t="n"/>
      <c r="W589" s="692" t="n"/>
      <c r="X589" s="692" t="n"/>
      <c r="Y589" s="692" t="n"/>
      <c r="Z589" s="692" t="n"/>
      <c r="AA589" s="692" t="n"/>
      <c r="AB589" s="692" t="n"/>
      <c r="AC589" s="692" t="n"/>
      <c r="AD589" s="692" t="n"/>
      <c r="AE589" s="692" t="n"/>
      <c r="AF589" s="692" t="n"/>
      <c r="AG589" s="692" t="n"/>
      <c r="AH589" s="692" t="n"/>
      <c r="AI589" s="692" t="n"/>
      <c r="AJ589" s="692" t="n"/>
      <c r="AK589" s="692" t="n"/>
      <c r="AL589" s="692" t="n"/>
      <c r="AM589" s="692" t="n"/>
      <c r="AN589" s="692" t="n"/>
      <c r="AO589" s="692" t="n"/>
      <c r="AP589" s="692" t="n"/>
    </row>
    <row r="590">
      <c r="A590" s="692" t="n"/>
      <c r="B590" s="692" t="n"/>
      <c r="C590" s="692" t="n"/>
      <c r="D590" s="692" t="n"/>
      <c r="E590" s="692" t="n"/>
      <c r="F590" s="692" t="n"/>
      <c r="G590" s="692" t="n"/>
      <c r="H590" s="692" t="n"/>
      <c r="I590" s="692" t="n"/>
      <c r="J590" s="692" t="n"/>
      <c r="K590" s="692" t="n"/>
      <c r="L590" s="692" t="n"/>
      <c r="M590" s="692" t="n"/>
      <c r="N590" s="692" t="n"/>
      <c r="O590" s="692" t="n"/>
      <c r="P590" s="692" t="n"/>
      <c r="Q590" s="692" t="n"/>
      <c r="R590" s="692" t="n"/>
      <c r="S590" s="692" t="n"/>
      <c r="T590" s="692" t="n"/>
      <c r="U590" s="692" t="n"/>
      <c r="V590" s="692" t="n"/>
      <c r="W590" s="692" t="n"/>
      <c r="X590" s="692" t="n"/>
      <c r="Y590" s="692" t="n"/>
      <c r="Z590" s="692" t="n"/>
      <c r="AA590" s="692" t="n"/>
      <c r="AB590" s="692" t="n"/>
      <c r="AC590" s="692" t="n"/>
      <c r="AD590" s="692" t="n"/>
      <c r="AE590" s="692" t="n"/>
      <c r="AF590" s="692" t="n"/>
      <c r="AG590" s="692" t="n"/>
      <c r="AH590" s="692" t="n"/>
      <c r="AI590" s="692" t="n"/>
      <c r="AJ590" s="692" t="n"/>
      <c r="AK590" s="692" t="n"/>
      <c r="AL590" s="692" t="n"/>
      <c r="AM590" s="692" t="n"/>
      <c r="AN590" s="692" t="n"/>
      <c r="AO590" s="692" t="n"/>
      <c r="AP590" s="692" t="n"/>
    </row>
    <row r="591">
      <c r="A591" s="692" t="n"/>
      <c r="B591" s="692" t="n"/>
      <c r="C591" s="692" t="n"/>
      <c r="D591" s="692" t="n"/>
      <c r="E591" s="692" t="n"/>
      <c r="F591" s="692" t="n"/>
      <c r="G591" s="692" t="n"/>
      <c r="H591" s="692" t="n"/>
      <c r="I591" s="692" t="n"/>
      <c r="J591" s="692" t="n"/>
      <c r="K591" s="692" t="n"/>
      <c r="L591" s="692" t="n"/>
      <c r="M591" s="692" t="n"/>
      <c r="N591" s="692" t="n"/>
      <c r="O591" s="692" t="n"/>
      <c r="P591" s="692" t="n"/>
      <c r="Q591" s="692" t="n"/>
      <c r="R591" s="692" t="n"/>
      <c r="S591" s="692" t="n"/>
      <c r="T591" s="692" t="n"/>
      <c r="U591" s="692" t="n"/>
      <c r="V591" s="692" t="n"/>
      <c r="W591" s="692" t="n"/>
      <c r="X591" s="692" t="n"/>
      <c r="Y591" s="692" t="n"/>
      <c r="Z591" s="692" t="n"/>
      <c r="AA591" s="692" t="n"/>
      <c r="AB591" s="692" t="n"/>
      <c r="AC591" s="692" t="n"/>
      <c r="AD591" s="692" t="n"/>
      <c r="AE591" s="692" t="n"/>
      <c r="AF591" s="692" t="n"/>
      <c r="AG591" s="692" t="n"/>
      <c r="AH591" s="692" t="n"/>
      <c r="AI591" s="692" t="n"/>
      <c r="AJ591" s="692" t="n"/>
      <c r="AK591" s="692" t="n"/>
      <c r="AL591" s="692" t="n"/>
      <c r="AM591" s="692" t="n"/>
      <c r="AN591" s="692" t="n"/>
      <c r="AO591" s="692" t="n"/>
      <c r="AP591" s="692" t="n"/>
    </row>
    <row r="592">
      <c r="A592" s="692" t="n"/>
      <c r="B592" s="692" t="n"/>
      <c r="C592" s="692" t="n"/>
      <c r="D592" s="692" t="n"/>
      <c r="E592" s="692" t="n"/>
      <c r="F592" s="692" t="n"/>
      <c r="G592" s="692" t="n"/>
      <c r="H592" s="692" t="n"/>
      <c r="I592" s="692" t="n"/>
      <c r="J592" s="692" t="n"/>
      <c r="K592" s="692" t="n"/>
      <c r="L592" s="692" t="n"/>
      <c r="M592" s="692" t="n"/>
      <c r="N592" s="692" t="n"/>
      <c r="O592" s="692" t="n"/>
      <c r="P592" s="692" t="n"/>
      <c r="Q592" s="692" t="n"/>
      <c r="R592" s="692" t="n"/>
      <c r="S592" s="692" t="n"/>
      <c r="T592" s="692" t="n"/>
      <c r="U592" s="692" t="n"/>
      <c r="V592" s="692" t="n"/>
      <c r="W592" s="692" t="n"/>
      <c r="X592" s="692" t="n"/>
      <c r="Y592" s="692" t="n"/>
      <c r="Z592" s="692" t="n"/>
      <c r="AA592" s="692" t="n"/>
      <c r="AB592" s="692" t="n"/>
      <c r="AC592" s="692" t="n"/>
      <c r="AD592" s="692" t="n"/>
      <c r="AE592" s="692" t="n"/>
      <c r="AF592" s="692" t="n"/>
      <c r="AG592" s="692" t="n"/>
      <c r="AH592" s="692" t="n"/>
      <c r="AI592" s="692" t="n"/>
      <c r="AJ592" s="692" t="n"/>
      <c r="AK592" s="692" t="n"/>
      <c r="AL592" s="692" t="n"/>
      <c r="AM592" s="692" t="n"/>
      <c r="AN592" s="692" t="n"/>
      <c r="AO592" s="692" t="n"/>
      <c r="AP592" s="692" t="n"/>
    </row>
    <row r="593">
      <c r="A593" s="692" t="n"/>
      <c r="B593" s="692" t="n"/>
      <c r="C593" s="692" t="n"/>
      <c r="D593" s="692" t="n"/>
      <c r="E593" s="692" t="n"/>
      <c r="F593" s="692" t="n"/>
      <c r="G593" s="692" t="n"/>
      <c r="H593" s="692" t="n"/>
      <c r="I593" s="692" t="n"/>
      <c r="J593" s="692" t="n"/>
      <c r="K593" s="692" t="n"/>
      <c r="L593" s="692" t="n"/>
      <c r="M593" s="692" t="n"/>
      <c r="N593" s="692" t="n"/>
      <c r="O593" s="692" t="n"/>
      <c r="P593" s="692" t="n"/>
      <c r="Q593" s="692" t="n"/>
      <c r="R593" s="692" t="n"/>
      <c r="S593" s="692" t="n"/>
      <c r="T593" s="692" t="n"/>
      <c r="U593" s="692" t="n"/>
      <c r="V593" s="692" t="n"/>
      <c r="W593" s="692" t="n"/>
      <c r="X593" s="692" t="n"/>
      <c r="Y593" s="692" t="n"/>
      <c r="Z593" s="692" t="n"/>
      <c r="AA593" s="692" t="n"/>
      <c r="AB593" s="692" t="n"/>
      <c r="AC593" s="692" t="n"/>
      <c r="AD593" s="692" t="n"/>
      <c r="AE593" s="692" t="n"/>
      <c r="AF593" s="692" t="n"/>
      <c r="AG593" s="692" t="n"/>
      <c r="AH593" s="692" t="n"/>
      <c r="AI593" s="692" t="n"/>
      <c r="AJ593" s="692" t="n"/>
      <c r="AK593" s="692" t="n"/>
      <c r="AL593" s="692" t="n"/>
      <c r="AM593" s="692" t="n"/>
      <c r="AN593" s="692" t="n"/>
      <c r="AO593" s="692" t="n"/>
      <c r="AP593" s="692" t="n"/>
    </row>
    <row r="594">
      <c r="A594" s="692" t="n"/>
      <c r="B594" s="692" t="n"/>
      <c r="C594" s="692" t="n"/>
      <c r="D594" s="692" t="n"/>
      <c r="E594" s="692" t="n"/>
      <c r="F594" s="692" t="n"/>
      <c r="G594" s="692" t="n"/>
      <c r="H594" s="692" t="n"/>
      <c r="I594" s="692" t="n"/>
      <c r="J594" s="692" t="n"/>
      <c r="K594" s="692" t="n"/>
      <c r="L594" s="692" t="n"/>
      <c r="M594" s="692" t="n"/>
      <c r="N594" s="692" t="n"/>
      <c r="O594" s="692" t="n"/>
      <c r="P594" s="692" t="n"/>
      <c r="Q594" s="692" t="n"/>
      <c r="R594" s="692" t="n"/>
      <c r="S594" s="692" t="n"/>
      <c r="T594" s="692" t="n"/>
      <c r="U594" s="692" t="n"/>
      <c r="V594" s="692" t="n"/>
      <c r="W594" s="692" t="n"/>
      <c r="X594" s="692" t="n"/>
      <c r="Y594" s="692" t="n"/>
      <c r="Z594" s="692" t="n"/>
      <c r="AA594" s="692" t="n"/>
      <c r="AB594" s="692" t="n"/>
      <c r="AC594" s="692" t="n"/>
      <c r="AD594" s="692" t="n"/>
      <c r="AE594" s="692" t="n"/>
      <c r="AF594" s="692" t="n"/>
      <c r="AG594" s="692" t="n"/>
      <c r="AH594" s="692" t="n"/>
      <c r="AI594" s="692" t="n"/>
      <c r="AJ594" s="692" t="n"/>
      <c r="AK594" s="692" t="n"/>
      <c r="AL594" s="692" t="n"/>
      <c r="AM594" s="692" t="n"/>
      <c r="AN594" s="692" t="n"/>
      <c r="AO594" s="692" t="n"/>
      <c r="AP594" s="692" t="n"/>
    </row>
    <row r="595">
      <c r="A595" s="692" t="n"/>
      <c r="B595" s="692" t="n"/>
      <c r="C595" s="692" t="n"/>
      <c r="D595" s="692" t="n"/>
      <c r="E595" s="692" t="n"/>
      <c r="F595" s="692" t="n"/>
      <c r="G595" s="692" t="n"/>
      <c r="H595" s="692" t="n"/>
      <c r="I595" s="692" t="n"/>
      <c r="J595" s="692" t="n"/>
      <c r="K595" s="692" t="n"/>
      <c r="L595" s="692" t="n"/>
      <c r="M595" s="692" t="n"/>
      <c r="N595" s="692" t="n"/>
      <c r="O595" s="692" t="n"/>
      <c r="P595" s="692" t="n"/>
      <c r="Q595" s="692" t="n"/>
      <c r="R595" s="692" t="n"/>
      <c r="S595" s="692" t="n"/>
      <c r="T595" s="692" t="n"/>
      <c r="U595" s="692" t="n"/>
      <c r="V595" s="692" t="n"/>
      <c r="W595" s="692" t="n"/>
      <c r="X595" s="692" t="n"/>
      <c r="Y595" s="692" t="n"/>
      <c r="Z595" s="692" t="n"/>
      <c r="AA595" s="692" t="n"/>
      <c r="AB595" s="692" t="n"/>
      <c r="AC595" s="692" t="n"/>
      <c r="AD595" s="692" t="n"/>
      <c r="AE595" s="692" t="n"/>
      <c r="AF595" s="692" t="n"/>
      <c r="AG595" s="692" t="n"/>
      <c r="AH595" s="692" t="n"/>
      <c r="AI595" s="692" t="n"/>
      <c r="AJ595" s="692" t="n"/>
      <c r="AK595" s="692" t="n"/>
      <c r="AL595" s="692" t="n"/>
      <c r="AM595" s="692" t="n"/>
      <c r="AN595" s="692" t="n"/>
      <c r="AO595" s="692" t="n"/>
      <c r="AP595" s="692" t="n"/>
    </row>
    <row r="596">
      <c r="A596" s="692" t="n"/>
      <c r="B596" s="692" t="n"/>
      <c r="C596" s="692" t="n"/>
      <c r="D596" s="692" t="n"/>
      <c r="E596" s="692" t="n"/>
      <c r="F596" s="692" t="n"/>
      <c r="G596" s="692" t="n"/>
      <c r="H596" s="692" t="n"/>
      <c r="I596" s="692" t="n"/>
      <c r="J596" s="692" t="n"/>
      <c r="K596" s="692" t="n"/>
      <c r="L596" s="692" t="n"/>
      <c r="M596" s="692" t="n"/>
      <c r="N596" s="692" t="n"/>
      <c r="O596" s="692" t="n"/>
      <c r="P596" s="692" t="n"/>
      <c r="Q596" s="692" t="n"/>
      <c r="R596" s="692" t="n"/>
      <c r="S596" s="692" t="n"/>
      <c r="T596" s="692" t="n"/>
      <c r="U596" s="692" t="n"/>
      <c r="V596" s="692" t="n"/>
      <c r="W596" s="692" t="n"/>
      <c r="X596" s="692" t="n"/>
      <c r="Y596" s="692" t="n"/>
      <c r="Z596" s="692" t="n"/>
      <c r="AA596" s="692" t="n"/>
      <c r="AB596" s="692" t="n"/>
      <c r="AC596" s="692" t="n"/>
      <c r="AD596" s="692" t="n"/>
      <c r="AE596" s="692" t="n"/>
      <c r="AF596" s="692" t="n"/>
      <c r="AG596" s="692" t="n"/>
      <c r="AH596" s="692" t="n"/>
      <c r="AI596" s="692" t="n"/>
      <c r="AJ596" s="692" t="n"/>
      <c r="AK596" s="692" t="n"/>
      <c r="AL596" s="692" t="n"/>
      <c r="AM596" s="692" t="n"/>
      <c r="AN596" s="692" t="n"/>
      <c r="AO596" s="692" t="n"/>
      <c r="AP596" s="692" t="n"/>
    </row>
    <row r="597">
      <c r="A597" s="692" t="n"/>
      <c r="B597" s="692" t="n"/>
      <c r="C597" s="692" t="n"/>
      <c r="D597" s="692" t="n"/>
      <c r="E597" s="692" t="n"/>
      <c r="F597" s="692" t="n"/>
      <c r="G597" s="692" t="n"/>
      <c r="H597" s="692" t="n"/>
      <c r="I597" s="692" t="n"/>
      <c r="J597" s="692" t="n"/>
      <c r="K597" s="692" t="n"/>
      <c r="L597" s="692" t="n"/>
      <c r="M597" s="692" t="n"/>
      <c r="N597" s="692" t="n"/>
      <c r="O597" s="692" t="n"/>
      <c r="P597" s="692" t="n"/>
      <c r="Q597" s="692" t="n"/>
      <c r="R597" s="692" t="n"/>
      <c r="S597" s="692" t="n"/>
      <c r="T597" s="692" t="n"/>
      <c r="U597" s="692" t="n"/>
      <c r="V597" s="692" t="n"/>
      <c r="W597" s="692" t="n"/>
      <c r="X597" s="692" t="n"/>
      <c r="Y597" s="692" t="n"/>
      <c r="Z597" s="692" t="n"/>
      <c r="AA597" s="692" t="n"/>
      <c r="AB597" s="692" t="n"/>
      <c r="AC597" s="692" t="n"/>
      <c r="AD597" s="692" t="n"/>
      <c r="AE597" s="692" t="n"/>
      <c r="AF597" s="692" t="n"/>
      <c r="AG597" s="692" t="n"/>
      <c r="AH597" s="692" t="n"/>
      <c r="AI597" s="692" t="n"/>
      <c r="AJ597" s="692" t="n"/>
      <c r="AK597" s="692" t="n"/>
      <c r="AL597" s="692" t="n"/>
      <c r="AM597" s="692" t="n"/>
      <c r="AN597" s="692" t="n"/>
      <c r="AO597" s="692" t="n"/>
      <c r="AP597" s="692" t="n"/>
    </row>
    <row r="598">
      <c r="A598" s="692" t="n"/>
      <c r="B598" s="692" t="n"/>
      <c r="C598" s="692" t="n"/>
      <c r="D598" s="692" t="n"/>
      <c r="E598" s="692" t="n"/>
      <c r="F598" s="692" t="n"/>
      <c r="G598" s="692" t="n"/>
      <c r="H598" s="692" t="n"/>
      <c r="I598" s="692" t="n"/>
      <c r="J598" s="692" t="n"/>
      <c r="K598" s="692" t="n"/>
      <c r="L598" s="692" t="n"/>
      <c r="M598" s="692" t="n"/>
      <c r="N598" s="692" t="n"/>
      <c r="O598" s="692" t="n"/>
      <c r="P598" s="692" t="n"/>
      <c r="Q598" s="692" t="n"/>
      <c r="R598" s="692" t="n"/>
      <c r="S598" s="692" t="n"/>
      <c r="T598" s="692" t="n"/>
      <c r="U598" s="692" t="n"/>
      <c r="V598" s="692" t="n"/>
      <c r="W598" s="692" t="n"/>
      <c r="X598" s="692" t="n"/>
      <c r="Y598" s="692" t="n"/>
      <c r="Z598" s="692" t="n"/>
      <c r="AA598" s="692" t="n"/>
      <c r="AB598" s="692" t="n"/>
      <c r="AC598" s="692" t="n"/>
      <c r="AD598" s="692" t="n"/>
      <c r="AE598" s="692" t="n"/>
      <c r="AF598" s="692" t="n"/>
      <c r="AG598" s="692" t="n"/>
      <c r="AH598" s="692" t="n"/>
      <c r="AI598" s="692" t="n"/>
      <c r="AJ598" s="692" t="n"/>
      <c r="AK598" s="692" t="n"/>
      <c r="AL598" s="692" t="n"/>
      <c r="AM598" s="692" t="n"/>
      <c r="AN598" s="692" t="n"/>
      <c r="AO598" s="692" t="n"/>
      <c r="AP598" s="692" t="n"/>
    </row>
    <row r="599">
      <c r="A599" s="692" t="n"/>
      <c r="B599" s="692" t="n"/>
      <c r="C599" s="692" t="n"/>
      <c r="D599" s="692" t="n"/>
      <c r="E599" s="692" t="n"/>
      <c r="F599" s="692" t="n"/>
      <c r="G599" s="692" t="n"/>
      <c r="H599" s="692" t="n"/>
      <c r="I599" s="692" t="n"/>
      <c r="J599" s="692" t="n"/>
      <c r="K599" s="692" t="n"/>
      <c r="L599" s="692" t="n"/>
      <c r="M599" s="692" t="n"/>
      <c r="N599" s="692" t="n"/>
      <c r="O599" s="692" t="n"/>
      <c r="P599" s="692" t="n"/>
      <c r="Q599" s="692" t="n"/>
      <c r="R599" s="692" t="n"/>
      <c r="S599" s="692" t="n"/>
      <c r="T599" s="692" t="n"/>
      <c r="U599" s="692" t="n"/>
      <c r="V599" s="692" t="n"/>
      <c r="W599" s="692" t="n"/>
      <c r="X599" s="692" t="n"/>
      <c r="Y599" s="692" t="n"/>
      <c r="Z599" s="692" t="n"/>
      <c r="AA599" s="692" t="n"/>
      <c r="AB599" s="692" t="n"/>
      <c r="AC599" s="692" t="n"/>
      <c r="AD599" s="692" t="n"/>
      <c r="AE599" s="692" t="n"/>
      <c r="AF599" s="692" t="n"/>
      <c r="AG599" s="692" t="n"/>
      <c r="AH599" s="692" t="n"/>
      <c r="AI599" s="692" t="n"/>
      <c r="AJ599" s="692" t="n"/>
      <c r="AK599" s="692" t="n"/>
      <c r="AL599" s="692" t="n"/>
      <c r="AM599" s="692" t="n"/>
      <c r="AN599" s="692" t="n"/>
      <c r="AO599" s="692" t="n"/>
      <c r="AP599" s="692" t="n"/>
    </row>
    <row r="600">
      <c r="A600" s="692" t="n"/>
      <c r="B600" s="692" t="n"/>
      <c r="C600" s="692" t="n"/>
      <c r="D600" s="692" t="n"/>
      <c r="E600" s="692" t="n"/>
      <c r="F600" s="692" t="n"/>
      <c r="G600" s="692" t="n"/>
      <c r="H600" s="692" t="n"/>
      <c r="I600" s="692" t="n"/>
      <c r="J600" s="692" t="n"/>
      <c r="K600" s="692" t="n"/>
      <c r="L600" s="692" t="n"/>
      <c r="M600" s="692" t="n"/>
      <c r="N600" s="692" t="n"/>
      <c r="O600" s="692" t="n"/>
      <c r="P600" s="692" t="n"/>
      <c r="Q600" s="692" t="n"/>
      <c r="R600" s="692" t="n"/>
      <c r="S600" s="692" t="n"/>
      <c r="T600" s="692" t="n"/>
      <c r="U600" s="692" t="n"/>
      <c r="V600" s="692" t="n"/>
      <c r="W600" s="692" t="n"/>
      <c r="X600" s="692" t="n"/>
      <c r="Y600" s="692" t="n"/>
      <c r="Z600" s="692" t="n"/>
      <c r="AA600" s="692" t="n"/>
      <c r="AB600" s="692" t="n"/>
      <c r="AC600" s="692" t="n"/>
      <c r="AD600" s="692" t="n"/>
      <c r="AE600" s="692" t="n"/>
      <c r="AF600" s="692" t="n"/>
      <c r="AG600" s="692" t="n"/>
      <c r="AH600" s="692" t="n"/>
      <c r="AI600" s="692" t="n"/>
      <c r="AJ600" s="692" t="n"/>
      <c r="AK600" s="692" t="n"/>
      <c r="AL600" s="692" t="n"/>
      <c r="AM600" s="692" t="n"/>
      <c r="AN600" s="692" t="n"/>
      <c r="AO600" s="692" t="n"/>
      <c r="AP600" s="692" t="n"/>
    </row>
    <row r="601">
      <c r="A601" s="692" t="n"/>
      <c r="B601" s="692" t="n"/>
      <c r="C601" s="692" t="n"/>
      <c r="D601" s="692" t="n"/>
      <c r="E601" s="692" t="n"/>
      <c r="F601" s="692" t="n"/>
      <c r="G601" s="692" t="n"/>
      <c r="H601" s="692" t="n"/>
      <c r="I601" s="692" t="n"/>
      <c r="J601" s="692" t="n"/>
      <c r="K601" s="692" t="n"/>
      <c r="L601" s="692" t="n"/>
      <c r="M601" s="692" t="n"/>
      <c r="N601" s="692" t="n"/>
      <c r="O601" s="692" t="n"/>
      <c r="P601" s="692" t="n"/>
      <c r="Q601" s="692" t="n"/>
      <c r="R601" s="692" t="n"/>
      <c r="S601" s="692" t="n"/>
      <c r="T601" s="692" t="n"/>
      <c r="U601" s="692" t="n"/>
      <c r="V601" s="692" t="n"/>
      <c r="W601" s="692" t="n"/>
      <c r="X601" s="692" t="n"/>
      <c r="Y601" s="692" t="n"/>
      <c r="Z601" s="692" t="n"/>
      <c r="AA601" s="692" t="n"/>
      <c r="AB601" s="692" t="n"/>
      <c r="AC601" s="692" t="n"/>
      <c r="AD601" s="692" t="n"/>
      <c r="AE601" s="692" t="n"/>
      <c r="AF601" s="692" t="n"/>
      <c r="AG601" s="692" t="n"/>
      <c r="AH601" s="692" t="n"/>
      <c r="AI601" s="692" t="n"/>
      <c r="AJ601" s="692" t="n"/>
      <c r="AK601" s="692" t="n"/>
      <c r="AL601" s="692" t="n"/>
      <c r="AM601" s="692" t="n"/>
      <c r="AN601" s="692" t="n"/>
      <c r="AO601" s="692" t="n"/>
      <c r="AP601" s="692" t="n"/>
    </row>
    <row r="602">
      <c r="A602" s="692" t="n"/>
      <c r="B602" s="692" t="n"/>
      <c r="C602" s="692" t="n"/>
      <c r="D602" s="692" t="n"/>
      <c r="E602" s="692" t="n"/>
      <c r="F602" s="692" t="n"/>
      <c r="G602" s="692" t="n"/>
      <c r="H602" s="692" t="n"/>
      <c r="I602" s="692" t="n"/>
      <c r="J602" s="692" t="n"/>
      <c r="K602" s="692" t="n"/>
      <c r="L602" s="692" t="n"/>
      <c r="M602" s="692" t="n"/>
      <c r="N602" s="692" t="n"/>
      <c r="O602" s="692" t="n"/>
      <c r="P602" s="692" t="n"/>
      <c r="Q602" s="692" t="n"/>
      <c r="R602" s="692" t="n"/>
      <c r="S602" s="692" t="n"/>
      <c r="T602" s="692" t="n"/>
      <c r="U602" s="692" t="n"/>
      <c r="V602" s="692" t="n"/>
      <c r="W602" s="692" t="n"/>
      <c r="X602" s="692" t="n"/>
      <c r="Y602" s="692" t="n"/>
      <c r="Z602" s="692" t="n"/>
      <c r="AA602" s="692" t="n"/>
      <c r="AB602" s="692" t="n"/>
      <c r="AC602" s="692" t="n"/>
      <c r="AD602" s="692" t="n"/>
      <c r="AE602" s="692" t="n"/>
      <c r="AF602" s="692" t="n"/>
      <c r="AG602" s="692" t="n"/>
      <c r="AH602" s="692" t="n"/>
      <c r="AI602" s="692" t="n"/>
      <c r="AJ602" s="692" t="n"/>
      <c r="AK602" s="692" t="n"/>
      <c r="AL602" s="692" t="n"/>
      <c r="AM602" s="692" t="n"/>
      <c r="AN602" s="692" t="n"/>
      <c r="AO602" s="692" t="n"/>
      <c r="AP602" s="692" t="n"/>
    </row>
    <row r="603">
      <c r="A603" s="692" t="n"/>
      <c r="B603" s="692" t="n"/>
      <c r="C603" s="692" t="n"/>
      <c r="D603" s="692" t="n"/>
      <c r="E603" s="692" t="n"/>
      <c r="F603" s="692" t="n"/>
      <c r="G603" s="692" t="n"/>
      <c r="H603" s="692" t="n"/>
      <c r="I603" s="692" t="n"/>
      <c r="J603" s="692" t="n"/>
      <c r="K603" s="692" t="n"/>
      <c r="L603" s="692" t="n"/>
      <c r="M603" s="692" t="n"/>
      <c r="N603" s="692" t="n"/>
      <c r="O603" s="692" t="n"/>
      <c r="P603" s="692" t="n"/>
      <c r="Q603" s="692" t="n"/>
      <c r="R603" s="692" t="n"/>
      <c r="S603" s="692" t="n"/>
      <c r="T603" s="692" t="n"/>
      <c r="U603" s="692" t="n"/>
      <c r="V603" s="692" t="n"/>
      <c r="W603" s="692" t="n"/>
      <c r="X603" s="692" t="n"/>
      <c r="Y603" s="692" t="n"/>
      <c r="Z603" s="692" t="n"/>
      <c r="AA603" s="692" t="n"/>
      <c r="AB603" s="692" t="n"/>
      <c r="AC603" s="692" t="n"/>
      <c r="AD603" s="692" t="n"/>
      <c r="AE603" s="692" t="n"/>
      <c r="AF603" s="692" t="n"/>
      <c r="AG603" s="692" t="n"/>
      <c r="AH603" s="692" t="n"/>
      <c r="AI603" s="692" t="n"/>
      <c r="AJ603" s="692" t="n"/>
      <c r="AK603" s="692" t="n"/>
      <c r="AL603" s="692" t="n"/>
      <c r="AM603" s="692" t="n"/>
      <c r="AN603" s="692" t="n"/>
      <c r="AO603" s="692" t="n"/>
      <c r="AP603" s="692" t="n"/>
    </row>
    <row r="604">
      <c r="A604" s="692" t="n"/>
      <c r="B604" s="692" t="n"/>
      <c r="C604" s="692" t="n"/>
      <c r="D604" s="692" t="n"/>
      <c r="E604" s="692" t="n"/>
      <c r="F604" s="692" t="n"/>
      <c r="G604" s="692" t="n"/>
      <c r="H604" s="692" t="n"/>
      <c r="I604" s="692" t="n"/>
      <c r="J604" s="692" t="n"/>
      <c r="K604" s="692" t="n"/>
      <c r="L604" s="692" t="n"/>
      <c r="M604" s="692" t="n"/>
      <c r="N604" s="692" t="n"/>
      <c r="O604" s="692" t="n"/>
      <c r="P604" s="692" t="n"/>
      <c r="Q604" s="692" t="n"/>
      <c r="R604" s="692" t="n"/>
      <c r="S604" s="692" t="n"/>
      <c r="T604" s="692" t="n"/>
      <c r="U604" s="692" t="n"/>
      <c r="V604" s="692" t="n"/>
      <c r="W604" s="692" t="n"/>
      <c r="X604" s="692" t="n"/>
      <c r="Y604" s="692" t="n"/>
      <c r="Z604" s="692" t="n"/>
      <c r="AA604" s="692" t="n"/>
      <c r="AB604" s="692" t="n"/>
      <c r="AC604" s="692" t="n"/>
      <c r="AD604" s="692" t="n"/>
      <c r="AE604" s="692" t="n"/>
      <c r="AF604" s="692" t="n"/>
      <c r="AG604" s="692" t="n"/>
      <c r="AH604" s="692" t="n"/>
      <c r="AI604" s="692" t="n"/>
      <c r="AJ604" s="692" t="n"/>
      <c r="AK604" s="692" t="n"/>
      <c r="AL604" s="692" t="n"/>
      <c r="AM604" s="692" t="n"/>
      <c r="AN604" s="692" t="n"/>
      <c r="AO604" s="692" t="n"/>
      <c r="AP604" s="692" t="n"/>
    </row>
    <row r="605">
      <c r="A605" s="692" t="n"/>
      <c r="B605" s="692" t="n"/>
      <c r="C605" s="692" t="n"/>
      <c r="D605" s="692" t="n"/>
      <c r="E605" s="692" t="n"/>
      <c r="F605" s="692" t="n"/>
      <c r="G605" s="692" t="n"/>
      <c r="H605" s="692" t="n"/>
      <c r="I605" s="692" t="n"/>
      <c r="J605" s="692" t="n"/>
      <c r="K605" s="692" t="n"/>
      <c r="L605" s="692" t="n"/>
      <c r="M605" s="692" t="n"/>
      <c r="N605" s="692" t="n"/>
      <c r="O605" s="692" t="n"/>
      <c r="P605" s="692" t="n"/>
      <c r="Q605" s="692" t="n"/>
      <c r="R605" s="692" t="n"/>
      <c r="S605" s="692" t="n"/>
      <c r="T605" s="692" t="n"/>
      <c r="U605" s="692" t="n"/>
      <c r="V605" s="692" t="n"/>
      <c r="W605" s="692" t="n"/>
      <c r="X605" s="692" t="n"/>
      <c r="Y605" s="692" t="n"/>
      <c r="Z605" s="692" t="n"/>
      <c r="AA605" s="692" t="n"/>
      <c r="AB605" s="692" t="n"/>
      <c r="AC605" s="692" t="n"/>
      <c r="AD605" s="692" t="n"/>
      <c r="AE605" s="692" t="n"/>
      <c r="AF605" s="692" t="n"/>
      <c r="AG605" s="692" t="n"/>
      <c r="AH605" s="692" t="n"/>
      <c r="AI605" s="692" t="n"/>
      <c r="AJ605" s="692" t="n"/>
      <c r="AK605" s="692" t="n"/>
      <c r="AL605" s="692" t="n"/>
      <c r="AM605" s="692" t="n"/>
      <c r="AN605" s="692" t="n"/>
      <c r="AO605" s="692" t="n"/>
      <c r="AP605" s="692" t="n"/>
    </row>
    <row r="606">
      <c r="A606" s="692" t="n"/>
      <c r="B606" s="692" t="n"/>
      <c r="C606" s="692" t="n"/>
      <c r="D606" s="692" t="n"/>
      <c r="E606" s="692" t="n"/>
      <c r="F606" s="692" t="n"/>
      <c r="G606" s="692" t="n"/>
      <c r="H606" s="692" t="n"/>
      <c r="I606" s="692" t="n"/>
      <c r="J606" s="692" t="n"/>
      <c r="K606" s="692" t="n"/>
      <c r="L606" s="692" t="n"/>
      <c r="M606" s="692" t="n"/>
      <c r="N606" s="692" t="n"/>
      <c r="O606" s="692" t="n"/>
      <c r="P606" s="692" t="n"/>
      <c r="Q606" s="692" t="n"/>
      <c r="R606" s="692" t="n"/>
      <c r="S606" s="692" t="n"/>
      <c r="T606" s="692" t="n"/>
      <c r="U606" s="692" t="n"/>
      <c r="V606" s="692" t="n"/>
      <c r="W606" s="692" t="n"/>
      <c r="X606" s="692" t="n"/>
      <c r="Y606" s="692" t="n"/>
      <c r="Z606" s="692" t="n"/>
      <c r="AA606" s="692" t="n"/>
      <c r="AB606" s="692" t="n"/>
      <c r="AC606" s="692" t="n"/>
      <c r="AD606" s="692" t="n"/>
      <c r="AE606" s="692" t="n"/>
      <c r="AF606" s="692" t="n"/>
      <c r="AG606" s="692" t="n"/>
      <c r="AH606" s="692" t="n"/>
      <c r="AI606" s="692" t="n"/>
      <c r="AJ606" s="692" t="n"/>
      <c r="AK606" s="692" t="n"/>
      <c r="AL606" s="692" t="n"/>
      <c r="AM606" s="692" t="n"/>
      <c r="AN606" s="692" t="n"/>
      <c r="AO606" s="692" t="n"/>
      <c r="AP606" s="692" t="n"/>
    </row>
    <row r="607">
      <c r="A607" s="692" t="n"/>
      <c r="B607" s="692" t="n"/>
      <c r="C607" s="692" t="n"/>
      <c r="D607" s="692" t="n"/>
      <c r="E607" s="692" t="n"/>
      <c r="F607" s="692" t="n"/>
      <c r="G607" s="692" t="n"/>
      <c r="H607" s="692" t="n"/>
      <c r="I607" s="692" t="n"/>
      <c r="J607" s="692" t="n"/>
      <c r="K607" s="692" t="n"/>
      <c r="L607" s="692" t="n"/>
      <c r="M607" s="692" t="n"/>
      <c r="N607" s="692" t="n"/>
      <c r="O607" s="692" t="n"/>
      <c r="P607" s="692" t="n"/>
      <c r="Q607" s="692" t="n"/>
      <c r="R607" s="692" t="n"/>
      <c r="S607" s="692" t="n"/>
      <c r="T607" s="692" t="n"/>
      <c r="U607" s="692" t="n"/>
      <c r="V607" s="692" t="n"/>
      <c r="W607" s="692" t="n"/>
      <c r="X607" s="692" t="n"/>
      <c r="Y607" s="692" t="n"/>
      <c r="Z607" s="692" t="n"/>
      <c r="AA607" s="692" t="n"/>
      <c r="AB607" s="692" t="n"/>
      <c r="AC607" s="692" t="n"/>
      <c r="AD607" s="692" t="n"/>
      <c r="AE607" s="692" t="n"/>
      <c r="AF607" s="692" t="n"/>
      <c r="AG607" s="692" t="n"/>
      <c r="AH607" s="692" t="n"/>
      <c r="AI607" s="692" t="n"/>
      <c r="AJ607" s="692" t="n"/>
      <c r="AK607" s="692" t="n"/>
      <c r="AL607" s="692" t="n"/>
      <c r="AM607" s="692" t="n"/>
      <c r="AN607" s="692" t="n"/>
      <c r="AO607" s="692" t="n"/>
      <c r="AP607" s="692" t="n"/>
    </row>
    <row r="608">
      <c r="A608" s="692" t="n"/>
      <c r="B608" s="692" t="n"/>
      <c r="C608" s="692" t="n"/>
      <c r="D608" s="692" t="n"/>
      <c r="E608" s="692" t="n"/>
      <c r="F608" s="692" t="n"/>
      <c r="G608" s="692" t="n"/>
      <c r="H608" s="692" t="n"/>
      <c r="I608" s="692" t="n"/>
      <c r="J608" s="692" t="n"/>
      <c r="K608" s="692" t="n"/>
      <c r="L608" s="692" t="n"/>
      <c r="M608" s="692" t="n"/>
      <c r="N608" s="692" t="n"/>
      <c r="O608" s="692" t="n"/>
      <c r="P608" s="692" t="n"/>
      <c r="Q608" s="692" t="n"/>
      <c r="R608" s="692" t="n"/>
      <c r="S608" s="692" t="n"/>
      <c r="T608" s="692" t="n"/>
      <c r="U608" s="692" t="n"/>
      <c r="V608" s="692" t="n"/>
      <c r="W608" s="692" t="n"/>
      <c r="X608" s="692" t="n"/>
      <c r="Y608" s="692" t="n"/>
      <c r="Z608" s="692" t="n"/>
      <c r="AA608" s="692" t="n"/>
      <c r="AB608" s="692" t="n"/>
      <c r="AC608" s="692" t="n"/>
      <c r="AD608" s="692" t="n"/>
      <c r="AE608" s="692" t="n"/>
      <c r="AF608" s="692" t="n"/>
      <c r="AG608" s="692" t="n"/>
      <c r="AH608" s="692" t="n"/>
      <c r="AI608" s="692" t="n"/>
      <c r="AJ608" s="692" t="n"/>
      <c r="AK608" s="692" t="n"/>
      <c r="AL608" s="692" t="n"/>
      <c r="AM608" s="692" t="n"/>
      <c r="AN608" s="692" t="n"/>
      <c r="AO608" s="692" t="n"/>
      <c r="AP608" s="692" t="n"/>
    </row>
    <row r="609">
      <c r="A609" s="692" t="n"/>
      <c r="B609" s="692" t="n"/>
      <c r="C609" s="692" t="n"/>
      <c r="D609" s="692" t="n"/>
      <c r="E609" s="692" t="n"/>
      <c r="F609" s="692" t="n"/>
      <c r="G609" s="692" t="n"/>
      <c r="H609" s="692" t="n"/>
      <c r="I609" s="692" t="n"/>
      <c r="J609" s="692" t="n"/>
      <c r="K609" s="692" t="n"/>
      <c r="L609" s="692" t="n"/>
      <c r="M609" s="692" t="n"/>
      <c r="N609" s="692" t="n"/>
      <c r="O609" s="692" t="n"/>
      <c r="P609" s="692" t="n"/>
      <c r="Q609" s="692" t="n"/>
      <c r="R609" s="692" t="n"/>
      <c r="S609" s="692" t="n"/>
      <c r="T609" s="692" t="n"/>
      <c r="U609" s="692" t="n"/>
      <c r="V609" s="692" t="n"/>
      <c r="W609" s="692" t="n"/>
      <c r="X609" s="692" t="n"/>
      <c r="Y609" s="692" t="n"/>
      <c r="Z609" s="692" t="n"/>
      <c r="AA609" s="692" t="n"/>
      <c r="AB609" s="692" t="n"/>
      <c r="AC609" s="692" t="n"/>
      <c r="AD609" s="692" t="n"/>
      <c r="AE609" s="692" t="n"/>
      <c r="AF609" s="692" t="n"/>
      <c r="AG609" s="692" t="n"/>
      <c r="AH609" s="692" t="n"/>
      <c r="AI609" s="692" t="n"/>
      <c r="AJ609" s="692" t="n"/>
      <c r="AK609" s="692" t="n"/>
      <c r="AL609" s="692" t="n"/>
      <c r="AM609" s="692" t="n"/>
      <c r="AN609" s="692" t="n"/>
      <c r="AO609" s="692" t="n"/>
      <c r="AP609" s="692" t="n"/>
    </row>
    <row r="610">
      <c r="A610" s="692" t="n"/>
      <c r="B610" s="692" t="n"/>
      <c r="C610" s="692" t="n"/>
      <c r="D610" s="692" t="n"/>
      <c r="E610" s="692" t="n"/>
      <c r="F610" s="692" t="n"/>
      <c r="G610" s="692" t="n"/>
      <c r="H610" s="692" t="n"/>
      <c r="I610" s="692" t="n"/>
      <c r="J610" s="692" t="n"/>
      <c r="K610" s="692" t="n"/>
      <c r="L610" s="692" t="n"/>
      <c r="M610" s="692" t="n"/>
      <c r="N610" s="692" t="n"/>
      <c r="O610" s="692" t="n"/>
      <c r="P610" s="692" t="n"/>
      <c r="Q610" s="692" t="n"/>
      <c r="R610" s="692" t="n"/>
      <c r="S610" s="692" t="n"/>
      <c r="T610" s="692" t="n"/>
      <c r="U610" s="692" t="n"/>
      <c r="V610" s="692" t="n"/>
      <c r="W610" s="692" t="n"/>
      <c r="X610" s="692" t="n"/>
      <c r="Y610" s="692" t="n"/>
      <c r="Z610" s="692" t="n"/>
      <c r="AA610" s="692" t="n"/>
      <c r="AB610" s="692" t="n"/>
      <c r="AC610" s="692" t="n"/>
      <c r="AD610" s="692" t="n"/>
      <c r="AE610" s="692" t="n"/>
      <c r="AF610" s="692" t="n"/>
      <c r="AG610" s="692" t="n"/>
      <c r="AH610" s="692" t="n"/>
      <c r="AI610" s="692" t="n"/>
      <c r="AJ610" s="692" t="n"/>
      <c r="AK610" s="692" t="n"/>
      <c r="AL610" s="692" t="n"/>
      <c r="AM610" s="692" t="n"/>
      <c r="AN610" s="692" t="n"/>
      <c r="AO610" s="692" t="n"/>
      <c r="AP610" s="692" t="n"/>
    </row>
    <row r="611">
      <c r="A611" s="692" t="n"/>
      <c r="B611" s="692" t="n"/>
      <c r="C611" s="692" t="n"/>
      <c r="D611" s="692" t="n"/>
      <c r="E611" s="692" t="n"/>
      <c r="F611" s="692" t="n"/>
      <c r="G611" s="692" t="n"/>
      <c r="H611" s="692" t="n"/>
      <c r="I611" s="692" t="n"/>
      <c r="J611" s="692" t="n"/>
      <c r="K611" s="692" t="n"/>
      <c r="L611" s="692" t="n"/>
      <c r="M611" s="692" t="n"/>
      <c r="N611" s="692" t="n"/>
      <c r="O611" s="692" t="n"/>
      <c r="P611" s="692" t="n"/>
      <c r="Q611" s="692" t="n"/>
      <c r="R611" s="692" t="n"/>
      <c r="S611" s="692" t="n"/>
      <c r="T611" s="692" t="n"/>
      <c r="U611" s="692" t="n"/>
      <c r="V611" s="692" t="n"/>
      <c r="W611" s="692" t="n"/>
      <c r="X611" s="692" t="n"/>
      <c r="Y611" s="692" t="n"/>
      <c r="Z611" s="692" t="n"/>
      <c r="AA611" s="692" t="n"/>
      <c r="AB611" s="692" t="n"/>
      <c r="AC611" s="692" t="n"/>
      <c r="AD611" s="692" t="n"/>
      <c r="AE611" s="692" t="n"/>
      <c r="AF611" s="692" t="n"/>
      <c r="AG611" s="692" t="n"/>
      <c r="AH611" s="692" t="n"/>
      <c r="AI611" s="692" t="n"/>
      <c r="AJ611" s="692" t="n"/>
      <c r="AK611" s="692" t="n"/>
      <c r="AL611" s="692" t="n"/>
      <c r="AM611" s="692" t="n"/>
      <c r="AN611" s="692" t="n"/>
      <c r="AO611" s="692" t="n"/>
      <c r="AP611" s="692" t="n"/>
    </row>
    <row r="612">
      <c r="A612" s="692" t="n"/>
      <c r="B612" s="692" t="n"/>
      <c r="C612" s="692" t="n"/>
      <c r="D612" s="692" t="n"/>
      <c r="E612" s="692" t="n"/>
      <c r="F612" s="692" t="n"/>
      <c r="G612" s="692" t="n"/>
      <c r="H612" s="692" t="n"/>
      <c r="I612" s="692" t="n"/>
      <c r="J612" s="692" t="n"/>
      <c r="K612" s="692" t="n"/>
      <c r="L612" s="692" t="n"/>
      <c r="M612" s="692" t="n"/>
      <c r="N612" s="692" t="n"/>
      <c r="O612" s="692" t="n"/>
      <c r="P612" s="692" t="n"/>
      <c r="Q612" s="692" t="n"/>
      <c r="R612" s="692" t="n"/>
      <c r="S612" s="692" t="n"/>
      <c r="T612" s="692" t="n"/>
      <c r="U612" s="692" t="n"/>
      <c r="V612" s="692" t="n"/>
      <c r="W612" s="692" t="n"/>
      <c r="X612" s="692" t="n"/>
      <c r="Y612" s="692" t="n"/>
      <c r="Z612" s="692" t="n"/>
      <c r="AA612" s="692" t="n"/>
      <c r="AB612" s="692" t="n"/>
      <c r="AC612" s="692" t="n"/>
      <c r="AD612" s="692" t="n"/>
      <c r="AE612" s="692" t="n"/>
      <c r="AF612" s="692" t="n"/>
      <c r="AG612" s="692" t="n"/>
      <c r="AH612" s="692" t="n"/>
      <c r="AI612" s="692" t="n"/>
      <c r="AJ612" s="692" t="n"/>
      <c r="AK612" s="692" t="n"/>
      <c r="AL612" s="692" t="n"/>
      <c r="AM612" s="692" t="n"/>
      <c r="AN612" s="692" t="n"/>
      <c r="AO612" s="692" t="n"/>
      <c r="AP612" s="692" t="n"/>
    </row>
    <row r="613">
      <c r="A613" s="692" t="n"/>
      <c r="B613" s="692" t="n"/>
      <c r="C613" s="692" t="n"/>
      <c r="D613" s="692" t="n"/>
      <c r="E613" s="692" t="n"/>
      <c r="F613" s="692" t="n"/>
      <c r="G613" s="692" t="n"/>
      <c r="H613" s="692" t="n"/>
      <c r="I613" s="692" t="n"/>
      <c r="J613" s="692" t="n"/>
      <c r="K613" s="692" t="n"/>
      <c r="L613" s="692" t="n"/>
      <c r="M613" s="692" t="n"/>
      <c r="N613" s="692" t="n"/>
      <c r="O613" s="692" t="n"/>
      <c r="P613" s="692" t="n"/>
      <c r="Q613" s="692" t="n"/>
      <c r="R613" s="692" t="n"/>
      <c r="S613" s="692" t="n"/>
      <c r="T613" s="692" t="n"/>
      <c r="U613" s="692" t="n"/>
      <c r="V613" s="692" t="n"/>
      <c r="W613" s="692" t="n"/>
      <c r="X613" s="692" t="n"/>
      <c r="Y613" s="692" t="n"/>
      <c r="Z613" s="692" t="n"/>
      <c r="AA613" s="692" t="n"/>
      <c r="AB613" s="692" t="n"/>
      <c r="AC613" s="692" t="n"/>
      <c r="AD613" s="692" t="n"/>
      <c r="AE613" s="692" t="n"/>
      <c r="AF613" s="692" t="n"/>
      <c r="AG613" s="692" t="n"/>
      <c r="AH613" s="692" t="n"/>
      <c r="AI613" s="692" t="n"/>
      <c r="AJ613" s="692" t="n"/>
      <c r="AK613" s="692" t="n"/>
      <c r="AL613" s="692" t="n"/>
      <c r="AM613" s="692" t="n"/>
      <c r="AN613" s="692" t="n"/>
      <c r="AO613" s="692" t="n"/>
      <c r="AP613" s="692" t="n"/>
    </row>
    <row r="614">
      <c r="A614" s="692" t="n"/>
      <c r="B614" s="692" t="n"/>
      <c r="C614" s="692" t="n"/>
      <c r="D614" s="692" t="n"/>
      <c r="E614" s="692" t="n"/>
      <c r="F614" s="692" t="n"/>
      <c r="G614" s="692" t="n"/>
      <c r="H614" s="692" t="n"/>
      <c r="I614" s="692" t="n"/>
      <c r="J614" s="692" t="n"/>
      <c r="K614" s="692" t="n"/>
      <c r="L614" s="692" t="n"/>
      <c r="M614" s="692" t="n"/>
      <c r="N614" s="692" t="n"/>
      <c r="O614" s="692" t="n"/>
      <c r="P614" s="692" t="n"/>
      <c r="Q614" s="692" t="n"/>
      <c r="R614" s="692" t="n"/>
      <c r="S614" s="692" t="n"/>
      <c r="T614" s="692" t="n"/>
      <c r="U614" s="692" t="n"/>
      <c r="V614" s="692" t="n"/>
      <c r="W614" s="692" t="n"/>
      <c r="X614" s="692" t="n"/>
      <c r="Y614" s="692" t="n"/>
      <c r="Z614" s="692" t="n"/>
      <c r="AA614" s="692" t="n"/>
      <c r="AB614" s="692" t="n"/>
      <c r="AC614" s="692" t="n"/>
      <c r="AD614" s="692" t="n"/>
      <c r="AE614" s="692" t="n"/>
      <c r="AF614" s="692" t="n"/>
      <c r="AG614" s="692" t="n"/>
      <c r="AH614" s="692" t="n"/>
      <c r="AI614" s="692" t="n"/>
      <c r="AJ614" s="692" t="n"/>
      <c r="AK614" s="692" t="n"/>
      <c r="AL614" s="692" t="n"/>
      <c r="AM614" s="692" t="n"/>
      <c r="AN614" s="692" t="n"/>
      <c r="AO614" s="692" t="n"/>
      <c r="AP614" s="692" t="n"/>
    </row>
    <row r="615">
      <c r="A615" s="692" t="n"/>
      <c r="B615" s="692" t="n"/>
      <c r="C615" s="692" t="n"/>
      <c r="D615" s="692" t="n"/>
      <c r="E615" s="692" t="n"/>
      <c r="F615" s="692" t="n"/>
      <c r="G615" s="692" t="n"/>
      <c r="H615" s="692" t="n"/>
      <c r="I615" s="692" t="n"/>
      <c r="J615" s="692" t="n"/>
      <c r="K615" s="692" t="n"/>
      <c r="L615" s="692" t="n"/>
      <c r="M615" s="692" t="n"/>
      <c r="N615" s="692" t="n"/>
      <c r="O615" s="692" t="n"/>
      <c r="P615" s="692" t="n"/>
      <c r="Q615" s="692" t="n"/>
      <c r="R615" s="692" t="n"/>
      <c r="S615" s="692" t="n"/>
      <c r="T615" s="692" t="n"/>
      <c r="U615" s="692" t="n"/>
      <c r="V615" s="692" t="n"/>
      <c r="W615" s="692" t="n"/>
      <c r="X615" s="692" t="n"/>
      <c r="Y615" s="692" t="n"/>
      <c r="Z615" s="692" t="n"/>
      <c r="AA615" s="692" t="n"/>
      <c r="AB615" s="692" t="n"/>
      <c r="AC615" s="692" t="n"/>
      <c r="AD615" s="692" t="n"/>
      <c r="AE615" s="692" t="n"/>
      <c r="AF615" s="692" t="n"/>
      <c r="AG615" s="692" t="n"/>
      <c r="AH615" s="692" t="n"/>
      <c r="AI615" s="692" t="n"/>
      <c r="AJ615" s="692" t="n"/>
      <c r="AK615" s="692" t="n"/>
      <c r="AL615" s="692" t="n"/>
      <c r="AM615" s="692" t="n"/>
      <c r="AN615" s="692" t="n"/>
      <c r="AO615" s="692" t="n"/>
      <c r="AP615" s="692" t="n"/>
    </row>
    <row r="616">
      <c r="A616" s="692" t="n"/>
      <c r="B616" s="692" t="n"/>
      <c r="C616" s="692" t="n"/>
      <c r="D616" s="692" t="n"/>
      <c r="E616" s="692" t="n"/>
      <c r="F616" s="692" t="n"/>
      <c r="G616" s="692" t="n"/>
      <c r="H616" s="692" t="n"/>
      <c r="I616" s="692" t="n"/>
      <c r="J616" s="692" t="n"/>
      <c r="K616" s="692" t="n"/>
      <c r="L616" s="692" t="n"/>
      <c r="M616" s="692" t="n"/>
      <c r="N616" s="692" t="n"/>
      <c r="O616" s="692" t="n"/>
      <c r="P616" s="692" t="n"/>
      <c r="Q616" s="692" t="n"/>
      <c r="R616" s="692" t="n"/>
      <c r="S616" s="692" t="n"/>
      <c r="T616" s="692" t="n"/>
      <c r="U616" s="692" t="n"/>
      <c r="V616" s="692" t="n"/>
      <c r="W616" s="692" t="n"/>
      <c r="X616" s="692" t="n"/>
      <c r="Y616" s="692" t="n"/>
      <c r="Z616" s="692" t="n"/>
      <c r="AA616" s="692" t="n"/>
      <c r="AB616" s="692" t="n"/>
      <c r="AC616" s="692" t="n"/>
      <c r="AD616" s="692" t="n"/>
      <c r="AE616" s="692" t="n"/>
      <c r="AF616" s="692" t="n"/>
      <c r="AG616" s="692" t="n"/>
      <c r="AH616" s="692" t="n"/>
      <c r="AI616" s="692" t="n"/>
      <c r="AJ616" s="692" t="n"/>
      <c r="AK616" s="692" t="n"/>
      <c r="AL616" s="692" t="n"/>
      <c r="AM616" s="692" t="n"/>
      <c r="AN616" s="692" t="n"/>
      <c r="AO616" s="692" t="n"/>
      <c r="AP616" s="692" t="n"/>
    </row>
    <row r="617">
      <c r="A617" s="692" t="n"/>
      <c r="B617" s="692" t="n"/>
      <c r="C617" s="692" t="n"/>
      <c r="D617" s="692" t="n"/>
      <c r="E617" s="692" t="n"/>
      <c r="F617" s="692" t="n"/>
      <c r="G617" s="692" t="n"/>
      <c r="H617" s="692" t="n"/>
      <c r="I617" s="692" t="n"/>
      <c r="J617" s="692" t="n"/>
      <c r="K617" s="692" t="n"/>
      <c r="L617" s="692" t="n"/>
      <c r="M617" s="692" t="n"/>
      <c r="N617" s="692" t="n"/>
      <c r="O617" s="692" t="n"/>
      <c r="P617" s="692" t="n"/>
      <c r="Q617" s="692" t="n"/>
      <c r="R617" s="692" t="n"/>
      <c r="S617" s="692" t="n"/>
      <c r="T617" s="692" t="n"/>
      <c r="U617" s="692" t="n"/>
      <c r="V617" s="692" t="n"/>
      <c r="W617" s="692" t="n"/>
      <c r="X617" s="692" t="n"/>
      <c r="Y617" s="692" t="n"/>
      <c r="Z617" s="692" t="n"/>
      <c r="AA617" s="692" t="n"/>
      <c r="AB617" s="692" t="n"/>
      <c r="AC617" s="692" t="n"/>
      <c r="AD617" s="692" t="n"/>
      <c r="AE617" s="692" t="n"/>
      <c r="AF617" s="692" t="n"/>
      <c r="AG617" s="692" t="n"/>
      <c r="AH617" s="692" t="n"/>
      <c r="AI617" s="692" t="n"/>
      <c r="AJ617" s="692" t="n"/>
      <c r="AK617" s="692" t="n"/>
      <c r="AL617" s="692" t="n"/>
      <c r="AM617" s="692" t="n"/>
      <c r="AN617" s="692" t="n"/>
      <c r="AO617" s="692" t="n"/>
      <c r="AP617" s="692" t="n"/>
    </row>
    <row r="618">
      <c r="A618" s="692" t="n"/>
      <c r="B618" s="692" t="n"/>
      <c r="C618" s="692" t="n"/>
      <c r="D618" s="692" t="n"/>
      <c r="E618" s="692" t="n"/>
      <c r="F618" s="692" t="n"/>
      <c r="G618" s="692" t="n"/>
      <c r="H618" s="692" t="n"/>
      <c r="I618" s="692" t="n"/>
      <c r="J618" s="692" t="n"/>
      <c r="K618" s="692" t="n"/>
      <c r="L618" s="692" t="n"/>
      <c r="M618" s="692" t="n"/>
      <c r="N618" s="692" t="n"/>
      <c r="O618" s="692" t="n"/>
      <c r="P618" s="692" t="n"/>
      <c r="Q618" s="692" t="n"/>
      <c r="R618" s="692" t="n"/>
      <c r="S618" s="692" t="n"/>
      <c r="T618" s="692" t="n"/>
      <c r="U618" s="692" t="n"/>
      <c r="V618" s="692" t="n"/>
      <c r="W618" s="692" t="n"/>
      <c r="X618" s="692" t="n"/>
      <c r="Y618" s="692" t="n"/>
      <c r="Z618" s="692" t="n"/>
      <c r="AA618" s="692" t="n"/>
      <c r="AB618" s="692" t="n"/>
      <c r="AC618" s="692" t="n"/>
      <c r="AD618" s="692" t="n"/>
      <c r="AE618" s="692" t="n"/>
      <c r="AF618" s="692" t="n"/>
      <c r="AG618" s="692" t="n"/>
      <c r="AH618" s="692" t="n"/>
      <c r="AI618" s="692" t="n"/>
      <c r="AJ618" s="692" t="n"/>
      <c r="AK618" s="692" t="n"/>
      <c r="AL618" s="692" t="n"/>
      <c r="AM618" s="692" t="n"/>
      <c r="AN618" s="692" t="n"/>
      <c r="AO618" s="692" t="n"/>
      <c r="AP618" s="692" t="n"/>
    </row>
    <row r="619">
      <c r="A619" s="692" t="n"/>
      <c r="B619" s="692" t="n"/>
      <c r="C619" s="692" t="n"/>
      <c r="D619" s="692" t="n"/>
      <c r="E619" s="692" t="n"/>
      <c r="F619" s="692" t="n"/>
      <c r="G619" s="692" t="n"/>
      <c r="H619" s="692" t="n"/>
      <c r="I619" s="692" t="n"/>
      <c r="J619" s="692" t="n"/>
      <c r="K619" s="692" t="n"/>
      <c r="L619" s="692" t="n"/>
      <c r="M619" s="692" t="n"/>
      <c r="N619" s="692" t="n"/>
      <c r="O619" s="692" t="n"/>
      <c r="P619" s="692" t="n"/>
      <c r="Q619" s="692" t="n"/>
      <c r="R619" s="692" t="n"/>
      <c r="S619" s="692" t="n"/>
      <c r="T619" s="692" t="n"/>
      <c r="U619" s="692" t="n"/>
      <c r="V619" s="692" t="n"/>
      <c r="W619" s="692" t="n"/>
      <c r="X619" s="692" t="n"/>
      <c r="Y619" s="692" t="n"/>
      <c r="Z619" s="692" t="n"/>
      <c r="AA619" s="692" t="n"/>
      <c r="AB619" s="692" t="n"/>
      <c r="AC619" s="692" t="n"/>
      <c r="AD619" s="692" t="n"/>
      <c r="AE619" s="692" t="n"/>
      <c r="AF619" s="692" t="n"/>
      <c r="AG619" s="692" t="n"/>
      <c r="AH619" s="692" t="n"/>
      <c r="AI619" s="692" t="n"/>
      <c r="AJ619" s="692" t="n"/>
      <c r="AK619" s="692" t="n"/>
      <c r="AL619" s="692" t="n"/>
      <c r="AM619" s="692" t="n"/>
      <c r="AN619" s="692" t="n"/>
      <c r="AO619" s="692" t="n"/>
      <c r="AP619" s="692" t="n"/>
    </row>
    <row r="620">
      <c r="A620" s="692" t="n"/>
      <c r="B620" s="692" t="n"/>
      <c r="C620" s="692" t="n"/>
      <c r="D620" s="692" t="n"/>
      <c r="E620" s="692" t="n"/>
      <c r="F620" s="692" t="n"/>
      <c r="G620" s="692" t="n"/>
      <c r="H620" s="692" t="n"/>
      <c r="I620" s="692" t="n"/>
      <c r="J620" s="692" t="n"/>
      <c r="K620" s="692" t="n"/>
      <c r="L620" s="692" t="n"/>
      <c r="M620" s="692" t="n"/>
      <c r="N620" s="692" t="n"/>
      <c r="O620" s="692" t="n"/>
      <c r="P620" s="692" t="n"/>
      <c r="Q620" s="692" t="n"/>
      <c r="R620" s="692" t="n"/>
      <c r="S620" s="692" t="n"/>
      <c r="T620" s="692" t="n"/>
      <c r="U620" s="692" t="n"/>
      <c r="V620" s="692" t="n"/>
      <c r="W620" s="692" t="n"/>
      <c r="X620" s="692" t="n"/>
      <c r="Y620" s="692" t="n"/>
      <c r="Z620" s="692" t="n"/>
      <c r="AA620" s="692" t="n"/>
      <c r="AB620" s="692" t="n"/>
      <c r="AC620" s="692" t="n"/>
      <c r="AD620" s="692" t="n"/>
      <c r="AE620" s="692" t="n"/>
      <c r="AF620" s="692" t="n"/>
      <c r="AG620" s="692" t="n"/>
      <c r="AH620" s="692" t="n"/>
      <c r="AI620" s="692" t="n"/>
      <c r="AJ620" s="692" t="n"/>
      <c r="AK620" s="692" t="n"/>
      <c r="AL620" s="692" t="n"/>
      <c r="AM620" s="692" t="n"/>
      <c r="AN620" s="692" t="n"/>
      <c r="AO620" s="692" t="n"/>
      <c r="AP620" s="692" t="n"/>
    </row>
    <row r="621">
      <c r="A621" s="692" t="n"/>
      <c r="B621" s="692" t="n"/>
      <c r="C621" s="692" t="n"/>
      <c r="D621" s="692" t="n"/>
      <c r="E621" s="692" t="n"/>
      <c r="F621" s="692" t="n"/>
      <c r="G621" s="692" t="n"/>
      <c r="H621" s="692" t="n"/>
      <c r="I621" s="692" t="n"/>
      <c r="J621" s="692" t="n"/>
      <c r="K621" s="692" t="n"/>
      <c r="L621" s="692" t="n"/>
      <c r="M621" s="692" t="n"/>
      <c r="N621" s="692" t="n"/>
      <c r="O621" s="692" t="n"/>
      <c r="P621" s="692" t="n"/>
      <c r="Q621" s="692" t="n"/>
      <c r="R621" s="692" t="n"/>
      <c r="S621" s="692" t="n"/>
      <c r="T621" s="692" t="n"/>
      <c r="U621" s="692" t="n"/>
      <c r="V621" s="692" t="n"/>
      <c r="W621" s="692" t="n"/>
      <c r="X621" s="692" t="n"/>
      <c r="Y621" s="692" t="n"/>
      <c r="Z621" s="692" t="n"/>
      <c r="AA621" s="692" t="n"/>
      <c r="AB621" s="692" t="n"/>
      <c r="AC621" s="692" t="n"/>
      <c r="AD621" s="692" t="n"/>
      <c r="AE621" s="692" t="n"/>
      <c r="AF621" s="692" t="n"/>
      <c r="AG621" s="692" t="n"/>
      <c r="AH621" s="692" t="n"/>
      <c r="AI621" s="692" t="n"/>
      <c r="AJ621" s="692" t="n"/>
      <c r="AK621" s="692" t="n"/>
      <c r="AL621" s="692" t="n"/>
      <c r="AM621" s="692" t="n"/>
      <c r="AN621" s="692" t="n"/>
      <c r="AO621" s="692" t="n"/>
      <c r="AP621" s="692" t="n"/>
    </row>
    <row r="622">
      <c r="A622" s="692" t="n"/>
      <c r="B622" s="692" t="n"/>
      <c r="C622" s="692" t="n"/>
      <c r="D622" s="692" t="n"/>
      <c r="E622" s="692" t="n"/>
      <c r="F622" s="692" t="n"/>
      <c r="G622" s="692" t="n"/>
      <c r="H622" s="692" t="n"/>
      <c r="I622" s="692" t="n"/>
      <c r="J622" s="692" t="n"/>
      <c r="K622" s="692" t="n"/>
      <c r="L622" s="692" t="n"/>
      <c r="M622" s="692" t="n"/>
      <c r="N622" s="692" t="n"/>
      <c r="O622" s="692" t="n"/>
      <c r="P622" s="692" t="n"/>
      <c r="Q622" s="692" t="n"/>
      <c r="R622" s="692" t="n"/>
      <c r="S622" s="692" t="n"/>
      <c r="T622" s="692" t="n"/>
      <c r="U622" s="692" t="n"/>
      <c r="V622" s="692" t="n"/>
      <c r="W622" s="692" t="n"/>
      <c r="X622" s="692" t="n"/>
      <c r="Y622" s="692" t="n"/>
      <c r="Z622" s="692" t="n"/>
      <c r="AA622" s="692" t="n"/>
      <c r="AB622" s="692" t="n"/>
      <c r="AC622" s="692" t="n"/>
      <c r="AD622" s="692" t="n"/>
      <c r="AE622" s="692" t="n"/>
      <c r="AF622" s="692" t="n"/>
      <c r="AG622" s="692" t="n"/>
      <c r="AH622" s="692" t="n"/>
      <c r="AI622" s="692" t="n"/>
      <c r="AJ622" s="692" t="n"/>
      <c r="AK622" s="692" t="n"/>
      <c r="AL622" s="692" t="n"/>
      <c r="AM622" s="692" t="n"/>
      <c r="AN622" s="692" t="n"/>
      <c r="AO622" s="692" t="n"/>
      <c r="AP622" s="692" t="n"/>
    </row>
    <row r="623">
      <c r="A623" s="692" t="n"/>
      <c r="B623" s="692" t="n"/>
      <c r="C623" s="692" t="n"/>
      <c r="D623" s="692" t="n"/>
      <c r="E623" s="692" t="n"/>
      <c r="F623" s="692" t="n"/>
      <c r="G623" s="692" t="n"/>
      <c r="H623" s="692" t="n"/>
      <c r="I623" s="692" t="n"/>
      <c r="J623" s="692" t="n"/>
      <c r="K623" s="692" t="n"/>
      <c r="L623" s="692" t="n"/>
      <c r="M623" s="692" t="n"/>
      <c r="N623" s="692" t="n"/>
      <c r="O623" s="692" t="n"/>
      <c r="P623" s="692" t="n"/>
      <c r="Q623" s="692" t="n"/>
      <c r="R623" s="692" t="n"/>
      <c r="S623" s="692" t="n"/>
      <c r="T623" s="692" t="n"/>
      <c r="U623" s="692" t="n"/>
      <c r="V623" s="692" t="n"/>
      <c r="W623" s="692" t="n"/>
      <c r="X623" s="692" t="n"/>
      <c r="Y623" s="692" t="n"/>
      <c r="Z623" s="692" t="n"/>
      <c r="AA623" s="692" t="n"/>
      <c r="AB623" s="692" t="n"/>
      <c r="AC623" s="692" t="n"/>
      <c r="AD623" s="692" t="n"/>
      <c r="AE623" s="692" t="n"/>
      <c r="AF623" s="692" t="n"/>
      <c r="AG623" s="692" t="n"/>
      <c r="AH623" s="692" t="n"/>
      <c r="AI623" s="692" t="n"/>
      <c r="AJ623" s="692" t="n"/>
      <c r="AK623" s="692" t="n"/>
      <c r="AL623" s="692" t="n"/>
      <c r="AM623" s="692" t="n"/>
      <c r="AN623" s="692" t="n"/>
      <c r="AO623" s="692" t="n"/>
      <c r="AP623" s="692" t="n"/>
    </row>
    <row r="624">
      <c r="A624" s="692" t="n"/>
      <c r="B624" s="692" t="n"/>
      <c r="C624" s="692" t="n"/>
      <c r="D624" s="692" t="n"/>
      <c r="E624" s="692" t="n"/>
      <c r="F624" s="692" t="n"/>
      <c r="G624" s="692" t="n"/>
      <c r="H624" s="692" t="n"/>
      <c r="I624" s="692" t="n"/>
      <c r="J624" s="692" t="n"/>
      <c r="K624" s="692" t="n"/>
      <c r="L624" s="692" t="n"/>
      <c r="M624" s="692" t="n"/>
      <c r="N624" s="692" t="n"/>
      <c r="O624" s="692" t="n"/>
      <c r="P624" s="692" t="n"/>
      <c r="Q624" s="692" t="n"/>
      <c r="R624" s="692" t="n"/>
      <c r="S624" s="692" t="n"/>
      <c r="T624" s="692" t="n"/>
      <c r="U624" s="692" t="n"/>
      <c r="V624" s="692" t="n"/>
      <c r="W624" s="692" t="n"/>
      <c r="X624" s="692" t="n"/>
      <c r="Y624" s="692" t="n"/>
      <c r="Z624" s="692" t="n"/>
      <c r="AA624" s="692" t="n"/>
      <c r="AB624" s="692" t="n"/>
      <c r="AC624" s="692" t="n"/>
      <c r="AD624" s="692" t="n"/>
      <c r="AE624" s="692" t="n"/>
      <c r="AF624" s="692" t="n"/>
      <c r="AG624" s="692" t="n"/>
      <c r="AH624" s="692" t="n"/>
      <c r="AI624" s="692" t="n"/>
      <c r="AJ624" s="692" t="n"/>
      <c r="AK624" s="692" t="n"/>
      <c r="AL624" s="692" t="n"/>
      <c r="AM624" s="692" t="n"/>
      <c r="AN624" s="692" t="n"/>
      <c r="AO624" s="692" t="n"/>
      <c r="AP624" s="692" t="n"/>
    </row>
    <row r="625">
      <c r="A625" s="692" t="n"/>
      <c r="B625" s="692" t="n"/>
      <c r="C625" s="692" t="n"/>
      <c r="D625" s="692" t="n"/>
      <c r="E625" s="692" t="n"/>
      <c r="F625" s="692" t="n"/>
      <c r="G625" s="692" t="n"/>
      <c r="H625" s="692" t="n"/>
      <c r="I625" s="692" t="n"/>
      <c r="J625" s="692" t="n"/>
      <c r="K625" s="692" t="n"/>
      <c r="L625" s="692" t="n"/>
      <c r="M625" s="692" t="n"/>
      <c r="N625" s="692" t="n"/>
      <c r="O625" s="692" t="n"/>
      <c r="P625" s="692" t="n"/>
      <c r="Q625" s="692" t="n"/>
      <c r="R625" s="692" t="n"/>
      <c r="S625" s="692" t="n"/>
      <c r="T625" s="692" t="n"/>
      <c r="U625" s="692" t="n"/>
      <c r="V625" s="692" t="n"/>
      <c r="W625" s="692" t="n"/>
      <c r="X625" s="692" t="n"/>
      <c r="Y625" s="692" t="n"/>
      <c r="Z625" s="692" t="n"/>
      <c r="AA625" s="692" t="n"/>
      <c r="AB625" s="692" t="n"/>
      <c r="AC625" s="692" t="n"/>
      <c r="AD625" s="692" t="n"/>
      <c r="AE625" s="692" t="n"/>
      <c r="AF625" s="692" t="n"/>
      <c r="AG625" s="692" t="n"/>
      <c r="AH625" s="692" t="n"/>
      <c r="AI625" s="692" t="n"/>
      <c r="AJ625" s="692" t="n"/>
      <c r="AK625" s="692" t="n"/>
      <c r="AL625" s="692" t="n"/>
      <c r="AM625" s="692" t="n"/>
      <c r="AN625" s="692" t="n"/>
      <c r="AO625" s="692" t="n"/>
      <c r="AP625" s="692" t="n"/>
    </row>
    <row r="626">
      <c r="A626" s="692" t="n"/>
      <c r="B626" s="692" t="n"/>
      <c r="C626" s="692" t="n"/>
      <c r="D626" s="692" t="n"/>
      <c r="E626" s="692" t="n"/>
      <c r="F626" s="692" t="n"/>
      <c r="G626" s="692" t="n"/>
      <c r="H626" s="692" t="n"/>
      <c r="I626" s="692" t="n"/>
      <c r="J626" s="692" t="n"/>
      <c r="K626" s="692" t="n"/>
      <c r="L626" s="692" t="n"/>
      <c r="M626" s="692" t="n"/>
      <c r="N626" s="692" t="n"/>
      <c r="O626" s="692" t="n"/>
      <c r="P626" s="692" t="n"/>
      <c r="Q626" s="692" t="n"/>
      <c r="R626" s="692" t="n"/>
      <c r="S626" s="692" t="n"/>
      <c r="T626" s="692" t="n"/>
      <c r="U626" s="692" t="n"/>
      <c r="V626" s="692" t="n"/>
      <c r="W626" s="692" t="n"/>
      <c r="X626" s="692" t="n"/>
      <c r="Y626" s="692" t="n"/>
      <c r="Z626" s="692" t="n"/>
      <c r="AA626" s="692" t="n"/>
      <c r="AB626" s="692" t="n"/>
      <c r="AC626" s="692" t="n"/>
      <c r="AD626" s="692" t="n"/>
      <c r="AE626" s="692" t="n"/>
      <c r="AF626" s="692" t="n"/>
      <c r="AG626" s="692" t="n"/>
      <c r="AH626" s="692" t="n"/>
      <c r="AI626" s="692" t="n"/>
      <c r="AJ626" s="692" t="n"/>
      <c r="AK626" s="692" t="n"/>
      <c r="AL626" s="692" t="n"/>
      <c r="AM626" s="692" t="n"/>
      <c r="AN626" s="692" t="n"/>
      <c r="AO626" s="692" t="n"/>
      <c r="AP626" s="692" t="n"/>
    </row>
    <row r="627">
      <c r="A627" s="692" t="n"/>
      <c r="B627" s="692" t="n"/>
      <c r="C627" s="692" t="n"/>
      <c r="D627" s="692" t="n"/>
      <c r="E627" s="692" t="n"/>
      <c r="F627" s="692" t="n"/>
      <c r="G627" s="692" t="n"/>
      <c r="H627" s="692" t="n"/>
      <c r="I627" s="692" t="n"/>
      <c r="J627" s="692" t="n"/>
      <c r="K627" s="692" t="n"/>
      <c r="L627" s="692" t="n"/>
      <c r="M627" s="692" t="n"/>
      <c r="N627" s="692" t="n"/>
      <c r="O627" s="692" t="n"/>
      <c r="P627" s="692" t="n"/>
      <c r="Q627" s="692" t="n"/>
      <c r="R627" s="692" t="n"/>
      <c r="S627" s="692" t="n"/>
      <c r="T627" s="692" t="n"/>
      <c r="U627" s="692" t="n"/>
      <c r="V627" s="692" t="n"/>
      <c r="W627" s="692" t="n"/>
      <c r="X627" s="692" t="n"/>
      <c r="Y627" s="692" t="n"/>
      <c r="Z627" s="692" t="n"/>
      <c r="AA627" s="692" t="n"/>
      <c r="AB627" s="692" t="n"/>
      <c r="AC627" s="692" t="n"/>
      <c r="AD627" s="692" t="n"/>
      <c r="AE627" s="692" t="n"/>
      <c r="AF627" s="692" t="n"/>
      <c r="AG627" s="692" t="n"/>
      <c r="AH627" s="692" t="n"/>
      <c r="AI627" s="692" t="n"/>
      <c r="AJ627" s="692" t="n"/>
      <c r="AK627" s="692" t="n"/>
      <c r="AL627" s="692" t="n"/>
      <c r="AM627" s="692" t="n"/>
      <c r="AN627" s="692" t="n"/>
      <c r="AO627" s="692" t="n"/>
      <c r="AP627" s="692" t="n"/>
    </row>
    <row r="628">
      <c r="A628" s="692" t="n"/>
      <c r="B628" s="692" t="n"/>
      <c r="C628" s="692" t="n"/>
      <c r="D628" s="692" t="n"/>
      <c r="E628" s="692" t="n"/>
      <c r="F628" s="692" t="n"/>
      <c r="G628" s="692" t="n"/>
      <c r="H628" s="692" t="n"/>
      <c r="I628" s="692" t="n"/>
      <c r="J628" s="692" t="n"/>
      <c r="K628" s="692" t="n"/>
      <c r="L628" s="692" t="n"/>
      <c r="M628" s="692" t="n"/>
      <c r="N628" s="692" t="n"/>
      <c r="O628" s="692" t="n"/>
      <c r="P628" s="692" t="n"/>
      <c r="Q628" s="692" t="n"/>
      <c r="R628" s="692" t="n"/>
      <c r="S628" s="692" t="n"/>
      <c r="T628" s="692" t="n"/>
      <c r="U628" s="692" t="n"/>
      <c r="V628" s="692" t="n"/>
      <c r="W628" s="692" t="n"/>
      <c r="X628" s="692" t="n"/>
      <c r="Y628" s="692" t="n"/>
      <c r="Z628" s="692" t="n"/>
      <c r="AA628" s="692" t="n"/>
      <c r="AB628" s="692" t="n"/>
      <c r="AC628" s="692" t="n"/>
      <c r="AD628" s="692" t="n"/>
      <c r="AE628" s="692" t="n"/>
      <c r="AF628" s="692" t="n"/>
      <c r="AG628" s="692" t="n"/>
      <c r="AH628" s="692" t="n"/>
      <c r="AI628" s="692" t="n"/>
      <c r="AJ628" s="692" t="n"/>
      <c r="AK628" s="692" t="n"/>
      <c r="AL628" s="692" t="n"/>
      <c r="AM628" s="692" t="n"/>
      <c r="AN628" s="692" t="n"/>
      <c r="AO628" s="692" t="n"/>
      <c r="AP628" s="692" t="n"/>
    </row>
    <row r="629">
      <c r="A629" s="692" t="n"/>
      <c r="B629" s="692" t="n"/>
      <c r="C629" s="692" t="n"/>
      <c r="D629" s="692" t="n"/>
      <c r="E629" s="692" t="n"/>
      <c r="F629" s="692" t="n"/>
      <c r="G629" s="692" t="n"/>
      <c r="H629" s="692" t="n"/>
      <c r="I629" s="692" t="n"/>
      <c r="J629" s="692" t="n"/>
      <c r="K629" s="692" t="n"/>
      <c r="L629" s="692" t="n"/>
      <c r="M629" s="692" t="n"/>
      <c r="N629" s="692" t="n"/>
      <c r="O629" s="692" t="n"/>
      <c r="P629" s="692" t="n"/>
      <c r="Q629" s="692" t="n"/>
      <c r="R629" s="692" t="n"/>
      <c r="S629" s="692" t="n"/>
      <c r="T629" s="692" t="n"/>
      <c r="U629" s="692" t="n"/>
      <c r="V629" s="692" t="n"/>
      <c r="W629" s="692" t="n"/>
      <c r="X629" s="692" t="n"/>
      <c r="Y629" s="692" t="n"/>
      <c r="Z629" s="692" t="n"/>
      <c r="AA629" s="692" t="n"/>
      <c r="AB629" s="692" t="n"/>
      <c r="AC629" s="692" t="n"/>
      <c r="AD629" s="692" t="n"/>
      <c r="AE629" s="692" t="n"/>
      <c r="AF629" s="692" t="n"/>
      <c r="AG629" s="692" t="n"/>
      <c r="AH629" s="692" t="n"/>
      <c r="AI629" s="692" t="n"/>
      <c r="AJ629" s="692" t="n"/>
      <c r="AK629" s="692" t="n"/>
      <c r="AL629" s="692" t="n"/>
      <c r="AM629" s="692" t="n"/>
      <c r="AN629" s="692" t="n"/>
      <c r="AO629" s="692" t="n"/>
      <c r="AP629" s="692" t="n"/>
    </row>
    <row r="630">
      <c r="A630" s="692" t="n"/>
      <c r="B630" s="692" t="n"/>
      <c r="C630" s="692" t="n"/>
      <c r="D630" s="692" t="n"/>
      <c r="E630" s="692" t="n"/>
      <c r="F630" s="692" t="n"/>
      <c r="G630" s="692" t="n"/>
      <c r="H630" s="692" t="n"/>
      <c r="I630" s="692" t="n"/>
      <c r="J630" s="692" t="n"/>
      <c r="K630" s="692" t="n"/>
      <c r="L630" s="692" t="n"/>
      <c r="M630" s="692" t="n"/>
      <c r="N630" s="692" t="n"/>
      <c r="O630" s="692" t="n"/>
      <c r="P630" s="692" t="n"/>
      <c r="Q630" s="692" t="n"/>
      <c r="R630" s="692" t="n"/>
      <c r="S630" s="692" t="n"/>
      <c r="T630" s="692" t="n"/>
      <c r="U630" s="692" t="n"/>
      <c r="V630" s="692" t="n"/>
      <c r="W630" s="692" t="n"/>
      <c r="X630" s="692" t="n"/>
      <c r="Y630" s="692" t="n"/>
      <c r="Z630" s="692" t="n"/>
      <c r="AA630" s="692" t="n"/>
      <c r="AB630" s="692" t="n"/>
      <c r="AC630" s="692" t="n"/>
      <c r="AD630" s="692" t="n"/>
      <c r="AE630" s="692" t="n"/>
      <c r="AF630" s="692" t="n"/>
      <c r="AG630" s="692" t="n"/>
      <c r="AH630" s="692" t="n"/>
      <c r="AI630" s="692" t="n"/>
      <c r="AJ630" s="692" t="n"/>
      <c r="AK630" s="692" t="n"/>
      <c r="AL630" s="692" t="n"/>
      <c r="AM630" s="692" t="n"/>
      <c r="AN630" s="692" t="n"/>
      <c r="AO630" s="692" t="n"/>
      <c r="AP630" s="692" t="n"/>
    </row>
    <row r="631">
      <c r="A631" s="692" t="n"/>
      <c r="B631" s="692" t="n"/>
      <c r="C631" s="692" t="n"/>
      <c r="D631" s="692" t="n"/>
      <c r="E631" s="692" t="n"/>
      <c r="F631" s="692" t="n"/>
      <c r="G631" s="692" t="n"/>
      <c r="H631" s="692" t="n"/>
      <c r="I631" s="692" t="n"/>
      <c r="J631" s="692" t="n"/>
      <c r="K631" s="692" t="n"/>
      <c r="L631" s="692" t="n"/>
      <c r="M631" s="692" t="n"/>
      <c r="N631" s="692" t="n"/>
      <c r="O631" s="692" t="n"/>
      <c r="P631" s="692" t="n"/>
      <c r="Q631" s="692" t="n"/>
      <c r="R631" s="692" t="n"/>
      <c r="S631" s="692" t="n"/>
      <c r="T631" s="692" t="n"/>
      <c r="U631" s="692" t="n"/>
      <c r="V631" s="692" t="n"/>
      <c r="W631" s="692" t="n"/>
      <c r="X631" s="692" t="n"/>
      <c r="Y631" s="692" t="n"/>
      <c r="Z631" s="692" t="n"/>
      <c r="AA631" s="692" t="n"/>
      <c r="AB631" s="692" t="n"/>
      <c r="AC631" s="692" t="n"/>
      <c r="AD631" s="692" t="n"/>
      <c r="AE631" s="692" t="n"/>
      <c r="AF631" s="692" t="n"/>
      <c r="AG631" s="692" t="n"/>
      <c r="AH631" s="692" t="n"/>
      <c r="AI631" s="692" t="n"/>
      <c r="AJ631" s="692" t="n"/>
      <c r="AK631" s="692" t="n"/>
      <c r="AL631" s="692" t="n"/>
      <c r="AM631" s="692" t="n"/>
      <c r="AN631" s="692" t="n"/>
      <c r="AO631" s="692" t="n"/>
      <c r="AP631" s="692" t="n"/>
    </row>
    <row r="632">
      <c r="A632" s="692" t="n"/>
      <c r="B632" s="692" t="n"/>
      <c r="C632" s="692" t="n"/>
      <c r="D632" s="692" t="n"/>
      <c r="E632" s="692" t="n"/>
      <c r="F632" s="692" t="n"/>
      <c r="G632" s="692" t="n"/>
      <c r="H632" s="692" t="n"/>
      <c r="I632" s="692" t="n"/>
      <c r="J632" s="692" t="n"/>
      <c r="K632" s="692" t="n"/>
      <c r="L632" s="692" t="n"/>
      <c r="M632" s="692" t="n"/>
      <c r="N632" s="692" t="n"/>
      <c r="O632" s="692" t="n"/>
      <c r="P632" s="692" t="n"/>
      <c r="Q632" s="692" t="n"/>
      <c r="R632" s="692" t="n"/>
      <c r="S632" s="692" t="n"/>
      <c r="T632" s="692" t="n"/>
      <c r="U632" s="692" t="n"/>
      <c r="V632" s="692" t="n"/>
      <c r="W632" s="692" t="n"/>
      <c r="X632" s="692" t="n"/>
      <c r="Y632" s="692" t="n"/>
      <c r="Z632" s="692" t="n"/>
      <c r="AA632" s="692" t="n"/>
      <c r="AB632" s="692" t="n"/>
      <c r="AC632" s="692" t="n"/>
      <c r="AD632" s="692" t="n"/>
      <c r="AE632" s="692" t="n"/>
      <c r="AF632" s="692" t="n"/>
      <c r="AG632" s="692" t="n"/>
      <c r="AH632" s="692" t="n"/>
      <c r="AI632" s="692" t="n"/>
      <c r="AJ632" s="692" t="n"/>
      <c r="AK632" s="692" t="n"/>
      <c r="AL632" s="692" t="n"/>
      <c r="AM632" s="692" t="n"/>
      <c r="AN632" s="692" t="n"/>
      <c r="AO632" s="692" t="n"/>
      <c r="AP632" s="692" t="n"/>
    </row>
    <row r="633">
      <c r="A633" s="692" t="n"/>
      <c r="B633" s="692" t="n"/>
      <c r="C633" s="692" t="n"/>
      <c r="D633" s="692" t="n"/>
      <c r="E633" s="692" t="n"/>
      <c r="F633" s="692" t="n"/>
      <c r="G633" s="692" t="n"/>
      <c r="H633" s="692" t="n"/>
      <c r="I633" s="692" t="n"/>
      <c r="J633" s="692" t="n"/>
      <c r="K633" s="692" t="n"/>
      <c r="L633" s="692" t="n"/>
      <c r="M633" s="692" t="n"/>
      <c r="N633" s="692" t="n"/>
      <c r="O633" s="692" t="n"/>
      <c r="P633" s="692" t="n"/>
      <c r="Q633" s="692" t="n"/>
      <c r="R633" s="692" t="n"/>
      <c r="S633" s="692" t="n"/>
      <c r="T633" s="692" t="n"/>
      <c r="U633" s="692" t="n"/>
      <c r="V633" s="692" t="n"/>
      <c r="W633" s="692" t="n"/>
      <c r="X633" s="692" t="n"/>
      <c r="Y633" s="692" t="n"/>
      <c r="Z633" s="692" t="n"/>
      <c r="AA633" s="692" t="n"/>
      <c r="AB633" s="692" t="n"/>
      <c r="AC633" s="692" t="n"/>
      <c r="AD633" s="692" t="n"/>
      <c r="AE633" s="692" t="n"/>
      <c r="AF633" s="692" t="n"/>
      <c r="AG633" s="692" t="n"/>
      <c r="AH633" s="692" t="n"/>
      <c r="AI633" s="692" t="n"/>
      <c r="AJ633" s="692" t="n"/>
      <c r="AK633" s="692" t="n"/>
      <c r="AL633" s="692" t="n"/>
      <c r="AM633" s="692" t="n"/>
      <c r="AN633" s="692" t="n"/>
      <c r="AO633" s="692" t="n"/>
      <c r="AP633" s="692" t="n"/>
    </row>
    <row r="634">
      <c r="A634" s="692" t="n"/>
      <c r="B634" s="692" t="n"/>
      <c r="C634" s="692" t="n"/>
      <c r="D634" s="692" t="n"/>
      <c r="E634" s="692" t="n"/>
      <c r="F634" s="692" t="n"/>
      <c r="G634" s="692" t="n"/>
      <c r="H634" s="692" t="n"/>
      <c r="I634" s="692" t="n"/>
      <c r="J634" s="692" t="n"/>
      <c r="K634" s="692" t="n"/>
      <c r="L634" s="692" t="n"/>
      <c r="M634" s="692" t="n"/>
      <c r="N634" s="692" t="n"/>
      <c r="O634" s="692" t="n"/>
      <c r="P634" s="692" t="n"/>
      <c r="Q634" s="692" t="n"/>
      <c r="R634" s="692" t="n"/>
      <c r="S634" s="692" t="n"/>
      <c r="T634" s="692" t="n"/>
      <c r="U634" s="692" t="n"/>
      <c r="V634" s="692" t="n"/>
      <c r="W634" s="692" t="n"/>
      <c r="X634" s="692" t="n"/>
      <c r="Y634" s="692" t="n"/>
      <c r="Z634" s="692" t="n"/>
      <c r="AA634" s="692" t="n"/>
      <c r="AB634" s="692" t="n"/>
      <c r="AC634" s="692" t="n"/>
      <c r="AD634" s="692" t="n"/>
      <c r="AE634" s="692" t="n"/>
      <c r="AF634" s="692" t="n"/>
      <c r="AG634" s="692" t="n"/>
      <c r="AH634" s="692" t="n"/>
      <c r="AI634" s="692" t="n"/>
      <c r="AJ634" s="692" t="n"/>
      <c r="AK634" s="692" t="n"/>
      <c r="AL634" s="692" t="n"/>
      <c r="AM634" s="692" t="n"/>
      <c r="AN634" s="692" t="n"/>
      <c r="AO634" s="692" t="n"/>
      <c r="AP634" s="692" t="n"/>
    </row>
    <row r="635">
      <c r="A635" s="692" t="n"/>
      <c r="B635" s="692" t="n"/>
      <c r="C635" s="692" t="n"/>
      <c r="D635" s="692" t="n"/>
      <c r="E635" s="692" t="n"/>
      <c r="F635" s="692" t="n"/>
      <c r="G635" s="692" t="n"/>
      <c r="H635" s="692" t="n"/>
      <c r="I635" s="692" t="n"/>
      <c r="J635" s="692" t="n"/>
      <c r="K635" s="692" t="n"/>
      <c r="L635" s="692" t="n"/>
      <c r="M635" s="692" t="n"/>
      <c r="N635" s="692" t="n"/>
      <c r="O635" s="692" t="n"/>
      <c r="P635" s="692" t="n"/>
      <c r="Q635" s="692" t="n"/>
      <c r="R635" s="692" t="n"/>
      <c r="S635" s="692" t="n"/>
      <c r="T635" s="692" t="n"/>
      <c r="U635" s="692" t="n"/>
      <c r="V635" s="692" t="n"/>
      <c r="W635" s="692" t="n"/>
      <c r="X635" s="692" t="n"/>
      <c r="Y635" s="692" t="n"/>
      <c r="Z635" s="692" t="n"/>
      <c r="AA635" s="692" t="n"/>
      <c r="AB635" s="692" t="n"/>
      <c r="AC635" s="692" t="n"/>
      <c r="AD635" s="692" t="n"/>
      <c r="AE635" s="692" t="n"/>
      <c r="AF635" s="692" t="n"/>
      <c r="AG635" s="692" t="n"/>
      <c r="AH635" s="692" t="n"/>
      <c r="AI635" s="692" t="n"/>
      <c r="AJ635" s="692" t="n"/>
      <c r="AK635" s="692" t="n"/>
      <c r="AL635" s="692" t="n"/>
      <c r="AM635" s="692" t="n"/>
      <c r="AN635" s="692" t="n"/>
      <c r="AO635" s="692" t="n"/>
      <c r="AP635" s="692" t="n"/>
    </row>
    <row r="636">
      <c r="A636" s="692" t="n"/>
      <c r="B636" s="692" t="n"/>
      <c r="C636" s="692" t="n"/>
      <c r="D636" s="692" t="n"/>
      <c r="E636" s="692" t="n"/>
      <c r="F636" s="692" t="n"/>
      <c r="G636" s="692" t="n"/>
      <c r="H636" s="692" t="n"/>
      <c r="I636" s="692" t="n"/>
      <c r="J636" s="692" t="n"/>
      <c r="K636" s="692" t="n"/>
      <c r="L636" s="692" t="n"/>
      <c r="M636" s="692" t="n"/>
      <c r="N636" s="692" t="n"/>
      <c r="O636" s="692" t="n"/>
      <c r="P636" s="692" t="n"/>
      <c r="Q636" s="692" t="n"/>
      <c r="R636" s="692" t="n"/>
      <c r="S636" s="692" t="n"/>
      <c r="T636" s="692" t="n"/>
      <c r="U636" s="692" t="n"/>
      <c r="V636" s="692" t="n"/>
      <c r="W636" s="692" t="n"/>
      <c r="X636" s="692" t="n"/>
      <c r="Y636" s="692" t="n"/>
      <c r="Z636" s="692" t="n"/>
      <c r="AA636" s="692" t="n"/>
      <c r="AB636" s="692" t="n"/>
      <c r="AC636" s="692" t="n"/>
      <c r="AD636" s="692" t="n"/>
      <c r="AE636" s="692" t="n"/>
      <c r="AF636" s="692" t="n"/>
      <c r="AG636" s="692" t="n"/>
      <c r="AH636" s="692" t="n"/>
      <c r="AI636" s="692" t="n"/>
      <c r="AJ636" s="692" t="n"/>
      <c r="AK636" s="692" t="n"/>
      <c r="AL636" s="692" t="n"/>
      <c r="AM636" s="692" t="n"/>
      <c r="AN636" s="692" t="n"/>
      <c r="AO636" s="692" t="n"/>
      <c r="AP636" s="692" t="n"/>
    </row>
    <row r="637">
      <c r="A637" s="692" t="n"/>
      <c r="B637" s="692" t="n"/>
      <c r="C637" s="692" t="n"/>
      <c r="D637" s="692" t="n"/>
      <c r="E637" s="692" t="n"/>
      <c r="F637" s="692" t="n"/>
      <c r="G637" s="692" t="n"/>
      <c r="H637" s="692" t="n"/>
      <c r="I637" s="692" t="n"/>
      <c r="J637" s="692" t="n"/>
      <c r="K637" s="692" t="n"/>
      <c r="L637" s="692" t="n"/>
      <c r="M637" s="692" t="n"/>
      <c r="N637" s="692" t="n"/>
      <c r="O637" s="692" t="n"/>
      <c r="P637" s="692" t="n"/>
      <c r="Q637" s="692" t="n"/>
      <c r="R637" s="692" t="n"/>
      <c r="S637" s="692" t="n"/>
      <c r="T637" s="692" t="n"/>
      <c r="U637" s="692" t="n"/>
      <c r="V637" s="692" t="n"/>
      <c r="W637" s="692" t="n"/>
      <c r="X637" s="692" t="n"/>
      <c r="Y637" s="692" t="n"/>
      <c r="Z637" s="692" t="n"/>
      <c r="AA637" s="692" t="n"/>
      <c r="AB637" s="692" t="n"/>
      <c r="AC637" s="692" t="n"/>
      <c r="AD637" s="692" t="n"/>
      <c r="AE637" s="692" t="n"/>
      <c r="AF637" s="692" t="n"/>
      <c r="AG637" s="692" t="n"/>
      <c r="AH637" s="692" t="n"/>
      <c r="AI637" s="692" t="n"/>
      <c r="AJ637" s="692" t="n"/>
      <c r="AK637" s="692" t="n"/>
      <c r="AL637" s="692" t="n"/>
      <c r="AM637" s="692" t="n"/>
      <c r="AN637" s="692" t="n"/>
      <c r="AO637" s="692" t="n"/>
      <c r="AP637" s="692" t="n"/>
    </row>
    <row r="638">
      <c r="A638" s="692" t="n"/>
      <c r="B638" s="692" t="n"/>
      <c r="C638" s="692" t="n"/>
      <c r="D638" s="692" t="n"/>
      <c r="E638" s="692" t="n"/>
      <c r="F638" s="692" t="n"/>
      <c r="G638" s="692" t="n"/>
      <c r="H638" s="692" t="n"/>
      <c r="I638" s="692" t="n"/>
      <c r="J638" s="692" t="n"/>
      <c r="K638" s="692" t="n"/>
      <c r="L638" s="692" t="n"/>
      <c r="M638" s="692" t="n"/>
      <c r="N638" s="692" t="n"/>
      <c r="O638" s="692" t="n"/>
      <c r="P638" s="692" t="n"/>
      <c r="Q638" s="692" t="n"/>
      <c r="R638" s="692" t="n"/>
      <c r="S638" s="692" t="n"/>
      <c r="T638" s="692" t="n"/>
      <c r="U638" s="692" t="n"/>
      <c r="V638" s="692" t="n"/>
      <c r="W638" s="692" t="n"/>
      <c r="X638" s="692" t="n"/>
      <c r="Y638" s="692" t="n"/>
      <c r="Z638" s="692" t="n"/>
      <c r="AA638" s="692" t="n"/>
      <c r="AB638" s="692" t="n"/>
      <c r="AC638" s="692" t="n"/>
      <c r="AD638" s="692" t="n"/>
      <c r="AE638" s="692" t="n"/>
      <c r="AF638" s="692" t="n"/>
      <c r="AG638" s="692" t="n"/>
      <c r="AH638" s="692" t="n"/>
      <c r="AI638" s="692" t="n"/>
      <c r="AJ638" s="692" t="n"/>
      <c r="AK638" s="692" t="n"/>
      <c r="AL638" s="692" t="n"/>
      <c r="AM638" s="692" t="n"/>
      <c r="AN638" s="692" t="n"/>
      <c r="AO638" s="692" t="n"/>
      <c r="AP638" s="692" t="n"/>
    </row>
    <row r="639">
      <c r="A639" s="692" t="n"/>
      <c r="B639" s="692" t="n"/>
      <c r="C639" s="692" t="n"/>
      <c r="D639" s="692" t="n"/>
      <c r="E639" s="692" t="n"/>
      <c r="F639" s="692" t="n"/>
      <c r="G639" s="692" t="n"/>
      <c r="H639" s="692" t="n"/>
      <c r="I639" s="692" t="n"/>
      <c r="J639" s="692" t="n"/>
      <c r="K639" s="692" t="n"/>
      <c r="L639" s="692" t="n"/>
      <c r="M639" s="692" t="n"/>
      <c r="N639" s="692" t="n"/>
      <c r="O639" s="692" t="n"/>
      <c r="P639" s="692" t="n"/>
      <c r="Q639" s="692" t="n"/>
      <c r="R639" s="692" t="n"/>
      <c r="S639" s="692" t="n"/>
      <c r="T639" s="692" t="n"/>
      <c r="U639" s="692" t="n"/>
      <c r="V639" s="692" t="n"/>
      <c r="W639" s="692" t="n"/>
      <c r="X639" s="692" t="n"/>
      <c r="Y639" s="692" t="n"/>
      <c r="Z639" s="692" t="n"/>
      <c r="AA639" s="692" t="n"/>
      <c r="AB639" s="692" t="n"/>
      <c r="AC639" s="692" t="n"/>
      <c r="AD639" s="692" t="n"/>
      <c r="AE639" s="692" t="n"/>
      <c r="AF639" s="692" t="n"/>
      <c r="AG639" s="692" t="n"/>
      <c r="AH639" s="692" t="n"/>
      <c r="AI639" s="692" t="n"/>
      <c r="AJ639" s="692" t="n"/>
      <c r="AK639" s="692" t="n"/>
      <c r="AL639" s="692" t="n"/>
      <c r="AM639" s="692" t="n"/>
      <c r="AN639" s="692" t="n"/>
      <c r="AO639" s="692" t="n"/>
      <c r="AP639" s="692" t="n"/>
    </row>
    <row r="640">
      <c r="A640" s="692" t="n"/>
      <c r="B640" s="692" t="n"/>
      <c r="C640" s="692" t="n"/>
      <c r="D640" s="692" t="n"/>
      <c r="E640" s="692" t="n"/>
      <c r="F640" s="692" t="n"/>
      <c r="G640" s="692" t="n"/>
      <c r="H640" s="692" t="n"/>
      <c r="I640" s="692" t="n"/>
      <c r="J640" s="692" t="n"/>
      <c r="K640" s="692" t="n"/>
      <c r="L640" s="692" t="n"/>
      <c r="M640" s="692" t="n"/>
      <c r="N640" s="692" t="n"/>
      <c r="O640" s="692" t="n"/>
      <c r="P640" s="692" t="n"/>
      <c r="Q640" s="692" t="n"/>
      <c r="R640" s="692" t="n"/>
      <c r="S640" s="692" t="n"/>
      <c r="T640" s="692" t="n"/>
      <c r="U640" s="692" t="n"/>
      <c r="V640" s="692" t="n"/>
      <c r="W640" s="692" t="n"/>
      <c r="X640" s="692" t="n"/>
      <c r="Y640" s="692" t="n"/>
      <c r="Z640" s="692" t="n"/>
      <c r="AA640" s="692" t="n"/>
      <c r="AB640" s="692" t="n"/>
      <c r="AC640" s="692" t="n"/>
      <c r="AD640" s="692" t="n"/>
      <c r="AE640" s="692" t="n"/>
      <c r="AF640" s="692" t="n"/>
      <c r="AG640" s="692" t="n"/>
      <c r="AH640" s="692" t="n"/>
      <c r="AI640" s="692" t="n"/>
      <c r="AJ640" s="692" t="n"/>
      <c r="AK640" s="692" t="n"/>
      <c r="AL640" s="692" t="n"/>
      <c r="AM640" s="692" t="n"/>
      <c r="AN640" s="692" t="n"/>
      <c r="AO640" s="692" t="n"/>
      <c r="AP640" s="692" t="n"/>
    </row>
    <row r="641">
      <c r="A641" s="692" t="n"/>
      <c r="B641" s="692" t="n"/>
      <c r="C641" s="692" t="n"/>
      <c r="D641" s="692" t="n"/>
      <c r="E641" s="692" t="n"/>
      <c r="F641" s="692" t="n"/>
      <c r="G641" s="692" t="n"/>
      <c r="H641" s="692" t="n"/>
      <c r="I641" s="692" t="n"/>
      <c r="J641" s="692" t="n"/>
      <c r="K641" s="692" t="n"/>
      <c r="L641" s="692" t="n"/>
      <c r="M641" s="692" t="n"/>
      <c r="N641" s="692" t="n"/>
      <c r="O641" s="692" t="n"/>
      <c r="P641" s="692" t="n"/>
      <c r="Q641" s="692" t="n"/>
      <c r="R641" s="692" t="n"/>
      <c r="S641" s="692" t="n"/>
      <c r="T641" s="692" t="n"/>
      <c r="U641" s="692" t="n"/>
      <c r="V641" s="692" t="n"/>
      <c r="W641" s="692" t="n"/>
      <c r="X641" s="692" t="n"/>
      <c r="Y641" s="692" t="n"/>
      <c r="Z641" s="692" t="n"/>
      <c r="AA641" s="692" t="n"/>
      <c r="AB641" s="692" t="n"/>
      <c r="AC641" s="692" t="n"/>
      <c r="AD641" s="692" t="n"/>
      <c r="AE641" s="692" t="n"/>
      <c r="AF641" s="692" t="n"/>
      <c r="AG641" s="692" t="n"/>
      <c r="AH641" s="692" t="n"/>
      <c r="AI641" s="692" t="n"/>
      <c r="AJ641" s="692" t="n"/>
      <c r="AK641" s="692" t="n"/>
      <c r="AL641" s="692" t="n"/>
      <c r="AM641" s="692" t="n"/>
      <c r="AN641" s="692" t="n"/>
      <c r="AO641" s="692" t="n"/>
      <c r="AP641" s="692" t="n"/>
    </row>
    <row r="642">
      <c r="A642" s="692" t="n"/>
      <c r="B642" s="692" t="n"/>
      <c r="C642" s="692" t="n"/>
      <c r="D642" s="692" t="n"/>
      <c r="E642" s="692" t="n"/>
      <c r="F642" s="692" t="n"/>
      <c r="G642" s="692" t="n"/>
      <c r="H642" s="692" t="n"/>
      <c r="I642" s="692" t="n"/>
      <c r="J642" s="692" t="n"/>
      <c r="K642" s="692" t="n"/>
      <c r="L642" s="692" t="n"/>
      <c r="M642" s="692" t="n"/>
      <c r="N642" s="692" t="n"/>
      <c r="O642" s="692" t="n"/>
      <c r="P642" s="692" t="n"/>
      <c r="Q642" s="692" t="n"/>
      <c r="R642" s="692" t="n"/>
      <c r="S642" s="692" t="n"/>
      <c r="T642" s="692" t="n"/>
      <c r="U642" s="692" t="n"/>
      <c r="V642" s="692" t="n"/>
      <c r="W642" s="692" t="n"/>
      <c r="X642" s="692" t="n"/>
      <c r="Y642" s="692" t="n"/>
      <c r="Z642" s="692" t="n"/>
      <c r="AA642" s="692" t="n"/>
      <c r="AB642" s="692" t="n"/>
      <c r="AC642" s="692" t="n"/>
      <c r="AD642" s="692" t="n"/>
      <c r="AE642" s="692" t="n"/>
      <c r="AF642" s="692" t="n"/>
      <c r="AG642" s="692" t="n"/>
      <c r="AH642" s="692" t="n"/>
      <c r="AI642" s="692" t="n"/>
      <c r="AJ642" s="692" t="n"/>
      <c r="AK642" s="692" t="n"/>
      <c r="AL642" s="692" t="n"/>
      <c r="AM642" s="692" t="n"/>
      <c r="AN642" s="692" t="n"/>
      <c r="AO642" s="692" t="n"/>
      <c r="AP642" s="692" t="n"/>
    </row>
    <row r="643">
      <c r="A643" s="692" t="n"/>
      <c r="B643" s="692" t="n"/>
      <c r="C643" s="692" t="n"/>
      <c r="D643" s="692" t="n"/>
      <c r="E643" s="692" t="n"/>
      <c r="F643" s="692" t="n"/>
      <c r="G643" s="692" t="n"/>
      <c r="H643" s="692" t="n"/>
      <c r="I643" s="692" t="n"/>
      <c r="J643" s="692" t="n"/>
      <c r="K643" s="692" t="n"/>
      <c r="L643" s="692" t="n"/>
      <c r="M643" s="692" t="n"/>
      <c r="N643" s="692" t="n"/>
      <c r="O643" s="692" t="n"/>
      <c r="P643" s="692" t="n"/>
      <c r="Q643" s="692" t="n"/>
      <c r="R643" s="692" t="n"/>
      <c r="S643" s="692" t="n"/>
      <c r="T643" s="692" t="n"/>
      <c r="U643" s="692" t="n"/>
      <c r="V643" s="692" t="n"/>
      <c r="W643" s="692" t="n"/>
      <c r="X643" s="692" t="n"/>
      <c r="Y643" s="692" t="n"/>
      <c r="Z643" s="692" t="n"/>
      <c r="AA643" s="692" t="n"/>
      <c r="AB643" s="692" t="n"/>
      <c r="AC643" s="692" t="n"/>
      <c r="AD643" s="692" t="n"/>
      <c r="AE643" s="692" t="n"/>
      <c r="AF643" s="692" t="n"/>
      <c r="AG643" s="692" t="n"/>
      <c r="AH643" s="692" t="n"/>
      <c r="AI643" s="692" t="n"/>
      <c r="AJ643" s="692" t="n"/>
      <c r="AK643" s="692" t="n"/>
      <c r="AL643" s="692" t="n"/>
      <c r="AM643" s="692" t="n"/>
      <c r="AN643" s="692" t="n"/>
      <c r="AO643" s="692" t="n"/>
      <c r="AP643" s="692" t="n"/>
    </row>
    <row r="644">
      <c r="A644" s="692" t="n"/>
      <c r="B644" s="692" t="n"/>
      <c r="C644" s="692" t="n"/>
      <c r="D644" s="692" t="n"/>
      <c r="E644" s="692" t="n"/>
      <c r="F644" s="692" t="n"/>
      <c r="G644" s="692" t="n"/>
      <c r="H644" s="692" t="n"/>
      <c r="I644" s="692" t="n"/>
      <c r="J644" s="692" t="n"/>
      <c r="K644" s="692" t="n"/>
      <c r="L644" s="692" t="n"/>
      <c r="M644" s="692" t="n"/>
      <c r="N644" s="692" t="n"/>
      <c r="O644" s="692" t="n"/>
      <c r="P644" s="692" t="n"/>
      <c r="Q644" s="692" t="n"/>
      <c r="R644" s="692" t="n"/>
      <c r="S644" s="692" t="n"/>
      <c r="T644" s="692" t="n"/>
      <c r="U644" s="692" t="n"/>
      <c r="V644" s="692" t="n"/>
      <c r="W644" s="692" t="n"/>
      <c r="X644" s="692" t="n"/>
      <c r="Y644" s="692" t="n"/>
      <c r="Z644" s="692" t="n"/>
      <c r="AA644" s="692" t="n"/>
      <c r="AB644" s="692" t="n"/>
      <c r="AC644" s="692" t="n"/>
      <c r="AD644" s="692" t="n"/>
      <c r="AE644" s="692" t="n"/>
      <c r="AF644" s="692" t="n"/>
      <c r="AG644" s="692" t="n"/>
      <c r="AH644" s="692" t="n"/>
      <c r="AI644" s="692" t="n"/>
      <c r="AJ644" s="692" t="n"/>
      <c r="AK644" s="692" t="n"/>
      <c r="AL644" s="692" t="n"/>
      <c r="AM644" s="692" t="n"/>
      <c r="AN644" s="692" t="n"/>
      <c r="AO644" s="692" t="n"/>
      <c r="AP644" s="692" t="n"/>
    </row>
    <row r="645">
      <c r="A645" s="692" t="n"/>
      <c r="B645" s="692" t="n"/>
      <c r="C645" s="692" t="n"/>
      <c r="D645" s="692" t="n"/>
      <c r="E645" s="692" t="n"/>
      <c r="F645" s="692" t="n"/>
      <c r="G645" s="692" t="n"/>
      <c r="H645" s="692" t="n"/>
      <c r="I645" s="692" t="n"/>
      <c r="J645" s="692" t="n"/>
      <c r="K645" s="692" t="n"/>
      <c r="L645" s="692" t="n"/>
      <c r="M645" s="692" t="n"/>
      <c r="N645" s="692" t="n"/>
      <c r="O645" s="692" t="n"/>
      <c r="P645" s="692" t="n"/>
      <c r="Q645" s="692" t="n"/>
      <c r="R645" s="692" t="n"/>
      <c r="S645" s="692" t="n"/>
      <c r="T645" s="692" t="n"/>
      <c r="U645" s="692" t="n"/>
      <c r="V645" s="692" t="n"/>
      <c r="W645" s="692" t="n"/>
      <c r="X645" s="692" t="n"/>
      <c r="Y645" s="692" t="n"/>
      <c r="Z645" s="692" t="n"/>
      <c r="AA645" s="692" t="n"/>
      <c r="AB645" s="692" t="n"/>
      <c r="AC645" s="692" t="n"/>
      <c r="AD645" s="692" t="n"/>
      <c r="AE645" s="692" t="n"/>
      <c r="AF645" s="692" t="n"/>
      <c r="AG645" s="692" t="n"/>
      <c r="AH645" s="692" t="n"/>
      <c r="AI645" s="692" t="n"/>
      <c r="AJ645" s="692" t="n"/>
      <c r="AK645" s="692" t="n"/>
      <c r="AL645" s="692" t="n"/>
      <c r="AM645" s="692" t="n"/>
      <c r="AN645" s="692" t="n"/>
      <c r="AO645" s="692" t="n"/>
      <c r="AP645" s="692" t="n"/>
    </row>
    <row r="646">
      <c r="A646" s="692" t="n"/>
      <c r="B646" s="692" t="n"/>
      <c r="C646" s="692" t="n"/>
      <c r="D646" s="692" t="n"/>
      <c r="E646" s="692" t="n"/>
      <c r="F646" s="692" t="n"/>
      <c r="G646" s="692" t="n"/>
      <c r="H646" s="692" t="n"/>
      <c r="I646" s="692" t="n"/>
      <c r="J646" s="692" t="n"/>
      <c r="K646" s="692" t="n"/>
      <c r="L646" s="692" t="n"/>
      <c r="M646" s="692" t="n"/>
      <c r="N646" s="692" t="n"/>
      <c r="O646" s="692" t="n"/>
      <c r="P646" s="692" t="n"/>
      <c r="Q646" s="692" t="n"/>
      <c r="R646" s="692" t="n"/>
      <c r="S646" s="692" t="n"/>
      <c r="T646" s="692" t="n"/>
      <c r="U646" s="692" t="n"/>
      <c r="V646" s="692" t="n"/>
      <c r="W646" s="692" t="n"/>
      <c r="X646" s="692" t="n"/>
      <c r="Y646" s="692" t="n"/>
      <c r="Z646" s="692" t="n"/>
      <c r="AA646" s="692" t="n"/>
      <c r="AB646" s="692" t="n"/>
      <c r="AC646" s="692" t="n"/>
      <c r="AD646" s="692" t="n"/>
      <c r="AE646" s="692" t="n"/>
      <c r="AF646" s="692" t="n"/>
      <c r="AG646" s="692" t="n"/>
      <c r="AH646" s="692" t="n"/>
      <c r="AI646" s="692" t="n"/>
      <c r="AJ646" s="692" t="n"/>
      <c r="AK646" s="692" t="n"/>
      <c r="AL646" s="692" t="n"/>
      <c r="AM646" s="692" t="n"/>
      <c r="AN646" s="692" t="n"/>
      <c r="AO646" s="692" t="n"/>
      <c r="AP646" s="692" t="n"/>
    </row>
    <row r="647">
      <c r="A647" s="692" t="n"/>
      <c r="B647" s="692" t="n"/>
      <c r="C647" s="692" t="n"/>
      <c r="D647" s="692" t="n"/>
      <c r="E647" s="692" t="n"/>
      <c r="F647" s="692" t="n"/>
      <c r="G647" s="692" t="n"/>
      <c r="H647" s="692" t="n"/>
      <c r="I647" s="692" t="n"/>
      <c r="J647" s="692" t="n"/>
      <c r="K647" s="692" t="n"/>
      <c r="L647" s="692" t="n"/>
      <c r="M647" s="692" t="n"/>
      <c r="N647" s="692" t="n"/>
      <c r="O647" s="692" t="n"/>
      <c r="P647" s="692" t="n"/>
      <c r="Q647" s="692" t="n"/>
      <c r="R647" s="692" t="n"/>
      <c r="S647" s="692" t="n"/>
      <c r="T647" s="692" t="n"/>
      <c r="U647" s="692" t="n"/>
      <c r="V647" s="692" t="n"/>
      <c r="W647" s="692" t="n"/>
      <c r="X647" s="692" t="n"/>
      <c r="Y647" s="692" t="n"/>
      <c r="Z647" s="692" t="n"/>
      <c r="AA647" s="692" t="n"/>
      <c r="AB647" s="692" t="n"/>
      <c r="AC647" s="692" t="n"/>
      <c r="AD647" s="692" t="n"/>
      <c r="AE647" s="692" t="n"/>
      <c r="AF647" s="692" t="n"/>
      <c r="AG647" s="692" t="n"/>
      <c r="AH647" s="692" t="n"/>
      <c r="AI647" s="692" t="n"/>
      <c r="AJ647" s="692" t="n"/>
      <c r="AK647" s="692" t="n"/>
      <c r="AL647" s="692" t="n"/>
      <c r="AM647" s="692" t="n"/>
      <c r="AN647" s="692" t="n"/>
      <c r="AO647" s="692" t="n"/>
      <c r="AP647" s="692" t="n"/>
    </row>
    <row r="648">
      <c r="A648" s="692" t="n"/>
      <c r="B648" s="692" t="n"/>
      <c r="C648" s="692" t="n"/>
      <c r="D648" s="692" t="n"/>
      <c r="E648" s="692" t="n"/>
      <c r="F648" s="692" t="n"/>
      <c r="G648" s="692" t="n"/>
      <c r="H648" s="692" t="n"/>
      <c r="I648" s="692" t="n"/>
      <c r="J648" s="692" t="n"/>
      <c r="K648" s="692" t="n"/>
      <c r="L648" s="692" t="n"/>
      <c r="M648" s="692" t="n"/>
      <c r="N648" s="692" t="n"/>
      <c r="O648" s="692" t="n"/>
      <c r="P648" s="692" t="n"/>
      <c r="Q648" s="692" t="n"/>
      <c r="R648" s="692" t="n"/>
      <c r="S648" s="692" t="n"/>
      <c r="T648" s="692" t="n"/>
      <c r="U648" s="692" t="n"/>
      <c r="V648" s="692" t="n"/>
      <c r="W648" s="692" t="n"/>
      <c r="X648" s="692" t="n"/>
      <c r="Y648" s="692" t="n"/>
      <c r="Z648" s="692" t="n"/>
      <c r="AA648" s="692" t="n"/>
      <c r="AB648" s="692" t="n"/>
      <c r="AC648" s="692" t="n"/>
      <c r="AD648" s="692" t="n"/>
      <c r="AE648" s="692" t="n"/>
      <c r="AF648" s="692" t="n"/>
      <c r="AG648" s="692" t="n"/>
      <c r="AH648" s="692" t="n"/>
      <c r="AI648" s="692" t="n"/>
      <c r="AJ648" s="692" t="n"/>
      <c r="AK648" s="692" t="n"/>
      <c r="AL648" s="692" t="n"/>
      <c r="AM648" s="692" t="n"/>
      <c r="AN648" s="692" t="n"/>
      <c r="AO648" s="692" t="n"/>
      <c r="AP648" s="692" t="n"/>
    </row>
    <row r="649">
      <c r="A649" s="692" t="n"/>
      <c r="B649" s="692" t="n"/>
      <c r="C649" s="692" t="n"/>
      <c r="D649" s="692" t="n"/>
      <c r="E649" s="692" t="n"/>
      <c r="F649" s="692" t="n"/>
      <c r="G649" s="692" t="n"/>
      <c r="H649" s="692" t="n"/>
      <c r="I649" s="692" t="n"/>
      <c r="J649" s="692" t="n"/>
      <c r="K649" s="692" t="n"/>
      <c r="L649" s="692" t="n"/>
      <c r="M649" s="692" t="n"/>
      <c r="N649" s="692" t="n"/>
      <c r="O649" s="692" t="n"/>
      <c r="P649" s="692" t="n"/>
      <c r="Q649" s="692" t="n"/>
      <c r="R649" s="692" t="n"/>
      <c r="S649" s="692" t="n"/>
      <c r="T649" s="692" t="n"/>
      <c r="U649" s="692" t="n"/>
      <c r="V649" s="692" t="n"/>
      <c r="W649" s="692" t="n"/>
      <c r="X649" s="692" t="n"/>
      <c r="Y649" s="692" t="n"/>
      <c r="Z649" s="692" t="n"/>
      <c r="AA649" s="692" t="n"/>
      <c r="AB649" s="692" t="n"/>
      <c r="AC649" s="692" t="n"/>
      <c r="AD649" s="692" t="n"/>
      <c r="AE649" s="692" t="n"/>
      <c r="AF649" s="692" t="n"/>
      <c r="AG649" s="692" t="n"/>
      <c r="AH649" s="692" t="n"/>
      <c r="AI649" s="692" t="n"/>
      <c r="AJ649" s="692" t="n"/>
      <c r="AK649" s="692" t="n"/>
      <c r="AL649" s="692" t="n"/>
      <c r="AM649" s="692" t="n"/>
      <c r="AN649" s="692" t="n"/>
      <c r="AO649" s="692" t="n"/>
      <c r="AP649" s="692" t="n"/>
    </row>
    <row r="650">
      <c r="A650" s="692" t="n"/>
      <c r="B650" s="692" t="n"/>
      <c r="C650" s="692" t="n"/>
      <c r="D650" s="692" t="n"/>
      <c r="E650" s="692" t="n"/>
      <c r="F650" s="692" t="n"/>
      <c r="G650" s="692" t="n"/>
      <c r="H650" s="692" t="n"/>
      <c r="I650" s="692" t="n"/>
      <c r="J650" s="692" t="n"/>
      <c r="K650" s="692" t="n"/>
      <c r="L650" s="692" t="n"/>
      <c r="M650" s="692" t="n"/>
      <c r="N650" s="692" t="n"/>
      <c r="O650" s="692" t="n"/>
      <c r="P650" s="692" t="n"/>
      <c r="Q650" s="692" t="n"/>
      <c r="R650" s="692" t="n"/>
      <c r="S650" s="692" t="n"/>
      <c r="T650" s="692" t="n"/>
      <c r="U650" s="692" t="n"/>
      <c r="V650" s="692" t="n"/>
      <c r="W650" s="692" t="n"/>
      <c r="X650" s="692" t="n"/>
      <c r="Y650" s="692" t="n"/>
      <c r="Z650" s="692" t="n"/>
      <c r="AA650" s="692" t="n"/>
      <c r="AB650" s="692" t="n"/>
      <c r="AC650" s="692" t="n"/>
      <c r="AD650" s="692" t="n"/>
      <c r="AE650" s="692" t="n"/>
      <c r="AF650" s="692" t="n"/>
      <c r="AG650" s="692" t="n"/>
      <c r="AH650" s="692" t="n"/>
      <c r="AI650" s="692" t="n"/>
      <c r="AJ650" s="692" t="n"/>
      <c r="AK650" s="692" t="n"/>
      <c r="AL650" s="692" t="n"/>
      <c r="AM650" s="692" t="n"/>
      <c r="AN650" s="692" t="n"/>
      <c r="AO650" s="692" t="n"/>
      <c r="AP650" s="692" t="n"/>
    </row>
    <row r="651">
      <c r="A651" s="692" t="n"/>
      <c r="B651" s="692" t="n"/>
      <c r="C651" s="692" t="n"/>
      <c r="D651" s="692" t="n"/>
      <c r="E651" s="692" t="n"/>
      <c r="F651" s="692" t="n"/>
      <c r="G651" s="692" t="n"/>
      <c r="H651" s="692" t="n"/>
      <c r="I651" s="692" t="n"/>
      <c r="J651" s="692" t="n"/>
      <c r="K651" s="692" t="n"/>
      <c r="L651" s="692" t="n"/>
      <c r="M651" s="692" t="n"/>
      <c r="N651" s="692" t="n"/>
      <c r="O651" s="692" t="n"/>
      <c r="P651" s="692" t="n"/>
      <c r="Q651" s="692" t="n"/>
      <c r="R651" s="692" t="n"/>
      <c r="S651" s="692" t="n"/>
      <c r="T651" s="692" t="n"/>
      <c r="U651" s="692" t="n"/>
      <c r="V651" s="692" t="n"/>
      <c r="W651" s="692" t="n"/>
      <c r="X651" s="692" t="n"/>
      <c r="Y651" s="692" t="n"/>
      <c r="Z651" s="692" t="n"/>
      <c r="AA651" s="692" t="n"/>
      <c r="AB651" s="692" t="n"/>
      <c r="AC651" s="692" t="n"/>
      <c r="AD651" s="692" t="n"/>
      <c r="AE651" s="692" t="n"/>
      <c r="AF651" s="692" t="n"/>
      <c r="AG651" s="692" t="n"/>
      <c r="AH651" s="692" t="n"/>
      <c r="AI651" s="692" t="n"/>
      <c r="AJ651" s="692" t="n"/>
      <c r="AK651" s="692" t="n"/>
      <c r="AL651" s="692" t="n"/>
      <c r="AM651" s="692" t="n"/>
      <c r="AN651" s="692" t="n"/>
      <c r="AO651" s="692" t="n"/>
      <c r="AP651" s="692" t="n"/>
    </row>
    <row r="652">
      <c r="A652" s="692" t="n"/>
      <c r="B652" s="692" t="n"/>
      <c r="C652" s="692" t="n"/>
      <c r="D652" s="692" t="n"/>
      <c r="E652" s="692" t="n"/>
      <c r="F652" s="692" t="n"/>
      <c r="G652" s="692" t="n"/>
      <c r="H652" s="692" t="n"/>
      <c r="I652" s="692" t="n"/>
      <c r="J652" s="692" t="n"/>
      <c r="K652" s="692" t="n"/>
      <c r="L652" s="692" t="n"/>
      <c r="M652" s="692" t="n"/>
      <c r="N652" s="692" t="n"/>
      <c r="O652" s="692" t="n"/>
      <c r="P652" s="692" t="n"/>
      <c r="Q652" s="692" t="n"/>
      <c r="R652" s="692" t="n"/>
      <c r="S652" s="692" t="n"/>
      <c r="T652" s="692" t="n"/>
      <c r="U652" s="692" t="n"/>
      <c r="V652" s="692" t="n"/>
      <c r="W652" s="692" t="n"/>
      <c r="X652" s="692" t="n"/>
      <c r="Y652" s="692" t="n"/>
      <c r="Z652" s="692" t="n"/>
      <c r="AA652" s="692" t="n"/>
      <c r="AB652" s="692" t="n"/>
      <c r="AC652" s="692" t="n"/>
      <c r="AD652" s="692" t="n"/>
      <c r="AE652" s="692" t="n"/>
      <c r="AF652" s="692" t="n"/>
      <c r="AG652" s="692" t="n"/>
      <c r="AH652" s="692" t="n"/>
      <c r="AI652" s="692" t="n"/>
      <c r="AJ652" s="692" t="n"/>
      <c r="AK652" s="692" t="n"/>
      <c r="AL652" s="692" t="n"/>
      <c r="AM652" s="692" t="n"/>
      <c r="AN652" s="692" t="n"/>
      <c r="AO652" s="692" t="n"/>
      <c r="AP652" s="692" t="n"/>
    </row>
    <row r="653">
      <c r="A653" s="692" t="n"/>
      <c r="B653" s="692" t="n"/>
      <c r="C653" s="692" t="n"/>
      <c r="D653" s="692" t="n"/>
      <c r="E653" s="692" t="n"/>
      <c r="F653" s="692" t="n"/>
      <c r="G653" s="692" t="n"/>
      <c r="H653" s="692" t="n"/>
      <c r="I653" s="692" t="n"/>
      <c r="J653" s="692" t="n"/>
      <c r="K653" s="692" t="n"/>
      <c r="L653" s="692" t="n"/>
      <c r="M653" s="692" t="n"/>
      <c r="N653" s="692" t="n"/>
      <c r="O653" s="692" t="n"/>
      <c r="P653" s="692" t="n"/>
      <c r="Q653" s="692" t="n"/>
      <c r="R653" s="692" t="n"/>
      <c r="S653" s="692" t="n"/>
      <c r="T653" s="692" t="n"/>
      <c r="U653" s="692" t="n"/>
      <c r="V653" s="692" t="n"/>
      <c r="W653" s="692" t="n"/>
      <c r="X653" s="692" t="n"/>
      <c r="Y653" s="692" t="n"/>
      <c r="Z653" s="692" t="n"/>
      <c r="AA653" s="692" t="n"/>
      <c r="AB653" s="692" t="n"/>
      <c r="AC653" s="692" t="n"/>
      <c r="AD653" s="692" t="n"/>
      <c r="AE653" s="692" t="n"/>
      <c r="AF653" s="692" t="n"/>
      <c r="AG653" s="692" t="n"/>
      <c r="AH653" s="692" t="n"/>
      <c r="AI653" s="692" t="n"/>
      <c r="AJ653" s="692" t="n"/>
      <c r="AK653" s="692" t="n"/>
      <c r="AL653" s="692" t="n"/>
      <c r="AM653" s="692" t="n"/>
      <c r="AN653" s="692" t="n"/>
      <c r="AO653" s="692" t="n"/>
      <c r="AP653" s="692" t="n"/>
    </row>
    <row r="654">
      <c r="A654" s="692" t="n"/>
      <c r="B654" s="692" t="n"/>
      <c r="C654" s="692" t="n"/>
      <c r="D654" s="692" t="n"/>
      <c r="E654" s="692" t="n"/>
      <c r="F654" s="692" t="n"/>
      <c r="G654" s="692" t="n"/>
      <c r="H654" s="692" t="n"/>
      <c r="I654" s="692" t="n"/>
      <c r="J654" s="692" t="n"/>
      <c r="K654" s="692" t="n"/>
      <c r="L654" s="692" t="n"/>
      <c r="M654" s="692" t="n"/>
      <c r="N654" s="692" t="n"/>
      <c r="O654" s="692" t="n"/>
      <c r="P654" s="692" t="n"/>
      <c r="Q654" s="692" t="n"/>
      <c r="R654" s="692" t="n"/>
      <c r="S654" s="692" t="n"/>
      <c r="T654" s="692" t="n"/>
      <c r="U654" s="692" t="n"/>
      <c r="V654" s="692" t="n"/>
      <c r="W654" s="692" t="n"/>
      <c r="X654" s="692" t="n"/>
      <c r="Y654" s="692" t="n"/>
      <c r="Z654" s="692" t="n"/>
      <c r="AA654" s="692" t="n"/>
      <c r="AB654" s="692" t="n"/>
      <c r="AC654" s="692" t="n"/>
      <c r="AD654" s="692" t="n"/>
      <c r="AE654" s="692" t="n"/>
      <c r="AF654" s="692" t="n"/>
      <c r="AG654" s="692" t="n"/>
      <c r="AH654" s="692" t="n"/>
      <c r="AI654" s="692" t="n"/>
      <c r="AJ654" s="692" t="n"/>
      <c r="AK654" s="692" t="n"/>
      <c r="AL654" s="692" t="n"/>
      <c r="AM654" s="692" t="n"/>
      <c r="AN654" s="692" t="n"/>
      <c r="AO654" s="692" t="n"/>
      <c r="AP654" s="692" t="n"/>
    </row>
    <row r="655">
      <c r="A655" s="692" t="n"/>
      <c r="B655" s="692" t="n"/>
      <c r="C655" s="692" t="n"/>
      <c r="D655" s="692" t="n"/>
      <c r="E655" s="692" t="n"/>
      <c r="F655" s="692" t="n"/>
      <c r="G655" s="692" t="n"/>
      <c r="H655" s="692" t="n"/>
      <c r="I655" s="692" t="n"/>
      <c r="J655" s="692" t="n"/>
      <c r="K655" s="692" t="n"/>
      <c r="L655" s="692" t="n"/>
      <c r="M655" s="692" t="n"/>
      <c r="N655" s="692" t="n"/>
      <c r="O655" s="692" t="n"/>
      <c r="P655" s="692" t="n"/>
      <c r="Q655" s="692" t="n"/>
      <c r="R655" s="692" t="n"/>
      <c r="S655" s="692" t="n"/>
      <c r="T655" s="692" t="n"/>
      <c r="U655" s="692" t="n"/>
      <c r="V655" s="692" t="n"/>
      <c r="W655" s="692" t="n"/>
      <c r="X655" s="692" t="n"/>
      <c r="Y655" s="692" t="n"/>
      <c r="Z655" s="692" t="n"/>
      <c r="AA655" s="692" t="n"/>
      <c r="AB655" s="692" t="n"/>
      <c r="AC655" s="692" t="n"/>
      <c r="AD655" s="692" t="n"/>
      <c r="AE655" s="692" t="n"/>
      <c r="AF655" s="692" t="n"/>
      <c r="AG655" s="692" t="n"/>
      <c r="AH655" s="692" t="n"/>
      <c r="AI655" s="692" t="n"/>
      <c r="AJ655" s="692" t="n"/>
      <c r="AK655" s="692" t="n"/>
      <c r="AL655" s="692" t="n"/>
      <c r="AM655" s="692" t="n"/>
      <c r="AN655" s="692" t="n"/>
      <c r="AO655" s="692" t="n"/>
      <c r="AP655" s="692" t="n"/>
    </row>
    <row r="656">
      <c r="A656" s="692" t="n"/>
      <c r="B656" s="692" t="n"/>
      <c r="C656" s="692" t="n"/>
      <c r="D656" s="692" t="n"/>
      <c r="E656" s="692" t="n"/>
      <c r="F656" s="692" t="n"/>
      <c r="G656" s="692" t="n"/>
      <c r="H656" s="692" t="n"/>
      <c r="I656" s="692" t="n"/>
      <c r="J656" s="692" t="n"/>
      <c r="K656" s="692" t="n"/>
      <c r="L656" s="692" t="n"/>
      <c r="M656" s="692" t="n"/>
      <c r="N656" s="692" t="n"/>
      <c r="O656" s="692" t="n"/>
      <c r="P656" s="692" t="n"/>
      <c r="Q656" s="692" t="n"/>
      <c r="R656" s="692" t="n"/>
      <c r="S656" s="692" t="n"/>
      <c r="T656" s="692" t="n"/>
      <c r="U656" s="692" t="n"/>
      <c r="V656" s="692" t="n"/>
      <c r="W656" s="692" t="n"/>
      <c r="X656" s="692" t="n"/>
      <c r="Y656" s="692" t="n"/>
      <c r="Z656" s="692" t="n"/>
      <c r="AA656" s="692" t="n"/>
      <c r="AB656" s="692" t="n"/>
      <c r="AC656" s="692" t="n"/>
      <c r="AD656" s="692" t="n"/>
      <c r="AE656" s="692" t="n"/>
      <c r="AF656" s="692" t="n"/>
      <c r="AG656" s="692" t="n"/>
      <c r="AH656" s="692" t="n"/>
      <c r="AI656" s="692" t="n"/>
      <c r="AJ656" s="692" t="n"/>
      <c r="AK656" s="692" t="n"/>
      <c r="AL656" s="692" t="n"/>
      <c r="AM656" s="692" t="n"/>
      <c r="AN656" s="692" t="n"/>
      <c r="AO656" s="692" t="n"/>
      <c r="AP656" s="692" t="n"/>
    </row>
    <row r="657">
      <c r="A657" s="692" t="n"/>
      <c r="B657" s="692" t="n"/>
      <c r="C657" s="692" t="n"/>
      <c r="D657" s="692" t="n"/>
      <c r="E657" s="692" t="n"/>
      <c r="F657" s="692" t="n"/>
      <c r="G657" s="692" t="n"/>
      <c r="H657" s="692" t="n"/>
      <c r="I657" s="692" t="n"/>
      <c r="J657" s="692" t="n"/>
      <c r="K657" s="692" t="n"/>
      <c r="L657" s="692" t="n"/>
      <c r="M657" s="692" t="n"/>
      <c r="N657" s="692" t="n"/>
      <c r="O657" s="692" t="n"/>
      <c r="P657" s="692" t="n"/>
      <c r="Q657" s="692" t="n"/>
      <c r="R657" s="692" t="n"/>
      <c r="S657" s="692" t="n"/>
      <c r="T657" s="692" t="n"/>
      <c r="U657" s="692" t="n"/>
      <c r="V657" s="692" t="n"/>
      <c r="W657" s="692" t="n"/>
      <c r="X657" s="692" t="n"/>
      <c r="Y657" s="692" t="n"/>
      <c r="Z657" s="692" t="n"/>
      <c r="AA657" s="692" t="n"/>
      <c r="AB657" s="692" t="n"/>
      <c r="AC657" s="692" t="n"/>
      <c r="AD657" s="692" t="n"/>
      <c r="AE657" s="692" t="n"/>
      <c r="AF657" s="692" t="n"/>
      <c r="AG657" s="692" t="n"/>
      <c r="AH657" s="692" t="n"/>
      <c r="AI657" s="692" t="n"/>
      <c r="AJ657" s="692" t="n"/>
      <c r="AK657" s="692" t="n"/>
      <c r="AL657" s="692" t="n"/>
      <c r="AM657" s="692" t="n"/>
      <c r="AN657" s="692" t="n"/>
      <c r="AO657" s="692" t="n"/>
      <c r="AP657" s="692" t="n"/>
    </row>
    <row r="658">
      <c r="A658" s="692" t="n"/>
      <c r="B658" s="692" t="n"/>
      <c r="C658" s="692" t="n"/>
      <c r="D658" s="692" t="n"/>
      <c r="E658" s="692" t="n"/>
      <c r="F658" s="692" t="n"/>
      <c r="G658" s="692" t="n"/>
      <c r="H658" s="692" t="n"/>
      <c r="I658" s="692" t="n"/>
      <c r="J658" s="692" t="n"/>
      <c r="K658" s="692" t="n"/>
      <c r="L658" s="692" t="n"/>
      <c r="M658" s="692" t="n"/>
      <c r="N658" s="692" t="n"/>
      <c r="O658" s="692" t="n"/>
      <c r="P658" s="692" t="n"/>
      <c r="Q658" s="692" t="n"/>
      <c r="R658" s="692" t="n"/>
      <c r="S658" s="692" t="n"/>
      <c r="T658" s="692" t="n"/>
      <c r="U658" s="692" t="n"/>
      <c r="V658" s="692" t="n"/>
      <c r="W658" s="692" t="n"/>
      <c r="X658" s="692" t="n"/>
      <c r="Y658" s="692" t="n"/>
      <c r="Z658" s="692" t="n"/>
      <c r="AA658" s="692" t="n"/>
      <c r="AB658" s="692" t="n"/>
      <c r="AC658" s="692" t="n"/>
      <c r="AD658" s="692" t="n"/>
      <c r="AE658" s="692" t="n"/>
      <c r="AF658" s="692" t="n"/>
      <c r="AG658" s="692" t="n"/>
      <c r="AH658" s="692" t="n"/>
      <c r="AI658" s="692" t="n"/>
      <c r="AJ658" s="692" t="n"/>
      <c r="AK658" s="692" t="n"/>
      <c r="AL658" s="692" t="n"/>
      <c r="AM658" s="692" t="n"/>
      <c r="AN658" s="692" t="n"/>
      <c r="AO658" s="692" t="n"/>
      <c r="AP658" s="692" t="n"/>
    </row>
    <row r="659">
      <c r="A659" s="692" t="n"/>
      <c r="B659" s="692" t="n"/>
      <c r="C659" s="692" t="n"/>
      <c r="D659" s="692" t="n"/>
      <c r="E659" s="692" t="n"/>
      <c r="F659" s="692" t="n"/>
      <c r="G659" s="692" t="n"/>
      <c r="H659" s="692" t="n"/>
      <c r="I659" s="692" t="n"/>
      <c r="J659" s="692" t="n"/>
      <c r="K659" s="692" t="n"/>
      <c r="L659" s="692" t="n"/>
      <c r="M659" s="692" t="n"/>
      <c r="N659" s="692" t="n"/>
      <c r="O659" s="692" t="n"/>
      <c r="P659" s="692" t="n"/>
      <c r="Q659" s="692" t="n"/>
      <c r="R659" s="692" t="n"/>
      <c r="S659" s="692" t="n"/>
      <c r="T659" s="692" t="n"/>
      <c r="U659" s="692" t="n"/>
      <c r="V659" s="692" t="n"/>
      <c r="W659" s="692" t="n"/>
      <c r="X659" s="692" t="n"/>
      <c r="Y659" s="692" t="n"/>
      <c r="Z659" s="692" t="n"/>
      <c r="AA659" s="692" t="n"/>
      <c r="AB659" s="692" t="n"/>
      <c r="AC659" s="692" t="n"/>
      <c r="AD659" s="692" t="n"/>
      <c r="AE659" s="692" t="n"/>
      <c r="AF659" s="692" t="n"/>
      <c r="AG659" s="692" t="n"/>
      <c r="AH659" s="692" t="n"/>
      <c r="AI659" s="692" t="n"/>
      <c r="AJ659" s="692" t="n"/>
      <c r="AK659" s="692" t="n"/>
      <c r="AL659" s="692" t="n"/>
      <c r="AM659" s="692" t="n"/>
      <c r="AN659" s="692" t="n"/>
      <c r="AO659" s="692" t="n"/>
      <c r="AP659" s="692" t="n"/>
    </row>
    <row r="660">
      <c r="A660" s="692" t="n"/>
      <c r="B660" s="692" t="n"/>
      <c r="C660" s="692" t="n"/>
      <c r="D660" s="692" t="n"/>
      <c r="E660" s="692" t="n"/>
      <c r="F660" s="692" t="n"/>
      <c r="G660" s="692" t="n"/>
      <c r="H660" s="692" t="n"/>
      <c r="I660" s="692" t="n"/>
      <c r="J660" s="692" t="n"/>
      <c r="K660" s="692" t="n"/>
      <c r="L660" s="692" t="n"/>
      <c r="M660" s="692" t="n"/>
      <c r="N660" s="692" t="n"/>
      <c r="O660" s="692" t="n"/>
      <c r="P660" s="692" t="n"/>
      <c r="Q660" s="692" t="n"/>
      <c r="R660" s="692" t="n"/>
      <c r="S660" s="692" t="n"/>
      <c r="T660" s="692" t="n"/>
      <c r="U660" s="692" t="n"/>
      <c r="V660" s="692" t="n"/>
      <c r="W660" s="692" t="n"/>
      <c r="X660" s="692" t="n"/>
      <c r="Y660" s="692" t="n"/>
      <c r="Z660" s="692" t="n"/>
      <c r="AA660" s="692" t="n"/>
      <c r="AB660" s="692" t="n"/>
      <c r="AC660" s="692" t="n"/>
      <c r="AD660" s="692" t="n"/>
      <c r="AE660" s="692" t="n"/>
      <c r="AF660" s="692" t="n"/>
      <c r="AG660" s="692" t="n"/>
      <c r="AH660" s="692" t="n"/>
      <c r="AI660" s="692" t="n"/>
      <c r="AJ660" s="692" t="n"/>
      <c r="AK660" s="692" t="n"/>
      <c r="AL660" s="692" t="n"/>
      <c r="AM660" s="692" t="n"/>
      <c r="AN660" s="692" t="n"/>
      <c r="AO660" s="692" t="n"/>
      <c r="AP660" s="692" t="n"/>
    </row>
    <row r="661">
      <c r="A661" s="692" t="n"/>
      <c r="B661" s="692" t="n"/>
      <c r="C661" s="692" t="n"/>
      <c r="D661" s="692" t="n"/>
      <c r="E661" s="692" t="n"/>
      <c r="F661" s="692" t="n"/>
      <c r="G661" s="692" t="n"/>
      <c r="H661" s="692" t="n"/>
      <c r="I661" s="692" t="n"/>
      <c r="J661" s="692" t="n"/>
      <c r="K661" s="692" t="n"/>
      <c r="L661" s="692" t="n"/>
      <c r="M661" s="692" t="n"/>
      <c r="N661" s="692" t="n"/>
      <c r="O661" s="692" t="n"/>
      <c r="P661" s="692" t="n"/>
      <c r="Q661" s="692" t="n"/>
      <c r="R661" s="692" t="n"/>
      <c r="S661" s="692" t="n"/>
      <c r="T661" s="692" t="n"/>
      <c r="U661" s="692" t="n"/>
      <c r="V661" s="692" t="n"/>
      <c r="W661" s="692" t="n"/>
      <c r="X661" s="692" t="n"/>
      <c r="Y661" s="692" t="n"/>
      <c r="Z661" s="692" t="n"/>
      <c r="AA661" s="692" t="n"/>
      <c r="AB661" s="692" t="n"/>
      <c r="AC661" s="692" t="n"/>
      <c r="AD661" s="692" t="n"/>
      <c r="AE661" s="692" t="n"/>
      <c r="AF661" s="692" t="n"/>
      <c r="AG661" s="692" t="n"/>
      <c r="AH661" s="692" t="n"/>
      <c r="AI661" s="692" t="n"/>
      <c r="AJ661" s="692" t="n"/>
      <c r="AK661" s="692" t="n"/>
      <c r="AL661" s="692" t="n"/>
      <c r="AM661" s="692" t="n"/>
      <c r="AN661" s="692" t="n"/>
      <c r="AO661" s="692" t="n"/>
      <c r="AP661" s="692" t="n"/>
    </row>
    <row r="662">
      <c r="A662" s="692" t="n"/>
      <c r="B662" s="692" t="n"/>
      <c r="C662" s="692" t="n"/>
      <c r="D662" s="692" t="n"/>
      <c r="E662" s="692" t="n"/>
      <c r="F662" s="692" t="n"/>
      <c r="G662" s="692" t="n"/>
      <c r="H662" s="692" t="n"/>
      <c r="I662" s="692" t="n"/>
      <c r="J662" s="692" t="n"/>
      <c r="K662" s="692" t="n"/>
      <c r="L662" s="692" t="n"/>
      <c r="M662" s="692" t="n"/>
      <c r="N662" s="692" t="n"/>
      <c r="O662" s="692" t="n"/>
      <c r="P662" s="692" t="n"/>
      <c r="Q662" s="692" t="n"/>
      <c r="R662" s="692" t="n"/>
      <c r="S662" s="692" t="n"/>
      <c r="T662" s="692" t="n"/>
      <c r="U662" s="692" t="n"/>
      <c r="V662" s="692" t="n"/>
      <c r="W662" s="692" t="n"/>
      <c r="X662" s="692" t="n"/>
      <c r="Y662" s="692" t="n"/>
      <c r="Z662" s="692" t="n"/>
      <c r="AA662" s="692" t="n"/>
      <c r="AB662" s="692" t="n"/>
      <c r="AC662" s="692" t="n"/>
      <c r="AD662" s="692" t="n"/>
      <c r="AE662" s="692" t="n"/>
      <c r="AF662" s="692" t="n"/>
      <c r="AG662" s="692" t="n"/>
      <c r="AH662" s="692" t="n"/>
      <c r="AI662" s="692" t="n"/>
      <c r="AJ662" s="692" t="n"/>
      <c r="AK662" s="692" t="n"/>
      <c r="AL662" s="692" t="n"/>
      <c r="AM662" s="692" t="n"/>
      <c r="AN662" s="692" t="n"/>
      <c r="AO662" s="692" t="n"/>
      <c r="AP662" s="692" t="n"/>
    </row>
    <row r="663">
      <c r="A663" s="692" t="n"/>
      <c r="B663" s="692" t="n"/>
      <c r="C663" s="692" t="n"/>
      <c r="D663" s="692" t="n"/>
      <c r="E663" s="692" t="n"/>
      <c r="F663" s="692" t="n"/>
      <c r="G663" s="692" t="n"/>
      <c r="H663" s="692" t="n"/>
      <c r="I663" s="692" t="n"/>
      <c r="J663" s="692" t="n"/>
      <c r="K663" s="692" t="n"/>
      <c r="L663" s="692" t="n"/>
      <c r="M663" s="692" t="n"/>
      <c r="N663" s="692" t="n"/>
      <c r="O663" s="692" t="n"/>
      <c r="P663" s="692" t="n"/>
      <c r="Q663" s="692" t="n"/>
      <c r="R663" s="692" t="n"/>
      <c r="S663" s="692" t="n"/>
      <c r="T663" s="692" t="n"/>
      <c r="U663" s="692" t="n"/>
      <c r="V663" s="692" t="n"/>
      <c r="W663" s="692" t="n"/>
      <c r="X663" s="692" t="n"/>
      <c r="Y663" s="692" t="n"/>
      <c r="Z663" s="692" t="n"/>
      <c r="AA663" s="692" t="n"/>
      <c r="AB663" s="692" t="n"/>
      <c r="AC663" s="692" t="n"/>
      <c r="AD663" s="692" t="n"/>
      <c r="AE663" s="692" t="n"/>
      <c r="AF663" s="692" t="n"/>
      <c r="AG663" s="692" t="n"/>
      <c r="AH663" s="692" t="n"/>
      <c r="AI663" s="692" t="n"/>
      <c r="AJ663" s="692" t="n"/>
      <c r="AK663" s="692" t="n"/>
      <c r="AL663" s="692" t="n"/>
      <c r="AM663" s="692" t="n"/>
      <c r="AN663" s="692" t="n"/>
      <c r="AO663" s="692" t="n"/>
      <c r="AP663" s="692" t="n"/>
    </row>
    <row r="664">
      <c r="A664" s="692" t="n"/>
      <c r="B664" s="692" t="n"/>
      <c r="C664" s="692" t="n"/>
      <c r="D664" s="692" t="n"/>
      <c r="E664" s="692" t="n"/>
      <c r="F664" s="692" t="n"/>
      <c r="G664" s="692" t="n"/>
      <c r="H664" s="692" t="n"/>
      <c r="I664" s="692" t="n"/>
      <c r="J664" s="692" t="n"/>
      <c r="K664" s="692" t="n"/>
      <c r="L664" s="692" t="n"/>
      <c r="M664" s="692" t="n"/>
      <c r="N664" s="692" t="n"/>
      <c r="O664" s="692" t="n"/>
      <c r="P664" s="692" t="n"/>
      <c r="Q664" s="692" t="n"/>
      <c r="R664" s="692" t="n"/>
      <c r="S664" s="692" t="n"/>
      <c r="T664" s="692" t="n"/>
      <c r="U664" s="692" t="n"/>
      <c r="V664" s="692" t="n"/>
      <c r="W664" s="692" t="n"/>
      <c r="X664" s="692" t="n"/>
      <c r="Y664" s="692" t="n"/>
      <c r="Z664" s="692" t="n"/>
      <c r="AA664" s="692" t="n"/>
      <c r="AB664" s="692" t="n"/>
      <c r="AC664" s="692" t="n"/>
      <c r="AD664" s="692" t="n"/>
      <c r="AE664" s="692" t="n"/>
      <c r="AF664" s="692" t="n"/>
      <c r="AG664" s="692" t="n"/>
      <c r="AH664" s="692" t="n"/>
      <c r="AI664" s="692" t="n"/>
      <c r="AJ664" s="692" t="n"/>
      <c r="AK664" s="692" t="n"/>
      <c r="AL664" s="692" t="n"/>
      <c r="AM664" s="692" t="n"/>
      <c r="AN664" s="692" t="n"/>
      <c r="AO664" s="692" t="n"/>
      <c r="AP664" s="692" t="n"/>
    </row>
    <row r="665">
      <c r="A665" s="692" t="n"/>
      <c r="B665" s="692" t="n"/>
      <c r="C665" s="692" t="n"/>
      <c r="D665" s="692" t="n"/>
      <c r="E665" s="692" t="n"/>
      <c r="F665" s="692" t="n"/>
      <c r="G665" s="692" t="n"/>
      <c r="H665" s="692" t="n"/>
      <c r="I665" s="692" t="n"/>
      <c r="J665" s="692" t="n"/>
      <c r="K665" s="692" t="n"/>
      <c r="L665" s="692" t="n"/>
      <c r="M665" s="692" t="n"/>
      <c r="N665" s="692" t="n"/>
      <c r="O665" s="692" t="n"/>
      <c r="P665" s="692" t="n"/>
      <c r="Q665" s="692" t="n"/>
      <c r="R665" s="692" t="n"/>
      <c r="S665" s="692" t="n"/>
      <c r="T665" s="692" t="n"/>
      <c r="U665" s="692" t="n"/>
      <c r="V665" s="692" t="n"/>
      <c r="W665" s="692" t="n"/>
      <c r="X665" s="692" t="n"/>
      <c r="Y665" s="692" t="n"/>
      <c r="Z665" s="692" t="n"/>
      <c r="AA665" s="692" t="n"/>
      <c r="AB665" s="692" t="n"/>
      <c r="AC665" s="692" t="n"/>
      <c r="AD665" s="692" t="n"/>
      <c r="AE665" s="692" t="n"/>
      <c r="AF665" s="692" t="n"/>
      <c r="AG665" s="692" t="n"/>
      <c r="AH665" s="692" t="n"/>
      <c r="AI665" s="692" t="n"/>
      <c r="AJ665" s="692" t="n"/>
      <c r="AK665" s="692" t="n"/>
      <c r="AL665" s="692" t="n"/>
      <c r="AM665" s="692" t="n"/>
      <c r="AN665" s="692" t="n"/>
      <c r="AO665" s="692" t="n"/>
      <c r="AP665" s="692" t="n"/>
    </row>
    <row r="666">
      <c r="A666" s="692" t="n"/>
      <c r="B666" s="692" t="n"/>
      <c r="C666" s="692" t="n"/>
      <c r="D666" s="692" t="n"/>
      <c r="E666" s="692" t="n"/>
      <c r="F666" s="692" t="n"/>
      <c r="G666" s="692" t="n"/>
      <c r="H666" s="692" t="n"/>
      <c r="I666" s="692" t="n"/>
      <c r="J666" s="692" t="n"/>
      <c r="K666" s="692" t="n"/>
      <c r="L666" s="692" t="n"/>
      <c r="M666" s="692" t="n"/>
      <c r="N666" s="692" t="n"/>
      <c r="O666" s="692" t="n"/>
      <c r="P666" s="692" t="n"/>
      <c r="Q666" s="692" t="n"/>
      <c r="R666" s="692" t="n"/>
      <c r="S666" s="692" t="n"/>
      <c r="T666" s="692" t="n"/>
      <c r="U666" s="692" t="n"/>
      <c r="V666" s="692" t="n"/>
      <c r="W666" s="692" t="n"/>
      <c r="X666" s="692" t="n"/>
      <c r="Y666" s="692" t="n"/>
      <c r="Z666" s="692" t="n"/>
      <c r="AA666" s="692" t="n"/>
      <c r="AB666" s="692" t="n"/>
      <c r="AC666" s="692" t="n"/>
      <c r="AD666" s="692" t="n"/>
      <c r="AE666" s="692" t="n"/>
      <c r="AF666" s="692" t="n"/>
      <c r="AG666" s="692" t="n"/>
      <c r="AH666" s="692" t="n"/>
      <c r="AI666" s="692" t="n"/>
      <c r="AJ666" s="692" t="n"/>
      <c r="AK666" s="692" t="n"/>
      <c r="AL666" s="692" t="n"/>
      <c r="AM666" s="692" t="n"/>
      <c r="AN666" s="692" t="n"/>
      <c r="AO666" s="692" t="n"/>
      <c r="AP666" s="692" t="n"/>
    </row>
    <row r="667">
      <c r="A667" s="692" t="n"/>
      <c r="B667" s="692" t="n"/>
      <c r="C667" s="692" t="n"/>
      <c r="D667" s="692" t="n"/>
      <c r="E667" s="692" t="n"/>
      <c r="F667" s="692" t="n"/>
      <c r="G667" s="692" t="n"/>
      <c r="H667" s="692" t="n"/>
      <c r="I667" s="692" t="n"/>
      <c r="J667" s="692" t="n"/>
      <c r="K667" s="692" t="n"/>
      <c r="L667" s="692" t="n"/>
      <c r="M667" s="692" t="n"/>
      <c r="N667" s="692" t="n"/>
      <c r="O667" s="692" t="n"/>
      <c r="P667" s="692" t="n"/>
      <c r="Q667" s="692" t="n"/>
      <c r="R667" s="692" t="n"/>
      <c r="S667" s="692" t="n"/>
      <c r="T667" s="692" t="n"/>
      <c r="U667" s="692" t="n"/>
      <c r="V667" s="692" t="n"/>
      <c r="W667" s="692" t="n"/>
      <c r="X667" s="692" t="n"/>
      <c r="Y667" s="692" t="n"/>
      <c r="Z667" s="692" t="n"/>
      <c r="AA667" s="692" t="n"/>
      <c r="AB667" s="692" t="n"/>
      <c r="AC667" s="692" t="n"/>
      <c r="AD667" s="692" t="n"/>
      <c r="AE667" s="692" t="n"/>
      <c r="AF667" s="692" t="n"/>
      <c r="AG667" s="692" t="n"/>
      <c r="AH667" s="692" t="n"/>
      <c r="AI667" s="692" t="n"/>
      <c r="AJ667" s="692" t="n"/>
      <c r="AK667" s="692" t="n"/>
      <c r="AL667" s="692" t="n"/>
      <c r="AM667" s="692" t="n"/>
      <c r="AN667" s="692" t="n"/>
      <c r="AO667" s="692" t="n"/>
      <c r="AP667" s="692" t="n"/>
    </row>
    <row r="668">
      <c r="A668" s="692" t="n"/>
      <c r="B668" s="692" t="n"/>
      <c r="C668" s="692" t="n"/>
      <c r="D668" s="692" t="n"/>
      <c r="E668" s="692" t="n"/>
      <c r="F668" s="692" t="n"/>
      <c r="G668" s="692" t="n"/>
      <c r="H668" s="692" t="n"/>
      <c r="I668" s="692" t="n"/>
      <c r="J668" s="692" t="n"/>
      <c r="K668" s="692" t="n"/>
      <c r="L668" s="692" t="n"/>
      <c r="M668" s="692" t="n"/>
      <c r="N668" s="692" t="n"/>
      <c r="O668" s="692" t="n"/>
      <c r="P668" s="692" t="n"/>
      <c r="Q668" s="692" t="n"/>
      <c r="R668" s="692" t="n"/>
      <c r="S668" s="692" t="n"/>
      <c r="T668" s="692" t="n"/>
      <c r="U668" s="692" t="n"/>
      <c r="V668" s="692" t="n"/>
      <c r="W668" s="692" t="n"/>
      <c r="X668" s="692" t="n"/>
      <c r="Y668" s="692" t="n"/>
      <c r="Z668" s="692" t="n"/>
      <c r="AA668" s="692" t="n"/>
      <c r="AB668" s="692" t="n"/>
      <c r="AC668" s="692" t="n"/>
      <c r="AD668" s="692" t="n"/>
      <c r="AE668" s="692" t="n"/>
      <c r="AF668" s="692" t="n"/>
      <c r="AG668" s="692" t="n"/>
      <c r="AH668" s="692" t="n"/>
      <c r="AI668" s="692" t="n"/>
      <c r="AJ668" s="692" t="n"/>
      <c r="AK668" s="692" t="n"/>
      <c r="AL668" s="692" t="n"/>
      <c r="AM668" s="692" t="n"/>
      <c r="AN668" s="692" t="n"/>
      <c r="AO668" s="692" t="n"/>
      <c r="AP668" s="692" t="n"/>
    </row>
    <row r="669">
      <c r="A669" s="692" t="n"/>
      <c r="B669" s="692" t="n"/>
      <c r="C669" s="692" t="n"/>
      <c r="D669" s="692" t="n"/>
      <c r="E669" s="692" t="n"/>
      <c r="F669" s="692" t="n"/>
      <c r="G669" s="692" t="n"/>
      <c r="H669" s="692" t="n"/>
      <c r="I669" s="692" t="n"/>
      <c r="J669" s="692" t="n"/>
      <c r="K669" s="692" t="n"/>
      <c r="L669" s="692" t="n"/>
      <c r="M669" s="692" t="n"/>
      <c r="N669" s="692" t="n"/>
      <c r="O669" s="692" t="n"/>
      <c r="P669" s="692" t="n"/>
      <c r="Q669" s="692" t="n"/>
      <c r="R669" s="692" t="n"/>
      <c r="S669" s="692" t="n"/>
      <c r="T669" s="692" t="n"/>
      <c r="U669" s="692" t="n"/>
      <c r="V669" s="692" t="n"/>
      <c r="W669" s="692" t="n"/>
      <c r="X669" s="692" t="n"/>
      <c r="Y669" s="692" t="n"/>
      <c r="Z669" s="692" t="n"/>
      <c r="AA669" s="692" t="n"/>
      <c r="AB669" s="692" t="n"/>
      <c r="AC669" s="692" t="n"/>
      <c r="AD669" s="692" t="n"/>
      <c r="AE669" s="692" t="n"/>
      <c r="AF669" s="692" t="n"/>
      <c r="AG669" s="692" t="n"/>
      <c r="AH669" s="692" t="n"/>
      <c r="AI669" s="692" t="n"/>
      <c r="AJ669" s="692" t="n"/>
      <c r="AK669" s="692" t="n"/>
      <c r="AL669" s="692" t="n"/>
      <c r="AM669" s="692" t="n"/>
      <c r="AN669" s="692" t="n"/>
      <c r="AO669" s="692" t="n"/>
      <c r="AP669" s="692" t="n"/>
    </row>
    <row r="670">
      <c r="A670" s="692" t="n"/>
      <c r="B670" s="692" t="n"/>
      <c r="C670" s="692" t="n"/>
      <c r="D670" s="692" t="n"/>
      <c r="E670" s="692" t="n"/>
      <c r="F670" s="692" t="n"/>
      <c r="G670" s="692" t="n"/>
      <c r="H670" s="692" t="n"/>
      <c r="I670" s="692" t="n"/>
      <c r="J670" s="692" t="n"/>
      <c r="K670" s="692" t="n"/>
      <c r="L670" s="692" t="n"/>
      <c r="M670" s="692" t="n"/>
      <c r="N670" s="692" t="n"/>
      <c r="O670" s="692" t="n"/>
      <c r="P670" s="692" t="n"/>
      <c r="Q670" s="692" t="n"/>
      <c r="R670" s="692" t="n"/>
      <c r="S670" s="692" t="n"/>
      <c r="T670" s="692" t="n"/>
      <c r="U670" s="692" t="n"/>
      <c r="V670" s="692" t="n"/>
      <c r="W670" s="692" t="n"/>
      <c r="X670" s="692" t="n"/>
      <c r="Y670" s="692" t="n"/>
      <c r="Z670" s="692" t="n"/>
      <c r="AA670" s="692" t="n"/>
      <c r="AB670" s="692" t="n"/>
      <c r="AC670" s="692" t="n"/>
      <c r="AD670" s="692" t="n"/>
      <c r="AE670" s="692" t="n"/>
      <c r="AF670" s="692" t="n"/>
      <c r="AG670" s="692" t="n"/>
      <c r="AH670" s="692" t="n"/>
      <c r="AI670" s="692" t="n"/>
      <c r="AJ670" s="692" t="n"/>
      <c r="AK670" s="692" t="n"/>
      <c r="AL670" s="692" t="n"/>
      <c r="AM670" s="692" t="n"/>
      <c r="AN670" s="692" t="n"/>
      <c r="AO670" s="692" t="n"/>
      <c r="AP670" s="692" t="n"/>
    </row>
    <row r="671">
      <c r="A671" s="692" t="n"/>
      <c r="B671" s="692" t="n"/>
      <c r="C671" s="692" t="n"/>
      <c r="D671" s="692" t="n"/>
      <c r="E671" s="692" t="n"/>
      <c r="F671" s="692" t="n"/>
      <c r="G671" s="692" t="n"/>
      <c r="H671" s="692" t="n"/>
      <c r="I671" s="692" t="n"/>
      <c r="J671" s="692" t="n"/>
      <c r="K671" s="692" t="n"/>
      <c r="L671" s="692" t="n"/>
      <c r="M671" s="692" t="n"/>
      <c r="N671" s="692" t="n"/>
      <c r="O671" s="692" t="n"/>
      <c r="P671" s="692" t="n"/>
      <c r="Q671" s="692" t="n"/>
      <c r="R671" s="692" t="n"/>
      <c r="S671" s="692" t="n"/>
      <c r="T671" s="692" t="n"/>
      <c r="U671" s="692" t="n"/>
      <c r="V671" s="692" t="n"/>
      <c r="W671" s="692" t="n"/>
      <c r="X671" s="692" t="n"/>
      <c r="Y671" s="692" t="n"/>
      <c r="Z671" s="692" t="n"/>
      <c r="AA671" s="692" t="n"/>
      <c r="AB671" s="692" t="n"/>
      <c r="AC671" s="692" t="n"/>
      <c r="AD671" s="692" t="n"/>
      <c r="AE671" s="692" t="n"/>
      <c r="AF671" s="692" t="n"/>
      <c r="AG671" s="692" t="n"/>
      <c r="AH671" s="692" t="n"/>
      <c r="AI671" s="692" t="n"/>
      <c r="AJ671" s="692" t="n"/>
      <c r="AK671" s="692" t="n"/>
      <c r="AL671" s="692" t="n"/>
      <c r="AM671" s="692" t="n"/>
      <c r="AN671" s="692" t="n"/>
      <c r="AO671" s="692" t="n"/>
      <c r="AP671" s="692" t="n"/>
    </row>
    <row r="672">
      <c r="A672" s="692" t="n"/>
      <c r="B672" s="692" t="n"/>
      <c r="C672" s="692" t="n"/>
      <c r="D672" s="692" t="n"/>
      <c r="E672" s="692" t="n"/>
      <c r="F672" s="692" t="n"/>
      <c r="G672" s="692" t="n"/>
      <c r="H672" s="692" t="n"/>
      <c r="I672" s="692" t="n"/>
      <c r="J672" s="692" t="n"/>
      <c r="K672" s="692" t="n"/>
      <c r="L672" s="692" t="n"/>
      <c r="M672" s="692" t="n"/>
      <c r="N672" s="692" t="n"/>
      <c r="O672" s="692" t="n"/>
      <c r="P672" s="692" t="n"/>
      <c r="Q672" s="692" t="n"/>
      <c r="R672" s="692" t="n"/>
      <c r="S672" s="692" t="n"/>
      <c r="T672" s="692" t="n"/>
      <c r="U672" s="692" t="n"/>
      <c r="V672" s="692" t="n"/>
      <c r="W672" s="692" t="n"/>
      <c r="X672" s="692" t="n"/>
      <c r="Y672" s="692" t="n"/>
      <c r="Z672" s="692" t="n"/>
      <c r="AA672" s="692" t="n"/>
      <c r="AB672" s="692" t="n"/>
      <c r="AC672" s="692" t="n"/>
      <c r="AD672" s="692" t="n"/>
      <c r="AE672" s="692" t="n"/>
      <c r="AF672" s="692" t="n"/>
      <c r="AG672" s="692" t="n"/>
      <c r="AH672" s="692" t="n"/>
      <c r="AI672" s="692" t="n"/>
      <c r="AJ672" s="692" t="n"/>
      <c r="AK672" s="692" t="n"/>
      <c r="AL672" s="692" t="n"/>
      <c r="AM672" s="692" t="n"/>
      <c r="AN672" s="692" t="n"/>
      <c r="AO672" s="692" t="n"/>
      <c r="AP672" s="692" t="n"/>
    </row>
    <row r="673">
      <c r="A673" s="692" t="n"/>
      <c r="B673" s="692" t="n"/>
      <c r="C673" s="692" t="n"/>
      <c r="D673" s="692" t="n"/>
      <c r="E673" s="692" t="n"/>
      <c r="F673" s="692" t="n"/>
      <c r="G673" s="692" t="n"/>
      <c r="H673" s="692" t="n"/>
      <c r="I673" s="692" t="n"/>
      <c r="J673" s="692" t="n"/>
      <c r="K673" s="692" t="n"/>
      <c r="L673" s="692" t="n"/>
      <c r="M673" s="692" t="n"/>
      <c r="N673" s="692" t="n"/>
      <c r="O673" s="692" t="n"/>
      <c r="P673" s="692" t="n"/>
      <c r="Q673" s="692" t="n"/>
      <c r="R673" s="692" t="n"/>
      <c r="S673" s="692" t="n"/>
      <c r="T673" s="692" t="n"/>
      <c r="U673" s="692" t="n"/>
      <c r="V673" s="692" t="n"/>
      <c r="W673" s="692" t="n"/>
      <c r="X673" s="692" t="n"/>
      <c r="Y673" s="692" t="n"/>
      <c r="Z673" s="692" t="n"/>
      <c r="AA673" s="692" t="n"/>
      <c r="AB673" s="692" t="n"/>
      <c r="AC673" s="692" t="n"/>
      <c r="AD673" s="692" t="n"/>
      <c r="AE673" s="692" t="n"/>
      <c r="AF673" s="692" t="n"/>
      <c r="AG673" s="692" t="n"/>
      <c r="AH673" s="692" t="n"/>
      <c r="AI673" s="692" t="n"/>
      <c r="AJ673" s="692" t="n"/>
      <c r="AK673" s="692" t="n"/>
      <c r="AL673" s="692" t="n"/>
      <c r="AM673" s="692" t="n"/>
      <c r="AN673" s="692" t="n"/>
      <c r="AO673" s="692" t="n"/>
      <c r="AP673" s="692" t="n"/>
    </row>
    <row r="674">
      <c r="A674" s="692" t="n"/>
      <c r="B674" s="692" t="n"/>
      <c r="C674" s="692" t="n"/>
      <c r="D674" s="692" t="n"/>
      <c r="E674" s="692" t="n"/>
      <c r="F674" s="692" t="n"/>
      <c r="G674" s="692" t="n"/>
      <c r="H674" s="692" t="n"/>
      <c r="I674" s="692" t="n"/>
      <c r="J674" s="692" t="n"/>
      <c r="K674" s="692" t="n"/>
      <c r="L674" s="692" t="n"/>
      <c r="M674" s="692" t="n"/>
      <c r="N674" s="692" t="n"/>
      <c r="O674" s="692" t="n"/>
      <c r="P674" s="692" t="n"/>
      <c r="Q674" s="692" t="n"/>
      <c r="R674" s="692" t="n"/>
      <c r="S674" s="692" t="n"/>
      <c r="T674" s="692" t="n"/>
      <c r="U674" s="692" t="n"/>
      <c r="V674" s="692" t="n"/>
      <c r="W674" s="692" t="n"/>
      <c r="X674" s="692" t="n"/>
      <c r="Y674" s="692" t="n"/>
      <c r="Z674" s="692" t="n"/>
      <c r="AA674" s="692" t="n"/>
      <c r="AB674" s="692" t="n"/>
      <c r="AC674" s="692" t="n"/>
      <c r="AD674" s="692" t="n"/>
      <c r="AE674" s="692" t="n"/>
      <c r="AF674" s="692" t="n"/>
      <c r="AG674" s="692" t="n"/>
      <c r="AH674" s="692" t="n"/>
      <c r="AI674" s="692" t="n"/>
      <c r="AJ674" s="692" t="n"/>
      <c r="AK674" s="692" t="n"/>
      <c r="AL674" s="692" t="n"/>
      <c r="AM674" s="692" t="n"/>
      <c r="AN674" s="692" t="n"/>
      <c r="AO674" s="692" t="n"/>
      <c r="AP674" s="692" t="n"/>
    </row>
    <row r="675">
      <c r="A675" s="692" t="n"/>
      <c r="B675" s="692" t="n"/>
      <c r="C675" s="692" t="n"/>
      <c r="D675" s="692" t="n"/>
      <c r="E675" s="692" t="n"/>
      <c r="F675" s="692" t="n"/>
      <c r="G675" s="692" t="n"/>
      <c r="H675" s="692" t="n"/>
      <c r="I675" s="692" t="n"/>
      <c r="J675" s="692" t="n"/>
      <c r="K675" s="692" t="n"/>
      <c r="L675" s="692" t="n"/>
      <c r="M675" s="692" t="n"/>
      <c r="N675" s="692" t="n"/>
      <c r="O675" s="692" t="n"/>
      <c r="P675" s="692" t="n"/>
      <c r="Q675" s="692" t="n"/>
      <c r="R675" s="692" t="n"/>
      <c r="S675" s="692" t="n"/>
      <c r="T675" s="692" t="n"/>
      <c r="U675" s="692" t="n"/>
      <c r="V675" s="692" t="n"/>
      <c r="W675" s="692" t="n"/>
      <c r="X675" s="692" t="n"/>
      <c r="Y675" s="692" t="n"/>
      <c r="Z675" s="692" t="n"/>
      <c r="AA675" s="692" t="n"/>
      <c r="AB675" s="692" t="n"/>
      <c r="AC675" s="692" t="n"/>
      <c r="AD675" s="692" t="n"/>
      <c r="AE675" s="692" t="n"/>
      <c r="AF675" s="692" t="n"/>
      <c r="AG675" s="692" t="n"/>
      <c r="AH675" s="692" t="n"/>
      <c r="AI675" s="692" t="n"/>
      <c r="AJ675" s="692" t="n"/>
      <c r="AK675" s="692" t="n"/>
      <c r="AL675" s="692" t="n"/>
      <c r="AM675" s="692" t="n"/>
      <c r="AN675" s="692" t="n"/>
      <c r="AO675" s="692" t="n"/>
      <c r="AP675" s="692" t="n"/>
    </row>
    <row r="676">
      <c r="A676" s="692" t="n"/>
      <c r="B676" s="692" t="n"/>
      <c r="C676" s="692" t="n"/>
      <c r="D676" s="692" t="n"/>
      <c r="E676" s="692" t="n"/>
      <c r="F676" s="692" t="n"/>
      <c r="G676" s="692" t="n"/>
      <c r="H676" s="692" t="n"/>
      <c r="I676" s="692" t="n"/>
      <c r="J676" s="692" t="n"/>
      <c r="K676" s="692" t="n"/>
      <c r="L676" s="692" t="n"/>
      <c r="M676" s="692" t="n"/>
      <c r="N676" s="692" t="n"/>
      <c r="O676" s="692" t="n"/>
      <c r="P676" s="692" t="n"/>
      <c r="Q676" s="692" t="n"/>
      <c r="R676" s="692" t="n"/>
      <c r="S676" s="692" t="n"/>
      <c r="T676" s="692" t="n"/>
      <c r="U676" s="692" t="n"/>
      <c r="V676" s="692" t="n"/>
      <c r="W676" s="692" t="n"/>
      <c r="X676" s="692" t="n"/>
      <c r="Y676" s="692" t="n"/>
      <c r="Z676" s="692" t="n"/>
      <c r="AA676" s="692" t="n"/>
      <c r="AB676" s="692" t="n"/>
      <c r="AC676" s="692" t="n"/>
      <c r="AD676" s="692" t="n"/>
      <c r="AE676" s="692" t="n"/>
      <c r="AF676" s="692" t="n"/>
      <c r="AG676" s="692" t="n"/>
      <c r="AH676" s="692" t="n"/>
      <c r="AI676" s="692" t="n"/>
      <c r="AJ676" s="692" t="n"/>
      <c r="AK676" s="692" t="n"/>
      <c r="AL676" s="692" t="n"/>
      <c r="AM676" s="692" t="n"/>
      <c r="AN676" s="692" t="n"/>
      <c r="AO676" s="692" t="n"/>
      <c r="AP676" s="692" t="n"/>
    </row>
    <row r="677">
      <c r="A677" s="692" t="n"/>
      <c r="B677" s="692" t="n"/>
      <c r="C677" s="692" t="n"/>
      <c r="D677" s="692" t="n"/>
      <c r="E677" s="692" t="n"/>
      <c r="F677" s="692" t="n"/>
      <c r="G677" s="692" t="n"/>
      <c r="H677" s="692" t="n"/>
      <c r="I677" s="692" t="n"/>
      <c r="J677" s="692" t="n"/>
      <c r="K677" s="692" t="n"/>
      <c r="L677" s="692" t="n"/>
      <c r="M677" s="692" t="n"/>
      <c r="N677" s="692" t="n"/>
      <c r="O677" s="692" t="n"/>
      <c r="P677" s="692" t="n"/>
      <c r="Q677" s="692" t="n"/>
      <c r="R677" s="692" t="n"/>
      <c r="S677" s="692" t="n"/>
      <c r="T677" s="692" t="n"/>
      <c r="U677" s="692" t="n"/>
      <c r="V677" s="692" t="n"/>
      <c r="W677" s="692" t="n"/>
      <c r="X677" s="692" t="n"/>
      <c r="Y677" s="692" t="n"/>
      <c r="Z677" s="692" t="n"/>
      <c r="AA677" s="692" t="n"/>
      <c r="AB677" s="692" t="n"/>
      <c r="AC677" s="692" t="n"/>
      <c r="AD677" s="692" t="n"/>
      <c r="AE677" s="692" t="n"/>
      <c r="AF677" s="692" t="n"/>
      <c r="AG677" s="692" t="n"/>
      <c r="AH677" s="692" t="n"/>
      <c r="AI677" s="692" t="n"/>
      <c r="AJ677" s="692" t="n"/>
      <c r="AK677" s="692" t="n"/>
      <c r="AL677" s="692" t="n"/>
      <c r="AM677" s="692" t="n"/>
      <c r="AN677" s="692" t="n"/>
      <c r="AO677" s="692" t="n"/>
      <c r="AP677" s="692" t="n"/>
    </row>
    <row r="678">
      <c r="A678" s="692" t="n"/>
      <c r="B678" s="692" t="n"/>
      <c r="C678" s="692" t="n"/>
      <c r="D678" s="692" t="n"/>
      <c r="E678" s="692" t="n"/>
      <c r="F678" s="692" t="n"/>
      <c r="G678" s="692" t="n"/>
      <c r="H678" s="692" t="n"/>
      <c r="I678" s="692" t="n"/>
      <c r="J678" s="692" t="n"/>
      <c r="K678" s="692" t="n"/>
      <c r="L678" s="692" t="n"/>
      <c r="M678" s="692" t="n"/>
      <c r="N678" s="692" t="n"/>
      <c r="O678" s="692" t="n"/>
      <c r="P678" s="692" t="n"/>
      <c r="Q678" s="692" t="n"/>
      <c r="R678" s="692" t="n"/>
      <c r="S678" s="692" t="n"/>
      <c r="T678" s="692" t="n"/>
      <c r="U678" s="692" t="n"/>
      <c r="V678" s="692" t="n"/>
      <c r="W678" s="692" t="n"/>
      <c r="X678" s="692" t="n"/>
      <c r="Y678" s="692" t="n"/>
      <c r="Z678" s="692" t="n"/>
      <c r="AA678" s="692" t="n"/>
      <c r="AB678" s="692" t="n"/>
      <c r="AC678" s="692" t="n"/>
      <c r="AD678" s="692" t="n"/>
      <c r="AE678" s="692" t="n"/>
      <c r="AF678" s="692" t="n"/>
      <c r="AG678" s="692" t="n"/>
      <c r="AH678" s="692" t="n"/>
      <c r="AI678" s="692" t="n"/>
      <c r="AJ678" s="692" t="n"/>
      <c r="AK678" s="692" t="n"/>
      <c r="AL678" s="692" t="n"/>
      <c r="AM678" s="692" t="n"/>
      <c r="AN678" s="692" t="n"/>
      <c r="AO678" s="692" t="n"/>
      <c r="AP678" s="692" t="n"/>
    </row>
    <row r="679">
      <c r="A679" s="692" t="n"/>
      <c r="B679" s="692" t="n"/>
      <c r="C679" s="692" t="n"/>
      <c r="D679" s="692" t="n"/>
      <c r="E679" s="692" t="n"/>
      <c r="F679" s="692" t="n"/>
      <c r="G679" s="692" t="n"/>
      <c r="H679" s="692" t="n"/>
      <c r="I679" s="692" t="n"/>
      <c r="J679" s="692" t="n"/>
      <c r="K679" s="692" t="n"/>
      <c r="L679" s="692" t="n"/>
      <c r="M679" s="692" t="n"/>
      <c r="N679" s="692" t="n"/>
      <c r="O679" s="692" t="n"/>
      <c r="P679" s="692" t="n"/>
      <c r="Q679" s="692" t="n"/>
      <c r="R679" s="692" t="n"/>
      <c r="S679" s="692" t="n"/>
      <c r="T679" s="692" t="n"/>
      <c r="U679" s="692" t="n"/>
      <c r="V679" s="692" t="n"/>
      <c r="W679" s="692" t="n"/>
      <c r="X679" s="692" t="n"/>
      <c r="Y679" s="692" t="n"/>
      <c r="Z679" s="692" t="n"/>
      <c r="AA679" s="692" t="n"/>
      <c r="AB679" s="692" t="n"/>
      <c r="AC679" s="692" t="n"/>
      <c r="AD679" s="692" t="n"/>
      <c r="AE679" s="692" t="n"/>
      <c r="AF679" s="692" t="n"/>
      <c r="AG679" s="692" t="n"/>
      <c r="AH679" s="692" t="n"/>
      <c r="AI679" s="692" t="n"/>
      <c r="AJ679" s="692" t="n"/>
      <c r="AK679" s="692" t="n"/>
      <c r="AL679" s="692" t="n"/>
      <c r="AM679" s="692" t="n"/>
      <c r="AN679" s="692" t="n"/>
      <c r="AO679" s="692" t="n"/>
      <c r="AP679" s="692" t="n"/>
    </row>
    <row r="680">
      <c r="A680" s="692" t="n"/>
      <c r="B680" s="692" t="n"/>
      <c r="C680" s="692" t="n"/>
      <c r="D680" s="692" t="n"/>
      <c r="E680" s="692" t="n"/>
      <c r="F680" s="692" t="n"/>
      <c r="G680" s="692" t="n"/>
      <c r="H680" s="692" t="n"/>
      <c r="I680" s="692" t="n"/>
      <c r="J680" s="692" t="n"/>
      <c r="K680" s="692" t="n"/>
      <c r="L680" s="692" t="n"/>
      <c r="M680" s="692" t="n"/>
      <c r="N680" s="692" t="n"/>
      <c r="O680" s="692" t="n"/>
      <c r="P680" s="692" t="n"/>
      <c r="Q680" s="692" t="n"/>
      <c r="R680" s="692" t="n"/>
      <c r="S680" s="692" t="n"/>
      <c r="T680" s="692" t="n"/>
      <c r="U680" s="692" t="n"/>
      <c r="V680" s="692" t="n"/>
      <c r="W680" s="692" t="n"/>
      <c r="X680" s="692" t="n"/>
      <c r="Y680" s="692" t="n"/>
      <c r="Z680" s="692" t="n"/>
      <c r="AA680" s="692" t="n"/>
      <c r="AB680" s="692" t="n"/>
      <c r="AC680" s="692" t="n"/>
      <c r="AD680" s="692" t="n"/>
      <c r="AE680" s="692" t="n"/>
      <c r="AF680" s="692" t="n"/>
      <c r="AG680" s="692" t="n"/>
      <c r="AH680" s="692" t="n"/>
      <c r="AI680" s="692" t="n"/>
      <c r="AJ680" s="692" t="n"/>
      <c r="AK680" s="692" t="n"/>
      <c r="AL680" s="692" t="n"/>
      <c r="AM680" s="692" t="n"/>
      <c r="AN680" s="692" t="n"/>
      <c r="AO680" s="692" t="n"/>
      <c r="AP680" s="692" t="n"/>
    </row>
    <row r="681">
      <c r="A681" s="692" t="n"/>
      <c r="B681" s="692" t="n"/>
      <c r="C681" s="692" t="n"/>
      <c r="D681" s="692" t="n"/>
      <c r="E681" s="692" t="n"/>
      <c r="F681" s="692" t="n"/>
      <c r="G681" s="692" t="n"/>
      <c r="H681" s="692" t="n"/>
      <c r="I681" s="692" t="n"/>
      <c r="J681" s="692" t="n"/>
      <c r="K681" s="692" t="n"/>
      <c r="L681" s="692" t="n"/>
      <c r="M681" s="692" t="n"/>
      <c r="N681" s="692" t="n"/>
      <c r="O681" s="692" t="n"/>
      <c r="P681" s="692" t="n"/>
      <c r="Q681" s="692" t="n"/>
      <c r="R681" s="692" t="n"/>
      <c r="S681" s="692" t="n"/>
      <c r="T681" s="692" t="n"/>
      <c r="U681" s="692" t="n"/>
      <c r="V681" s="692" t="n"/>
      <c r="W681" s="692" t="n"/>
      <c r="X681" s="692" t="n"/>
      <c r="Y681" s="692" t="n"/>
      <c r="Z681" s="692" t="n"/>
      <c r="AA681" s="692" t="n"/>
      <c r="AB681" s="692" t="n"/>
      <c r="AC681" s="692" t="n"/>
      <c r="AD681" s="692" t="n"/>
      <c r="AE681" s="692" t="n"/>
      <c r="AF681" s="692" t="n"/>
      <c r="AG681" s="692" t="n"/>
      <c r="AH681" s="692" t="n"/>
      <c r="AI681" s="692" t="n"/>
      <c r="AJ681" s="692" t="n"/>
      <c r="AK681" s="692" t="n"/>
      <c r="AL681" s="692" t="n"/>
      <c r="AM681" s="692" t="n"/>
      <c r="AN681" s="692" t="n"/>
      <c r="AO681" s="692" t="n"/>
      <c r="AP681" s="692" t="n"/>
    </row>
    <row r="682">
      <c r="A682" s="692" t="n"/>
      <c r="B682" s="692" t="n"/>
      <c r="C682" s="692" t="n"/>
      <c r="D682" s="692" t="n"/>
      <c r="E682" s="692" t="n"/>
      <c r="F682" s="692" t="n"/>
      <c r="G682" s="692" t="n"/>
      <c r="H682" s="692" t="n"/>
      <c r="I682" s="692" t="n"/>
      <c r="J682" s="692" t="n"/>
      <c r="K682" s="692" t="n"/>
      <c r="L682" s="692" t="n"/>
      <c r="M682" s="692" t="n"/>
      <c r="N682" s="692" t="n"/>
      <c r="O682" s="692" t="n"/>
      <c r="P682" s="692" t="n"/>
      <c r="Q682" s="692" t="n"/>
      <c r="R682" s="692" t="n"/>
      <c r="S682" s="692" t="n"/>
      <c r="T682" s="692" t="n"/>
      <c r="U682" s="692" t="n"/>
      <c r="V682" s="692" t="n"/>
      <c r="W682" s="692" t="n"/>
      <c r="X682" s="692" t="n"/>
      <c r="Y682" s="692" t="n"/>
      <c r="Z682" s="692" t="n"/>
      <c r="AA682" s="692" t="n"/>
      <c r="AB682" s="692" t="n"/>
      <c r="AC682" s="692" t="n"/>
      <c r="AD682" s="692" t="n"/>
      <c r="AE682" s="692" t="n"/>
      <c r="AF682" s="692" t="n"/>
      <c r="AG682" s="692" t="n"/>
      <c r="AH682" s="692" t="n"/>
      <c r="AI682" s="692" t="n"/>
      <c r="AJ682" s="692" t="n"/>
      <c r="AK682" s="692" t="n"/>
      <c r="AL682" s="692" t="n"/>
      <c r="AM682" s="692" t="n"/>
      <c r="AN682" s="692" t="n"/>
      <c r="AO682" s="692" t="n"/>
      <c r="AP682" s="692" t="n"/>
    </row>
    <row r="683">
      <c r="A683" s="692" t="n"/>
      <c r="B683" s="692" t="n"/>
      <c r="C683" s="692" t="n"/>
      <c r="D683" s="692" t="n"/>
      <c r="E683" s="692" t="n"/>
      <c r="F683" s="692" t="n"/>
      <c r="G683" s="692" t="n"/>
      <c r="H683" s="692" t="n"/>
      <c r="I683" s="692" t="n"/>
      <c r="J683" s="692" t="n"/>
      <c r="K683" s="692" t="n"/>
      <c r="L683" s="692" t="n"/>
      <c r="M683" s="692" t="n"/>
      <c r="N683" s="692" t="n"/>
      <c r="O683" s="692" t="n"/>
      <c r="P683" s="692" t="n"/>
      <c r="Q683" s="692" t="n"/>
      <c r="R683" s="692" t="n"/>
      <c r="S683" s="692" t="n"/>
      <c r="T683" s="692" t="n"/>
      <c r="U683" s="692" t="n"/>
      <c r="V683" s="692" t="n"/>
      <c r="W683" s="692" t="n"/>
      <c r="X683" s="692" t="n"/>
      <c r="Y683" s="692" t="n"/>
      <c r="Z683" s="692" t="n"/>
      <c r="AA683" s="692" t="n"/>
      <c r="AB683" s="692" t="n"/>
      <c r="AC683" s="692" t="n"/>
      <c r="AD683" s="692" t="n"/>
      <c r="AE683" s="692" t="n"/>
      <c r="AF683" s="692" t="n"/>
      <c r="AG683" s="692" t="n"/>
      <c r="AH683" s="692" t="n"/>
      <c r="AI683" s="692" t="n"/>
      <c r="AJ683" s="692" t="n"/>
      <c r="AK683" s="692" t="n"/>
      <c r="AL683" s="692" t="n"/>
      <c r="AM683" s="692" t="n"/>
      <c r="AN683" s="692" t="n"/>
      <c r="AO683" s="692" t="n"/>
      <c r="AP683" s="692" t="n"/>
    </row>
    <row r="684">
      <c r="A684" s="692" t="n"/>
      <c r="B684" s="692" t="n"/>
      <c r="C684" s="692" t="n"/>
      <c r="D684" s="692" t="n"/>
      <c r="E684" s="692" t="n"/>
      <c r="F684" s="692" t="n"/>
      <c r="G684" s="692" t="n"/>
      <c r="H684" s="692" t="n"/>
      <c r="I684" s="692" t="n"/>
      <c r="J684" s="692" t="n"/>
      <c r="K684" s="692" t="n"/>
      <c r="L684" s="692" t="n"/>
      <c r="M684" s="692" t="n"/>
      <c r="N684" s="692" t="n"/>
      <c r="O684" s="692" t="n"/>
      <c r="P684" s="692" t="n"/>
      <c r="Q684" s="692" t="n"/>
      <c r="R684" s="692" t="n"/>
      <c r="S684" s="692" t="n"/>
      <c r="T684" s="692" t="n"/>
      <c r="U684" s="692" t="n"/>
      <c r="V684" s="692" t="n"/>
      <c r="W684" s="692" t="n"/>
      <c r="X684" s="692" t="n"/>
      <c r="Y684" s="692" t="n"/>
      <c r="Z684" s="692" t="n"/>
      <c r="AA684" s="692" t="n"/>
      <c r="AB684" s="692" t="n"/>
      <c r="AC684" s="692" t="n"/>
      <c r="AD684" s="692" t="n"/>
      <c r="AE684" s="692" t="n"/>
      <c r="AF684" s="692" t="n"/>
      <c r="AG684" s="692" t="n"/>
      <c r="AH684" s="692" t="n"/>
      <c r="AI684" s="692" t="n"/>
      <c r="AJ684" s="692" t="n"/>
      <c r="AK684" s="692" t="n"/>
      <c r="AL684" s="692" t="n"/>
      <c r="AM684" s="692" t="n"/>
      <c r="AN684" s="692" t="n"/>
      <c r="AO684" s="692" t="n"/>
      <c r="AP684" s="692" t="n"/>
    </row>
    <row r="685">
      <c r="A685" s="692" t="n"/>
      <c r="B685" s="692" t="n"/>
      <c r="C685" s="692" t="n"/>
      <c r="D685" s="692" t="n"/>
      <c r="E685" s="692" t="n"/>
      <c r="F685" s="692" t="n"/>
      <c r="G685" s="692" t="n"/>
      <c r="H685" s="692" t="n"/>
      <c r="I685" s="692" t="n"/>
      <c r="J685" s="692" t="n"/>
      <c r="K685" s="692" t="n"/>
      <c r="L685" s="692" t="n"/>
      <c r="M685" s="692" t="n"/>
      <c r="N685" s="692" t="n"/>
      <c r="O685" s="692" t="n"/>
      <c r="P685" s="692" t="n"/>
      <c r="Q685" s="692" t="n"/>
      <c r="R685" s="692" t="n"/>
      <c r="S685" s="692" t="n"/>
      <c r="T685" s="692" t="n"/>
      <c r="U685" s="692" t="n"/>
      <c r="V685" s="692" t="n"/>
      <c r="W685" s="692" t="n"/>
      <c r="X685" s="692" t="n"/>
      <c r="Y685" s="692" t="n"/>
      <c r="Z685" s="692" t="n"/>
      <c r="AA685" s="692" t="n"/>
      <c r="AB685" s="692" t="n"/>
      <c r="AC685" s="692" t="n"/>
      <c r="AD685" s="692" t="n"/>
      <c r="AE685" s="692" t="n"/>
      <c r="AF685" s="692" t="n"/>
      <c r="AG685" s="692" t="n"/>
      <c r="AH685" s="692" t="n"/>
      <c r="AI685" s="692" t="n"/>
      <c r="AJ685" s="692" t="n"/>
      <c r="AK685" s="692" t="n"/>
      <c r="AL685" s="692" t="n"/>
      <c r="AM685" s="692" t="n"/>
      <c r="AN685" s="692" t="n"/>
      <c r="AO685" s="692" t="n"/>
      <c r="AP685" s="692" t="n"/>
    </row>
    <row r="686">
      <c r="A686" s="692" t="n"/>
      <c r="B686" s="692" t="n"/>
      <c r="C686" s="692" t="n"/>
      <c r="D686" s="692" t="n"/>
      <c r="E686" s="692" t="n"/>
      <c r="F686" s="692" t="n"/>
      <c r="G686" s="692" t="n"/>
      <c r="H686" s="692" t="n"/>
      <c r="I686" s="692" t="n"/>
      <c r="J686" s="692" t="n"/>
      <c r="K686" s="692" t="n"/>
      <c r="L686" s="692" t="n"/>
      <c r="M686" s="692" t="n"/>
      <c r="N686" s="692" t="n"/>
      <c r="O686" s="692" t="n"/>
      <c r="P686" s="692" t="n"/>
      <c r="Q686" s="692" t="n"/>
      <c r="R686" s="692" t="n"/>
      <c r="S686" s="692" t="n"/>
      <c r="T686" s="692" t="n"/>
      <c r="U686" s="692" t="n"/>
      <c r="V686" s="692" t="n"/>
      <c r="W686" s="692" t="n"/>
      <c r="X686" s="692" t="n"/>
      <c r="Y686" s="692" t="n"/>
      <c r="Z686" s="692" t="n"/>
      <c r="AA686" s="692" t="n"/>
      <c r="AB686" s="692" t="n"/>
      <c r="AC686" s="692" t="n"/>
      <c r="AD686" s="692" t="n"/>
      <c r="AE686" s="692" t="n"/>
      <c r="AF686" s="692" t="n"/>
      <c r="AG686" s="692" t="n"/>
      <c r="AH686" s="692" t="n"/>
      <c r="AI686" s="692" t="n"/>
      <c r="AJ686" s="692" t="n"/>
      <c r="AK686" s="692" t="n"/>
      <c r="AL686" s="692" t="n"/>
      <c r="AM686" s="692" t="n"/>
      <c r="AN686" s="692" t="n"/>
      <c r="AO686" s="692" t="n"/>
      <c r="AP686" s="692" t="n"/>
    </row>
    <row r="687">
      <c r="A687" s="692" t="n"/>
      <c r="B687" s="692" t="n"/>
      <c r="C687" s="692" t="n"/>
      <c r="D687" s="692" t="n"/>
      <c r="E687" s="692" t="n"/>
      <c r="F687" s="692" t="n"/>
      <c r="G687" s="692" t="n"/>
      <c r="H687" s="692" t="n"/>
      <c r="I687" s="692" t="n"/>
      <c r="J687" s="692" t="n"/>
      <c r="K687" s="692" t="n"/>
      <c r="L687" s="692" t="n"/>
      <c r="M687" s="692" t="n"/>
      <c r="N687" s="692" t="n"/>
      <c r="O687" s="692" t="n"/>
      <c r="P687" s="692" t="n"/>
      <c r="Q687" s="692" t="n"/>
      <c r="R687" s="692" t="n"/>
      <c r="S687" s="692" t="n"/>
      <c r="T687" s="692" t="n"/>
      <c r="U687" s="692" t="n"/>
      <c r="V687" s="692" t="n"/>
      <c r="W687" s="692" t="n"/>
      <c r="X687" s="692" t="n"/>
      <c r="Y687" s="692" t="n"/>
      <c r="Z687" s="692" t="n"/>
      <c r="AA687" s="692" t="n"/>
      <c r="AB687" s="692" t="n"/>
      <c r="AC687" s="692" t="n"/>
      <c r="AD687" s="692" t="n"/>
      <c r="AE687" s="692" t="n"/>
      <c r="AF687" s="692" t="n"/>
      <c r="AG687" s="692" t="n"/>
      <c r="AH687" s="692" t="n"/>
      <c r="AI687" s="692" t="n"/>
      <c r="AJ687" s="692" t="n"/>
      <c r="AK687" s="692" t="n"/>
      <c r="AL687" s="692" t="n"/>
      <c r="AM687" s="692" t="n"/>
      <c r="AN687" s="692" t="n"/>
      <c r="AO687" s="692" t="n"/>
      <c r="AP687" s="692" t="n"/>
    </row>
    <row r="688">
      <c r="A688" s="692" t="n"/>
      <c r="B688" s="692" t="n"/>
      <c r="C688" s="692" t="n"/>
      <c r="D688" s="692" t="n"/>
      <c r="E688" s="692" t="n"/>
      <c r="F688" s="692" t="n"/>
      <c r="G688" s="692" t="n"/>
      <c r="H688" s="692" t="n"/>
      <c r="I688" s="692" t="n"/>
      <c r="J688" s="692" t="n"/>
      <c r="K688" s="692" t="n"/>
      <c r="L688" s="692" t="n"/>
      <c r="M688" s="692" t="n"/>
      <c r="N688" s="692" t="n"/>
      <c r="O688" s="692" t="n"/>
      <c r="P688" s="692" t="n"/>
      <c r="Q688" s="692" t="n"/>
      <c r="R688" s="692" t="n"/>
      <c r="S688" s="692" t="n"/>
      <c r="T688" s="692" t="n"/>
      <c r="U688" s="692" t="n"/>
      <c r="V688" s="692" t="n"/>
      <c r="W688" s="692" t="n"/>
      <c r="X688" s="692" t="n"/>
      <c r="Y688" s="692" t="n"/>
      <c r="Z688" s="692" t="n"/>
      <c r="AA688" s="692" t="n"/>
      <c r="AB688" s="692" t="n"/>
      <c r="AC688" s="692" t="n"/>
      <c r="AD688" s="692" t="n"/>
      <c r="AE688" s="692" t="n"/>
      <c r="AF688" s="692" t="n"/>
      <c r="AG688" s="692" t="n"/>
      <c r="AH688" s="692" t="n"/>
      <c r="AI688" s="692" t="n"/>
      <c r="AJ688" s="692" t="n"/>
      <c r="AK688" s="692" t="n"/>
      <c r="AL688" s="692" t="n"/>
      <c r="AM688" s="692" t="n"/>
      <c r="AN688" s="692" t="n"/>
      <c r="AO688" s="692" t="n"/>
      <c r="AP688" s="692" t="n"/>
    </row>
    <row r="689">
      <c r="A689" s="692" t="n"/>
      <c r="B689" s="692" t="n"/>
      <c r="C689" s="692" t="n"/>
      <c r="D689" s="692" t="n"/>
      <c r="E689" s="692" t="n"/>
      <c r="F689" s="692" t="n"/>
      <c r="G689" s="692" t="n"/>
      <c r="H689" s="692" t="n"/>
      <c r="I689" s="692" t="n"/>
      <c r="J689" s="692" t="n"/>
      <c r="K689" s="692" t="n"/>
      <c r="L689" s="692" t="n"/>
      <c r="M689" s="692" t="n"/>
      <c r="N689" s="692" t="n"/>
      <c r="O689" s="692" t="n"/>
      <c r="P689" s="692" t="n"/>
      <c r="Q689" s="692" t="n"/>
      <c r="R689" s="692" t="n"/>
      <c r="S689" s="692" t="n"/>
      <c r="T689" s="692" t="n"/>
      <c r="U689" s="692" t="n"/>
      <c r="V689" s="692" t="n"/>
      <c r="W689" s="692" t="n"/>
      <c r="X689" s="692" t="n"/>
      <c r="Y689" s="692" t="n"/>
      <c r="Z689" s="692" t="n"/>
      <c r="AA689" s="692" t="n"/>
      <c r="AB689" s="692" t="n"/>
      <c r="AC689" s="692" t="n"/>
      <c r="AD689" s="692" t="n"/>
      <c r="AE689" s="692" t="n"/>
      <c r="AF689" s="692" t="n"/>
      <c r="AG689" s="692" t="n"/>
      <c r="AH689" s="692" t="n"/>
      <c r="AI689" s="692" t="n"/>
      <c r="AJ689" s="692" t="n"/>
      <c r="AK689" s="692" t="n"/>
      <c r="AL689" s="692" t="n"/>
      <c r="AM689" s="692" t="n"/>
      <c r="AN689" s="692" t="n"/>
      <c r="AO689" s="692" t="n"/>
      <c r="AP689" s="692" t="n"/>
    </row>
    <row r="690">
      <c r="A690" s="692" t="n"/>
      <c r="B690" s="692" t="n"/>
      <c r="C690" s="692" t="n"/>
      <c r="D690" s="692" t="n"/>
      <c r="E690" s="692" t="n"/>
      <c r="F690" s="692" t="n"/>
      <c r="G690" s="692" t="n"/>
      <c r="H690" s="692" t="n"/>
      <c r="I690" s="692" t="n"/>
      <c r="J690" s="692" t="n"/>
      <c r="K690" s="692" t="n"/>
      <c r="L690" s="692" t="n"/>
      <c r="M690" s="692" t="n"/>
      <c r="N690" s="692" t="n"/>
      <c r="O690" s="692" t="n"/>
      <c r="P690" s="692" t="n"/>
      <c r="Q690" s="692" t="n"/>
      <c r="R690" s="692" t="n"/>
      <c r="S690" s="692" t="n"/>
      <c r="T690" s="692" t="n"/>
      <c r="U690" s="692" t="n"/>
      <c r="V690" s="692" t="n"/>
      <c r="W690" s="692" t="n"/>
      <c r="X690" s="692" t="n"/>
      <c r="Y690" s="692" t="n"/>
      <c r="Z690" s="692" t="n"/>
      <c r="AA690" s="692" t="n"/>
      <c r="AB690" s="692" t="n"/>
      <c r="AC690" s="692" t="n"/>
      <c r="AD690" s="692" t="n"/>
      <c r="AE690" s="692" t="n"/>
      <c r="AF690" s="692" t="n"/>
      <c r="AG690" s="692" t="n"/>
      <c r="AH690" s="692" t="n"/>
      <c r="AI690" s="692" t="n"/>
      <c r="AJ690" s="692" t="n"/>
      <c r="AK690" s="692" t="n"/>
      <c r="AL690" s="692" t="n"/>
      <c r="AM690" s="692" t="n"/>
      <c r="AN690" s="692" t="n"/>
      <c r="AO690" s="692" t="n"/>
      <c r="AP690" s="692" t="n"/>
    </row>
    <row r="691">
      <c r="A691" s="692" t="n"/>
      <c r="B691" s="692" t="n"/>
      <c r="C691" s="692" t="n"/>
      <c r="D691" s="692" t="n"/>
      <c r="E691" s="692" t="n"/>
      <c r="F691" s="692" t="n"/>
      <c r="G691" s="692" t="n"/>
      <c r="H691" s="692" t="n"/>
      <c r="I691" s="692" t="n"/>
      <c r="J691" s="692" t="n"/>
      <c r="K691" s="692" t="n"/>
      <c r="L691" s="692" t="n"/>
      <c r="M691" s="692" t="n"/>
      <c r="N691" s="692" t="n"/>
      <c r="O691" s="692" t="n"/>
      <c r="P691" s="692" t="n"/>
      <c r="Q691" s="692" t="n"/>
      <c r="R691" s="692" t="n"/>
      <c r="S691" s="692" t="n"/>
      <c r="T691" s="692" t="n"/>
      <c r="U691" s="692" t="n"/>
      <c r="V691" s="692" t="n"/>
      <c r="W691" s="692" t="n"/>
      <c r="X691" s="692" t="n"/>
      <c r="Y691" s="692" t="n"/>
      <c r="Z691" s="692" t="n"/>
      <c r="AA691" s="692" t="n"/>
      <c r="AB691" s="692" t="n"/>
      <c r="AC691" s="692" t="n"/>
      <c r="AD691" s="692" t="n"/>
      <c r="AE691" s="692" t="n"/>
      <c r="AF691" s="692" t="n"/>
      <c r="AG691" s="692" t="n"/>
      <c r="AH691" s="692" t="n"/>
      <c r="AI691" s="692" t="n"/>
      <c r="AJ691" s="692" t="n"/>
      <c r="AK691" s="692" t="n"/>
      <c r="AL691" s="692" t="n"/>
      <c r="AM691" s="692" t="n"/>
      <c r="AN691" s="692" t="n"/>
      <c r="AO691" s="692" t="n"/>
      <c r="AP691" s="692" t="n"/>
    </row>
    <row r="692">
      <c r="A692" s="692" t="n"/>
      <c r="B692" s="692" t="n"/>
      <c r="C692" s="692" t="n"/>
      <c r="D692" s="692" t="n"/>
      <c r="E692" s="692" t="n"/>
      <c r="F692" s="692" t="n"/>
      <c r="G692" s="692" t="n"/>
      <c r="H692" s="692" t="n"/>
      <c r="I692" s="692" t="n"/>
      <c r="J692" s="692" t="n"/>
      <c r="K692" s="692" t="n"/>
      <c r="L692" s="692" t="n"/>
      <c r="M692" s="692" t="n"/>
      <c r="N692" s="692" t="n"/>
      <c r="O692" s="692" t="n"/>
      <c r="P692" s="692" t="n"/>
      <c r="Q692" s="692" t="n"/>
      <c r="R692" s="692" t="n"/>
      <c r="S692" s="692" t="n"/>
      <c r="T692" s="692" t="n"/>
      <c r="U692" s="692" t="n"/>
      <c r="V692" s="692" t="n"/>
      <c r="W692" s="692" t="n"/>
      <c r="X692" s="692" t="n"/>
      <c r="Y692" s="692" t="n"/>
      <c r="Z692" s="692" t="n"/>
      <c r="AA692" s="692" t="n"/>
      <c r="AB692" s="692" t="n"/>
      <c r="AC692" s="692" t="n"/>
      <c r="AD692" s="692" t="n"/>
      <c r="AE692" s="692" t="n"/>
      <c r="AF692" s="692" t="n"/>
      <c r="AG692" s="692" t="n"/>
      <c r="AH692" s="692" t="n"/>
      <c r="AI692" s="692" t="n"/>
      <c r="AJ692" s="692" t="n"/>
      <c r="AK692" s="692" t="n"/>
      <c r="AL692" s="692" t="n"/>
      <c r="AM692" s="692" t="n"/>
      <c r="AN692" s="692" t="n"/>
      <c r="AO692" s="692" t="n"/>
      <c r="AP692" s="692" t="n"/>
    </row>
    <row r="693">
      <c r="A693" s="692" t="n"/>
      <c r="B693" s="692" t="n"/>
      <c r="C693" s="692" t="n"/>
      <c r="D693" s="692" t="n"/>
      <c r="E693" s="692" t="n"/>
      <c r="F693" s="692" t="n"/>
      <c r="G693" s="692" t="n"/>
      <c r="H693" s="692" t="n"/>
      <c r="I693" s="692" t="n"/>
      <c r="J693" s="692" t="n"/>
      <c r="K693" s="692" t="n"/>
      <c r="L693" s="692" t="n"/>
      <c r="M693" s="692" t="n"/>
      <c r="N693" s="692" t="n"/>
      <c r="O693" s="692" t="n"/>
      <c r="P693" s="692" t="n"/>
      <c r="Q693" s="692" t="n"/>
      <c r="R693" s="692" t="n"/>
      <c r="S693" s="692" t="n"/>
      <c r="T693" s="692" t="n"/>
      <c r="U693" s="692" t="n"/>
      <c r="V693" s="692" t="n"/>
      <c r="W693" s="692" t="n"/>
      <c r="X693" s="692" t="n"/>
      <c r="Y693" s="692" t="n"/>
      <c r="Z693" s="692" t="n"/>
      <c r="AA693" s="692" t="n"/>
      <c r="AB693" s="692" t="n"/>
      <c r="AC693" s="692" t="n"/>
      <c r="AD693" s="692" t="n"/>
      <c r="AE693" s="692" t="n"/>
      <c r="AF693" s="692" t="n"/>
      <c r="AG693" s="692" t="n"/>
      <c r="AH693" s="692" t="n"/>
      <c r="AI693" s="692" t="n"/>
      <c r="AJ693" s="692" t="n"/>
      <c r="AK693" s="692" t="n"/>
      <c r="AL693" s="692" t="n"/>
      <c r="AM693" s="692" t="n"/>
      <c r="AN693" s="692" t="n"/>
      <c r="AO693" s="692" t="n"/>
      <c r="AP693" s="692" t="n"/>
    </row>
    <row r="694">
      <c r="A694" s="692" t="n"/>
      <c r="B694" s="692" t="n"/>
      <c r="C694" s="692" t="n"/>
      <c r="D694" s="692" t="n"/>
      <c r="E694" s="692" t="n"/>
      <c r="F694" s="692" t="n"/>
      <c r="G694" s="692" t="n"/>
      <c r="H694" s="692" t="n"/>
      <c r="I694" s="692" t="n"/>
      <c r="J694" s="692" t="n"/>
      <c r="K694" s="692" t="n"/>
      <c r="L694" s="692" t="n"/>
      <c r="M694" s="692" t="n"/>
      <c r="N694" s="692" t="n"/>
      <c r="O694" s="692" t="n"/>
      <c r="P694" s="692" t="n"/>
      <c r="Q694" s="692" t="n"/>
      <c r="R694" s="692" t="n"/>
      <c r="S694" s="692" t="n"/>
      <c r="T694" s="692" t="n"/>
      <c r="U694" s="692" t="n"/>
      <c r="V694" s="692" t="n"/>
      <c r="W694" s="692" t="n"/>
      <c r="X694" s="692" t="n"/>
      <c r="Y694" s="692" t="n"/>
      <c r="Z694" s="692" t="n"/>
      <c r="AA694" s="692" t="n"/>
      <c r="AB694" s="692" t="n"/>
      <c r="AC694" s="692" t="n"/>
      <c r="AD694" s="692" t="n"/>
      <c r="AE694" s="692" t="n"/>
      <c r="AF694" s="692" t="n"/>
      <c r="AG694" s="692" t="n"/>
      <c r="AH694" s="692" t="n"/>
      <c r="AI694" s="692" t="n"/>
      <c r="AJ694" s="692" t="n"/>
      <c r="AK694" s="692" t="n"/>
      <c r="AL694" s="692" t="n"/>
      <c r="AM694" s="692" t="n"/>
      <c r="AN694" s="692" t="n"/>
      <c r="AO694" s="692" t="n"/>
      <c r="AP694" s="692" t="n"/>
    </row>
    <row r="695">
      <c r="A695" s="692" t="n"/>
      <c r="B695" s="692" t="n"/>
      <c r="C695" s="692" t="n"/>
      <c r="D695" s="692" t="n"/>
      <c r="E695" s="692" t="n"/>
      <c r="F695" s="692" t="n"/>
      <c r="G695" s="692" t="n"/>
      <c r="H695" s="692" t="n"/>
      <c r="I695" s="692" t="n"/>
      <c r="J695" s="692" t="n"/>
      <c r="K695" s="692" t="n"/>
      <c r="L695" s="692" t="n"/>
      <c r="M695" s="692" t="n"/>
      <c r="N695" s="692" t="n"/>
      <c r="O695" s="692" t="n"/>
      <c r="P695" s="692" t="n"/>
      <c r="Q695" s="692" t="n"/>
      <c r="R695" s="692" t="n"/>
      <c r="S695" s="692" t="n"/>
      <c r="T695" s="692" t="n"/>
      <c r="U695" s="692" t="n"/>
      <c r="V695" s="692" t="n"/>
      <c r="W695" s="692" t="n"/>
      <c r="X695" s="692" t="n"/>
      <c r="Y695" s="692" t="n"/>
      <c r="Z695" s="692" t="n"/>
      <c r="AA695" s="692" t="n"/>
      <c r="AB695" s="692" t="n"/>
      <c r="AC695" s="692" t="n"/>
      <c r="AD695" s="692" t="n"/>
      <c r="AE695" s="692" t="n"/>
      <c r="AF695" s="692" t="n"/>
      <c r="AG695" s="692" t="n"/>
      <c r="AH695" s="692" t="n"/>
      <c r="AI695" s="692" t="n"/>
      <c r="AJ695" s="692" t="n"/>
      <c r="AK695" s="692" t="n"/>
      <c r="AL695" s="692" t="n"/>
      <c r="AM695" s="692" t="n"/>
      <c r="AN695" s="692" t="n"/>
      <c r="AO695" s="692" t="n"/>
      <c r="AP695" s="692" t="n"/>
    </row>
    <row r="696">
      <c r="A696" s="692" t="n"/>
      <c r="B696" s="692" t="n"/>
      <c r="C696" s="692" t="n"/>
      <c r="D696" s="692" t="n"/>
      <c r="E696" s="692" t="n"/>
      <c r="F696" s="692" t="n"/>
      <c r="G696" s="692" t="n"/>
      <c r="H696" s="692" t="n"/>
      <c r="I696" s="692" t="n"/>
      <c r="J696" s="692" t="n"/>
      <c r="K696" s="692" t="n"/>
      <c r="L696" s="692" t="n"/>
      <c r="M696" s="692" t="n"/>
      <c r="N696" s="692" t="n"/>
      <c r="O696" s="692" t="n"/>
      <c r="P696" s="692" t="n"/>
      <c r="Q696" s="692" t="n"/>
      <c r="R696" s="692" t="n"/>
      <c r="S696" s="692" t="n"/>
      <c r="T696" s="692" t="n"/>
      <c r="U696" s="692" t="n"/>
      <c r="V696" s="692" t="n"/>
      <c r="W696" s="692" t="n"/>
      <c r="X696" s="692" t="n"/>
      <c r="Y696" s="692" t="n"/>
      <c r="Z696" s="692" t="n"/>
      <c r="AA696" s="692" t="n"/>
      <c r="AB696" s="692" t="n"/>
      <c r="AC696" s="692" t="n"/>
      <c r="AD696" s="692" t="n"/>
      <c r="AE696" s="692" t="n"/>
      <c r="AF696" s="692" t="n"/>
      <c r="AG696" s="692" t="n"/>
      <c r="AH696" s="692" t="n"/>
      <c r="AI696" s="692" t="n"/>
      <c r="AJ696" s="692" t="n"/>
      <c r="AK696" s="692" t="n"/>
      <c r="AL696" s="692" t="n"/>
      <c r="AM696" s="692" t="n"/>
      <c r="AN696" s="692" t="n"/>
      <c r="AO696" s="692" t="n"/>
      <c r="AP696" s="692" t="n"/>
    </row>
    <row r="697">
      <c r="A697" s="692" t="n"/>
      <c r="B697" s="692" t="n"/>
      <c r="C697" s="692" t="n"/>
      <c r="D697" s="692" t="n"/>
      <c r="E697" s="692" t="n"/>
      <c r="F697" s="692" t="n"/>
      <c r="G697" s="692" t="n"/>
      <c r="H697" s="692" t="n"/>
      <c r="I697" s="692" t="n"/>
      <c r="J697" s="692" t="n"/>
      <c r="K697" s="692" t="n"/>
      <c r="L697" s="692" t="n"/>
      <c r="M697" s="692" t="n"/>
      <c r="N697" s="692" t="n"/>
      <c r="O697" s="692" t="n"/>
      <c r="P697" s="692" t="n"/>
      <c r="Q697" s="692" t="n"/>
      <c r="R697" s="692" t="n"/>
      <c r="S697" s="692" t="n"/>
      <c r="T697" s="692" t="n"/>
      <c r="U697" s="692" t="n"/>
      <c r="V697" s="692" t="n"/>
      <c r="W697" s="692" t="n"/>
      <c r="X697" s="692" t="n"/>
      <c r="Y697" s="692" t="n"/>
      <c r="Z697" s="692" t="n"/>
      <c r="AA697" s="692" t="n"/>
      <c r="AB697" s="692" t="n"/>
      <c r="AC697" s="692" t="n"/>
      <c r="AD697" s="692" t="n"/>
      <c r="AE697" s="692" t="n"/>
      <c r="AF697" s="692" t="n"/>
      <c r="AG697" s="692" t="n"/>
      <c r="AH697" s="692" t="n"/>
      <c r="AI697" s="692" t="n"/>
      <c r="AJ697" s="692" t="n"/>
      <c r="AK697" s="692" t="n"/>
      <c r="AL697" s="692" t="n"/>
      <c r="AM697" s="692" t="n"/>
      <c r="AN697" s="692" t="n"/>
      <c r="AO697" s="692" t="n"/>
      <c r="AP697" s="692" t="n"/>
    </row>
    <row r="698">
      <c r="A698" s="692" t="n"/>
      <c r="B698" s="692" t="n"/>
      <c r="C698" s="692" t="n"/>
      <c r="D698" s="692" t="n"/>
      <c r="E698" s="692" t="n"/>
      <c r="F698" s="692" t="n"/>
      <c r="G698" s="692" t="n"/>
      <c r="H698" s="692" t="n"/>
      <c r="I698" s="692" t="n"/>
      <c r="J698" s="692" t="n"/>
      <c r="K698" s="692" t="n"/>
      <c r="L698" s="692" t="n"/>
      <c r="M698" s="692" t="n"/>
      <c r="N698" s="692" t="n"/>
      <c r="O698" s="692" t="n"/>
      <c r="P698" s="692" t="n"/>
      <c r="Q698" s="692" t="n"/>
      <c r="R698" s="692" t="n"/>
      <c r="S698" s="692" t="n"/>
      <c r="T698" s="692" t="n"/>
      <c r="U698" s="692" t="n"/>
      <c r="V698" s="692" t="n"/>
      <c r="W698" s="692" t="n"/>
      <c r="X698" s="692" t="n"/>
      <c r="Y698" s="692" t="n"/>
      <c r="Z698" s="692" t="n"/>
      <c r="AA698" s="692" t="n"/>
      <c r="AB698" s="692" t="n"/>
      <c r="AC698" s="692" t="n"/>
      <c r="AD698" s="692" t="n"/>
      <c r="AE698" s="692" t="n"/>
      <c r="AF698" s="692" t="n"/>
      <c r="AG698" s="692" t="n"/>
      <c r="AH698" s="692" t="n"/>
      <c r="AI698" s="692" t="n"/>
      <c r="AJ698" s="692" t="n"/>
      <c r="AK698" s="692" t="n"/>
      <c r="AL698" s="692" t="n"/>
      <c r="AM698" s="692" t="n"/>
      <c r="AN698" s="692" t="n"/>
      <c r="AO698" s="692" t="n"/>
      <c r="AP698" s="692" t="n"/>
    </row>
    <row r="699">
      <c r="A699" s="692" t="n"/>
      <c r="B699" s="692" t="n"/>
      <c r="C699" s="692" t="n"/>
      <c r="D699" s="692" t="n"/>
      <c r="E699" s="692" t="n"/>
      <c r="F699" s="692" t="n"/>
      <c r="G699" s="692" t="n"/>
      <c r="H699" s="692" t="n"/>
      <c r="I699" s="692" t="n"/>
      <c r="J699" s="692" t="n"/>
      <c r="K699" s="692" t="n"/>
      <c r="L699" s="692" t="n"/>
      <c r="M699" s="692" t="n"/>
      <c r="N699" s="692" t="n"/>
      <c r="O699" s="692" t="n"/>
      <c r="P699" s="692" t="n"/>
      <c r="Q699" s="692" t="n"/>
      <c r="R699" s="692" t="n"/>
      <c r="S699" s="692" t="n"/>
      <c r="T699" s="692" t="n"/>
      <c r="U699" s="692" t="n"/>
      <c r="V699" s="692" t="n"/>
      <c r="W699" s="692" t="n"/>
      <c r="X699" s="692" t="n"/>
      <c r="Y699" s="692" t="n"/>
      <c r="Z699" s="692" t="n"/>
      <c r="AA699" s="692" t="n"/>
      <c r="AB699" s="692" t="n"/>
      <c r="AC699" s="692" t="n"/>
      <c r="AD699" s="692" t="n"/>
      <c r="AE699" s="692" t="n"/>
      <c r="AF699" s="692" t="n"/>
      <c r="AG699" s="692" t="n"/>
      <c r="AH699" s="692" t="n"/>
      <c r="AI699" s="692" t="n"/>
      <c r="AJ699" s="692" t="n"/>
      <c r="AK699" s="692" t="n"/>
      <c r="AL699" s="692" t="n"/>
      <c r="AM699" s="692" t="n"/>
      <c r="AN699" s="692" t="n"/>
      <c r="AO699" s="692" t="n"/>
      <c r="AP699" s="692" t="n"/>
    </row>
    <row r="700">
      <c r="A700" s="692" t="n"/>
      <c r="B700" s="692" t="n"/>
      <c r="C700" s="692" t="n"/>
      <c r="D700" s="692" t="n"/>
      <c r="E700" s="692" t="n"/>
      <c r="F700" s="692" t="n"/>
      <c r="G700" s="692" t="n"/>
      <c r="H700" s="692" t="n"/>
      <c r="I700" s="692" t="n"/>
      <c r="J700" s="692" t="n"/>
      <c r="K700" s="692" t="n"/>
      <c r="L700" s="692" t="n"/>
      <c r="M700" s="692" t="n"/>
      <c r="N700" s="692" t="n"/>
      <c r="O700" s="692" t="n"/>
      <c r="P700" s="692" t="n"/>
      <c r="Q700" s="692" t="n"/>
      <c r="R700" s="692" t="n"/>
      <c r="S700" s="692" t="n"/>
      <c r="T700" s="692" t="n"/>
      <c r="U700" s="692" t="n"/>
      <c r="V700" s="692" t="n"/>
      <c r="W700" s="692" t="n"/>
      <c r="X700" s="692" t="n"/>
      <c r="Y700" s="692" t="n"/>
      <c r="Z700" s="692" t="n"/>
      <c r="AA700" s="692" t="n"/>
      <c r="AB700" s="692" t="n"/>
      <c r="AC700" s="692" t="n"/>
      <c r="AD700" s="692" t="n"/>
      <c r="AE700" s="692" t="n"/>
      <c r="AF700" s="692" t="n"/>
      <c r="AG700" s="692" t="n"/>
      <c r="AH700" s="692" t="n"/>
      <c r="AI700" s="692" t="n"/>
      <c r="AJ700" s="692" t="n"/>
      <c r="AK700" s="692" t="n"/>
      <c r="AL700" s="692" t="n"/>
      <c r="AM700" s="692" t="n"/>
      <c r="AN700" s="692" t="n"/>
      <c r="AO700" s="692" t="n"/>
      <c r="AP700" s="692" t="n"/>
    </row>
    <row r="701">
      <c r="A701" s="692" t="n"/>
      <c r="B701" s="692" t="n"/>
      <c r="C701" s="692" t="n"/>
      <c r="D701" s="692" t="n"/>
      <c r="E701" s="692" t="n"/>
      <c r="F701" s="692" t="n"/>
      <c r="G701" s="692" t="n"/>
      <c r="H701" s="692" t="n"/>
      <c r="I701" s="692" t="n"/>
      <c r="J701" s="692" t="n"/>
      <c r="K701" s="692" t="n"/>
      <c r="L701" s="692" t="n"/>
      <c r="M701" s="692" t="n"/>
      <c r="N701" s="692" t="n"/>
      <c r="O701" s="692" t="n"/>
      <c r="P701" s="692" t="n"/>
      <c r="Q701" s="692" t="n"/>
      <c r="R701" s="692" t="n"/>
      <c r="S701" s="692" t="n"/>
      <c r="T701" s="692" t="n"/>
      <c r="U701" s="692" t="n"/>
      <c r="V701" s="692" t="n"/>
      <c r="W701" s="692" t="n"/>
      <c r="X701" s="692" t="n"/>
      <c r="Y701" s="692" t="n"/>
      <c r="Z701" s="692" t="n"/>
      <c r="AA701" s="692" t="n"/>
      <c r="AB701" s="692" t="n"/>
      <c r="AC701" s="692" t="n"/>
      <c r="AD701" s="692" t="n"/>
      <c r="AE701" s="692" t="n"/>
      <c r="AF701" s="692" t="n"/>
      <c r="AG701" s="692" t="n"/>
      <c r="AH701" s="692" t="n"/>
      <c r="AI701" s="692" t="n"/>
      <c r="AJ701" s="692" t="n"/>
      <c r="AK701" s="692" t="n"/>
      <c r="AL701" s="692" t="n"/>
      <c r="AM701" s="692" t="n"/>
      <c r="AN701" s="692" t="n"/>
      <c r="AO701" s="692" t="n"/>
      <c r="AP701" s="692" t="n"/>
    </row>
    <row r="702">
      <c r="A702" s="692" t="n"/>
      <c r="B702" s="692" t="n"/>
      <c r="C702" s="692" t="n"/>
      <c r="D702" s="692" t="n"/>
      <c r="E702" s="692" t="n"/>
      <c r="F702" s="692" t="n"/>
      <c r="G702" s="692" t="n"/>
      <c r="H702" s="692" t="n"/>
      <c r="I702" s="692" t="n"/>
      <c r="J702" s="692" t="n"/>
      <c r="K702" s="692" t="n"/>
      <c r="L702" s="692" t="n"/>
      <c r="M702" s="692" t="n"/>
      <c r="N702" s="692" t="n"/>
      <c r="O702" s="692" t="n"/>
      <c r="P702" s="692" t="n"/>
      <c r="Q702" s="692" t="n"/>
      <c r="R702" s="692" t="n"/>
      <c r="S702" s="692" t="n"/>
      <c r="T702" s="692" t="n"/>
      <c r="U702" s="692" t="n"/>
      <c r="V702" s="692" t="n"/>
      <c r="W702" s="692" t="n"/>
      <c r="X702" s="692" t="n"/>
      <c r="Y702" s="692" t="n"/>
      <c r="Z702" s="692" t="n"/>
      <c r="AA702" s="692" t="n"/>
      <c r="AB702" s="692" t="n"/>
      <c r="AC702" s="692" t="n"/>
      <c r="AD702" s="692" t="n"/>
      <c r="AE702" s="692" t="n"/>
      <c r="AF702" s="692" t="n"/>
      <c r="AG702" s="692" t="n"/>
      <c r="AH702" s="692" t="n"/>
      <c r="AI702" s="692" t="n"/>
      <c r="AJ702" s="692" t="n"/>
      <c r="AK702" s="692" t="n"/>
      <c r="AL702" s="692" t="n"/>
      <c r="AM702" s="692" t="n"/>
      <c r="AN702" s="692" t="n"/>
      <c r="AO702" s="692" t="n"/>
      <c r="AP702" s="692" t="n"/>
    </row>
    <row r="703">
      <c r="A703" s="692" t="n"/>
      <c r="B703" s="692" t="n"/>
      <c r="C703" s="692" t="n"/>
      <c r="D703" s="692" t="n"/>
      <c r="E703" s="692" t="n"/>
      <c r="F703" s="692" t="n"/>
      <c r="G703" s="692" t="n"/>
      <c r="H703" s="692" t="n"/>
      <c r="I703" s="692" t="n"/>
      <c r="J703" s="692" t="n"/>
      <c r="K703" s="692" t="n"/>
      <c r="L703" s="692" t="n"/>
      <c r="M703" s="692" t="n"/>
      <c r="N703" s="692" t="n"/>
      <c r="O703" s="692" t="n"/>
      <c r="P703" s="692" t="n"/>
      <c r="Q703" s="692" t="n"/>
      <c r="R703" s="692" t="n"/>
      <c r="S703" s="692" t="n"/>
      <c r="T703" s="692" t="n"/>
      <c r="U703" s="692" t="n"/>
      <c r="V703" s="692" t="n"/>
      <c r="W703" s="692" t="n"/>
      <c r="X703" s="692" t="n"/>
      <c r="Y703" s="692" t="n"/>
      <c r="Z703" s="692" t="n"/>
      <c r="AA703" s="692" t="n"/>
      <c r="AB703" s="692" t="n"/>
      <c r="AC703" s="692" t="n"/>
      <c r="AD703" s="692" t="n"/>
      <c r="AE703" s="692" t="n"/>
      <c r="AF703" s="692" t="n"/>
      <c r="AG703" s="692" t="n"/>
      <c r="AH703" s="692" t="n"/>
      <c r="AI703" s="692" t="n"/>
      <c r="AJ703" s="692" t="n"/>
      <c r="AK703" s="692" t="n"/>
      <c r="AL703" s="692" t="n"/>
      <c r="AM703" s="692" t="n"/>
      <c r="AN703" s="692" t="n"/>
      <c r="AO703" s="692" t="n"/>
      <c r="AP703" s="692" t="n"/>
    </row>
    <row r="704">
      <c r="A704" s="692" t="n"/>
      <c r="B704" s="692" t="n"/>
      <c r="C704" s="692" t="n"/>
      <c r="D704" s="692" t="n"/>
      <c r="E704" s="692" t="n"/>
      <c r="F704" s="692" t="n"/>
      <c r="G704" s="692" t="n"/>
      <c r="H704" s="692" t="n"/>
      <c r="I704" s="692" t="n"/>
      <c r="J704" s="692" t="n"/>
      <c r="K704" s="692" t="n"/>
      <c r="L704" s="692" t="n"/>
      <c r="M704" s="692" t="n"/>
      <c r="N704" s="692" t="n"/>
      <c r="O704" s="692" t="n"/>
      <c r="P704" s="692" t="n"/>
      <c r="Q704" s="692" t="n"/>
      <c r="R704" s="692" t="n"/>
      <c r="S704" s="692" t="n"/>
      <c r="T704" s="692" t="n"/>
      <c r="U704" s="692" t="n"/>
      <c r="V704" s="692" t="n"/>
      <c r="W704" s="692" t="n"/>
      <c r="X704" s="692" t="n"/>
      <c r="Y704" s="692" t="n"/>
      <c r="Z704" s="692" t="n"/>
      <c r="AA704" s="692" t="n"/>
      <c r="AB704" s="692" t="n"/>
      <c r="AC704" s="692" t="n"/>
      <c r="AD704" s="692" t="n"/>
      <c r="AE704" s="692" t="n"/>
      <c r="AF704" s="692" t="n"/>
      <c r="AG704" s="692" t="n"/>
      <c r="AH704" s="692" t="n"/>
      <c r="AI704" s="692" t="n"/>
      <c r="AJ704" s="692" t="n"/>
      <c r="AK704" s="692" t="n"/>
      <c r="AL704" s="692" t="n"/>
      <c r="AM704" s="692" t="n"/>
      <c r="AN704" s="692" t="n"/>
      <c r="AO704" s="692" t="n"/>
      <c r="AP704" s="692" t="n"/>
    </row>
    <row r="705">
      <c r="A705" s="692" t="n"/>
      <c r="B705" s="692" t="n"/>
      <c r="C705" s="692" t="n"/>
      <c r="D705" s="692" t="n"/>
      <c r="E705" s="692" t="n"/>
      <c r="F705" s="692" t="n"/>
      <c r="G705" s="692" t="n"/>
      <c r="H705" s="692" t="n"/>
      <c r="I705" s="692" t="n"/>
      <c r="J705" s="692" t="n"/>
      <c r="K705" s="692" t="n"/>
      <c r="L705" s="692" t="n"/>
      <c r="M705" s="692" t="n"/>
      <c r="N705" s="692" t="n"/>
      <c r="O705" s="692" t="n"/>
      <c r="P705" s="692" t="n"/>
      <c r="Q705" s="692" t="n"/>
      <c r="R705" s="692" t="n"/>
      <c r="S705" s="692" t="n"/>
      <c r="T705" s="692" t="n"/>
      <c r="U705" s="692" t="n"/>
      <c r="V705" s="692" t="n"/>
      <c r="W705" s="692" t="n"/>
      <c r="X705" s="692" t="n"/>
      <c r="Y705" s="692" t="n"/>
      <c r="Z705" s="692" t="n"/>
      <c r="AA705" s="692" t="n"/>
      <c r="AB705" s="692" t="n"/>
      <c r="AC705" s="692" t="n"/>
      <c r="AD705" s="692" t="n"/>
      <c r="AE705" s="692" t="n"/>
      <c r="AF705" s="692" t="n"/>
      <c r="AG705" s="692" t="n"/>
      <c r="AH705" s="692" t="n"/>
      <c r="AI705" s="692" t="n"/>
      <c r="AJ705" s="692" t="n"/>
      <c r="AK705" s="692" t="n"/>
      <c r="AL705" s="692" t="n"/>
      <c r="AM705" s="692" t="n"/>
      <c r="AN705" s="692" t="n"/>
      <c r="AO705" s="692" t="n"/>
      <c r="AP705" s="692" t="n"/>
    </row>
    <row r="706">
      <c r="A706" s="692" t="n"/>
      <c r="B706" s="692" t="n"/>
      <c r="C706" s="692" t="n"/>
      <c r="D706" s="692" t="n"/>
      <c r="E706" s="692" t="n"/>
      <c r="F706" s="692" t="n"/>
      <c r="G706" s="692" t="n"/>
      <c r="H706" s="692" t="n"/>
      <c r="I706" s="692" t="n"/>
      <c r="J706" s="692" t="n"/>
      <c r="K706" s="692" t="n"/>
      <c r="L706" s="692" t="n"/>
      <c r="M706" s="692" t="n"/>
      <c r="N706" s="692" t="n"/>
      <c r="O706" s="692" t="n"/>
      <c r="P706" s="692" t="n"/>
      <c r="Q706" s="692" t="n"/>
      <c r="R706" s="692" t="n"/>
      <c r="S706" s="692" t="n"/>
      <c r="T706" s="692" t="n"/>
      <c r="U706" s="692" t="n"/>
      <c r="V706" s="692" t="n"/>
      <c r="W706" s="692" t="n"/>
      <c r="X706" s="692" t="n"/>
      <c r="Y706" s="692" t="n"/>
      <c r="Z706" s="692" t="n"/>
      <c r="AA706" s="692" t="n"/>
      <c r="AB706" s="692" t="n"/>
      <c r="AC706" s="692" t="n"/>
      <c r="AD706" s="692" t="n"/>
      <c r="AE706" s="692" t="n"/>
      <c r="AF706" s="692" t="n"/>
      <c r="AG706" s="692" t="n"/>
      <c r="AH706" s="692" t="n"/>
      <c r="AI706" s="692" t="n"/>
      <c r="AJ706" s="692" t="n"/>
      <c r="AK706" s="692" t="n"/>
      <c r="AL706" s="692" t="n"/>
      <c r="AM706" s="692" t="n"/>
      <c r="AN706" s="692" t="n"/>
      <c r="AO706" s="692" t="n"/>
      <c r="AP706" s="692" t="n"/>
    </row>
    <row r="707">
      <c r="A707" s="692" t="n"/>
      <c r="B707" s="692" t="n"/>
      <c r="C707" s="692" t="n"/>
      <c r="D707" s="692" t="n"/>
      <c r="E707" s="692" t="n"/>
      <c r="F707" s="692" t="n"/>
      <c r="G707" s="692" t="n"/>
      <c r="H707" s="692" t="n"/>
      <c r="I707" s="692" t="n"/>
      <c r="J707" s="692" t="n"/>
      <c r="K707" s="692" t="n"/>
      <c r="L707" s="692" t="n"/>
      <c r="M707" s="692" t="n"/>
      <c r="N707" s="692" t="n"/>
      <c r="O707" s="692" t="n"/>
      <c r="P707" s="692" t="n"/>
      <c r="Q707" s="692" t="n"/>
      <c r="R707" s="692" t="n"/>
      <c r="S707" s="692" t="n"/>
      <c r="T707" s="692" t="n"/>
      <c r="U707" s="692" t="n"/>
      <c r="V707" s="692" t="n"/>
      <c r="W707" s="692" t="n"/>
      <c r="X707" s="692" t="n"/>
      <c r="Y707" s="692" t="n"/>
      <c r="Z707" s="692" t="n"/>
      <c r="AA707" s="692" t="n"/>
      <c r="AB707" s="692" t="n"/>
      <c r="AC707" s="692" t="n"/>
      <c r="AD707" s="692" t="n"/>
      <c r="AE707" s="692" t="n"/>
      <c r="AF707" s="692" t="n"/>
      <c r="AG707" s="692" t="n"/>
      <c r="AH707" s="692" t="n"/>
      <c r="AI707" s="692" t="n"/>
      <c r="AJ707" s="692" t="n"/>
      <c r="AK707" s="692" t="n"/>
      <c r="AL707" s="692" t="n"/>
      <c r="AM707" s="692" t="n"/>
      <c r="AN707" s="692" t="n"/>
      <c r="AO707" s="692" t="n"/>
      <c r="AP707" s="692" t="n"/>
    </row>
    <row r="708">
      <c r="A708" s="692" t="n"/>
      <c r="B708" s="692" t="n"/>
      <c r="C708" s="692" t="n"/>
      <c r="D708" s="692" t="n"/>
      <c r="E708" s="692" t="n"/>
      <c r="F708" s="692" t="n"/>
      <c r="G708" s="692" t="n"/>
      <c r="H708" s="692" t="n"/>
      <c r="I708" s="692" t="n"/>
      <c r="J708" s="692" t="n"/>
      <c r="K708" s="692" t="n"/>
      <c r="L708" s="692" t="n"/>
      <c r="M708" s="692" t="n"/>
      <c r="N708" s="692" t="n"/>
      <c r="O708" s="692" t="n"/>
      <c r="P708" s="692" t="n"/>
      <c r="Q708" s="692" t="n"/>
      <c r="R708" s="692" t="n"/>
      <c r="S708" s="692" t="n"/>
      <c r="T708" s="692" t="n"/>
      <c r="U708" s="692" t="n"/>
      <c r="V708" s="692" t="n"/>
      <c r="W708" s="692" t="n"/>
      <c r="X708" s="692" t="n"/>
      <c r="Y708" s="692" t="n"/>
      <c r="Z708" s="692" t="n"/>
      <c r="AA708" s="692" t="n"/>
      <c r="AB708" s="692" t="n"/>
      <c r="AC708" s="692" t="n"/>
      <c r="AD708" s="692" t="n"/>
      <c r="AE708" s="692" t="n"/>
      <c r="AF708" s="692" t="n"/>
      <c r="AG708" s="692" t="n"/>
      <c r="AH708" s="692" t="n"/>
      <c r="AI708" s="692" t="n"/>
      <c r="AJ708" s="692" t="n"/>
      <c r="AK708" s="692" t="n"/>
      <c r="AL708" s="692" t="n"/>
      <c r="AM708" s="692" t="n"/>
      <c r="AN708" s="692" t="n"/>
      <c r="AO708" s="692" t="n"/>
      <c r="AP708" s="692" t="n"/>
    </row>
    <row r="709">
      <c r="A709" s="692" t="n"/>
      <c r="B709" s="692" t="n"/>
      <c r="C709" s="692" t="n"/>
      <c r="D709" s="692" t="n"/>
      <c r="E709" s="692" t="n"/>
      <c r="F709" s="692" t="n"/>
      <c r="G709" s="692" t="n"/>
      <c r="H709" s="692" t="n"/>
      <c r="I709" s="692" t="n"/>
      <c r="J709" s="692" t="n"/>
      <c r="K709" s="692" t="n"/>
      <c r="L709" s="692" t="n"/>
      <c r="M709" s="692" t="n"/>
      <c r="N709" s="692" t="n"/>
      <c r="O709" s="692" t="n"/>
      <c r="P709" s="692" t="n"/>
      <c r="Q709" s="692" t="n"/>
      <c r="R709" s="692" t="n"/>
      <c r="S709" s="692" t="n"/>
      <c r="T709" s="692" t="n"/>
      <c r="U709" s="692" t="n"/>
      <c r="V709" s="692" t="n"/>
      <c r="W709" s="692" t="n"/>
      <c r="X709" s="692" t="n"/>
      <c r="Y709" s="692" t="n"/>
      <c r="Z709" s="692" t="n"/>
      <c r="AA709" s="692" t="n"/>
      <c r="AB709" s="692" t="n"/>
      <c r="AC709" s="692" t="n"/>
      <c r="AD709" s="692" t="n"/>
      <c r="AE709" s="692" t="n"/>
      <c r="AF709" s="692" t="n"/>
      <c r="AG709" s="692" t="n"/>
      <c r="AH709" s="692" t="n"/>
      <c r="AI709" s="692" t="n"/>
      <c r="AJ709" s="692" t="n"/>
      <c r="AK709" s="692" t="n"/>
      <c r="AL709" s="692" t="n"/>
      <c r="AM709" s="692" t="n"/>
      <c r="AN709" s="692" t="n"/>
      <c r="AO709" s="692" t="n"/>
      <c r="AP709" s="692" t="n"/>
    </row>
    <row r="710">
      <c r="A710" s="692" t="n"/>
      <c r="B710" s="692" t="n"/>
      <c r="C710" s="692" t="n"/>
      <c r="D710" s="692" t="n"/>
      <c r="E710" s="692" t="n"/>
      <c r="F710" s="692" t="n"/>
      <c r="G710" s="692" t="n"/>
      <c r="H710" s="692" t="n"/>
      <c r="I710" s="692" t="n"/>
      <c r="J710" s="692" t="n"/>
      <c r="K710" s="692" t="n"/>
      <c r="L710" s="692" t="n"/>
      <c r="M710" s="692" t="n"/>
      <c r="N710" s="692" t="n"/>
      <c r="O710" s="692" t="n"/>
      <c r="P710" s="692" t="n"/>
      <c r="Q710" s="692" t="n"/>
      <c r="R710" s="692" t="n"/>
      <c r="S710" s="692" t="n"/>
      <c r="T710" s="692" t="n"/>
      <c r="U710" s="692" t="n"/>
      <c r="V710" s="692" t="n"/>
      <c r="W710" s="692" t="n"/>
      <c r="X710" s="692" t="n"/>
      <c r="Y710" s="692" t="n"/>
      <c r="Z710" s="692" t="n"/>
      <c r="AA710" s="692" t="n"/>
      <c r="AB710" s="692" t="n"/>
      <c r="AC710" s="692" t="n"/>
      <c r="AD710" s="692" t="n"/>
      <c r="AE710" s="692" t="n"/>
      <c r="AF710" s="692" t="n"/>
      <c r="AG710" s="692" t="n"/>
      <c r="AH710" s="692" t="n"/>
      <c r="AI710" s="692" t="n"/>
      <c r="AJ710" s="692" t="n"/>
      <c r="AK710" s="692" t="n"/>
      <c r="AL710" s="692" t="n"/>
      <c r="AM710" s="692" t="n"/>
      <c r="AN710" s="692" t="n"/>
      <c r="AO710" s="692" t="n"/>
      <c r="AP710" s="692" t="n"/>
    </row>
    <row r="711">
      <c r="A711" s="692" t="n"/>
      <c r="B711" s="692" t="n"/>
      <c r="C711" s="692" t="n"/>
      <c r="D711" s="692" t="n"/>
      <c r="E711" s="692" t="n"/>
      <c r="F711" s="692" t="n"/>
      <c r="G711" s="692" t="n"/>
      <c r="H711" s="692" t="n"/>
      <c r="I711" s="692" t="n"/>
      <c r="J711" s="692" t="n"/>
      <c r="K711" s="692" t="n"/>
      <c r="L711" s="692" t="n"/>
      <c r="M711" s="692" t="n"/>
      <c r="N711" s="692" t="n"/>
      <c r="O711" s="692" t="n"/>
      <c r="P711" s="692" t="n"/>
      <c r="Q711" s="692" t="n"/>
      <c r="R711" s="692" t="n"/>
      <c r="S711" s="692" t="n"/>
      <c r="T711" s="692" t="n"/>
      <c r="U711" s="692" t="n"/>
      <c r="V711" s="692" t="n"/>
      <c r="W711" s="692" t="n"/>
      <c r="X711" s="692" t="n"/>
      <c r="Y711" s="692" t="n"/>
      <c r="Z711" s="692" t="n"/>
      <c r="AA711" s="692" t="n"/>
      <c r="AB711" s="692" t="n"/>
      <c r="AC711" s="692" t="n"/>
      <c r="AD711" s="692" t="n"/>
      <c r="AE711" s="692" t="n"/>
      <c r="AF711" s="692" t="n"/>
      <c r="AG711" s="692" t="n"/>
      <c r="AH711" s="692" t="n"/>
      <c r="AI711" s="692" t="n"/>
      <c r="AJ711" s="692" t="n"/>
      <c r="AK711" s="692" t="n"/>
      <c r="AL711" s="692" t="n"/>
      <c r="AM711" s="692" t="n"/>
      <c r="AN711" s="692" t="n"/>
      <c r="AO711" s="692" t="n"/>
      <c r="AP711" s="692" t="n"/>
    </row>
    <row r="712">
      <c r="A712" s="692" t="n"/>
      <c r="B712" s="692" t="n"/>
      <c r="C712" s="692" t="n"/>
      <c r="D712" s="692" t="n"/>
      <c r="E712" s="692" t="n"/>
      <c r="F712" s="692" t="n"/>
      <c r="G712" s="692" t="n"/>
      <c r="H712" s="692" t="n"/>
      <c r="I712" s="692" t="n"/>
      <c r="J712" s="692" t="n"/>
      <c r="K712" s="692" t="n"/>
      <c r="L712" s="692" t="n"/>
      <c r="M712" s="692" t="n"/>
      <c r="N712" s="692" t="n"/>
      <c r="O712" s="692" t="n"/>
      <c r="P712" s="692" t="n"/>
      <c r="Q712" s="692" t="n"/>
      <c r="R712" s="692" t="n"/>
      <c r="S712" s="692" t="n"/>
      <c r="T712" s="692" t="n"/>
      <c r="U712" s="692" t="n"/>
      <c r="V712" s="692" t="n"/>
      <c r="W712" s="692" t="n"/>
      <c r="X712" s="692" t="n"/>
      <c r="Y712" s="692" t="n"/>
      <c r="Z712" s="692" t="n"/>
      <c r="AA712" s="692" t="n"/>
      <c r="AB712" s="692" t="n"/>
      <c r="AC712" s="692" t="n"/>
      <c r="AD712" s="692" t="n"/>
      <c r="AE712" s="692" t="n"/>
      <c r="AF712" s="692" t="n"/>
      <c r="AG712" s="692" t="n"/>
      <c r="AH712" s="692" t="n"/>
      <c r="AI712" s="692" t="n"/>
      <c r="AJ712" s="692" t="n"/>
      <c r="AK712" s="692" t="n"/>
      <c r="AL712" s="692" t="n"/>
      <c r="AM712" s="692" t="n"/>
      <c r="AN712" s="692" t="n"/>
      <c r="AO712" s="692" t="n"/>
      <c r="AP712" s="692" t="n"/>
    </row>
    <row r="713">
      <c r="A713" s="692" t="n"/>
      <c r="B713" s="692" t="n"/>
      <c r="C713" s="692" t="n"/>
      <c r="D713" s="692" t="n"/>
      <c r="E713" s="692" t="n"/>
      <c r="F713" s="692" t="n"/>
      <c r="G713" s="692" t="n"/>
      <c r="H713" s="692" t="n"/>
      <c r="I713" s="692" t="n"/>
      <c r="J713" s="692" t="n"/>
      <c r="K713" s="692" t="n"/>
      <c r="L713" s="692" t="n"/>
      <c r="M713" s="692" t="n"/>
      <c r="N713" s="692" t="n"/>
      <c r="O713" s="692" t="n"/>
      <c r="P713" s="692" t="n"/>
      <c r="Q713" s="692" t="n"/>
      <c r="R713" s="692" t="n"/>
      <c r="S713" s="692" t="n"/>
      <c r="T713" s="692" t="n"/>
      <c r="U713" s="692" t="n"/>
      <c r="V713" s="692" t="n"/>
      <c r="W713" s="692" t="n"/>
      <c r="X713" s="692" t="n"/>
      <c r="Y713" s="692" t="n"/>
      <c r="Z713" s="692" t="n"/>
      <c r="AA713" s="692" t="n"/>
      <c r="AB713" s="692" t="n"/>
      <c r="AC713" s="692" t="n"/>
      <c r="AD713" s="692" t="n"/>
      <c r="AE713" s="692" t="n"/>
      <c r="AF713" s="692" t="n"/>
      <c r="AG713" s="692" t="n"/>
      <c r="AH713" s="692" t="n"/>
      <c r="AI713" s="692" t="n"/>
      <c r="AJ713" s="692" t="n"/>
      <c r="AK713" s="692" t="n"/>
      <c r="AL713" s="692" t="n"/>
      <c r="AM713" s="692" t="n"/>
      <c r="AN713" s="692" t="n"/>
      <c r="AO713" s="692" t="n"/>
      <c r="AP713" s="692" t="n"/>
    </row>
    <row r="714">
      <c r="A714" s="692" t="n"/>
      <c r="B714" s="692" t="n"/>
      <c r="C714" s="692" t="n"/>
      <c r="D714" s="692" t="n"/>
      <c r="E714" s="692" t="n"/>
      <c r="F714" s="692" t="n"/>
      <c r="G714" s="692" t="n"/>
      <c r="H714" s="692" t="n"/>
      <c r="I714" s="692" t="n"/>
      <c r="J714" s="692" t="n"/>
      <c r="K714" s="692" t="n"/>
      <c r="L714" s="692" t="n"/>
      <c r="M714" s="692" t="n"/>
      <c r="N714" s="692" t="n"/>
      <c r="O714" s="692" t="n"/>
      <c r="P714" s="692" t="n"/>
      <c r="Q714" s="692" t="n"/>
      <c r="R714" s="692" t="n"/>
      <c r="S714" s="692" t="n"/>
      <c r="T714" s="692" t="n"/>
      <c r="U714" s="692" t="n"/>
      <c r="V714" s="692" t="n"/>
      <c r="W714" s="692" t="n"/>
      <c r="X714" s="692" t="n"/>
      <c r="Y714" s="692" t="n"/>
      <c r="Z714" s="692" t="n"/>
      <c r="AA714" s="692" t="n"/>
      <c r="AB714" s="692" t="n"/>
      <c r="AC714" s="692" t="n"/>
      <c r="AD714" s="692" t="n"/>
      <c r="AE714" s="692" t="n"/>
      <c r="AF714" s="692" t="n"/>
      <c r="AG714" s="692" t="n"/>
      <c r="AH714" s="692" t="n"/>
      <c r="AI714" s="692" t="n"/>
      <c r="AJ714" s="692" t="n"/>
      <c r="AK714" s="692" t="n"/>
      <c r="AL714" s="692" t="n"/>
      <c r="AM714" s="692" t="n"/>
      <c r="AN714" s="692" t="n"/>
      <c r="AO714" s="692" t="n"/>
      <c r="AP714" s="692" t="n"/>
    </row>
    <row r="715">
      <c r="A715" s="692" t="n"/>
      <c r="B715" s="692" t="n"/>
      <c r="C715" s="692" t="n"/>
      <c r="D715" s="692" t="n"/>
      <c r="E715" s="692" t="n"/>
      <c r="F715" s="692" t="n"/>
      <c r="G715" s="692" t="n"/>
      <c r="H715" s="692" t="n"/>
      <c r="I715" s="692" t="n"/>
      <c r="J715" s="692" t="n"/>
      <c r="K715" s="692" t="n"/>
      <c r="L715" s="692" t="n"/>
      <c r="M715" s="692" t="n"/>
      <c r="N715" s="692" t="n"/>
      <c r="O715" s="692" t="n"/>
      <c r="P715" s="692" t="n"/>
      <c r="Q715" s="692" t="n"/>
      <c r="R715" s="692" t="n"/>
      <c r="S715" s="692" t="n"/>
      <c r="T715" s="692" t="n"/>
      <c r="U715" s="692" t="n"/>
      <c r="V715" s="692" t="n"/>
      <c r="W715" s="692" t="n"/>
      <c r="X715" s="692" t="n"/>
      <c r="Y715" s="692" t="n"/>
      <c r="Z715" s="692" t="n"/>
      <c r="AA715" s="692" t="n"/>
      <c r="AB715" s="692" t="n"/>
      <c r="AC715" s="692" t="n"/>
      <c r="AD715" s="692" t="n"/>
      <c r="AE715" s="692" t="n"/>
      <c r="AF715" s="692" t="n"/>
      <c r="AG715" s="692" t="n"/>
      <c r="AH715" s="692" t="n"/>
      <c r="AI715" s="692" t="n"/>
      <c r="AJ715" s="692" t="n"/>
      <c r="AK715" s="692" t="n"/>
      <c r="AL715" s="692" t="n"/>
      <c r="AM715" s="692" t="n"/>
      <c r="AN715" s="692" t="n"/>
      <c r="AO715" s="692" t="n"/>
      <c r="AP715" s="692" t="n"/>
    </row>
    <row r="716">
      <c r="A716" s="692" t="n"/>
      <c r="B716" s="692" t="n"/>
      <c r="C716" s="692" t="n"/>
      <c r="D716" s="692" t="n"/>
      <c r="E716" s="692" t="n"/>
      <c r="F716" s="692" t="n"/>
      <c r="G716" s="692" t="n"/>
      <c r="H716" s="692" t="n"/>
      <c r="I716" s="692" t="n"/>
      <c r="J716" s="692" t="n"/>
      <c r="K716" s="692" t="n"/>
      <c r="L716" s="692" t="n"/>
      <c r="M716" s="692" t="n"/>
      <c r="N716" s="692" t="n"/>
      <c r="O716" s="692" t="n"/>
      <c r="P716" s="692" t="n"/>
      <c r="Q716" s="692" t="n"/>
      <c r="R716" s="692" t="n"/>
      <c r="S716" s="692" t="n"/>
      <c r="T716" s="692" t="n"/>
      <c r="U716" s="692" t="n"/>
      <c r="V716" s="692" t="n"/>
      <c r="W716" s="692" t="n"/>
      <c r="X716" s="692" t="n"/>
      <c r="Y716" s="692" t="n"/>
      <c r="Z716" s="692" t="n"/>
      <c r="AA716" s="692" t="n"/>
      <c r="AB716" s="692" t="n"/>
      <c r="AC716" s="692" t="n"/>
      <c r="AD716" s="692" t="n"/>
      <c r="AE716" s="692" t="n"/>
      <c r="AF716" s="692" t="n"/>
      <c r="AG716" s="692" t="n"/>
      <c r="AH716" s="692" t="n"/>
      <c r="AI716" s="692" t="n"/>
      <c r="AJ716" s="692" t="n"/>
      <c r="AK716" s="692" t="n"/>
      <c r="AL716" s="692" t="n"/>
      <c r="AM716" s="692" t="n"/>
      <c r="AN716" s="692" t="n"/>
      <c r="AO716" s="692" t="n"/>
      <c r="AP716" s="692" t="n"/>
    </row>
    <row r="717">
      <c r="A717" s="692" t="n"/>
      <c r="B717" s="692" t="n"/>
      <c r="C717" s="692" t="n"/>
      <c r="D717" s="692" t="n"/>
      <c r="E717" s="692" t="n"/>
      <c r="F717" s="692" t="n"/>
      <c r="G717" s="692" t="n"/>
      <c r="H717" s="692" t="n"/>
      <c r="I717" s="692" t="n"/>
      <c r="J717" s="692" t="n"/>
      <c r="K717" s="692" t="n"/>
      <c r="L717" s="692" t="n"/>
      <c r="M717" s="692" t="n"/>
      <c r="N717" s="692" t="n"/>
      <c r="O717" s="692" t="n"/>
      <c r="P717" s="692" t="n"/>
      <c r="Q717" s="692" t="n"/>
      <c r="R717" s="692" t="n"/>
      <c r="S717" s="692" t="n"/>
      <c r="T717" s="692" t="n"/>
      <c r="U717" s="692" t="n"/>
      <c r="V717" s="692" t="n"/>
      <c r="W717" s="692" t="n"/>
      <c r="X717" s="692" t="n"/>
      <c r="Y717" s="692" t="n"/>
      <c r="Z717" s="692" t="n"/>
      <c r="AA717" s="692" t="n"/>
      <c r="AB717" s="692" t="n"/>
      <c r="AC717" s="692" t="n"/>
      <c r="AD717" s="692" t="n"/>
      <c r="AE717" s="692" t="n"/>
      <c r="AF717" s="692" t="n"/>
      <c r="AG717" s="692" t="n"/>
      <c r="AH717" s="692" t="n"/>
      <c r="AI717" s="692" t="n"/>
      <c r="AJ717" s="692" t="n"/>
      <c r="AK717" s="692" t="n"/>
      <c r="AL717" s="692" t="n"/>
      <c r="AM717" s="692" t="n"/>
      <c r="AN717" s="692" t="n"/>
      <c r="AO717" s="692" t="n"/>
      <c r="AP717" s="692" t="n"/>
    </row>
    <row r="718">
      <c r="A718" s="692" t="n"/>
      <c r="B718" s="692" t="n"/>
      <c r="C718" s="692" t="n"/>
      <c r="D718" s="692" t="n"/>
      <c r="E718" s="692" t="n"/>
      <c r="F718" s="692" t="n"/>
      <c r="G718" s="692" t="n"/>
      <c r="H718" s="692" t="n"/>
      <c r="I718" s="692" t="n"/>
      <c r="J718" s="692" t="n"/>
      <c r="K718" s="692" t="n"/>
      <c r="L718" s="692" t="n"/>
      <c r="M718" s="692" t="n"/>
      <c r="N718" s="692" t="n"/>
      <c r="O718" s="692" t="n"/>
      <c r="P718" s="692" t="n"/>
      <c r="Q718" s="692" t="n"/>
      <c r="R718" s="692" t="n"/>
      <c r="S718" s="692" t="n"/>
      <c r="T718" s="692" t="n"/>
      <c r="U718" s="692" t="n"/>
      <c r="V718" s="692" t="n"/>
      <c r="W718" s="692" t="n"/>
      <c r="X718" s="692" t="n"/>
      <c r="Y718" s="692" t="n"/>
      <c r="Z718" s="692" t="n"/>
      <c r="AA718" s="692" t="n"/>
      <c r="AB718" s="692" t="n"/>
      <c r="AC718" s="692" t="n"/>
      <c r="AD718" s="692" t="n"/>
      <c r="AE718" s="692" t="n"/>
      <c r="AF718" s="692" t="n"/>
      <c r="AG718" s="692" t="n"/>
      <c r="AH718" s="692" t="n"/>
      <c r="AI718" s="692" t="n"/>
      <c r="AJ718" s="692" t="n"/>
      <c r="AK718" s="692" t="n"/>
      <c r="AL718" s="692" t="n"/>
      <c r="AM718" s="692" t="n"/>
      <c r="AN718" s="692" t="n"/>
      <c r="AO718" s="692" t="n"/>
      <c r="AP718" s="692" t="n"/>
    </row>
    <row r="719">
      <c r="A719" s="692" t="n"/>
      <c r="B719" s="692" t="n"/>
      <c r="C719" s="692" t="n"/>
      <c r="D719" s="692" t="n"/>
      <c r="E719" s="692" t="n"/>
      <c r="F719" s="692" t="n"/>
      <c r="G719" s="692" t="n"/>
      <c r="H719" s="692" t="n"/>
      <c r="I719" s="692" t="n"/>
      <c r="J719" s="692" t="n"/>
      <c r="K719" s="692" t="n"/>
      <c r="L719" s="692" t="n"/>
      <c r="M719" s="692" t="n"/>
      <c r="N719" s="692" t="n"/>
      <c r="O719" s="692" t="n"/>
      <c r="P719" s="692" t="n"/>
      <c r="Q719" s="692" t="n"/>
      <c r="R719" s="692" t="n"/>
      <c r="S719" s="692" t="n"/>
      <c r="T719" s="692" t="n"/>
      <c r="U719" s="692" t="n"/>
      <c r="V719" s="692" t="n"/>
      <c r="W719" s="692" t="n"/>
      <c r="X719" s="692" t="n"/>
      <c r="Y719" s="692" t="n"/>
      <c r="Z719" s="692" t="n"/>
      <c r="AA719" s="692" t="n"/>
      <c r="AB719" s="692" t="n"/>
      <c r="AC719" s="692" t="n"/>
      <c r="AD719" s="692" t="n"/>
      <c r="AE719" s="692" t="n"/>
      <c r="AF719" s="692" t="n"/>
      <c r="AG719" s="692" t="n"/>
      <c r="AH719" s="692" t="n"/>
      <c r="AI719" s="692" t="n"/>
      <c r="AJ719" s="692" t="n"/>
      <c r="AK719" s="692" t="n"/>
      <c r="AL719" s="692" t="n"/>
      <c r="AM719" s="692" t="n"/>
      <c r="AN719" s="692" t="n"/>
      <c r="AO719" s="692" t="n"/>
      <c r="AP719" s="692" t="n"/>
    </row>
    <row r="720">
      <c r="A720" s="692" t="n"/>
      <c r="B720" s="692" t="n"/>
      <c r="C720" s="692" t="n"/>
      <c r="D720" s="692" t="n"/>
      <c r="E720" s="692" t="n"/>
      <c r="F720" s="692" t="n"/>
      <c r="G720" s="692" t="n"/>
      <c r="H720" s="692" t="n"/>
      <c r="I720" s="692" t="n"/>
      <c r="J720" s="692" t="n"/>
      <c r="K720" s="692" t="n"/>
      <c r="L720" s="692" t="n"/>
      <c r="M720" s="692" t="n"/>
      <c r="N720" s="692" t="n"/>
      <c r="O720" s="692" t="n"/>
      <c r="P720" s="692" t="n"/>
      <c r="Q720" s="692" t="n"/>
      <c r="R720" s="692" t="n"/>
      <c r="S720" s="692" t="n"/>
      <c r="T720" s="692" t="n"/>
      <c r="U720" s="692" t="n"/>
      <c r="V720" s="692" t="n"/>
      <c r="W720" s="692" t="n"/>
      <c r="X720" s="692" t="n"/>
      <c r="Y720" s="692" t="n"/>
      <c r="Z720" s="692" t="n"/>
      <c r="AA720" s="692" t="n"/>
      <c r="AB720" s="692" t="n"/>
      <c r="AC720" s="692" t="n"/>
      <c r="AD720" s="692" t="n"/>
      <c r="AE720" s="692" t="n"/>
      <c r="AF720" s="692" t="n"/>
      <c r="AG720" s="692" t="n"/>
      <c r="AH720" s="692" t="n"/>
      <c r="AI720" s="692" t="n"/>
      <c r="AJ720" s="692" t="n"/>
      <c r="AK720" s="692" t="n"/>
      <c r="AL720" s="692" t="n"/>
      <c r="AM720" s="692" t="n"/>
      <c r="AN720" s="692" t="n"/>
      <c r="AO720" s="692" t="n"/>
      <c r="AP720" s="692" t="n"/>
    </row>
    <row r="721">
      <c r="A721" s="692" t="n"/>
      <c r="B721" s="692" t="n"/>
      <c r="C721" s="692" t="n"/>
      <c r="D721" s="692" t="n"/>
      <c r="E721" s="692" t="n"/>
      <c r="F721" s="692" t="n"/>
      <c r="G721" s="692" t="n"/>
      <c r="H721" s="692" t="n"/>
      <c r="I721" s="692" t="n"/>
      <c r="J721" s="692" t="n"/>
      <c r="K721" s="692" t="n"/>
      <c r="L721" s="692" t="n"/>
      <c r="M721" s="692" t="n"/>
      <c r="N721" s="692" t="n"/>
      <c r="O721" s="692" t="n"/>
      <c r="P721" s="692" t="n"/>
      <c r="Q721" s="692" t="n"/>
      <c r="R721" s="692" t="n"/>
      <c r="S721" s="692" t="n"/>
      <c r="T721" s="692" t="n"/>
      <c r="U721" s="692" t="n"/>
      <c r="V721" s="692" t="n"/>
      <c r="W721" s="692" t="n"/>
      <c r="X721" s="692" t="n"/>
      <c r="Y721" s="692" t="n"/>
      <c r="Z721" s="692" t="n"/>
      <c r="AA721" s="692" t="n"/>
      <c r="AB721" s="692" t="n"/>
      <c r="AC721" s="692" t="n"/>
      <c r="AD721" s="692" t="n"/>
      <c r="AE721" s="692" t="n"/>
      <c r="AF721" s="692" t="n"/>
      <c r="AG721" s="692" t="n"/>
      <c r="AH721" s="692" t="n"/>
      <c r="AI721" s="692" t="n"/>
      <c r="AJ721" s="692" t="n"/>
      <c r="AK721" s="692" t="n"/>
      <c r="AL721" s="692" t="n"/>
      <c r="AM721" s="692" t="n"/>
      <c r="AN721" s="692" t="n"/>
      <c r="AO721" s="692" t="n"/>
      <c r="AP721" s="692" t="n"/>
    </row>
    <row r="722">
      <c r="A722" s="692" t="n"/>
      <c r="B722" s="692" t="n"/>
      <c r="C722" s="692" t="n"/>
      <c r="D722" s="692" t="n"/>
      <c r="E722" s="692" t="n"/>
      <c r="F722" s="692" t="n"/>
      <c r="G722" s="692" t="n"/>
      <c r="H722" s="692" t="n"/>
      <c r="I722" s="692" t="n"/>
      <c r="J722" s="692" t="n"/>
      <c r="K722" s="692" t="n"/>
      <c r="L722" s="692" t="n"/>
      <c r="M722" s="692" t="n"/>
      <c r="N722" s="692" t="n"/>
      <c r="O722" s="692" t="n"/>
      <c r="P722" s="692" t="n"/>
      <c r="Q722" s="692" t="n"/>
      <c r="R722" s="692" t="n"/>
      <c r="S722" s="692" t="n"/>
      <c r="T722" s="692" t="n"/>
      <c r="U722" s="692" t="n"/>
      <c r="V722" s="692" t="n"/>
      <c r="W722" s="692" t="n"/>
      <c r="X722" s="692" t="n"/>
      <c r="Y722" s="692" t="n"/>
      <c r="Z722" s="692" t="n"/>
      <c r="AA722" s="692" t="n"/>
      <c r="AB722" s="692" t="n"/>
      <c r="AC722" s="692" t="n"/>
      <c r="AD722" s="692" t="n"/>
      <c r="AE722" s="692" t="n"/>
      <c r="AF722" s="692" t="n"/>
      <c r="AG722" s="692" t="n"/>
      <c r="AH722" s="692" t="n"/>
      <c r="AI722" s="692" t="n"/>
      <c r="AJ722" s="692" t="n"/>
      <c r="AK722" s="692" t="n"/>
      <c r="AL722" s="692" t="n"/>
      <c r="AM722" s="692" t="n"/>
      <c r="AN722" s="692" t="n"/>
      <c r="AO722" s="692" t="n"/>
      <c r="AP722" s="692" t="n"/>
    </row>
    <row r="723">
      <c r="A723" s="692" t="n"/>
      <c r="B723" s="692" t="n"/>
      <c r="C723" s="692" t="n"/>
      <c r="D723" s="692" t="n"/>
      <c r="E723" s="692" t="n"/>
      <c r="F723" s="692" t="n"/>
      <c r="G723" s="692" t="n"/>
      <c r="H723" s="692" t="n"/>
      <c r="I723" s="692" t="n"/>
      <c r="J723" s="692" t="n"/>
      <c r="K723" s="692" t="n"/>
      <c r="L723" s="692" t="n"/>
      <c r="M723" s="692" t="n"/>
      <c r="N723" s="692" t="n"/>
      <c r="O723" s="692" t="n"/>
      <c r="P723" s="692" t="n"/>
      <c r="Q723" s="692" t="n"/>
      <c r="R723" s="692" t="n"/>
      <c r="S723" s="692" t="n"/>
      <c r="T723" s="692" t="n"/>
      <c r="U723" s="692" t="n"/>
      <c r="V723" s="692" t="n"/>
      <c r="W723" s="692" t="n"/>
      <c r="X723" s="692" t="n"/>
      <c r="Y723" s="692" t="n"/>
      <c r="Z723" s="692" t="n"/>
      <c r="AA723" s="692" t="n"/>
      <c r="AB723" s="692" t="n"/>
      <c r="AC723" s="692" t="n"/>
      <c r="AD723" s="692" t="n"/>
      <c r="AE723" s="692" t="n"/>
      <c r="AF723" s="692" t="n"/>
      <c r="AG723" s="692" t="n"/>
      <c r="AH723" s="692" t="n"/>
      <c r="AI723" s="692" t="n"/>
      <c r="AJ723" s="692" t="n"/>
      <c r="AK723" s="692" t="n"/>
      <c r="AL723" s="692" t="n"/>
      <c r="AM723" s="692" t="n"/>
      <c r="AN723" s="692" t="n"/>
      <c r="AO723" s="692" t="n"/>
      <c r="AP723" s="692" t="n"/>
    </row>
    <row r="724">
      <c r="A724" s="692" t="n"/>
      <c r="B724" s="692" t="n"/>
      <c r="C724" s="692" t="n"/>
      <c r="D724" s="692" t="n"/>
      <c r="E724" s="692" t="n"/>
      <c r="F724" s="692" t="n"/>
      <c r="G724" s="692" t="n"/>
      <c r="H724" s="692" t="n"/>
      <c r="I724" s="692" t="n"/>
      <c r="J724" s="692" t="n"/>
      <c r="K724" s="692" t="n"/>
      <c r="L724" s="692" t="n"/>
      <c r="M724" s="692" t="n"/>
      <c r="N724" s="692" t="n"/>
      <c r="O724" s="692" t="n"/>
      <c r="P724" s="692" t="n"/>
      <c r="Q724" s="692" t="n"/>
      <c r="R724" s="692" t="n"/>
      <c r="S724" s="692" t="n"/>
      <c r="T724" s="692" t="n"/>
      <c r="U724" s="692" t="n"/>
      <c r="V724" s="692" t="n"/>
      <c r="W724" s="692" t="n"/>
      <c r="X724" s="692" t="n"/>
      <c r="Y724" s="692" t="n"/>
      <c r="Z724" s="692" t="n"/>
      <c r="AA724" s="692" t="n"/>
      <c r="AB724" s="692" t="n"/>
      <c r="AC724" s="692" t="n"/>
      <c r="AD724" s="692" t="n"/>
      <c r="AE724" s="692" t="n"/>
      <c r="AF724" s="692" t="n"/>
      <c r="AG724" s="692" t="n"/>
      <c r="AH724" s="692" t="n"/>
      <c r="AI724" s="692" t="n"/>
      <c r="AJ724" s="692" t="n"/>
      <c r="AK724" s="692" t="n"/>
      <c r="AL724" s="692" t="n"/>
      <c r="AM724" s="692" t="n"/>
      <c r="AN724" s="692" t="n"/>
      <c r="AO724" s="692" t="n"/>
      <c r="AP724" s="692" t="n"/>
    </row>
    <row r="725">
      <c r="A725" s="692" t="n"/>
      <c r="B725" s="692" t="n"/>
      <c r="C725" s="692" t="n"/>
      <c r="D725" s="692" t="n"/>
      <c r="E725" s="692" t="n"/>
      <c r="F725" s="692" t="n"/>
      <c r="G725" s="692" t="n"/>
      <c r="H725" s="692" t="n"/>
      <c r="I725" s="692" t="n"/>
      <c r="J725" s="692" t="n"/>
      <c r="K725" s="692" t="n"/>
      <c r="L725" s="692" t="n"/>
      <c r="M725" s="692" t="n"/>
      <c r="N725" s="692" t="n"/>
      <c r="O725" s="692" t="n"/>
      <c r="P725" s="692" t="n"/>
      <c r="Q725" s="692" t="n"/>
      <c r="R725" s="692" t="n"/>
      <c r="S725" s="692" t="n"/>
      <c r="T725" s="692" t="n"/>
      <c r="U725" s="692" t="n"/>
      <c r="V725" s="692" t="n"/>
      <c r="W725" s="692" t="n"/>
      <c r="X725" s="692" t="n"/>
      <c r="Y725" s="692" t="n"/>
      <c r="Z725" s="692" t="n"/>
      <c r="AA725" s="692" t="n"/>
      <c r="AB725" s="692" t="n"/>
      <c r="AC725" s="692" t="n"/>
      <c r="AD725" s="692" t="n"/>
      <c r="AE725" s="692" t="n"/>
      <c r="AF725" s="692" t="n"/>
      <c r="AG725" s="692" t="n"/>
      <c r="AH725" s="692" t="n"/>
      <c r="AI725" s="692" t="n"/>
      <c r="AJ725" s="692" t="n"/>
      <c r="AK725" s="692" t="n"/>
      <c r="AL725" s="692" t="n"/>
      <c r="AM725" s="692" t="n"/>
      <c r="AN725" s="692" t="n"/>
      <c r="AO725" s="692" t="n"/>
      <c r="AP725" s="692" t="n"/>
    </row>
    <row r="726">
      <c r="A726" s="692" t="n"/>
      <c r="B726" s="692" t="n"/>
      <c r="C726" s="692" t="n"/>
      <c r="D726" s="692" t="n"/>
      <c r="E726" s="692" t="n"/>
      <c r="F726" s="692" t="n"/>
      <c r="G726" s="692" t="n"/>
      <c r="H726" s="692" t="n"/>
      <c r="I726" s="692" t="n"/>
      <c r="J726" s="692" t="n"/>
      <c r="K726" s="692" t="n"/>
      <c r="L726" s="692" t="n"/>
      <c r="M726" s="692" t="n"/>
      <c r="N726" s="692" t="n"/>
      <c r="O726" s="692" t="n"/>
      <c r="P726" s="692" t="n"/>
      <c r="Q726" s="692" t="n"/>
      <c r="R726" s="692" t="n"/>
      <c r="S726" s="692" t="n"/>
      <c r="T726" s="692" t="n"/>
      <c r="U726" s="692" t="n"/>
      <c r="V726" s="692" t="n"/>
      <c r="W726" s="692" t="n"/>
      <c r="X726" s="692" t="n"/>
      <c r="Y726" s="692" t="n"/>
      <c r="Z726" s="692" t="n"/>
      <c r="AA726" s="692" t="n"/>
      <c r="AB726" s="692" t="n"/>
      <c r="AC726" s="692" t="n"/>
      <c r="AD726" s="692" t="n"/>
      <c r="AE726" s="692" t="n"/>
      <c r="AF726" s="692" t="n"/>
      <c r="AG726" s="692" t="n"/>
      <c r="AH726" s="692" t="n"/>
      <c r="AI726" s="692" t="n"/>
      <c r="AJ726" s="692" t="n"/>
      <c r="AK726" s="692" t="n"/>
      <c r="AL726" s="692" t="n"/>
      <c r="AM726" s="692" t="n"/>
      <c r="AN726" s="692" t="n"/>
      <c r="AO726" s="692" t="n"/>
      <c r="AP726" s="692" t="n"/>
    </row>
    <row r="727">
      <c r="A727" s="692" t="n"/>
      <c r="B727" s="692" t="n"/>
      <c r="C727" s="692" t="n"/>
      <c r="D727" s="692" t="n"/>
      <c r="E727" s="692" t="n"/>
      <c r="F727" s="692" t="n"/>
      <c r="G727" s="692" t="n"/>
      <c r="H727" s="692" t="n"/>
      <c r="I727" s="692" t="n"/>
      <c r="J727" s="692" t="n"/>
      <c r="K727" s="692" t="n"/>
      <c r="L727" s="692" t="n"/>
      <c r="M727" s="692" t="n"/>
      <c r="N727" s="692" t="n"/>
      <c r="O727" s="692" t="n"/>
      <c r="P727" s="692" t="n"/>
      <c r="Q727" s="692" t="n"/>
      <c r="R727" s="692" t="n"/>
      <c r="S727" s="692" t="n"/>
      <c r="T727" s="692" t="n"/>
      <c r="U727" s="692" t="n"/>
      <c r="V727" s="692" t="n"/>
      <c r="W727" s="692" t="n"/>
      <c r="X727" s="692" t="n"/>
      <c r="Y727" s="692" t="n"/>
      <c r="Z727" s="692" t="n"/>
      <c r="AA727" s="692" t="n"/>
      <c r="AB727" s="692" t="n"/>
      <c r="AC727" s="692" t="n"/>
      <c r="AD727" s="692" t="n"/>
      <c r="AE727" s="692" t="n"/>
      <c r="AF727" s="692" t="n"/>
      <c r="AG727" s="692" t="n"/>
      <c r="AH727" s="692" t="n"/>
      <c r="AI727" s="692" t="n"/>
      <c r="AJ727" s="692" t="n"/>
      <c r="AK727" s="692" t="n"/>
      <c r="AL727" s="692" t="n"/>
      <c r="AM727" s="692" t="n"/>
      <c r="AN727" s="692" t="n"/>
      <c r="AO727" s="692" t="n"/>
      <c r="AP727" s="692" t="n"/>
    </row>
    <row r="728">
      <c r="A728" s="692" t="n"/>
      <c r="B728" s="692" t="n"/>
      <c r="C728" s="692" t="n"/>
      <c r="D728" s="692" t="n"/>
      <c r="E728" s="692" t="n"/>
      <c r="F728" s="692" t="n"/>
      <c r="G728" s="692" t="n"/>
      <c r="H728" s="692" t="n"/>
      <c r="I728" s="692" t="n"/>
      <c r="J728" s="692" t="n"/>
      <c r="K728" s="692" t="n"/>
      <c r="L728" s="692" t="n"/>
      <c r="M728" s="692" t="n"/>
      <c r="N728" s="692" t="n"/>
      <c r="O728" s="692" t="n"/>
      <c r="P728" s="692" t="n"/>
      <c r="Q728" s="692" t="n"/>
      <c r="R728" s="692" t="n"/>
      <c r="S728" s="692" t="n"/>
      <c r="T728" s="692" t="n"/>
      <c r="U728" s="692" t="n"/>
      <c r="V728" s="692" t="n"/>
      <c r="W728" s="692" t="n"/>
      <c r="X728" s="692" t="n"/>
      <c r="Y728" s="692" t="n"/>
      <c r="Z728" s="692" t="n"/>
      <c r="AA728" s="692" t="n"/>
      <c r="AB728" s="692" t="n"/>
      <c r="AC728" s="692" t="n"/>
      <c r="AD728" s="692" t="n"/>
      <c r="AE728" s="692" t="n"/>
      <c r="AF728" s="692" t="n"/>
      <c r="AG728" s="692" t="n"/>
      <c r="AH728" s="692" t="n"/>
      <c r="AI728" s="692" t="n"/>
      <c r="AJ728" s="692" t="n"/>
      <c r="AK728" s="692" t="n"/>
      <c r="AL728" s="692" t="n"/>
      <c r="AM728" s="692" t="n"/>
      <c r="AN728" s="692" t="n"/>
      <c r="AO728" s="692" t="n"/>
      <c r="AP728" s="692" t="n"/>
    </row>
    <row r="729">
      <c r="A729" s="692" t="n"/>
      <c r="B729" s="692" t="n"/>
      <c r="C729" s="692" t="n"/>
      <c r="D729" s="692" t="n"/>
      <c r="E729" s="692" t="n"/>
      <c r="F729" s="692" t="n"/>
      <c r="G729" s="692" t="n"/>
      <c r="H729" s="692" t="n"/>
      <c r="I729" s="692" t="n"/>
      <c r="J729" s="692" t="n"/>
      <c r="K729" s="692" t="n"/>
      <c r="L729" s="692" t="n"/>
      <c r="M729" s="692" t="n"/>
      <c r="N729" s="692" t="n"/>
      <c r="O729" s="692" t="n"/>
      <c r="P729" s="692" t="n"/>
      <c r="Q729" s="692" t="n"/>
      <c r="R729" s="692" t="n"/>
      <c r="S729" s="692" t="n"/>
      <c r="T729" s="692" t="n"/>
      <c r="U729" s="692" t="n"/>
      <c r="V729" s="692" t="n"/>
      <c r="W729" s="692" t="n"/>
      <c r="X729" s="692" t="n"/>
      <c r="Y729" s="692" t="n"/>
      <c r="Z729" s="692" t="n"/>
      <c r="AA729" s="692" t="n"/>
      <c r="AB729" s="692" t="n"/>
      <c r="AC729" s="692" t="n"/>
      <c r="AD729" s="692" t="n"/>
      <c r="AE729" s="692" t="n"/>
      <c r="AF729" s="692" t="n"/>
      <c r="AG729" s="692" t="n"/>
      <c r="AH729" s="692" t="n"/>
      <c r="AI729" s="692" t="n"/>
      <c r="AJ729" s="692" t="n"/>
      <c r="AK729" s="692" t="n"/>
      <c r="AL729" s="692" t="n"/>
      <c r="AM729" s="692" t="n"/>
      <c r="AN729" s="692" t="n"/>
      <c r="AO729" s="692" t="n"/>
      <c r="AP729" s="692" t="n"/>
    </row>
    <row r="730">
      <c r="A730" s="692" t="n"/>
      <c r="B730" s="692" t="n"/>
      <c r="C730" s="692" t="n"/>
      <c r="D730" s="692" t="n"/>
      <c r="E730" s="692" t="n"/>
      <c r="F730" s="692" t="n"/>
      <c r="G730" s="692" t="n"/>
      <c r="H730" s="692" t="n"/>
      <c r="I730" s="692" t="n"/>
      <c r="J730" s="692" t="n"/>
      <c r="K730" s="692" t="n"/>
      <c r="L730" s="692" t="n"/>
      <c r="M730" s="692" t="n"/>
      <c r="N730" s="692" t="n"/>
      <c r="O730" s="692" t="n"/>
      <c r="P730" s="692" t="n"/>
      <c r="Q730" s="692" t="n"/>
      <c r="R730" s="692" t="n"/>
      <c r="S730" s="692" t="n"/>
      <c r="T730" s="692" t="n"/>
      <c r="U730" s="692" t="n"/>
      <c r="V730" s="692" t="n"/>
      <c r="W730" s="692" t="n"/>
      <c r="X730" s="692" t="n"/>
      <c r="Y730" s="692" t="n"/>
      <c r="Z730" s="692" t="n"/>
      <c r="AA730" s="692" t="n"/>
      <c r="AB730" s="692" t="n"/>
      <c r="AC730" s="692" t="n"/>
      <c r="AD730" s="692" t="n"/>
      <c r="AE730" s="692" t="n"/>
      <c r="AF730" s="692" t="n"/>
      <c r="AG730" s="692" t="n"/>
      <c r="AH730" s="692" t="n"/>
      <c r="AI730" s="692" t="n"/>
      <c r="AJ730" s="692" t="n"/>
      <c r="AK730" s="692" t="n"/>
      <c r="AL730" s="692" t="n"/>
      <c r="AM730" s="692" t="n"/>
      <c r="AN730" s="692" t="n"/>
      <c r="AO730" s="692" t="n"/>
      <c r="AP730" s="692" t="n"/>
    </row>
    <row r="731">
      <c r="A731" s="692" t="n"/>
      <c r="B731" s="692" t="n"/>
      <c r="C731" s="692" t="n"/>
      <c r="D731" s="692" t="n"/>
      <c r="E731" s="692" t="n"/>
      <c r="F731" s="692" t="n"/>
      <c r="G731" s="692" t="n"/>
      <c r="H731" s="692" t="n"/>
      <c r="I731" s="692" t="n"/>
      <c r="J731" s="692" t="n"/>
      <c r="K731" s="692" t="n"/>
      <c r="L731" s="692" t="n"/>
      <c r="M731" s="692" t="n"/>
      <c r="N731" s="692" t="n"/>
      <c r="O731" s="692" t="n"/>
      <c r="P731" s="692" t="n"/>
      <c r="Q731" s="692" t="n"/>
      <c r="R731" s="692" t="n"/>
      <c r="S731" s="692" t="n"/>
      <c r="T731" s="692" t="n"/>
      <c r="U731" s="692" t="n"/>
      <c r="V731" s="692" t="n"/>
      <c r="W731" s="692" t="n"/>
      <c r="X731" s="692" t="n"/>
      <c r="Y731" s="692" t="n"/>
      <c r="Z731" s="692" t="n"/>
      <c r="AA731" s="692" t="n"/>
      <c r="AB731" s="692" t="n"/>
      <c r="AC731" s="692" t="n"/>
      <c r="AD731" s="692" t="n"/>
      <c r="AE731" s="692" t="n"/>
      <c r="AF731" s="692" t="n"/>
      <c r="AG731" s="692" t="n"/>
      <c r="AH731" s="692" t="n"/>
      <c r="AI731" s="692" t="n"/>
      <c r="AJ731" s="692" t="n"/>
      <c r="AK731" s="692" t="n"/>
      <c r="AL731" s="692" t="n"/>
      <c r="AM731" s="692" t="n"/>
      <c r="AN731" s="692" t="n"/>
      <c r="AO731" s="692" t="n"/>
      <c r="AP731" s="692" t="n"/>
    </row>
    <row r="732">
      <c r="A732" s="692" t="n"/>
      <c r="B732" s="692" t="n"/>
      <c r="C732" s="692" t="n"/>
      <c r="D732" s="692" t="n"/>
      <c r="E732" s="692" t="n"/>
      <c r="F732" s="692" t="n"/>
      <c r="G732" s="692" t="n"/>
      <c r="H732" s="692" t="n"/>
      <c r="I732" s="692" t="n"/>
      <c r="J732" s="692" t="n"/>
      <c r="K732" s="692" t="n"/>
      <c r="L732" s="692" t="n"/>
      <c r="M732" s="692" t="n"/>
      <c r="N732" s="692" t="n"/>
      <c r="O732" s="692" t="n"/>
      <c r="P732" s="692" t="n"/>
      <c r="Q732" s="692" t="n"/>
      <c r="R732" s="692" t="n"/>
      <c r="S732" s="692" t="n"/>
      <c r="T732" s="692" t="n"/>
      <c r="U732" s="692" t="n"/>
      <c r="V732" s="692" t="n"/>
      <c r="W732" s="692" t="n"/>
      <c r="X732" s="692" t="n"/>
      <c r="Y732" s="692" t="n"/>
      <c r="Z732" s="692" t="n"/>
      <c r="AA732" s="692" t="n"/>
      <c r="AB732" s="692" t="n"/>
      <c r="AC732" s="692" t="n"/>
      <c r="AD732" s="692" t="n"/>
      <c r="AE732" s="692" t="n"/>
      <c r="AF732" s="692" t="n"/>
      <c r="AG732" s="692" t="n"/>
      <c r="AH732" s="692" t="n"/>
      <c r="AI732" s="692" t="n"/>
      <c r="AJ732" s="692" t="n"/>
      <c r="AK732" s="692" t="n"/>
      <c r="AL732" s="692" t="n"/>
      <c r="AM732" s="692" t="n"/>
      <c r="AN732" s="692" t="n"/>
      <c r="AO732" s="692" t="n"/>
      <c r="AP732" s="692" t="n"/>
    </row>
    <row r="733">
      <c r="A733" s="692" t="n"/>
      <c r="B733" s="692" t="n"/>
      <c r="C733" s="692" t="n"/>
      <c r="D733" s="692" t="n"/>
      <c r="E733" s="692" t="n"/>
      <c r="F733" s="692" t="n"/>
      <c r="G733" s="692" t="n"/>
      <c r="H733" s="692" t="n"/>
      <c r="I733" s="692" t="n"/>
      <c r="J733" s="692" t="n"/>
      <c r="K733" s="692" t="n"/>
      <c r="L733" s="692" t="n"/>
      <c r="M733" s="692" t="n"/>
      <c r="N733" s="692" t="n"/>
      <c r="O733" s="692" t="n"/>
      <c r="P733" s="692" t="n"/>
      <c r="Q733" s="692" t="n"/>
      <c r="R733" s="692" t="n"/>
      <c r="S733" s="692" t="n"/>
      <c r="T733" s="692" t="n"/>
      <c r="U733" s="692" t="n"/>
      <c r="V733" s="692" t="n"/>
      <c r="W733" s="692" t="n"/>
      <c r="X733" s="692" t="n"/>
      <c r="Y733" s="692" t="n"/>
      <c r="Z733" s="692" t="n"/>
      <c r="AA733" s="692" t="n"/>
      <c r="AB733" s="692" t="n"/>
      <c r="AC733" s="692" t="n"/>
      <c r="AD733" s="692" t="n"/>
      <c r="AE733" s="692" t="n"/>
      <c r="AF733" s="692" t="n"/>
      <c r="AG733" s="692" t="n"/>
      <c r="AH733" s="692" t="n"/>
      <c r="AI733" s="692" t="n"/>
      <c r="AJ733" s="692" t="n"/>
      <c r="AK733" s="692" t="n"/>
      <c r="AL733" s="692" t="n"/>
      <c r="AM733" s="692" t="n"/>
      <c r="AN733" s="692" t="n"/>
      <c r="AO733" s="692" t="n"/>
      <c r="AP733" s="692" t="n"/>
    </row>
    <row r="734">
      <c r="A734" s="692" t="n"/>
      <c r="B734" s="692" t="n"/>
      <c r="C734" s="692" t="n"/>
      <c r="D734" s="692" t="n"/>
      <c r="E734" s="692" t="n"/>
      <c r="F734" s="692" t="n"/>
      <c r="G734" s="692" t="n"/>
      <c r="H734" s="692" t="n"/>
      <c r="I734" s="692" t="n"/>
      <c r="J734" s="692" t="n"/>
      <c r="K734" s="692" t="n"/>
      <c r="L734" s="692" t="n"/>
      <c r="M734" s="692" t="n"/>
      <c r="N734" s="692" t="n"/>
      <c r="O734" s="692" t="n"/>
      <c r="P734" s="692" t="n"/>
      <c r="Q734" s="692" t="n"/>
      <c r="R734" s="692" t="n"/>
      <c r="S734" s="692" t="n"/>
      <c r="T734" s="692" t="n"/>
      <c r="U734" s="692" t="n"/>
      <c r="V734" s="692" t="n"/>
      <c r="W734" s="692" t="n"/>
      <c r="X734" s="692" t="n"/>
      <c r="Y734" s="692" t="n"/>
      <c r="Z734" s="692" t="n"/>
      <c r="AA734" s="692" t="n"/>
      <c r="AB734" s="692" t="n"/>
      <c r="AC734" s="692" t="n"/>
      <c r="AD734" s="692" t="n"/>
      <c r="AE734" s="692" t="n"/>
      <c r="AF734" s="692" t="n"/>
      <c r="AG734" s="692" t="n"/>
      <c r="AH734" s="692" t="n"/>
      <c r="AI734" s="692" t="n"/>
      <c r="AJ734" s="692" t="n"/>
      <c r="AK734" s="692" t="n"/>
      <c r="AL734" s="692" t="n"/>
      <c r="AM734" s="692" t="n"/>
      <c r="AN734" s="692" t="n"/>
      <c r="AO734" s="692" t="n"/>
      <c r="AP734" s="692" t="n"/>
    </row>
    <row r="735">
      <c r="A735" s="692" t="n"/>
      <c r="B735" s="692" t="n"/>
      <c r="C735" s="692" t="n"/>
      <c r="D735" s="692" t="n"/>
      <c r="E735" s="692" t="n"/>
      <c r="F735" s="692" t="n"/>
      <c r="G735" s="692" t="n"/>
      <c r="H735" s="692" t="n"/>
      <c r="I735" s="692" t="n"/>
      <c r="J735" s="692" t="n"/>
      <c r="K735" s="692" t="n"/>
      <c r="L735" s="692" t="n"/>
      <c r="M735" s="692" t="n"/>
      <c r="N735" s="692" t="n"/>
      <c r="O735" s="692" t="n"/>
      <c r="P735" s="692" t="n"/>
      <c r="Q735" s="692" t="n"/>
      <c r="R735" s="692" t="n"/>
      <c r="S735" s="692" t="n"/>
      <c r="T735" s="692" t="n"/>
      <c r="U735" s="692" t="n"/>
      <c r="V735" s="692" t="n"/>
      <c r="W735" s="692" t="n"/>
      <c r="X735" s="692" t="n"/>
      <c r="Y735" s="692" t="n"/>
      <c r="Z735" s="692" t="n"/>
      <c r="AA735" s="692" t="n"/>
      <c r="AB735" s="692" t="n"/>
      <c r="AC735" s="692" t="n"/>
      <c r="AD735" s="692" t="n"/>
      <c r="AE735" s="692" t="n"/>
      <c r="AF735" s="692" t="n"/>
      <c r="AG735" s="692" t="n"/>
      <c r="AH735" s="692" t="n"/>
      <c r="AI735" s="692" t="n"/>
      <c r="AJ735" s="692" t="n"/>
      <c r="AK735" s="692" t="n"/>
      <c r="AL735" s="692" t="n"/>
      <c r="AM735" s="692" t="n"/>
      <c r="AN735" s="692" t="n"/>
      <c r="AO735" s="692" t="n"/>
      <c r="AP735" s="692" t="n"/>
    </row>
    <row r="736">
      <c r="A736" s="692" t="n"/>
      <c r="B736" s="692" t="n"/>
      <c r="C736" s="692" t="n"/>
      <c r="D736" s="692" t="n"/>
      <c r="E736" s="692" t="n"/>
      <c r="F736" s="692" t="n"/>
      <c r="G736" s="692" t="n"/>
      <c r="H736" s="692" t="n"/>
      <c r="I736" s="692" t="n"/>
      <c r="J736" s="692" t="n"/>
      <c r="K736" s="692" t="n"/>
      <c r="L736" s="692" t="n"/>
      <c r="M736" s="692" t="n"/>
      <c r="N736" s="692" t="n"/>
      <c r="O736" s="692" t="n"/>
      <c r="P736" s="692" t="n"/>
      <c r="Q736" s="692" t="n"/>
      <c r="R736" s="692" t="n"/>
      <c r="S736" s="692" t="n"/>
      <c r="T736" s="692" t="n"/>
      <c r="U736" s="692" t="n"/>
      <c r="V736" s="692" t="n"/>
      <c r="W736" s="692" t="n"/>
      <c r="X736" s="692" t="n"/>
      <c r="Y736" s="692" t="n"/>
      <c r="Z736" s="692" t="n"/>
      <c r="AA736" s="692" t="n"/>
      <c r="AB736" s="692" t="n"/>
      <c r="AC736" s="692" t="n"/>
      <c r="AD736" s="692" t="n"/>
      <c r="AE736" s="692" t="n"/>
      <c r="AF736" s="692" t="n"/>
      <c r="AG736" s="692" t="n"/>
      <c r="AH736" s="692" t="n"/>
      <c r="AI736" s="692" t="n"/>
      <c r="AJ736" s="692" t="n"/>
      <c r="AK736" s="692" t="n"/>
      <c r="AL736" s="692" t="n"/>
      <c r="AM736" s="692" t="n"/>
      <c r="AN736" s="692" t="n"/>
      <c r="AO736" s="692" t="n"/>
      <c r="AP736" s="692" t="n"/>
    </row>
    <row r="737">
      <c r="A737" s="692" t="n"/>
      <c r="B737" s="692" t="n"/>
      <c r="C737" s="692" t="n"/>
      <c r="D737" s="692" t="n"/>
      <c r="E737" s="692" t="n"/>
      <c r="F737" s="692" t="n"/>
      <c r="G737" s="692" t="n"/>
      <c r="H737" s="692" t="n"/>
      <c r="I737" s="692" t="n"/>
      <c r="J737" s="692" t="n"/>
      <c r="K737" s="692" t="n"/>
      <c r="L737" s="692" t="n"/>
      <c r="M737" s="692" t="n"/>
      <c r="N737" s="692" t="n"/>
      <c r="O737" s="692" t="n"/>
      <c r="P737" s="692" t="n"/>
      <c r="Q737" s="692" t="n"/>
      <c r="R737" s="692" t="n"/>
      <c r="S737" s="692" t="n"/>
      <c r="T737" s="692" t="n"/>
      <c r="U737" s="692" t="n"/>
      <c r="V737" s="692" t="n"/>
      <c r="W737" s="692" t="n"/>
      <c r="X737" s="692" t="n"/>
      <c r="Y737" s="692" t="n"/>
      <c r="Z737" s="692" t="n"/>
      <c r="AA737" s="692" t="n"/>
      <c r="AB737" s="692" t="n"/>
      <c r="AC737" s="692" t="n"/>
      <c r="AD737" s="692" t="n"/>
      <c r="AE737" s="692" t="n"/>
      <c r="AF737" s="692" t="n"/>
      <c r="AG737" s="692" t="n"/>
      <c r="AH737" s="692" t="n"/>
      <c r="AI737" s="692" t="n"/>
      <c r="AJ737" s="692" t="n"/>
      <c r="AK737" s="692" t="n"/>
      <c r="AL737" s="692" t="n"/>
      <c r="AM737" s="692" t="n"/>
      <c r="AN737" s="692" t="n"/>
      <c r="AO737" s="692" t="n"/>
      <c r="AP737" s="692" t="n"/>
    </row>
    <row r="738">
      <c r="A738" s="692" t="n"/>
      <c r="B738" s="692" t="n"/>
      <c r="C738" s="692" t="n"/>
      <c r="D738" s="692" t="n"/>
      <c r="E738" s="692" t="n"/>
      <c r="F738" s="692" t="n"/>
      <c r="G738" s="692" t="n"/>
      <c r="H738" s="692" t="n"/>
      <c r="I738" s="692" t="n"/>
      <c r="J738" s="692" t="n"/>
      <c r="K738" s="692" t="n"/>
      <c r="L738" s="692" t="n"/>
      <c r="M738" s="692" t="n"/>
      <c r="N738" s="692" t="n"/>
      <c r="O738" s="692" t="n"/>
      <c r="P738" s="692" t="n"/>
      <c r="Q738" s="692" t="n"/>
      <c r="R738" s="692" t="n"/>
      <c r="S738" s="692" t="n"/>
      <c r="T738" s="692" t="n"/>
      <c r="U738" s="692" t="n"/>
      <c r="V738" s="692" t="n"/>
      <c r="W738" s="692" t="n"/>
      <c r="X738" s="692" t="n"/>
      <c r="Y738" s="692" t="n"/>
      <c r="Z738" s="692" t="n"/>
      <c r="AA738" s="692" t="n"/>
      <c r="AB738" s="692" t="n"/>
      <c r="AC738" s="692" t="n"/>
      <c r="AD738" s="692" t="n"/>
      <c r="AE738" s="692" t="n"/>
      <c r="AF738" s="692" t="n"/>
      <c r="AG738" s="692" t="n"/>
      <c r="AH738" s="692" t="n"/>
      <c r="AI738" s="692" t="n"/>
      <c r="AJ738" s="692" t="n"/>
      <c r="AK738" s="692" t="n"/>
      <c r="AL738" s="692" t="n"/>
      <c r="AM738" s="692" t="n"/>
      <c r="AN738" s="692" t="n"/>
      <c r="AO738" s="692" t="n"/>
      <c r="AP738" s="692" t="n"/>
    </row>
    <row r="739">
      <c r="A739" s="692" t="n"/>
      <c r="B739" s="692" t="n"/>
      <c r="C739" s="692" t="n"/>
      <c r="D739" s="692" t="n"/>
      <c r="E739" s="692" t="n"/>
      <c r="F739" s="692" t="n"/>
      <c r="G739" s="692" t="n"/>
      <c r="H739" s="692" t="n"/>
      <c r="I739" s="692" t="n"/>
      <c r="J739" s="692" t="n"/>
      <c r="K739" s="692" t="n"/>
      <c r="L739" s="692" t="n"/>
      <c r="M739" s="692" t="n"/>
      <c r="N739" s="692" t="n"/>
      <c r="O739" s="692" t="n"/>
      <c r="P739" s="692" t="n"/>
      <c r="Q739" s="692" t="n"/>
      <c r="R739" s="692" t="n"/>
      <c r="S739" s="692" t="n"/>
      <c r="T739" s="692" t="n"/>
      <c r="U739" s="692" t="n"/>
      <c r="V739" s="692" t="n"/>
      <c r="W739" s="692" t="n"/>
      <c r="X739" s="692" t="n"/>
      <c r="Y739" s="692" t="n"/>
      <c r="Z739" s="692" t="n"/>
      <c r="AA739" s="692" t="n"/>
      <c r="AB739" s="692" t="n"/>
      <c r="AC739" s="692" t="n"/>
      <c r="AD739" s="692" t="n"/>
      <c r="AE739" s="692" t="n"/>
      <c r="AF739" s="692" t="n"/>
      <c r="AG739" s="692" t="n"/>
      <c r="AH739" s="692" t="n"/>
      <c r="AI739" s="692" t="n"/>
      <c r="AJ739" s="692" t="n"/>
      <c r="AK739" s="692" t="n"/>
      <c r="AL739" s="692" t="n"/>
      <c r="AM739" s="692" t="n"/>
      <c r="AN739" s="692" t="n"/>
      <c r="AO739" s="692" t="n"/>
      <c r="AP739" s="692" t="n"/>
    </row>
    <row r="740">
      <c r="A740" s="692" t="n"/>
      <c r="B740" s="692" t="n"/>
      <c r="C740" s="692" t="n"/>
      <c r="D740" s="692" t="n"/>
      <c r="E740" s="692" t="n"/>
      <c r="F740" s="692" t="n"/>
      <c r="G740" s="692" t="n"/>
      <c r="H740" s="692" t="n"/>
      <c r="I740" s="692" t="n"/>
      <c r="J740" s="692" t="n"/>
      <c r="K740" s="692" t="n"/>
      <c r="L740" s="692" t="n"/>
      <c r="M740" s="692" t="n"/>
      <c r="N740" s="692" t="n"/>
      <c r="O740" s="692" t="n"/>
      <c r="P740" s="692" t="n"/>
      <c r="Q740" s="692" t="n"/>
      <c r="R740" s="692" t="n"/>
      <c r="S740" s="692" t="n"/>
      <c r="T740" s="692" t="n"/>
      <c r="U740" s="692" t="n"/>
      <c r="V740" s="692" t="n"/>
      <c r="W740" s="692" t="n"/>
      <c r="X740" s="692" t="n"/>
      <c r="Y740" s="692" t="n"/>
      <c r="Z740" s="692" t="n"/>
      <c r="AA740" s="692" t="n"/>
      <c r="AB740" s="692" t="n"/>
      <c r="AC740" s="692" t="n"/>
      <c r="AD740" s="692" t="n"/>
      <c r="AE740" s="692" t="n"/>
      <c r="AF740" s="692" t="n"/>
      <c r="AG740" s="692" t="n"/>
      <c r="AH740" s="692" t="n"/>
      <c r="AI740" s="692" t="n"/>
      <c r="AJ740" s="692" t="n"/>
      <c r="AK740" s="692" t="n"/>
      <c r="AL740" s="692" t="n"/>
      <c r="AM740" s="692" t="n"/>
      <c r="AN740" s="692" t="n"/>
      <c r="AO740" s="692" t="n"/>
      <c r="AP740" s="692" t="n"/>
    </row>
    <row r="741">
      <c r="A741" s="692" t="n"/>
      <c r="B741" s="692" t="n"/>
      <c r="C741" s="692" t="n"/>
      <c r="D741" s="692" t="n"/>
      <c r="E741" s="692" t="n"/>
      <c r="F741" s="692" t="n"/>
      <c r="G741" s="692" t="n"/>
      <c r="H741" s="692" t="n"/>
      <c r="I741" s="692" t="n"/>
      <c r="J741" s="692" t="n"/>
      <c r="K741" s="692" t="n"/>
      <c r="L741" s="692" t="n"/>
      <c r="M741" s="692" t="n"/>
      <c r="N741" s="692" t="n"/>
      <c r="O741" s="692" t="n"/>
      <c r="P741" s="692" t="n"/>
      <c r="Q741" s="692" t="n"/>
      <c r="R741" s="692" t="n"/>
      <c r="S741" s="692" t="n"/>
      <c r="T741" s="692" t="n"/>
      <c r="U741" s="692" t="n"/>
      <c r="V741" s="692" t="n"/>
      <c r="W741" s="692" t="n"/>
      <c r="X741" s="692" t="n"/>
      <c r="Y741" s="692" t="n"/>
      <c r="Z741" s="692" t="n"/>
      <c r="AA741" s="692" t="n"/>
      <c r="AB741" s="692" t="n"/>
      <c r="AC741" s="692" t="n"/>
      <c r="AD741" s="692" t="n"/>
      <c r="AE741" s="692" t="n"/>
      <c r="AF741" s="692" t="n"/>
      <c r="AG741" s="692" t="n"/>
      <c r="AH741" s="692" t="n"/>
      <c r="AI741" s="692" t="n"/>
      <c r="AJ741" s="692" t="n"/>
      <c r="AK741" s="692" t="n"/>
      <c r="AL741" s="692" t="n"/>
      <c r="AM741" s="692" t="n"/>
      <c r="AN741" s="692" t="n"/>
      <c r="AO741" s="692" t="n"/>
      <c r="AP741" s="692" t="n"/>
    </row>
    <row r="742">
      <c r="A742" s="692" t="n"/>
      <c r="B742" s="692" t="n"/>
      <c r="C742" s="692" t="n"/>
      <c r="D742" s="692" t="n"/>
      <c r="E742" s="692" t="n"/>
      <c r="F742" s="692" t="n"/>
      <c r="G742" s="692" t="n"/>
      <c r="H742" s="692" t="n"/>
      <c r="I742" s="692" t="n"/>
      <c r="J742" s="692" t="n"/>
      <c r="K742" s="692" t="n"/>
      <c r="L742" s="692" t="n"/>
      <c r="M742" s="692" t="n"/>
      <c r="N742" s="692" t="n"/>
      <c r="O742" s="692" t="n"/>
      <c r="P742" s="692" t="n"/>
      <c r="Q742" s="692" t="n"/>
      <c r="R742" s="692" t="n"/>
      <c r="S742" s="692" t="n"/>
      <c r="T742" s="692" t="n"/>
      <c r="U742" s="692" t="n"/>
      <c r="V742" s="692" t="n"/>
      <c r="W742" s="692" t="n"/>
      <c r="X742" s="692" t="n"/>
      <c r="Y742" s="692" t="n"/>
      <c r="Z742" s="692" t="n"/>
      <c r="AA742" s="692" t="n"/>
      <c r="AB742" s="692" t="n"/>
      <c r="AC742" s="692" t="n"/>
      <c r="AD742" s="692" t="n"/>
      <c r="AE742" s="692" t="n"/>
      <c r="AF742" s="692" t="n"/>
      <c r="AG742" s="692" t="n"/>
      <c r="AH742" s="692" t="n"/>
      <c r="AI742" s="692" t="n"/>
      <c r="AJ742" s="692" t="n"/>
      <c r="AK742" s="692" t="n"/>
      <c r="AL742" s="692" t="n"/>
      <c r="AM742" s="692" t="n"/>
      <c r="AN742" s="692" t="n"/>
      <c r="AO742" s="692" t="n"/>
      <c r="AP742" s="692" t="n"/>
    </row>
    <row r="743">
      <c r="A743" s="692" t="n"/>
      <c r="B743" s="692" t="n"/>
      <c r="C743" s="692" t="n"/>
      <c r="D743" s="692" t="n"/>
      <c r="E743" s="692" t="n"/>
      <c r="F743" s="692" t="n"/>
      <c r="G743" s="692" t="n"/>
      <c r="H743" s="692" t="n"/>
      <c r="I743" s="692" t="n"/>
      <c r="J743" s="692" t="n"/>
      <c r="K743" s="692" t="n"/>
      <c r="L743" s="692" t="n"/>
      <c r="M743" s="692" t="n"/>
      <c r="N743" s="692" t="n"/>
      <c r="O743" s="692" t="n"/>
      <c r="P743" s="692" t="n"/>
      <c r="Q743" s="692" t="n"/>
      <c r="R743" s="692" t="n"/>
      <c r="S743" s="692" t="n"/>
      <c r="T743" s="692" t="n"/>
      <c r="U743" s="692" t="n"/>
      <c r="V743" s="692" t="n"/>
      <c r="W743" s="692" t="n"/>
      <c r="X743" s="692" t="n"/>
      <c r="Y743" s="692" t="n"/>
      <c r="Z743" s="692" t="n"/>
      <c r="AA743" s="692" t="n"/>
      <c r="AB743" s="692" t="n"/>
      <c r="AC743" s="692" t="n"/>
      <c r="AD743" s="692" t="n"/>
      <c r="AE743" s="692" t="n"/>
      <c r="AF743" s="692" t="n"/>
      <c r="AG743" s="692" t="n"/>
      <c r="AH743" s="692" t="n"/>
      <c r="AI743" s="692" t="n"/>
      <c r="AJ743" s="692" t="n"/>
      <c r="AK743" s="692" t="n"/>
      <c r="AL743" s="692" t="n"/>
      <c r="AM743" s="692" t="n"/>
      <c r="AN743" s="692" t="n"/>
      <c r="AO743" s="692" t="n"/>
      <c r="AP743" s="692" t="n"/>
    </row>
    <row r="744">
      <c r="A744" s="692" t="n"/>
      <c r="B744" s="692" t="n"/>
      <c r="C744" s="692" t="n"/>
      <c r="D744" s="692" t="n"/>
      <c r="E744" s="692" t="n"/>
      <c r="F744" s="692" t="n"/>
      <c r="G744" s="692" t="n"/>
      <c r="H744" s="692" t="n"/>
      <c r="I744" s="692" t="n"/>
      <c r="J744" s="692" t="n"/>
      <c r="K744" s="692" t="n"/>
      <c r="L744" s="692" t="n"/>
      <c r="M744" s="692" t="n"/>
      <c r="N744" s="692" t="n"/>
      <c r="O744" s="692" t="n"/>
      <c r="P744" s="692" t="n"/>
      <c r="Q744" s="692" t="n"/>
      <c r="R744" s="692" t="n"/>
      <c r="S744" s="692" t="n"/>
      <c r="T744" s="692" t="n"/>
      <c r="U744" s="692" t="n"/>
      <c r="V744" s="692" t="n"/>
      <c r="W744" s="692" t="n"/>
      <c r="X744" s="692" t="n"/>
      <c r="Y744" s="692" t="n"/>
      <c r="Z744" s="692" t="n"/>
      <c r="AA744" s="692" t="n"/>
      <c r="AB744" s="692" t="n"/>
      <c r="AC744" s="692" t="n"/>
      <c r="AD744" s="692" t="n"/>
      <c r="AE744" s="692" t="n"/>
      <c r="AF744" s="692" t="n"/>
      <c r="AG744" s="692" t="n"/>
      <c r="AH744" s="692" t="n"/>
      <c r="AI744" s="692" t="n"/>
      <c r="AJ744" s="692" t="n"/>
      <c r="AK744" s="692" t="n"/>
      <c r="AL744" s="692" t="n"/>
      <c r="AM744" s="692" t="n"/>
      <c r="AN744" s="692" t="n"/>
      <c r="AO744" s="692" t="n"/>
      <c r="AP744" s="692" t="n"/>
    </row>
    <row r="745">
      <c r="A745" s="692" t="n"/>
      <c r="B745" s="692" t="n"/>
      <c r="C745" s="692" t="n"/>
      <c r="D745" s="692" t="n"/>
      <c r="E745" s="692" t="n"/>
      <c r="F745" s="692" t="n"/>
      <c r="G745" s="692" t="n"/>
      <c r="H745" s="692" t="n"/>
      <c r="I745" s="692" t="n"/>
      <c r="J745" s="692" t="n"/>
      <c r="K745" s="692" t="n"/>
      <c r="L745" s="692" t="n"/>
      <c r="M745" s="692" t="n"/>
      <c r="N745" s="692" t="n"/>
      <c r="O745" s="692" t="n"/>
      <c r="P745" s="692" t="n"/>
      <c r="Q745" s="692" t="n"/>
      <c r="R745" s="692" t="n"/>
      <c r="S745" s="692" t="n"/>
      <c r="T745" s="692" t="n"/>
      <c r="U745" s="692" t="n"/>
      <c r="V745" s="692" t="n"/>
      <c r="W745" s="692" t="n"/>
      <c r="X745" s="692" t="n"/>
      <c r="Y745" s="692" t="n"/>
      <c r="Z745" s="692" t="n"/>
      <c r="AA745" s="692" t="n"/>
      <c r="AB745" s="692" t="n"/>
      <c r="AC745" s="692" t="n"/>
      <c r="AD745" s="692" t="n"/>
      <c r="AE745" s="692" t="n"/>
      <c r="AF745" s="692" t="n"/>
      <c r="AG745" s="692" t="n"/>
      <c r="AH745" s="692" t="n"/>
      <c r="AI745" s="692" t="n"/>
      <c r="AJ745" s="692" t="n"/>
      <c r="AK745" s="692" t="n"/>
      <c r="AL745" s="692" t="n"/>
      <c r="AM745" s="692" t="n"/>
      <c r="AN745" s="692" t="n"/>
      <c r="AO745" s="692" t="n"/>
      <c r="AP745" s="692" t="n"/>
    </row>
    <row r="746">
      <c r="A746" s="692" t="n"/>
      <c r="B746" s="692" t="n"/>
      <c r="C746" s="692" t="n"/>
      <c r="D746" s="692" t="n"/>
      <c r="E746" s="692" t="n"/>
      <c r="F746" s="692" t="n"/>
      <c r="G746" s="692" t="n"/>
      <c r="H746" s="692" t="n"/>
      <c r="I746" s="692" t="n"/>
      <c r="J746" s="692" t="n"/>
      <c r="K746" s="692" t="n"/>
      <c r="L746" s="692" t="n"/>
      <c r="M746" s="692" t="n"/>
      <c r="N746" s="692" t="n"/>
      <c r="O746" s="692" t="n"/>
      <c r="P746" s="692" t="n"/>
      <c r="Q746" s="692" t="n"/>
      <c r="R746" s="692" t="n"/>
      <c r="S746" s="692" t="n"/>
      <c r="T746" s="692" t="n"/>
      <c r="U746" s="692" t="n"/>
      <c r="V746" s="692" t="n"/>
      <c r="W746" s="692" t="n"/>
      <c r="X746" s="692" t="n"/>
      <c r="Y746" s="692" t="n"/>
      <c r="Z746" s="692" t="n"/>
      <c r="AA746" s="692" t="n"/>
      <c r="AB746" s="692" t="n"/>
      <c r="AC746" s="692" t="n"/>
      <c r="AD746" s="692" t="n"/>
      <c r="AE746" s="692" t="n"/>
      <c r="AF746" s="692" t="n"/>
      <c r="AG746" s="692" t="n"/>
      <c r="AH746" s="692" t="n"/>
      <c r="AI746" s="692" t="n"/>
      <c r="AJ746" s="692" t="n"/>
      <c r="AK746" s="692" t="n"/>
      <c r="AL746" s="692" t="n"/>
      <c r="AM746" s="692" t="n"/>
      <c r="AN746" s="692" t="n"/>
      <c r="AO746" s="692" t="n"/>
      <c r="AP746" s="692" t="n"/>
    </row>
    <row r="747">
      <c r="A747" s="692" t="n"/>
      <c r="B747" s="692" t="n"/>
      <c r="C747" s="692" t="n"/>
      <c r="D747" s="692" t="n"/>
      <c r="E747" s="692" t="n"/>
      <c r="F747" s="692" t="n"/>
      <c r="G747" s="692" t="n"/>
      <c r="H747" s="692" t="n"/>
      <c r="I747" s="692" t="n"/>
      <c r="J747" s="692" t="n"/>
      <c r="K747" s="692" t="n"/>
      <c r="L747" s="692" t="n"/>
      <c r="M747" s="692" t="n"/>
      <c r="N747" s="692" t="n"/>
      <c r="O747" s="692" t="n"/>
      <c r="P747" s="692" t="n"/>
      <c r="Q747" s="692" t="n"/>
      <c r="R747" s="692" t="n"/>
      <c r="S747" s="692" t="n"/>
      <c r="T747" s="692" t="n"/>
      <c r="U747" s="692" t="n"/>
      <c r="V747" s="692" t="n"/>
      <c r="W747" s="692" t="n"/>
      <c r="X747" s="692" t="n"/>
      <c r="Y747" s="692" t="n"/>
      <c r="Z747" s="692" t="n"/>
      <c r="AA747" s="692" t="n"/>
      <c r="AB747" s="692" t="n"/>
      <c r="AC747" s="692" t="n"/>
      <c r="AD747" s="692" t="n"/>
      <c r="AE747" s="692" t="n"/>
      <c r="AF747" s="692" t="n"/>
      <c r="AG747" s="692" t="n"/>
      <c r="AH747" s="692" t="n"/>
      <c r="AI747" s="692" t="n"/>
      <c r="AJ747" s="692" t="n"/>
      <c r="AK747" s="692" t="n"/>
      <c r="AL747" s="692" t="n"/>
      <c r="AM747" s="692" t="n"/>
      <c r="AN747" s="692" t="n"/>
      <c r="AO747" s="692" t="n"/>
      <c r="AP747" s="692" t="n"/>
    </row>
    <row r="748">
      <c r="A748" s="692" t="n"/>
      <c r="B748" s="692" t="n"/>
      <c r="C748" s="692" t="n"/>
      <c r="D748" s="692" t="n"/>
      <c r="E748" s="692" t="n"/>
      <c r="F748" s="692" t="n"/>
      <c r="G748" s="692" t="n"/>
      <c r="H748" s="692" t="n"/>
      <c r="I748" s="692" t="n"/>
      <c r="J748" s="692" t="n"/>
      <c r="K748" s="692" t="n"/>
      <c r="L748" s="692" t="n"/>
      <c r="M748" s="692" t="n"/>
      <c r="N748" s="692" t="n"/>
      <c r="O748" s="692" t="n"/>
      <c r="P748" s="692" t="n"/>
      <c r="Q748" s="692" t="n"/>
      <c r="R748" s="692" t="n"/>
      <c r="S748" s="692" t="n"/>
      <c r="T748" s="692" t="n"/>
      <c r="U748" s="692" t="n"/>
      <c r="V748" s="692" t="n"/>
      <c r="W748" s="692" t="n"/>
      <c r="X748" s="692" t="n"/>
      <c r="Y748" s="692" t="n"/>
      <c r="Z748" s="692" t="n"/>
      <c r="AA748" s="692" t="n"/>
      <c r="AB748" s="692" t="n"/>
      <c r="AC748" s="692" t="n"/>
      <c r="AD748" s="692" t="n"/>
      <c r="AE748" s="692" t="n"/>
      <c r="AF748" s="692" t="n"/>
      <c r="AG748" s="692" t="n"/>
      <c r="AH748" s="692" t="n"/>
      <c r="AI748" s="692" t="n"/>
      <c r="AJ748" s="692" t="n"/>
      <c r="AK748" s="692" t="n"/>
      <c r="AL748" s="692" t="n"/>
      <c r="AM748" s="692" t="n"/>
      <c r="AN748" s="692" t="n"/>
      <c r="AO748" s="692" t="n"/>
      <c r="AP748" s="692" t="n"/>
    </row>
    <row r="749">
      <c r="A749" s="692" t="n"/>
      <c r="B749" s="692" t="n"/>
      <c r="C749" s="692" t="n"/>
      <c r="D749" s="692" t="n"/>
      <c r="E749" s="692" t="n"/>
      <c r="F749" s="692" t="n"/>
      <c r="G749" s="692" t="n"/>
      <c r="H749" s="692" t="n"/>
      <c r="I749" s="692" t="n"/>
      <c r="J749" s="692" t="n"/>
      <c r="K749" s="692" t="n"/>
      <c r="L749" s="692" t="n"/>
      <c r="M749" s="692" t="n"/>
      <c r="N749" s="692" t="n"/>
      <c r="O749" s="692" t="n"/>
      <c r="P749" s="692" t="n"/>
      <c r="Q749" s="692" t="n"/>
      <c r="R749" s="692" t="n"/>
      <c r="S749" s="692" t="n"/>
      <c r="T749" s="692" t="n"/>
      <c r="U749" s="692" t="n"/>
      <c r="V749" s="692" t="n"/>
      <c r="W749" s="692" t="n"/>
      <c r="X749" s="692" t="n"/>
      <c r="Y749" s="692" t="n"/>
      <c r="Z749" s="692" t="n"/>
      <c r="AA749" s="692" t="n"/>
      <c r="AB749" s="692" t="n"/>
      <c r="AC749" s="692" t="n"/>
      <c r="AD749" s="692" t="n"/>
      <c r="AE749" s="692" t="n"/>
      <c r="AF749" s="692" t="n"/>
      <c r="AG749" s="692" t="n"/>
      <c r="AH749" s="692" t="n"/>
      <c r="AI749" s="692" t="n"/>
      <c r="AJ749" s="692" t="n"/>
      <c r="AK749" s="692" t="n"/>
      <c r="AL749" s="692" t="n"/>
      <c r="AM749" s="692" t="n"/>
      <c r="AN749" s="692" t="n"/>
      <c r="AO749" s="692" t="n"/>
      <c r="AP749" s="692" t="n"/>
    </row>
    <row r="750">
      <c r="A750" s="692" t="n"/>
      <c r="B750" s="692" t="n"/>
      <c r="C750" s="692" t="n"/>
      <c r="D750" s="692" t="n"/>
      <c r="E750" s="692" t="n"/>
      <c r="F750" s="692" t="n"/>
      <c r="G750" s="692" t="n"/>
      <c r="H750" s="692" t="n"/>
      <c r="I750" s="692" t="n"/>
      <c r="J750" s="692" t="n"/>
      <c r="K750" s="692" t="n"/>
      <c r="L750" s="692" t="n"/>
      <c r="M750" s="692" t="n"/>
      <c r="N750" s="692" t="n"/>
      <c r="O750" s="692" t="n"/>
      <c r="P750" s="692" t="n"/>
      <c r="Q750" s="692" t="n"/>
      <c r="R750" s="692" t="n"/>
      <c r="S750" s="692" t="n"/>
      <c r="T750" s="692" t="n"/>
      <c r="U750" s="692" t="n"/>
      <c r="V750" s="692" t="n"/>
      <c r="W750" s="692" t="n"/>
      <c r="X750" s="692" t="n"/>
      <c r="Y750" s="692" t="n"/>
      <c r="Z750" s="692" t="n"/>
      <c r="AA750" s="692" t="n"/>
      <c r="AB750" s="692" t="n"/>
      <c r="AC750" s="692" t="n"/>
      <c r="AD750" s="692" t="n"/>
      <c r="AE750" s="692" t="n"/>
      <c r="AF750" s="692" t="n"/>
      <c r="AG750" s="692" t="n"/>
      <c r="AH750" s="692" t="n"/>
      <c r="AI750" s="692" t="n"/>
      <c r="AJ750" s="692" t="n"/>
      <c r="AK750" s="692" t="n"/>
      <c r="AL750" s="692" t="n"/>
      <c r="AM750" s="692" t="n"/>
      <c r="AN750" s="692" t="n"/>
      <c r="AO750" s="692" t="n"/>
      <c r="AP750" s="692" t="n"/>
    </row>
    <row r="751">
      <c r="A751" s="692" t="n"/>
      <c r="B751" s="692" t="n"/>
      <c r="C751" s="692" t="n"/>
      <c r="D751" s="692" t="n"/>
      <c r="E751" s="692" t="n"/>
      <c r="F751" s="692" t="n"/>
      <c r="G751" s="692" t="n"/>
      <c r="H751" s="692" t="n"/>
      <c r="I751" s="692" t="n"/>
      <c r="J751" s="692" t="n"/>
      <c r="K751" s="692" t="n"/>
      <c r="L751" s="692" t="n"/>
      <c r="M751" s="692" t="n"/>
      <c r="N751" s="692" t="n"/>
      <c r="O751" s="692" t="n"/>
      <c r="P751" s="692" t="n"/>
      <c r="Q751" s="692" t="n"/>
      <c r="R751" s="692" t="n"/>
      <c r="S751" s="692" t="n"/>
      <c r="T751" s="692" t="n"/>
      <c r="U751" s="692" t="n"/>
      <c r="V751" s="692" t="n"/>
      <c r="W751" s="692" t="n"/>
      <c r="X751" s="692" t="n"/>
      <c r="Y751" s="692" t="n"/>
      <c r="Z751" s="692" t="n"/>
      <c r="AA751" s="692" t="n"/>
      <c r="AB751" s="692" t="n"/>
      <c r="AC751" s="692" t="n"/>
      <c r="AD751" s="692" t="n"/>
      <c r="AE751" s="692" t="n"/>
      <c r="AF751" s="692" t="n"/>
      <c r="AG751" s="692" t="n"/>
      <c r="AH751" s="692" t="n"/>
      <c r="AI751" s="692" t="n"/>
      <c r="AJ751" s="692" t="n"/>
      <c r="AK751" s="692" t="n"/>
      <c r="AL751" s="692" t="n"/>
      <c r="AM751" s="692" t="n"/>
      <c r="AN751" s="692" t="n"/>
      <c r="AO751" s="692" t="n"/>
      <c r="AP751" s="692" t="n"/>
    </row>
    <row r="752">
      <c r="A752" s="692" t="n"/>
      <c r="B752" s="692" t="n"/>
      <c r="C752" s="692" t="n"/>
      <c r="D752" s="692" t="n"/>
      <c r="E752" s="692" t="n"/>
      <c r="F752" s="692" t="n"/>
      <c r="G752" s="692" t="n"/>
      <c r="H752" s="692" t="n"/>
      <c r="I752" s="692" t="n"/>
      <c r="J752" s="692" t="n"/>
      <c r="K752" s="692" t="n"/>
      <c r="L752" s="692" t="n"/>
      <c r="M752" s="692" t="n"/>
      <c r="N752" s="692" t="n"/>
      <c r="O752" s="692" t="n"/>
      <c r="P752" s="692" t="n"/>
      <c r="Q752" s="692" t="n"/>
      <c r="R752" s="692" t="n"/>
      <c r="S752" s="692" t="n"/>
      <c r="T752" s="692" t="n"/>
      <c r="U752" s="692" t="n"/>
      <c r="V752" s="692" t="n"/>
      <c r="W752" s="692" t="n"/>
      <c r="X752" s="692" t="n"/>
      <c r="Y752" s="692" t="n"/>
      <c r="Z752" s="692" t="n"/>
      <c r="AA752" s="692" t="n"/>
      <c r="AB752" s="692" t="n"/>
      <c r="AC752" s="692" t="n"/>
      <c r="AD752" s="692" t="n"/>
      <c r="AE752" s="692" t="n"/>
      <c r="AF752" s="692" t="n"/>
      <c r="AG752" s="692" t="n"/>
      <c r="AH752" s="692" t="n"/>
      <c r="AI752" s="692" t="n"/>
      <c r="AJ752" s="692" t="n"/>
      <c r="AK752" s="692" t="n"/>
      <c r="AL752" s="692" t="n"/>
      <c r="AM752" s="692" t="n"/>
      <c r="AN752" s="692" t="n"/>
      <c r="AO752" s="692" t="n"/>
      <c r="AP752" s="692" t="n"/>
    </row>
    <row r="753">
      <c r="A753" s="692" t="n"/>
      <c r="B753" s="692" t="n"/>
      <c r="C753" s="692" t="n"/>
      <c r="D753" s="692" t="n"/>
      <c r="E753" s="692" t="n"/>
      <c r="F753" s="692" t="n"/>
      <c r="G753" s="692" t="n"/>
      <c r="H753" s="692" t="n"/>
      <c r="I753" s="692" t="n"/>
      <c r="J753" s="692" t="n"/>
      <c r="K753" s="692" t="n"/>
      <c r="L753" s="692" t="n"/>
      <c r="M753" s="692" t="n"/>
      <c r="N753" s="692" t="n"/>
      <c r="O753" s="692" t="n"/>
      <c r="P753" s="692" t="n"/>
      <c r="Q753" s="692" t="n"/>
      <c r="R753" s="692" t="n"/>
      <c r="S753" s="692" t="n"/>
      <c r="T753" s="692" t="n"/>
      <c r="U753" s="692" t="n"/>
      <c r="V753" s="692" t="n"/>
      <c r="W753" s="692" t="n"/>
      <c r="X753" s="692" t="n"/>
      <c r="Y753" s="692" t="n"/>
      <c r="Z753" s="692" t="n"/>
      <c r="AA753" s="692" t="n"/>
      <c r="AB753" s="692" t="n"/>
      <c r="AC753" s="692" t="n"/>
      <c r="AD753" s="692" t="n"/>
      <c r="AE753" s="692" t="n"/>
      <c r="AF753" s="692" t="n"/>
      <c r="AG753" s="692" t="n"/>
      <c r="AH753" s="692" t="n"/>
      <c r="AI753" s="692" t="n"/>
      <c r="AJ753" s="692" t="n"/>
      <c r="AK753" s="692" t="n"/>
      <c r="AL753" s="692" t="n"/>
      <c r="AM753" s="692" t="n"/>
      <c r="AN753" s="692" t="n"/>
      <c r="AO753" s="692" t="n"/>
      <c r="AP753" s="692" t="n"/>
    </row>
    <row r="754">
      <c r="A754" s="692" t="n"/>
      <c r="B754" s="692" t="n"/>
      <c r="C754" s="692" t="n"/>
      <c r="D754" s="692" t="n"/>
      <c r="E754" s="692" t="n"/>
      <c r="F754" s="692" t="n"/>
      <c r="G754" s="692" t="n"/>
      <c r="H754" s="692" t="n"/>
      <c r="I754" s="692" t="n"/>
      <c r="J754" s="692" t="n"/>
      <c r="K754" s="692" t="n"/>
      <c r="L754" s="692" t="n"/>
      <c r="M754" s="692" t="n"/>
      <c r="N754" s="692" t="n"/>
      <c r="O754" s="692" t="n"/>
      <c r="P754" s="692" t="n"/>
      <c r="Q754" s="692" t="n"/>
      <c r="R754" s="692" t="n"/>
      <c r="S754" s="692" t="n"/>
      <c r="T754" s="692" t="n"/>
      <c r="U754" s="692" t="n"/>
      <c r="V754" s="692" t="n"/>
      <c r="W754" s="692" t="n"/>
      <c r="X754" s="692" t="n"/>
      <c r="Y754" s="692" t="n"/>
      <c r="Z754" s="692" t="n"/>
      <c r="AA754" s="692" t="n"/>
      <c r="AB754" s="692" t="n"/>
      <c r="AC754" s="692" t="n"/>
      <c r="AD754" s="692" t="n"/>
      <c r="AE754" s="692" t="n"/>
      <c r="AF754" s="692" t="n"/>
      <c r="AG754" s="692" t="n"/>
      <c r="AH754" s="692" t="n"/>
      <c r="AI754" s="692" t="n"/>
      <c r="AJ754" s="692" t="n"/>
      <c r="AK754" s="692" t="n"/>
      <c r="AL754" s="692" t="n"/>
      <c r="AM754" s="692" t="n"/>
      <c r="AN754" s="692" t="n"/>
      <c r="AO754" s="692" t="n"/>
      <c r="AP754" s="692" t="n"/>
    </row>
    <row r="755">
      <c r="A755" s="692" t="n"/>
      <c r="B755" s="692" t="n"/>
      <c r="C755" s="692" t="n"/>
      <c r="D755" s="692" t="n"/>
      <c r="E755" s="692" t="n"/>
      <c r="F755" s="692" t="n"/>
      <c r="G755" s="692" t="n"/>
      <c r="H755" s="692" t="n"/>
      <c r="I755" s="692" t="n"/>
      <c r="J755" s="692" t="n"/>
      <c r="K755" s="692" t="n"/>
      <c r="L755" s="692" t="n"/>
      <c r="M755" s="692" t="n"/>
      <c r="N755" s="692" t="n"/>
      <c r="O755" s="692" t="n"/>
      <c r="P755" s="692" t="n"/>
      <c r="Q755" s="692" t="n"/>
      <c r="R755" s="692" t="n"/>
      <c r="S755" s="692" t="n"/>
      <c r="T755" s="692" t="n"/>
      <c r="U755" s="692" t="n"/>
      <c r="V755" s="692" t="n"/>
      <c r="W755" s="692" t="n"/>
      <c r="X755" s="692" t="n"/>
      <c r="Y755" s="692" t="n"/>
      <c r="Z755" s="692" t="n"/>
      <c r="AA755" s="692" t="n"/>
      <c r="AB755" s="692" t="n"/>
      <c r="AC755" s="692" t="n"/>
      <c r="AD755" s="692" t="n"/>
      <c r="AE755" s="692" t="n"/>
      <c r="AF755" s="692" t="n"/>
      <c r="AG755" s="692" t="n"/>
      <c r="AH755" s="692" t="n"/>
      <c r="AI755" s="692" t="n"/>
      <c r="AJ755" s="692" t="n"/>
      <c r="AK755" s="692" t="n"/>
      <c r="AL755" s="692" t="n"/>
      <c r="AM755" s="692" t="n"/>
      <c r="AN755" s="692" t="n"/>
      <c r="AO755" s="692" t="n"/>
      <c r="AP755" s="692" t="n"/>
    </row>
    <row r="756">
      <c r="A756" s="692" t="n"/>
      <c r="B756" s="692" t="n"/>
      <c r="C756" s="692" t="n"/>
      <c r="D756" s="692" t="n"/>
      <c r="E756" s="692" t="n"/>
      <c r="F756" s="692" t="n"/>
      <c r="G756" s="692" t="n"/>
      <c r="H756" s="692" t="n"/>
      <c r="I756" s="692" t="n"/>
      <c r="J756" s="692" t="n"/>
      <c r="K756" s="692" t="n"/>
      <c r="L756" s="692" t="n"/>
      <c r="M756" s="692" t="n"/>
      <c r="N756" s="692" t="n"/>
      <c r="O756" s="692" t="n"/>
      <c r="P756" s="692" t="n"/>
      <c r="Q756" s="692" t="n"/>
      <c r="R756" s="692" t="n"/>
      <c r="S756" s="692" t="n"/>
      <c r="T756" s="692" t="n"/>
      <c r="U756" s="692" t="n"/>
      <c r="V756" s="692" t="n"/>
      <c r="W756" s="692" t="n"/>
      <c r="X756" s="692" t="n"/>
      <c r="Y756" s="692" t="n"/>
      <c r="Z756" s="692" t="n"/>
      <c r="AA756" s="692" t="n"/>
      <c r="AB756" s="692" t="n"/>
      <c r="AC756" s="692" t="n"/>
      <c r="AD756" s="692" t="n"/>
      <c r="AE756" s="692" t="n"/>
      <c r="AF756" s="692" t="n"/>
      <c r="AG756" s="692" t="n"/>
      <c r="AH756" s="692" t="n"/>
      <c r="AI756" s="692" t="n"/>
      <c r="AJ756" s="692" t="n"/>
      <c r="AK756" s="692" t="n"/>
      <c r="AL756" s="692" t="n"/>
      <c r="AM756" s="692" t="n"/>
      <c r="AN756" s="692" t="n"/>
      <c r="AO756" s="692" t="n"/>
      <c r="AP756" s="692" t="n"/>
    </row>
    <row r="757">
      <c r="A757" s="692" t="n"/>
      <c r="B757" s="692" t="n"/>
      <c r="C757" s="692" t="n"/>
      <c r="D757" s="692" t="n"/>
      <c r="E757" s="692" t="n"/>
      <c r="F757" s="692" t="n"/>
      <c r="G757" s="692" t="n"/>
      <c r="H757" s="692" t="n"/>
      <c r="I757" s="692" t="n"/>
      <c r="J757" s="692" t="n"/>
      <c r="K757" s="692" t="n"/>
      <c r="L757" s="692" t="n"/>
      <c r="M757" s="692" t="n"/>
      <c r="N757" s="692" t="n"/>
      <c r="O757" s="692" t="n"/>
      <c r="P757" s="692" t="n"/>
      <c r="Q757" s="692" t="n"/>
      <c r="R757" s="692" t="n"/>
      <c r="S757" s="692" t="n"/>
      <c r="T757" s="692" t="n"/>
      <c r="U757" s="692" t="n"/>
      <c r="V757" s="692" t="n"/>
      <c r="W757" s="692" t="n"/>
      <c r="X757" s="692" t="n"/>
      <c r="Y757" s="692" t="n"/>
      <c r="Z757" s="692" t="n"/>
      <c r="AA757" s="692" t="n"/>
      <c r="AB757" s="692" t="n"/>
      <c r="AC757" s="692" t="n"/>
      <c r="AD757" s="692" t="n"/>
      <c r="AE757" s="692" t="n"/>
      <c r="AF757" s="692" t="n"/>
      <c r="AG757" s="692" t="n"/>
      <c r="AH757" s="692" t="n"/>
      <c r="AI757" s="692" t="n"/>
      <c r="AJ757" s="692" t="n"/>
      <c r="AK757" s="692" t="n"/>
      <c r="AL757" s="692" t="n"/>
      <c r="AM757" s="692" t="n"/>
      <c r="AN757" s="692" t="n"/>
      <c r="AO757" s="692" t="n"/>
      <c r="AP757" s="692" t="n"/>
    </row>
    <row r="758">
      <c r="A758" s="692" t="n"/>
      <c r="B758" s="692" t="n"/>
      <c r="C758" s="692" t="n"/>
      <c r="D758" s="692" t="n"/>
      <c r="E758" s="692" t="n"/>
      <c r="F758" s="692" t="n"/>
      <c r="G758" s="692" t="n"/>
      <c r="H758" s="692" t="n"/>
      <c r="I758" s="692" t="n"/>
      <c r="J758" s="692" t="n"/>
      <c r="K758" s="692" t="n"/>
      <c r="L758" s="692" t="n"/>
      <c r="M758" s="692" t="n"/>
      <c r="N758" s="692" t="n"/>
      <c r="O758" s="692" t="n"/>
      <c r="P758" s="692" t="n"/>
      <c r="Q758" s="692" t="n"/>
      <c r="R758" s="692" t="n"/>
      <c r="S758" s="692" t="n"/>
      <c r="T758" s="692" t="n"/>
      <c r="U758" s="692" t="n"/>
      <c r="V758" s="692" t="n"/>
      <c r="W758" s="692" t="n"/>
      <c r="X758" s="692" t="n"/>
      <c r="Y758" s="692" t="n"/>
      <c r="Z758" s="692" t="n"/>
      <c r="AA758" s="692" t="n"/>
      <c r="AB758" s="692" t="n"/>
      <c r="AC758" s="692" t="n"/>
      <c r="AD758" s="692" t="n"/>
      <c r="AE758" s="692" t="n"/>
      <c r="AF758" s="692" t="n"/>
      <c r="AG758" s="692" t="n"/>
      <c r="AH758" s="692" t="n"/>
      <c r="AI758" s="692" t="n"/>
      <c r="AJ758" s="692" t="n"/>
      <c r="AK758" s="692" t="n"/>
      <c r="AL758" s="692" t="n"/>
      <c r="AM758" s="692" t="n"/>
      <c r="AN758" s="692" t="n"/>
      <c r="AO758" s="692" t="n"/>
      <c r="AP758" s="692" t="n"/>
    </row>
    <row r="759">
      <c r="A759" s="692" t="n"/>
      <c r="B759" s="692" t="n"/>
      <c r="C759" s="692" t="n"/>
      <c r="D759" s="692" t="n"/>
      <c r="E759" s="692" t="n"/>
      <c r="F759" s="692" t="n"/>
      <c r="G759" s="692" t="n"/>
      <c r="H759" s="692" t="n"/>
      <c r="I759" s="692" t="n"/>
      <c r="J759" s="692" t="n"/>
      <c r="K759" s="692" t="n"/>
      <c r="L759" s="692" t="n"/>
      <c r="M759" s="692" t="n"/>
      <c r="N759" s="692" t="n"/>
      <c r="O759" s="692" t="n"/>
      <c r="P759" s="692" t="n"/>
      <c r="Q759" s="692" t="n"/>
      <c r="R759" s="692" t="n"/>
      <c r="S759" s="692" t="n"/>
      <c r="T759" s="692" t="n"/>
      <c r="U759" s="692" t="n"/>
      <c r="V759" s="692" t="n"/>
      <c r="W759" s="692" t="n"/>
      <c r="X759" s="692" t="n"/>
      <c r="Y759" s="692" t="n"/>
      <c r="Z759" s="692" t="n"/>
      <c r="AA759" s="692" t="n"/>
      <c r="AB759" s="692" t="n"/>
      <c r="AC759" s="692" t="n"/>
      <c r="AD759" s="692" t="n"/>
      <c r="AE759" s="692" t="n"/>
      <c r="AF759" s="692" t="n"/>
      <c r="AG759" s="692" t="n"/>
      <c r="AH759" s="692" t="n"/>
      <c r="AI759" s="692" t="n"/>
      <c r="AJ759" s="692" t="n"/>
      <c r="AK759" s="692" t="n"/>
      <c r="AL759" s="692" t="n"/>
      <c r="AM759" s="692" t="n"/>
      <c r="AN759" s="692" t="n"/>
      <c r="AO759" s="692" t="n"/>
      <c r="AP759" s="692" t="n"/>
    </row>
    <row r="760">
      <c r="A760" s="692" t="n"/>
      <c r="B760" s="692" t="n"/>
      <c r="C760" s="692" t="n"/>
      <c r="D760" s="692" t="n"/>
      <c r="E760" s="692" t="n"/>
      <c r="F760" s="692" t="n"/>
      <c r="G760" s="692" t="n"/>
      <c r="H760" s="692" t="n"/>
      <c r="I760" s="692" t="n"/>
      <c r="J760" s="692" t="n"/>
      <c r="K760" s="692" t="n"/>
      <c r="L760" s="692" t="n"/>
      <c r="M760" s="692" t="n"/>
      <c r="N760" s="692" t="n"/>
      <c r="O760" s="692" t="n"/>
      <c r="P760" s="692" t="n"/>
      <c r="Q760" s="692" t="n"/>
      <c r="R760" s="692" t="n"/>
      <c r="S760" s="692" t="n"/>
      <c r="T760" s="692" t="n"/>
      <c r="U760" s="692" t="n"/>
      <c r="V760" s="692" t="n"/>
      <c r="W760" s="692" t="n"/>
      <c r="X760" s="692" t="n"/>
      <c r="Y760" s="692" t="n"/>
      <c r="Z760" s="692" t="n"/>
      <c r="AA760" s="692" t="n"/>
      <c r="AB760" s="692" t="n"/>
      <c r="AC760" s="692" t="n"/>
      <c r="AD760" s="692" t="n"/>
      <c r="AE760" s="692" t="n"/>
      <c r="AF760" s="692" t="n"/>
      <c r="AG760" s="692" t="n"/>
      <c r="AH760" s="692" t="n"/>
      <c r="AI760" s="692" t="n"/>
      <c r="AJ760" s="692" t="n"/>
      <c r="AK760" s="692" t="n"/>
      <c r="AL760" s="692" t="n"/>
      <c r="AM760" s="692" t="n"/>
      <c r="AN760" s="692" t="n"/>
      <c r="AO760" s="692" t="n"/>
      <c r="AP760" s="692" t="n"/>
    </row>
    <row r="761">
      <c r="A761" s="692" t="n"/>
      <c r="B761" s="692" t="n"/>
      <c r="C761" s="692" t="n"/>
      <c r="D761" s="692" t="n"/>
      <c r="E761" s="692" t="n"/>
      <c r="F761" s="692" t="n"/>
      <c r="G761" s="692" t="n"/>
      <c r="H761" s="692" t="n"/>
      <c r="I761" s="692" t="n"/>
      <c r="J761" s="692" t="n"/>
      <c r="K761" s="692" t="n"/>
      <c r="L761" s="692" t="n"/>
      <c r="M761" s="692" t="n"/>
      <c r="N761" s="692" t="n"/>
      <c r="O761" s="692" t="n"/>
      <c r="P761" s="692" t="n"/>
      <c r="Q761" s="692" t="n"/>
      <c r="R761" s="692" t="n"/>
      <c r="S761" s="692" t="n"/>
      <c r="T761" s="692" t="n"/>
      <c r="U761" s="692" t="n"/>
      <c r="V761" s="692" t="n"/>
      <c r="W761" s="692" t="n"/>
      <c r="X761" s="692" t="n"/>
      <c r="Y761" s="692" t="n"/>
      <c r="Z761" s="692" t="n"/>
      <c r="AA761" s="692" t="n"/>
      <c r="AB761" s="692" t="n"/>
      <c r="AC761" s="692" t="n"/>
      <c r="AD761" s="692" t="n"/>
      <c r="AE761" s="692" t="n"/>
      <c r="AF761" s="692" t="n"/>
      <c r="AG761" s="692" t="n"/>
      <c r="AH761" s="692" t="n"/>
      <c r="AI761" s="692" t="n"/>
      <c r="AJ761" s="692" t="n"/>
      <c r="AK761" s="692" t="n"/>
      <c r="AL761" s="692" t="n"/>
      <c r="AM761" s="692" t="n"/>
      <c r="AN761" s="692" t="n"/>
      <c r="AO761" s="692" t="n"/>
      <c r="AP761" s="692" t="n"/>
    </row>
    <row r="762">
      <c r="A762" s="692" t="n"/>
      <c r="B762" s="692" t="n"/>
      <c r="C762" s="692" t="n"/>
      <c r="D762" s="692" t="n"/>
      <c r="E762" s="692" t="n"/>
      <c r="F762" s="692" t="n"/>
      <c r="G762" s="692" t="n"/>
      <c r="H762" s="692" t="n"/>
      <c r="I762" s="692" t="n"/>
      <c r="J762" s="692" t="n"/>
      <c r="K762" s="692" t="n"/>
      <c r="L762" s="692" t="n"/>
      <c r="M762" s="692" t="n"/>
      <c r="N762" s="692" t="n"/>
      <c r="O762" s="692" t="n"/>
      <c r="P762" s="692" t="n"/>
      <c r="Q762" s="692" t="n"/>
      <c r="R762" s="692" t="n"/>
      <c r="S762" s="692" t="n"/>
      <c r="T762" s="692" t="n"/>
      <c r="U762" s="692" t="n"/>
      <c r="V762" s="692" t="n"/>
      <c r="W762" s="692" t="n"/>
      <c r="X762" s="692" t="n"/>
      <c r="Y762" s="692" t="n"/>
      <c r="Z762" s="692" t="n"/>
      <c r="AA762" s="692" t="n"/>
      <c r="AB762" s="692" t="n"/>
      <c r="AC762" s="692" t="n"/>
      <c r="AD762" s="692" t="n"/>
      <c r="AE762" s="692" t="n"/>
      <c r="AF762" s="692" t="n"/>
      <c r="AG762" s="692" t="n"/>
      <c r="AH762" s="692" t="n"/>
      <c r="AI762" s="692" t="n"/>
      <c r="AJ762" s="692" t="n"/>
      <c r="AK762" s="692" t="n"/>
      <c r="AL762" s="692" t="n"/>
      <c r="AM762" s="692" t="n"/>
      <c r="AN762" s="692" t="n"/>
      <c r="AO762" s="692" t="n"/>
      <c r="AP762" s="692" t="n"/>
    </row>
    <row r="763">
      <c r="A763" s="692" t="n"/>
      <c r="B763" s="692" t="n"/>
      <c r="C763" s="692" t="n"/>
      <c r="D763" s="692" t="n"/>
      <c r="E763" s="692" t="n"/>
      <c r="F763" s="692" t="n"/>
      <c r="G763" s="692" t="n"/>
      <c r="H763" s="692" t="n"/>
      <c r="I763" s="692" t="n"/>
      <c r="J763" s="692" t="n"/>
      <c r="K763" s="692" t="n"/>
      <c r="L763" s="692" t="n"/>
      <c r="M763" s="692" t="n"/>
      <c r="N763" s="692" t="n"/>
      <c r="O763" s="692" t="n"/>
      <c r="P763" s="692" t="n"/>
      <c r="Q763" s="692" t="n"/>
      <c r="R763" s="692" t="n"/>
      <c r="S763" s="692" t="n"/>
      <c r="T763" s="692" t="n"/>
      <c r="U763" s="692" t="n"/>
      <c r="V763" s="692" t="n"/>
      <c r="W763" s="692" t="n"/>
      <c r="X763" s="692" t="n"/>
      <c r="Y763" s="692" t="n"/>
      <c r="Z763" s="692" t="n"/>
      <c r="AA763" s="692" t="n"/>
      <c r="AB763" s="692" t="n"/>
      <c r="AC763" s="692" t="n"/>
      <c r="AD763" s="692" t="n"/>
      <c r="AE763" s="692" t="n"/>
      <c r="AF763" s="692" t="n"/>
      <c r="AG763" s="692" t="n"/>
      <c r="AH763" s="692" t="n"/>
      <c r="AI763" s="692" t="n"/>
      <c r="AJ763" s="692" t="n"/>
      <c r="AK763" s="692" t="n"/>
      <c r="AL763" s="692" t="n"/>
      <c r="AM763" s="692" t="n"/>
      <c r="AN763" s="692" t="n"/>
      <c r="AO763" s="692" t="n"/>
      <c r="AP763" s="692" t="n"/>
    </row>
    <row r="764">
      <c r="A764" s="692" t="n"/>
      <c r="B764" s="692" t="n"/>
      <c r="C764" s="692" t="n"/>
      <c r="D764" s="692" t="n"/>
      <c r="E764" s="692" t="n"/>
      <c r="F764" s="692" t="n"/>
      <c r="G764" s="692" t="n"/>
      <c r="H764" s="692" t="n"/>
      <c r="I764" s="692" t="n"/>
      <c r="J764" s="692" t="n"/>
      <c r="K764" s="692" t="n"/>
      <c r="L764" s="692" t="n"/>
      <c r="M764" s="692" t="n"/>
      <c r="N764" s="692" t="n"/>
      <c r="O764" s="692" t="n"/>
      <c r="P764" s="692" t="n"/>
      <c r="Q764" s="692" t="n"/>
      <c r="R764" s="692" t="n"/>
      <c r="S764" s="692" t="n"/>
      <c r="T764" s="692" t="n"/>
      <c r="U764" s="692" t="n"/>
      <c r="V764" s="692" t="n"/>
      <c r="W764" s="692" t="n"/>
      <c r="X764" s="692" t="n"/>
      <c r="Y764" s="692" t="n"/>
      <c r="Z764" s="692" t="n"/>
      <c r="AA764" s="692" t="n"/>
      <c r="AB764" s="692" t="n"/>
      <c r="AC764" s="692" t="n"/>
      <c r="AD764" s="692" t="n"/>
      <c r="AE764" s="692" t="n"/>
      <c r="AF764" s="692" t="n"/>
      <c r="AG764" s="692" t="n"/>
      <c r="AH764" s="692" t="n"/>
      <c r="AI764" s="692" t="n"/>
      <c r="AJ764" s="692" t="n"/>
      <c r="AK764" s="692" t="n"/>
      <c r="AL764" s="692" t="n"/>
      <c r="AM764" s="692" t="n"/>
      <c r="AN764" s="692" t="n"/>
      <c r="AO764" s="692" t="n"/>
      <c r="AP764" s="692" t="n"/>
    </row>
    <row r="765">
      <c r="A765" s="692" t="n"/>
      <c r="B765" s="692" t="n"/>
      <c r="C765" s="692" t="n"/>
      <c r="D765" s="692" t="n"/>
      <c r="E765" s="692" t="n"/>
      <c r="F765" s="692" t="n"/>
      <c r="G765" s="692" t="n"/>
      <c r="H765" s="692" t="n"/>
      <c r="I765" s="692" t="n"/>
      <c r="J765" s="692" t="n"/>
      <c r="K765" s="692" t="n"/>
      <c r="L765" s="692" t="n"/>
      <c r="M765" s="692" t="n"/>
      <c r="N765" s="692" t="n"/>
      <c r="O765" s="692" t="n"/>
      <c r="P765" s="692" t="n"/>
      <c r="Q765" s="692" t="n"/>
      <c r="R765" s="692" t="n"/>
      <c r="S765" s="692" t="n"/>
      <c r="T765" s="692" t="n"/>
      <c r="U765" s="692" t="n"/>
      <c r="V765" s="692" t="n"/>
      <c r="W765" s="692" t="n"/>
      <c r="X765" s="692" t="n"/>
      <c r="Y765" s="692" t="n"/>
      <c r="Z765" s="692" t="n"/>
      <c r="AA765" s="692" t="n"/>
      <c r="AB765" s="692" t="n"/>
      <c r="AC765" s="692" t="n"/>
      <c r="AD765" s="692" t="n"/>
      <c r="AE765" s="692" t="n"/>
      <c r="AF765" s="692" t="n"/>
      <c r="AG765" s="692" t="n"/>
      <c r="AH765" s="692" t="n"/>
      <c r="AI765" s="692" t="n"/>
      <c r="AJ765" s="692" t="n"/>
      <c r="AK765" s="692" t="n"/>
      <c r="AL765" s="692" t="n"/>
      <c r="AM765" s="692" t="n"/>
      <c r="AN765" s="692" t="n"/>
      <c r="AO765" s="692" t="n"/>
      <c r="AP765" s="692" t="n"/>
    </row>
    <row r="766">
      <c r="A766" s="692" t="n"/>
      <c r="B766" s="692" t="n"/>
      <c r="C766" s="692" t="n"/>
      <c r="D766" s="692" t="n"/>
      <c r="E766" s="692" t="n"/>
      <c r="F766" s="692" t="n"/>
      <c r="G766" s="692" t="n"/>
      <c r="H766" s="692" t="n"/>
      <c r="I766" s="692" t="n"/>
      <c r="J766" s="692" t="n"/>
      <c r="K766" s="692" t="n"/>
      <c r="L766" s="692" t="n"/>
      <c r="M766" s="692" t="n"/>
      <c r="N766" s="692" t="n"/>
      <c r="O766" s="692" t="n"/>
      <c r="P766" s="692" t="n"/>
      <c r="Q766" s="692" t="n"/>
      <c r="R766" s="692" t="n"/>
      <c r="S766" s="692" t="n"/>
      <c r="T766" s="692" t="n"/>
      <c r="U766" s="692" t="n"/>
      <c r="V766" s="692" t="n"/>
      <c r="W766" s="692" t="n"/>
      <c r="X766" s="692" t="n"/>
      <c r="Y766" s="692" t="n"/>
      <c r="Z766" s="692" t="n"/>
      <c r="AA766" s="692" t="n"/>
      <c r="AB766" s="692" t="n"/>
      <c r="AC766" s="692" t="n"/>
      <c r="AD766" s="692" t="n"/>
      <c r="AE766" s="692" t="n"/>
      <c r="AF766" s="692" t="n"/>
      <c r="AG766" s="692" t="n"/>
      <c r="AH766" s="692" t="n"/>
      <c r="AI766" s="692" t="n"/>
      <c r="AJ766" s="692" t="n"/>
      <c r="AK766" s="692" t="n"/>
      <c r="AL766" s="692" t="n"/>
      <c r="AM766" s="692" t="n"/>
      <c r="AN766" s="692" t="n"/>
      <c r="AO766" s="692" t="n"/>
      <c r="AP766" s="692" t="n"/>
    </row>
    <row r="767">
      <c r="A767" s="692" t="n"/>
      <c r="B767" s="692" t="n"/>
      <c r="C767" s="692" t="n"/>
      <c r="D767" s="692" t="n"/>
      <c r="E767" s="692" t="n"/>
      <c r="F767" s="692" t="n"/>
      <c r="G767" s="692" t="n"/>
      <c r="H767" s="692" t="n"/>
      <c r="I767" s="692" t="n"/>
      <c r="J767" s="692" t="n"/>
      <c r="K767" s="692" t="n"/>
      <c r="L767" s="692" t="n"/>
      <c r="M767" s="692" t="n"/>
      <c r="N767" s="692" t="n"/>
      <c r="O767" s="692" t="n"/>
      <c r="P767" s="692" t="n"/>
      <c r="Q767" s="692" t="n"/>
      <c r="R767" s="692" t="n"/>
      <c r="S767" s="692" t="n"/>
      <c r="T767" s="692" t="n"/>
      <c r="U767" s="692" t="n"/>
      <c r="V767" s="692" t="n"/>
      <c r="W767" s="692" t="n"/>
      <c r="X767" s="692" t="n"/>
      <c r="Y767" s="692" t="n"/>
      <c r="Z767" s="692" t="n"/>
      <c r="AA767" s="692" t="n"/>
      <c r="AB767" s="692" t="n"/>
      <c r="AC767" s="692" t="n"/>
      <c r="AD767" s="692" t="n"/>
      <c r="AE767" s="692" t="n"/>
      <c r="AF767" s="692" t="n"/>
      <c r="AG767" s="692" t="n"/>
      <c r="AH767" s="692" t="n"/>
      <c r="AI767" s="692" t="n"/>
      <c r="AJ767" s="692" t="n"/>
      <c r="AK767" s="692" t="n"/>
      <c r="AL767" s="692" t="n"/>
      <c r="AM767" s="692" t="n"/>
      <c r="AN767" s="692" t="n"/>
      <c r="AO767" s="692" t="n"/>
      <c r="AP767" s="692" t="n"/>
    </row>
    <row r="768">
      <c r="A768" s="692" t="n"/>
      <c r="B768" s="692" t="n"/>
      <c r="C768" s="692" t="n"/>
      <c r="D768" s="692" t="n"/>
      <c r="E768" s="692" t="n"/>
      <c r="F768" s="692" t="n"/>
      <c r="G768" s="692" t="n"/>
      <c r="H768" s="692" t="n"/>
      <c r="I768" s="692" t="n"/>
      <c r="J768" s="692" t="n"/>
      <c r="K768" s="692" t="n"/>
      <c r="L768" s="692" t="n"/>
      <c r="M768" s="692" t="n"/>
      <c r="N768" s="692" t="n"/>
      <c r="O768" s="692" t="n"/>
      <c r="P768" s="692" t="n"/>
      <c r="Q768" s="692" t="n"/>
      <c r="R768" s="692" t="n"/>
      <c r="S768" s="692" t="n"/>
      <c r="T768" s="692" t="n"/>
      <c r="U768" s="692" t="n"/>
      <c r="V768" s="692" t="n"/>
      <c r="W768" s="692" t="n"/>
      <c r="X768" s="692" t="n"/>
      <c r="Y768" s="692" t="n"/>
      <c r="Z768" s="692" t="n"/>
      <c r="AA768" s="692" t="n"/>
      <c r="AB768" s="692" t="n"/>
      <c r="AC768" s="692" t="n"/>
      <c r="AD768" s="692" t="n"/>
      <c r="AE768" s="692" t="n"/>
      <c r="AF768" s="692" t="n"/>
      <c r="AG768" s="692" t="n"/>
      <c r="AH768" s="692" t="n"/>
      <c r="AI768" s="692" t="n"/>
      <c r="AJ768" s="692" t="n"/>
      <c r="AK768" s="692" t="n"/>
      <c r="AL768" s="692" t="n"/>
      <c r="AM768" s="692" t="n"/>
      <c r="AN768" s="692" t="n"/>
      <c r="AO768" s="692" t="n"/>
      <c r="AP768" s="692" t="n"/>
    </row>
    <row r="769">
      <c r="A769" s="692" t="n"/>
      <c r="B769" s="692" t="n"/>
      <c r="C769" s="692" t="n"/>
      <c r="D769" s="692" t="n"/>
      <c r="E769" s="692" t="n"/>
      <c r="F769" s="692" t="n"/>
      <c r="G769" s="692" t="n"/>
      <c r="H769" s="692" t="n"/>
      <c r="I769" s="692" t="n"/>
      <c r="J769" s="692" t="n"/>
      <c r="K769" s="692" t="n"/>
      <c r="L769" s="692" t="n"/>
      <c r="M769" s="692" t="n"/>
      <c r="N769" s="692" t="n"/>
      <c r="O769" s="692" t="n"/>
      <c r="P769" s="692" t="n"/>
      <c r="Q769" s="692" t="n"/>
      <c r="R769" s="692" t="n"/>
      <c r="S769" s="692" t="n"/>
      <c r="T769" s="692" t="n"/>
      <c r="U769" s="692" t="n"/>
      <c r="V769" s="692" t="n"/>
      <c r="W769" s="692" t="n"/>
      <c r="X769" s="692" t="n"/>
      <c r="Y769" s="692" t="n"/>
      <c r="Z769" s="692" t="n"/>
      <c r="AA769" s="692" t="n"/>
      <c r="AB769" s="692" t="n"/>
      <c r="AC769" s="692" t="n"/>
      <c r="AD769" s="692" t="n"/>
      <c r="AE769" s="692" t="n"/>
      <c r="AF769" s="692" t="n"/>
      <c r="AG769" s="692" t="n"/>
      <c r="AH769" s="692" t="n"/>
      <c r="AI769" s="692" t="n"/>
      <c r="AJ769" s="692" t="n"/>
      <c r="AK769" s="692" t="n"/>
      <c r="AL769" s="692" t="n"/>
      <c r="AM769" s="692" t="n"/>
      <c r="AN769" s="692" t="n"/>
      <c r="AO769" s="692" t="n"/>
      <c r="AP769" s="692" t="n"/>
    </row>
    <row r="770">
      <c r="A770" s="692" t="n"/>
      <c r="B770" s="692" t="n"/>
      <c r="C770" s="692" t="n"/>
      <c r="D770" s="692" t="n"/>
      <c r="E770" s="692" t="n"/>
      <c r="F770" s="692" t="n"/>
      <c r="G770" s="692" t="n"/>
      <c r="H770" s="692" t="n"/>
      <c r="I770" s="692" t="n"/>
      <c r="J770" s="692" t="n"/>
      <c r="K770" s="692" t="n"/>
      <c r="L770" s="692" t="n"/>
      <c r="M770" s="692" t="n"/>
      <c r="N770" s="692" t="n"/>
      <c r="O770" s="692" t="n"/>
      <c r="P770" s="692" t="n"/>
      <c r="Q770" s="692" t="n"/>
      <c r="R770" s="692" t="n"/>
      <c r="S770" s="692" t="n"/>
      <c r="T770" s="692" t="n"/>
      <c r="U770" s="692" t="n"/>
      <c r="V770" s="692" t="n"/>
      <c r="W770" s="692" t="n"/>
      <c r="X770" s="692" t="n"/>
      <c r="Y770" s="692" t="n"/>
      <c r="Z770" s="692" t="n"/>
      <c r="AA770" s="692" t="n"/>
      <c r="AB770" s="692" t="n"/>
      <c r="AC770" s="692" t="n"/>
      <c r="AD770" s="692" t="n"/>
      <c r="AE770" s="692" t="n"/>
      <c r="AF770" s="692" t="n"/>
      <c r="AG770" s="692" t="n"/>
      <c r="AH770" s="692" t="n"/>
      <c r="AI770" s="692" t="n"/>
      <c r="AJ770" s="692" t="n"/>
      <c r="AK770" s="692" t="n"/>
      <c r="AL770" s="692" t="n"/>
      <c r="AM770" s="692" t="n"/>
      <c r="AN770" s="692" t="n"/>
      <c r="AO770" s="692" t="n"/>
      <c r="AP770" s="692" t="n"/>
    </row>
    <row r="771">
      <c r="A771" s="692" t="n"/>
      <c r="B771" s="692" t="n"/>
      <c r="C771" s="692" t="n"/>
      <c r="D771" s="692" t="n"/>
      <c r="E771" s="692" t="n"/>
      <c r="F771" s="692" t="n"/>
      <c r="G771" s="692" t="n"/>
      <c r="H771" s="692" t="n"/>
      <c r="I771" s="692" t="n"/>
      <c r="J771" s="692" t="n"/>
      <c r="K771" s="692" t="n"/>
      <c r="L771" s="692" t="n"/>
      <c r="M771" s="692" t="n"/>
      <c r="N771" s="692" t="n"/>
      <c r="O771" s="692" t="n"/>
      <c r="P771" s="692" t="n"/>
      <c r="Q771" s="692" t="n"/>
      <c r="R771" s="692" t="n"/>
      <c r="S771" s="692" t="n"/>
      <c r="T771" s="692" t="n"/>
      <c r="U771" s="692" t="n"/>
      <c r="V771" s="692" t="n"/>
      <c r="W771" s="692" t="n"/>
      <c r="X771" s="692" t="n"/>
      <c r="Y771" s="692" t="n"/>
      <c r="Z771" s="692" t="n"/>
      <c r="AA771" s="692" t="n"/>
      <c r="AB771" s="692" t="n"/>
      <c r="AC771" s="692" t="n"/>
      <c r="AD771" s="692" t="n"/>
      <c r="AE771" s="692" t="n"/>
      <c r="AF771" s="692" t="n"/>
      <c r="AG771" s="692" t="n"/>
      <c r="AH771" s="692" t="n"/>
      <c r="AI771" s="692" t="n"/>
      <c r="AJ771" s="692" t="n"/>
      <c r="AK771" s="692" t="n"/>
      <c r="AL771" s="692" t="n"/>
      <c r="AM771" s="692" t="n"/>
      <c r="AN771" s="692" t="n"/>
      <c r="AO771" s="692" t="n"/>
      <c r="AP771" s="692" t="n"/>
    </row>
    <row r="772">
      <c r="A772" s="692" t="n"/>
      <c r="B772" s="692" t="n"/>
      <c r="C772" s="692" t="n"/>
      <c r="D772" s="692" t="n"/>
      <c r="E772" s="692" t="n"/>
      <c r="F772" s="692" t="n"/>
      <c r="G772" s="692" t="n"/>
      <c r="H772" s="692" t="n"/>
      <c r="I772" s="692" t="n"/>
      <c r="J772" s="692" t="n"/>
      <c r="K772" s="692" t="n"/>
      <c r="L772" s="692" t="n"/>
      <c r="M772" s="692" t="n"/>
      <c r="N772" s="692" t="n"/>
      <c r="O772" s="692" t="n"/>
      <c r="P772" s="692" t="n"/>
      <c r="Q772" s="692" t="n"/>
      <c r="R772" s="692" t="n"/>
      <c r="S772" s="692" t="n"/>
      <c r="T772" s="692" t="n"/>
      <c r="U772" s="692" t="n"/>
      <c r="V772" s="692" t="n"/>
      <c r="W772" s="692" t="n"/>
      <c r="X772" s="692" t="n"/>
      <c r="Y772" s="692" t="n"/>
      <c r="Z772" s="692" t="n"/>
      <c r="AA772" s="692" t="n"/>
      <c r="AB772" s="692" t="n"/>
      <c r="AC772" s="692" t="n"/>
      <c r="AD772" s="692" t="n"/>
      <c r="AE772" s="692" t="n"/>
      <c r="AF772" s="692" t="n"/>
      <c r="AG772" s="692" t="n"/>
      <c r="AH772" s="692" t="n"/>
      <c r="AI772" s="692" t="n"/>
      <c r="AJ772" s="692" t="n"/>
      <c r="AK772" s="692" t="n"/>
      <c r="AL772" s="692" t="n"/>
      <c r="AM772" s="692" t="n"/>
      <c r="AN772" s="692" t="n"/>
      <c r="AO772" s="692" t="n"/>
      <c r="AP772" s="692" t="n"/>
    </row>
    <row r="773">
      <c r="A773" s="692" t="n"/>
      <c r="B773" s="692" t="n"/>
      <c r="C773" s="692" t="n"/>
      <c r="D773" s="692" t="n"/>
      <c r="E773" s="692" t="n"/>
      <c r="F773" s="692" t="n"/>
      <c r="G773" s="692" t="n"/>
      <c r="H773" s="692" t="n"/>
      <c r="I773" s="692" t="n"/>
      <c r="J773" s="692" t="n"/>
      <c r="K773" s="692" t="n"/>
      <c r="L773" s="692" t="n"/>
      <c r="M773" s="692" t="n"/>
      <c r="N773" s="692" t="n"/>
      <c r="O773" s="692" t="n"/>
      <c r="P773" s="692" t="n"/>
      <c r="Q773" s="692" t="n"/>
      <c r="R773" s="692" t="n"/>
      <c r="S773" s="692" t="n"/>
      <c r="T773" s="692" t="n"/>
      <c r="U773" s="692" t="n"/>
      <c r="V773" s="692" t="n"/>
      <c r="W773" s="692" t="n"/>
      <c r="X773" s="692" t="n"/>
      <c r="Y773" s="692" t="n"/>
      <c r="Z773" s="692" t="n"/>
      <c r="AA773" s="692" t="n"/>
      <c r="AB773" s="692" t="n"/>
      <c r="AC773" s="692" t="n"/>
      <c r="AD773" s="692" t="n"/>
      <c r="AE773" s="692" t="n"/>
      <c r="AF773" s="692" t="n"/>
      <c r="AG773" s="692" t="n"/>
      <c r="AH773" s="692" t="n"/>
      <c r="AI773" s="692" t="n"/>
      <c r="AJ773" s="692" t="n"/>
      <c r="AK773" s="692" t="n"/>
      <c r="AL773" s="692" t="n"/>
      <c r="AM773" s="692" t="n"/>
      <c r="AN773" s="692" t="n"/>
      <c r="AO773" s="692" t="n"/>
      <c r="AP773" s="692" t="n"/>
    </row>
    <row r="774">
      <c r="A774" s="692" t="n"/>
      <c r="B774" s="692" t="n"/>
      <c r="C774" s="692" t="n"/>
      <c r="D774" s="692" t="n"/>
      <c r="E774" s="692" t="n"/>
      <c r="F774" s="692" t="n"/>
      <c r="G774" s="692" t="n"/>
      <c r="H774" s="692" t="n"/>
      <c r="I774" s="692" t="n"/>
      <c r="J774" s="692" t="n"/>
      <c r="K774" s="692" t="n"/>
      <c r="L774" s="692" t="n"/>
      <c r="M774" s="692" t="n"/>
      <c r="N774" s="692" t="n"/>
      <c r="O774" s="692" t="n"/>
      <c r="P774" s="692" t="n"/>
      <c r="Q774" s="692" t="n"/>
      <c r="R774" s="692" t="n"/>
      <c r="S774" s="692" t="n"/>
      <c r="T774" s="692" t="n"/>
      <c r="U774" s="692" t="n"/>
      <c r="V774" s="692" t="n"/>
      <c r="W774" s="692" t="n"/>
      <c r="X774" s="692" t="n"/>
      <c r="Y774" s="692" t="n"/>
      <c r="Z774" s="692" t="n"/>
      <c r="AA774" s="692" t="n"/>
      <c r="AB774" s="692" t="n"/>
      <c r="AC774" s="692" t="n"/>
      <c r="AD774" s="692" t="n"/>
      <c r="AE774" s="692" t="n"/>
      <c r="AF774" s="692" t="n"/>
      <c r="AG774" s="692" t="n"/>
      <c r="AH774" s="692" t="n"/>
      <c r="AI774" s="692" t="n"/>
      <c r="AJ774" s="692" t="n"/>
      <c r="AK774" s="692" t="n"/>
      <c r="AL774" s="692" t="n"/>
      <c r="AM774" s="692" t="n"/>
      <c r="AN774" s="692" t="n"/>
      <c r="AO774" s="692" t="n"/>
      <c r="AP774" s="692" t="n"/>
    </row>
    <row r="775">
      <c r="A775" s="692" t="n"/>
      <c r="B775" s="692" t="n"/>
      <c r="C775" s="692" t="n"/>
      <c r="D775" s="692" t="n"/>
      <c r="E775" s="692" t="n"/>
      <c r="F775" s="692" t="n"/>
      <c r="G775" s="692" t="n"/>
      <c r="H775" s="692" t="n"/>
      <c r="I775" s="692" t="n"/>
      <c r="J775" s="692" t="n"/>
      <c r="K775" s="692" t="n"/>
      <c r="L775" s="692" t="n"/>
      <c r="M775" s="692" t="n"/>
      <c r="N775" s="692" t="n"/>
      <c r="O775" s="692" t="n"/>
      <c r="P775" s="692" t="n"/>
      <c r="Q775" s="692" t="n"/>
      <c r="R775" s="692" t="n"/>
      <c r="S775" s="692" t="n"/>
      <c r="T775" s="692" t="n"/>
      <c r="U775" s="692" t="n"/>
      <c r="V775" s="692" t="n"/>
      <c r="W775" s="692" t="n"/>
      <c r="X775" s="692" t="n"/>
      <c r="Y775" s="692" t="n"/>
      <c r="Z775" s="692" t="n"/>
      <c r="AA775" s="692" t="n"/>
      <c r="AB775" s="692" t="n"/>
      <c r="AC775" s="692" t="n"/>
      <c r="AD775" s="692" t="n"/>
      <c r="AE775" s="692" t="n"/>
      <c r="AF775" s="692" t="n"/>
      <c r="AG775" s="692" t="n"/>
      <c r="AH775" s="692" t="n"/>
      <c r="AI775" s="692" t="n"/>
      <c r="AJ775" s="692" t="n"/>
      <c r="AK775" s="692" t="n"/>
      <c r="AL775" s="692" t="n"/>
      <c r="AM775" s="692" t="n"/>
      <c r="AN775" s="692" t="n"/>
      <c r="AO775" s="692" t="n"/>
      <c r="AP775" s="692" t="n"/>
    </row>
    <row r="776">
      <c r="A776" s="692" t="n"/>
      <c r="B776" s="692" t="n"/>
      <c r="C776" s="692" t="n"/>
      <c r="D776" s="692" t="n"/>
      <c r="E776" s="692" t="n"/>
      <c r="F776" s="692" t="n"/>
      <c r="G776" s="692" t="n"/>
      <c r="H776" s="692" t="n"/>
      <c r="I776" s="692" t="n"/>
      <c r="J776" s="692" t="n"/>
      <c r="K776" s="692" t="n"/>
      <c r="L776" s="692" t="n"/>
      <c r="M776" s="692" t="n"/>
      <c r="N776" s="692" t="n"/>
      <c r="O776" s="692" t="n"/>
      <c r="P776" s="692" t="n"/>
      <c r="Q776" s="692" t="n"/>
      <c r="R776" s="692" t="n"/>
      <c r="S776" s="692" t="n"/>
      <c r="T776" s="692" t="n"/>
      <c r="U776" s="692" t="n"/>
      <c r="V776" s="692" t="n"/>
      <c r="W776" s="692" t="n"/>
      <c r="X776" s="692" t="n"/>
      <c r="Y776" s="692" t="n"/>
      <c r="Z776" s="692" t="n"/>
      <c r="AA776" s="692" t="n"/>
      <c r="AB776" s="692" t="n"/>
      <c r="AC776" s="692" t="n"/>
      <c r="AD776" s="692" t="n"/>
      <c r="AE776" s="692" t="n"/>
      <c r="AF776" s="692" t="n"/>
      <c r="AG776" s="692" t="n"/>
      <c r="AH776" s="692" t="n"/>
      <c r="AI776" s="692" t="n"/>
      <c r="AJ776" s="692" t="n"/>
      <c r="AK776" s="692" t="n"/>
      <c r="AL776" s="692" t="n"/>
      <c r="AM776" s="692" t="n"/>
      <c r="AN776" s="692" t="n"/>
      <c r="AO776" s="692" t="n"/>
      <c r="AP776" s="692" t="n"/>
    </row>
    <row r="777">
      <c r="A777" s="692" t="n"/>
      <c r="B777" s="692" t="n"/>
      <c r="C777" s="692" t="n"/>
      <c r="D777" s="692" t="n"/>
      <c r="E777" s="692" t="n"/>
      <c r="F777" s="692" t="n"/>
      <c r="G777" s="692" t="n"/>
      <c r="H777" s="692" t="n"/>
      <c r="I777" s="692" t="n"/>
      <c r="J777" s="692" t="n"/>
      <c r="K777" s="692" t="n"/>
      <c r="L777" s="692" t="n"/>
      <c r="M777" s="692" t="n"/>
      <c r="N777" s="692" t="n"/>
      <c r="O777" s="692" t="n"/>
      <c r="P777" s="692" t="n"/>
      <c r="Q777" s="692" t="n"/>
      <c r="R777" s="692" t="n"/>
      <c r="S777" s="692" t="n"/>
      <c r="T777" s="692" t="n"/>
      <c r="U777" s="692" t="n"/>
      <c r="V777" s="692" t="n"/>
      <c r="W777" s="692" t="n"/>
      <c r="X777" s="692" t="n"/>
      <c r="Y777" s="692" t="n"/>
      <c r="Z777" s="692" t="n"/>
      <c r="AA777" s="692" t="n"/>
      <c r="AB777" s="692" t="n"/>
      <c r="AC777" s="692" t="n"/>
      <c r="AD777" s="692" t="n"/>
      <c r="AE777" s="692" t="n"/>
      <c r="AF777" s="692" t="n"/>
      <c r="AG777" s="692" t="n"/>
      <c r="AH777" s="692" t="n"/>
      <c r="AI777" s="692" t="n"/>
      <c r="AJ777" s="692" t="n"/>
      <c r="AK777" s="692" t="n"/>
      <c r="AL777" s="692" t="n"/>
      <c r="AM777" s="692" t="n"/>
      <c r="AN777" s="692" t="n"/>
      <c r="AO777" s="692" t="n"/>
      <c r="AP777" s="692" t="n"/>
    </row>
    <row r="778">
      <c r="A778" s="692" t="n"/>
      <c r="B778" s="692" t="n"/>
      <c r="C778" s="692" t="n"/>
      <c r="D778" s="692" t="n"/>
      <c r="E778" s="692" t="n"/>
      <c r="F778" s="692" t="n"/>
      <c r="G778" s="692" t="n"/>
      <c r="H778" s="692" t="n"/>
      <c r="I778" s="692" t="n"/>
      <c r="J778" s="692" t="n"/>
      <c r="K778" s="692" t="n"/>
      <c r="L778" s="692" t="n"/>
      <c r="M778" s="692" t="n"/>
      <c r="N778" s="692" t="n"/>
      <c r="O778" s="692" t="n"/>
      <c r="P778" s="692" t="n"/>
      <c r="Q778" s="692" t="n"/>
      <c r="R778" s="692" t="n"/>
      <c r="S778" s="692" t="n"/>
      <c r="T778" s="692" t="n"/>
      <c r="U778" s="692" t="n"/>
      <c r="V778" s="692" t="n"/>
      <c r="W778" s="692" t="n"/>
      <c r="X778" s="692" t="n"/>
      <c r="Y778" s="692" t="n"/>
      <c r="Z778" s="692" t="n"/>
      <c r="AA778" s="692" t="n"/>
      <c r="AB778" s="692" t="n"/>
      <c r="AC778" s="692" t="n"/>
      <c r="AD778" s="692" t="n"/>
      <c r="AE778" s="692" t="n"/>
      <c r="AF778" s="692" t="n"/>
      <c r="AG778" s="692" t="n"/>
      <c r="AH778" s="692" t="n"/>
      <c r="AI778" s="692" t="n"/>
      <c r="AJ778" s="692" t="n"/>
      <c r="AK778" s="692" t="n"/>
      <c r="AL778" s="692" t="n"/>
      <c r="AM778" s="692" t="n"/>
      <c r="AN778" s="692" t="n"/>
      <c r="AO778" s="692" t="n"/>
      <c r="AP778" s="692" t="n"/>
    </row>
    <row r="779">
      <c r="A779" s="692" t="n"/>
      <c r="B779" s="692" t="n"/>
      <c r="C779" s="692" t="n"/>
      <c r="D779" s="692" t="n"/>
      <c r="E779" s="692" t="n"/>
      <c r="F779" s="692" t="n"/>
      <c r="G779" s="692" t="n"/>
      <c r="H779" s="692" t="n"/>
      <c r="I779" s="692" t="n"/>
      <c r="J779" s="692" t="n"/>
      <c r="K779" s="692" t="n"/>
      <c r="L779" s="692" t="n"/>
      <c r="M779" s="692" t="n"/>
      <c r="N779" s="692" t="n"/>
      <c r="O779" s="692" t="n"/>
      <c r="P779" s="692" t="n"/>
      <c r="Q779" s="692" t="n"/>
      <c r="R779" s="692" t="n"/>
      <c r="S779" s="692" t="n"/>
      <c r="T779" s="692" t="n"/>
      <c r="U779" s="692" t="n"/>
      <c r="V779" s="692" t="n"/>
      <c r="W779" s="692" t="n"/>
      <c r="X779" s="692" t="n"/>
      <c r="Y779" s="692" t="n"/>
      <c r="Z779" s="692" t="n"/>
      <c r="AA779" s="692" t="n"/>
      <c r="AB779" s="692" t="n"/>
      <c r="AC779" s="692" t="n"/>
      <c r="AD779" s="692" t="n"/>
      <c r="AE779" s="692" t="n"/>
      <c r="AF779" s="692" t="n"/>
      <c r="AG779" s="692" t="n"/>
      <c r="AH779" s="692" t="n"/>
      <c r="AI779" s="692" t="n"/>
      <c r="AJ779" s="692" t="n"/>
      <c r="AK779" s="692" t="n"/>
      <c r="AL779" s="692" t="n"/>
      <c r="AM779" s="692" t="n"/>
      <c r="AN779" s="692" t="n"/>
      <c r="AO779" s="692" t="n"/>
      <c r="AP779" s="692" t="n"/>
    </row>
    <row r="780">
      <c r="A780" s="692" t="n"/>
      <c r="B780" s="692" t="n"/>
      <c r="C780" s="692" t="n"/>
      <c r="D780" s="692" t="n"/>
      <c r="E780" s="692" t="n"/>
      <c r="F780" s="692" t="n"/>
      <c r="G780" s="692" t="n"/>
      <c r="H780" s="692" t="n"/>
      <c r="I780" s="692" t="n"/>
      <c r="J780" s="692" t="n"/>
      <c r="K780" s="692" t="n"/>
      <c r="L780" s="692" t="n"/>
      <c r="M780" s="692" t="n"/>
      <c r="N780" s="692" t="n"/>
      <c r="O780" s="692" t="n"/>
      <c r="P780" s="692" t="n"/>
      <c r="Q780" s="692" t="n"/>
      <c r="R780" s="692" t="n"/>
      <c r="S780" s="692" t="n"/>
      <c r="T780" s="692" t="n"/>
      <c r="U780" s="692" t="n"/>
      <c r="V780" s="692" t="n"/>
      <c r="W780" s="692" t="n"/>
      <c r="X780" s="692" t="n"/>
      <c r="Y780" s="692" t="n"/>
      <c r="Z780" s="692" t="n"/>
      <c r="AA780" s="692" t="n"/>
      <c r="AB780" s="692" t="n"/>
      <c r="AC780" s="692" t="n"/>
      <c r="AD780" s="692" t="n"/>
      <c r="AE780" s="692" t="n"/>
      <c r="AF780" s="692" t="n"/>
      <c r="AG780" s="692" t="n"/>
      <c r="AH780" s="692" t="n"/>
      <c r="AI780" s="692" t="n"/>
      <c r="AJ780" s="692" t="n"/>
      <c r="AK780" s="692" t="n"/>
      <c r="AL780" s="692" t="n"/>
      <c r="AM780" s="692" t="n"/>
      <c r="AN780" s="692" t="n"/>
      <c r="AO780" s="692" t="n"/>
      <c r="AP780" s="692" t="n"/>
    </row>
    <row r="781">
      <c r="A781" s="692" t="n"/>
      <c r="B781" s="692" t="n"/>
      <c r="C781" s="692" t="n"/>
      <c r="D781" s="692" t="n"/>
      <c r="E781" s="692" t="n"/>
      <c r="F781" s="692" t="n"/>
      <c r="G781" s="692" t="n"/>
      <c r="H781" s="692" t="n"/>
      <c r="I781" s="692" t="n"/>
      <c r="J781" s="692" t="n"/>
      <c r="K781" s="692" t="n"/>
      <c r="L781" s="692" t="n"/>
      <c r="M781" s="692" t="n"/>
      <c r="N781" s="692" t="n"/>
      <c r="O781" s="692" t="n"/>
      <c r="P781" s="692" t="n"/>
      <c r="Q781" s="692" t="n"/>
      <c r="R781" s="692" t="n"/>
      <c r="S781" s="692" t="n"/>
      <c r="T781" s="692" t="n"/>
      <c r="U781" s="692" t="n"/>
      <c r="V781" s="692" t="n"/>
      <c r="W781" s="692" t="n"/>
      <c r="X781" s="692" t="n"/>
      <c r="Y781" s="692" t="n"/>
      <c r="Z781" s="692" t="n"/>
      <c r="AA781" s="692" t="n"/>
      <c r="AB781" s="692" t="n"/>
      <c r="AC781" s="692" t="n"/>
      <c r="AD781" s="692" t="n"/>
      <c r="AE781" s="692" t="n"/>
      <c r="AF781" s="692" t="n"/>
      <c r="AG781" s="692" t="n"/>
      <c r="AH781" s="692" t="n"/>
      <c r="AI781" s="692" t="n"/>
      <c r="AJ781" s="692" t="n"/>
      <c r="AK781" s="692" t="n"/>
      <c r="AL781" s="692" t="n"/>
      <c r="AM781" s="692" t="n"/>
      <c r="AN781" s="692" t="n"/>
      <c r="AO781" s="692" t="n"/>
      <c r="AP781" s="692" t="n"/>
    </row>
    <row r="782">
      <c r="A782" s="692" t="n"/>
      <c r="B782" s="692" t="n"/>
      <c r="C782" s="692" t="n"/>
      <c r="D782" s="692" t="n"/>
      <c r="E782" s="692" t="n"/>
      <c r="F782" s="692" t="n"/>
      <c r="G782" s="692" t="n"/>
      <c r="H782" s="692" t="n"/>
      <c r="I782" s="692" t="n"/>
      <c r="J782" s="692" t="n"/>
      <c r="K782" s="692" t="n"/>
      <c r="L782" s="692" t="n"/>
      <c r="M782" s="692" t="n"/>
      <c r="N782" s="692" t="n"/>
      <c r="O782" s="692" t="n"/>
      <c r="P782" s="692" t="n"/>
      <c r="Q782" s="692" t="n"/>
      <c r="R782" s="692" t="n"/>
      <c r="S782" s="692" t="n"/>
      <c r="T782" s="692" t="n"/>
      <c r="U782" s="692" t="n"/>
      <c r="V782" s="692" t="n"/>
      <c r="W782" s="692" t="n"/>
      <c r="X782" s="692" t="n"/>
      <c r="Y782" s="692" t="n"/>
      <c r="Z782" s="692" t="n"/>
      <c r="AA782" s="692" t="n"/>
      <c r="AB782" s="692" t="n"/>
      <c r="AC782" s="692" t="n"/>
      <c r="AD782" s="692" t="n"/>
      <c r="AE782" s="692" t="n"/>
      <c r="AF782" s="692" t="n"/>
      <c r="AG782" s="692" t="n"/>
      <c r="AH782" s="692" t="n"/>
      <c r="AI782" s="692" t="n"/>
      <c r="AJ782" s="692" t="n"/>
      <c r="AK782" s="692" t="n"/>
      <c r="AL782" s="692" t="n"/>
      <c r="AM782" s="692" t="n"/>
      <c r="AN782" s="692" t="n"/>
      <c r="AO782" s="692" t="n"/>
      <c r="AP782" s="692" t="n"/>
    </row>
    <row r="783">
      <c r="A783" s="692" t="n"/>
      <c r="B783" s="692" t="n"/>
      <c r="C783" s="692" t="n"/>
      <c r="D783" s="692" t="n"/>
      <c r="E783" s="692" t="n"/>
      <c r="F783" s="692" t="n"/>
      <c r="G783" s="692" t="n"/>
      <c r="H783" s="692" t="n"/>
      <c r="I783" s="692" t="n"/>
      <c r="J783" s="692" t="n"/>
      <c r="K783" s="692" t="n"/>
      <c r="L783" s="692" t="n"/>
      <c r="M783" s="692" t="n"/>
      <c r="N783" s="692" t="n"/>
      <c r="O783" s="692" t="n"/>
      <c r="P783" s="692" t="n"/>
      <c r="Q783" s="692" t="n"/>
      <c r="R783" s="692" t="n"/>
      <c r="S783" s="692" t="n"/>
      <c r="T783" s="692" t="n"/>
      <c r="U783" s="692" t="n"/>
      <c r="V783" s="692" t="n"/>
      <c r="W783" s="692" t="n"/>
      <c r="X783" s="692" t="n"/>
      <c r="Y783" s="692" t="n"/>
      <c r="Z783" s="692" t="n"/>
      <c r="AA783" s="692" t="n"/>
      <c r="AB783" s="692" t="n"/>
      <c r="AC783" s="692" t="n"/>
      <c r="AD783" s="692" t="n"/>
      <c r="AE783" s="692" t="n"/>
      <c r="AF783" s="692" t="n"/>
      <c r="AG783" s="692" t="n"/>
      <c r="AH783" s="692" t="n"/>
      <c r="AI783" s="692" t="n"/>
      <c r="AJ783" s="692" t="n"/>
      <c r="AK783" s="692" t="n"/>
      <c r="AL783" s="692" t="n"/>
      <c r="AM783" s="692" t="n"/>
      <c r="AN783" s="692" t="n"/>
      <c r="AO783" s="692" t="n"/>
      <c r="AP783" s="692" t="n"/>
    </row>
    <row r="784">
      <c r="A784" s="692" t="n"/>
      <c r="B784" s="692" t="n"/>
      <c r="C784" s="692" t="n"/>
      <c r="D784" s="692" t="n"/>
      <c r="E784" s="692" t="n"/>
      <c r="F784" s="692" t="n"/>
      <c r="G784" s="692" t="n"/>
      <c r="H784" s="692" t="n"/>
      <c r="I784" s="692" t="n"/>
      <c r="J784" s="692" t="n"/>
      <c r="K784" s="692" t="n"/>
      <c r="L784" s="692" t="n"/>
      <c r="M784" s="692" t="n"/>
      <c r="N784" s="692" t="n"/>
      <c r="O784" s="692" t="n"/>
      <c r="P784" s="692" t="n"/>
      <c r="Q784" s="692" t="n"/>
      <c r="R784" s="692" t="n"/>
      <c r="S784" s="692" t="n"/>
      <c r="T784" s="692" t="n"/>
      <c r="U784" s="692" t="n"/>
      <c r="V784" s="692" t="n"/>
      <c r="W784" s="692" t="n"/>
      <c r="X784" s="692" t="n"/>
      <c r="Y784" s="692" t="n"/>
      <c r="Z784" s="692" t="n"/>
      <c r="AA784" s="692" t="n"/>
      <c r="AB784" s="692" t="n"/>
      <c r="AC784" s="692" t="n"/>
      <c r="AD784" s="692" t="n"/>
      <c r="AE784" s="692" t="n"/>
      <c r="AF784" s="692" t="n"/>
      <c r="AG784" s="692" t="n"/>
      <c r="AH784" s="692" t="n"/>
      <c r="AI784" s="692" t="n"/>
      <c r="AJ784" s="692" t="n"/>
      <c r="AK784" s="692" t="n"/>
      <c r="AL784" s="692" t="n"/>
      <c r="AM784" s="692" t="n"/>
      <c r="AN784" s="692" t="n"/>
      <c r="AO784" s="692" t="n"/>
      <c r="AP784" s="692" t="n"/>
    </row>
    <row r="785">
      <c r="A785" s="692" t="n"/>
      <c r="B785" s="692" t="n"/>
      <c r="C785" s="692" t="n"/>
      <c r="D785" s="692" t="n"/>
      <c r="E785" s="692" t="n"/>
      <c r="F785" s="692" t="n"/>
      <c r="G785" s="692" t="n"/>
      <c r="H785" s="692" t="n"/>
      <c r="I785" s="692" t="n"/>
      <c r="J785" s="692" t="n"/>
      <c r="K785" s="692" t="n"/>
      <c r="L785" s="692" t="n"/>
      <c r="M785" s="692" t="n"/>
      <c r="N785" s="692" t="n"/>
      <c r="O785" s="692" t="n"/>
      <c r="P785" s="692" t="n"/>
      <c r="Q785" s="692" t="n"/>
      <c r="R785" s="692" t="n"/>
      <c r="S785" s="692" t="n"/>
      <c r="T785" s="692" t="n"/>
      <c r="U785" s="692" t="n"/>
      <c r="V785" s="692" t="n"/>
      <c r="W785" s="692" t="n"/>
      <c r="X785" s="692" t="n"/>
      <c r="Y785" s="692" t="n"/>
      <c r="Z785" s="692" t="n"/>
      <c r="AA785" s="692" t="n"/>
      <c r="AB785" s="692" t="n"/>
      <c r="AC785" s="692" t="n"/>
      <c r="AD785" s="692" t="n"/>
      <c r="AE785" s="692" t="n"/>
      <c r="AF785" s="692" t="n"/>
      <c r="AG785" s="692" t="n"/>
      <c r="AH785" s="692" t="n"/>
      <c r="AI785" s="692" t="n"/>
      <c r="AJ785" s="692" t="n"/>
      <c r="AK785" s="692" t="n"/>
      <c r="AL785" s="692" t="n"/>
      <c r="AM785" s="692" t="n"/>
      <c r="AN785" s="692" t="n"/>
      <c r="AO785" s="692" t="n"/>
      <c r="AP785" s="692" t="n"/>
    </row>
    <row r="786">
      <c r="A786" s="692" t="n"/>
      <c r="B786" s="692" t="n"/>
      <c r="C786" s="692" t="n"/>
      <c r="D786" s="692" t="n"/>
      <c r="E786" s="692" t="n"/>
      <c r="F786" s="692" t="n"/>
      <c r="G786" s="692" t="n"/>
      <c r="H786" s="692" t="n"/>
      <c r="I786" s="692" t="n"/>
      <c r="J786" s="692" t="n"/>
      <c r="K786" s="692" t="n"/>
      <c r="L786" s="692" t="n"/>
      <c r="M786" s="692" t="n"/>
      <c r="N786" s="692" t="n"/>
      <c r="O786" s="692" t="n"/>
      <c r="P786" s="692" t="n"/>
      <c r="Q786" s="692" t="n"/>
      <c r="R786" s="692" t="n"/>
      <c r="S786" s="692" t="n"/>
      <c r="T786" s="692" t="n"/>
      <c r="U786" s="692" t="n"/>
      <c r="V786" s="692" t="n"/>
      <c r="W786" s="692" t="n"/>
      <c r="X786" s="692" t="n"/>
      <c r="Y786" s="692" t="n"/>
      <c r="Z786" s="692" t="n"/>
      <c r="AA786" s="692" t="n"/>
      <c r="AB786" s="692" t="n"/>
      <c r="AC786" s="692" t="n"/>
      <c r="AD786" s="692" t="n"/>
      <c r="AE786" s="692" t="n"/>
      <c r="AF786" s="692" t="n"/>
      <c r="AG786" s="692" t="n"/>
      <c r="AH786" s="692" t="n"/>
      <c r="AI786" s="692" t="n"/>
      <c r="AJ786" s="692" t="n"/>
      <c r="AK786" s="692" t="n"/>
      <c r="AL786" s="692" t="n"/>
      <c r="AM786" s="692" t="n"/>
      <c r="AN786" s="692" t="n"/>
      <c r="AO786" s="692" t="n"/>
      <c r="AP786" s="692" t="n"/>
    </row>
    <row r="787">
      <c r="A787" s="692" t="n"/>
      <c r="B787" s="692" t="n"/>
      <c r="C787" s="692" t="n"/>
      <c r="D787" s="692" t="n"/>
      <c r="E787" s="692" t="n"/>
      <c r="F787" s="692" t="n"/>
      <c r="G787" s="692" t="n"/>
      <c r="H787" s="692" t="n"/>
      <c r="I787" s="692" t="n"/>
      <c r="J787" s="692" t="n"/>
      <c r="K787" s="692" t="n"/>
      <c r="L787" s="692" t="n"/>
      <c r="M787" s="692" t="n"/>
      <c r="N787" s="692" t="n"/>
      <c r="O787" s="692" t="n"/>
      <c r="P787" s="692" t="n"/>
      <c r="Q787" s="692" t="n"/>
      <c r="R787" s="692" t="n"/>
      <c r="S787" s="692" t="n"/>
      <c r="T787" s="692" t="n"/>
      <c r="U787" s="692" t="n"/>
      <c r="V787" s="692" t="n"/>
      <c r="W787" s="692" t="n"/>
      <c r="X787" s="692" t="n"/>
      <c r="Y787" s="692" t="n"/>
      <c r="Z787" s="692" t="n"/>
      <c r="AA787" s="692" t="n"/>
      <c r="AB787" s="692" t="n"/>
      <c r="AC787" s="692" t="n"/>
      <c r="AD787" s="692" t="n"/>
      <c r="AE787" s="692" t="n"/>
      <c r="AF787" s="692" t="n"/>
      <c r="AG787" s="692" t="n"/>
      <c r="AH787" s="692" t="n"/>
      <c r="AI787" s="692" t="n"/>
      <c r="AJ787" s="692" t="n"/>
      <c r="AK787" s="692" t="n"/>
      <c r="AL787" s="692" t="n"/>
      <c r="AM787" s="692" t="n"/>
      <c r="AN787" s="692" t="n"/>
      <c r="AO787" s="692" t="n"/>
      <c r="AP787" s="692" t="n"/>
    </row>
    <row r="788">
      <c r="A788" s="692" t="n"/>
      <c r="B788" s="692" t="n"/>
      <c r="C788" s="692" t="n"/>
      <c r="D788" s="692" t="n"/>
      <c r="E788" s="692" t="n"/>
      <c r="F788" s="692" t="n"/>
      <c r="G788" s="692" t="n"/>
      <c r="H788" s="692" t="n"/>
      <c r="I788" s="692" t="n"/>
      <c r="J788" s="692" t="n"/>
      <c r="K788" s="692" t="n"/>
      <c r="L788" s="692" t="n"/>
      <c r="M788" s="692" t="n"/>
      <c r="N788" s="692" t="n"/>
      <c r="O788" s="692" t="n"/>
      <c r="P788" s="692" t="n"/>
      <c r="Q788" s="692" t="n"/>
      <c r="R788" s="692" t="n"/>
      <c r="S788" s="692" t="n"/>
      <c r="T788" s="692" t="n"/>
      <c r="U788" s="692" t="n"/>
      <c r="V788" s="692" t="n"/>
      <c r="W788" s="692" t="n"/>
      <c r="X788" s="692" t="n"/>
      <c r="Y788" s="692" t="n"/>
      <c r="Z788" s="692" t="n"/>
      <c r="AA788" s="692" t="n"/>
      <c r="AB788" s="692" t="n"/>
      <c r="AC788" s="692" t="n"/>
      <c r="AD788" s="692" t="n"/>
      <c r="AE788" s="692" t="n"/>
      <c r="AF788" s="692" t="n"/>
      <c r="AG788" s="692" t="n"/>
      <c r="AH788" s="692" t="n"/>
      <c r="AI788" s="692" t="n"/>
      <c r="AJ788" s="692" t="n"/>
      <c r="AK788" s="692" t="n"/>
      <c r="AL788" s="692" t="n"/>
      <c r="AM788" s="692" t="n"/>
      <c r="AN788" s="692" t="n"/>
      <c r="AO788" s="692" t="n"/>
      <c r="AP788" s="692" t="n"/>
    </row>
    <row r="789">
      <c r="A789" s="692" t="n"/>
      <c r="B789" s="692" t="n"/>
      <c r="C789" s="692" t="n"/>
      <c r="D789" s="692" t="n"/>
      <c r="E789" s="692" t="n"/>
      <c r="F789" s="692" t="n"/>
      <c r="G789" s="692" t="n"/>
      <c r="H789" s="692" t="n"/>
      <c r="I789" s="692" t="n"/>
      <c r="J789" s="692" t="n"/>
      <c r="K789" s="692" t="n"/>
      <c r="L789" s="692" t="n"/>
      <c r="M789" s="692" t="n"/>
      <c r="N789" s="692" t="n"/>
      <c r="O789" s="692" t="n"/>
      <c r="P789" s="692" t="n"/>
      <c r="Q789" s="692" t="n"/>
      <c r="R789" s="692" t="n"/>
      <c r="S789" s="692" t="n"/>
      <c r="T789" s="692" t="n"/>
      <c r="U789" s="692" t="n"/>
      <c r="V789" s="692" t="n"/>
      <c r="W789" s="692" t="n"/>
      <c r="X789" s="692" t="n"/>
      <c r="Y789" s="692" t="n"/>
      <c r="Z789" s="692" t="n"/>
      <c r="AA789" s="692" t="n"/>
      <c r="AB789" s="692" t="n"/>
      <c r="AC789" s="692" t="n"/>
      <c r="AD789" s="692" t="n"/>
      <c r="AE789" s="692" t="n"/>
      <c r="AF789" s="692" t="n"/>
      <c r="AG789" s="692" t="n"/>
      <c r="AH789" s="692" t="n"/>
      <c r="AI789" s="692" t="n"/>
      <c r="AJ789" s="692" t="n"/>
      <c r="AK789" s="692" t="n"/>
      <c r="AL789" s="692" t="n"/>
      <c r="AM789" s="692" t="n"/>
      <c r="AN789" s="692" t="n"/>
      <c r="AO789" s="692" t="n"/>
      <c r="AP789" s="692" t="n"/>
    </row>
    <row r="790">
      <c r="A790" s="692" t="n"/>
      <c r="B790" s="692" t="n"/>
      <c r="C790" s="692" t="n"/>
      <c r="D790" s="692" t="n"/>
      <c r="E790" s="692" t="n"/>
      <c r="F790" s="692" t="n"/>
      <c r="G790" s="692" t="n"/>
      <c r="H790" s="692" t="n"/>
      <c r="I790" s="692" t="n"/>
      <c r="J790" s="692" t="n"/>
      <c r="K790" s="692" t="n"/>
      <c r="L790" s="692" t="n"/>
      <c r="M790" s="692" t="n"/>
      <c r="N790" s="692" t="n"/>
      <c r="O790" s="692" t="n"/>
      <c r="P790" s="692" t="n"/>
      <c r="Q790" s="692" t="n"/>
      <c r="R790" s="692" t="n"/>
      <c r="S790" s="692" t="n"/>
      <c r="T790" s="692" t="n"/>
      <c r="U790" s="692" t="n"/>
      <c r="V790" s="692" t="n"/>
      <c r="W790" s="692" t="n"/>
      <c r="X790" s="692" t="n"/>
      <c r="Y790" s="692" t="n"/>
      <c r="Z790" s="692" t="n"/>
      <c r="AA790" s="692" t="n"/>
      <c r="AB790" s="692" t="n"/>
      <c r="AC790" s="692" t="n"/>
      <c r="AD790" s="692" t="n"/>
      <c r="AE790" s="692" t="n"/>
      <c r="AF790" s="692" t="n"/>
      <c r="AG790" s="692" t="n"/>
      <c r="AH790" s="692" t="n"/>
      <c r="AI790" s="692" t="n"/>
      <c r="AJ790" s="692" t="n"/>
      <c r="AK790" s="692" t="n"/>
      <c r="AL790" s="692" t="n"/>
      <c r="AM790" s="692" t="n"/>
      <c r="AN790" s="692" t="n"/>
      <c r="AO790" s="692" t="n"/>
      <c r="AP790" s="692" t="n"/>
    </row>
    <row r="791">
      <c r="A791" s="692" t="n"/>
      <c r="B791" s="692" t="n"/>
      <c r="C791" s="692" t="n"/>
      <c r="D791" s="692" t="n"/>
      <c r="E791" s="692" t="n"/>
      <c r="F791" s="692" t="n"/>
      <c r="G791" s="692" t="n"/>
      <c r="H791" s="692" t="n"/>
      <c r="I791" s="692" t="n"/>
      <c r="J791" s="692" t="n"/>
      <c r="K791" s="692" t="n"/>
      <c r="L791" s="692" t="n"/>
      <c r="M791" s="692" t="n"/>
      <c r="N791" s="692" t="n"/>
      <c r="O791" s="692" t="n"/>
      <c r="P791" s="692" t="n"/>
      <c r="Q791" s="692" t="n"/>
      <c r="R791" s="692" t="n"/>
      <c r="S791" s="692" t="n"/>
      <c r="T791" s="692" t="n"/>
      <c r="U791" s="692" t="n"/>
      <c r="V791" s="692" t="n"/>
      <c r="W791" s="692" t="n"/>
      <c r="X791" s="692" t="n"/>
      <c r="Y791" s="692" t="n"/>
      <c r="Z791" s="692" t="n"/>
      <c r="AA791" s="692" t="n"/>
      <c r="AB791" s="692" t="n"/>
      <c r="AC791" s="692" t="n"/>
      <c r="AD791" s="692" t="n"/>
      <c r="AE791" s="692" t="n"/>
      <c r="AF791" s="692" t="n"/>
      <c r="AG791" s="692" t="n"/>
      <c r="AH791" s="692" t="n"/>
      <c r="AI791" s="692" t="n"/>
      <c r="AJ791" s="692" t="n"/>
      <c r="AK791" s="692" t="n"/>
      <c r="AL791" s="692" t="n"/>
      <c r="AM791" s="692" t="n"/>
      <c r="AN791" s="692" t="n"/>
      <c r="AO791" s="692" t="n"/>
      <c r="AP791" s="692" t="n"/>
    </row>
    <row r="792">
      <c r="A792" s="692" t="n"/>
      <c r="B792" s="692" t="n"/>
      <c r="C792" s="692" t="n"/>
      <c r="D792" s="692" t="n"/>
      <c r="E792" s="692" t="n"/>
      <c r="F792" s="692" t="n"/>
      <c r="G792" s="692" t="n"/>
      <c r="H792" s="692" t="n"/>
      <c r="I792" s="692" t="n"/>
      <c r="J792" s="692" t="n"/>
      <c r="K792" s="692" t="n"/>
      <c r="L792" s="692" t="n"/>
      <c r="M792" s="692" t="n"/>
      <c r="N792" s="692" t="n"/>
      <c r="O792" s="692" t="n"/>
      <c r="P792" s="692" t="n"/>
      <c r="Q792" s="692" t="n"/>
      <c r="R792" s="692" t="n"/>
      <c r="S792" s="692" t="n"/>
      <c r="T792" s="692" t="n"/>
      <c r="U792" s="692" t="n"/>
      <c r="V792" s="692" t="n"/>
      <c r="W792" s="692" t="n"/>
      <c r="X792" s="692" t="n"/>
      <c r="Y792" s="692" t="n"/>
      <c r="Z792" s="692" t="n"/>
      <c r="AA792" s="692" t="n"/>
      <c r="AB792" s="692" t="n"/>
      <c r="AC792" s="692" t="n"/>
      <c r="AD792" s="692" t="n"/>
      <c r="AE792" s="692" t="n"/>
      <c r="AF792" s="692" t="n"/>
      <c r="AG792" s="692" t="n"/>
      <c r="AH792" s="692" t="n"/>
      <c r="AI792" s="692" t="n"/>
      <c r="AJ792" s="692" t="n"/>
      <c r="AK792" s="692" t="n"/>
      <c r="AL792" s="692" t="n"/>
      <c r="AM792" s="692" t="n"/>
      <c r="AN792" s="692" t="n"/>
      <c r="AO792" s="692" t="n"/>
      <c r="AP792" s="692" t="n"/>
    </row>
    <row r="793">
      <c r="A793" s="692" t="n"/>
      <c r="B793" s="692" t="n"/>
      <c r="C793" s="692" t="n"/>
      <c r="D793" s="692" t="n"/>
      <c r="E793" s="692" t="n"/>
      <c r="F793" s="692" t="n"/>
      <c r="G793" s="692" t="n"/>
      <c r="H793" s="692" t="n"/>
      <c r="I793" s="692" t="n"/>
      <c r="J793" s="692" t="n"/>
      <c r="K793" s="692" t="n"/>
      <c r="L793" s="692" t="n"/>
      <c r="M793" s="692" t="n"/>
      <c r="N793" s="692" t="n"/>
      <c r="O793" s="692" t="n"/>
      <c r="P793" s="692" t="n"/>
      <c r="Q793" s="692" t="n"/>
      <c r="R793" s="692" t="n"/>
      <c r="S793" s="692" t="n"/>
      <c r="T793" s="692" t="n"/>
      <c r="U793" s="692" t="n"/>
      <c r="V793" s="692" t="n"/>
      <c r="W793" s="692" t="n"/>
      <c r="X793" s="692" t="n"/>
      <c r="Y793" s="692" t="n"/>
      <c r="Z793" s="692" t="n"/>
      <c r="AA793" s="692" t="n"/>
      <c r="AB793" s="692" t="n"/>
      <c r="AC793" s="692" t="n"/>
      <c r="AD793" s="692" t="n"/>
      <c r="AE793" s="692" t="n"/>
      <c r="AF793" s="692" t="n"/>
      <c r="AG793" s="692" t="n"/>
      <c r="AH793" s="692" t="n"/>
      <c r="AI793" s="692" t="n"/>
      <c r="AJ793" s="692" t="n"/>
      <c r="AK793" s="692" t="n"/>
      <c r="AL793" s="692" t="n"/>
      <c r="AM793" s="692" t="n"/>
      <c r="AN793" s="692" t="n"/>
      <c r="AO793" s="692" t="n"/>
      <c r="AP793" s="692" t="n"/>
    </row>
    <row r="794">
      <c r="A794" s="692" t="n"/>
      <c r="B794" s="692" t="n"/>
      <c r="C794" s="692" t="n"/>
      <c r="D794" s="692" t="n"/>
      <c r="E794" s="692" t="n"/>
      <c r="F794" s="692" t="n"/>
      <c r="G794" s="692" t="n"/>
      <c r="H794" s="692" t="n"/>
      <c r="I794" s="692" t="n"/>
      <c r="J794" s="692" t="n"/>
      <c r="K794" s="692" t="n"/>
      <c r="L794" s="692" t="n"/>
      <c r="M794" s="692" t="n"/>
      <c r="N794" s="692" t="n"/>
      <c r="O794" s="692" t="n"/>
      <c r="P794" s="692" t="n"/>
      <c r="Q794" s="692" t="n"/>
      <c r="R794" s="692" t="n"/>
      <c r="S794" s="692" t="n"/>
      <c r="T794" s="692" t="n"/>
      <c r="U794" s="692" t="n"/>
      <c r="V794" s="692" t="n"/>
      <c r="W794" s="692" t="n"/>
      <c r="X794" s="692" t="n"/>
      <c r="Y794" s="692" t="n"/>
      <c r="Z794" s="692" t="n"/>
      <c r="AA794" s="692" t="n"/>
      <c r="AB794" s="692" t="n"/>
      <c r="AC794" s="692" t="n"/>
      <c r="AD794" s="692" t="n"/>
      <c r="AE794" s="692" t="n"/>
      <c r="AF794" s="692" t="n"/>
      <c r="AG794" s="692" t="n"/>
      <c r="AH794" s="692" t="n"/>
      <c r="AI794" s="692" t="n"/>
      <c r="AJ794" s="692" t="n"/>
      <c r="AK794" s="692" t="n"/>
      <c r="AL794" s="692" t="n"/>
      <c r="AM794" s="692" t="n"/>
      <c r="AN794" s="692" t="n"/>
      <c r="AO794" s="692" t="n"/>
      <c r="AP794" s="692" t="n"/>
    </row>
    <row r="795">
      <c r="A795" s="692" t="n"/>
      <c r="B795" s="692" t="n"/>
      <c r="C795" s="692" t="n"/>
      <c r="D795" s="692" t="n"/>
      <c r="E795" s="692" t="n"/>
      <c r="F795" s="692" t="n"/>
      <c r="G795" s="692" t="n"/>
      <c r="H795" s="692" t="n"/>
      <c r="I795" s="692" t="n"/>
      <c r="J795" s="692" t="n"/>
      <c r="K795" s="692" t="n"/>
      <c r="L795" s="692" t="n"/>
      <c r="M795" s="692" t="n"/>
      <c r="N795" s="692" t="n"/>
      <c r="O795" s="692" t="n"/>
      <c r="P795" s="692" t="n"/>
      <c r="Q795" s="692" t="n"/>
      <c r="R795" s="692" t="n"/>
      <c r="S795" s="692" t="n"/>
      <c r="T795" s="692" t="n"/>
      <c r="U795" s="692" t="n"/>
      <c r="V795" s="692" t="n"/>
      <c r="W795" s="692" t="n"/>
      <c r="X795" s="692" t="n"/>
      <c r="Y795" s="692" t="n"/>
      <c r="Z795" s="692" t="n"/>
      <c r="AA795" s="692" t="n"/>
      <c r="AB795" s="692" t="n"/>
      <c r="AC795" s="692" t="n"/>
      <c r="AD795" s="692" t="n"/>
      <c r="AE795" s="692" t="n"/>
      <c r="AF795" s="692" t="n"/>
      <c r="AG795" s="692" t="n"/>
      <c r="AH795" s="692" t="n"/>
      <c r="AI795" s="692" t="n"/>
      <c r="AJ795" s="692" t="n"/>
      <c r="AK795" s="692" t="n"/>
      <c r="AL795" s="692" t="n"/>
      <c r="AM795" s="692" t="n"/>
      <c r="AN795" s="692" t="n"/>
      <c r="AO795" s="692" t="n"/>
      <c r="AP795" s="692" t="n"/>
    </row>
    <row r="796">
      <c r="A796" s="692" t="n"/>
      <c r="B796" s="692" t="n"/>
      <c r="C796" s="692" t="n"/>
      <c r="D796" s="692" t="n"/>
      <c r="E796" s="692" t="n"/>
      <c r="F796" s="692" t="n"/>
      <c r="G796" s="692" t="n"/>
      <c r="H796" s="692" t="n"/>
      <c r="I796" s="692" t="n"/>
      <c r="J796" s="692" t="n"/>
      <c r="K796" s="692" t="n"/>
      <c r="L796" s="692" t="n"/>
      <c r="M796" s="692" t="n"/>
      <c r="N796" s="692" t="n"/>
      <c r="O796" s="692" t="n"/>
      <c r="P796" s="692" t="n"/>
      <c r="Q796" s="692" t="n"/>
      <c r="R796" s="692" t="n"/>
      <c r="S796" s="692" t="n"/>
      <c r="T796" s="692" t="n"/>
      <c r="U796" s="692" t="n"/>
      <c r="V796" s="692" t="n"/>
      <c r="W796" s="692" t="n"/>
      <c r="X796" s="692" t="n"/>
      <c r="Y796" s="692" t="n"/>
      <c r="Z796" s="692" t="n"/>
      <c r="AA796" s="692" t="n"/>
      <c r="AB796" s="692" t="n"/>
      <c r="AC796" s="692" t="n"/>
      <c r="AD796" s="692" t="n"/>
      <c r="AE796" s="692" t="n"/>
      <c r="AF796" s="692" t="n"/>
      <c r="AG796" s="692" t="n"/>
      <c r="AH796" s="692" t="n"/>
      <c r="AI796" s="692" t="n"/>
      <c r="AJ796" s="692" t="n"/>
      <c r="AK796" s="692" t="n"/>
      <c r="AL796" s="692" t="n"/>
      <c r="AM796" s="692" t="n"/>
      <c r="AN796" s="692" t="n"/>
      <c r="AO796" s="692" t="n"/>
      <c r="AP796" s="692" t="n"/>
    </row>
    <row r="797">
      <c r="A797" s="692" t="n"/>
      <c r="B797" s="692" t="n"/>
      <c r="C797" s="692" t="n"/>
      <c r="D797" s="692" t="n"/>
      <c r="E797" s="692" t="n"/>
      <c r="F797" s="692" t="n"/>
      <c r="G797" s="692" t="n"/>
      <c r="H797" s="692" t="n"/>
      <c r="I797" s="692" t="n"/>
      <c r="J797" s="692" t="n"/>
      <c r="K797" s="692" t="n"/>
      <c r="L797" s="692" t="n"/>
      <c r="M797" s="692" t="n"/>
      <c r="N797" s="692" t="n"/>
      <c r="O797" s="692" t="n"/>
      <c r="P797" s="692" t="n"/>
      <c r="Q797" s="692" t="n"/>
      <c r="R797" s="692" t="n"/>
      <c r="S797" s="692" t="n"/>
      <c r="T797" s="692" t="n"/>
      <c r="U797" s="692" t="n"/>
      <c r="V797" s="692" t="n"/>
      <c r="W797" s="692" t="n"/>
      <c r="X797" s="692" t="n"/>
      <c r="Y797" s="692" t="n"/>
      <c r="Z797" s="692" t="n"/>
      <c r="AA797" s="692" t="n"/>
      <c r="AB797" s="692" t="n"/>
      <c r="AC797" s="692" t="n"/>
      <c r="AD797" s="692" t="n"/>
      <c r="AE797" s="692" t="n"/>
      <c r="AF797" s="692" t="n"/>
      <c r="AG797" s="692" t="n"/>
      <c r="AH797" s="692" t="n"/>
      <c r="AI797" s="692" t="n"/>
      <c r="AJ797" s="692" t="n"/>
      <c r="AK797" s="692" t="n"/>
      <c r="AL797" s="692" t="n"/>
      <c r="AM797" s="692" t="n"/>
      <c r="AN797" s="692" t="n"/>
      <c r="AO797" s="692" t="n"/>
      <c r="AP797" s="692" t="n"/>
    </row>
    <row r="798">
      <c r="A798" s="692" t="n"/>
      <c r="B798" s="692" t="n"/>
      <c r="C798" s="692" t="n"/>
      <c r="D798" s="692" t="n"/>
      <c r="E798" s="692" t="n"/>
      <c r="F798" s="692" t="n"/>
      <c r="G798" s="692" t="n"/>
      <c r="H798" s="692" t="n"/>
      <c r="I798" s="692" t="n"/>
      <c r="J798" s="692" t="n"/>
      <c r="K798" s="692" t="n"/>
      <c r="L798" s="692" t="n"/>
      <c r="M798" s="692" t="n"/>
      <c r="N798" s="692" t="n"/>
      <c r="O798" s="692" t="n"/>
      <c r="P798" s="692" t="n"/>
      <c r="Q798" s="692" t="n"/>
      <c r="R798" s="692" t="n"/>
      <c r="S798" s="692" t="n"/>
      <c r="T798" s="692" t="n"/>
      <c r="U798" s="692" t="n"/>
      <c r="V798" s="692" t="n"/>
      <c r="W798" s="692" t="n"/>
      <c r="X798" s="692" t="n"/>
      <c r="Y798" s="692" t="n"/>
      <c r="Z798" s="692" t="n"/>
      <c r="AA798" s="692" t="n"/>
      <c r="AB798" s="692" t="n"/>
      <c r="AC798" s="692" t="n"/>
      <c r="AD798" s="692" t="n"/>
      <c r="AE798" s="692" t="n"/>
      <c r="AF798" s="692" t="n"/>
      <c r="AG798" s="692" t="n"/>
      <c r="AH798" s="692" t="n"/>
      <c r="AI798" s="692" t="n"/>
      <c r="AJ798" s="692" t="n"/>
      <c r="AK798" s="692" t="n"/>
      <c r="AL798" s="692" t="n"/>
      <c r="AM798" s="692" t="n"/>
      <c r="AN798" s="692" t="n"/>
      <c r="AO798" s="692" t="n"/>
      <c r="AP798" s="692" t="n"/>
    </row>
    <row r="799">
      <c r="A799" s="692" t="n"/>
      <c r="B799" s="692" t="n"/>
      <c r="C799" s="692" t="n"/>
      <c r="D799" s="692" t="n"/>
      <c r="E799" s="692" t="n"/>
      <c r="F799" s="692" t="n"/>
      <c r="G799" s="692" t="n"/>
      <c r="H799" s="692" t="n"/>
      <c r="I799" s="692" t="n"/>
      <c r="J799" s="692" t="n"/>
      <c r="K799" s="692" t="n"/>
      <c r="L799" s="692" t="n"/>
      <c r="M799" s="692" t="n"/>
      <c r="N799" s="692" t="n"/>
      <c r="O799" s="692" t="n"/>
      <c r="P799" s="692" t="n"/>
      <c r="Q799" s="692" t="n"/>
      <c r="R799" s="692" t="n"/>
      <c r="S799" s="692" t="n"/>
      <c r="T799" s="692" t="n"/>
      <c r="U799" s="692" t="n"/>
      <c r="V799" s="692" t="n"/>
      <c r="W799" s="692" t="n"/>
      <c r="X799" s="692" t="n"/>
      <c r="Y799" s="692" t="n"/>
      <c r="Z799" s="692" t="n"/>
      <c r="AA799" s="692" t="n"/>
      <c r="AB799" s="692" t="n"/>
      <c r="AC799" s="692" t="n"/>
      <c r="AD799" s="692" t="n"/>
      <c r="AE799" s="692" t="n"/>
      <c r="AF799" s="692" t="n"/>
      <c r="AG799" s="692" t="n"/>
      <c r="AH799" s="692" t="n"/>
      <c r="AI799" s="692" t="n"/>
      <c r="AJ799" s="692" t="n"/>
      <c r="AK799" s="692" t="n"/>
      <c r="AL799" s="692" t="n"/>
      <c r="AM799" s="692" t="n"/>
      <c r="AN799" s="692" t="n"/>
      <c r="AO799" s="692" t="n"/>
      <c r="AP799" s="692" t="n"/>
    </row>
    <row r="800">
      <c r="A800" s="692" t="n"/>
      <c r="B800" s="692" t="n"/>
      <c r="C800" s="692" t="n"/>
      <c r="D800" s="692" t="n"/>
      <c r="E800" s="692" t="n"/>
      <c r="F800" s="692" t="n"/>
      <c r="G800" s="692" t="n"/>
      <c r="H800" s="692" t="n"/>
      <c r="I800" s="692" t="n"/>
      <c r="J800" s="692" t="n"/>
      <c r="K800" s="692" t="n"/>
      <c r="L800" s="692" t="n"/>
      <c r="M800" s="692" t="n"/>
      <c r="N800" s="692" t="n"/>
      <c r="O800" s="692" t="n"/>
      <c r="P800" s="692" t="n"/>
      <c r="Q800" s="692" t="n"/>
      <c r="R800" s="692" t="n"/>
      <c r="S800" s="692" t="n"/>
      <c r="T800" s="692" t="n"/>
      <c r="U800" s="692" t="n"/>
      <c r="V800" s="692" t="n"/>
      <c r="W800" s="692" t="n"/>
      <c r="X800" s="692" t="n"/>
      <c r="Y800" s="692" t="n"/>
      <c r="Z800" s="692" t="n"/>
      <c r="AA800" s="692" t="n"/>
      <c r="AB800" s="692" t="n"/>
      <c r="AC800" s="692" t="n"/>
      <c r="AD800" s="692" t="n"/>
      <c r="AE800" s="692" t="n"/>
      <c r="AF800" s="692" t="n"/>
      <c r="AG800" s="692" t="n"/>
      <c r="AH800" s="692" t="n"/>
      <c r="AI800" s="692" t="n"/>
      <c r="AJ800" s="692" t="n"/>
      <c r="AK800" s="692" t="n"/>
      <c r="AL800" s="692" t="n"/>
      <c r="AM800" s="692" t="n"/>
      <c r="AN800" s="692" t="n"/>
      <c r="AO800" s="692" t="n"/>
      <c r="AP800" s="692" t="n"/>
    </row>
    <row r="801">
      <c r="A801" s="692" t="n"/>
      <c r="B801" s="692" t="n"/>
      <c r="C801" s="692" t="n"/>
      <c r="D801" s="692" t="n"/>
      <c r="E801" s="692" t="n"/>
      <c r="F801" s="692" t="n"/>
      <c r="G801" s="692" t="n"/>
      <c r="H801" s="692" t="n"/>
      <c r="I801" s="692" t="n"/>
      <c r="J801" s="692" t="n"/>
      <c r="K801" s="692" t="n"/>
      <c r="L801" s="692" t="n"/>
      <c r="M801" s="692" t="n"/>
      <c r="N801" s="692" t="n"/>
      <c r="O801" s="692" t="n"/>
      <c r="P801" s="692" t="n"/>
      <c r="Q801" s="692" t="n"/>
      <c r="R801" s="692" t="n"/>
      <c r="S801" s="692" t="n"/>
      <c r="T801" s="692" t="n"/>
      <c r="U801" s="692" t="n"/>
      <c r="V801" s="692" t="n"/>
      <c r="W801" s="692" t="n"/>
      <c r="X801" s="692" t="n"/>
      <c r="Y801" s="692" t="n"/>
      <c r="Z801" s="692" t="n"/>
      <c r="AA801" s="692" t="n"/>
      <c r="AB801" s="692" t="n"/>
      <c r="AC801" s="692" t="n"/>
      <c r="AD801" s="692" t="n"/>
      <c r="AE801" s="692" t="n"/>
      <c r="AF801" s="692" t="n"/>
      <c r="AG801" s="692" t="n"/>
      <c r="AH801" s="692" t="n"/>
      <c r="AI801" s="692" t="n"/>
      <c r="AJ801" s="692" t="n"/>
      <c r="AK801" s="692" t="n"/>
      <c r="AL801" s="692" t="n"/>
      <c r="AM801" s="692" t="n"/>
      <c r="AN801" s="692" t="n"/>
      <c r="AO801" s="692" t="n"/>
      <c r="AP801" s="692" t="n"/>
    </row>
    <row r="802">
      <c r="A802" s="692" t="n"/>
      <c r="B802" s="692" t="n"/>
      <c r="C802" s="692" t="n"/>
      <c r="D802" s="692" t="n"/>
      <c r="E802" s="692" t="n"/>
      <c r="F802" s="692" t="n"/>
      <c r="G802" s="692" t="n"/>
      <c r="H802" s="692" t="n"/>
      <c r="I802" s="692" t="n"/>
      <c r="J802" s="692" t="n"/>
      <c r="K802" s="692" t="n"/>
      <c r="L802" s="692" t="n"/>
      <c r="M802" s="692" t="n"/>
      <c r="N802" s="692" t="n"/>
      <c r="O802" s="692" t="n"/>
      <c r="P802" s="692" t="n"/>
      <c r="Q802" s="692" t="n"/>
      <c r="R802" s="692" t="n"/>
      <c r="S802" s="692" t="n"/>
      <c r="T802" s="692" t="n"/>
      <c r="U802" s="692" t="n"/>
      <c r="V802" s="692" t="n"/>
      <c r="W802" s="692" t="n"/>
      <c r="X802" s="692" t="n"/>
      <c r="Y802" s="692" t="n"/>
      <c r="Z802" s="692" t="n"/>
      <c r="AA802" s="692" t="n"/>
      <c r="AB802" s="692" t="n"/>
      <c r="AC802" s="692" t="n"/>
      <c r="AD802" s="692" t="n"/>
      <c r="AE802" s="692" t="n"/>
      <c r="AF802" s="692" t="n"/>
      <c r="AG802" s="692" t="n"/>
      <c r="AH802" s="692" t="n"/>
      <c r="AI802" s="692" t="n"/>
      <c r="AJ802" s="692" t="n"/>
      <c r="AK802" s="692" t="n"/>
      <c r="AL802" s="692" t="n"/>
      <c r="AM802" s="692" t="n"/>
      <c r="AN802" s="692" t="n"/>
      <c r="AO802" s="692" t="n"/>
      <c r="AP802" s="692" t="n"/>
    </row>
    <row r="803">
      <c r="A803" s="692" t="n"/>
      <c r="B803" s="692" t="n"/>
      <c r="C803" s="692" t="n"/>
      <c r="D803" s="692" t="n"/>
      <c r="E803" s="692" t="n"/>
      <c r="F803" s="692" t="n"/>
      <c r="G803" s="692" t="n"/>
      <c r="H803" s="692" t="n"/>
      <c r="I803" s="692" t="n"/>
      <c r="J803" s="692" t="n"/>
      <c r="K803" s="692" t="n"/>
      <c r="L803" s="692" t="n"/>
      <c r="M803" s="692" t="n"/>
      <c r="N803" s="692" t="n"/>
      <c r="O803" s="692" t="n"/>
      <c r="P803" s="692" t="n"/>
      <c r="Q803" s="692" t="n"/>
      <c r="R803" s="692" t="n"/>
      <c r="S803" s="692" t="n"/>
      <c r="T803" s="692" t="n"/>
      <c r="U803" s="692" t="n"/>
      <c r="V803" s="692" t="n"/>
      <c r="W803" s="692" t="n"/>
      <c r="X803" s="692" t="n"/>
      <c r="Y803" s="692" t="n"/>
      <c r="Z803" s="692" t="n"/>
      <c r="AA803" s="692" t="n"/>
      <c r="AB803" s="692" t="n"/>
      <c r="AC803" s="692" t="n"/>
      <c r="AD803" s="692" t="n"/>
      <c r="AE803" s="692" t="n"/>
      <c r="AF803" s="692" t="n"/>
      <c r="AG803" s="692" t="n"/>
      <c r="AH803" s="692" t="n"/>
      <c r="AI803" s="692" t="n"/>
      <c r="AJ803" s="692" t="n"/>
      <c r="AK803" s="692" t="n"/>
      <c r="AL803" s="692" t="n"/>
      <c r="AM803" s="692" t="n"/>
      <c r="AN803" s="692" t="n"/>
      <c r="AO803" s="692" t="n"/>
      <c r="AP803" s="692" t="n"/>
    </row>
    <row r="804">
      <c r="A804" s="692" t="n"/>
      <c r="B804" s="692" t="n"/>
      <c r="C804" s="692" t="n"/>
      <c r="D804" s="692" t="n"/>
      <c r="E804" s="692" t="n"/>
      <c r="F804" s="692" t="n"/>
      <c r="G804" s="692" t="n"/>
      <c r="H804" s="692" t="n"/>
      <c r="I804" s="692" t="n"/>
      <c r="J804" s="692" t="n"/>
      <c r="K804" s="692" t="n"/>
      <c r="L804" s="692" t="n"/>
      <c r="M804" s="692" t="n"/>
      <c r="N804" s="692" t="n"/>
      <c r="O804" s="692" t="n"/>
      <c r="P804" s="692" t="n"/>
      <c r="Q804" s="692" t="n"/>
      <c r="R804" s="692" t="n"/>
      <c r="S804" s="692" t="n"/>
      <c r="T804" s="692" t="n"/>
      <c r="U804" s="692" t="n"/>
      <c r="V804" s="692" t="n"/>
      <c r="W804" s="692" t="n"/>
      <c r="X804" s="692" t="n"/>
      <c r="Y804" s="692" t="n"/>
      <c r="Z804" s="692" t="n"/>
      <c r="AA804" s="692" t="n"/>
      <c r="AB804" s="692" t="n"/>
      <c r="AC804" s="692" t="n"/>
      <c r="AD804" s="692" t="n"/>
      <c r="AE804" s="692" t="n"/>
      <c r="AF804" s="692" t="n"/>
      <c r="AG804" s="692" t="n"/>
      <c r="AH804" s="692" t="n"/>
      <c r="AI804" s="692" t="n"/>
      <c r="AJ804" s="692" t="n"/>
      <c r="AK804" s="692" t="n"/>
      <c r="AL804" s="692" t="n"/>
      <c r="AM804" s="692" t="n"/>
      <c r="AN804" s="692" t="n"/>
      <c r="AO804" s="692" t="n"/>
      <c r="AP804" s="692" t="n"/>
    </row>
    <row r="805">
      <c r="A805" s="692" t="n"/>
      <c r="B805" s="692" t="n"/>
      <c r="C805" s="692" t="n"/>
      <c r="D805" s="692" t="n"/>
      <c r="E805" s="692" t="n"/>
      <c r="F805" s="692" t="n"/>
      <c r="G805" s="692" t="n"/>
      <c r="H805" s="692" t="n"/>
      <c r="I805" s="692" t="n"/>
      <c r="J805" s="692" t="n"/>
      <c r="K805" s="692" t="n"/>
      <c r="L805" s="692" t="n"/>
      <c r="M805" s="692" t="n"/>
      <c r="N805" s="692" t="n"/>
      <c r="O805" s="692" t="n"/>
      <c r="P805" s="692" t="n"/>
      <c r="Q805" s="692" t="n"/>
      <c r="R805" s="692" t="n"/>
      <c r="S805" s="692" t="n"/>
      <c r="T805" s="692" t="n"/>
      <c r="U805" s="692" t="n"/>
      <c r="V805" s="692" t="n"/>
      <c r="W805" s="692" t="n"/>
      <c r="X805" s="692" t="n"/>
      <c r="Y805" s="692" t="n"/>
      <c r="Z805" s="692" t="n"/>
      <c r="AA805" s="692" t="n"/>
      <c r="AB805" s="692" t="n"/>
      <c r="AC805" s="692" t="n"/>
      <c r="AD805" s="692" t="n"/>
      <c r="AE805" s="692" t="n"/>
      <c r="AF805" s="692" t="n"/>
      <c r="AG805" s="692" t="n"/>
      <c r="AH805" s="692" t="n"/>
      <c r="AI805" s="692" t="n"/>
      <c r="AJ805" s="692" t="n"/>
      <c r="AK805" s="692" t="n"/>
      <c r="AL805" s="692" t="n"/>
      <c r="AM805" s="692" t="n"/>
      <c r="AN805" s="692" t="n"/>
      <c r="AO805" s="692" t="n"/>
      <c r="AP805" s="692" t="n"/>
    </row>
    <row r="806">
      <c r="A806" s="692" t="n"/>
      <c r="B806" s="692" t="n"/>
      <c r="C806" s="692" t="n"/>
      <c r="D806" s="692" t="n"/>
      <c r="E806" s="692" t="n"/>
      <c r="F806" s="692" t="n"/>
      <c r="G806" s="692" t="n"/>
      <c r="H806" s="692" t="n"/>
      <c r="I806" s="692" t="n"/>
      <c r="J806" s="692" t="n"/>
      <c r="K806" s="692" t="n"/>
      <c r="L806" s="692" t="n"/>
      <c r="M806" s="692" t="n"/>
      <c r="N806" s="692" t="n"/>
      <c r="O806" s="692" t="n"/>
      <c r="P806" s="692" t="n"/>
      <c r="Q806" s="692" t="n"/>
      <c r="R806" s="692" t="n"/>
      <c r="S806" s="692" t="n"/>
      <c r="T806" s="692" t="n"/>
      <c r="U806" s="692" t="n"/>
      <c r="V806" s="692" t="n"/>
      <c r="W806" s="692" t="n"/>
      <c r="X806" s="692" t="n"/>
      <c r="Y806" s="692" t="n"/>
      <c r="Z806" s="692" t="n"/>
      <c r="AA806" s="692" t="n"/>
      <c r="AB806" s="692" t="n"/>
      <c r="AC806" s="692" t="n"/>
      <c r="AD806" s="692" t="n"/>
      <c r="AE806" s="692" t="n"/>
      <c r="AF806" s="692" t="n"/>
      <c r="AG806" s="692" t="n"/>
      <c r="AH806" s="692" t="n"/>
      <c r="AI806" s="692" t="n"/>
      <c r="AJ806" s="692" t="n"/>
      <c r="AK806" s="692" t="n"/>
      <c r="AL806" s="692" t="n"/>
      <c r="AM806" s="692" t="n"/>
      <c r="AN806" s="692" t="n"/>
      <c r="AO806" s="692" t="n"/>
      <c r="AP806" s="692" t="n"/>
    </row>
    <row r="807">
      <c r="A807" s="692" t="n"/>
      <c r="B807" s="692" t="n"/>
      <c r="C807" s="692" t="n"/>
      <c r="D807" s="692" t="n"/>
      <c r="E807" s="692" t="n"/>
      <c r="F807" s="692" t="n"/>
      <c r="G807" s="692" t="n"/>
      <c r="H807" s="692" t="n"/>
      <c r="I807" s="692" t="n"/>
      <c r="J807" s="692" t="n"/>
      <c r="K807" s="692" t="n"/>
      <c r="L807" s="692" t="n"/>
      <c r="M807" s="692" t="n"/>
      <c r="N807" s="692" t="n"/>
      <c r="O807" s="692" t="n"/>
      <c r="P807" s="692" t="n"/>
      <c r="Q807" s="692" t="n"/>
      <c r="R807" s="692" t="n"/>
      <c r="S807" s="692" t="n"/>
      <c r="T807" s="692" t="n"/>
      <c r="U807" s="692" t="n"/>
      <c r="V807" s="692" t="n"/>
      <c r="W807" s="692" t="n"/>
      <c r="X807" s="692" t="n"/>
      <c r="Y807" s="692" t="n"/>
      <c r="Z807" s="692" t="n"/>
      <c r="AA807" s="692" t="n"/>
      <c r="AB807" s="692" t="n"/>
      <c r="AC807" s="692" t="n"/>
      <c r="AD807" s="692" t="n"/>
      <c r="AE807" s="692" t="n"/>
      <c r="AF807" s="692" t="n"/>
      <c r="AG807" s="692" t="n"/>
      <c r="AH807" s="692" t="n"/>
      <c r="AI807" s="692" t="n"/>
      <c r="AJ807" s="692" t="n"/>
      <c r="AK807" s="692" t="n"/>
      <c r="AL807" s="692" t="n"/>
      <c r="AM807" s="692" t="n"/>
      <c r="AN807" s="692" t="n"/>
      <c r="AO807" s="692" t="n"/>
      <c r="AP807" s="692" t="n"/>
    </row>
    <row r="808">
      <c r="A808" s="692" t="n"/>
      <c r="B808" s="692" t="n"/>
      <c r="C808" s="692" t="n"/>
      <c r="D808" s="692" t="n"/>
      <c r="E808" s="692" t="n"/>
      <c r="F808" s="692" t="n"/>
      <c r="G808" s="692" t="n"/>
      <c r="H808" s="692" t="n"/>
      <c r="I808" s="692" t="n"/>
      <c r="J808" s="692" t="n"/>
      <c r="K808" s="692" t="n"/>
      <c r="L808" s="692" t="n"/>
      <c r="M808" s="692" t="n"/>
      <c r="N808" s="692" t="n"/>
      <c r="O808" s="692" t="n"/>
      <c r="P808" s="692" t="n"/>
      <c r="Q808" s="692" t="n"/>
      <c r="R808" s="692" t="n"/>
      <c r="S808" s="692" t="n"/>
      <c r="T808" s="692" t="n"/>
      <c r="U808" s="692" t="n"/>
      <c r="V808" s="692" t="n"/>
      <c r="W808" s="692" t="n"/>
      <c r="X808" s="692" t="n"/>
      <c r="Y808" s="692" t="n"/>
      <c r="Z808" s="692" t="n"/>
      <c r="AA808" s="692" t="n"/>
      <c r="AB808" s="692" t="n"/>
      <c r="AC808" s="692" t="n"/>
      <c r="AD808" s="692" t="n"/>
      <c r="AE808" s="692" t="n"/>
      <c r="AF808" s="692" t="n"/>
      <c r="AG808" s="692" t="n"/>
      <c r="AH808" s="692" t="n"/>
      <c r="AI808" s="692" t="n"/>
      <c r="AJ808" s="692" t="n"/>
      <c r="AK808" s="692" t="n"/>
      <c r="AL808" s="692" t="n"/>
      <c r="AM808" s="692" t="n"/>
      <c r="AN808" s="692" t="n"/>
      <c r="AO808" s="692" t="n"/>
      <c r="AP808" s="692" t="n"/>
    </row>
    <row r="809">
      <c r="A809" s="692" t="n"/>
      <c r="B809" s="692" t="n"/>
      <c r="C809" s="692" t="n"/>
      <c r="D809" s="692" t="n"/>
      <c r="E809" s="692" t="n"/>
      <c r="F809" s="692" t="n"/>
      <c r="G809" s="692" t="n"/>
      <c r="H809" s="692" t="n"/>
      <c r="I809" s="692" t="n"/>
      <c r="J809" s="692" t="n"/>
      <c r="K809" s="692" t="n"/>
      <c r="L809" s="692" t="n"/>
      <c r="M809" s="692" t="n"/>
      <c r="N809" s="692" t="n"/>
      <c r="O809" s="692" t="n"/>
      <c r="P809" s="692" t="n"/>
      <c r="Q809" s="692" t="n"/>
      <c r="R809" s="692" t="n"/>
      <c r="S809" s="692" t="n"/>
      <c r="T809" s="692" t="n"/>
      <c r="U809" s="692" t="n"/>
      <c r="V809" s="692" t="n"/>
      <c r="W809" s="692" t="n"/>
      <c r="X809" s="692" t="n"/>
      <c r="Y809" s="692" t="n"/>
      <c r="Z809" s="692" t="n"/>
      <c r="AA809" s="692" t="n"/>
      <c r="AB809" s="692" t="n"/>
      <c r="AC809" s="692" t="n"/>
      <c r="AD809" s="692" t="n"/>
      <c r="AE809" s="692" t="n"/>
      <c r="AF809" s="692" t="n"/>
      <c r="AG809" s="692" t="n"/>
      <c r="AH809" s="692" t="n"/>
      <c r="AI809" s="692" t="n"/>
      <c r="AJ809" s="692" t="n"/>
      <c r="AK809" s="692" t="n"/>
      <c r="AL809" s="692" t="n"/>
      <c r="AM809" s="692" t="n"/>
      <c r="AN809" s="692" t="n"/>
      <c r="AO809" s="692" t="n"/>
      <c r="AP809" s="692" t="n"/>
    </row>
    <row r="810">
      <c r="A810" s="692" t="n"/>
      <c r="B810" s="692" t="n"/>
      <c r="C810" s="692" t="n"/>
      <c r="D810" s="692" t="n"/>
      <c r="E810" s="692" t="n"/>
      <c r="F810" s="692" t="n"/>
      <c r="G810" s="692" t="n"/>
      <c r="H810" s="692" t="n"/>
      <c r="I810" s="692" t="n"/>
      <c r="J810" s="692" t="n"/>
      <c r="K810" s="692" t="n"/>
      <c r="L810" s="692" t="n"/>
      <c r="M810" s="692" t="n"/>
      <c r="N810" s="692" t="n"/>
      <c r="O810" s="692" t="n"/>
      <c r="P810" s="692" t="n"/>
      <c r="Q810" s="692" t="n"/>
      <c r="R810" s="692" t="n"/>
      <c r="S810" s="692" t="n"/>
      <c r="T810" s="692" t="n"/>
      <c r="U810" s="692" t="n"/>
      <c r="V810" s="692" t="n"/>
      <c r="W810" s="692" t="n"/>
      <c r="X810" s="692" t="n"/>
      <c r="Y810" s="692" t="n"/>
      <c r="Z810" s="692" t="n"/>
      <c r="AA810" s="692" t="n"/>
      <c r="AB810" s="692" t="n"/>
      <c r="AC810" s="692" t="n"/>
      <c r="AD810" s="692" t="n"/>
      <c r="AE810" s="692" t="n"/>
      <c r="AF810" s="692" t="n"/>
      <c r="AG810" s="692" t="n"/>
      <c r="AH810" s="692" t="n"/>
      <c r="AI810" s="692" t="n"/>
      <c r="AJ810" s="692" t="n"/>
      <c r="AK810" s="692" t="n"/>
      <c r="AL810" s="692" t="n"/>
      <c r="AM810" s="692" t="n"/>
      <c r="AN810" s="692" t="n"/>
      <c r="AO810" s="692" t="n"/>
      <c r="AP810" s="692" t="n"/>
    </row>
    <row r="811">
      <c r="A811" s="692" t="n"/>
      <c r="B811" s="692" t="n"/>
      <c r="C811" s="692" t="n"/>
      <c r="D811" s="692" t="n"/>
      <c r="E811" s="692" t="n"/>
      <c r="F811" s="692" t="n"/>
      <c r="G811" s="692" t="n"/>
      <c r="H811" s="692" t="n"/>
      <c r="I811" s="692" t="n"/>
      <c r="J811" s="692" t="n"/>
      <c r="K811" s="692" t="n"/>
      <c r="L811" s="692" t="n"/>
      <c r="M811" s="692" t="n"/>
      <c r="N811" s="692" t="n"/>
      <c r="O811" s="692" t="n"/>
      <c r="P811" s="692" t="n"/>
      <c r="Q811" s="692" t="n"/>
      <c r="R811" s="692" t="n"/>
      <c r="S811" s="692" t="n"/>
      <c r="T811" s="692" t="n"/>
      <c r="U811" s="692" t="n"/>
      <c r="V811" s="692" t="n"/>
      <c r="W811" s="692" t="n"/>
      <c r="X811" s="692" t="n"/>
      <c r="Y811" s="692" t="n"/>
      <c r="Z811" s="692" t="n"/>
      <c r="AA811" s="692" t="n"/>
      <c r="AB811" s="692" t="n"/>
      <c r="AC811" s="692" t="n"/>
      <c r="AD811" s="692" t="n"/>
      <c r="AE811" s="692" t="n"/>
      <c r="AF811" s="692" t="n"/>
      <c r="AG811" s="692" t="n"/>
      <c r="AH811" s="692" t="n"/>
      <c r="AI811" s="692" t="n"/>
      <c r="AJ811" s="692" t="n"/>
      <c r="AK811" s="692" t="n"/>
      <c r="AL811" s="692" t="n"/>
      <c r="AM811" s="692" t="n"/>
      <c r="AN811" s="692" t="n"/>
      <c r="AO811" s="692" t="n"/>
      <c r="AP811" s="692" t="n"/>
    </row>
    <row r="812">
      <c r="A812" s="692" t="n"/>
      <c r="B812" s="692" t="n"/>
      <c r="C812" s="692" t="n"/>
      <c r="D812" s="692" t="n"/>
      <c r="E812" s="692" t="n"/>
      <c r="F812" s="692" t="n"/>
      <c r="G812" s="692" t="n"/>
      <c r="H812" s="692" t="n"/>
      <c r="I812" s="692" t="n"/>
      <c r="J812" s="692" t="n"/>
      <c r="K812" s="692" t="n"/>
      <c r="L812" s="692" t="n"/>
      <c r="M812" s="692" t="n"/>
      <c r="N812" s="692" t="n"/>
      <c r="O812" s="692" t="n"/>
      <c r="P812" s="692" t="n"/>
      <c r="Q812" s="692" t="n"/>
      <c r="R812" s="692" t="n"/>
      <c r="S812" s="692" t="n"/>
      <c r="T812" s="692" t="n"/>
      <c r="U812" s="692" t="n"/>
      <c r="V812" s="692" t="n"/>
      <c r="W812" s="692" t="n"/>
      <c r="X812" s="692" t="n"/>
      <c r="Y812" s="692" t="n"/>
      <c r="Z812" s="692" t="n"/>
      <c r="AA812" s="692" t="n"/>
      <c r="AB812" s="692" t="n"/>
      <c r="AC812" s="692" t="n"/>
      <c r="AD812" s="692" t="n"/>
      <c r="AE812" s="692" t="n"/>
      <c r="AF812" s="692" t="n"/>
      <c r="AG812" s="692" t="n"/>
      <c r="AH812" s="692" t="n"/>
      <c r="AI812" s="692" t="n"/>
      <c r="AJ812" s="692" t="n"/>
      <c r="AK812" s="692" t="n"/>
      <c r="AL812" s="692" t="n"/>
      <c r="AM812" s="692" t="n"/>
      <c r="AN812" s="692" t="n"/>
      <c r="AO812" s="692" t="n"/>
      <c r="AP812" s="692" t="n"/>
    </row>
    <row r="813">
      <c r="A813" s="692" t="n"/>
      <c r="B813" s="692" t="n"/>
      <c r="C813" s="692" t="n"/>
      <c r="D813" s="692" t="n"/>
      <c r="E813" s="692" t="n"/>
      <c r="F813" s="692" t="n"/>
      <c r="G813" s="692" t="n"/>
      <c r="H813" s="692" t="n"/>
      <c r="I813" s="692" t="n"/>
      <c r="J813" s="692" t="n"/>
      <c r="K813" s="692" t="n"/>
      <c r="L813" s="692" t="n"/>
      <c r="M813" s="692" t="n"/>
      <c r="N813" s="692" t="n"/>
      <c r="O813" s="692" t="n"/>
      <c r="P813" s="692" t="n"/>
      <c r="Q813" s="692" t="n"/>
      <c r="R813" s="692" t="n"/>
      <c r="S813" s="692" t="n"/>
      <c r="T813" s="692" t="n"/>
      <c r="U813" s="692" t="n"/>
      <c r="V813" s="692" t="n"/>
      <c r="W813" s="692" t="n"/>
      <c r="X813" s="692" t="n"/>
      <c r="Y813" s="692" t="n"/>
      <c r="Z813" s="692" t="n"/>
      <c r="AA813" s="692" t="n"/>
      <c r="AB813" s="692" t="n"/>
      <c r="AC813" s="692" t="n"/>
      <c r="AD813" s="692" t="n"/>
      <c r="AE813" s="692" t="n"/>
      <c r="AF813" s="692" t="n"/>
      <c r="AG813" s="692" t="n"/>
      <c r="AH813" s="692" t="n"/>
      <c r="AI813" s="692" t="n"/>
      <c r="AJ813" s="692" t="n"/>
      <c r="AK813" s="692" t="n"/>
      <c r="AL813" s="692" t="n"/>
      <c r="AM813" s="692" t="n"/>
      <c r="AN813" s="692" t="n"/>
      <c r="AO813" s="692" t="n"/>
      <c r="AP813" s="692" t="n"/>
    </row>
    <row r="814">
      <c r="A814" s="692" t="n"/>
      <c r="B814" s="692" t="n"/>
      <c r="C814" s="692" t="n"/>
      <c r="D814" s="692" t="n"/>
      <c r="E814" s="692" t="n"/>
      <c r="F814" s="692" t="n"/>
      <c r="G814" s="692" t="n"/>
      <c r="H814" s="692" t="n"/>
      <c r="I814" s="692" t="n"/>
      <c r="J814" s="692" t="n"/>
      <c r="K814" s="692" t="n"/>
      <c r="L814" s="692" t="n"/>
      <c r="M814" s="692" t="n"/>
      <c r="N814" s="692" t="n"/>
      <c r="O814" s="692" t="n"/>
      <c r="P814" s="692" t="n"/>
      <c r="Q814" s="692" t="n"/>
      <c r="R814" s="692" t="n"/>
      <c r="S814" s="692" t="n"/>
      <c r="T814" s="692" t="n"/>
      <c r="U814" s="692" t="n"/>
      <c r="V814" s="692" t="n"/>
      <c r="W814" s="692" t="n"/>
      <c r="X814" s="692" t="n"/>
      <c r="Y814" s="692" t="n"/>
      <c r="Z814" s="692" t="n"/>
      <c r="AA814" s="692" t="n"/>
      <c r="AB814" s="692" t="n"/>
      <c r="AC814" s="692" t="n"/>
      <c r="AD814" s="692" t="n"/>
      <c r="AE814" s="692" t="n"/>
      <c r="AF814" s="692" t="n"/>
      <c r="AG814" s="692" t="n"/>
      <c r="AH814" s="692" t="n"/>
      <c r="AI814" s="692" t="n"/>
      <c r="AJ814" s="692" t="n"/>
      <c r="AK814" s="692" t="n"/>
      <c r="AL814" s="692" t="n"/>
      <c r="AM814" s="692" t="n"/>
      <c r="AN814" s="692" t="n"/>
      <c r="AO814" s="692" t="n"/>
      <c r="AP814" s="692" t="n"/>
    </row>
    <row r="815">
      <c r="A815" s="692" t="n"/>
      <c r="B815" s="692" t="n"/>
      <c r="C815" s="692" t="n"/>
      <c r="D815" s="692" t="n"/>
      <c r="E815" s="692" t="n"/>
      <c r="F815" s="692" t="n"/>
      <c r="G815" s="692" t="n"/>
      <c r="H815" s="692" t="n"/>
      <c r="I815" s="692" t="n"/>
      <c r="J815" s="692" t="n"/>
      <c r="K815" s="692" t="n"/>
      <c r="L815" s="692" t="n"/>
      <c r="M815" s="692" t="n"/>
      <c r="N815" s="692" t="n"/>
      <c r="O815" s="692" t="n"/>
      <c r="P815" s="692" t="n"/>
      <c r="Q815" s="692" t="n"/>
      <c r="R815" s="692" t="n"/>
      <c r="S815" s="692" t="n"/>
      <c r="T815" s="692" t="n"/>
      <c r="U815" s="692" t="n"/>
      <c r="V815" s="692" t="n"/>
      <c r="W815" s="692" t="n"/>
      <c r="X815" s="692" t="n"/>
      <c r="Y815" s="692" t="n"/>
      <c r="Z815" s="692" t="n"/>
      <c r="AA815" s="692" t="n"/>
      <c r="AB815" s="692" t="n"/>
      <c r="AC815" s="692" t="n"/>
      <c r="AD815" s="692" t="n"/>
      <c r="AE815" s="692" t="n"/>
      <c r="AF815" s="692" t="n"/>
      <c r="AG815" s="692" t="n"/>
      <c r="AH815" s="692" t="n"/>
      <c r="AI815" s="692" t="n"/>
      <c r="AJ815" s="692" t="n"/>
      <c r="AK815" s="692" t="n"/>
      <c r="AL815" s="692" t="n"/>
      <c r="AM815" s="692" t="n"/>
      <c r="AN815" s="692" t="n"/>
      <c r="AO815" s="692" t="n"/>
      <c r="AP815" s="692" t="n"/>
    </row>
    <row r="816">
      <c r="A816" s="692" t="n"/>
      <c r="B816" s="692" t="n"/>
      <c r="C816" s="692" t="n"/>
      <c r="D816" s="692" t="n"/>
      <c r="E816" s="692" t="n"/>
      <c r="F816" s="692" t="n"/>
      <c r="G816" s="692" t="n"/>
      <c r="H816" s="692" t="n"/>
      <c r="I816" s="692" t="n"/>
      <c r="J816" s="692" t="n"/>
      <c r="K816" s="692" t="n"/>
      <c r="L816" s="692" t="n"/>
      <c r="M816" s="692" t="n"/>
      <c r="N816" s="692" t="n"/>
      <c r="O816" s="692" t="n"/>
      <c r="P816" s="692" t="n"/>
      <c r="Q816" s="692" t="n"/>
      <c r="R816" s="692" t="n"/>
      <c r="S816" s="692" t="n"/>
      <c r="T816" s="692" t="n"/>
      <c r="U816" s="692" t="n"/>
      <c r="V816" s="692" t="n"/>
      <c r="W816" s="692" t="n"/>
      <c r="X816" s="692" t="n"/>
      <c r="Y816" s="692" t="n"/>
      <c r="Z816" s="692" t="n"/>
      <c r="AA816" s="692" t="n"/>
      <c r="AB816" s="692" t="n"/>
      <c r="AC816" s="692" t="n"/>
      <c r="AD816" s="692" t="n"/>
      <c r="AE816" s="692" t="n"/>
      <c r="AF816" s="692" t="n"/>
      <c r="AG816" s="692" t="n"/>
      <c r="AH816" s="692" t="n"/>
      <c r="AI816" s="692" t="n"/>
      <c r="AJ816" s="692" t="n"/>
      <c r="AK816" s="692" t="n"/>
      <c r="AL816" s="692" t="n"/>
      <c r="AM816" s="692" t="n"/>
      <c r="AN816" s="692" t="n"/>
      <c r="AO816" s="692" t="n"/>
      <c r="AP816" s="692" t="n"/>
    </row>
    <row r="817">
      <c r="A817" s="692" t="n"/>
      <c r="B817" s="692" t="n"/>
      <c r="C817" s="692" t="n"/>
      <c r="D817" s="692" t="n"/>
      <c r="E817" s="692" t="n"/>
      <c r="F817" s="692" t="n"/>
      <c r="G817" s="692" t="n"/>
      <c r="H817" s="692" t="n"/>
      <c r="I817" s="692" t="n"/>
      <c r="J817" s="692" t="n"/>
      <c r="K817" s="692" t="n"/>
      <c r="L817" s="692" t="n"/>
      <c r="M817" s="692" t="n"/>
      <c r="N817" s="692" t="n"/>
      <c r="O817" s="692" t="n"/>
      <c r="P817" s="692" t="n"/>
      <c r="Q817" s="692" t="n"/>
      <c r="R817" s="692" t="n"/>
      <c r="S817" s="692" t="n"/>
      <c r="T817" s="692" t="n"/>
      <c r="U817" s="692" t="n"/>
      <c r="V817" s="692" t="n"/>
      <c r="W817" s="692" t="n"/>
      <c r="X817" s="692" t="n"/>
      <c r="Y817" s="692" t="n"/>
      <c r="Z817" s="692" t="n"/>
      <c r="AA817" s="692" t="n"/>
      <c r="AB817" s="692" t="n"/>
      <c r="AC817" s="692" t="n"/>
      <c r="AD817" s="692" t="n"/>
      <c r="AE817" s="692" t="n"/>
      <c r="AF817" s="692" t="n"/>
      <c r="AG817" s="692" t="n"/>
      <c r="AH817" s="692" t="n"/>
      <c r="AI817" s="692" t="n"/>
      <c r="AJ817" s="692" t="n"/>
      <c r="AK817" s="692" t="n"/>
      <c r="AL817" s="692" t="n"/>
      <c r="AM817" s="692" t="n"/>
      <c r="AN817" s="692" t="n"/>
      <c r="AO817" s="692" t="n"/>
      <c r="AP817" s="692" t="n"/>
    </row>
    <row r="818">
      <c r="A818" s="692" t="n"/>
      <c r="B818" s="692" t="n"/>
      <c r="C818" s="692" t="n"/>
      <c r="D818" s="692" t="n"/>
      <c r="E818" s="692" t="n"/>
      <c r="F818" s="692" t="n"/>
      <c r="G818" s="692" t="n"/>
      <c r="H818" s="692" t="n"/>
      <c r="I818" s="692" t="n"/>
      <c r="J818" s="692" t="n"/>
      <c r="K818" s="692" t="n"/>
      <c r="L818" s="692" t="n"/>
      <c r="M818" s="692" t="n"/>
      <c r="N818" s="692" t="n"/>
      <c r="O818" s="692" t="n"/>
      <c r="P818" s="692" t="n"/>
      <c r="Q818" s="692" t="n"/>
      <c r="R818" s="692" t="n"/>
      <c r="S818" s="692" t="n"/>
      <c r="T818" s="692" t="n"/>
      <c r="U818" s="692" t="n"/>
      <c r="V818" s="692" t="n"/>
      <c r="W818" s="692" t="n"/>
      <c r="X818" s="692" t="n"/>
      <c r="Y818" s="692" t="n"/>
      <c r="Z818" s="692" t="n"/>
      <c r="AA818" s="692" t="n"/>
      <c r="AB818" s="692" t="n"/>
      <c r="AC818" s="692" t="n"/>
      <c r="AD818" s="692" t="n"/>
      <c r="AE818" s="692" t="n"/>
      <c r="AF818" s="692" t="n"/>
      <c r="AG818" s="692" t="n"/>
      <c r="AH818" s="692" t="n"/>
      <c r="AI818" s="692" t="n"/>
      <c r="AJ818" s="692" t="n"/>
      <c r="AK818" s="692" t="n"/>
      <c r="AL818" s="692" t="n"/>
      <c r="AM818" s="692" t="n"/>
      <c r="AN818" s="692" t="n"/>
      <c r="AO818" s="692" t="n"/>
      <c r="AP818" s="692" t="n"/>
    </row>
    <row r="819">
      <c r="A819" s="692" t="n"/>
      <c r="B819" s="692" t="n"/>
      <c r="C819" s="692" t="n"/>
      <c r="D819" s="692" t="n"/>
      <c r="E819" s="692" t="n"/>
      <c r="F819" s="692" t="n"/>
      <c r="G819" s="692" t="n"/>
      <c r="H819" s="692" t="n"/>
      <c r="I819" s="692" t="n"/>
      <c r="J819" s="692" t="n"/>
      <c r="K819" s="692" t="n"/>
      <c r="L819" s="692" t="n"/>
      <c r="M819" s="692" t="n"/>
      <c r="N819" s="692" t="n"/>
      <c r="O819" s="692" t="n"/>
      <c r="P819" s="692" t="n"/>
      <c r="Q819" s="692" t="n"/>
      <c r="R819" s="692" t="n"/>
      <c r="S819" s="692" t="n"/>
      <c r="T819" s="692" t="n"/>
      <c r="U819" s="692" t="n"/>
      <c r="V819" s="692" t="n"/>
      <c r="W819" s="692" t="n"/>
      <c r="X819" s="692" t="n"/>
      <c r="Y819" s="692" t="n"/>
      <c r="Z819" s="692" t="n"/>
      <c r="AA819" s="692" t="n"/>
      <c r="AB819" s="692" t="n"/>
      <c r="AC819" s="692" t="n"/>
      <c r="AD819" s="692" t="n"/>
      <c r="AE819" s="692" t="n"/>
      <c r="AF819" s="692" t="n"/>
      <c r="AG819" s="692" t="n"/>
      <c r="AH819" s="692" t="n"/>
      <c r="AI819" s="692" t="n"/>
      <c r="AJ819" s="692" t="n"/>
      <c r="AK819" s="692" t="n"/>
      <c r="AL819" s="692" t="n"/>
      <c r="AM819" s="692" t="n"/>
      <c r="AN819" s="692" t="n"/>
      <c r="AO819" s="692" t="n"/>
      <c r="AP819" s="692" t="n"/>
    </row>
    <row r="820">
      <c r="A820" s="692" t="n"/>
      <c r="B820" s="692" t="n"/>
      <c r="C820" s="692" t="n"/>
      <c r="D820" s="692" t="n"/>
      <c r="E820" s="692" t="n"/>
      <c r="F820" s="692" t="n"/>
      <c r="G820" s="692" t="n"/>
      <c r="H820" s="692" t="n"/>
      <c r="I820" s="692" t="n"/>
      <c r="J820" s="692" t="n"/>
      <c r="K820" s="692" t="n"/>
      <c r="L820" s="692" t="n"/>
      <c r="M820" s="692" t="n"/>
      <c r="N820" s="692" t="n"/>
      <c r="O820" s="692" t="n"/>
      <c r="P820" s="692" t="n"/>
      <c r="Q820" s="692" t="n"/>
      <c r="R820" s="692" t="n"/>
      <c r="S820" s="692" t="n"/>
      <c r="T820" s="692" t="n"/>
      <c r="U820" s="692" t="n"/>
      <c r="V820" s="692" t="n"/>
      <c r="W820" s="692" t="n"/>
      <c r="X820" s="692" t="n"/>
      <c r="Y820" s="692" t="n"/>
      <c r="Z820" s="692" t="n"/>
      <c r="AA820" s="692" t="n"/>
      <c r="AB820" s="692" t="n"/>
      <c r="AC820" s="692" t="n"/>
      <c r="AD820" s="692" t="n"/>
      <c r="AE820" s="692" t="n"/>
      <c r="AF820" s="692" t="n"/>
      <c r="AG820" s="692" t="n"/>
      <c r="AH820" s="692" t="n"/>
      <c r="AI820" s="692" t="n"/>
      <c r="AJ820" s="692" t="n"/>
      <c r="AK820" s="692" t="n"/>
      <c r="AL820" s="692" t="n"/>
      <c r="AM820" s="692" t="n"/>
      <c r="AN820" s="692" t="n"/>
      <c r="AO820" s="692" t="n"/>
      <c r="AP820" s="692" t="n"/>
    </row>
    <row r="821">
      <c r="A821" s="692" t="n"/>
      <c r="B821" s="692" t="n"/>
      <c r="C821" s="692" t="n"/>
      <c r="D821" s="692" t="n"/>
      <c r="E821" s="692" t="n"/>
      <c r="F821" s="692" t="n"/>
      <c r="G821" s="692" t="n"/>
      <c r="H821" s="692" t="n"/>
      <c r="I821" s="692" t="n"/>
      <c r="J821" s="692" t="n"/>
      <c r="K821" s="692" t="n"/>
      <c r="L821" s="692" t="n"/>
      <c r="M821" s="692" t="n"/>
      <c r="N821" s="692" t="n"/>
      <c r="O821" s="692" t="n"/>
      <c r="P821" s="692" t="n"/>
      <c r="Q821" s="692" t="n"/>
      <c r="R821" s="692" t="n"/>
      <c r="S821" s="692" t="n"/>
      <c r="T821" s="692" t="n"/>
      <c r="U821" s="692" t="n"/>
      <c r="V821" s="692" t="n"/>
      <c r="W821" s="692" t="n"/>
      <c r="X821" s="692" t="n"/>
      <c r="Y821" s="692" t="n"/>
      <c r="Z821" s="692" t="n"/>
      <c r="AA821" s="692" t="n"/>
      <c r="AB821" s="692" t="n"/>
      <c r="AC821" s="692" t="n"/>
      <c r="AD821" s="692" t="n"/>
      <c r="AE821" s="692" t="n"/>
      <c r="AF821" s="692" t="n"/>
      <c r="AG821" s="692" t="n"/>
      <c r="AH821" s="692" t="n"/>
      <c r="AI821" s="692" t="n"/>
      <c r="AJ821" s="692" t="n"/>
      <c r="AK821" s="692" t="n"/>
      <c r="AL821" s="692" t="n"/>
      <c r="AM821" s="692" t="n"/>
      <c r="AN821" s="692" t="n"/>
      <c r="AO821" s="692" t="n"/>
      <c r="AP821" s="692" t="n"/>
    </row>
    <row r="822">
      <c r="A822" s="692" t="n"/>
      <c r="B822" s="692" t="n"/>
      <c r="C822" s="692" t="n"/>
      <c r="D822" s="692" t="n"/>
      <c r="E822" s="692" t="n"/>
      <c r="F822" s="692" t="n"/>
      <c r="G822" s="692" t="n"/>
      <c r="H822" s="692" t="n"/>
      <c r="I822" s="692" t="n"/>
      <c r="J822" s="692" t="n"/>
      <c r="K822" s="692" t="n"/>
      <c r="L822" s="692" t="n"/>
      <c r="M822" s="692" t="n"/>
      <c r="N822" s="692" t="n"/>
      <c r="O822" s="692" t="n"/>
      <c r="P822" s="692" t="n"/>
      <c r="Q822" s="692" t="n"/>
      <c r="R822" s="692" t="n"/>
      <c r="S822" s="692" t="n"/>
      <c r="T822" s="692" t="n"/>
      <c r="U822" s="692" t="n"/>
      <c r="V822" s="692" t="n"/>
      <c r="W822" s="692" t="n"/>
      <c r="X822" s="692" t="n"/>
      <c r="Y822" s="692" t="n"/>
      <c r="Z822" s="692" t="n"/>
      <c r="AA822" s="692" t="n"/>
      <c r="AB822" s="692" t="n"/>
      <c r="AC822" s="692" t="n"/>
      <c r="AD822" s="692" t="n"/>
      <c r="AE822" s="692" t="n"/>
      <c r="AF822" s="692" t="n"/>
      <c r="AG822" s="692" t="n"/>
      <c r="AH822" s="692" t="n"/>
      <c r="AI822" s="692" t="n"/>
      <c r="AJ822" s="692" t="n"/>
      <c r="AK822" s="692" t="n"/>
      <c r="AL822" s="692" t="n"/>
      <c r="AM822" s="692" t="n"/>
      <c r="AN822" s="692" t="n"/>
      <c r="AO822" s="692" t="n"/>
      <c r="AP822" s="692" t="n"/>
    </row>
    <row r="823">
      <c r="A823" s="692" t="n"/>
      <c r="B823" s="692" t="n"/>
      <c r="C823" s="692" t="n"/>
      <c r="D823" s="692" t="n"/>
      <c r="E823" s="692" t="n"/>
      <c r="F823" s="692" t="n"/>
      <c r="G823" s="692" t="n"/>
      <c r="H823" s="692" t="n"/>
      <c r="I823" s="692" t="n"/>
      <c r="J823" s="692" t="n"/>
      <c r="K823" s="692" t="n"/>
      <c r="L823" s="692" t="n"/>
      <c r="M823" s="692" t="n"/>
      <c r="N823" s="692" t="n"/>
      <c r="O823" s="692" t="n"/>
      <c r="P823" s="692" t="n"/>
      <c r="Q823" s="692" t="n"/>
      <c r="R823" s="692" t="n"/>
      <c r="S823" s="692" t="n"/>
      <c r="T823" s="692" t="n"/>
      <c r="U823" s="692" t="n"/>
      <c r="V823" s="692" t="n"/>
      <c r="W823" s="692" t="n"/>
      <c r="X823" s="692" t="n"/>
      <c r="Y823" s="692" t="n"/>
      <c r="Z823" s="692" t="n"/>
      <c r="AA823" s="692" t="n"/>
      <c r="AB823" s="692" t="n"/>
      <c r="AC823" s="692" t="n"/>
      <c r="AD823" s="692" t="n"/>
      <c r="AE823" s="692" t="n"/>
      <c r="AF823" s="692" t="n"/>
      <c r="AG823" s="692" t="n"/>
      <c r="AH823" s="692" t="n"/>
      <c r="AI823" s="692" t="n"/>
      <c r="AJ823" s="692" t="n"/>
      <c r="AK823" s="692" t="n"/>
      <c r="AL823" s="692" t="n"/>
      <c r="AM823" s="692" t="n"/>
      <c r="AN823" s="692" t="n"/>
      <c r="AO823" s="692" t="n"/>
      <c r="AP823" s="692" t="n"/>
    </row>
    <row r="824">
      <c r="A824" s="692" t="n"/>
      <c r="B824" s="692" t="n"/>
      <c r="C824" s="692" t="n"/>
      <c r="D824" s="692" t="n"/>
      <c r="E824" s="692" t="n"/>
      <c r="F824" s="692" t="n"/>
      <c r="G824" s="692" t="n"/>
      <c r="H824" s="692" t="n"/>
      <c r="I824" s="692" t="n"/>
      <c r="J824" s="692" t="n"/>
      <c r="K824" s="692" t="n"/>
      <c r="L824" s="692" t="n"/>
      <c r="M824" s="692" t="n"/>
      <c r="N824" s="692" t="n"/>
      <c r="O824" s="692" t="n"/>
      <c r="P824" s="692" t="n"/>
      <c r="Q824" s="692" t="n"/>
      <c r="R824" s="692" t="n"/>
      <c r="S824" s="692" t="n"/>
      <c r="T824" s="692" t="n"/>
      <c r="U824" s="692" t="n"/>
      <c r="V824" s="692" t="n"/>
      <c r="W824" s="692" t="n"/>
      <c r="X824" s="692" t="n"/>
      <c r="Y824" s="692" t="n"/>
      <c r="Z824" s="692" t="n"/>
      <c r="AA824" s="692" t="n"/>
      <c r="AB824" s="692" t="n"/>
      <c r="AC824" s="692" t="n"/>
      <c r="AD824" s="692" t="n"/>
      <c r="AE824" s="692" t="n"/>
      <c r="AF824" s="692" t="n"/>
      <c r="AG824" s="692" t="n"/>
      <c r="AH824" s="692" t="n"/>
      <c r="AI824" s="692" t="n"/>
      <c r="AJ824" s="692" t="n"/>
      <c r="AK824" s="692" t="n"/>
      <c r="AL824" s="692" t="n"/>
      <c r="AM824" s="692" t="n"/>
      <c r="AN824" s="692" t="n"/>
      <c r="AO824" s="692" t="n"/>
      <c r="AP824" s="692" t="n"/>
    </row>
    <row r="825">
      <c r="A825" s="692" t="n"/>
      <c r="B825" s="692" t="n"/>
      <c r="C825" s="692" t="n"/>
      <c r="D825" s="692" t="n"/>
      <c r="E825" s="692" t="n"/>
      <c r="F825" s="692" t="n"/>
      <c r="G825" s="692" t="n"/>
      <c r="H825" s="692" t="n"/>
      <c r="I825" s="692" t="n"/>
      <c r="J825" s="692" t="n"/>
      <c r="K825" s="692" t="n"/>
      <c r="L825" s="692" t="n"/>
      <c r="M825" s="692" t="n"/>
      <c r="N825" s="692" t="n"/>
      <c r="O825" s="692" t="n"/>
      <c r="P825" s="692" t="n"/>
      <c r="Q825" s="692" t="n"/>
      <c r="R825" s="692" t="n"/>
      <c r="S825" s="692" t="n"/>
      <c r="T825" s="692" t="n"/>
      <c r="U825" s="692" t="n"/>
      <c r="V825" s="692" t="n"/>
      <c r="W825" s="692" t="n"/>
      <c r="X825" s="692" t="n"/>
      <c r="Y825" s="692" t="n"/>
      <c r="Z825" s="692" t="n"/>
      <c r="AA825" s="692" t="n"/>
      <c r="AB825" s="692" t="n"/>
      <c r="AC825" s="692" t="n"/>
      <c r="AD825" s="692" t="n"/>
      <c r="AE825" s="692" t="n"/>
      <c r="AF825" s="692" t="n"/>
      <c r="AG825" s="692" t="n"/>
      <c r="AH825" s="692" t="n"/>
      <c r="AI825" s="692" t="n"/>
      <c r="AJ825" s="692" t="n"/>
      <c r="AK825" s="692" t="n"/>
      <c r="AL825" s="692" t="n"/>
      <c r="AM825" s="692" t="n"/>
      <c r="AN825" s="692" t="n"/>
      <c r="AO825" s="692" t="n"/>
      <c r="AP825" s="692" t="n"/>
    </row>
    <row r="826">
      <c r="A826" s="692" t="n"/>
      <c r="B826" s="692" t="n"/>
      <c r="C826" s="692" t="n"/>
      <c r="D826" s="692" t="n"/>
      <c r="E826" s="692" t="n"/>
      <c r="F826" s="692" t="n"/>
      <c r="G826" s="692" t="n"/>
      <c r="H826" s="692" t="n"/>
      <c r="I826" s="692" t="n"/>
      <c r="J826" s="692" t="n"/>
      <c r="K826" s="692" t="n"/>
      <c r="L826" s="692" t="n"/>
      <c r="M826" s="692" t="n"/>
      <c r="N826" s="692" t="n"/>
      <c r="O826" s="692" t="n"/>
      <c r="P826" s="692" t="n"/>
      <c r="Q826" s="692" t="n"/>
      <c r="R826" s="692" t="n"/>
      <c r="S826" s="692" t="n"/>
      <c r="T826" s="692" t="n"/>
      <c r="U826" s="692" t="n"/>
      <c r="V826" s="692" t="n"/>
      <c r="W826" s="692" t="n"/>
      <c r="X826" s="692" t="n"/>
      <c r="Y826" s="692" t="n"/>
      <c r="Z826" s="692" t="n"/>
      <c r="AA826" s="692" t="n"/>
      <c r="AB826" s="692" t="n"/>
      <c r="AC826" s="692" t="n"/>
      <c r="AD826" s="692" t="n"/>
      <c r="AE826" s="692" t="n"/>
      <c r="AF826" s="692" t="n"/>
      <c r="AG826" s="692" t="n"/>
      <c r="AH826" s="692" t="n"/>
      <c r="AI826" s="692" t="n"/>
      <c r="AJ826" s="692" t="n"/>
      <c r="AK826" s="692" t="n"/>
      <c r="AL826" s="692" t="n"/>
      <c r="AM826" s="692" t="n"/>
      <c r="AN826" s="692" t="n"/>
      <c r="AO826" s="692" t="n"/>
      <c r="AP826" s="692" t="n"/>
    </row>
    <row r="827">
      <c r="A827" s="692" t="n"/>
      <c r="B827" s="692" t="n"/>
      <c r="C827" s="692" t="n"/>
      <c r="D827" s="692" t="n"/>
      <c r="E827" s="692" t="n"/>
      <c r="F827" s="692" t="n"/>
      <c r="G827" s="692" t="n"/>
      <c r="H827" s="692" t="n"/>
      <c r="I827" s="692" t="n"/>
      <c r="J827" s="692" t="n"/>
      <c r="K827" s="692" t="n"/>
      <c r="L827" s="692" t="n"/>
      <c r="M827" s="692" t="n"/>
      <c r="N827" s="692" t="n"/>
      <c r="O827" s="692" t="n"/>
      <c r="P827" s="692" t="n"/>
      <c r="Q827" s="692" t="n"/>
      <c r="R827" s="692" t="n"/>
      <c r="S827" s="692" t="n"/>
      <c r="T827" s="692" t="n"/>
      <c r="U827" s="692" t="n"/>
      <c r="V827" s="692" t="n"/>
      <c r="W827" s="692" t="n"/>
      <c r="X827" s="692" t="n"/>
      <c r="Y827" s="692" t="n"/>
      <c r="Z827" s="692" t="n"/>
      <c r="AA827" s="692" t="n"/>
      <c r="AB827" s="692" t="n"/>
      <c r="AC827" s="692" t="n"/>
      <c r="AD827" s="692" t="n"/>
      <c r="AE827" s="692" t="n"/>
      <c r="AF827" s="692" t="n"/>
      <c r="AG827" s="692" t="n"/>
      <c r="AH827" s="692" t="n"/>
      <c r="AI827" s="692" t="n"/>
      <c r="AJ827" s="692" t="n"/>
      <c r="AK827" s="692" t="n"/>
      <c r="AL827" s="692" t="n"/>
      <c r="AM827" s="692" t="n"/>
      <c r="AN827" s="692" t="n"/>
      <c r="AO827" s="692" t="n"/>
      <c r="AP827" s="692" t="n"/>
    </row>
    <row r="828">
      <c r="A828" s="692" t="n"/>
      <c r="B828" s="692" t="n"/>
      <c r="C828" s="692" t="n"/>
      <c r="D828" s="692" t="n"/>
      <c r="E828" s="692" t="n"/>
      <c r="F828" s="692" t="n"/>
      <c r="G828" s="692" t="n"/>
      <c r="H828" s="692" t="n"/>
      <c r="I828" s="692" t="n"/>
      <c r="J828" s="692" t="n"/>
      <c r="K828" s="692" t="n"/>
      <c r="L828" s="692" t="n"/>
      <c r="M828" s="692" t="n"/>
      <c r="N828" s="692" t="n"/>
      <c r="O828" s="692" t="n"/>
      <c r="P828" s="692" t="n"/>
      <c r="Q828" s="692" t="n"/>
      <c r="R828" s="692" t="n"/>
      <c r="S828" s="692" t="n"/>
      <c r="T828" s="692" t="n"/>
      <c r="U828" s="692" t="n"/>
      <c r="V828" s="692" t="n"/>
      <c r="W828" s="692" t="n"/>
      <c r="X828" s="692" t="n"/>
      <c r="Y828" s="692" t="n"/>
      <c r="Z828" s="692" t="n"/>
      <c r="AA828" s="692" t="n"/>
      <c r="AB828" s="692" t="n"/>
      <c r="AC828" s="692" t="n"/>
      <c r="AD828" s="692" t="n"/>
      <c r="AE828" s="692" t="n"/>
      <c r="AF828" s="692" t="n"/>
      <c r="AG828" s="692" t="n"/>
      <c r="AH828" s="692" t="n"/>
      <c r="AI828" s="692" t="n"/>
      <c r="AJ828" s="692" t="n"/>
      <c r="AK828" s="692" t="n"/>
      <c r="AL828" s="692" t="n"/>
      <c r="AM828" s="692" t="n"/>
      <c r="AN828" s="692" t="n"/>
      <c r="AO828" s="692" t="n"/>
      <c r="AP828" s="692" t="n"/>
    </row>
    <row r="829">
      <c r="A829" s="692" t="n"/>
      <c r="B829" s="692" t="n"/>
      <c r="C829" s="692" t="n"/>
      <c r="D829" s="692" t="n"/>
      <c r="E829" s="692" t="n"/>
      <c r="F829" s="692" t="n"/>
      <c r="G829" s="692" t="n"/>
      <c r="H829" s="692" t="n"/>
      <c r="I829" s="692" t="n"/>
      <c r="J829" s="692" t="n"/>
      <c r="K829" s="692" t="n"/>
      <c r="L829" s="692" t="n"/>
      <c r="M829" s="692" t="n"/>
      <c r="N829" s="692" t="n"/>
      <c r="O829" s="692" t="n"/>
      <c r="P829" s="692" t="n"/>
      <c r="Q829" s="692" t="n"/>
      <c r="R829" s="692" t="n"/>
      <c r="S829" s="692" t="n"/>
      <c r="T829" s="692" t="n"/>
      <c r="U829" s="692" t="n"/>
      <c r="V829" s="692" t="n"/>
      <c r="W829" s="692" t="n"/>
      <c r="X829" s="692" t="n"/>
      <c r="Y829" s="692" t="n"/>
      <c r="Z829" s="692" t="n"/>
      <c r="AA829" s="692" t="n"/>
      <c r="AB829" s="692" t="n"/>
      <c r="AC829" s="692" t="n"/>
      <c r="AD829" s="692" t="n"/>
      <c r="AE829" s="692" t="n"/>
      <c r="AF829" s="692" t="n"/>
      <c r="AG829" s="692" t="n"/>
      <c r="AH829" s="692" t="n"/>
      <c r="AI829" s="692" t="n"/>
      <c r="AJ829" s="692" t="n"/>
      <c r="AK829" s="692" t="n"/>
      <c r="AL829" s="692" t="n"/>
      <c r="AM829" s="692" t="n"/>
      <c r="AN829" s="692" t="n"/>
      <c r="AO829" s="692" t="n"/>
      <c r="AP829" s="692" t="n"/>
    </row>
    <row r="830">
      <c r="A830" s="692" t="n"/>
      <c r="B830" s="692" t="n"/>
      <c r="C830" s="692" t="n"/>
      <c r="D830" s="692" t="n"/>
      <c r="E830" s="692" t="n"/>
      <c r="F830" s="692" t="n"/>
      <c r="G830" s="692" t="n"/>
      <c r="H830" s="692" t="n"/>
      <c r="I830" s="692" t="n"/>
      <c r="J830" s="692" t="n"/>
      <c r="K830" s="692" t="n"/>
      <c r="L830" s="692" t="n"/>
      <c r="M830" s="692" t="n"/>
      <c r="N830" s="692" t="n"/>
      <c r="O830" s="692" t="n"/>
      <c r="P830" s="692" t="n"/>
      <c r="Q830" s="692" t="n"/>
      <c r="R830" s="692" t="n"/>
      <c r="S830" s="692" t="n"/>
      <c r="T830" s="692" t="n"/>
      <c r="U830" s="692" t="n"/>
      <c r="V830" s="692" t="n"/>
      <c r="W830" s="692" t="n"/>
      <c r="X830" s="692" t="n"/>
      <c r="Y830" s="692" t="n"/>
      <c r="Z830" s="692" t="n"/>
      <c r="AA830" s="692" t="n"/>
      <c r="AB830" s="692" t="n"/>
      <c r="AC830" s="692" t="n"/>
      <c r="AD830" s="692" t="n"/>
      <c r="AE830" s="692" t="n"/>
      <c r="AF830" s="692" t="n"/>
      <c r="AG830" s="692" t="n"/>
      <c r="AH830" s="692" t="n"/>
      <c r="AI830" s="692" t="n"/>
      <c r="AJ830" s="692" t="n"/>
      <c r="AK830" s="692" t="n"/>
      <c r="AL830" s="692" t="n"/>
      <c r="AM830" s="692" t="n"/>
      <c r="AN830" s="692" t="n"/>
      <c r="AO830" s="692" t="n"/>
      <c r="AP830" s="692" t="n"/>
    </row>
    <row r="831">
      <c r="A831" s="692" t="n"/>
      <c r="B831" s="692" t="n"/>
      <c r="C831" s="692" t="n"/>
      <c r="D831" s="692" t="n"/>
      <c r="E831" s="692" t="n"/>
      <c r="F831" s="692" t="n"/>
      <c r="G831" s="692" t="n"/>
      <c r="H831" s="692" t="n"/>
      <c r="I831" s="692" t="n"/>
      <c r="J831" s="692" t="n"/>
      <c r="K831" s="692" t="n"/>
      <c r="L831" s="692" t="n"/>
      <c r="M831" s="692" t="n"/>
      <c r="N831" s="692" t="n"/>
      <c r="O831" s="692" t="n"/>
      <c r="P831" s="692" t="n"/>
      <c r="Q831" s="692" t="n"/>
      <c r="R831" s="692" t="n"/>
      <c r="S831" s="692" t="n"/>
      <c r="T831" s="692" t="n"/>
      <c r="U831" s="692" t="n"/>
      <c r="V831" s="692" t="n"/>
      <c r="W831" s="692" t="n"/>
      <c r="X831" s="692" t="n"/>
      <c r="Y831" s="692" t="n"/>
      <c r="Z831" s="692" t="n"/>
      <c r="AA831" s="692" t="n"/>
      <c r="AB831" s="692" t="n"/>
      <c r="AC831" s="692" t="n"/>
      <c r="AD831" s="692" t="n"/>
      <c r="AE831" s="692" t="n"/>
      <c r="AF831" s="692" t="n"/>
      <c r="AG831" s="692" t="n"/>
      <c r="AH831" s="692" t="n"/>
      <c r="AI831" s="692" t="n"/>
      <c r="AJ831" s="692" t="n"/>
      <c r="AK831" s="692" t="n"/>
      <c r="AL831" s="692" t="n"/>
      <c r="AM831" s="692" t="n"/>
      <c r="AN831" s="692" t="n"/>
      <c r="AO831" s="692" t="n"/>
      <c r="AP831" s="692" t="n"/>
    </row>
    <row r="832">
      <c r="A832" s="692" t="n"/>
      <c r="B832" s="692" t="n"/>
      <c r="C832" s="692" t="n"/>
      <c r="D832" s="692" t="n"/>
      <c r="E832" s="692" t="n"/>
      <c r="F832" s="692" t="n"/>
      <c r="G832" s="692" t="n"/>
      <c r="H832" s="692" t="n"/>
      <c r="I832" s="692" t="n"/>
      <c r="J832" s="692" t="n"/>
      <c r="K832" s="692" t="n"/>
      <c r="L832" s="692" t="n"/>
      <c r="M832" s="692" t="n"/>
      <c r="N832" s="692" t="n"/>
      <c r="O832" s="692" t="n"/>
      <c r="P832" s="692" t="n"/>
      <c r="Q832" s="692" t="n"/>
      <c r="R832" s="692" t="n"/>
      <c r="S832" s="692" t="n"/>
      <c r="T832" s="692" t="n"/>
      <c r="U832" s="692" t="n"/>
      <c r="V832" s="692" t="n"/>
      <c r="W832" s="692" t="n"/>
      <c r="X832" s="692" t="n"/>
      <c r="Y832" s="692" t="n"/>
      <c r="Z832" s="692" t="n"/>
      <c r="AA832" s="692" t="n"/>
      <c r="AB832" s="692" t="n"/>
      <c r="AC832" s="692" t="n"/>
      <c r="AD832" s="692" t="n"/>
      <c r="AE832" s="692" t="n"/>
      <c r="AF832" s="692" t="n"/>
      <c r="AG832" s="692" t="n"/>
      <c r="AH832" s="692" t="n"/>
      <c r="AI832" s="692" t="n"/>
      <c r="AJ832" s="692" t="n"/>
      <c r="AK832" s="692" t="n"/>
      <c r="AL832" s="692" t="n"/>
      <c r="AM832" s="692" t="n"/>
      <c r="AN832" s="692" t="n"/>
      <c r="AO832" s="692" t="n"/>
      <c r="AP832" s="692" t="n"/>
    </row>
    <row r="833">
      <c r="A833" s="692" t="n"/>
      <c r="B833" s="692" t="n"/>
      <c r="C833" s="692" t="n"/>
      <c r="D833" s="692" t="n"/>
      <c r="E833" s="692" t="n"/>
      <c r="F833" s="692" t="n"/>
      <c r="G833" s="692" t="n"/>
      <c r="H833" s="692" t="n"/>
      <c r="I833" s="692" t="n"/>
      <c r="J833" s="692" t="n"/>
      <c r="K833" s="692" t="n"/>
      <c r="L833" s="692" t="n"/>
      <c r="M833" s="692" t="n"/>
      <c r="N833" s="692" t="n"/>
      <c r="O833" s="692" t="n"/>
      <c r="P833" s="692" t="n"/>
      <c r="Q833" s="692" t="n"/>
      <c r="R833" s="692" t="n"/>
      <c r="S833" s="692" t="n"/>
      <c r="T833" s="692" t="n"/>
      <c r="U833" s="692" t="n"/>
      <c r="V833" s="692" t="n"/>
      <c r="W833" s="692" t="n"/>
      <c r="X833" s="692" t="n"/>
      <c r="Y833" s="692" t="n"/>
      <c r="Z833" s="692" t="n"/>
      <c r="AA833" s="692" t="n"/>
      <c r="AB833" s="692" t="n"/>
      <c r="AC833" s="692" t="n"/>
      <c r="AD833" s="692" t="n"/>
      <c r="AE833" s="692" t="n"/>
      <c r="AF833" s="692" t="n"/>
      <c r="AG833" s="692" t="n"/>
      <c r="AH833" s="692" t="n"/>
      <c r="AI833" s="692" t="n"/>
      <c r="AJ833" s="692" t="n"/>
      <c r="AK833" s="692" t="n"/>
      <c r="AL833" s="692" t="n"/>
      <c r="AM833" s="692" t="n"/>
      <c r="AN833" s="692" t="n"/>
      <c r="AO833" s="692" t="n"/>
      <c r="AP833" s="692" t="n"/>
    </row>
    <row r="834">
      <c r="A834" s="692" t="n"/>
      <c r="B834" s="692" t="n"/>
      <c r="C834" s="692" t="n"/>
      <c r="D834" s="692" t="n"/>
      <c r="E834" s="692" t="n"/>
      <c r="F834" s="692" t="n"/>
      <c r="G834" s="692" t="n"/>
      <c r="H834" s="692" t="n"/>
      <c r="I834" s="692" t="n"/>
      <c r="J834" s="692" t="n"/>
      <c r="K834" s="692" t="n"/>
      <c r="L834" s="692" t="n"/>
      <c r="M834" s="692" t="n"/>
      <c r="N834" s="692" t="n"/>
      <c r="O834" s="692" t="n"/>
      <c r="P834" s="692" t="n"/>
      <c r="Q834" s="692" t="n"/>
      <c r="R834" s="692" t="n"/>
      <c r="S834" s="692" t="n"/>
      <c r="T834" s="692" t="n"/>
      <c r="U834" s="692" t="n"/>
      <c r="V834" s="692" t="n"/>
      <c r="W834" s="692" t="n"/>
      <c r="X834" s="692" t="n"/>
      <c r="Y834" s="692" t="n"/>
      <c r="Z834" s="692" t="n"/>
      <c r="AA834" s="692" t="n"/>
      <c r="AB834" s="692" t="n"/>
      <c r="AC834" s="692" t="n"/>
      <c r="AD834" s="692" t="n"/>
      <c r="AE834" s="692" t="n"/>
      <c r="AF834" s="692" t="n"/>
      <c r="AG834" s="692" t="n"/>
      <c r="AH834" s="692" t="n"/>
      <c r="AI834" s="692" t="n"/>
      <c r="AJ834" s="692" t="n"/>
      <c r="AK834" s="692" t="n"/>
      <c r="AL834" s="692" t="n"/>
      <c r="AM834" s="692" t="n"/>
      <c r="AN834" s="692" t="n"/>
      <c r="AO834" s="692" t="n"/>
      <c r="AP834" s="692" t="n"/>
    </row>
    <row r="835">
      <c r="A835" s="692" t="n"/>
      <c r="B835" s="692" t="n"/>
      <c r="C835" s="692" t="n"/>
      <c r="D835" s="692" t="n"/>
      <c r="E835" s="692" t="n"/>
      <c r="F835" s="692" t="n"/>
      <c r="G835" s="692" t="n"/>
      <c r="H835" s="692" t="n"/>
      <c r="I835" s="692" t="n"/>
      <c r="J835" s="692" t="n"/>
      <c r="K835" s="692" t="n"/>
      <c r="L835" s="692" t="n"/>
      <c r="M835" s="692" t="n"/>
      <c r="N835" s="692" t="n"/>
      <c r="O835" s="692" t="n"/>
      <c r="P835" s="692" t="n"/>
      <c r="Q835" s="692" t="n"/>
      <c r="R835" s="692" t="n"/>
      <c r="S835" s="692" t="n"/>
      <c r="T835" s="692" t="n"/>
      <c r="U835" s="692" t="n"/>
      <c r="V835" s="692" t="n"/>
      <c r="W835" s="692" t="n"/>
      <c r="X835" s="692" t="n"/>
      <c r="Y835" s="692" t="n"/>
      <c r="Z835" s="692" t="n"/>
      <c r="AA835" s="692" t="n"/>
      <c r="AB835" s="692" t="n"/>
      <c r="AC835" s="692" t="n"/>
      <c r="AD835" s="692" t="n"/>
      <c r="AE835" s="692" t="n"/>
      <c r="AF835" s="692" t="n"/>
      <c r="AG835" s="692" t="n"/>
      <c r="AH835" s="692" t="n"/>
      <c r="AI835" s="692" t="n"/>
      <c r="AJ835" s="692" t="n"/>
      <c r="AK835" s="692" t="n"/>
      <c r="AL835" s="692" t="n"/>
      <c r="AM835" s="692" t="n"/>
      <c r="AN835" s="692" t="n"/>
      <c r="AO835" s="692" t="n"/>
      <c r="AP835" s="692" t="n"/>
    </row>
    <row r="836">
      <c r="A836" s="692" t="n"/>
      <c r="B836" s="692" t="n"/>
      <c r="C836" s="692" t="n"/>
      <c r="D836" s="692" t="n"/>
      <c r="E836" s="692" t="n"/>
      <c r="F836" s="692" t="n"/>
      <c r="G836" s="692" t="n"/>
      <c r="H836" s="692" t="n"/>
      <c r="I836" s="692" t="n"/>
      <c r="J836" s="692" t="n"/>
      <c r="K836" s="692" t="n"/>
      <c r="L836" s="692" t="n"/>
      <c r="M836" s="692" t="n"/>
      <c r="N836" s="692" t="n"/>
      <c r="O836" s="692" t="n"/>
      <c r="P836" s="692" t="n"/>
      <c r="Q836" s="692" t="n"/>
      <c r="R836" s="692" t="n"/>
      <c r="S836" s="692" t="n"/>
      <c r="T836" s="692" t="n"/>
      <c r="U836" s="692" t="n"/>
      <c r="V836" s="692" t="n"/>
      <c r="W836" s="692" t="n"/>
      <c r="X836" s="692" t="n"/>
      <c r="Y836" s="692" t="n"/>
      <c r="Z836" s="692" t="n"/>
      <c r="AA836" s="692" t="n"/>
      <c r="AB836" s="692" t="n"/>
      <c r="AC836" s="692" t="n"/>
      <c r="AD836" s="692" t="n"/>
      <c r="AE836" s="692" t="n"/>
      <c r="AF836" s="692" t="n"/>
      <c r="AG836" s="692" t="n"/>
      <c r="AH836" s="692" t="n"/>
      <c r="AI836" s="692" t="n"/>
      <c r="AJ836" s="692" t="n"/>
      <c r="AK836" s="692" t="n"/>
      <c r="AL836" s="692" t="n"/>
      <c r="AM836" s="692" t="n"/>
      <c r="AN836" s="692" t="n"/>
      <c r="AO836" s="692" t="n"/>
      <c r="AP836" s="692" t="n"/>
    </row>
    <row r="837">
      <c r="A837" s="692" t="n"/>
      <c r="B837" s="692" t="n"/>
      <c r="C837" s="692" t="n"/>
      <c r="D837" s="692" t="n"/>
      <c r="E837" s="692" t="n"/>
      <c r="F837" s="692" t="n"/>
      <c r="G837" s="692" t="n"/>
      <c r="H837" s="692" t="n"/>
      <c r="I837" s="692" t="n"/>
      <c r="J837" s="692" t="n"/>
      <c r="K837" s="692" t="n"/>
      <c r="L837" s="692" t="n"/>
      <c r="M837" s="692" t="n"/>
      <c r="N837" s="692" t="n"/>
      <c r="O837" s="692" t="n"/>
      <c r="P837" s="692" t="n"/>
      <c r="Q837" s="692" t="n"/>
      <c r="R837" s="692" t="n"/>
      <c r="S837" s="692" t="n"/>
      <c r="T837" s="692" t="n"/>
      <c r="U837" s="692" t="n"/>
      <c r="V837" s="692" t="n"/>
      <c r="W837" s="692" t="n"/>
      <c r="X837" s="692" t="n"/>
      <c r="Y837" s="692" t="n"/>
      <c r="Z837" s="692" t="n"/>
      <c r="AA837" s="692" t="n"/>
      <c r="AB837" s="692" t="n"/>
      <c r="AC837" s="692" t="n"/>
      <c r="AD837" s="692" t="n"/>
      <c r="AE837" s="692" t="n"/>
      <c r="AF837" s="692" t="n"/>
      <c r="AG837" s="692" t="n"/>
      <c r="AH837" s="692" t="n"/>
      <c r="AI837" s="692" t="n"/>
      <c r="AJ837" s="692" t="n"/>
      <c r="AK837" s="692" t="n"/>
      <c r="AL837" s="692" t="n"/>
      <c r="AM837" s="692" t="n"/>
      <c r="AN837" s="692" t="n"/>
      <c r="AO837" s="692" t="n"/>
      <c r="AP837" s="692" t="n"/>
    </row>
    <row r="838">
      <c r="A838" s="692" t="n"/>
      <c r="B838" s="692" t="n"/>
      <c r="C838" s="692" t="n"/>
      <c r="D838" s="692" t="n"/>
      <c r="E838" s="692" t="n"/>
      <c r="F838" s="692" t="n"/>
      <c r="G838" s="692" t="n"/>
      <c r="H838" s="692" t="n"/>
      <c r="I838" s="692" t="n"/>
      <c r="J838" s="692" t="n"/>
      <c r="K838" s="692" t="n"/>
      <c r="L838" s="692" t="n"/>
      <c r="M838" s="692" t="n"/>
      <c r="N838" s="692" t="n"/>
      <c r="O838" s="692" t="n"/>
      <c r="P838" s="692" t="n"/>
      <c r="Q838" s="692" t="n"/>
      <c r="R838" s="692" t="n"/>
      <c r="S838" s="692" t="n"/>
      <c r="T838" s="692" t="n"/>
      <c r="U838" s="692" t="n"/>
      <c r="V838" s="692" t="n"/>
      <c r="W838" s="692" t="n"/>
      <c r="X838" s="692" t="n"/>
      <c r="Y838" s="692" t="n"/>
      <c r="Z838" s="692" t="n"/>
      <c r="AA838" s="692" t="n"/>
      <c r="AB838" s="692" t="n"/>
      <c r="AC838" s="692" t="n"/>
      <c r="AD838" s="692" t="n"/>
      <c r="AE838" s="692" t="n"/>
      <c r="AF838" s="692" t="n"/>
      <c r="AG838" s="692" t="n"/>
      <c r="AH838" s="692" t="n"/>
      <c r="AI838" s="692" t="n"/>
      <c r="AJ838" s="692" t="n"/>
      <c r="AK838" s="692" t="n"/>
      <c r="AL838" s="692" t="n"/>
      <c r="AM838" s="692" t="n"/>
      <c r="AN838" s="692" t="n"/>
      <c r="AO838" s="692" t="n"/>
      <c r="AP838" s="692" t="n"/>
    </row>
    <row r="839">
      <c r="A839" s="692" t="n"/>
      <c r="B839" s="692" t="n"/>
      <c r="C839" s="692" t="n"/>
      <c r="D839" s="692" t="n"/>
      <c r="E839" s="692" t="n"/>
      <c r="F839" s="692" t="n"/>
      <c r="G839" s="692" t="n"/>
      <c r="H839" s="692" t="n"/>
      <c r="I839" s="692" t="n"/>
      <c r="J839" s="692" t="n"/>
      <c r="K839" s="692" t="n"/>
      <c r="L839" s="692" t="n"/>
      <c r="M839" s="692" t="n"/>
      <c r="N839" s="692" t="n"/>
      <c r="O839" s="692" t="n"/>
      <c r="P839" s="692" t="n"/>
      <c r="Q839" s="692" t="n"/>
      <c r="R839" s="692" t="n"/>
      <c r="S839" s="692" t="n"/>
      <c r="T839" s="692" t="n"/>
      <c r="U839" s="692" t="n"/>
      <c r="V839" s="692" t="n"/>
      <c r="W839" s="692" t="n"/>
      <c r="X839" s="692" t="n"/>
      <c r="Y839" s="692" t="n"/>
      <c r="Z839" s="692" t="n"/>
      <c r="AA839" s="692" t="n"/>
      <c r="AB839" s="692" t="n"/>
      <c r="AC839" s="692" t="n"/>
      <c r="AD839" s="692" t="n"/>
      <c r="AE839" s="692" t="n"/>
      <c r="AF839" s="692" t="n"/>
      <c r="AG839" s="692" t="n"/>
      <c r="AH839" s="692" t="n"/>
      <c r="AI839" s="692" t="n"/>
      <c r="AJ839" s="692" t="n"/>
      <c r="AK839" s="692" t="n"/>
      <c r="AL839" s="692" t="n"/>
      <c r="AM839" s="692" t="n"/>
      <c r="AN839" s="692" t="n"/>
      <c r="AO839" s="692" t="n"/>
      <c r="AP839" s="692" t="n"/>
    </row>
    <row r="840">
      <c r="A840" s="692" t="n"/>
      <c r="B840" s="692" t="n"/>
      <c r="C840" s="692" t="n"/>
      <c r="D840" s="692" t="n"/>
      <c r="E840" s="692" t="n"/>
      <c r="F840" s="692" t="n"/>
      <c r="G840" s="692" t="n"/>
      <c r="H840" s="692" t="n"/>
      <c r="I840" s="692" t="n"/>
      <c r="J840" s="692" t="n"/>
      <c r="K840" s="692" t="n"/>
      <c r="L840" s="692" t="n"/>
      <c r="M840" s="692" t="n"/>
      <c r="N840" s="692" t="n"/>
      <c r="O840" s="692" t="n"/>
      <c r="P840" s="692" t="n"/>
      <c r="Q840" s="692" t="n"/>
      <c r="R840" s="692" t="n"/>
      <c r="S840" s="692" t="n"/>
      <c r="T840" s="692" t="n"/>
      <c r="U840" s="692" t="n"/>
      <c r="V840" s="692" t="n"/>
      <c r="W840" s="692" t="n"/>
      <c r="X840" s="692" t="n"/>
      <c r="Y840" s="692" t="n"/>
      <c r="Z840" s="692" t="n"/>
      <c r="AA840" s="692" t="n"/>
      <c r="AB840" s="692" t="n"/>
      <c r="AC840" s="692" t="n"/>
      <c r="AD840" s="692" t="n"/>
      <c r="AE840" s="692" t="n"/>
      <c r="AF840" s="692" t="n"/>
      <c r="AG840" s="692" t="n"/>
      <c r="AH840" s="692" t="n"/>
      <c r="AI840" s="692" t="n"/>
      <c r="AJ840" s="692" t="n"/>
      <c r="AK840" s="692" t="n"/>
      <c r="AL840" s="692" t="n"/>
      <c r="AM840" s="692" t="n"/>
      <c r="AN840" s="692" t="n"/>
      <c r="AO840" s="692" t="n"/>
      <c r="AP840" s="692" t="n"/>
    </row>
    <row r="841">
      <c r="A841" s="692" t="n"/>
      <c r="B841" s="692" t="n"/>
      <c r="C841" s="692" t="n"/>
      <c r="D841" s="692" t="n"/>
      <c r="E841" s="692" t="n"/>
      <c r="F841" s="692" t="n"/>
      <c r="G841" s="692" t="n"/>
      <c r="H841" s="692" t="n"/>
      <c r="I841" s="692" t="n"/>
      <c r="J841" s="692" t="n"/>
      <c r="K841" s="692" t="n"/>
      <c r="L841" s="692" t="n"/>
      <c r="M841" s="692" t="n"/>
      <c r="N841" s="692" t="n"/>
      <c r="O841" s="692" t="n"/>
      <c r="P841" s="692" t="n"/>
      <c r="Q841" s="692" t="n"/>
      <c r="R841" s="692" t="n"/>
      <c r="S841" s="692" t="n"/>
      <c r="T841" s="692" t="n"/>
      <c r="U841" s="692" t="n"/>
      <c r="V841" s="692" t="n"/>
      <c r="W841" s="692" t="n"/>
      <c r="X841" s="692" t="n"/>
      <c r="Y841" s="692" t="n"/>
      <c r="Z841" s="692" t="n"/>
      <c r="AA841" s="692" t="n"/>
      <c r="AB841" s="692" t="n"/>
      <c r="AC841" s="692" t="n"/>
      <c r="AD841" s="692" t="n"/>
      <c r="AE841" s="692" t="n"/>
      <c r="AF841" s="692" t="n"/>
      <c r="AG841" s="692" t="n"/>
      <c r="AH841" s="692" t="n"/>
      <c r="AI841" s="692" t="n"/>
      <c r="AJ841" s="692" t="n"/>
      <c r="AK841" s="692" t="n"/>
      <c r="AL841" s="692" t="n"/>
      <c r="AM841" s="692" t="n"/>
      <c r="AN841" s="692" t="n"/>
      <c r="AO841" s="692" t="n"/>
      <c r="AP841" s="692" t="n"/>
    </row>
    <row r="842">
      <c r="A842" s="692" t="n"/>
      <c r="B842" s="692" t="n"/>
      <c r="C842" s="692" t="n"/>
      <c r="D842" s="692" t="n"/>
      <c r="E842" s="692" t="n"/>
      <c r="F842" s="692" t="n"/>
      <c r="G842" s="692" t="n"/>
      <c r="H842" s="692" t="n"/>
      <c r="I842" s="692" t="n"/>
      <c r="J842" s="692" t="n"/>
      <c r="K842" s="692" t="n"/>
      <c r="L842" s="692" t="n"/>
      <c r="M842" s="692" t="n"/>
      <c r="N842" s="692" t="n"/>
      <c r="O842" s="692" t="n"/>
      <c r="P842" s="692" t="n"/>
      <c r="Q842" s="692" t="n"/>
      <c r="R842" s="692" t="n"/>
      <c r="S842" s="692" t="n"/>
      <c r="T842" s="692" t="n"/>
      <c r="U842" s="692" t="n"/>
      <c r="V842" s="692" t="n"/>
      <c r="W842" s="692" t="n"/>
      <c r="X842" s="692" t="n"/>
      <c r="Y842" s="692" t="n"/>
      <c r="Z842" s="692" t="n"/>
      <c r="AA842" s="692" t="n"/>
      <c r="AB842" s="692" t="n"/>
      <c r="AC842" s="692" t="n"/>
      <c r="AD842" s="692" t="n"/>
      <c r="AE842" s="692" t="n"/>
      <c r="AF842" s="692" t="n"/>
      <c r="AG842" s="692" t="n"/>
      <c r="AH842" s="692" t="n"/>
      <c r="AI842" s="692" t="n"/>
      <c r="AJ842" s="692" t="n"/>
      <c r="AK842" s="692" t="n"/>
      <c r="AL842" s="692" t="n"/>
      <c r="AM842" s="692" t="n"/>
      <c r="AN842" s="692" t="n"/>
      <c r="AO842" s="692" t="n"/>
      <c r="AP842" s="692" t="n"/>
    </row>
    <row r="843">
      <c r="A843" s="692" t="n"/>
      <c r="B843" s="692" t="n"/>
      <c r="C843" s="692" t="n"/>
      <c r="D843" s="692" t="n"/>
      <c r="E843" s="692" t="n"/>
      <c r="F843" s="692" t="n"/>
      <c r="G843" s="692" t="n"/>
      <c r="H843" s="692" t="n"/>
      <c r="I843" s="692" t="n"/>
      <c r="J843" s="692" t="n"/>
      <c r="K843" s="692" t="n"/>
      <c r="L843" s="692" t="n"/>
      <c r="M843" s="692" t="n"/>
      <c r="N843" s="692" t="n"/>
      <c r="O843" s="692" t="n"/>
      <c r="P843" s="692" t="n"/>
      <c r="Q843" s="692" t="n"/>
      <c r="R843" s="692" t="n"/>
      <c r="S843" s="692" t="n"/>
      <c r="T843" s="692" t="n"/>
      <c r="U843" s="692" t="n"/>
      <c r="V843" s="692" t="n"/>
      <c r="W843" s="692" t="n"/>
      <c r="X843" s="692" t="n"/>
      <c r="Y843" s="692" t="n"/>
      <c r="Z843" s="692" t="n"/>
      <c r="AA843" s="692" t="n"/>
      <c r="AB843" s="692" t="n"/>
      <c r="AC843" s="692" t="n"/>
      <c r="AD843" s="692" t="n"/>
      <c r="AE843" s="692" t="n"/>
      <c r="AF843" s="692" t="n"/>
      <c r="AG843" s="692" t="n"/>
      <c r="AH843" s="692" t="n"/>
      <c r="AI843" s="692" t="n"/>
      <c r="AJ843" s="692" t="n"/>
      <c r="AK843" s="692" t="n"/>
      <c r="AL843" s="692" t="n"/>
      <c r="AM843" s="692" t="n"/>
      <c r="AN843" s="692" t="n"/>
      <c r="AO843" s="692" t="n"/>
      <c r="AP843" s="692" t="n"/>
    </row>
    <row r="844">
      <c r="A844" s="692" t="n"/>
      <c r="B844" s="692" t="n"/>
      <c r="C844" s="692" t="n"/>
      <c r="D844" s="692" t="n"/>
      <c r="E844" s="692" t="n"/>
      <c r="F844" s="692" t="n"/>
      <c r="G844" s="692" t="n"/>
      <c r="H844" s="692" t="n"/>
      <c r="I844" s="692" t="n"/>
      <c r="J844" s="692" t="n"/>
      <c r="K844" s="692" t="n"/>
      <c r="L844" s="692" t="n"/>
      <c r="M844" s="692" t="n"/>
      <c r="N844" s="692" t="n"/>
      <c r="O844" s="692" t="n"/>
      <c r="P844" s="692" t="n"/>
      <c r="Q844" s="692" t="n"/>
      <c r="R844" s="692" t="n"/>
      <c r="S844" s="692" t="n"/>
      <c r="T844" s="692" t="n"/>
      <c r="U844" s="692" t="n"/>
      <c r="V844" s="692" t="n"/>
      <c r="W844" s="692" t="n"/>
      <c r="X844" s="692" t="n"/>
      <c r="Y844" s="692" t="n"/>
      <c r="Z844" s="692" t="n"/>
      <c r="AA844" s="692" t="n"/>
      <c r="AB844" s="692" t="n"/>
      <c r="AC844" s="692" t="n"/>
      <c r="AD844" s="692" t="n"/>
      <c r="AE844" s="692" t="n"/>
      <c r="AF844" s="692" t="n"/>
      <c r="AG844" s="692" t="n"/>
      <c r="AH844" s="692" t="n"/>
      <c r="AI844" s="692" t="n"/>
      <c r="AJ844" s="692" t="n"/>
      <c r="AK844" s="692" t="n"/>
      <c r="AL844" s="692" t="n"/>
      <c r="AM844" s="692" t="n"/>
      <c r="AN844" s="692" t="n"/>
      <c r="AO844" s="692" t="n"/>
      <c r="AP844" s="692" t="n"/>
    </row>
    <row r="845">
      <c r="A845" s="692" t="n"/>
      <c r="B845" s="692" t="n"/>
      <c r="C845" s="692" t="n"/>
      <c r="D845" s="692" t="n"/>
      <c r="E845" s="692" t="n"/>
      <c r="F845" s="692" t="n"/>
      <c r="G845" s="692" t="n"/>
      <c r="H845" s="692" t="n"/>
      <c r="I845" s="692" t="n"/>
      <c r="J845" s="692" t="n"/>
      <c r="K845" s="692" t="n"/>
      <c r="L845" s="692" t="n"/>
      <c r="M845" s="692" t="n"/>
      <c r="N845" s="692" t="n"/>
      <c r="O845" s="692" t="n"/>
      <c r="P845" s="692" t="n"/>
      <c r="Q845" s="692" t="n"/>
      <c r="R845" s="692" t="n"/>
      <c r="S845" s="692" t="n"/>
      <c r="T845" s="692" t="n"/>
      <c r="U845" s="692" t="n"/>
      <c r="V845" s="692" t="n"/>
      <c r="W845" s="692" t="n"/>
      <c r="X845" s="692" t="n"/>
      <c r="Y845" s="692" t="n"/>
      <c r="Z845" s="692" t="n"/>
      <c r="AA845" s="692" t="n"/>
      <c r="AB845" s="692" t="n"/>
      <c r="AC845" s="692" t="n"/>
      <c r="AD845" s="692" t="n"/>
      <c r="AE845" s="692" t="n"/>
      <c r="AF845" s="692" t="n"/>
      <c r="AG845" s="692" t="n"/>
      <c r="AH845" s="692" t="n"/>
      <c r="AI845" s="692" t="n"/>
      <c r="AJ845" s="692" t="n"/>
      <c r="AK845" s="692" t="n"/>
      <c r="AL845" s="692" t="n"/>
      <c r="AM845" s="692" t="n"/>
      <c r="AN845" s="692" t="n"/>
      <c r="AO845" s="692" t="n"/>
      <c r="AP845" s="692" t="n"/>
    </row>
    <row r="846">
      <c r="A846" s="692" t="n"/>
      <c r="B846" s="692" t="n"/>
      <c r="C846" s="692" t="n"/>
      <c r="D846" s="692" t="n"/>
      <c r="E846" s="692" t="n"/>
      <c r="F846" s="692" t="n"/>
      <c r="G846" s="692" t="n"/>
      <c r="H846" s="692" t="n"/>
      <c r="I846" s="692" t="n"/>
      <c r="J846" s="692" t="n"/>
      <c r="K846" s="692" t="n"/>
      <c r="L846" s="692" t="n"/>
      <c r="M846" s="692" t="n"/>
      <c r="N846" s="692" t="n"/>
      <c r="O846" s="692" t="n"/>
      <c r="P846" s="692" t="n"/>
      <c r="Q846" s="692" t="n"/>
      <c r="R846" s="692" t="n"/>
      <c r="S846" s="692" t="n"/>
      <c r="T846" s="692" t="n"/>
      <c r="U846" s="692" t="n"/>
      <c r="V846" s="692" t="n"/>
      <c r="W846" s="692" t="n"/>
      <c r="X846" s="692" t="n"/>
      <c r="Y846" s="692" t="n"/>
      <c r="Z846" s="692" t="n"/>
      <c r="AA846" s="692" t="n"/>
      <c r="AB846" s="692" t="n"/>
      <c r="AC846" s="692" t="n"/>
      <c r="AD846" s="692" t="n"/>
      <c r="AE846" s="692" t="n"/>
      <c r="AF846" s="692" t="n"/>
      <c r="AG846" s="692" t="n"/>
      <c r="AH846" s="692" t="n"/>
      <c r="AI846" s="692" t="n"/>
      <c r="AJ846" s="692" t="n"/>
      <c r="AK846" s="692" t="n"/>
      <c r="AL846" s="692" t="n"/>
      <c r="AM846" s="692" t="n"/>
      <c r="AN846" s="692" t="n"/>
      <c r="AO846" s="692" t="n"/>
      <c r="AP846" s="692" t="n"/>
    </row>
    <row r="847">
      <c r="A847" s="692" t="n"/>
      <c r="B847" s="692" t="n"/>
      <c r="C847" s="692" t="n"/>
      <c r="D847" s="692" t="n"/>
      <c r="E847" s="692" t="n"/>
      <c r="F847" s="692" t="n"/>
      <c r="G847" s="692" t="n"/>
      <c r="H847" s="692" t="n"/>
      <c r="I847" s="692" t="n"/>
      <c r="J847" s="692" t="n"/>
      <c r="K847" s="692" t="n"/>
      <c r="L847" s="692" t="n"/>
      <c r="M847" s="692" t="n"/>
      <c r="N847" s="692" t="n"/>
      <c r="O847" s="692" t="n"/>
      <c r="P847" s="692" t="n"/>
      <c r="Q847" s="692" t="n"/>
      <c r="R847" s="692" t="n"/>
      <c r="S847" s="692" t="n"/>
      <c r="T847" s="692" t="n"/>
      <c r="U847" s="692" t="n"/>
      <c r="V847" s="692" t="n"/>
      <c r="W847" s="692" t="n"/>
      <c r="X847" s="692" t="n"/>
      <c r="Y847" s="692" t="n"/>
      <c r="Z847" s="692" t="n"/>
      <c r="AA847" s="692" t="n"/>
      <c r="AB847" s="692" t="n"/>
      <c r="AC847" s="692" t="n"/>
      <c r="AD847" s="692" t="n"/>
      <c r="AE847" s="692" t="n"/>
      <c r="AF847" s="692" t="n"/>
      <c r="AG847" s="692" t="n"/>
      <c r="AH847" s="692" t="n"/>
      <c r="AI847" s="692" t="n"/>
      <c r="AJ847" s="692" t="n"/>
      <c r="AK847" s="692" t="n"/>
      <c r="AL847" s="692" t="n"/>
      <c r="AM847" s="692" t="n"/>
      <c r="AN847" s="692" t="n"/>
      <c r="AO847" s="692" t="n"/>
      <c r="AP847" s="692" t="n"/>
    </row>
    <row r="848">
      <c r="A848" s="692" t="n"/>
      <c r="B848" s="692" t="n"/>
      <c r="C848" s="692" t="n"/>
      <c r="D848" s="692" t="n"/>
      <c r="E848" s="692" t="n"/>
      <c r="F848" s="692" t="n"/>
      <c r="G848" s="692" t="n"/>
      <c r="H848" s="692" t="n"/>
      <c r="I848" s="692" t="n"/>
      <c r="J848" s="692" t="n"/>
      <c r="K848" s="692" t="n"/>
      <c r="L848" s="692" t="n"/>
      <c r="M848" s="692" t="n"/>
      <c r="N848" s="692" t="n"/>
      <c r="O848" s="692" t="n"/>
      <c r="P848" s="692" t="n"/>
      <c r="Q848" s="692" t="n"/>
      <c r="R848" s="692" t="n"/>
      <c r="S848" s="692" t="n"/>
      <c r="T848" s="692" t="n"/>
      <c r="U848" s="692" t="n"/>
      <c r="V848" s="692" t="n"/>
      <c r="W848" s="692" t="n"/>
      <c r="X848" s="692" t="n"/>
      <c r="Y848" s="692" t="n"/>
      <c r="Z848" s="692" t="n"/>
      <c r="AA848" s="692" t="n"/>
      <c r="AB848" s="692" t="n"/>
      <c r="AC848" s="692" t="n"/>
      <c r="AD848" s="692" t="n"/>
      <c r="AE848" s="692" t="n"/>
      <c r="AF848" s="692" t="n"/>
      <c r="AG848" s="692" t="n"/>
      <c r="AH848" s="692" t="n"/>
      <c r="AI848" s="692" t="n"/>
      <c r="AJ848" s="692" t="n"/>
      <c r="AK848" s="692" t="n"/>
      <c r="AL848" s="692" t="n"/>
      <c r="AM848" s="692" t="n"/>
      <c r="AN848" s="692" t="n"/>
      <c r="AO848" s="692" t="n"/>
      <c r="AP848" s="692" t="n"/>
    </row>
    <row r="849">
      <c r="A849" s="692" t="n"/>
      <c r="B849" s="692" t="n"/>
      <c r="C849" s="692" t="n"/>
      <c r="D849" s="692" t="n"/>
      <c r="E849" s="692" t="n"/>
      <c r="F849" s="692" t="n"/>
      <c r="G849" s="692" t="n"/>
      <c r="H849" s="692" t="n"/>
      <c r="I849" s="692" t="n"/>
      <c r="J849" s="692" t="n"/>
      <c r="K849" s="692" t="n"/>
      <c r="L849" s="692" t="n"/>
      <c r="M849" s="692" t="n"/>
      <c r="N849" s="692" t="n"/>
      <c r="O849" s="692" t="n"/>
      <c r="P849" s="692" t="n"/>
      <c r="Q849" s="692" t="n"/>
      <c r="R849" s="692" t="n"/>
      <c r="S849" s="692" t="n"/>
      <c r="T849" s="692" t="n"/>
      <c r="U849" s="692" t="n"/>
      <c r="V849" s="692" t="n"/>
      <c r="W849" s="692" t="n"/>
      <c r="X849" s="692" t="n"/>
      <c r="Y849" s="692" t="n"/>
      <c r="Z849" s="692" t="n"/>
      <c r="AA849" s="692" t="n"/>
      <c r="AB849" s="692" t="n"/>
      <c r="AC849" s="692" t="n"/>
      <c r="AD849" s="692" t="n"/>
      <c r="AE849" s="692" t="n"/>
      <c r="AF849" s="692" t="n"/>
      <c r="AG849" s="692" t="n"/>
      <c r="AH849" s="692" t="n"/>
      <c r="AI849" s="692" t="n"/>
      <c r="AJ849" s="692" t="n"/>
      <c r="AK849" s="692" t="n"/>
      <c r="AL849" s="692" t="n"/>
      <c r="AM849" s="692" t="n"/>
      <c r="AN849" s="692" t="n"/>
      <c r="AO849" s="692" t="n"/>
      <c r="AP849" s="692" t="n"/>
    </row>
    <row r="850">
      <c r="A850" s="692" t="n"/>
      <c r="B850" s="692" t="n"/>
      <c r="C850" s="692" t="n"/>
      <c r="D850" s="692" t="n"/>
      <c r="E850" s="692" t="n"/>
      <c r="F850" s="692" t="n"/>
      <c r="G850" s="692" t="n"/>
      <c r="H850" s="692" t="n"/>
      <c r="I850" s="692" t="n"/>
      <c r="J850" s="692" t="n"/>
      <c r="K850" s="692" t="n"/>
      <c r="L850" s="692" t="n"/>
      <c r="M850" s="692" t="n"/>
      <c r="N850" s="692" t="n"/>
      <c r="O850" s="692" t="n"/>
      <c r="P850" s="692" t="n"/>
      <c r="Q850" s="692" t="n"/>
      <c r="R850" s="692" t="n"/>
      <c r="S850" s="692" t="n"/>
      <c r="T850" s="692" t="n"/>
      <c r="U850" s="692" t="n"/>
      <c r="V850" s="692" t="n"/>
      <c r="W850" s="692" t="n"/>
      <c r="X850" s="692" t="n"/>
      <c r="Y850" s="692" t="n"/>
      <c r="Z850" s="692" t="n"/>
      <c r="AA850" s="692" t="n"/>
      <c r="AB850" s="692" t="n"/>
      <c r="AC850" s="692" t="n"/>
      <c r="AD850" s="692" t="n"/>
      <c r="AE850" s="692" t="n"/>
      <c r="AF850" s="692" t="n"/>
      <c r="AG850" s="692" t="n"/>
      <c r="AH850" s="692" t="n"/>
      <c r="AI850" s="692" t="n"/>
      <c r="AJ850" s="692" t="n"/>
      <c r="AK850" s="692" t="n"/>
      <c r="AL850" s="692" t="n"/>
      <c r="AM850" s="692" t="n"/>
      <c r="AN850" s="692" t="n"/>
      <c r="AO850" s="692" t="n"/>
      <c r="AP850" s="692" t="n"/>
    </row>
    <row r="851">
      <c r="A851" s="692" t="n"/>
      <c r="B851" s="692" t="n"/>
      <c r="C851" s="692" t="n"/>
      <c r="D851" s="692" t="n"/>
      <c r="E851" s="692" t="n"/>
      <c r="F851" s="692" t="n"/>
      <c r="G851" s="692" t="n"/>
      <c r="H851" s="692" t="n"/>
      <c r="I851" s="692" t="n"/>
      <c r="J851" s="692" t="n"/>
      <c r="K851" s="692" t="n"/>
      <c r="L851" s="692" t="n"/>
      <c r="M851" s="692" t="n"/>
      <c r="N851" s="692" t="n"/>
      <c r="O851" s="692" t="n"/>
      <c r="P851" s="692" t="n"/>
      <c r="Q851" s="692" t="n"/>
      <c r="R851" s="692" t="n"/>
      <c r="S851" s="692" t="n"/>
      <c r="T851" s="692" t="n"/>
      <c r="U851" s="692" t="n"/>
      <c r="V851" s="692" t="n"/>
      <c r="W851" s="692" t="n"/>
      <c r="X851" s="692" t="n"/>
      <c r="Y851" s="692" t="n"/>
      <c r="Z851" s="692" t="n"/>
      <c r="AA851" s="692" t="n"/>
      <c r="AB851" s="692" t="n"/>
      <c r="AC851" s="692" t="n"/>
      <c r="AD851" s="692" t="n"/>
      <c r="AE851" s="692" t="n"/>
      <c r="AF851" s="692" t="n"/>
      <c r="AG851" s="692" t="n"/>
      <c r="AH851" s="692" t="n"/>
      <c r="AI851" s="692" t="n"/>
      <c r="AJ851" s="692" t="n"/>
      <c r="AK851" s="692" t="n"/>
      <c r="AL851" s="692" t="n"/>
      <c r="AM851" s="692" t="n"/>
      <c r="AN851" s="692" t="n"/>
      <c r="AO851" s="692" t="n"/>
      <c r="AP851" s="692" t="n"/>
    </row>
    <row r="852">
      <c r="A852" s="692" t="n"/>
      <c r="B852" s="692" t="n"/>
      <c r="C852" s="692" t="n"/>
      <c r="D852" s="692" t="n"/>
      <c r="E852" s="692" t="n"/>
      <c r="F852" s="692" t="n"/>
      <c r="G852" s="692" t="n"/>
      <c r="H852" s="692" t="n"/>
      <c r="I852" s="692" t="n"/>
      <c r="J852" s="692" t="n"/>
      <c r="K852" s="692" t="n"/>
      <c r="L852" s="692" t="n"/>
      <c r="M852" s="692" t="n"/>
      <c r="N852" s="692" t="n"/>
      <c r="O852" s="692" t="n"/>
      <c r="P852" s="692" t="n"/>
      <c r="Q852" s="692" t="n"/>
      <c r="R852" s="692" t="n"/>
      <c r="S852" s="692" t="n"/>
      <c r="T852" s="692" t="n"/>
      <c r="U852" s="692" t="n"/>
      <c r="V852" s="692" t="n"/>
      <c r="W852" s="692" t="n"/>
      <c r="X852" s="692" t="n"/>
      <c r="Y852" s="692" t="n"/>
      <c r="Z852" s="692" t="n"/>
      <c r="AA852" s="692" t="n"/>
      <c r="AB852" s="692" t="n"/>
      <c r="AC852" s="692" t="n"/>
      <c r="AD852" s="692" t="n"/>
      <c r="AE852" s="692" t="n"/>
      <c r="AF852" s="692" t="n"/>
      <c r="AG852" s="692" t="n"/>
      <c r="AH852" s="692" t="n"/>
      <c r="AI852" s="692" t="n"/>
      <c r="AJ852" s="692" t="n"/>
      <c r="AK852" s="692" t="n"/>
      <c r="AL852" s="692" t="n"/>
      <c r="AM852" s="692" t="n"/>
      <c r="AN852" s="692" t="n"/>
      <c r="AO852" s="692" t="n"/>
      <c r="AP852" s="692" t="n"/>
    </row>
    <row r="853">
      <c r="A853" s="692" t="n"/>
      <c r="B853" s="692" t="n"/>
      <c r="C853" s="692" t="n"/>
      <c r="D853" s="692" t="n"/>
      <c r="E853" s="692" t="n"/>
      <c r="F853" s="692" t="n"/>
      <c r="G853" s="692" t="n"/>
      <c r="H853" s="692" t="n"/>
      <c r="I853" s="692" t="n"/>
      <c r="J853" s="692" t="n"/>
      <c r="K853" s="692" t="n"/>
      <c r="L853" s="692" t="n"/>
      <c r="M853" s="692" t="n"/>
      <c r="N853" s="692" t="n"/>
      <c r="O853" s="692" t="n"/>
      <c r="P853" s="692" t="n"/>
      <c r="Q853" s="692" t="n"/>
      <c r="R853" s="692" t="n"/>
      <c r="S853" s="692" t="n"/>
      <c r="T853" s="692" t="n"/>
      <c r="U853" s="692" t="n"/>
      <c r="V853" s="692" t="n"/>
      <c r="W853" s="692" t="n"/>
      <c r="X853" s="692" t="n"/>
      <c r="Y853" s="692" t="n"/>
      <c r="Z853" s="692" t="n"/>
      <c r="AA853" s="692" t="n"/>
      <c r="AB853" s="692" t="n"/>
      <c r="AC853" s="692" t="n"/>
      <c r="AD853" s="692" t="n"/>
      <c r="AE853" s="692" t="n"/>
      <c r="AF853" s="692" t="n"/>
      <c r="AG853" s="692" t="n"/>
      <c r="AH853" s="692" t="n"/>
      <c r="AI853" s="692" t="n"/>
      <c r="AJ853" s="692" t="n"/>
      <c r="AK853" s="692" t="n"/>
      <c r="AL853" s="692" t="n"/>
      <c r="AM853" s="692" t="n"/>
      <c r="AN853" s="692" t="n"/>
      <c r="AO853" s="692" t="n"/>
      <c r="AP853" s="692" t="n"/>
    </row>
    <row r="854">
      <c r="A854" s="692" t="n"/>
      <c r="B854" s="692" t="n"/>
      <c r="C854" s="692" t="n"/>
      <c r="D854" s="692" t="n"/>
      <c r="E854" s="692" t="n"/>
      <c r="F854" s="692" t="n"/>
      <c r="G854" s="692" t="n"/>
      <c r="H854" s="692" t="n"/>
      <c r="I854" s="692" t="n"/>
      <c r="J854" s="692" t="n"/>
      <c r="K854" s="692" t="n"/>
      <c r="L854" s="692" t="n"/>
      <c r="M854" s="692" t="n"/>
      <c r="N854" s="692" t="n"/>
      <c r="O854" s="692" t="n"/>
      <c r="P854" s="692" t="n"/>
      <c r="Q854" s="692" t="n"/>
      <c r="R854" s="692" t="n"/>
      <c r="S854" s="692" t="n"/>
      <c r="T854" s="692" t="n"/>
      <c r="U854" s="692" t="n"/>
      <c r="V854" s="692" t="n"/>
      <c r="W854" s="692" t="n"/>
      <c r="X854" s="692" t="n"/>
      <c r="Y854" s="692" t="n"/>
      <c r="Z854" s="692" t="n"/>
      <c r="AA854" s="692" t="n"/>
      <c r="AB854" s="692" t="n"/>
      <c r="AC854" s="692" t="n"/>
      <c r="AD854" s="692" t="n"/>
      <c r="AE854" s="692" t="n"/>
      <c r="AF854" s="692" t="n"/>
      <c r="AG854" s="692" t="n"/>
      <c r="AH854" s="692" t="n"/>
      <c r="AI854" s="692" t="n"/>
      <c r="AJ854" s="692" t="n"/>
      <c r="AK854" s="692" t="n"/>
      <c r="AL854" s="692" t="n"/>
      <c r="AM854" s="692" t="n"/>
      <c r="AN854" s="692" t="n"/>
      <c r="AO854" s="692" t="n"/>
      <c r="AP854" s="692" t="n"/>
    </row>
    <row r="855">
      <c r="A855" s="692" t="n"/>
      <c r="B855" s="692" t="n"/>
      <c r="C855" s="692" t="n"/>
      <c r="D855" s="692" t="n"/>
      <c r="E855" s="692" t="n"/>
      <c r="F855" s="692" t="n"/>
      <c r="G855" s="692" t="n"/>
      <c r="H855" s="692" t="n"/>
      <c r="I855" s="692" t="n"/>
      <c r="J855" s="692" t="n"/>
      <c r="K855" s="692" t="n"/>
      <c r="L855" s="692" t="n"/>
      <c r="M855" s="692" t="n"/>
      <c r="N855" s="692" t="n"/>
      <c r="O855" s="692" t="n"/>
      <c r="P855" s="692" t="n"/>
      <c r="Q855" s="692" t="n"/>
      <c r="R855" s="692" t="n"/>
      <c r="S855" s="692" t="n"/>
      <c r="T855" s="692" t="n"/>
      <c r="U855" s="692" t="n"/>
      <c r="V855" s="692" t="n"/>
      <c r="W855" s="692" t="n"/>
      <c r="X855" s="692" t="n"/>
      <c r="Y855" s="692" t="n"/>
      <c r="Z855" s="692" t="n"/>
      <c r="AA855" s="692" t="n"/>
      <c r="AB855" s="692" t="n"/>
      <c r="AC855" s="692" t="n"/>
      <c r="AD855" s="692" t="n"/>
      <c r="AE855" s="692" t="n"/>
      <c r="AF855" s="692" t="n"/>
      <c r="AG855" s="692" t="n"/>
      <c r="AH855" s="692" t="n"/>
      <c r="AI855" s="692" t="n"/>
      <c r="AJ855" s="692" t="n"/>
      <c r="AK855" s="692" t="n"/>
      <c r="AL855" s="692" t="n"/>
      <c r="AM855" s="692" t="n"/>
      <c r="AN855" s="692" t="n"/>
      <c r="AO855" s="692" t="n"/>
      <c r="AP855" s="692" t="n"/>
    </row>
    <row r="856">
      <c r="A856" s="692" t="n"/>
      <c r="B856" s="692" t="n"/>
      <c r="C856" s="692" t="n"/>
      <c r="D856" s="692" t="n"/>
      <c r="E856" s="692" t="n"/>
      <c r="F856" s="692" t="n"/>
      <c r="G856" s="692" t="n"/>
      <c r="H856" s="692" t="n"/>
      <c r="I856" s="692" t="n"/>
      <c r="J856" s="692" t="n"/>
      <c r="K856" s="692" t="n"/>
      <c r="L856" s="692" t="n"/>
      <c r="M856" s="692" t="n"/>
      <c r="N856" s="692" t="n"/>
      <c r="O856" s="692" t="n"/>
      <c r="P856" s="692" t="n"/>
      <c r="Q856" s="692" t="n"/>
      <c r="R856" s="692" t="n"/>
      <c r="S856" s="692" t="n"/>
      <c r="T856" s="692" t="n"/>
      <c r="U856" s="692" t="n"/>
      <c r="V856" s="692" t="n"/>
      <c r="W856" s="692" t="n"/>
      <c r="X856" s="692" t="n"/>
      <c r="Y856" s="692" t="n"/>
      <c r="Z856" s="692" t="n"/>
      <c r="AA856" s="692" t="n"/>
      <c r="AB856" s="692" t="n"/>
      <c r="AC856" s="692" t="n"/>
      <c r="AD856" s="692" t="n"/>
      <c r="AE856" s="692" t="n"/>
      <c r="AF856" s="692" t="n"/>
      <c r="AG856" s="692" t="n"/>
      <c r="AH856" s="692" t="n"/>
      <c r="AI856" s="692" t="n"/>
      <c r="AJ856" s="692" t="n"/>
      <c r="AK856" s="692" t="n"/>
      <c r="AL856" s="692" t="n"/>
      <c r="AM856" s="692" t="n"/>
      <c r="AN856" s="692" t="n"/>
      <c r="AO856" s="692" t="n"/>
      <c r="AP856" s="692" t="n"/>
    </row>
    <row r="857">
      <c r="A857" s="692" t="n"/>
      <c r="B857" s="692" t="n"/>
      <c r="C857" s="692" t="n"/>
      <c r="D857" s="692" t="n"/>
      <c r="E857" s="692" t="n"/>
      <c r="F857" s="692" t="n"/>
      <c r="G857" s="692" t="n"/>
      <c r="H857" s="692" t="n"/>
      <c r="I857" s="692" t="n"/>
      <c r="J857" s="692" t="n"/>
      <c r="K857" s="692" t="n"/>
      <c r="L857" s="692" t="n"/>
      <c r="M857" s="692" t="n"/>
      <c r="N857" s="692" t="n"/>
      <c r="O857" s="692" t="n"/>
      <c r="P857" s="692" t="n"/>
      <c r="Q857" s="692" t="n"/>
      <c r="R857" s="692" t="n"/>
      <c r="S857" s="692" t="n"/>
      <c r="T857" s="692" t="n"/>
      <c r="U857" s="692" t="n"/>
      <c r="V857" s="692" t="n"/>
      <c r="W857" s="692" t="n"/>
      <c r="X857" s="692" t="n"/>
      <c r="Y857" s="692" t="n"/>
      <c r="Z857" s="692" t="n"/>
      <c r="AA857" s="692" t="n"/>
      <c r="AB857" s="692" t="n"/>
      <c r="AC857" s="692" t="n"/>
      <c r="AD857" s="692" t="n"/>
      <c r="AE857" s="692" t="n"/>
      <c r="AF857" s="692" t="n"/>
      <c r="AG857" s="692" t="n"/>
      <c r="AH857" s="692" t="n"/>
      <c r="AI857" s="692" t="n"/>
      <c r="AJ857" s="692" t="n"/>
      <c r="AK857" s="692" t="n"/>
      <c r="AL857" s="692" t="n"/>
      <c r="AM857" s="692" t="n"/>
      <c r="AN857" s="692" t="n"/>
      <c r="AO857" s="692" t="n"/>
      <c r="AP857" s="692" t="n"/>
    </row>
    <row r="858">
      <c r="A858" s="692" t="n"/>
      <c r="B858" s="692" t="n"/>
      <c r="C858" s="692" t="n"/>
      <c r="D858" s="692" t="n"/>
      <c r="E858" s="692" t="n"/>
      <c r="F858" s="692" t="n"/>
      <c r="G858" s="692" t="n"/>
      <c r="H858" s="692" t="n"/>
      <c r="I858" s="692" t="n"/>
      <c r="J858" s="692" t="n"/>
      <c r="K858" s="692" t="n"/>
      <c r="L858" s="692" t="n"/>
      <c r="M858" s="692" t="n"/>
      <c r="N858" s="692" t="n"/>
      <c r="O858" s="692" t="n"/>
      <c r="P858" s="692" t="n"/>
      <c r="Q858" s="692" t="n"/>
      <c r="R858" s="692" t="n"/>
      <c r="S858" s="692" t="n"/>
      <c r="T858" s="692" t="n"/>
      <c r="U858" s="692" t="n"/>
      <c r="V858" s="692" t="n"/>
      <c r="W858" s="692" t="n"/>
      <c r="X858" s="692" t="n"/>
      <c r="Y858" s="692" t="n"/>
      <c r="Z858" s="692" t="n"/>
      <c r="AA858" s="692" t="n"/>
      <c r="AB858" s="692" t="n"/>
      <c r="AC858" s="692" t="n"/>
      <c r="AD858" s="692" t="n"/>
      <c r="AE858" s="692" t="n"/>
      <c r="AF858" s="692" t="n"/>
      <c r="AG858" s="692" t="n"/>
      <c r="AH858" s="692" t="n"/>
      <c r="AI858" s="692" t="n"/>
      <c r="AJ858" s="692" t="n"/>
      <c r="AK858" s="692" t="n"/>
      <c r="AL858" s="692" t="n"/>
      <c r="AM858" s="692" t="n"/>
      <c r="AN858" s="692" t="n"/>
      <c r="AO858" s="692" t="n"/>
      <c r="AP858" s="692" t="n"/>
    </row>
    <row r="859">
      <c r="A859" s="692" t="n"/>
      <c r="B859" s="692" t="n"/>
      <c r="C859" s="692" t="n"/>
      <c r="D859" s="692" t="n"/>
      <c r="E859" s="692" t="n"/>
      <c r="F859" s="692" t="n"/>
      <c r="G859" s="692" t="n"/>
      <c r="H859" s="692" t="n"/>
      <c r="I859" s="692" t="n"/>
      <c r="J859" s="692" t="n"/>
      <c r="K859" s="692" t="n"/>
      <c r="L859" s="692" t="n"/>
      <c r="M859" s="692" t="n"/>
      <c r="N859" s="692" t="n"/>
      <c r="O859" s="692" t="n"/>
      <c r="P859" s="692" t="n"/>
      <c r="Q859" s="692" t="n"/>
      <c r="R859" s="692" t="n"/>
      <c r="S859" s="692" t="n"/>
      <c r="T859" s="692" t="n"/>
      <c r="U859" s="692" t="n"/>
      <c r="V859" s="692" t="n"/>
      <c r="W859" s="692" t="n"/>
      <c r="X859" s="692" t="n"/>
      <c r="Y859" s="692" t="n"/>
      <c r="Z859" s="692" t="n"/>
      <c r="AA859" s="692" t="n"/>
      <c r="AB859" s="692" t="n"/>
      <c r="AC859" s="692" t="n"/>
      <c r="AD859" s="692" t="n"/>
      <c r="AE859" s="692" t="n"/>
      <c r="AF859" s="692" t="n"/>
      <c r="AG859" s="692" t="n"/>
      <c r="AH859" s="692" t="n"/>
      <c r="AI859" s="692" t="n"/>
      <c r="AJ859" s="692" t="n"/>
      <c r="AK859" s="692" t="n"/>
      <c r="AL859" s="692" t="n"/>
      <c r="AM859" s="692" t="n"/>
      <c r="AN859" s="692" t="n"/>
      <c r="AO859" s="692" t="n"/>
      <c r="AP859" s="692" t="n"/>
    </row>
    <row r="860">
      <c r="A860" s="692" t="n"/>
      <c r="B860" s="692" t="n"/>
      <c r="C860" s="692" t="n"/>
      <c r="D860" s="692" t="n"/>
      <c r="E860" s="692" t="n"/>
      <c r="F860" s="692" t="n"/>
      <c r="G860" s="692" t="n"/>
      <c r="H860" s="692" t="n"/>
      <c r="I860" s="692" t="n"/>
      <c r="J860" s="692" t="n"/>
      <c r="K860" s="692" t="n"/>
      <c r="L860" s="692" t="n"/>
      <c r="M860" s="692" t="n"/>
      <c r="N860" s="692" t="n"/>
      <c r="O860" s="692" t="n"/>
      <c r="P860" s="692" t="n"/>
      <c r="Q860" s="692" t="n"/>
      <c r="R860" s="692" t="n"/>
      <c r="S860" s="692" t="n"/>
      <c r="T860" s="692" t="n"/>
      <c r="U860" s="692" t="n"/>
      <c r="V860" s="692" t="n"/>
      <c r="W860" s="692" t="n"/>
      <c r="X860" s="692" t="n"/>
      <c r="Y860" s="692" t="n"/>
      <c r="Z860" s="692" t="n"/>
      <c r="AA860" s="692" t="n"/>
      <c r="AB860" s="692" t="n"/>
      <c r="AC860" s="692" t="n"/>
      <c r="AD860" s="692" t="n"/>
      <c r="AE860" s="692" t="n"/>
      <c r="AF860" s="692" t="n"/>
      <c r="AG860" s="692" t="n"/>
      <c r="AH860" s="692" t="n"/>
      <c r="AI860" s="692" t="n"/>
      <c r="AJ860" s="692" t="n"/>
      <c r="AK860" s="692" t="n"/>
      <c r="AL860" s="692" t="n"/>
      <c r="AM860" s="692" t="n"/>
      <c r="AN860" s="692" t="n"/>
      <c r="AO860" s="692" t="n"/>
      <c r="AP860" s="692" t="n"/>
    </row>
    <row r="861">
      <c r="A861" s="692" t="n"/>
      <c r="B861" s="692" t="n"/>
      <c r="C861" s="692" t="n"/>
      <c r="D861" s="692" t="n"/>
      <c r="E861" s="692" t="n"/>
      <c r="F861" s="692" t="n"/>
      <c r="G861" s="692" t="n"/>
      <c r="H861" s="692" t="n"/>
      <c r="I861" s="692" t="n"/>
      <c r="J861" s="692" t="n"/>
      <c r="K861" s="692" t="n"/>
      <c r="L861" s="692" t="n"/>
      <c r="M861" s="692" t="n"/>
      <c r="N861" s="692" t="n"/>
      <c r="O861" s="692" t="n"/>
      <c r="P861" s="692" t="n"/>
      <c r="Q861" s="692" t="n"/>
      <c r="R861" s="692" t="n"/>
      <c r="S861" s="692" t="n"/>
      <c r="T861" s="692" t="n"/>
      <c r="U861" s="692" t="n"/>
      <c r="V861" s="692" t="n"/>
      <c r="W861" s="692" t="n"/>
      <c r="X861" s="692" t="n"/>
      <c r="Y861" s="692" t="n"/>
      <c r="Z861" s="692" t="n"/>
      <c r="AA861" s="692" t="n"/>
      <c r="AB861" s="692" t="n"/>
      <c r="AC861" s="692" t="n"/>
      <c r="AD861" s="692" t="n"/>
      <c r="AE861" s="692" t="n"/>
      <c r="AF861" s="692" t="n"/>
      <c r="AG861" s="692" t="n"/>
      <c r="AH861" s="692" t="n"/>
      <c r="AI861" s="692" t="n"/>
      <c r="AJ861" s="692" t="n"/>
      <c r="AK861" s="692" t="n"/>
      <c r="AL861" s="692" t="n"/>
      <c r="AM861" s="692" t="n"/>
      <c r="AN861" s="692" t="n"/>
      <c r="AO861" s="692" t="n"/>
      <c r="AP861" s="692" t="n"/>
    </row>
    <row r="862">
      <c r="A862" s="692" t="n"/>
      <c r="B862" s="692" t="n"/>
      <c r="C862" s="692" t="n"/>
      <c r="D862" s="692" t="n"/>
      <c r="E862" s="692" t="n"/>
      <c r="F862" s="692" t="n"/>
      <c r="G862" s="692" t="n"/>
      <c r="H862" s="692" t="n"/>
      <c r="I862" s="692" t="n"/>
      <c r="J862" s="692" t="n"/>
      <c r="K862" s="692" t="n"/>
      <c r="L862" s="692" t="n"/>
      <c r="M862" s="692" t="n"/>
      <c r="N862" s="692" t="n"/>
      <c r="O862" s="692" t="n"/>
      <c r="P862" s="692" t="n"/>
      <c r="Q862" s="692" t="n"/>
      <c r="R862" s="692" t="n"/>
      <c r="S862" s="692" t="n"/>
      <c r="T862" s="692" t="n"/>
      <c r="U862" s="692" t="n"/>
      <c r="V862" s="692" t="n"/>
      <c r="W862" s="692" t="n"/>
      <c r="X862" s="692" t="n"/>
      <c r="Y862" s="692" t="n"/>
      <c r="Z862" s="692" t="n"/>
      <c r="AA862" s="692" t="n"/>
      <c r="AB862" s="692" t="n"/>
      <c r="AC862" s="692" t="n"/>
      <c r="AD862" s="692" t="n"/>
      <c r="AE862" s="692" t="n"/>
      <c r="AF862" s="692" t="n"/>
      <c r="AG862" s="692" t="n"/>
      <c r="AH862" s="692" t="n"/>
      <c r="AI862" s="692" t="n"/>
      <c r="AJ862" s="692" t="n"/>
      <c r="AK862" s="692" t="n"/>
      <c r="AL862" s="692" t="n"/>
      <c r="AM862" s="692" t="n"/>
      <c r="AN862" s="692" t="n"/>
      <c r="AO862" s="692" t="n"/>
      <c r="AP862" s="692" t="n"/>
    </row>
    <row r="863">
      <c r="A863" s="692" t="n"/>
      <c r="B863" s="692" t="n"/>
      <c r="C863" s="692" t="n"/>
      <c r="D863" s="692" t="n"/>
      <c r="E863" s="692" t="n"/>
      <c r="F863" s="692" t="n"/>
      <c r="G863" s="692" t="n"/>
      <c r="H863" s="692" t="n"/>
      <c r="I863" s="692" t="n"/>
      <c r="J863" s="692" t="n"/>
      <c r="K863" s="692" t="n"/>
      <c r="L863" s="692" t="n"/>
      <c r="M863" s="692" t="n"/>
      <c r="N863" s="692" t="n"/>
      <c r="O863" s="692" t="n"/>
      <c r="P863" s="692" t="n"/>
      <c r="Q863" s="692" t="n"/>
      <c r="R863" s="692" t="n"/>
      <c r="S863" s="692" t="n"/>
      <c r="T863" s="692" t="n"/>
      <c r="U863" s="692" t="n"/>
      <c r="V863" s="692" t="n"/>
      <c r="W863" s="692" t="n"/>
      <c r="X863" s="692" t="n"/>
      <c r="Y863" s="692" t="n"/>
      <c r="Z863" s="692" t="n"/>
      <c r="AA863" s="692" t="n"/>
      <c r="AB863" s="692" t="n"/>
      <c r="AC863" s="692" t="n"/>
      <c r="AD863" s="692" t="n"/>
      <c r="AE863" s="692" t="n"/>
      <c r="AF863" s="692" t="n"/>
      <c r="AG863" s="692" t="n"/>
      <c r="AH863" s="692" t="n"/>
      <c r="AI863" s="692" t="n"/>
      <c r="AJ863" s="692" t="n"/>
      <c r="AK863" s="692" t="n"/>
      <c r="AL863" s="692" t="n"/>
      <c r="AM863" s="692" t="n"/>
      <c r="AN863" s="692" t="n"/>
      <c r="AO863" s="692" t="n"/>
      <c r="AP863" s="692" t="n"/>
    </row>
    <row r="864">
      <c r="A864" s="692" t="n"/>
      <c r="B864" s="692" t="n"/>
      <c r="C864" s="692" t="n"/>
      <c r="D864" s="692" t="n"/>
      <c r="E864" s="692" t="n"/>
      <c r="F864" s="692" t="n"/>
      <c r="G864" s="692" t="n"/>
      <c r="H864" s="692" t="n"/>
      <c r="I864" s="692" t="n"/>
      <c r="J864" s="692" t="n"/>
      <c r="K864" s="692" t="n"/>
      <c r="L864" s="692" t="n"/>
      <c r="M864" s="692" t="n"/>
      <c r="N864" s="692" t="n"/>
      <c r="O864" s="692" t="n"/>
      <c r="P864" s="692" t="n"/>
      <c r="Q864" s="692" t="n"/>
      <c r="R864" s="692" t="n"/>
      <c r="S864" s="692" t="n"/>
      <c r="T864" s="692" t="n"/>
      <c r="U864" s="692" t="n"/>
      <c r="V864" s="692" t="n"/>
      <c r="W864" s="692" t="n"/>
      <c r="X864" s="692" t="n"/>
      <c r="Y864" s="692" t="n"/>
      <c r="Z864" s="692" t="n"/>
      <c r="AA864" s="692" t="n"/>
      <c r="AB864" s="692" t="n"/>
      <c r="AC864" s="692" t="n"/>
      <c r="AD864" s="692" t="n"/>
      <c r="AE864" s="692" t="n"/>
      <c r="AF864" s="692" t="n"/>
      <c r="AG864" s="692" t="n"/>
      <c r="AH864" s="692" t="n"/>
      <c r="AI864" s="692" t="n"/>
      <c r="AJ864" s="692" t="n"/>
      <c r="AK864" s="692" t="n"/>
      <c r="AL864" s="692" t="n"/>
      <c r="AM864" s="692" t="n"/>
      <c r="AN864" s="692" t="n"/>
      <c r="AO864" s="692" t="n"/>
      <c r="AP864" s="692" t="n"/>
    </row>
    <row r="865">
      <c r="A865" s="692" t="n"/>
      <c r="B865" s="692" t="n"/>
      <c r="C865" s="692" t="n"/>
      <c r="D865" s="692" t="n"/>
      <c r="E865" s="692" t="n"/>
      <c r="F865" s="692" t="n"/>
      <c r="G865" s="692" t="n"/>
      <c r="H865" s="692" t="n"/>
      <c r="I865" s="692" t="n"/>
      <c r="J865" s="692" t="n"/>
      <c r="K865" s="692" t="n"/>
      <c r="L865" s="692" t="n"/>
      <c r="M865" s="692" t="n"/>
      <c r="N865" s="692" t="n"/>
      <c r="O865" s="692" t="n"/>
      <c r="P865" s="692" t="n"/>
      <c r="Q865" s="692" t="n"/>
      <c r="R865" s="692" t="n"/>
      <c r="S865" s="692" t="n"/>
      <c r="T865" s="692" t="n"/>
      <c r="U865" s="692" t="n"/>
      <c r="V865" s="692" t="n"/>
      <c r="W865" s="692" t="n"/>
      <c r="X865" s="692" t="n"/>
      <c r="Y865" s="692" t="n"/>
      <c r="Z865" s="692" t="n"/>
      <c r="AA865" s="692" t="n"/>
      <c r="AB865" s="692" t="n"/>
      <c r="AC865" s="692" t="n"/>
      <c r="AD865" s="692" t="n"/>
      <c r="AE865" s="692" t="n"/>
      <c r="AF865" s="692" t="n"/>
      <c r="AG865" s="692" t="n"/>
      <c r="AH865" s="692" t="n"/>
      <c r="AI865" s="692" t="n"/>
      <c r="AJ865" s="692" t="n"/>
      <c r="AK865" s="692" t="n"/>
      <c r="AL865" s="692" t="n"/>
      <c r="AM865" s="692" t="n"/>
      <c r="AN865" s="692" t="n"/>
      <c r="AO865" s="692" t="n"/>
      <c r="AP865" s="692" t="n"/>
    </row>
    <row r="866">
      <c r="A866" s="692" t="n"/>
      <c r="B866" s="692" t="n"/>
      <c r="C866" s="692" t="n"/>
      <c r="D866" s="692" t="n"/>
      <c r="E866" s="692" t="n"/>
      <c r="F866" s="692" t="n"/>
      <c r="G866" s="692" t="n"/>
      <c r="H866" s="692" t="n"/>
      <c r="I866" s="692" t="n"/>
      <c r="J866" s="692" t="n"/>
      <c r="K866" s="692" t="n"/>
      <c r="L866" s="692" t="n"/>
      <c r="M866" s="692" t="n"/>
      <c r="N866" s="692" t="n"/>
      <c r="O866" s="692" t="n"/>
      <c r="P866" s="692" t="n"/>
      <c r="Q866" s="692" t="n"/>
      <c r="R866" s="692" t="n"/>
      <c r="S866" s="692" t="n"/>
      <c r="T866" s="692" t="n"/>
      <c r="U866" s="692" t="n"/>
      <c r="V866" s="692" t="n"/>
      <c r="W866" s="692" t="n"/>
      <c r="X866" s="692" t="n"/>
      <c r="Y866" s="692" t="n"/>
      <c r="Z866" s="692" t="n"/>
      <c r="AA866" s="692" t="n"/>
      <c r="AB866" s="692" t="n"/>
      <c r="AC866" s="692" t="n"/>
      <c r="AD866" s="692" t="n"/>
      <c r="AE866" s="692" t="n"/>
      <c r="AF866" s="692" t="n"/>
      <c r="AG866" s="692" t="n"/>
      <c r="AH866" s="692" t="n"/>
      <c r="AI866" s="692" t="n"/>
      <c r="AJ866" s="692" t="n"/>
      <c r="AK866" s="692" t="n"/>
      <c r="AL866" s="692" t="n"/>
      <c r="AM866" s="692" t="n"/>
      <c r="AN866" s="692" t="n"/>
      <c r="AO866" s="692" t="n"/>
      <c r="AP866" s="692" t="n"/>
    </row>
    <row r="867">
      <c r="A867" s="692" t="n"/>
      <c r="B867" s="692" t="n"/>
      <c r="C867" s="692" t="n"/>
      <c r="D867" s="692" t="n"/>
      <c r="E867" s="692" t="n"/>
      <c r="F867" s="692" t="n"/>
      <c r="G867" s="692" t="n"/>
      <c r="H867" s="692" t="n"/>
      <c r="I867" s="692" t="n"/>
      <c r="J867" s="692" t="n"/>
      <c r="K867" s="692" t="n"/>
      <c r="L867" s="692" t="n"/>
      <c r="M867" s="692" t="n"/>
      <c r="N867" s="692" t="n"/>
      <c r="O867" s="692" t="n"/>
      <c r="P867" s="692" t="n"/>
      <c r="Q867" s="692" t="n"/>
      <c r="R867" s="692" t="n"/>
      <c r="S867" s="692" t="n"/>
      <c r="T867" s="692" t="n"/>
      <c r="U867" s="692" t="n"/>
      <c r="V867" s="692" t="n"/>
      <c r="W867" s="692" t="n"/>
      <c r="X867" s="692" t="n"/>
      <c r="Y867" s="692" t="n"/>
      <c r="Z867" s="692" t="n"/>
      <c r="AA867" s="692" t="n"/>
      <c r="AB867" s="692" t="n"/>
      <c r="AC867" s="692" t="n"/>
      <c r="AD867" s="692" t="n"/>
      <c r="AE867" s="692" t="n"/>
      <c r="AF867" s="692" t="n"/>
      <c r="AG867" s="692" t="n"/>
      <c r="AH867" s="692" t="n"/>
      <c r="AI867" s="692" t="n"/>
      <c r="AJ867" s="692" t="n"/>
      <c r="AK867" s="692" t="n"/>
      <c r="AL867" s="692" t="n"/>
      <c r="AM867" s="692" t="n"/>
      <c r="AN867" s="692" t="n"/>
      <c r="AO867" s="692" t="n"/>
      <c r="AP867" s="692" t="n"/>
    </row>
    <row r="868">
      <c r="A868" s="692" t="n"/>
      <c r="B868" s="692" t="n"/>
      <c r="C868" s="692" t="n"/>
      <c r="D868" s="692" t="n"/>
      <c r="E868" s="692" t="n"/>
      <c r="F868" s="692" t="n"/>
      <c r="G868" s="692" t="n"/>
      <c r="H868" s="692" t="n"/>
      <c r="I868" s="692" t="n"/>
      <c r="J868" s="692" t="n"/>
      <c r="K868" s="692" t="n"/>
      <c r="L868" s="692" t="n"/>
      <c r="M868" s="692" t="n"/>
      <c r="N868" s="692" t="n"/>
      <c r="O868" s="692" t="n"/>
      <c r="P868" s="692" t="n"/>
      <c r="Q868" s="692" t="n"/>
      <c r="R868" s="692" t="n"/>
      <c r="S868" s="692" t="n"/>
      <c r="T868" s="692" t="n"/>
      <c r="U868" s="692" t="n"/>
      <c r="V868" s="692" t="n"/>
      <c r="W868" s="692" t="n"/>
      <c r="X868" s="692" t="n"/>
      <c r="Y868" s="692" t="n"/>
      <c r="Z868" s="692" t="n"/>
      <c r="AA868" s="692" t="n"/>
      <c r="AB868" s="692" t="n"/>
      <c r="AC868" s="692" t="n"/>
      <c r="AD868" s="692" t="n"/>
      <c r="AE868" s="692" t="n"/>
      <c r="AF868" s="692" t="n"/>
      <c r="AG868" s="692" t="n"/>
      <c r="AH868" s="692" t="n"/>
      <c r="AI868" s="692" t="n"/>
      <c r="AJ868" s="692" t="n"/>
      <c r="AK868" s="692" t="n"/>
      <c r="AL868" s="692" t="n"/>
      <c r="AM868" s="692" t="n"/>
      <c r="AN868" s="692" t="n"/>
      <c r="AO868" s="692" t="n"/>
      <c r="AP868" s="692" t="n"/>
    </row>
    <row r="869">
      <c r="A869" s="692" t="n"/>
      <c r="B869" s="692" t="n"/>
      <c r="C869" s="692" t="n"/>
      <c r="D869" s="692" t="n"/>
      <c r="E869" s="692" t="n"/>
      <c r="F869" s="692" t="n"/>
      <c r="G869" s="692" t="n"/>
      <c r="H869" s="692" t="n"/>
      <c r="I869" s="692" t="n"/>
      <c r="J869" s="692" t="n"/>
      <c r="K869" s="692" t="n"/>
      <c r="L869" s="692" t="n"/>
      <c r="M869" s="692" t="n"/>
      <c r="N869" s="692" t="n"/>
      <c r="O869" s="692" t="n"/>
      <c r="P869" s="692" t="n"/>
      <c r="Q869" s="692" t="n"/>
      <c r="R869" s="692" t="n"/>
      <c r="S869" s="692" t="n"/>
      <c r="T869" s="692" t="n"/>
      <c r="U869" s="692" t="n"/>
      <c r="V869" s="692" t="n"/>
      <c r="W869" s="692" t="n"/>
      <c r="X869" s="692" t="n"/>
      <c r="Y869" s="692" t="n"/>
      <c r="Z869" s="692" t="n"/>
      <c r="AA869" s="692" t="n"/>
      <c r="AB869" s="692" t="n"/>
      <c r="AC869" s="692" t="n"/>
      <c r="AD869" s="692" t="n"/>
      <c r="AE869" s="692" t="n"/>
      <c r="AF869" s="692" t="n"/>
      <c r="AG869" s="692" t="n"/>
      <c r="AH869" s="692" t="n"/>
      <c r="AI869" s="692" t="n"/>
      <c r="AJ869" s="692" t="n"/>
      <c r="AK869" s="692" t="n"/>
      <c r="AL869" s="692" t="n"/>
      <c r="AM869" s="692" t="n"/>
      <c r="AN869" s="692" t="n"/>
      <c r="AO869" s="692" t="n"/>
      <c r="AP869" s="692" t="n"/>
    </row>
    <row r="870">
      <c r="A870" s="692" t="n"/>
      <c r="B870" s="692" t="n"/>
      <c r="C870" s="692" t="n"/>
      <c r="D870" s="692" t="n"/>
      <c r="E870" s="692" t="n"/>
      <c r="F870" s="692" t="n"/>
      <c r="G870" s="692" t="n"/>
      <c r="H870" s="692" t="n"/>
      <c r="I870" s="692" t="n"/>
      <c r="J870" s="692" t="n"/>
      <c r="K870" s="692" t="n"/>
      <c r="L870" s="692" t="n"/>
      <c r="M870" s="692" t="n"/>
      <c r="N870" s="692" t="n"/>
      <c r="O870" s="692" t="n"/>
      <c r="P870" s="692" t="n"/>
      <c r="Q870" s="692" t="n"/>
      <c r="R870" s="692" t="n"/>
      <c r="S870" s="692" t="n"/>
      <c r="T870" s="692" t="n"/>
      <c r="U870" s="692" t="n"/>
      <c r="V870" s="692" t="n"/>
      <c r="W870" s="692" t="n"/>
      <c r="X870" s="692" t="n"/>
      <c r="Y870" s="692" t="n"/>
      <c r="Z870" s="692" t="n"/>
      <c r="AA870" s="692" t="n"/>
      <c r="AB870" s="692" t="n"/>
      <c r="AC870" s="692" t="n"/>
      <c r="AD870" s="692" t="n"/>
      <c r="AE870" s="692" t="n"/>
      <c r="AF870" s="692" t="n"/>
      <c r="AG870" s="692" t="n"/>
      <c r="AH870" s="692" t="n"/>
      <c r="AI870" s="692" t="n"/>
      <c r="AJ870" s="692" t="n"/>
      <c r="AK870" s="692" t="n"/>
      <c r="AL870" s="692" t="n"/>
      <c r="AM870" s="692" t="n"/>
      <c r="AN870" s="692" t="n"/>
      <c r="AO870" s="692" t="n"/>
      <c r="AP870" s="692" t="n"/>
    </row>
    <row r="871">
      <c r="A871" s="692" t="n"/>
      <c r="B871" s="692" t="n"/>
      <c r="C871" s="692" t="n"/>
      <c r="D871" s="692" t="n"/>
      <c r="E871" s="692" t="n"/>
      <c r="F871" s="692" t="n"/>
      <c r="G871" s="692" t="n"/>
      <c r="H871" s="692" t="n"/>
      <c r="I871" s="692" t="n"/>
      <c r="J871" s="692" t="n"/>
      <c r="K871" s="692" t="n"/>
      <c r="L871" s="692" t="n"/>
      <c r="M871" s="692" t="n"/>
      <c r="N871" s="692" t="n"/>
      <c r="O871" s="692" t="n"/>
      <c r="P871" s="692" t="n"/>
      <c r="Q871" s="692" t="n"/>
      <c r="R871" s="692" t="n"/>
      <c r="S871" s="692" t="n"/>
      <c r="T871" s="692" t="n"/>
      <c r="U871" s="692" t="n"/>
      <c r="V871" s="692" t="n"/>
      <c r="W871" s="692" t="n"/>
      <c r="X871" s="692" t="n"/>
      <c r="Y871" s="692" t="n"/>
      <c r="Z871" s="692" t="n"/>
      <c r="AA871" s="692" t="n"/>
      <c r="AB871" s="692" t="n"/>
      <c r="AC871" s="692" t="n"/>
      <c r="AD871" s="692" t="n"/>
      <c r="AE871" s="692" t="n"/>
      <c r="AF871" s="692" t="n"/>
      <c r="AG871" s="692" t="n"/>
      <c r="AH871" s="692" t="n"/>
      <c r="AI871" s="692" t="n"/>
      <c r="AJ871" s="692" t="n"/>
      <c r="AK871" s="692" t="n"/>
      <c r="AL871" s="692" t="n"/>
      <c r="AM871" s="692" t="n"/>
      <c r="AN871" s="692" t="n"/>
      <c r="AO871" s="692" t="n"/>
      <c r="AP871" s="692" t="n"/>
    </row>
    <row r="872">
      <c r="A872" s="692" t="n"/>
      <c r="B872" s="692" t="n"/>
      <c r="C872" s="692" t="n"/>
      <c r="D872" s="692" t="n"/>
      <c r="E872" s="692" t="n"/>
      <c r="F872" s="692" t="n"/>
      <c r="G872" s="692" t="n"/>
      <c r="H872" s="692" t="n"/>
      <c r="I872" s="692" t="n"/>
      <c r="J872" s="692" t="n"/>
      <c r="K872" s="692" t="n"/>
      <c r="L872" s="692" t="n"/>
      <c r="M872" s="692" t="n"/>
      <c r="N872" s="692" t="n"/>
      <c r="O872" s="692" t="n"/>
      <c r="P872" s="692" t="n"/>
      <c r="Q872" s="692" t="n"/>
      <c r="R872" s="692" t="n"/>
      <c r="S872" s="692" t="n"/>
      <c r="T872" s="692" t="n"/>
      <c r="U872" s="692" t="n"/>
      <c r="V872" s="692" t="n"/>
      <c r="W872" s="692" t="n"/>
      <c r="X872" s="692" t="n"/>
      <c r="Y872" s="692" t="n"/>
      <c r="Z872" s="692" t="n"/>
      <c r="AA872" s="692" t="n"/>
      <c r="AB872" s="692" t="n"/>
      <c r="AC872" s="692" t="n"/>
      <c r="AD872" s="692" t="n"/>
      <c r="AE872" s="692" t="n"/>
      <c r="AF872" s="692" t="n"/>
      <c r="AG872" s="692" t="n"/>
      <c r="AH872" s="692" t="n"/>
      <c r="AI872" s="692" t="n"/>
      <c r="AJ872" s="692" t="n"/>
      <c r="AK872" s="692" t="n"/>
      <c r="AL872" s="692" t="n"/>
      <c r="AM872" s="692" t="n"/>
      <c r="AN872" s="692" t="n"/>
      <c r="AO872" s="692" t="n"/>
      <c r="AP872" s="692" t="n"/>
    </row>
    <row r="873">
      <c r="A873" s="692" t="n"/>
      <c r="B873" s="692" t="n"/>
      <c r="C873" s="692" t="n"/>
      <c r="D873" s="692" t="n"/>
      <c r="E873" s="692" t="n"/>
      <c r="F873" s="692" t="n"/>
      <c r="G873" s="692" t="n"/>
      <c r="H873" s="692" t="n"/>
      <c r="I873" s="692" t="n"/>
      <c r="J873" s="692" t="n"/>
      <c r="K873" s="692" t="n"/>
      <c r="L873" s="692" t="n"/>
      <c r="M873" s="692" t="n"/>
      <c r="N873" s="692" t="n"/>
      <c r="O873" s="692" t="n"/>
      <c r="P873" s="692" t="n"/>
      <c r="Q873" s="692" t="n"/>
      <c r="R873" s="692" t="n"/>
      <c r="S873" s="692" t="n"/>
      <c r="T873" s="692" t="n"/>
      <c r="U873" s="692" t="n"/>
      <c r="V873" s="692" t="n"/>
      <c r="W873" s="692" t="n"/>
      <c r="X873" s="692" t="n"/>
      <c r="Y873" s="692" t="n"/>
      <c r="Z873" s="692" t="n"/>
      <c r="AA873" s="692" t="n"/>
      <c r="AB873" s="692" t="n"/>
      <c r="AC873" s="692" t="n"/>
      <c r="AD873" s="692" t="n"/>
      <c r="AE873" s="692" t="n"/>
      <c r="AF873" s="692" t="n"/>
      <c r="AG873" s="692" t="n"/>
      <c r="AH873" s="692" t="n"/>
      <c r="AI873" s="692" t="n"/>
      <c r="AJ873" s="692" t="n"/>
      <c r="AK873" s="692" t="n"/>
      <c r="AL873" s="692" t="n"/>
      <c r="AM873" s="692" t="n"/>
      <c r="AN873" s="692" t="n"/>
      <c r="AO873" s="692" t="n"/>
      <c r="AP873" s="692" t="n"/>
    </row>
    <row r="874">
      <c r="A874" s="692" t="n"/>
      <c r="B874" s="692" t="n"/>
      <c r="C874" s="692" t="n"/>
      <c r="D874" s="692" t="n"/>
      <c r="E874" s="692" t="n"/>
      <c r="F874" s="692" t="n"/>
      <c r="G874" s="692" t="n"/>
      <c r="H874" s="692" t="n"/>
      <c r="I874" s="692" t="n"/>
      <c r="J874" s="692" t="n"/>
      <c r="K874" s="692" t="n"/>
      <c r="L874" s="692" t="n"/>
      <c r="M874" s="692" t="n"/>
      <c r="N874" s="692" t="n"/>
      <c r="O874" s="692" t="n"/>
      <c r="P874" s="692" t="n"/>
      <c r="Q874" s="692" t="n"/>
      <c r="R874" s="692" t="n"/>
      <c r="S874" s="692" t="n"/>
      <c r="T874" s="692" t="n"/>
      <c r="U874" s="692" t="n"/>
      <c r="V874" s="692" t="n"/>
      <c r="W874" s="692" t="n"/>
      <c r="X874" s="692" t="n"/>
      <c r="Y874" s="692" t="n"/>
      <c r="Z874" s="692" t="n"/>
      <c r="AA874" s="692" t="n"/>
      <c r="AB874" s="692" t="n"/>
      <c r="AC874" s="692" t="n"/>
      <c r="AD874" s="692" t="n"/>
      <c r="AE874" s="692" t="n"/>
      <c r="AF874" s="692" t="n"/>
      <c r="AG874" s="692" t="n"/>
      <c r="AH874" s="692" t="n"/>
      <c r="AI874" s="692" t="n"/>
      <c r="AJ874" s="692" t="n"/>
      <c r="AK874" s="692" t="n"/>
      <c r="AL874" s="692" t="n"/>
      <c r="AM874" s="692" t="n"/>
      <c r="AN874" s="692" t="n"/>
      <c r="AO874" s="692" t="n"/>
      <c r="AP874" s="692" t="n"/>
    </row>
    <row r="875">
      <c r="A875" s="692" t="n"/>
      <c r="B875" s="692" t="n"/>
      <c r="C875" s="692" t="n"/>
      <c r="D875" s="692" t="n"/>
      <c r="E875" s="692" t="n"/>
      <c r="F875" s="692" t="n"/>
      <c r="G875" s="692" t="n"/>
      <c r="H875" s="692" t="n"/>
      <c r="I875" s="692" t="n"/>
      <c r="J875" s="692" t="n"/>
      <c r="K875" s="692" t="n"/>
      <c r="L875" s="692" t="n"/>
      <c r="M875" s="692" t="n"/>
      <c r="N875" s="692" t="n"/>
      <c r="O875" s="692" t="n"/>
      <c r="P875" s="692" t="n"/>
      <c r="Q875" s="692" t="n"/>
      <c r="R875" s="692" t="n"/>
      <c r="S875" s="692" t="n"/>
      <c r="T875" s="692" t="n"/>
      <c r="U875" s="692" t="n"/>
      <c r="V875" s="692" t="n"/>
      <c r="W875" s="692" t="n"/>
      <c r="X875" s="692" t="n"/>
      <c r="Y875" s="692" t="n"/>
      <c r="Z875" s="692" t="n"/>
      <c r="AA875" s="692" t="n"/>
      <c r="AB875" s="692" t="n"/>
      <c r="AC875" s="692" t="n"/>
      <c r="AD875" s="692" t="n"/>
      <c r="AE875" s="692" t="n"/>
      <c r="AF875" s="692" t="n"/>
      <c r="AG875" s="692" t="n"/>
      <c r="AH875" s="692" t="n"/>
      <c r="AI875" s="692" t="n"/>
      <c r="AJ875" s="692" t="n"/>
      <c r="AK875" s="692" t="n"/>
      <c r="AL875" s="692" t="n"/>
      <c r="AM875" s="692" t="n"/>
      <c r="AN875" s="692" t="n"/>
      <c r="AO875" s="692" t="n"/>
      <c r="AP875" s="692" t="n"/>
    </row>
    <row r="876">
      <c r="A876" s="692" t="n"/>
      <c r="B876" s="692" t="n"/>
      <c r="C876" s="692" t="n"/>
      <c r="D876" s="692" t="n"/>
      <c r="E876" s="692" t="n"/>
      <c r="F876" s="692" t="n"/>
      <c r="G876" s="692" t="n"/>
      <c r="H876" s="692" t="n"/>
      <c r="I876" s="692" t="n"/>
      <c r="J876" s="692" t="n"/>
      <c r="K876" s="692" t="n"/>
      <c r="L876" s="692" t="n"/>
      <c r="M876" s="692" t="n"/>
      <c r="N876" s="692" t="n"/>
      <c r="O876" s="692" t="n"/>
      <c r="P876" s="692" t="n"/>
      <c r="Q876" s="692" t="n"/>
      <c r="R876" s="692" t="n"/>
      <c r="S876" s="692" t="n"/>
      <c r="T876" s="692" t="n"/>
      <c r="U876" s="692" t="n"/>
      <c r="V876" s="692" t="n"/>
      <c r="W876" s="692" t="n"/>
      <c r="X876" s="692" t="n"/>
      <c r="Y876" s="692" t="n"/>
      <c r="Z876" s="692" t="n"/>
      <c r="AA876" s="692" t="n"/>
      <c r="AB876" s="692" t="n"/>
      <c r="AC876" s="692" t="n"/>
      <c r="AD876" s="692" t="n"/>
      <c r="AE876" s="692" t="n"/>
      <c r="AF876" s="692" t="n"/>
      <c r="AG876" s="692" t="n"/>
      <c r="AH876" s="692" t="n"/>
      <c r="AI876" s="692" t="n"/>
      <c r="AJ876" s="692" t="n"/>
      <c r="AK876" s="692" t="n"/>
      <c r="AL876" s="692" t="n"/>
      <c r="AM876" s="692" t="n"/>
      <c r="AN876" s="692" t="n"/>
      <c r="AO876" s="692" t="n"/>
      <c r="AP876" s="692" t="n"/>
    </row>
    <row r="877">
      <c r="A877" s="692" t="n"/>
      <c r="B877" s="692" t="n"/>
      <c r="C877" s="692" t="n"/>
      <c r="D877" s="692" t="n"/>
      <c r="E877" s="692" t="n"/>
      <c r="F877" s="692" t="n"/>
      <c r="G877" s="692" t="n"/>
      <c r="H877" s="692" t="n"/>
      <c r="I877" s="692" t="n"/>
      <c r="J877" s="692" t="n"/>
      <c r="K877" s="692" t="n"/>
      <c r="L877" s="692" t="n"/>
      <c r="M877" s="692" t="n"/>
      <c r="N877" s="692" t="n"/>
      <c r="O877" s="692" t="n"/>
      <c r="P877" s="692" t="n"/>
      <c r="Q877" s="692" t="n"/>
      <c r="R877" s="692" t="n"/>
      <c r="S877" s="692" t="n"/>
      <c r="T877" s="692" t="n"/>
      <c r="U877" s="692" t="n"/>
      <c r="V877" s="692" t="n"/>
      <c r="W877" s="692" t="n"/>
      <c r="X877" s="692" t="n"/>
      <c r="Y877" s="692" t="n"/>
      <c r="Z877" s="692" t="n"/>
      <c r="AA877" s="692" t="n"/>
      <c r="AB877" s="692" t="n"/>
      <c r="AC877" s="692" t="n"/>
      <c r="AD877" s="692" t="n"/>
      <c r="AE877" s="692" t="n"/>
      <c r="AF877" s="692" t="n"/>
      <c r="AG877" s="692" t="n"/>
      <c r="AH877" s="692" t="n"/>
      <c r="AI877" s="692" t="n"/>
      <c r="AJ877" s="692" t="n"/>
      <c r="AK877" s="692" t="n"/>
      <c r="AL877" s="692" t="n"/>
      <c r="AM877" s="692" t="n"/>
      <c r="AN877" s="692" t="n"/>
      <c r="AO877" s="692" t="n"/>
      <c r="AP877" s="692" t="n"/>
    </row>
    <row r="878">
      <c r="A878" s="692" t="n"/>
      <c r="B878" s="692" t="n"/>
      <c r="C878" s="692" t="n"/>
      <c r="D878" s="692" t="n"/>
      <c r="E878" s="692" t="n"/>
      <c r="F878" s="692" t="n"/>
      <c r="G878" s="692" t="n"/>
      <c r="H878" s="692" t="n"/>
      <c r="I878" s="692" t="n"/>
      <c r="J878" s="692" t="n"/>
      <c r="K878" s="692" t="n"/>
      <c r="L878" s="692" t="n"/>
      <c r="M878" s="692" t="n"/>
      <c r="N878" s="692" t="n"/>
      <c r="O878" s="692" t="n"/>
      <c r="P878" s="692" t="n"/>
      <c r="Q878" s="692" t="n"/>
      <c r="R878" s="692" t="n"/>
      <c r="S878" s="692" t="n"/>
      <c r="T878" s="692" t="n"/>
      <c r="U878" s="692" t="n"/>
      <c r="V878" s="692" t="n"/>
      <c r="W878" s="692" t="n"/>
      <c r="X878" s="692" t="n"/>
      <c r="Y878" s="692" t="n"/>
      <c r="Z878" s="692" t="n"/>
      <c r="AA878" s="692" t="n"/>
      <c r="AB878" s="692" t="n"/>
      <c r="AC878" s="692" t="n"/>
      <c r="AD878" s="692" t="n"/>
      <c r="AE878" s="692" t="n"/>
      <c r="AF878" s="692" t="n"/>
      <c r="AG878" s="692" t="n"/>
      <c r="AH878" s="692" t="n"/>
      <c r="AI878" s="692" t="n"/>
      <c r="AJ878" s="692" t="n"/>
      <c r="AK878" s="692" t="n"/>
      <c r="AL878" s="692" t="n"/>
      <c r="AM878" s="692" t="n"/>
      <c r="AN878" s="692" t="n"/>
      <c r="AO878" s="692" t="n"/>
      <c r="AP878" s="692" t="n"/>
    </row>
    <row r="879">
      <c r="A879" s="692" t="n"/>
      <c r="B879" s="692" t="n"/>
      <c r="C879" s="692" t="n"/>
      <c r="D879" s="692" t="n"/>
      <c r="E879" s="692" t="n"/>
      <c r="F879" s="692" t="n"/>
      <c r="G879" s="692" t="n"/>
      <c r="H879" s="692" t="n"/>
      <c r="I879" s="692" t="n"/>
      <c r="J879" s="692" t="n"/>
      <c r="K879" s="692" t="n"/>
      <c r="L879" s="692" t="n"/>
      <c r="M879" s="692" t="n"/>
      <c r="N879" s="692" t="n"/>
      <c r="O879" s="692" t="n"/>
      <c r="P879" s="692" t="n"/>
      <c r="Q879" s="692" t="n"/>
      <c r="R879" s="692" t="n"/>
      <c r="S879" s="692" t="n"/>
      <c r="T879" s="692" t="n"/>
      <c r="U879" s="692" t="n"/>
      <c r="V879" s="692" t="n"/>
      <c r="W879" s="692" t="n"/>
      <c r="X879" s="692" t="n"/>
      <c r="Y879" s="692" t="n"/>
      <c r="Z879" s="692" t="n"/>
      <c r="AA879" s="692" t="n"/>
      <c r="AB879" s="692" t="n"/>
      <c r="AC879" s="692" t="n"/>
      <c r="AD879" s="692" t="n"/>
      <c r="AE879" s="692" t="n"/>
      <c r="AF879" s="692" t="n"/>
      <c r="AG879" s="692" t="n"/>
      <c r="AH879" s="692" t="n"/>
      <c r="AI879" s="692" t="n"/>
      <c r="AJ879" s="692" t="n"/>
      <c r="AK879" s="692" t="n"/>
      <c r="AL879" s="692" t="n"/>
      <c r="AM879" s="692" t="n"/>
      <c r="AN879" s="692" t="n"/>
      <c r="AO879" s="692" t="n"/>
      <c r="AP879" s="692" t="n"/>
    </row>
    <row r="880">
      <c r="A880" s="692" t="n"/>
      <c r="B880" s="692" t="n"/>
      <c r="C880" s="692" t="n"/>
      <c r="D880" s="692" t="n"/>
      <c r="E880" s="692" t="n"/>
      <c r="F880" s="692" t="n"/>
      <c r="G880" s="692" t="n"/>
      <c r="H880" s="692" t="n"/>
      <c r="I880" s="692" t="n"/>
      <c r="J880" s="692" t="n"/>
      <c r="K880" s="692" t="n"/>
      <c r="L880" s="692" t="n"/>
      <c r="M880" s="692" t="n"/>
      <c r="N880" s="692" t="n"/>
      <c r="O880" s="692" t="n"/>
      <c r="P880" s="692" t="n"/>
      <c r="Q880" s="692" t="n"/>
      <c r="R880" s="692" t="n"/>
      <c r="S880" s="692" t="n"/>
      <c r="T880" s="692" t="n"/>
      <c r="U880" s="692" t="n"/>
      <c r="V880" s="692" t="n"/>
      <c r="W880" s="692" t="n"/>
      <c r="X880" s="692" t="n"/>
      <c r="Y880" s="692" t="n"/>
      <c r="Z880" s="692" t="n"/>
      <c r="AA880" s="692" t="n"/>
      <c r="AB880" s="692" t="n"/>
      <c r="AC880" s="692" t="n"/>
      <c r="AD880" s="692" t="n"/>
      <c r="AE880" s="692" t="n"/>
      <c r="AF880" s="692" t="n"/>
      <c r="AG880" s="692" t="n"/>
      <c r="AH880" s="692" t="n"/>
      <c r="AI880" s="692" t="n"/>
      <c r="AJ880" s="692" t="n"/>
      <c r="AK880" s="692" t="n"/>
      <c r="AL880" s="692" t="n"/>
      <c r="AM880" s="692" t="n"/>
      <c r="AN880" s="692" t="n"/>
      <c r="AO880" s="692" t="n"/>
      <c r="AP880" s="692" t="n"/>
    </row>
    <row r="881">
      <c r="A881" s="692" t="n"/>
      <c r="B881" s="692" t="n"/>
      <c r="C881" s="692" t="n"/>
      <c r="D881" s="692" t="n"/>
      <c r="E881" s="692" t="n"/>
      <c r="F881" s="692" t="n"/>
      <c r="G881" s="692" t="n"/>
      <c r="H881" s="692" t="n"/>
      <c r="I881" s="692" t="n"/>
      <c r="J881" s="692" t="n"/>
      <c r="K881" s="692" t="n"/>
      <c r="L881" s="692" t="n"/>
      <c r="M881" s="692" t="n"/>
      <c r="N881" s="692" t="n"/>
      <c r="O881" s="692" t="n"/>
      <c r="P881" s="692" t="n"/>
      <c r="Q881" s="692" t="n"/>
      <c r="R881" s="692" t="n"/>
      <c r="S881" s="692" t="n"/>
      <c r="T881" s="692" t="n"/>
      <c r="U881" s="692" t="n"/>
      <c r="V881" s="692" t="n"/>
      <c r="W881" s="692" t="n"/>
      <c r="X881" s="692" t="n"/>
      <c r="Y881" s="692" t="n"/>
      <c r="Z881" s="692" t="n"/>
      <c r="AA881" s="692" t="n"/>
      <c r="AB881" s="692" t="n"/>
      <c r="AC881" s="692" t="n"/>
      <c r="AD881" s="692" t="n"/>
      <c r="AE881" s="692" t="n"/>
      <c r="AF881" s="692" t="n"/>
      <c r="AG881" s="692" t="n"/>
      <c r="AH881" s="692" t="n"/>
      <c r="AI881" s="692" t="n"/>
      <c r="AJ881" s="692" t="n"/>
      <c r="AK881" s="692" t="n"/>
      <c r="AL881" s="692" t="n"/>
      <c r="AM881" s="692" t="n"/>
      <c r="AN881" s="692" t="n"/>
      <c r="AO881" s="692" t="n"/>
      <c r="AP881" s="692" t="n"/>
    </row>
    <row r="882">
      <c r="A882" s="692" t="n"/>
      <c r="B882" s="692" t="n"/>
      <c r="C882" s="692" t="n"/>
      <c r="D882" s="692" t="n"/>
      <c r="E882" s="692" t="n"/>
      <c r="F882" s="692" t="n"/>
      <c r="G882" s="692" t="n"/>
      <c r="H882" s="692" t="n"/>
      <c r="I882" s="692" t="n"/>
      <c r="J882" s="692" t="n"/>
      <c r="K882" s="692" t="n"/>
      <c r="L882" s="692" t="n"/>
      <c r="M882" s="692" t="n"/>
      <c r="N882" s="692" t="n"/>
      <c r="O882" s="692" t="n"/>
      <c r="P882" s="692" t="n"/>
      <c r="Q882" s="692" t="n"/>
      <c r="R882" s="692" t="n"/>
      <c r="S882" s="692" t="n"/>
      <c r="T882" s="692" t="n"/>
      <c r="U882" s="692" t="n"/>
      <c r="V882" s="692" t="n"/>
      <c r="W882" s="692" t="n"/>
      <c r="X882" s="692" t="n"/>
      <c r="Y882" s="692" t="n"/>
      <c r="Z882" s="692" t="n"/>
      <c r="AA882" s="692" t="n"/>
      <c r="AB882" s="692" t="n"/>
      <c r="AC882" s="692" t="n"/>
      <c r="AD882" s="692" t="n"/>
      <c r="AE882" s="692" t="n"/>
      <c r="AF882" s="692" t="n"/>
      <c r="AG882" s="692" t="n"/>
      <c r="AH882" s="692" t="n"/>
      <c r="AI882" s="692" t="n"/>
      <c r="AJ882" s="692" t="n"/>
      <c r="AK882" s="692" t="n"/>
      <c r="AL882" s="692" t="n"/>
      <c r="AM882" s="692" t="n"/>
      <c r="AN882" s="692" t="n"/>
      <c r="AO882" s="692" t="n"/>
      <c r="AP882" s="692" t="n"/>
    </row>
    <row r="883">
      <c r="A883" s="692" t="n"/>
      <c r="B883" s="692" t="n"/>
      <c r="C883" s="692" t="n"/>
      <c r="D883" s="692" t="n"/>
      <c r="E883" s="692" t="n"/>
      <c r="F883" s="692" t="n"/>
      <c r="G883" s="692" t="n"/>
      <c r="H883" s="692" t="n"/>
      <c r="I883" s="692" t="n"/>
      <c r="J883" s="692" t="n"/>
      <c r="K883" s="692" t="n"/>
      <c r="L883" s="692" t="n"/>
      <c r="M883" s="692" t="n"/>
      <c r="N883" s="692" t="n"/>
      <c r="O883" s="692" t="n"/>
      <c r="P883" s="692" t="n"/>
      <c r="Q883" s="692" t="n"/>
      <c r="R883" s="692" t="n"/>
      <c r="S883" s="692" t="n"/>
      <c r="T883" s="692" t="n"/>
      <c r="U883" s="692" t="n"/>
      <c r="V883" s="692" t="n"/>
      <c r="W883" s="692" t="n"/>
      <c r="X883" s="692" t="n"/>
      <c r="Y883" s="692" t="n"/>
      <c r="Z883" s="692" t="n"/>
      <c r="AA883" s="692" t="n"/>
      <c r="AB883" s="692" t="n"/>
      <c r="AC883" s="692" t="n"/>
      <c r="AD883" s="692" t="n"/>
      <c r="AE883" s="692" t="n"/>
      <c r="AF883" s="692" t="n"/>
      <c r="AG883" s="692" t="n"/>
      <c r="AH883" s="692" t="n"/>
      <c r="AI883" s="692" t="n"/>
      <c r="AJ883" s="692" t="n"/>
      <c r="AK883" s="692" t="n"/>
      <c r="AL883" s="692" t="n"/>
      <c r="AM883" s="692" t="n"/>
      <c r="AN883" s="692" t="n"/>
      <c r="AO883" s="692" t="n"/>
      <c r="AP883" s="692" t="n"/>
    </row>
    <row r="884">
      <c r="A884" s="692" t="n"/>
      <c r="B884" s="692" t="n"/>
      <c r="C884" s="692" t="n"/>
      <c r="D884" s="692" t="n"/>
      <c r="E884" s="692" t="n"/>
      <c r="F884" s="692" t="n"/>
      <c r="G884" s="692" t="n"/>
      <c r="H884" s="692" t="n"/>
      <c r="I884" s="692" t="n"/>
      <c r="J884" s="692" t="n"/>
      <c r="K884" s="692" t="n"/>
      <c r="L884" s="692" t="n"/>
      <c r="M884" s="692" t="n"/>
      <c r="N884" s="692" t="n"/>
      <c r="O884" s="692" t="n"/>
      <c r="P884" s="692" t="n"/>
      <c r="Q884" s="692" t="n"/>
      <c r="R884" s="692" t="n"/>
      <c r="S884" s="692" t="n"/>
      <c r="T884" s="692" t="n"/>
      <c r="U884" s="692" t="n"/>
      <c r="V884" s="692" t="n"/>
      <c r="W884" s="692" t="n"/>
      <c r="X884" s="692" t="n"/>
      <c r="Y884" s="692" t="n"/>
      <c r="Z884" s="692" t="n"/>
      <c r="AA884" s="692" t="n"/>
      <c r="AB884" s="692" t="n"/>
      <c r="AC884" s="692" t="n"/>
      <c r="AD884" s="692" t="n"/>
      <c r="AE884" s="692" t="n"/>
      <c r="AF884" s="692" t="n"/>
      <c r="AG884" s="692" t="n"/>
      <c r="AH884" s="692" t="n"/>
      <c r="AI884" s="692" t="n"/>
      <c r="AJ884" s="692" t="n"/>
      <c r="AK884" s="692" t="n"/>
      <c r="AL884" s="692" t="n"/>
      <c r="AM884" s="692" t="n"/>
      <c r="AN884" s="692" t="n"/>
      <c r="AO884" s="692" t="n"/>
      <c r="AP884" s="692" t="n"/>
    </row>
    <row r="885">
      <c r="A885" s="692" t="n"/>
      <c r="B885" s="692" t="n"/>
      <c r="C885" s="692" t="n"/>
      <c r="D885" s="692" t="n"/>
      <c r="E885" s="692" t="n"/>
      <c r="F885" s="692" t="n"/>
      <c r="G885" s="692" t="n"/>
      <c r="H885" s="692" t="n"/>
      <c r="I885" s="692" t="n"/>
      <c r="J885" s="692" t="n"/>
      <c r="K885" s="692" t="n"/>
      <c r="L885" s="692" t="n"/>
      <c r="M885" s="692" t="n"/>
      <c r="N885" s="692" t="n"/>
      <c r="O885" s="692" t="n"/>
      <c r="P885" s="692" t="n"/>
      <c r="Q885" s="692" t="n"/>
      <c r="R885" s="692" t="n"/>
      <c r="S885" s="692" t="n"/>
      <c r="T885" s="692" t="n"/>
      <c r="U885" s="692" t="n"/>
      <c r="V885" s="692" t="n"/>
      <c r="W885" s="692" t="n"/>
      <c r="X885" s="692" t="n"/>
      <c r="Y885" s="692" t="n"/>
      <c r="Z885" s="692" t="n"/>
      <c r="AA885" s="692" t="n"/>
      <c r="AB885" s="692" t="n"/>
      <c r="AC885" s="692" t="n"/>
      <c r="AD885" s="692" t="n"/>
      <c r="AE885" s="692" t="n"/>
      <c r="AF885" s="692" t="n"/>
      <c r="AG885" s="692" t="n"/>
      <c r="AH885" s="692" t="n"/>
      <c r="AI885" s="692" t="n"/>
      <c r="AJ885" s="692" t="n"/>
      <c r="AK885" s="692" t="n"/>
      <c r="AL885" s="692" t="n"/>
      <c r="AM885" s="692" t="n"/>
      <c r="AN885" s="692" t="n"/>
      <c r="AO885" s="692" t="n"/>
      <c r="AP885" s="692" t="n"/>
    </row>
    <row r="886">
      <c r="A886" s="692" t="n"/>
      <c r="B886" s="692" t="n"/>
      <c r="C886" s="692" t="n"/>
      <c r="D886" s="692" t="n"/>
      <c r="E886" s="692" t="n"/>
      <c r="F886" s="692" t="n"/>
      <c r="G886" s="692" t="n"/>
      <c r="H886" s="692" t="n"/>
      <c r="I886" s="692" t="n"/>
      <c r="J886" s="692" t="n"/>
      <c r="K886" s="692" t="n"/>
      <c r="L886" s="692" t="n"/>
      <c r="M886" s="692" t="n"/>
      <c r="N886" s="692" t="n"/>
      <c r="O886" s="692" t="n"/>
      <c r="P886" s="692" t="n"/>
      <c r="Q886" s="692" t="n"/>
      <c r="R886" s="692" t="n"/>
      <c r="S886" s="692" t="n"/>
      <c r="T886" s="692" t="n"/>
      <c r="U886" s="692" t="n"/>
      <c r="V886" s="692" t="n"/>
      <c r="W886" s="692" t="n"/>
      <c r="X886" s="692" t="n"/>
      <c r="Y886" s="692" t="n"/>
      <c r="Z886" s="692" t="n"/>
      <c r="AA886" s="692" t="n"/>
      <c r="AB886" s="692" t="n"/>
      <c r="AC886" s="692" t="n"/>
      <c r="AD886" s="692" t="n"/>
      <c r="AE886" s="692" t="n"/>
      <c r="AF886" s="692" t="n"/>
      <c r="AG886" s="692" t="n"/>
      <c r="AH886" s="692" t="n"/>
      <c r="AI886" s="692" t="n"/>
      <c r="AJ886" s="692" t="n"/>
      <c r="AK886" s="692" t="n"/>
      <c r="AL886" s="692" t="n"/>
      <c r="AM886" s="692" t="n"/>
      <c r="AN886" s="692" t="n"/>
      <c r="AO886" s="692" t="n"/>
      <c r="AP886" s="692" t="n"/>
    </row>
    <row r="887">
      <c r="A887" s="692" t="n"/>
      <c r="B887" s="692" t="n"/>
      <c r="C887" s="692" t="n"/>
      <c r="D887" s="692" t="n"/>
      <c r="E887" s="692" t="n"/>
      <c r="F887" s="692" t="n"/>
      <c r="G887" s="692" t="n"/>
      <c r="H887" s="692" t="n"/>
      <c r="I887" s="692" t="n"/>
      <c r="J887" s="692" t="n"/>
      <c r="K887" s="692" t="n"/>
      <c r="L887" s="692" t="n"/>
      <c r="M887" s="692" t="n"/>
      <c r="N887" s="692" t="n"/>
      <c r="O887" s="692" t="n"/>
      <c r="P887" s="692" t="n"/>
      <c r="Q887" s="692" t="n"/>
      <c r="R887" s="692" t="n"/>
      <c r="S887" s="692" t="n"/>
      <c r="T887" s="692" t="n"/>
      <c r="U887" s="692" t="n"/>
      <c r="V887" s="692" t="n"/>
      <c r="W887" s="692" t="n"/>
      <c r="X887" s="692" t="n"/>
      <c r="Y887" s="692" t="n"/>
      <c r="Z887" s="692" t="n"/>
      <c r="AA887" s="692" t="n"/>
      <c r="AB887" s="692" t="n"/>
      <c r="AC887" s="692" t="n"/>
      <c r="AD887" s="692" t="n"/>
      <c r="AE887" s="692" t="n"/>
      <c r="AF887" s="692" t="n"/>
      <c r="AG887" s="692" t="n"/>
      <c r="AH887" s="692" t="n"/>
      <c r="AI887" s="692" t="n"/>
      <c r="AJ887" s="692" t="n"/>
      <c r="AK887" s="692" t="n"/>
      <c r="AL887" s="692" t="n"/>
      <c r="AM887" s="692" t="n"/>
      <c r="AN887" s="692" t="n"/>
      <c r="AO887" s="692" t="n"/>
      <c r="AP887" s="692" t="n"/>
    </row>
    <row r="888">
      <c r="A888" s="692" t="n"/>
      <c r="B888" s="692" t="n"/>
      <c r="C888" s="692" t="n"/>
      <c r="D888" s="692" t="n"/>
      <c r="E888" s="692" t="n"/>
      <c r="F888" s="692" t="n"/>
      <c r="G888" s="692" t="n"/>
      <c r="H888" s="692" t="n"/>
      <c r="I888" s="692" t="n"/>
      <c r="J888" s="692" t="n"/>
      <c r="K888" s="692" t="n"/>
      <c r="L888" s="692" t="n"/>
      <c r="M888" s="692" t="n"/>
      <c r="N888" s="692" t="n"/>
      <c r="O888" s="692" t="n"/>
      <c r="P888" s="692" t="n"/>
      <c r="Q888" s="692" t="n"/>
      <c r="R888" s="692" t="n"/>
      <c r="S888" s="692" t="n"/>
      <c r="T888" s="692" t="n"/>
      <c r="U888" s="692" t="n"/>
      <c r="V888" s="692" t="n"/>
      <c r="W888" s="692" t="n"/>
      <c r="X888" s="692" t="n"/>
      <c r="Y888" s="692" t="n"/>
      <c r="Z888" s="692" t="n"/>
      <c r="AA888" s="692" t="n"/>
      <c r="AB888" s="692" t="n"/>
      <c r="AC888" s="692" t="n"/>
      <c r="AD888" s="692" t="n"/>
      <c r="AE888" s="692" t="n"/>
      <c r="AF888" s="692" t="n"/>
      <c r="AG888" s="692" t="n"/>
      <c r="AH888" s="692" t="n"/>
      <c r="AI888" s="692" t="n"/>
      <c r="AJ888" s="692" t="n"/>
      <c r="AK888" s="692" t="n"/>
      <c r="AL888" s="692" t="n"/>
      <c r="AM888" s="692" t="n"/>
      <c r="AN888" s="692" t="n"/>
      <c r="AO888" s="692" t="n"/>
      <c r="AP888" s="692" t="n"/>
    </row>
    <row r="889">
      <c r="A889" s="692" t="n"/>
      <c r="B889" s="692" t="n"/>
      <c r="C889" s="692" t="n"/>
      <c r="D889" s="692" t="n"/>
      <c r="E889" s="692" t="n"/>
      <c r="F889" s="692" t="n"/>
      <c r="G889" s="692" t="n"/>
      <c r="H889" s="692" t="n"/>
      <c r="I889" s="692" t="n"/>
      <c r="J889" s="692" t="n"/>
      <c r="K889" s="692" t="n"/>
      <c r="L889" s="692" t="n"/>
      <c r="M889" s="692" t="n"/>
      <c r="N889" s="692" t="n"/>
      <c r="O889" s="692" t="n"/>
      <c r="P889" s="692" t="n"/>
      <c r="Q889" s="692" t="n"/>
      <c r="R889" s="692" t="n"/>
      <c r="S889" s="692" t="n"/>
      <c r="T889" s="692" t="n"/>
      <c r="U889" s="692" t="n"/>
      <c r="V889" s="692" t="n"/>
      <c r="W889" s="692" t="n"/>
      <c r="X889" s="692" t="n"/>
      <c r="Y889" s="692" t="n"/>
      <c r="Z889" s="692" t="n"/>
      <c r="AA889" s="692" t="n"/>
      <c r="AB889" s="692" t="n"/>
      <c r="AC889" s="692" t="n"/>
      <c r="AD889" s="692" t="n"/>
      <c r="AE889" s="692" t="n"/>
      <c r="AF889" s="692" t="n"/>
      <c r="AG889" s="692" t="n"/>
      <c r="AH889" s="692" t="n"/>
      <c r="AI889" s="692" t="n"/>
      <c r="AJ889" s="692" t="n"/>
      <c r="AK889" s="692" t="n"/>
      <c r="AL889" s="692" t="n"/>
      <c r="AM889" s="692" t="n"/>
      <c r="AN889" s="692" t="n"/>
      <c r="AO889" s="692" t="n"/>
      <c r="AP889" s="692" t="n"/>
    </row>
    <row r="890">
      <c r="A890" s="692" t="n"/>
      <c r="B890" s="692" t="n"/>
      <c r="C890" s="692" t="n"/>
      <c r="D890" s="692" t="n"/>
      <c r="E890" s="692" t="n"/>
      <c r="F890" s="692" t="n"/>
      <c r="G890" s="692" t="n"/>
      <c r="H890" s="692" t="n"/>
      <c r="I890" s="692" t="n"/>
      <c r="J890" s="692" t="n"/>
      <c r="K890" s="692" t="n"/>
      <c r="L890" s="692" t="n"/>
      <c r="M890" s="692" t="n"/>
      <c r="N890" s="692" t="n"/>
      <c r="O890" s="692" t="n"/>
      <c r="P890" s="692" t="n"/>
      <c r="Q890" s="692" t="n"/>
      <c r="R890" s="692" t="n"/>
      <c r="S890" s="692" t="n"/>
      <c r="T890" s="692" t="n"/>
      <c r="U890" s="692" t="n"/>
      <c r="V890" s="692" t="n"/>
      <c r="W890" s="692" t="n"/>
      <c r="X890" s="692" t="n"/>
      <c r="Y890" s="692" t="n"/>
      <c r="Z890" s="692" t="n"/>
      <c r="AA890" s="692" t="n"/>
      <c r="AB890" s="692" t="n"/>
      <c r="AC890" s="692" t="n"/>
      <c r="AD890" s="692" t="n"/>
      <c r="AE890" s="692" t="n"/>
      <c r="AF890" s="692" t="n"/>
      <c r="AG890" s="692" t="n"/>
      <c r="AH890" s="692" t="n"/>
      <c r="AI890" s="692" t="n"/>
      <c r="AJ890" s="692" t="n"/>
      <c r="AK890" s="692" t="n"/>
      <c r="AL890" s="692" t="n"/>
      <c r="AM890" s="692" t="n"/>
      <c r="AN890" s="692" t="n"/>
      <c r="AO890" s="692" t="n"/>
      <c r="AP890" s="692" t="n"/>
    </row>
    <row r="891">
      <c r="A891" s="692" t="n"/>
      <c r="B891" s="692" t="n"/>
      <c r="C891" s="692" t="n"/>
      <c r="D891" s="692" t="n"/>
      <c r="E891" s="692" t="n"/>
      <c r="F891" s="692" t="n"/>
      <c r="G891" s="692" t="n"/>
      <c r="H891" s="692" t="n"/>
      <c r="I891" s="692" t="n"/>
      <c r="J891" s="692" t="n"/>
      <c r="K891" s="692" t="n"/>
      <c r="L891" s="692" t="n"/>
      <c r="M891" s="692" t="n"/>
      <c r="N891" s="692" t="n"/>
      <c r="O891" s="692" t="n"/>
      <c r="P891" s="692" t="n"/>
      <c r="Q891" s="692" t="n"/>
      <c r="R891" s="692" t="n"/>
      <c r="S891" s="692" t="n"/>
      <c r="T891" s="692" t="n"/>
      <c r="U891" s="692" t="n"/>
      <c r="V891" s="692" t="n"/>
      <c r="W891" s="692" t="n"/>
      <c r="X891" s="692" t="n"/>
      <c r="Y891" s="692" t="n"/>
      <c r="Z891" s="692" t="n"/>
      <c r="AA891" s="692" t="n"/>
      <c r="AB891" s="692" t="n"/>
      <c r="AC891" s="692" t="n"/>
      <c r="AD891" s="692" t="n"/>
      <c r="AE891" s="692" t="n"/>
      <c r="AF891" s="692" t="n"/>
      <c r="AG891" s="692" t="n"/>
      <c r="AH891" s="692" t="n"/>
      <c r="AI891" s="692" t="n"/>
      <c r="AJ891" s="692" t="n"/>
      <c r="AK891" s="692" t="n"/>
      <c r="AL891" s="692" t="n"/>
      <c r="AM891" s="692" t="n"/>
      <c r="AN891" s="692" t="n"/>
      <c r="AO891" s="692" t="n"/>
      <c r="AP891" s="692" t="n"/>
    </row>
    <row r="892">
      <c r="A892" s="692" t="n"/>
      <c r="B892" s="692" t="n"/>
      <c r="C892" s="692" t="n"/>
      <c r="D892" s="692" t="n"/>
      <c r="E892" s="692" t="n"/>
      <c r="F892" s="692" t="n"/>
      <c r="G892" s="692" t="n"/>
      <c r="H892" s="692" t="n"/>
      <c r="I892" s="692" t="n"/>
      <c r="J892" s="692" t="n"/>
      <c r="K892" s="692" t="n"/>
      <c r="L892" s="692" t="n"/>
      <c r="M892" s="692" t="n"/>
      <c r="N892" s="692" t="n"/>
      <c r="O892" s="692" t="n"/>
      <c r="P892" s="692" t="n"/>
      <c r="Q892" s="692" t="n"/>
      <c r="R892" s="692" t="n"/>
      <c r="S892" s="692" t="n"/>
      <c r="T892" s="692" t="n"/>
      <c r="U892" s="692" t="n"/>
      <c r="V892" s="692" t="n"/>
      <c r="W892" s="692" t="n"/>
      <c r="X892" s="692" t="n"/>
      <c r="Y892" s="692" t="n"/>
      <c r="Z892" s="692" t="n"/>
      <c r="AA892" s="692" t="n"/>
      <c r="AB892" s="692" t="n"/>
      <c r="AC892" s="692" t="n"/>
      <c r="AD892" s="692" t="n"/>
      <c r="AE892" s="692" t="n"/>
      <c r="AF892" s="692" t="n"/>
      <c r="AG892" s="692" t="n"/>
      <c r="AH892" s="692" t="n"/>
      <c r="AI892" s="692" t="n"/>
      <c r="AJ892" s="692" t="n"/>
      <c r="AK892" s="692" t="n"/>
      <c r="AL892" s="692" t="n"/>
      <c r="AM892" s="692" t="n"/>
      <c r="AN892" s="692" t="n"/>
      <c r="AO892" s="692" t="n"/>
      <c r="AP892" s="692" t="n"/>
    </row>
    <row r="893">
      <c r="A893" s="692" t="n"/>
      <c r="B893" s="692" t="n"/>
      <c r="C893" s="692" t="n"/>
      <c r="D893" s="692" t="n"/>
      <c r="E893" s="692" t="n"/>
      <c r="F893" s="692" t="n"/>
      <c r="G893" s="692" t="n"/>
      <c r="H893" s="692" t="n"/>
      <c r="I893" s="692" t="n"/>
      <c r="J893" s="692" t="n"/>
      <c r="K893" s="692" t="n"/>
      <c r="L893" s="692" t="n"/>
      <c r="M893" s="692" t="n"/>
      <c r="N893" s="692" t="n"/>
      <c r="O893" s="692" t="n"/>
      <c r="P893" s="692" t="n"/>
      <c r="Q893" s="692" t="n"/>
      <c r="R893" s="692" t="n"/>
      <c r="S893" s="692" t="n"/>
      <c r="T893" s="692" t="n"/>
      <c r="U893" s="692" t="n"/>
      <c r="V893" s="692" t="n"/>
      <c r="W893" s="692" t="n"/>
      <c r="X893" s="692" t="n"/>
      <c r="Y893" s="692" t="n"/>
      <c r="Z893" s="692" t="n"/>
      <c r="AA893" s="692" t="n"/>
      <c r="AB893" s="692" t="n"/>
      <c r="AC893" s="692" t="n"/>
      <c r="AD893" s="692" t="n"/>
      <c r="AE893" s="692" t="n"/>
      <c r="AF893" s="692" t="n"/>
      <c r="AG893" s="692" t="n"/>
      <c r="AH893" s="692" t="n"/>
      <c r="AI893" s="692" t="n"/>
      <c r="AJ893" s="692" t="n"/>
      <c r="AK893" s="692" t="n"/>
      <c r="AL893" s="692" t="n"/>
      <c r="AM893" s="692" t="n"/>
      <c r="AN893" s="692" t="n"/>
      <c r="AO893" s="692" t="n"/>
      <c r="AP893" s="692" t="n"/>
    </row>
    <row r="894">
      <c r="A894" s="692" t="n"/>
      <c r="B894" s="692" t="n"/>
      <c r="C894" s="692" t="n"/>
      <c r="D894" s="692" t="n"/>
      <c r="E894" s="692" t="n"/>
      <c r="F894" s="692" t="n"/>
      <c r="G894" s="692" t="n"/>
      <c r="H894" s="692" t="n"/>
      <c r="I894" s="692" t="n"/>
      <c r="J894" s="692" t="n"/>
      <c r="K894" s="692" t="n"/>
      <c r="L894" s="692" t="n"/>
      <c r="M894" s="692" t="n"/>
      <c r="N894" s="692" t="n"/>
      <c r="O894" s="692" t="n"/>
      <c r="P894" s="692" t="n"/>
      <c r="Q894" s="692" t="n"/>
      <c r="R894" s="692" t="n"/>
      <c r="S894" s="692" t="n"/>
      <c r="T894" s="692" t="n"/>
      <c r="U894" s="692" t="n"/>
      <c r="V894" s="692" t="n"/>
      <c r="W894" s="692" t="n"/>
      <c r="X894" s="692" t="n"/>
      <c r="Y894" s="692" t="n"/>
      <c r="Z894" s="692" t="n"/>
      <c r="AA894" s="692" t="n"/>
      <c r="AB894" s="692" t="n"/>
      <c r="AC894" s="692" t="n"/>
      <c r="AD894" s="692" t="n"/>
      <c r="AE894" s="692" t="n"/>
      <c r="AF894" s="692" t="n"/>
      <c r="AG894" s="692" t="n"/>
      <c r="AH894" s="692" t="n"/>
      <c r="AI894" s="692" t="n"/>
      <c r="AJ894" s="692" t="n"/>
      <c r="AK894" s="692" t="n"/>
      <c r="AL894" s="692" t="n"/>
      <c r="AM894" s="692" t="n"/>
      <c r="AN894" s="692" t="n"/>
      <c r="AO894" s="692" t="n"/>
      <c r="AP894" s="692" t="n"/>
    </row>
    <row r="895">
      <c r="A895" s="692" t="n"/>
      <c r="B895" s="692" t="n"/>
      <c r="C895" s="692" t="n"/>
      <c r="D895" s="692" t="n"/>
      <c r="E895" s="692" t="n"/>
      <c r="F895" s="692" t="n"/>
      <c r="G895" s="692" t="n"/>
      <c r="H895" s="692" t="n"/>
      <c r="I895" s="692" t="n"/>
      <c r="J895" s="692" t="n"/>
      <c r="K895" s="692" t="n"/>
      <c r="L895" s="692" t="n"/>
      <c r="M895" s="692" t="n"/>
      <c r="N895" s="692" t="n"/>
      <c r="O895" s="692" t="n"/>
      <c r="P895" s="692" t="n"/>
      <c r="Q895" s="692" t="n"/>
      <c r="R895" s="692" t="n"/>
      <c r="S895" s="692" t="n"/>
      <c r="T895" s="692" t="n"/>
      <c r="U895" s="692" t="n"/>
      <c r="V895" s="692" t="n"/>
      <c r="W895" s="692" t="n"/>
      <c r="X895" s="692" t="n"/>
      <c r="Y895" s="692" t="n"/>
      <c r="Z895" s="692" t="n"/>
      <c r="AA895" s="692" t="n"/>
      <c r="AB895" s="692" t="n"/>
      <c r="AC895" s="692" t="n"/>
      <c r="AD895" s="692" t="n"/>
      <c r="AE895" s="692" t="n"/>
      <c r="AF895" s="692" t="n"/>
      <c r="AG895" s="692" t="n"/>
      <c r="AH895" s="692" t="n"/>
      <c r="AI895" s="692" t="n"/>
      <c r="AJ895" s="692" t="n"/>
      <c r="AK895" s="692" t="n"/>
      <c r="AL895" s="692" t="n"/>
      <c r="AM895" s="692" t="n"/>
      <c r="AN895" s="692" t="n"/>
      <c r="AO895" s="692" t="n"/>
      <c r="AP895" s="692" t="n"/>
    </row>
    <row r="896">
      <c r="A896" s="692" t="n"/>
      <c r="B896" s="692" t="n"/>
      <c r="C896" s="692" t="n"/>
      <c r="D896" s="692" t="n"/>
      <c r="E896" s="692" t="n"/>
      <c r="F896" s="692" t="n"/>
      <c r="G896" s="692" t="n"/>
      <c r="H896" s="692" t="n"/>
      <c r="I896" s="692" t="n"/>
      <c r="J896" s="692" t="n"/>
      <c r="K896" s="692" t="n"/>
      <c r="L896" s="692" t="n"/>
      <c r="M896" s="692" t="n"/>
      <c r="N896" s="692" t="n"/>
      <c r="O896" s="692" t="n"/>
      <c r="P896" s="692" t="n"/>
      <c r="Q896" s="692" t="n"/>
      <c r="R896" s="692" t="n"/>
      <c r="S896" s="692" t="n"/>
      <c r="T896" s="692" t="n"/>
      <c r="U896" s="692" t="n"/>
      <c r="V896" s="692" t="n"/>
      <c r="W896" s="692" t="n"/>
      <c r="X896" s="692" t="n"/>
      <c r="Y896" s="692" t="n"/>
      <c r="Z896" s="692" t="n"/>
      <c r="AA896" s="692" t="n"/>
      <c r="AB896" s="692" t="n"/>
      <c r="AC896" s="692" t="n"/>
      <c r="AD896" s="692" t="n"/>
      <c r="AE896" s="692" t="n"/>
      <c r="AF896" s="692" t="n"/>
      <c r="AG896" s="692" t="n"/>
      <c r="AH896" s="692" t="n"/>
      <c r="AI896" s="692" t="n"/>
      <c r="AJ896" s="692" t="n"/>
      <c r="AK896" s="692" t="n"/>
      <c r="AL896" s="692" t="n"/>
      <c r="AM896" s="692" t="n"/>
      <c r="AN896" s="692" t="n"/>
      <c r="AO896" s="692" t="n"/>
      <c r="AP896" s="692" t="n"/>
    </row>
    <row r="897">
      <c r="A897" s="692" t="n"/>
      <c r="B897" s="692" t="n"/>
      <c r="C897" s="692" t="n"/>
      <c r="D897" s="692" t="n"/>
      <c r="E897" s="692" t="n"/>
      <c r="F897" s="692" t="n"/>
      <c r="G897" s="692" t="n"/>
      <c r="H897" s="692" t="n"/>
      <c r="I897" s="692" t="n"/>
      <c r="J897" s="692" t="n"/>
      <c r="K897" s="692" t="n"/>
      <c r="L897" s="692" t="n"/>
      <c r="M897" s="692" t="n"/>
      <c r="N897" s="692" t="n"/>
      <c r="O897" s="692" t="n"/>
      <c r="P897" s="692" t="n"/>
      <c r="Q897" s="692" t="n"/>
      <c r="R897" s="692" t="n"/>
      <c r="S897" s="692" t="n"/>
      <c r="T897" s="692" t="n"/>
      <c r="U897" s="692" t="n"/>
      <c r="V897" s="692" t="n"/>
      <c r="W897" s="692" t="n"/>
      <c r="X897" s="692" t="n"/>
      <c r="Y897" s="692" t="n"/>
      <c r="Z897" s="692" t="n"/>
      <c r="AA897" s="692" t="n"/>
      <c r="AB897" s="692" t="n"/>
      <c r="AC897" s="692" t="n"/>
      <c r="AD897" s="692" t="n"/>
      <c r="AE897" s="692" t="n"/>
      <c r="AF897" s="692" t="n"/>
      <c r="AG897" s="692" t="n"/>
      <c r="AH897" s="692" t="n"/>
      <c r="AI897" s="692" t="n"/>
      <c r="AJ897" s="692" t="n"/>
      <c r="AK897" s="692" t="n"/>
      <c r="AL897" s="692" t="n"/>
      <c r="AM897" s="692" t="n"/>
      <c r="AN897" s="692" t="n"/>
      <c r="AO897" s="692" t="n"/>
      <c r="AP897" s="692" t="n"/>
    </row>
    <row r="898">
      <c r="A898" s="692" t="n"/>
      <c r="B898" s="692" t="n"/>
      <c r="C898" s="692" t="n"/>
      <c r="D898" s="692" t="n"/>
      <c r="E898" s="692" t="n"/>
      <c r="F898" s="692" t="n"/>
      <c r="G898" s="692" t="n"/>
      <c r="H898" s="692" t="n"/>
      <c r="I898" s="692" t="n"/>
      <c r="J898" s="692" t="n"/>
      <c r="K898" s="692" t="n"/>
      <c r="L898" s="692" t="n"/>
      <c r="M898" s="692" t="n"/>
      <c r="N898" s="692" t="n"/>
      <c r="O898" s="692" t="n"/>
      <c r="P898" s="692" t="n"/>
      <c r="Q898" s="692" t="n"/>
      <c r="R898" s="692" t="n"/>
      <c r="S898" s="692" t="n"/>
      <c r="T898" s="692" t="n"/>
      <c r="U898" s="692" t="n"/>
      <c r="V898" s="692" t="n"/>
      <c r="W898" s="692" t="n"/>
      <c r="X898" s="692" t="n"/>
      <c r="Y898" s="692" t="n"/>
      <c r="Z898" s="692" t="n"/>
      <c r="AA898" s="692" t="n"/>
      <c r="AB898" s="692" t="n"/>
      <c r="AC898" s="692" t="n"/>
      <c r="AD898" s="692" t="n"/>
      <c r="AE898" s="692" t="n"/>
      <c r="AF898" s="692" t="n"/>
      <c r="AG898" s="692" t="n"/>
      <c r="AH898" s="692" t="n"/>
      <c r="AI898" s="692" t="n"/>
      <c r="AJ898" s="692" t="n"/>
      <c r="AK898" s="692" t="n"/>
      <c r="AL898" s="692" t="n"/>
      <c r="AM898" s="692" t="n"/>
      <c r="AN898" s="692" t="n"/>
      <c r="AO898" s="692" t="n"/>
      <c r="AP898" s="692" t="n"/>
    </row>
    <row r="899">
      <c r="A899" s="692" t="n"/>
      <c r="B899" s="692" t="n"/>
      <c r="C899" s="692" t="n"/>
      <c r="D899" s="692" t="n"/>
      <c r="E899" s="692" t="n"/>
      <c r="F899" s="692" t="n"/>
      <c r="G899" s="692" t="n"/>
      <c r="H899" s="692" t="n"/>
      <c r="I899" s="692" t="n"/>
      <c r="J899" s="692" t="n"/>
      <c r="K899" s="692" t="n"/>
      <c r="L899" s="692" t="n"/>
      <c r="M899" s="692" t="n"/>
      <c r="N899" s="692" t="n"/>
      <c r="O899" s="692" t="n"/>
      <c r="P899" s="692" t="n"/>
      <c r="Q899" s="692" t="n"/>
      <c r="R899" s="692" t="n"/>
      <c r="S899" s="692" t="n"/>
      <c r="T899" s="692" t="n"/>
      <c r="U899" s="692" t="n"/>
      <c r="V899" s="692" t="n"/>
      <c r="W899" s="692" t="n"/>
      <c r="X899" s="692" t="n"/>
      <c r="Y899" s="692" t="n"/>
      <c r="Z899" s="692" t="n"/>
      <c r="AA899" s="692" t="n"/>
      <c r="AB899" s="692" t="n"/>
      <c r="AC899" s="692" t="n"/>
      <c r="AD899" s="692" t="n"/>
      <c r="AE899" s="692" t="n"/>
      <c r="AF899" s="692" t="n"/>
      <c r="AG899" s="692" t="n"/>
      <c r="AH899" s="692" t="n"/>
      <c r="AI899" s="692" t="n"/>
      <c r="AJ899" s="692" t="n"/>
      <c r="AK899" s="692" t="n"/>
      <c r="AL899" s="692" t="n"/>
      <c r="AM899" s="692" t="n"/>
      <c r="AN899" s="692" t="n"/>
      <c r="AO899" s="692" t="n"/>
      <c r="AP899" s="692" t="n"/>
    </row>
    <row r="900">
      <c r="A900" s="692" t="n"/>
      <c r="B900" s="692" t="n"/>
      <c r="C900" s="692" t="n"/>
      <c r="D900" s="692" t="n"/>
      <c r="E900" s="692" t="n"/>
      <c r="F900" s="692" t="n"/>
      <c r="G900" s="692" t="n"/>
      <c r="H900" s="692" t="n"/>
      <c r="I900" s="692" t="n"/>
      <c r="J900" s="692" t="n"/>
      <c r="K900" s="692" t="n"/>
      <c r="L900" s="692" t="n"/>
      <c r="M900" s="692" t="n"/>
      <c r="N900" s="692" t="n"/>
      <c r="O900" s="692" t="n"/>
      <c r="P900" s="692" t="n"/>
      <c r="Q900" s="692" t="n"/>
      <c r="R900" s="692" t="n"/>
      <c r="S900" s="692" t="n"/>
      <c r="T900" s="692" t="n"/>
      <c r="U900" s="692" t="n"/>
      <c r="V900" s="692" t="n"/>
      <c r="W900" s="692" t="n"/>
      <c r="X900" s="692" t="n"/>
      <c r="Y900" s="692" t="n"/>
      <c r="Z900" s="692" t="n"/>
      <c r="AA900" s="692" t="n"/>
      <c r="AB900" s="692" t="n"/>
      <c r="AC900" s="692" t="n"/>
      <c r="AD900" s="692" t="n"/>
      <c r="AE900" s="692" t="n"/>
      <c r="AF900" s="692" t="n"/>
      <c r="AG900" s="692" t="n"/>
      <c r="AH900" s="692" t="n"/>
      <c r="AI900" s="692" t="n"/>
      <c r="AJ900" s="692" t="n"/>
      <c r="AK900" s="692" t="n"/>
      <c r="AL900" s="692" t="n"/>
      <c r="AM900" s="692" t="n"/>
      <c r="AN900" s="692" t="n"/>
      <c r="AO900" s="692" t="n"/>
      <c r="AP900" s="692" t="n"/>
    </row>
    <row r="901">
      <c r="A901" s="692" t="n"/>
      <c r="B901" s="692" t="n"/>
      <c r="C901" s="692" t="n"/>
      <c r="D901" s="692" t="n"/>
      <c r="E901" s="692" t="n"/>
      <c r="F901" s="692" t="n"/>
      <c r="G901" s="692" t="n"/>
      <c r="H901" s="692" t="n"/>
      <c r="I901" s="692" t="n"/>
      <c r="J901" s="692" t="n"/>
      <c r="K901" s="692" t="n"/>
      <c r="L901" s="692" t="n"/>
      <c r="M901" s="692" t="n"/>
      <c r="N901" s="692" t="n"/>
      <c r="O901" s="692" t="n"/>
      <c r="P901" s="692" t="n"/>
      <c r="Q901" s="692" t="n"/>
      <c r="R901" s="692" t="n"/>
      <c r="S901" s="692" t="n"/>
      <c r="T901" s="692" t="n"/>
      <c r="U901" s="692" t="n"/>
      <c r="V901" s="692" t="n"/>
      <c r="W901" s="692" t="n"/>
      <c r="X901" s="692" t="n"/>
      <c r="Y901" s="692" t="n"/>
      <c r="Z901" s="692" t="n"/>
      <c r="AA901" s="692" t="n"/>
      <c r="AB901" s="692" t="n"/>
      <c r="AC901" s="692" t="n"/>
      <c r="AD901" s="692" t="n"/>
      <c r="AE901" s="692" t="n"/>
      <c r="AF901" s="692" t="n"/>
      <c r="AG901" s="692" t="n"/>
      <c r="AH901" s="692" t="n"/>
      <c r="AI901" s="692" t="n"/>
      <c r="AJ901" s="692" t="n"/>
      <c r="AK901" s="692" t="n"/>
      <c r="AL901" s="692" t="n"/>
      <c r="AM901" s="692" t="n"/>
      <c r="AN901" s="692" t="n"/>
      <c r="AO901" s="692" t="n"/>
      <c r="AP901" s="692" t="n"/>
    </row>
    <row r="902">
      <c r="A902" s="692" t="n"/>
      <c r="B902" s="692" t="n"/>
      <c r="C902" s="692" t="n"/>
      <c r="D902" s="692" t="n"/>
      <c r="E902" s="692" t="n"/>
      <c r="F902" s="692" t="n"/>
      <c r="G902" s="692" t="n"/>
      <c r="H902" s="692" t="n"/>
      <c r="I902" s="692" t="n"/>
      <c r="J902" s="692" t="n"/>
      <c r="K902" s="692" t="n"/>
      <c r="L902" s="692" t="n"/>
      <c r="M902" s="692" t="n"/>
      <c r="N902" s="692" t="n"/>
      <c r="O902" s="692" t="n"/>
      <c r="P902" s="692" t="n"/>
      <c r="Q902" s="692" t="n"/>
      <c r="R902" s="692" t="n"/>
      <c r="S902" s="692" t="n"/>
      <c r="T902" s="692" t="n"/>
      <c r="U902" s="692" t="n"/>
      <c r="V902" s="692" t="n"/>
      <c r="W902" s="692" t="n"/>
      <c r="X902" s="692" t="n"/>
      <c r="Y902" s="692" t="n"/>
      <c r="Z902" s="692" t="n"/>
      <c r="AA902" s="692" t="n"/>
      <c r="AB902" s="692" t="n"/>
      <c r="AC902" s="692" t="n"/>
      <c r="AD902" s="692" t="n"/>
      <c r="AE902" s="692" t="n"/>
      <c r="AF902" s="692" t="n"/>
      <c r="AG902" s="692" t="n"/>
      <c r="AH902" s="692" t="n"/>
      <c r="AI902" s="692" t="n"/>
      <c r="AJ902" s="692" t="n"/>
      <c r="AK902" s="692" t="n"/>
      <c r="AL902" s="692" t="n"/>
      <c r="AM902" s="692" t="n"/>
      <c r="AN902" s="692" t="n"/>
      <c r="AO902" s="692" t="n"/>
      <c r="AP902" s="692" t="n"/>
    </row>
    <row r="903">
      <c r="A903" s="692" t="n"/>
      <c r="B903" s="692" t="n"/>
      <c r="C903" s="692" t="n"/>
      <c r="D903" s="692" t="n"/>
      <c r="E903" s="692" t="n"/>
      <c r="F903" s="692" t="n"/>
      <c r="G903" s="692" t="n"/>
      <c r="H903" s="692" t="n"/>
      <c r="I903" s="692" t="n"/>
      <c r="J903" s="692" t="n"/>
      <c r="K903" s="692" t="n"/>
      <c r="L903" s="692" t="n"/>
      <c r="M903" s="692" t="n"/>
      <c r="N903" s="692" t="n"/>
      <c r="O903" s="692" t="n"/>
      <c r="P903" s="692" t="n"/>
      <c r="Q903" s="692" t="n"/>
      <c r="R903" s="692" t="n"/>
      <c r="S903" s="692" t="n"/>
      <c r="T903" s="692" t="n"/>
      <c r="U903" s="692" t="n"/>
      <c r="V903" s="692" t="n"/>
      <c r="W903" s="692" t="n"/>
      <c r="X903" s="692" t="n"/>
      <c r="Y903" s="692" t="n"/>
      <c r="Z903" s="692" t="n"/>
      <c r="AA903" s="692" t="n"/>
      <c r="AB903" s="692" t="n"/>
      <c r="AC903" s="692" t="n"/>
      <c r="AD903" s="692" t="n"/>
      <c r="AE903" s="692" t="n"/>
      <c r="AF903" s="692" t="n"/>
      <c r="AG903" s="692" t="n"/>
      <c r="AH903" s="692" t="n"/>
      <c r="AI903" s="692" t="n"/>
      <c r="AJ903" s="692" t="n"/>
      <c r="AK903" s="692" t="n"/>
      <c r="AL903" s="692" t="n"/>
      <c r="AM903" s="692" t="n"/>
      <c r="AN903" s="692" t="n"/>
      <c r="AO903" s="692" t="n"/>
      <c r="AP903" s="692" t="n"/>
    </row>
    <row r="904">
      <c r="A904" s="692" t="n"/>
      <c r="B904" s="692" t="n"/>
      <c r="C904" s="692" t="n"/>
      <c r="D904" s="692" t="n"/>
      <c r="E904" s="692" t="n"/>
      <c r="F904" s="692" t="n"/>
      <c r="G904" s="692" t="n"/>
      <c r="H904" s="692" t="n"/>
      <c r="I904" s="692" t="n"/>
      <c r="J904" s="692" t="n"/>
      <c r="K904" s="692" t="n"/>
      <c r="L904" s="692" t="n"/>
      <c r="M904" s="692" t="n"/>
      <c r="N904" s="692" t="n"/>
      <c r="O904" s="692" t="n"/>
      <c r="P904" s="692" t="n"/>
      <c r="Q904" s="692" t="n"/>
      <c r="R904" s="692" t="n"/>
      <c r="S904" s="692" t="n"/>
      <c r="T904" s="692" t="n"/>
      <c r="U904" s="692" t="n"/>
      <c r="V904" s="692" t="n"/>
      <c r="W904" s="692" t="n"/>
      <c r="X904" s="692" t="n"/>
      <c r="Y904" s="692" t="n"/>
      <c r="Z904" s="692" t="n"/>
      <c r="AA904" s="692" t="n"/>
      <c r="AB904" s="692" t="n"/>
      <c r="AC904" s="692" t="n"/>
      <c r="AD904" s="692" t="n"/>
      <c r="AE904" s="692" t="n"/>
      <c r="AF904" s="692" t="n"/>
      <c r="AG904" s="692" t="n"/>
      <c r="AH904" s="692" t="n"/>
      <c r="AI904" s="692" t="n"/>
      <c r="AJ904" s="692" t="n"/>
      <c r="AK904" s="692" t="n"/>
      <c r="AL904" s="692" t="n"/>
      <c r="AM904" s="692" t="n"/>
      <c r="AN904" s="692" t="n"/>
      <c r="AO904" s="692" t="n"/>
      <c r="AP904" s="692" t="n"/>
    </row>
    <row r="905">
      <c r="A905" s="692" t="n"/>
      <c r="B905" s="692" t="n"/>
      <c r="C905" s="692" t="n"/>
      <c r="D905" s="692" t="n"/>
      <c r="E905" s="692" t="n"/>
      <c r="F905" s="692" t="n"/>
      <c r="G905" s="692" t="n"/>
      <c r="H905" s="692" t="n"/>
      <c r="I905" s="692" t="n"/>
      <c r="J905" s="692" t="n"/>
      <c r="K905" s="692" t="n"/>
      <c r="L905" s="692" t="n"/>
      <c r="M905" s="692" t="n"/>
      <c r="N905" s="692" t="n"/>
      <c r="O905" s="692" t="n"/>
      <c r="P905" s="692" t="n"/>
      <c r="Q905" s="692" t="n"/>
      <c r="R905" s="692" t="n"/>
      <c r="S905" s="692" t="n"/>
      <c r="T905" s="692" t="n"/>
      <c r="U905" s="692" t="n"/>
      <c r="V905" s="692" t="n"/>
      <c r="W905" s="692" t="n"/>
      <c r="X905" s="692" t="n"/>
      <c r="Y905" s="692" t="n"/>
      <c r="Z905" s="692" t="n"/>
      <c r="AA905" s="692" t="n"/>
      <c r="AB905" s="692" t="n"/>
      <c r="AC905" s="692" t="n"/>
      <c r="AD905" s="692" t="n"/>
      <c r="AE905" s="692" t="n"/>
      <c r="AF905" s="692" t="n"/>
      <c r="AG905" s="692" t="n"/>
      <c r="AH905" s="692" t="n"/>
      <c r="AI905" s="692" t="n"/>
      <c r="AJ905" s="692" t="n"/>
      <c r="AK905" s="692" t="n"/>
      <c r="AL905" s="692" t="n"/>
      <c r="AM905" s="692" t="n"/>
      <c r="AN905" s="692" t="n"/>
      <c r="AO905" s="692" t="n"/>
      <c r="AP905" s="692" t="n"/>
    </row>
    <row r="906">
      <c r="A906" s="692" t="n"/>
      <c r="B906" s="692" t="n"/>
      <c r="C906" s="692" t="n"/>
      <c r="D906" s="692" t="n"/>
      <c r="E906" s="692" t="n"/>
      <c r="F906" s="692" t="n"/>
      <c r="G906" s="692" t="n"/>
      <c r="H906" s="692" t="n"/>
      <c r="I906" s="692" t="n"/>
      <c r="J906" s="692" t="n"/>
      <c r="K906" s="692" t="n"/>
      <c r="L906" s="692" t="n"/>
      <c r="M906" s="692" t="n"/>
      <c r="N906" s="692" t="n"/>
      <c r="O906" s="692" t="n"/>
      <c r="P906" s="692" t="n"/>
      <c r="Q906" s="692" t="n"/>
      <c r="R906" s="692" t="n"/>
      <c r="S906" s="692" t="n"/>
      <c r="T906" s="692" t="n"/>
      <c r="U906" s="692" t="n"/>
      <c r="V906" s="692" t="n"/>
      <c r="W906" s="692" t="n"/>
      <c r="X906" s="692" t="n"/>
      <c r="Y906" s="692" t="n"/>
      <c r="Z906" s="692" t="n"/>
      <c r="AA906" s="692" t="n"/>
      <c r="AB906" s="692" t="n"/>
      <c r="AC906" s="692" t="n"/>
      <c r="AD906" s="692" t="n"/>
      <c r="AE906" s="692" t="n"/>
      <c r="AF906" s="692" t="n"/>
      <c r="AG906" s="692" t="n"/>
      <c r="AH906" s="692" t="n"/>
      <c r="AI906" s="692" t="n"/>
      <c r="AJ906" s="692" t="n"/>
      <c r="AK906" s="692" t="n"/>
      <c r="AL906" s="692" t="n"/>
      <c r="AM906" s="692" t="n"/>
      <c r="AN906" s="692" t="n"/>
      <c r="AO906" s="692" t="n"/>
      <c r="AP906" s="692" t="n"/>
    </row>
    <row r="907">
      <c r="A907" s="692" t="n"/>
      <c r="B907" s="692" t="n"/>
      <c r="C907" s="692" t="n"/>
      <c r="D907" s="692" t="n"/>
      <c r="E907" s="692" t="n"/>
      <c r="F907" s="692" t="n"/>
      <c r="G907" s="692" t="n"/>
      <c r="H907" s="692" t="n"/>
      <c r="I907" s="692" t="n"/>
      <c r="J907" s="692" t="n"/>
      <c r="K907" s="692" t="n"/>
      <c r="L907" s="692" t="n"/>
      <c r="M907" s="692" t="n"/>
      <c r="N907" s="692" t="n"/>
      <c r="O907" s="692" t="n"/>
      <c r="P907" s="692" t="n"/>
      <c r="Q907" s="692" t="n"/>
      <c r="R907" s="692" t="n"/>
      <c r="S907" s="692" t="n"/>
      <c r="T907" s="692" t="n"/>
      <c r="U907" s="692" t="n"/>
      <c r="V907" s="692" t="n"/>
      <c r="W907" s="692" t="n"/>
      <c r="X907" s="692" t="n"/>
      <c r="Y907" s="692" t="n"/>
      <c r="Z907" s="692" t="n"/>
      <c r="AA907" s="692" t="n"/>
      <c r="AB907" s="692" t="n"/>
      <c r="AC907" s="692" t="n"/>
      <c r="AD907" s="692" t="n"/>
      <c r="AE907" s="692" t="n"/>
      <c r="AF907" s="692" t="n"/>
      <c r="AG907" s="692" t="n"/>
      <c r="AH907" s="692" t="n"/>
      <c r="AI907" s="692" t="n"/>
      <c r="AJ907" s="692" t="n"/>
      <c r="AK907" s="692" t="n"/>
      <c r="AL907" s="692" t="n"/>
      <c r="AM907" s="692" t="n"/>
      <c r="AN907" s="692" t="n"/>
      <c r="AO907" s="692" t="n"/>
      <c r="AP907" s="692" t="n"/>
    </row>
    <row r="908">
      <c r="A908" s="692" t="n"/>
      <c r="B908" s="692" t="n"/>
      <c r="C908" s="692" t="n"/>
      <c r="D908" s="692" t="n"/>
      <c r="E908" s="692" t="n"/>
      <c r="F908" s="692" t="n"/>
      <c r="G908" s="692" t="n"/>
      <c r="H908" s="692" t="n"/>
      <c r="I908" s="692" t="n"/>
      <c r="J908" s="692" t="n"/>
      <c r="K908" s="692" t="n"/>
      <c r="L908" s="692" t="n"/>
      <c r="M908" s="692" t="n"/>
      <c r="N908" s="692" t="n"/>
      <c r="O908" s="692" t="n"/>
      <c r="P908" s="692" t="n"/>
      <c r="Q908" s="692" t="n"/>
      <c r="R908" s="692" t="n"/>
      <c r="S908" s="692" t="n"/>
      <c r="T908" s="692" t="n"/>
      <c r="U908" s="692" t="n"/>
      <c r="V908" s="692" t="n"/>
      <c r="W908" s="692" t="n"/>
      <c r="X908" s="692" t="n"/>
      <c r="Y908" s="692" t="n"/>
      <c r="Z908" s="692" t="n"/>
      <c r="AA908" s="692" t="n"/>
      <c r="AB908" s="692" t="n"/>
      <c r="AC908" s="692" t="n"/>
      <c r="AD908" s="692" t="n"/>
      <c r="AE908" s="692" t="n"/>
      <c r="AF908" s="692" t="n"/>
      <c r="AG908" s="692" t="n"/>
      <c r="AH908" s="692" t="n"/>
      <c r="AI908" s="692" t="n"/>
      <c r="AJ908" s="692" t="n"/>
      <c r="AK908" s="692" t="n"/>
      <c r="AL908" s="692" t="n"/>
      <c r="AM908" s="692" t="n"/>
      <c r="AN908" s="692" t="n"/>
      <c r="AO908" s="692" t="n"/>
      <c r="AP908" s="692" t="n"/>
    </row>
    <row r="909">
      <c r="A909" s="692" t="n"/>
      <c r="B909" s="692" t="n"/>
      <c r="C909" s="692" t="n"/>
      <c r="D909" s="692" t="n"/>
      <c r="E909" s="692" t="n"/>
      <c r="F909" s="692" t="n"/>
      <c r="G909" s="692" t="n"/>
      <c r="H909" s="692" t="n"/>
      <c r="I909" s="692" t="n"/>
      <c r="J909" s="692" t="n"/>
      <c r="K909" s="692" t="n"/>
      <c r="L909" s="692" t="n"/>
      <c r="M909" s="692" t="n"/>
      <c r="N909" s="692" t="n"/>
      <c r="O909" s="692" t="n"/>
      <c r="P909" s="692" t="n"/>
      <c r="Q909" s="692" t="n"/>
      <c r="R909" s="692" t="n"/>
      <c r="S909" s="692" t="n"/>
      <c r="T909" s="692" t="n"/>
      <c r="U909" s="692" t="n"/>
      <c r="V909" s="692" t="n"/>
      <c r="W909" s="692" t="n"/>
      <c r="X909" s="692" t="n"/>
      <c r="Y909" s="692" t="n"/>
      <c r="Z909" s="692" t="n"/>
      <c r="AA909" s="692" t="n"/>
      <c r="AB909" s="692" t="n"/>
      <c r="AC909" s="692" t="n"/>
      <c r="AD909" s="692" t="n"/>
      <c r="AE909" s="692" t="n"/>
      <c r="AF909" s="692" t="n"/>
      <c r="AG909" s="692" t="n"/>
      <c r="AH909" s="692" t="n"/>
      <c r="AI909" s="692" t="n"/>
      <c r="AJ909" s="692" t="n"/>
      <c r="AK909" s="692" t="n"/>
      <c r="AL909" s="692" t="n"/>
      <c r="AM909" s="692" t="n"/>
      <c r="AN909" s="692" t="n"/>
      <c r="AO909" s="692" t="n"/>
      <c r="AP909" s="692" t="n"/>
    </row>
    <row r="910">
      <c r="A910" s="692" t="n"/>
      <c r="B910" s="692" t="n"/>
      <c r="C910" s="692" t="n"/>
      <c r="D910" s="692" t="n"/>
      <c r="E910" s="692" t="n"/>
      <c r="F910" s="692" t="n"/>
      <c r="G910" s="692" t="n"/>
      <c r="H910" s="692" t="n"/>
      <c r="I910" s="692" t="n"/>
      <c r="J910" s="692" t="n"/>
      <c r="K910" s="692" t="n"/>
      <c r="L910" s="692" t="n"/>
      <c r="M910" s="692" t="n"/>
      <c r="N910" s="692" t="n"/>
      <c r="O910" s="692" t="n"/>
      <c r="P910" s="692" t="n"/>
      <c r="Q910" s="692" t="n"/>
      <c r="R910" s="692" t="n"/>
      <c r="S910" s="692" t="n"/>
      <c r="T910" s="692" t="n"/>
      <c r="U910" s="692" t="n"/>
      <c r="V910" s="692" t="n"/>
      <c r="W910" s="692" t="n"/>
      <c r="X910" s="692" t="n"/>
      <c r="Y910" s="692" t="n"/>
      <c r="Z910" s="692" t="n"/>
      <c r="AA910" s="692" t="n"/>
      <c r="AB910" s="692" t="n"/>
      <c r="AC910" s="692" t="n"/>
      <c r="AD910" s="692" t="n"/>
      <c r="AE910" s="692" t="n"/>
      <c r="AF910" s="692" t="n"/>
      <c r="AG910" s="692" t="n"/>
      <c r="AH910" s="692" t="n"/>
      <c r="AI910" s="692" t="n"/>
      <c r="AJ910" s="692" t="n"/>
      <c r="AK910" s="692" t="n"/>
      <c r="AL910" s="692" t="n"/>
      <c r="AM910" s="692" t="n"/>
      <c r="AN910" s="692" t="n"/>
      <c r="AO910" s="692" t="n"/>
      <c r="AP910" s="692" t="n"/>
    </row>
    <row r="911">
      <c r="A911" s="692" t="n"/>
      <c r="B911" s="692" t="n"/>
      <c r="C911" s="692" t="n"/>
      <c r="D911" s="692" t="n"/>
      <c r="E911" s="692" t="n"/>
      <c r="F911" s="692" t="n"/>
      <c r="G911" s="692" t="n"/>
      <c r="H911" s="692" t="n"/>
      <c r="I911" s="692" t="n"/>
      <c r="J911" s="692" t="n"/>
      <c r="K911" s="692" t="n"/>
      <c r="L911" s="692" t="n"/>
      <c r="M911" s="692" t="n"/>
      <c r="N911" s="692" t="n"/>
      <c r="O911" s="692" t="n"/>
      <c r="P911" s="692" t="n"/>
      <c r="Q911" s="692" t="n"/>
      <c r="R911" s="692" t="n"/>
      <c r="S911" s="692" t="n"/>
      <c r="T911" s="692" t="n"/>
      <c r="U911" s="692" t="n"/>
      <c r="V911" s="692" t="n"/>
      <c r="W911" s="692" t="n"/>
      <c r="X911" s="692" t="n"/>
      <c r="Y911" s="692" t="n"/>
      <c r="Z911" s="692" t="n"/>
      <c r="AA911" s="692" t="n"/>
      <c r="AB911" s="692" t="n"/>
      <c r="AC911" s="692" t="n"/>
      <c r="AD911" s="692" t="n"/>
      <c r="AE911" s="692" t="n"/>
      <c r="AF911" s="692" t="n"/>
      <c r="AG911" s="692" t="n"/>
      <c r="AH911" s="692" t="n"/>
      <c r="AI911" s="692" t="n"/>
      <c r="AJ911" s="692" t="n"/>
      <c r="AK911" s="692" t="n"/>
      <c r="AL911" s="692" t="n"/>
      <c r="AM911" s="692" t="n"/>
      <c r="AN911" s="692" t="n"/>
      <c r="AO911" s="692" t="n"/>
      <c r="AP911" s="692" t="n"/>
    </row>
    <row r="912">
      <c r="A912" s="692" t="n"/>
      <c r="B912" s="692" t="n"/>
      <c r="C912" s="692" t="n"/>
      <c r="D912" s="692" t="n"/>
      <c r="E912" s="692" t="n"/>
      <c r="F912" s="692" t="n"/>
      <c r="G912" s="692" t="n"/>
      <c r="H912" s="692" t="n"/>
      <c r="I912" s="692" t="n"/>
      <c r="J912" s="692" t="n"/>
      <c r="K912" s="692" t="n"/>
      <c r="L912" s="692" t="n"/>
      <c r="M912" s="692" t="n"/>
      <c r="N912" s="692" t="n"/>
      <c r="O912" s="692" t="n"/>
      <c r="P912" s="692" t="n"/>
      <c r="Q912" s="692" t="n"/>
      <c r="R912" s="692" t="n"/>
      <c r="S912" s="692" t="n"/>
      <c r="T912" s="692" t="n"/>
      <c r="U912" s="692" t="n"/>
      <c r="V912" s="692" t="n"/>
      <c r="W912" s="692" t="n"/>
      <c r="X912" s="692" t="n"/>
      <c r="Y912" s="692" t="n"/>
      <c r="Z912" s="692" t="n"/>
      <c r="AA912" s="692" t="n"/>
      <c r="AB912" s="692" t="n"/>
      <c r="AC912" s="692" t="n"/>
      <c r="AD912" s="692" t="n"/>
      <c r="AE912" s="692" t="n"/>
      <c r="AF912" s="692" t="n"/>
      <c r="AG912" s="692" t="n"/>
      <c r="AH912" s="692" t="n"/>
      <c r="AI912" s="692" t="n"/>
      <c r="AJ912" s="692" t="n"/>
      <c r="AK912" s="692" t="n"/>
      <c r="AL912" s="692" t="n"/>
      <c r="AM912" s="692" t="n"/>
      <c r="AN912" s="692" t="n"/>
      <c r="AO912" s="692" t="n"/>
      <c r="AP912" s="692" t="n"/>
    </row>
    <row r="913">
      <c r="A913" s="692" t="n"/>
      <c r="B913" s="692" t="n"/>
      <c r="C913" s="692" t="n"/>
      <c r="D913" s="692" t="n"/>
      <c r="E913" s="692" t="n"/>
      <c r="F913" s="692" t="n"/>
      <c r="G913" s="692" t="n"/>
      <c r="H913" s="692" t="n"/>
      <c r="I913" s="692" t="n"/>
      <c r="J913" s="692" t="n"/>
      <c r="K913" s="692" t="n"/>
      <c r="L913" s="692" t="n"/>
      <c r="M913" s="692" t="n"/>
      <c r="N913" s="692" t="n"/>
      <c r="O913" s="692" t="n"/>
      <c r="P913" s="692" t="n"/>
      <c r="Q913" s="692" t="n"/>
      <c r="R913" s="692" t="n"/>
      <c r="S913" s="692" t="n"/>
      <c r="T913" s="692" t="n"/>
      <c r="U913" s="692" t="n"/>
      <c r="V913" s="692" t="n"/>
      <c r="W913" s="692" t="n"/>
      <c r="X913" s="692" t="n"/>
      <c r="Y913" s="692" t="n"/>
      <c r="Z913" s="692" t="n"/>
      <c r="AA913" s="692" t="n"/>
      <c r="AB913" s="692" t="n"/>
      <c r="AC913" s="692" t="n"/>
      <c r="AD913" s="692" t="n"/>
      <c r="AE913" s="692" t="n"/>
      <c r="AF913" s="692" t="n"/>
      <c r="AG913" s="692" t="n"/>
      <c r="AH913" s="692" t="n"/>
      <c r="AI913" s="692" t="n"/>
      <c r="AJ913" s="692" t="n"/>
      <c r="AK913" s="692" t="n"/>
      <c r="AL913" s="692" t="n"/>
      <c r="AM913" s="692" t="n"/>
      <c r="AN913" s="692" t="n"/>
      <c r="AO913" s="692" t="n"/>
      <c r="AP913" s="692" t="n"/>
    </row>
    <row r="914">
      <c r="A914" s="692" t="n"/>
      <c r="B914" s="692" t="n"/>
      <c r="C914" s="692" t="n"/>
      <c r="D914" s="692" t="n"/>
      <c r="E914" s="692" t="n"/>
      <c r="F914" s="692" t="n"/>
      <c r="G914" s="692" t="n"/>
      <c r="H914" s="692" t="n"/>
      <c r="I914" s="692" t="n"/>
      <c r="J914" s="692" t="n"/>
      <c r="K914" s="692" t="n"/>
      <c r="L914" s="692" t="n"/>
      <c r="M914" s="692" t="n"/>
      <c r="N914" s="692" t="n"/>
      <c r="O914" s="692" t="n"/>
      <c r="P914" s="692" t="n"/>
      <c r="Q914" s="692" t="n"/>
      <c r="R914" s="692" t="n"/>
      <c r="S914" s="692" t="n"/>
      <c r="T914" s="692" t="n"/>
      <c r="U914" s="692" t="n"/>
      <c r="V914" s="692" t="n"/>
      <c r="W914" s="692" t="n"/>
      <c r="X914" s="692" t="n"/>
      <c r="Y914" s="692" t="n"/>
      <c r="Z914" s="692" t="n"/>
      <c r="AA914" s="692" t="n"/>
      <c r="AB914" s="692" t="n"/>
      <c r="AC914" s="692" t="n"/>
      <c r="AD914" s="692" t="n"/>
      <c r="AE914" s="692" t="n"/>
      <c r="AF914" s="692" t="n"/>
      <c r="AG914" s="692" t="n"/>
      <c r="AH914" s="692" t="n"/>
      <c r="AI914" s="692" t="n"/>
      <c r="AJ914" s="692" t="n"/>
      <c r="AK914" s="692" t="n"/>
      <c r="AL914" s="692" t="n"/>
      <c r="AM914" s="692" t="n"/>
      <c r="AN914" s="692" t="n"/>
      <c r="AO914" s="692" t="n"/>
      <c r="AP914" s="692" t="n"/>
    </row>
    <row r="915">
      <c r="A915" s="692" t="n"/>
      <c r="B915" s="692" t="n"/>
      <c r="C915" s="692" t="n"/>
      <c r="D915" s="692" t="n"/>
      <c r="E915" s="692" t="n"/>
      <c r="F915" s="692" t="n"/>
      <c r="G915" s="692" t="n"/>
      <c r="H915" s="692" t="n"/>
      <c r="I915" s="692" t="n"/>
      <c r="J915" s="692" t="n"/>
      <c r="K915" s="692" t="n"/>
      <c r="L915" s="692" t="n"/>
      <c r="M915" s="692" t="n"/>
      <c r="N915" s="692" t="n"/>
      <c r="O915" s="692" t="n"/>
      <c r="P915" s="692" t="n"/>
      <c r="Q915" s="692" t="n"/>
      <c r="R915" s="692" t="n"/>
      <c r="S915" s="692" t="n"/>
      <c r="T915" s="692" t="n"/>
      <c r="U915" s="692" t="n"/>
      <c r="V915" s="692" t="n"/>
      <c r="W915" s="692" t="n"/>
      <c r="X915" s="692" t="n"/>
      <c r="Y915" s="692" t="n"/>
      <c r="Z915" s="692" t="n"/>
      <c r="AA915" s="692" t="n"/>
      <c r="AB915" s="692" t="n"/>
      <c r="AC915" s="692" t="n"/>
      <c r="AD915" s="692" t="n"/>
      <c r="AE915" s="692" t="n"/>
      <c r="AF915" s="692" t="n"/>
      <c r="AG915" s="692" t="n"/>
      <c r="AH915" s="692" t="n"/>
      <c r="AI915" s="692" t="n"/>
      <c r="AJ915" s="692" t="n"/>
      <c r="AK915" s="692" t="n"/>
      <c r="AL915" s="692" t="n"/>
      <c r="AM915" s="692" t="n"/>
      <c r="AN915" s="692" t="n"/>
      <c r="AO915" s="692" t="n"/>
      <c r="AP915" s="692" t="n"/>
    </row>
    <row r="916">
      <c r="A916" s="692" t="n"/>
      <c r="B916" s="692" t="n"/>
      <c r="C916" s="692" t="n"/>
      <c r="D916" s="692" t="n"/>
      <c r="E916" s="692" t="n"/>
      <c r="F916" s="692" t="n"/>
      <c r="G916" s="692" t="n"/>
      <c r="H916" s="692" t="n"/>
      <c r="I916" s="692" t="n"/>
      <c r="J916" s="692" t="n"/>
      <c r="K916" s="692" t="n"/>
      <c r="L916" s="692" t="n"/>
      <c r="M916" s="692" t="n"/>
      <c r="N916" s="692" t="n"/>
      <c r="O916" s="692" t="n"/>
      <c r="P916" s="692" t="n"/>
      <c r="Q916" s="692" t="n"/>
      <c r="R916" s="692" t="n"/>
      <c r="S916" s="692" t="n"/>
      <c r="T916" s="692" t="n"/>
      <c r="U916" s="692" t="n"/>
      <c r="V916" s="692" t="n"/>
      <c r="W916" s="692" t="n"/>
      <c r="X916" s="692" t="n"/>
      <c r="Y916" s="692" t="n"/>
      <c r="Z916" s="692" t="n"/>
      <c r="AA916" s="692" t="n"/>
      <c r="AB916" s="692" t="n"/>
      <c r="AC916" s="692" t="n"/>
      <c r="AD916" s="692" t="n"/>
      <c r="AE916" s="692" t="n"/>
      <c r="AF916" s="692" t="n"/>
      <c r="AG916" s="692" t="n"/>
      <c r="AH916" s="692" t="n"/>
      <c r="AI916" s="692" t="n"/>
      <c r="AJ916" s="692" t="n"/>
      <c r="AK916" s="692" t="n"/>
      <c r="AL916" s="692" t="n"/>
      <c r="AM916" s="692" t="n"/>
      <c r="AN916" s="692" t="n"/>
      <c r="AO916" s="692" t="n"/>
      <c r="AP916" s="692" t="n"/>
    </row>
    <row r="917">
      <c r="A917" s="692" t="n"/>
      <c r="B917" s="692" t="n"/>
      <c r="C917" s="692" t="n"/>
      <c r="D917" s="692" t="n"/>
      <c r="E917" s="692" t="n"/>
      <c r="F917" s="692" t="n"/>
      <c r="G917" s="692" t="n"/>
      <c r="H917" s="692" t="n"/>
      <c r="I917" s="692" t="n"/>
      <c r="J917" s="692" t="n"/>
      <c r="K917" s="692" t="n"/>
      <c r="L917" s="692" t="n"/>
      <c r="M917" s="692" t="n"/>
      <c r="N917" s="692" t="n"/>
      <c r="O917" s="692" t="n"/>
      <c r="P917" s="692" t="n"/>
      <c r="Q917" s="692" t="n"/>
      <c r="R917" s="692" t="n"/>
      <c r="S917" s="692" t="n"/>
      <c r="T917" s="692" t="n"/>
      <c r="U917" s="692" t="n"/>
      <c r="V917" s="692" t="n"/>
      <c r="W917" s="692" t="n"/>
      <c r="X917" s="692" t="n"/>
      <c r="Y917" s="692" t="n"/>
      <c r="Z917" s="692" t="n"/>
      <c r="AA917" s="692" t="n"/>
      <c r="AB917" s="692" t="n"/>
      <c r="AC917" s="692" t="n"/>
      <c r="AD917" s="692" t="n"/>
      <c r="AE917" s="692" t="n"/>
      <c r="AF917" s="692" t="n"/>
      <c r="AG917" s="692" t="n"/>
      <c r="AH917" s="692" t="n"/>
      <c r="AI917" s="692" t="n"/>
      <c r="AJ917" s="692" t="n"/>
      <c r="AK917" s="692" t="n"/>
      <c r="AL917" s="692" t="n"/>
      <c r="AM917" s="692" t="n"/>
      <c r="AN917" s="692" t="n"/>
      <c r="AO917" s="692" t="n"/>
      <c r="AP917" s="692" t="n"/>
    </row>
    <row r="918">
      <c r="A918" s="692" t="n"/>
      <c r="B918" s="692" t="n"/>
      <c r="C918" s="692" t="n"/>
      <c r="D918" s="692" t="n"/>
      <c r="E918" s="692" t="n"/>
      <c r="F918" s="692" t="n"/>
      <c r="G918" s="692" t="n"/>
      <c r="H918" s="692" t="n"/>
      <c r="I918" s="692" t="n"/>
      <c r="J918" s="692" t="n"/>
      <c r="K918" s="692" t="n"/>
      <c r="L918" s="692" t="n"/>
      <c r="M918" s="692" t="n"/>
      <c r="N918" s="692" t="n"/>
      <c r="O918" s="692" t="n"/>
      <c r="P918" s="692" t="n"/>
      <c r="Q918" s="692" t="n"/>
      <c r="R918" s="692" t="n"/>
      <c r="S918" s="692" t="n"/>
      <c r="T918" s="692" t="n"/>
      <c r="U918" s="692" t="n"/>
      <c r="V918" s="692" t="n"/>
      <c r="W918" s="692" t="n"/>
      <c r="X918" s="692" t="n"/>
      <c r="Y918" s="692" t="n"/>
      <c r="Z918" s="692" t="n"/>
      <c r="AA918" s="692" t="n"/>
      <c r="AB918" s="692" t="n"/>
      <c r="AC918" s="692" t="n"/>
      <c r="AD918" s="692" t="n"/>
      <c r="AE918" s="692" t="n"/>
      <c r="AF918" s="692" t="n"/>
      <c r="AG918" s="692" t="n"/>
      <c r="AH918" s="692" t="n"/>
      <c r="AI918" s="692" t="n"/>
      <c r="AJ918" s="692" t="n"/>
      <c r="AK918" s="692" t="n"/>
      <c r="AL918" s="692" t="n"/>
      <c r="AM918" s="692" t="n"/>
      <c r="AN918" s="692" t="n"/>
      <c r="AO918" s="692" t="n"/>
      <c r="AP918" s="692" t="n"/>
    </row>
    <row r="919">
      <c r="A919" s="692" t="n"/>
      <c r="B919" s="692" t="n"/>
      <c r="C919" s="692" t="n"/>
      <c r="D919" s="692" t="n"/>
      <c r="E919" s="692" t="n"/>
      <c r="F919" s="692" t="n"/>
      <c r="G919" s="692" t="n"/>
      <c r="H919" s="692" t="n"/>
      <c r="I919" s="692" t="n"/>
      <c r="J919" s="692" t="n"/>
      <c r="K919" s="692" t="n"/>
      <c r="L919" s="692" t="n"/>
      <c r="M919" s="692" t="n"/>
      <c r="N919" s="692" t="n"/>
      <c r="O919" s="692" t="n"/>
      <c r="P919" s="692" t="n"/>
      <c r="Q919" s="692" t="n"/>
      <c r="R919" s="692" t="n"/>
      <c r="S919" s="692" t="n"/>
      <c r="T919" s="692" t="n"/>
      <c r="U919" s="692" t="n"/>
      <c r="V919" s="692" t="n"/>
      <c r="W919" s="692" t="n"/>
      <c r="X919" s="692" t="n"/>
      <c r="Y919" s="692" t="n"/>
      <c r="Z919" s="692" t="n"/>
      <c r="AA919" s="692" t="n"/>
      <c r="AB919" s="692" t="n"/>
      <c r="AC919" s="692" t="n"/>
      <c r="AD919" s="692" t="n"/>
      <c r="AE919" s="692" t="n"/>
      <c r="AF919" s="692" t="n"/>
      <c r="AG919" s="692" t="n"/>
      <c r="AH919" s="692" t="n"/>
      <c r="AI919" s="692" t="n"/>
      <c r="AJ919" s="692" t="n"/>
      <c r="AK919" s="692" t="n"/>
      <c r="AL919" s="692" t="n"/>
      <c r="AM919" s="692" t="n"/>
      <c r="AN919" s="692" t="n"/>
      <c r="AO919" s="692" t="n"/>
      <c r="AP919" s="692" t="n"/>
    </row>
    <row r="920">
      <c r="A920" s="692" t="n"/>
      <c r="B920" s="692" t="n"/>
      <c r="C920" s="692" t="n"/>
      <c r="D920" s="692" t="n"/>
      <c r="E920" s="692" t="n"/>
      <c r="F920" s="692" t="n"/>
      <c r="G920" s="692" t="n"/>
      <c r="H920" s="692" t="n"/>
      <c r="I920" s="692" t="n"/>
      <c r="J920" s="692" t="n"/>
      <c r="K920" s="692" t="n"/>
      <c r="L920" s="692" t="n"/>
      <c r="M920" s="692" t="n"/>
      <c r="N920" s="692" t="n"/>
      <c r="O920" s="692" t="n"/>
      <c r="P920" s="692" t="n"/>
      <c r="Q920" s="692" t="n"/>
      <c r="R920" s="692" t="n"/>
      <c r="S920" s="692" t="n"/>
      <c r="T920" s="692" t="n"/>
      <c r="U920" s="692" t="n"/>
      <c r="V920" s="692" t="n"/>
      <c r="W920" s="692" t="n"/>
      <c r="X920" s="692" t="n"/>
      <c r="Y920" s="692" t="n"/>
      <c r="Z920" s="692" t="n"/>
      <c r="AA920" s="692" t="n"/>
      <c r="AB920" s="692" t="n"/>
      <c r="AC920" s="692" t="n"/>
      <c r="AD920" s="692" t="n"/>
      <c r="AE920" s="692" t="n"/>
      <c r="AF920" s="692" t="n"/>
      <c r="AG920" s="692" t="n"/>
      <c r="AH920" s="692" t="n"/>
      <c r="AI920" s="692" t="n"/>
      <c r="AJ920" s="692" t="n"/>
      <c r="AK920" s="692" t="n"/>
      <c r="AL920" s="692" t="n"/>
      <c r="AM920" s="692" t="n"/>
      <c r="AN920" s="692" t="n"/>
      <c r="AO920" s="692" t="n"/>
      <c r="AP920" s="692" t="n"/>
    </row>
    <row r="921">
      <c r="A921" s="692" t="n"/>
      <c r="B921" s="692" t="n"/>
      <c r="C921" s="692" t="n"/>
      <c r="D921" s="692" t="n"/>
      <c r="E921" s="692" t="n"/>
      <c r="F921" s="692" t="n"/>
      <c r="G921" s="692" t="n"/>
      <c r="H921" s="692" t="n"/>
      <c r="I921" s="692" t="n"/>
      <c r="J921" s="692" t="n"/>
      <c r="K921" s="692" t="n"/>
      <c r="L921" s="692" t="n"/>
      <c r="M921" s="692" t="n"/>
      <c r="N921" s="692" t="n"/>
      <c r="O921" s="692" t="n"/>
      <c r="P921" s="692" t="n"/>
      <c r="Q921" s="692" t="n"/>
      <c r="R921" s="692" t="n"/>
      <c r="S921" s="692" t="n"/>
      <c r="T921" s="692" t="n"/>
      <c r="U921" s="692" t="n"/>
      <c r="V921" s="692" t="n"/>
      <c r="W921" s="692" t="n"/>
      <c r="X921" s="692" t="n"/>
      <c r="Y921" s="692" t="n"/>
      <c r="Z921" s="692" t="n"/>
      <c r="AA921" s="692" t="n"/>
      <c r="AB921" s="692" t="n"/>
      <c r="AC921" s="692" t="n"/>
      <c r="AD921" s="692" t="n"/>
      <c r="AE921" s="692" t="n"/>
      <c r="AF921" s="692" t="n"/>
      <c r="AG921" s="692" t="n"/>
      <c r="AH921" s="692" t="n"/>
      <c r="AI921" s="692" t="n"/>
      <c r="AJ921" s="692" t="n"/>
      <c r="AK921" s="692" t="n"/>
      <c r="AL921" s="692" t="n"/>
      <c r="AM921" s="692" t="n"/>
      <c r="AN921" s="692" t="n"/>
      <c r="AO921" s="692" t="n"/>
      <c r="AP921" s="692" t="n"/>
    </row>
    <row r="922">
      <c r="A922" s="692" t="n"/>
      <c r="B922" s="692" t="n"/>
      <c r="C922" s="692" t="n"/>
      <c r="D922" s="692" t="n"/>
      <c r="E922" s="692" t="n"/>
      <c r="F922" s="692" t="n"/>
      <c r="G922" s="692" t="n"/>
      <c r="H922" s="692" t="n"/>
      <c r="I922" s="692" t="n"/>
      <c r="J922" s="692" t="n"/>
      <c r="K922" s="692" t="n"/>
      <c r="L922" s="692" t="n"/>
      <c r="M922" s="692" t="n"/>
      <c r="N922" s="692" t="n"/>
      <c r="O922" s="692" t="n"/>
      <c r="P922" s="692" t="n"/>
      <c r="Q922" s="692" t="n"/>
      <c r="R922" s="692" t="n"/>
      <c r="S922" s="692" t="n"/>
      <c r="T922" s="692" t="n"/>
      <c r="U922" s="692" t="n"/>
      <c r="V922" s="692" t="n"/>
      <c r="W922" s="692" t="n"/>
      <c r="X922" s="692" t="n"/>
      <c r="Y922" s="692" t="n"/>
      <c r="Z922" s="692" t="n"/>
      <c r="AA922" s="692" t="n"/>
      <c r="AB922" s="692" t="n"/>
      <c r="AC922" s="692" t="n"/>
      <c r="AD922" s="692" t="n"/>
      <c r="AE922" s="692" t="n"/>
      <c r="AF922" s="692" t="n"/>
      <c r="AG922" s="692" t="n"/>
      <c r="AH922" s="692" t="n"/>
      <c r="AI922" s="692" t="n"/>
      <c r="AJ922" s="692" t="n"/>
      <c r="AK922" s="692" t="n"/>
      <c r="AL922" s="692" t="n"/>
      <c r="AM922" s="692" t="n"/>
      <c r="AN922" s="692" t="n"/>
      <c r="AO922" s="692" t="n"/>
      <c r="AP922" s="692" t="n"/>
    </row>
    <row r="923">
      <c r="A923" s="692" t="n"/>
      <c r="B923" s="692" t="n"/>
      <c r="C923" s="692" t="n"/>
      <c r="D923" s="692" t="n"/>
      <c r="E923" s="692" t="n"/>
      <c r="F923" s="692" t="n"/>
      <c r="G923" s="692" t="n"/>
      <c r="H923" s="692" t="n"/>
      <c r="I923" s="692" t="n"/>
      <c r="J923" s="692" t="n"/>
      <c r="K923" s="692" t="n"/>
      <c r="L923" s="692" t="n"/>
      <c r="M923" s="692" t="n"/>
      <c r="N923" s="692" t="n"/>
      <c r="O923" s="692" t="n"/>
      <c r="P923" s="692" t="n"/>
      <c r="Q923" s="692" t="n"/>
      <c r="R923" s="692" t="n"/>
      <c r="S923" s="692" t="n"/>
      <c r="T923" s="692" t="n"/>
      <c r="U923" s="692" t="n"/>
      <c r="V923" s="692" t="n"/>
      <c r="W923" s="692" t="n"/>
      <c r="X923" s="692" t="n"/>
      <c r="Y923" s="692" t="n"/>
      <c r="Z923" s="692" t="n"/>
      <c r="AA923" s="692" t="n"/>
      <c r="AB923" s="692" t="n"/>
      <c r="AC923" s="692" t="n"/>
      <c r="AD923" s="692" t="n"/>
      <c r="AE923" s="692" t="n"/>
      <c r="AF923" s="692" t="n"/>
      <c r="AG923" s="692" t="n"/>
      <c r="AH923" s="692" t="n"/>
      <c r="AI923" s="692" t="n"/>
      <c r="AJ923" s="692" t="n"/>
      <c r="AK923" s="692" t="n"/>
      <c r="AL923" s="692" t="n"/>
      <c r="AM923" s="692" t="n"/>
      <c r="AN923" s="692" t="n"/>
      <c r="AO923" s="692" t="n"/>
      <c r="AP923" s="692" t="n"/>
    </row>
    <row r="924">
      <c r="A924" s="692" t="n"/>
      <c r="B924" s="692" t="n"/>
      <c r="C924" s="692" t="n"/>
      <c r="D924" s="692" t="n"/>
      <c r="E924" s="692" t="n"/>
      <c r="F924" s="692" t="n"/>
      <c r="G924" s="692" t="n"/>
      <c r="H924" s="692" t="n"/>
      <c r="I924" s="692" t="n"/>
      <c r="J924" s="692" t="n"/>
      <c r="K924" s="692" t="n"/>
      <c r="L924" s="692" t="n"/>
      <c r="M924" s="692" t="n"/>
      <c r="N924" s="692" t="n"/>
      <c r="O924" s="692" t="n"/>
      <c r="P924" s="692" t="n"/>
      <c r="Q924" s="692" t="n"/>
      <c r="R924" s="692" t="n"/>
      <c r="S924" s="692" t="n"/>
      <c r="T924" s="692" t="n"/>
      <c r="U924" s="692" t="n"/>
      <c r="V924" s="692" t="n"/>
      <c r="W924" s="692" t="n"/>
      <c r="X924" s="692" t="n"/>
      <c r="Y924" s="692" t="n"/>
      <c r="Z924" s="692" t="n"/>
      <c r="AA924" s="692" t="n"/>
      <c r="AB924" s="692" t="n"/>
      <c r="AC924" s="692" t="n"/>
      <c r="AD924" s="692" t="n"/>
      <c r="AE924" s="692" t="n"/>
      <c r="AF924" s="692" t="n"/>
      <c r="AG924" s="692" t="n"/>
      <c r="AH924" s="692" t="n"/>
      <c r="AI924" s="692" t="n"/>
      <c r="AJ924" s="692" t="n"/>
      <c r="AK924" s="692" t="n"/>
      <c r="AL924" s="692" t="n"/>
      <c r="AM924" s="692" t="n"/>
      <c r="AN924" s="692" t="n"/>
      <c r="AO924" s="692" t="n"/>
      <c r="AP924" s="692" t="n"/>
    </row>
    <row r="925">
      <c r="A925" s="692" t="n"/>
      <c r="B925" s="692" t="n"/>
      <c r="C925" s="692" t="n"/>
      <c r="D925" s="692" t="n"/>
      <c r="E925" s="692" t="n"/>
      <c r="F925" s="692" t="n"/>
      <c r="G925" s="692" t="n"/>
      <c r="H925" s="692" t="n"/>
      <c r="I925" s="692" t="n"/>
      <c r="J925" s="692" t="n"/>
      <c r="K925" s="692" t="n"/>
      <c r="L925" s="692" t="n"/>
      <c r="M925" s="692" t="n"/>
      <c r="N925" s="692" t="n"/>
      <c r="O925" s="692" t="n"/>
      <c r="P925" s="692" t="n"/>
      <c r="Q925" s="692" t="n"/>
      <c r="R925" s="692" t="n"/>
      <c r="S925" s="692" t="n"/>
      <c r="T925" s="692" t="n"/>
      <c r="U925" s="692" t="n"/>
      <c r="V925" s="692" t="n"/>
      <c r="W925" s="692" t="n"/>
      <c r="X925" s="692" t="n"/>
      <c r="Y925" s="692" t="n"/>
      <c r="Z925" s="692" t="n"/>
      <c r="AA925" s="692" t="n"/>
      <c r="AB925" s="692" t="n"/>
      <c r="AC925" s="692" t="n"/>
      <c r="AD925" s="692" t="n"/>
      <c r="AE925" s="692" t="n"/>
      <c r="AF925" s="692" t="n"/>
      <c r="AG925" s="692" t="n"/>
      <c r="AH925" s="692" t="n"/>
      <c r="AI925" s="692" t="n"/>
      <c r="AJ925" s="692" t="n"/>
      <c r="AK925" s="692" t="n"/>
      <c r="AL925" s="692" t="n"/>
      <c r="AM925" s="692" t="n"/>
      <c r="AN925" s="692" t="n"/>
      <c r="AO925" s="692" t="n"/>
      <c r="AP925" s="692" t="n"/>
    </row>
    <row r="926">
      <c r="A926" s="692" t="n"/>
      <c r="B926" s="692" t="n"/>
      <c r="C926" s="692" t="n"/>
      <c r="D926" s="692" t="n"/>
      <c r="E926" s="692" t="n"/>
      <c r="F926" s="692" t="n"/>
      <c r="G926" s="692" t="n"/>
      <c r="H926" s="692" t="n"/>
      <c r="I926" s="692" t="n"/>
      <c r="J926" s="692" t="n"/>
      <c r="K926" s="692" t="n"/>
      <c r="L926" s="692" t="n"/>
      <c r="M926" s="692" t="n"/>
      <c r="N926" s="692" t="n"/>
      <c r="O926" s="692" t="n"/>
      <c r="P926" s="692" t="n"/>
      <c r="Q926" s="692" t="n"/>
      <c r="R926" s="692" t="n"/>
      <c r="S926" s="692" t="n"/>
      <c r="T926" s="692" t="n"/>
      <c r="U926" s="692" t="n"/>
      <c r="V926" s="692" t="n"/>
      <c r="W926" s="692" t="n"/>
      <c r="X926" s="692" t="n"/>
      <c r="Y926" s="692" t="n"/>
      <c r="Z926" s="692" t="n"/>
      <c r="AA926" s="692" t="n"/>
      <c r="AB926" s="692" t="n"/>
      <c r="AC926" s="692" t="n"/>
      <c r="AD926" s="692" t="n"/>
      <c r="AE926" s="692" t="n"/>
      <c r="AF926" s="692" t="n"/>
      <c r="AG926" s="692" t="n"/>
      <c r="AH926" s="692" t="n"/>
      <c r="AI926" s="692" t="n"/>
      <c r="AJ926" s="692" t="n"/>
      <c r="AK926" s="692" t="n"/>
      <c r="AL926" s="692" t="n"/>
      <c r="AM926" s="692" t="n"/>
      <c r="AN926" s="692" t="n"/>
      <c r="AO926" s="692" t="n"/>
      <c r="AP926" s="692" t="n"/>
    </row>
    <row r="927">
      <c r="A927" s="692" t="n"/>
      <c r="B927" s="692" t="n"/>
      <c r="C927" s="692" t="n"/>
      <c r="D927" s="692" t="n"/>
      <c r="E927" s="692" t="n"/>
      <c r="F927" s="692" t="n"/>
      <c r="G927" s="692" t="n"/>
      <c r="H927" s="692" t="n"/>
      <c r="I927" s="692" t="n"/>
      <c r="J927" s="692" t="n"/>
      <c r="K927" s="692" t="n"/>
      <c r="L927" s="692" t="n"/>
      <c r="M927" s="692" t="n"/>
      <c r="N927" s="692" t="n"/>
      <c r="O927" s="692" t="n"/>
      <c r="P927" s="692" t="n"/>
      <c r="Q927" s="692" t="n"/>
      <c r="R927" s="692" t="n"/>
      <c r="S927" s="692" t="n"/>
      <c r="T927" s="692" t="n"/>
      <c r="U927" s="692" t="n"/>
      <c r="V927" s="692" t="n"/>
      <c r="W927" s="692" t="n"/>
      <c r="X927" s="692" t="n"/>
      <c r="Y927" s="692" t="n"/>
      <c r="Z927" s="692" t="n"/>
      <c r="AA927" s="692" t="n"/>
      <c r="AB927" s="692" t="n"/>
      <c r="AC927" s="692" t="n"/>
      <c r="AD927" s="692" t="n"/>
      <c r="AE927" s="692" t="n"/>
      <c r="AF927" s="692" t="n"/>
      <c r="AG927" s="692" t="n"/>
      <c r="AH927" s="692" t="n"/>
      <c r="AI927" s="692" t="n"/>
      <c r="AJ927" s="692" t="n"/>
      <c r="AK927" s="692" t="n"/>
      <c r="AL927" s="692" t="n"/>
      <c r="AM927" s="692" t="n"/>
      <c r="AN927" s="692" t="n"/>
      <c r="AO927" s="692" t="n"/>
      <c r="AP927" s="692" t="n"/>
    </row>
    <row r="928">
      <c r="A928" s="692" t="n"/>
      <c r="B928" s="692" t="n"/>
      <c r="C928" s="692" t="n"/>
      <c r="D928" s="692" t="n"/>
      <c r="E928" s="692" t="n"/>
      <c r="F928" s="692" t="n"/>
      <c r="G928" s="692" t="n"/>
      <c r="H928" s="692" t="n"/>
      <c r="I928" s="692" t="n"/>
      <c r="J928" s="692" t="n"/>
      <c r="K928" s="692" t="n"/>
      <c r="L928" s="692" t="n"/>
      <c r="M928" s="692" t="n"/>
      <c r="N928" s="692" t="n"/>
      <c r="O928" s="692" t="n"/>
      <c r="P928" s="692" t="n"/>
      <c r="Q928" s="692" t="n"/>
      <c r="R928" s="692" t="n"/>
      <c r="S928" s="692" t="n"/>
      <c r="T928" s="692" t="n"/>
      <c r="U928" s="692" t="n"/>
      <c r="V928" s="692" t="n"/>
      <c r="W928" s="692" t="n"/>
      <c r="X928" s="692" t="n"/>
      <c r="Y928" s="692" t="n"/>
      <c r="Z928" s="692" t="n"/>
      <c r="AA928" s="692" t="n"/>
      <c r="AB928" s="692" t="n"/>
      <c r="AC928" s="692" t="n"/>
      <c r="AD928" s="692" t="n"/>
      <c r="AE928" s="692" t="n"/>
      <c r="AF928" s="692" t="n"/>
      <c r="AG928" s="692" t="n"/>
      <c r="AH928" s="692" t="n"/>
      <c r="AI928" s="692" t="n"/>
      <c r="AJ928" s="692" t="n"/>
      <c r="AK928" s="692" t="n"/>
      <c r="AL928" s="692" t="n"/>
      <c r="AM928" s="692" t="n"/>
      <c r="AN928" s="692" t="n"/>
      <c r="AO928" s="692" t="n"/>
      <c r="AP928" s="692" t="n"/>
    </row>
    <row r="929">
      <c r="A929" s="692" t="n"/>
      <c r="B929" s="692" t="n"/>
      <c r="C929" s="692" t="n"/>
      <c r="D929" s="692" t="n"/>
      <c r="E929" s="692" t="n"/>
      <c r="F929" s="692" t="n"/>
      <c r="G929" s="692" t="n"/>
      <c r="H929" s="692" t="n"/>
      <c r="I929" s="692" t="n"/>
      <c r="J929" s="692" t="n"/>
      <c r="K929" s="692" t="n"/>
      <c r="L929" s="692" t="n"/>
      <c r="M929" s="692" t="n"/>
      <c r="N929" s="692" t="n"/>
      <c r="O929" s="692" t="n"/>
      <c r="P929" s="692" t="n"/>
      <c r="Q929" s="692" t="n"/>
      <c r="R929" s="692" t="n"/>
      <c r="S929" s="692" t="n"/>
      <c r="T929" s="692" t="n"/>
      <c r="U929" s="692" t="n"/>
      <c r="V929" s="692" t="n"/>
      <c r="W929" s="692" t="n"/>
      <c r="X929" s="692" t="n"/>
      <c r="Y929" s="692" t="n"/>
      <c r="Z929" s="692" t="n"/>
      <c r="AA929" s="692" t="n"/>
      <c r="AB929" s="692" t="n"/>
      <c r="AC929" s="692" t="n"/>
      <c r="AD929" s="692" t="n"/>
      <c r="AE929" s="692" t="n"/>
      <c r="AF929" s="692" t="n"/>
      <c r="AG929" s="692" t="n"/>
      <c r="AH929" s="692" t="n"/>
      <c r="AI929" s="692" t="n"/>
      <c r="AJ929" s="692" t="n"/>
      <c r="AK929" s="692" t="n"/>
      <c r="AL929" s="692" t="n"/>
      <c r="AM929" s="692" t="n"/>
      <c r="AN929" s="692" t="n"/>
      <c r="AO929" s="692" t="n"/>
      <c r="AP929" s="692" t="n"/>
    </row>
    <row r="930">
      <c r="A930" s="692" t="n"/>
      <c r="B930" s="692" t="n"/>
      <c r="C930" s="692" t="n"/>
      <c r="D930" s="692" t="n"/>
      <c r="E930" s="692" t="n"/>
      <c r="F930" s="692" t="n"/>
      <c r="G930" s="692" t="n"/>
      <c r="H930" s="692" t="n"/>
      <c r="I930" s="692" t="n"/>
      <c r="J930" s="692" t="n"/>
      <c r="K930" s="692" t="n"/>
      <c r="L930" s="692" t="n"/>
      <c r="M930" s="692" t="n"/>
      <c r="N930" s="692" t="n"/>
      <c r="O930" s="692" t="n"/>
      <c r="P930" s="692" t="n"/>
      <c r="Q930" s="692" t="n"/>
      <c r="R930" s="692" t="n"/>
      <c r="S930" s="692" t="n"/>
      <c r="T930" s="692" t="n"/>
      <c r="U930" s="692" t="n"/>
      <c r="V930" s="692" t="n"/>
      <c r="W930" s="692" t="n"/>
      <c r="X930" s="692" t="n"/>
      <c r="Y930" s="692" t="n"/>
      <c r="Z930" s="692" t="n"/>
      <c r="AA930" s="692" t="n"/>
      <c r="AB930" s="692" t="n"/>
      <c r="AC930" s="692" t="n"/>
      <c r="AD930" s="692" t="n"/>
      <c r="AE930" s="692" t="n"/>
      <c r="AF930" s="692" t="n"/>
      <c r="AG930" s="692" t="n"/>
      <c r="AH930" s="692" t="n"/>
      <c r="AI930" s="692" t="n"/>
      <c r="AJ930" s="692" t="n"/>
      <c r="AK930" s="692" t="n"/>
      <c r="AL930" s="692" t="n"/>
      <c r="AM930" s="692" t="n"/>
      <c r="AN930" s="692" t="n"/>
      <c r="AO930" s="692" t="n"/>
      <c r="AP930" s="692" t="n"/>
    </row>
    <row r="931">
      <c r="A931" s="692" t="n"/>
      <c r="B931" s="692" t="n"/>
      <c r="C931" s="692" t="n"/>
      <c r="D931" s="692" t="n"/>
      <c r="E931" s="692" t="n"/>
      <c r="F931" s="692" t="n"/>
      <c r="G931" s="692" t="n"/>
      <c r="H931" s="692" t="n"/>
      <c r="I931" s="692" t="n"/>
      <c r="J931" s="692" t="n"/>
      <c r="K931" s="692" t="n"/>
      <c r="L931" s="692" t="n"/>
      <c r="M931" s="692" t="n"/>
      <c r="N931" s="692" t="n"/>
      <c r="O931" s="692" t="n"/>
      <c r="P931" s="692" t="n"/>
      <c r="Q931" s="692" t="n"/>
      <c r="R931" s="692" t="n"/>
      <c r="S931" s="692" t="n"/>
      <c r="T931" s="692" t="n"/>
      <c r="U931" s="692" t="n"/>
      <c r="V931" s="692" t="n"/>
      <c r="W931" s="692" t="n"/>
      <c r="X931" s="692" t="n"/>
      <c r="Y931" s="692" t="n"/>
      <c r="Z931" s="692" t="n"/>
      <c r="AA931" s="692" t="n"/>
      <c r="AB931" s="692" t="n"/>
      <c r="AC931" s="692" t="n"/>
      <c r="AD931" s="692" t="n"/>
      <c r="AE931" s="692" t="n"/>
      <c r="AF931" s="692" t="n"/>
      <c r="AG931" s="692" t="n"/>
      <c r="AH931" s="692" t="n"/>
      <c r="AI931" s="692" t="n"/>
      <c r="AJ931" s="692" t="n"/>
      <c r="AK931" s="692" t="n"/>
      <c r="AL931" s="692" t="n"/>
      <c r="AM931" s="692" t="n"/>
      <c r="AN931" s="692" t="n"/>
      <c r="AO931" s="692" t="n"/>
      <c r="AP931" s="692" t="n"/>
    </row>
    <row r="932">
      <c r="A932" s="692" t="n"/>
      <c r="B932" s="692" t="n"/>
      <c r="C932" s="692" t="n"/>
      <c r="D932" s="692" t="n"/>
      <c r="E932" s="692" t="n"/>
      <c r="F932" s="692" t="n"/>
      <c r="G932" s="692" t="n"/>
      <c r="H932" s="692" t="n"/>
      <c r="I932" s="692" t="n"/>
      <c r="J932" s="692" t="n"/>
      <c r="K932" s="692" t="n"/>
      <c r="L932" s="692" t="n"/>
      <c r="M932" s="692" t="n"/>
      <c r="N932" s="692" t="n"/>
      <c r="O932" s="692" t="n"/>
      <c r="P932" s="692" t="n"/>
      <c r="Q932" s="692" t="n"/>
      <c r="R932" s="692" t="n"/>
      <c r="S932" s="692" t="n"/>
      <c r="T932" s="692" t="n"/>
      <c r="U932" s="692" t="n"/>
      <c r="V932" s="692" t="n"/>
      <c r="W932" s="692" t="n"/>
      <c r="X932" s="692" t="n"/>
      <c r="Y932" s="692" t="n"/>
      <c r="Z932" s="692" t="n"/>
      <c r="AA932" s="692" t="n"/>
      <c r="AB932" s="692" t="n"/>
      <c r="AC932" s="692" t="n"/>
      <c r="AD932" s="692" t="n"/>
      <c r="AE932" s="692" t="n"/>
      <c r="AF932" s="692" t="n"/>
      <c r="AG932" s="692" t="n"/>
      <c r="AH932" s="692" t="n"/>
      <c r="AI932" s="692" t="n"/>
      <c r="AJ932" s="692" t="n"/>
      <c r="AK932" s="692" t="n"/>
      <c r="AL932" s="692" t="n"/>
      <c r="AM932" s="692" t="n"/>
      <c r="AN932" s="692" t="n"/>
      <c r="AO932" s="692" t="n"/>
      <c r="AP932" s="692" t="n"/>
    </row>
    <row r="933">
      <c r="A933" s="692" t="n"/>
      <c r="B933" s="692" t="n"/>
      <c r="C933" s="692" t="n"/>
      <c r="D933" s="692" t="n"/>
      <c r="E933" s="692" t="n"/>
      <c r="F933" s="692" t="n"/>
      <c r="G933" s="692" t="n"/>
      <c r="H933" s="692" t="n"/>
      <c r="I933" s="692" t="n"/>
      <c r="J933" s="692" t="n"/>
      <c r="K933" s="692" t="n"/>
      <c r="L933" s="692" t="n"/>
      <c r="M933" s="692" t="n"/>
      <c r="N933" s="692" t="n"/>
      <c r="O933" s="692" t="n"/>
      <c r="P933" s="692" t="n"/>
      <c r="Q933" s="692" t="n"/>
      <c r="R933" s="692" t="n"/>
      <c r="S933" s="692" t="n"/>
      <c r="T933" s="692" t="n"/>
      <c r="U933" s="692" t="n"/>
      <c r="V933" s="692" t="n"/>
      <c r="W933" s="692" t="n"/>
      <c r="X933" s="692" t="n"/>
      <c r="Y933" s="692" t="n"/>
      <c r="Z933" s="692" t="n"/>
      <c r="AA933" s="692" t="n"/>
      <c r="AB933" s="692" t="n"/>
      <c r="AC933" s="692" t="n"/>
      <c r="AD933" s="692" t="n"/>
      <c r="AE933" s="692" t="n"/>
      <c r="AF933" s="692" t="n"/>
      <c r="AG933" s="692" t="n"/>
      <c r="AH933" s="692" t="n"/>
      <c r="AI933" s="692" t="n"/>
      <c r="AJ933" s="692" t="n"/>
      <c r="AK933" s="692" t="n"/>
      <c r="AL933" s="692" t="n"/>
      <c r="AM933" s="692" t="n"/>
      <c r="AN933" s="692" t="n"/>
      <c r="AO933" s="692" t="n"/>
      <c r="AP933" s="692" t="n"/>
    </row>
    <row r="934">
      <c r="A934" s="692" t="n"/>
      <c r="B934" s="692" t="n"/>
      <c r="C934" s="692" t="n"/>
      <c r="D934" s="692" t="n"/>
      <c r="E934" s="692" t="n"/>
      <c r="F934" s="692" t="n"/>
      <c r="G934" s="692" t="n"/>
      <c r="H934" s="692" t="n"/>
      <c r="I934" s="692" t="n"/>
      <c r="J934" s="692" t="n"/>
      <c r="K934" s="692" t="n"/>
      <c r="L934" s="692" t="n"/>
      <c r="M934" s="692" t="n"/>
      <c r="N934" s="692" t="n"/>
      <c r="O934" s="692" t="n"/>
      <c r="P934" s="692" t="n"/>
      <c r="Q934" s="692" t="n"/>
      <c r="R934" s="692" t="n"/>
      <c r="S934" s="692" t="n"/>
      <c r="T934" s="692" t="n"/>
      <c r="U934" s="692" t="n"/>
      <c r="V934" s="692" t="n"/>
      <c r="W934" s="692" t="n"/>
      <c r="X934" s="692" t="n"/>
      <c r="Y934" s="692" t="n"/>
      <c r="Z934" s="692" t="n"/>
      <c r="AA934" s="692" t="n"/>
      <c r="AB934" s="692" t="n"/>
      <c r="AC934" s="692" t="n"/>
      <c r="AD934" s="692" t="n"/>
      <c r="AE934" s="692" t="n"/>
      <c r="AF934" s="692" t="n"/>
      <c r="AG934" s="692" t="n"/>
      <c r="AH934" s="692" t="n"/>
      <c r="AI934" s="692" t="n"/>
      <c r="AJ934" s="692" t="n"/>
      <c r="AK934" s="692" t="n"/>
      <c r="AL934" s="692" t="n"/>
      <c r="AM934" s="692" t="n"/>
      <c r="AN934" s="692" t="n"/>
      <c r="AO934" s="692" t="n"/>
      <c r="AP934" s="692" t="n"/>
    </row>
    <row r="935">
      <c r="A935" s="692" t="n"/>
      <c r="B935" s="692" t="n"/>
      <c r="C935" s="692" t="n"/>
      <c r="D935" s="692" t="n"/>
      <c r="E935" s="692" t="n"/>
      <c r="F935" s="692" t="n"/>
      <c r="G935" s="692" t="n"/>
      <c r="H935" s="692" t="n"/>
      <c r="I935" s="692" t="n"/>
      <c r="J935" s="692" t="n"/>
      <c r="K935" s="692" t="n"/>
      <c r="L935" s="692" t="n"/>
      <c r="M935" s="692" t="n"/>
      <c r="N935" s="692" t="n"/>
      <c r="O935" s="692" t="n"/>
      <c r="P935" s="692" t="n"/>
      <c r="Q935" s="692" t="n"/>
      <c r="R935" s="692" t="n"/>
      <c r="S935" s="692" t="n"/>
      <c r="T935" s="692" t="n"/>
      <c r="U935" s="692" t="n"/>
      <c r="V935" s="692" t="n"/>
      <c r="W935" s="692" t="n"/>
      <c r="X935" s="692" t="n"/>
      <c r="Y935" s="692" t="n"/>
      <c r="Z935" s="692" t="n"/>
      <c r="AA935" s="692" t="n"/>
      <c r="AB935" s="692" t="n"/>
      <c r="AC935" s="692" t="n"/>
      <c r="AD935" s="692" t="n"/>
      <c r="AE935" s="692" t="n"/>
      <c r="AF935" s="692" t="n"/>
      <c r="AG935" s="692" t="n"/>
      <c r="AH935" s="692" t="n"/>
      <c r="AI935" s="692" t="n"/>
      <c r="AJ935" s="692" t="n"/>
      <c r="AK935" s="692" t="n"/>
      <c r="AL935" s="692" t="n"/>
      <c r="AM935" s="692" t="n"/>
      <c r="AN935" s="692" t="n"/>
      <c r="AO935" s="692" t="n"/>
      <c r="AP935" s="692" t="n"/>
    </row>
    <row r="936">
      <c r="A936" s="692" t="n"/>
      <c r="B936" s="692" t="n"/>
      <c r="C936" s="692" t="n"/>
      <c r="D936" s="692" t="n"/>
      <c r="E936" s="692" t="n"/>
      <c r="F936" s="692" t="n"/>
      <c r="G936" s="692" t="n"/>
      <c r="H936" s="692" t="n"/>
      <c r="I936" s="692" t="n"/>
      <c r="J936" s="692" t="n"/>
      <c r="K936" s="692" t="n"/>
      <c r="L936" s="692" t="n"/>
      <c r="M936" s="692" t="n"/>
      <c r="N936" s="692" t="n"/>
      <c r="O936" s="692" t="n"/>
      <c r="P936" s="692" t="n"/>
      <c r="Q936" s="692" t="n"/>
      <c r="R936" s="692" t="n"/>
      <c r="S936" s="692" t="n"/>
      <c r="T936" s="692" t="n"/>
      <c r="U936" s="692" t="n"/>
      <c r="V936" s="692" t="n"/>
      <c r="W936" s="692" t="n"/>
      <c r="X936" s="692" t="n"/>
      <c r="Y936" s="692" t="n"/>
      <c r="Z936" s="692" t="n"/>
      <c r="AA936" s="692" t="n"/>
      <c r="AB936" s="692" t="n"/>
      <c r="AC936" s="692" t="n"/>
      <c r="AD936" s="692" t="n"/>
      <c r="AE936" s="692" t="n"/>
      <c r="AF936" s="692" t="n"/>
      <c r="AG936" s="692" t="n"/>
      <c r="AH936" s="692" t="n"/>
      <c r="AI936" s="692" t="n"/>
      <c r="AJ936" s="692" t="n"/>
      <c r="AK936" s="692" t="n"/>
      <c r="AL936" s="692" t="n"/>
      <c r="AM936" s="692" t="n"/>
      <c r="AN936" s="692" t="n"/>
      <c r="AO936" s="692" t="n"/>
      <c r="AP936" s="692" t="n"/>
    </row>
    <row r="937">
      <c r="A937" s="692" t="n"/>
      <c r="B937" s="692" t="n"/>
      <c r="C937" s="692" t="n"/>
      <c r="D937" s="692" t="n"/>
      <c r="E937" s="692" t="n"/>
      <c r="F937" s="692" t="n"/>
      <c r="G937" s="692" t="n"/>
      <c r="H937" s="692" t="n"/>
      <c r="I937" s="692" t="n"/>
      <c r="J937" s="692" t="n"/>
      <c r="K937" s="692" t="n"/>
      <c r="L937" s="692" t="n"/>
      <c r="M937" s="692" t="n"/>
      <c r="N937" s="692" t="n"/>
      <c r="O937" s="692" t="n"/>
      <c r="P937" s="692" t="n"/>
      <c r="Q937" s="692" t="n"/>
      <c r="R937" s="692" t="n"/>
      <c r="S937" s="692" t="n"/>
      <c r="T937" s="692" t="n"/>
      <c r="U937" s="692" t="n"/>
      <c r="V937" s="692" t="n"/>
      <c r="W937" s="692" t="n"/>
      <c r="X937" s="692" t="n"/>
      <c r="Y937" s="692" t="n"/>
      <c r="Z937" s="692" t="n"/>
      <c r="AA937" s="692" t="n"/>
      <c r="AB937" s="692" t="n"/>
      <c r="AC937" s="692" t="n"/>
      <c r="AD937" s="692" t="n"/>
      <c r="AE937" s="692" t="n"/>
      <c r="AF937" s="692" t="n"/>
      <c r="AG937" s="692" t="n"/>
      <c r="AH937" s="692" t="n"/>
      <c r="AI937" s="692" t="n"/>
      <c r="AJ937" s="692" t="n"/>
      <c r="AK937" s="692" t="n"/>
      <c r="AL937" s="692" t="n"/>
      <c r="AM937" s="692" t="n"/>
      <c r="AN937" s="692" t="n"/>
      <c r="AO937" s="692" t="n"/>
      <c r="AP937" s="692" t="n"/>
    </row>
    <row r="938">
      <c r="A938" s="692" t="n"/>
      <c r="B938" s="692" t="n"/>
      <c r="C938" s="692" t="n"/>
      <c r="D938" s="692" t="n"/>
      <c r="E938" s="692" t="n"/>
      <c r="F938" s="692" t="n"/>
      <c r="G938" s="692" t="n"/>
      <c r="H938" s="692" t="n"/>
      <c r="I938" s="692" t="n"/>
      <c r="J938" s="692" t="n"/>
      <c r="K938" s="692" t="n"/>
      <c r="L938" s="692" t="n"/>
      <c r="M938" s="692" t="n"/>
      <c r="N938" s="692" t="n"/>
      <c r="O938" s="692" t="n"/>
      <c r="P938" s="692" t="n"/>
      <c r="Q938" s="692" t="n"/>
      <c r="R938" s="692" t="n"/>
      <c r="S938" s="692" t="n"/>
      <c r="T938" s="692" t="n"/>
      <c r="U938" s="692" t="n"/>
      <c r="V938" s="692" t="n"/>
      <c r="W938" s="692" t="n"/>
      <c r="X938" s="692" t="n"/>
      <c r="Y938" s="692" t="n"/>
      <c r="Z938" s="692" t="n"/>
      <c r="AA938" s="692" t="n"/>
      <c r="AB938" s="692" t="n"/>
      <c r="AC938" s="692" t="n"/>
      <c r="AD938" s="692" t="n"/>
      <c r="AE938" s="692" t="n"/>
      <c r="AF938" s="692" t="n"/>
      <c r="AG938" s="692" t="n"/>
      <c r="AH938" s="692" t="n"/>
      <c r="AI938" s="692" t="n"/>
      <c r="AJ938" s="692" t="n"/>
      <c r="AK938" s="692" t="n"/>
      <c r="AL938" s="692" t="n"/>
      <c r="AM938" s="692" t="n"/>
      <c r="AN938" s="692" t="n"/>
      <c r="AO938" s="692" t="n"/>
      <c r="AP938" s="692" t="n"/>
    </row>
    <row r="939">
      <c r="A939" s="692" t="n"/>
      <c r="B939" s="692" t="n"/>
      <c r="C939" s="692" t="n"/>
      <c r="D939" s="692" t="n"/>
      <c r="E939" s="692" t="n"/>
      <c r="F939" s="692" t="n"/>
      <c r="G939" s="692" t="n"/>
      <c r="H939" s="692" t="n"/>
      <c r="I939" s="692" t="n"/>
      <c r="J939" s="692" t="n"/>
      <c r="K939" s="692" t="n"/>
      <c r="L939" s="692" t="n"/>
      <c r="M939" s="692" t="n"/>
      <c r="N939" s="692" t="n"/>
      <c r="O939" s="692" t="n"/>
      <c r="P939" s="692" t="n"/>
      <c r="Q939" s="692" t="n"/>
      <c r="R939" s="692" t="n"/>
      <c r="S939" s="692" t="n"/>
      <c r="T939" s="692" t="n"/>
      <c r="U939" s="692" t="n"/>
      <c r="V939" s="692" t="n"/>
      <c r="W939" s="692" t="n"/>
      <c r="X939" s="692" t="n"/>
      <c r="Y939" s="692" t="n"/>
      <c r="Z939" s="692" t="n"/>
      <c r="AA939" s="692" t="n"/>
      <c r="AB939" s="692" t="n"/>
      <c r="AC939" s="692" t="n"/>
      <c r="AD939" s="692" t="n"/>
      <c r="AE939" s="692" t="n"/>
      <c r="AF939" s="692" t="n"/>
      <c r="AG939" s="692" t="n"/>
      <c r="AH939" s="692" t="n"/>
      <c r="AI939" s="692" t="n"/>
      <c r="AJ939" s="692" t="n"/>
      <c r="AK939" s="692" t="n"/>
      <c r="AL939" s="692" t="n"/>
      <c r="AM939" s="692" t="n"/>
      <c r="AN939" s="692" t="n"/>
      <c r="AO939" s="692" t="n"/>
      <c r="AP939" s="692" t="n"/>
    </row>
    <row r="940">
      <c r="A940" s="692" t="n"/>
      <c r="B940" s="692" t="n"/>
      <c r="C940" s="692" t="n"/>
      <c r="D940" s="692" t="n"/>
      <c r="E940" s="692" t="n"/>
      <c r="F940" s="692" t="n"/>
      <c r="G940" s="692" t="n"/>
      <c r="H940" s="692" t="n"/>
      <c r="I940" s="692" t="n"/>
      <c r="J940" s="692" t="n"/>
      <c r="K940" s="692" t="n"/>
      <c r="L940" s="692" t="n"/>
      <c r="M940" s="692" t="n"/>
      <c r="N940" s="692" t="n"/>
      <c r="O940" s="692" t="n"/>
      <c r="P940" s="692" t="n"/>
      <c r="Q940" s="692" t="n"/>
      <c r="R940" s="692" t="n"/>
      <c r="S940" s="692" t="n"/>
      <c r="T940" s="692" t="n"/>
      <c r="U940" s="692" t="n"/>
      <c r="V940" s="692" t="n"/>
      <c r="W940" s="692" t="n"/>
      <c r="X940" s="692" t="n"/>
      <c r="Y940" s="692" t="n"/>
      <c r="Z940" s="692" t="n"/>
      <c r="AA940" s="692" t="n"/>
      <c r="AB940" s="692" t="n"/>
      <c r="AC940" s="692" t="n"/>
      <c r="AD940" s="692" t="n"/>
      <c r="AE940" s="692" t="n"/>
      <c r="AF940" s="692" t="n"/>
      <c r="AG940" s="692" t="n"/>
      <c r="AH940" s="692" t="n"/>
      <c r="AI940" s="692" t="n"/>
      <c r="AJ940" s="692" t="n"/>
      <c r="AK940" s="692" t="n"/>
      <c r="AL940" s="692" t="n"/>
      <c r="AM940" s="692" t="n"/>
      <c r="AN940" s="692" t="n"/>
      <c r="AO940" s="692" t="n"/>
      <c r="AP940" s="692" t="n"/>
    </row>
    <row r="941">
      <c r="A941" s="692" t="n"/>
      <c r="B941" s="692" t="n"/>
      <c r="C941" s="692" t="n"/>
      <c r="D941" s="692" t="n"/>
      <c r="E941" s="692" t="n"/>
      <c r="F941" s="692" t="n"/>
      <c r="G941" s="692" t="n"/>
      <c r="H941" s="692" t="n"/>
      <c r="I941" s="692" t="n"/>
      <c r="J941" s="692" t="n"/>
      <c r="K941" s="692" t="n"/>
      <c r="L941" s="692" t="n"/>
      <c r="M941" s="692" t="n"/>
      <c r="N941" s="692" t="n"/>
      <c r="O941" s="692" t="n"/>
      <c r="P941" s="692" t="n"/>
      <c r="Q941" s="692" t="n"/>
      <c r="R941" s="692" t="n"/>
      <c r="S941" s="692" t="n"/>
      <c r="T941" s="692" t="n"/>
      <c r="U941" s="692" t="n"/>
      <c r="V941" s="692" t="n"/>
      <c r="W941" s="692" t="n"/>
      <c r="X941" s="692" t="n"/>
      <c r="Y941" s="692" t="n"/>
      <c r="Z941" s="692" t="n"/>
      <c r="AA941" s="692" t="n"/>
      <c r="AB941" s="692" t="n"/>
      <c r="AC941" s="692" t="n"/>
      <c r="AD941" s="692" t="n"/>
      <c r="AE941" s="692" t="n"/>
      <c r="AF941" s="692" t="n"/>
      <c r="AG941" s="692" t="n"/>
      <c r="AH941" s="692" t="n"/>
      <c r="AI941" s="692" t="n"/>
      <c r="AJ941" s="692" t="n"/>
      <c r="AK941" s="692" t="n"/>
      <c r="AL941" s="692" t="n"/>
      <c r="AM941" s="692" t="n"/>
      <c r="AN941" s="692" t="n"/>
      <c r="AO941" s="692" t="n"/>
      <c r="AP941" s="692" t="n"/>
    </row>
    <row r="942">
      <c r="A942" s="692" t="n"/>
      <c r="B942" s="692" t="n"/>
      <c r="C942" s="692" t="n"/>
      <c r="D942" s="692" t="n"/>
      <c r="E942" s="692" t="n"/>
      <c r="F942" s="692" t="n"/>
      <c r="G942" s="692" t="n"/>
      <c r="H942" s="692" t="n"/>
      <c r="I942" s="692" t="n"/>
      <c r="J942" s="692" t="n"/>
      <c r="K942" s="692" t="n"/>
      <c r="L942" s="692" t="n"/>
      <c r="M942" s="692" t="n"/>
      <c r="N942" s="692" t="n"/>
      <c r="O942" s="692" t="n"/>
      <c r="P942" s="692" t="n"/>
      <c r="Q942" s="692" t="n"/>
      <c r="R942" s="692" t="n"/>
      <c r="S942" s="692" t="n"/>
      <c r="T942" s="692" t="n"/>
      <c r="U942" s="692" t="n"/>
      <c r="V942" s="692" t="n"/>
      <c r="W942" s="692" t="n"/>
      <c r="X942" s="692" t="n"/>
      <c r="Y942" s="692" t="n"/>
      <c r="Z942" s="692" t="n"/>
      <c r="AA942" s="692" t="n"/>
      <c r="AB942" s="692" t="n"/>
      <c r="AC942" s="692" t="n"/>
      <c r="AD942" s="692" t="n"/>
      <c r="AE942" s="692" t="n"/>
      <c r="AF942" s="692" t="n"/>
      <c r="AG942" s="692" t="n"/>
      <c r="AH942" s="692" t="n"/>
      <c r="AI942" s="692" t="n"/>
      <c r="AJ942" s="692" t="n"/>
      <c r="AK942" s="692" t="n"/>
      <c r="AL942" s="692" t="n"/>
      <c r="AM942" s="692" t="n"/>
      <c r="AN942" s="692" t="n"/>
      <c r="AO942" s="692" t="n"/>
      <c r="AP942" s="692" t="n"/>
    </row>
    <row r="943">
      <c r="A943" s="692" t="n"/>
      <c r="B943" s="692" t="n"/>
      <c r="C943" s="692" t="n"/>
      <c r="D943" s="692" t="n"/>
      <c r="E943" s="692" t="n"/>
      <c r="F943" s="692" t="n"/>
      <c r="G943" s="692" t="n"/>
      <c r="H943" s="692" t="n"/>
      <c r="I943" s="692" t="n"/>
      <c r="J943" s="692" t="n"/>
      <c r="K943" s="692" t="n"/>
      <c r="L943" s="692" t="n"/>
      <c r="M943" s="692" t="n"/>
      <c r="N943" s="692" t="n"/>
      <c r="O943" s="692" t="n"/>
      <c r="P943" s="692" t="n"/>
      <c r="Q943" s="692" t="n"/>
      <c r="R943" s="692" t="n"/>
      <c r="S943" s="692" t="n"/>
      <c r="T943" s="692" t="n"/>
      <c r="U943" s="692" t="n"/>
      <c r="V943" s="692" t="n"/>
      <c r="W943" s="692" t="n"/>
      <c r="X943" s="692" t="n"/>
      <c r="Y943" s="692" t="n"/>
      <c r="Z943" s="692" t="n"/>
      <c r="AA943" s="692" t="n"/>
      <c r="AB943" s="692" t="n"/>
      <c r="AC943" s="692" t="n"/>
      <c r="AD943" s="692" t="n"/>
      <c r="AE943" s="692" t="n"/>
      <c r="AF943" s="692" t="n"/>
      <c r="AG943" s="692" t="n"/>
      <c r="AH943" s="692" t="n"/>
      <c r="AI943" s="692" t="n"/>
      <c r="AJ943" s="692" t="n"/>
      <c r="AK943" s="692" t="n"/>
      <c r="AL943" s="692" t="n"/>
      <c r="AM943" s="692" t="n"/>
      <c r="AN943" s="692" t="n"/>
      <c r="AO943" s="692" t="n"/>
      <c r="AP943" s="692" t="n"/>
    </row>
    <row r="944">
      <c r="A944" s="692" t="n"/>
      <c r="B944" s="692" t="n"/>
      <c r="C944" s="692" t="n"/>
      <c r="D944" s="692" t="n"/>
      <c r="E944" s="692" t="n"/>
      <c r="F944" s="692" t="n"/>
      <c r="G944" s="692" t="n"/>
      <c r="H944" s="692" t="n"/>
      <c r="I944" s="692" t="n"/>
      <c r="J944" s="692" t="n"/>
      <c r="K944" s="692" t="n"/>
      <c r="L944" s="692" t="n"/>
      <c r="M944" s="692" t="n"/>
      <c r="N944" s="692" t="n"/>
      <c r="O944" s="692" t="n"/>
      <c r="P944" s="692" t="n"/>
      <c r="Q944" s="692" t="n"/>
      <c r="R944" s="692" t="n"/>
      <c r="S944" s="692" t="n"/>
      <c r="T944" s="692" t="n"/>
      <c r="U944" s="692" t="n"/>
      <c r="V944" s="692" t="n"/>
      <c r="W944" s="692" t="n"/>
      <c r="X944" s="692" t="n"/>
      <c r="Y944" s="692" t="n"/>
      <c r="Z944" s="692" t="n"/>
      <c r="AA944" s="692" t="n"/>
      <c r="AB944" s="692" t="n"/>
      <c r="AC944" s="692" t="n"/>
      <c r="AD944" s="692" t="n"/>
      <c r="AE944" s="692" t="n"/>
      <c r="AF944" s="692" t="n"/>
      <c r="AG944" s="692" t="n"/>
      <c r="AH944" s="692" t="n"/>
      <c r="AI944" s="692" t="n"/>
      <c r="AJ944" s="692" t="n"/>
      <c r="AK944" s="692" t="n"/>
      <c r="AL944" s="692" t="n"/>
      <c r="AM944" s="692" t="n"/>
      <c r="AN944" s="692" t="n"/>
      <c r="AO944" s="692" t="n"/>
      <c r="AP944" s="692" t="n"/>
    </row>
    <row r="945">
      <c r="A945" s="692" t="n"/>
      <c r="B945" s="692" t="n"/>
      <c r="C945" s="692" t="n"/>
      <c r="D945" s="692" t="n"/>
      <c r="E945" s="692" t="n"/>
      <c r="F945" s="692" t="n"/>
      <c r="G945" s="692" t="n"/>
      <c r="H945" s="692" t="n"/>
      <c r="I945" s="692" t="n"/>
      <c r="J945" s="692" t="n"/>
      <c r="K945" s="692" t="n"/>
      <c r="L945" s="692" t="n"/>
      <c r="M945" s="692" t="n"/>
      <c r="N945" s="692" t="n"/>
      <c r="O945" s="692" t="n"/>
      <c r="P945" s="692" t="n"/>
      <c r="Q945" s="692" t="n"/>
      <c r="R945" s="692" t="n"/>
      <c r="S945" s="692" t="n"/>
      <c r="T945" s="692" t="n"/>
      <c r="U945" s="692" t="n"/>
      <c r="V945" s="692" t="n"/>
      <c r="W945" s="692" t="n"/>
      <c r="X945" s="692" t="n"/>
      <c r="Y945" s="692" t="n"/>
      <c r="Z945" s="692" t="n"/>
      <c r="AA945" s="692" t="n"/>
      <c r="AB945" s="692" t="n"/>
      <c r="AC945" s="692" t="n"/>
      <c r="AD945" s="692" t="n"/>
      <c r="AE945" s="692" t="n"/>
      <c r="AF945" s="692" t="n"/>
      <c r="AG945" s="692" t="n"/>
      <c r="AH945" s="692" t="n"/>
      <c r="AI945" s="692" t="n"/>
      <c r="AJ945" s="692" t="n"/>
      <c r="AK945" s="692" t="n"/>
      <c r="AL945" s="692" t="n"/>
      <c r="AM945" s="692" t="n"/>
      <c r="AN945" s="692" t="n"/>
      <c r="AO945" s="692" t="n"/>
      <c r="AP945" s="692" t="n"/>
    </row>
    <row r="946">
      <c r="A946" s="692" t="n"/>
      <c r="B946" s="692" t="n"/>
      <c r="C946" s="692" t="n"/>
      <c r="D946" s="692" t="n"/>
      <c r="E946" s="692" t="n"/>
      <c r="F946" s="692" t="n"/>
      <c r="G946" s="692" t="n"/>
      <c r="H946" s="692" t="n"/>
      <c r="I946" s="692" t="n"/>
      <c r="J946" s="692" t="n"/>
      <c r="K946" s="692" t="n"/>
      <c r="L946" s="692" t="n"/>
      <c r="M946" s="692" t="n"/>
      <c r="N946" s="692" t="n"/>
      <c r="O946" s="692" t="n"/>
      <c r="P946" s="692" t="n"/>
      <c r="Q946" s="692" t="n"/>
      <c r="R946" s="692" t="n"/>
      <c r="S946" s="692" t="n"/>
      <c r="T946" s="692" t="n"/>
      <c r="U946" s="692" t="n"/>
      <c r="V946" s="692" t="n"/>
      <c r="W946" s="692" t="n"/>
      <c r="X946" s="692" t="n"/>
      <c r="Y946" s="692" t="n"/>
      <c r="Z946" s="692" t="n"/>
      <c r="AA946" s="692" t="n"/>
      <c r="AB946" s="692" t="n"/>
      <c r="AC946" s="692" t="n"/>
      <c r="AD946" s="692" t="n"/>
      <c r="AE946" s="692" t="n"/>
      <c r="AF946" s="692" t="n"/>
      <c r="AG946" s="692" t="n"/>
      <c r="AH946" s="692" t="n"/>
      <c r="AI946" s="692" t="n"/>
      <c r="AJ946" s="692" t="n"/>
      <c r="AK946" s="692" t="n"/>
      <c r="AL946" s="692" t="n"/>
      <c r="AM946" s="692" t="n"/>
      <c r="AN946" s="692" t="n"/>
      <c r="AO946" s="692" t="n"/>
      <c r="AP946" s="692" t="n"/>
    </row>
    <row r="947">
      <c r="A947" s="692" t="n"/>
      <c r="B947" s="692" t="n"/>
      <c r="C947" s="692" t="n"/>
      <c r="D947" s="692" t="n"/>
      <c r="E947" s="692" t="n"/>
      <c r="F947" s="692" t="n"/>
      <c r="G947" s="692" t="n"/>
      <c r="H947" s="692" t="n"/>
      <c r="I947" s="692" t="n"/>
      <c r="J947" s="692" t="n"/>
      <c r="K947" s="692" t="n"/>
      <c r="L947" s="692" t="n"/>
      <c r="M947" s="692" t="n"/>
      <c r="N947" s="692" t="n"/>
      <c r="O947" s="692" t="n"/>
      <c r="P947" s="692" t="n"/>
      <c r="Q947" s="692" t="n"/>
      <c r="R947" s="692" t="n"/>
      <c r="S947" s="692" t="n"/>
      <c r="T947" s="692" t="n"/>
      <c r="U947" s="692" t="n"/>
      <c r="V947" s="692" t="n"/>
      <c r="W947" s="692" t="n"/>
      <c r="X947" s="692" t="n"/>
      <c r="Y947" s="692" t="n"/>
      <c r="Z947" s="692" t="n"/>
      <c r="AA947" s="692" t="n"/>
      <c r="AB947" s="692" t="n"/>
      <c r="AC947" s="692" t="n"/>
      <c r="AD947" s="692" t="n"/>
      <c r="AE947" s="692" t="n"/>
      <c r="AF947" s="692" t="n"/>
      <c r="AG947" s="692" t="n"/>
      <c r="AH947" s="692" t="n"/>
      <c r="AI947" s="692" t="n"/>
      <c r="AJ947" s="692" t="n"/>
      <c r="AK947" s="692" t="n"/>
      <c r="AL947" s="692" t="n"/>
      <c r="AM947" s="692" t="n"/>
      <c r="AN947" s="692" t="n"/>
      <c r="AO947" s="692" t="n"/>
      <c r="AP947" s="692" t="n"/>
    </row>
    <row r="948">
      <c r="A948" s="692" t="n"/>
      <c r="B948" s="692" t="n"/>
      <c r="C948" s="692" t="n"/>
      <c r="D948" s="692" t="n"/>
      <c r="E948" s="692" t="n"/>
      <c r="F948" s="692" t="n"/>
      <c r="G948" s="692" t="n"/>
      <c r="H948" s="692" t="n"/>
      <c r="I948" s="692" t="n"/>
      <c r="J948" s="692" t="n"/>
      <c r="K948" s="692" t="n"/>
      <c r="L948" s="692" t="n"/>
      <c r="M948" s="692" t="n"/>
      <c r="N948" s="692" t="n"/>
      <c r="O948" s="692" t="n"/>
      <c r="P948" s="692" t="n"/>
      <c r="Q948" s="692" t="n"/>
      <c r="R948" s="692" t="n"/>
      <c r="S948" s="692" t="n"/>
      <c r="T948" s="692" t="n"/>
      <c r="U948" s="692" t="n"/>
      <c r="V948" s="692" t="n"/>
      <c r="W948" s="692" t="n"/>
      <c r="X948" s="692" t="n"/>
      <c r="Y948" s="692" t="n"/>
      <c r="Z948" s="692" t="n"/>
      <c r="AA948" s="692" t="n"/>
      <c r="AB948" s="692" t="n"/>
      <c r="AC948" s="692" t="n"/>
      <c r="AD948" s="692" t="n"/>
      <c r="AE948" s="692" t="n"/>
      <c r="AF948" s="692" t="n"/>
      <c r="AG948" s="692" t="n"/>
      <c r="AH948" s="692" t="n"/>
      <c r="AI948" s="692" t="n"/>
      <c r="AJ948" s="692" t="n"/>
      <c r="AK948" s="692" t="n"/>
      <c r="AL948" s="692" t="n"/>
      <c r="AM948" s="692" t="n"/>
      <c r="AN948" s="692" t="n"/>
      <c r="AO948" s="692" t="n"/>
      <c r="AP948" s="692" t="n"/>
    </row>
    <row r="949">
      <c r="A949" s="692" t="n"/>
      <c r="B949" s="692" t="n"/>
      <c r="C949" s="692" t="n"/>
      <c r="D949" s="692" t="n"/>
      <c r="E949" s="692" t="n"/>
      <c r="F949" s="692" t="n"/>
      <c r="G949" s="692" t="n"/>
      <c r="H949" s="692" t="n"/>
      <c r="I949" s="692" t="n"/>
      <c r="J949" s="692" t="n"/>
      <c r="K949" s="692" t="n"/>
      <c r="L949" s="692" t="n"/>
      <c r="M949" s="692" t="n"/>
      <c r="N949" s="692" t="n"/>
      <c r="O949" s="692" t="n"/>
      <c r="P949" s="692" t="n"/>
      <c r="Q949" s="692" t="n"/>
      <c r="R949" s="692" t="n"/>
      <c r="S949" s="692" t="n"/>
      <c r="T949" s="692" t="n"/>
      <c r="U949" s="692" t="n"/>
      <c r="V949" s="692" t="n"/>
      <c r="W949" s="692" t="n"/>
      <c r="X949" s="692" t="n"/>
      <c r="Y949" s="692" t="n"/>
      <c r="Z949" s="692" t="n"/>
      <c r="AA949" s="692" t="n"/>
      <c r="AB949" s="692" t="n"/>
      <c r="AC949" s="692" t="n"/>
      <c r="AD949" s="692" t="n"/>
      <c r="AE949" s="692" t="n"/>
      <c r="AF949" s="692" t="n"/>
      <c r="AG949" s="692" t="n"/>
      <c r="AH949" s="692" t="n"/>
      <c r="AI949" s="692" t="n"/>
      <c r="AJ949" s="692" t="n"/>
      <c r="AK949" s="692" t="n"/>
      <c r="AL949" s="692" t="n"/>
      <c r="AM949" s="692" t="n"/>
      <c r="AN949" s="692" t="n"/>
      <c r="AO949" s="692" t="n"/>
      <c r="AP949" s="692" t="n"/>
    </row>
    <row r="950">
      <c r="A950" s="692" t="n"/>
      <c r="B950" s="692" t="n"/>
      <c r="C950" s="692" t="n"/>
      <c r="D950" s="692" t="n"/>
      <c r="E950" s="692" t="n"/>
      <c r="F950" s="692" t="n"/>
      <c r="G950" s="692" t="n"/>
      <c r="H950" s="692" t="n"/>
      <c r="I950" s="692" t="n"/>
      <c r="J950" s="692" t="n"/>
      <c r="K950" s="692" t="n"/>
      <c r="L950" s="692" t="n"/>
      <c r="M950" s="692" t="n"/>
      <c r="N950" s="692" t="n"/>
      <c r="O950" s="692" t="n"/>
      <c r="P950" s="692" t="n"/>
      <c r="Q950" s="692" t="n"/>
      <c r="R950" s="692" t="n"/>
      <c r="S950" s="692" t="n"/>
      <c r="T950" s="692" t="n"/>
      <c r="U950" s="692" t="n"/>
      <c r="V950" s="692" t="n"/>
      <c r="W950" s="692" t="n"/>
      <c r="X950" s="692" t="n"/>
      <c r="Y950" s="692" t="n"/>
      <c r="Z950" s="692" t="n"/>
      <c r="AA950" s="692" t="n"/>
      <c r="AB950" s="692" t="n"/>
      <c r="AC950" s="692" t="n"/>
      <c r="AD950" s="692" t="n"/>
      <c r="AE950" s="692" t="n"/>
      <c r="AF950" s="692" t="n"/>
      <c r="AG950" s="692" t="n"/>
      <c r="AH950" s="692" t="n"/>
      <c r="AI950" s="692" t="n"/>
      <c r="AJ950" s="692" t="n"/>
      <c r="AK950" s="692" t="n"/>
      <c r="AL950" s="692" t="n"/>
      <c r="AM950" s="692" t="n"/>
      <c r="AN950" s="692" t="n"/>
      <c r="AO950" s="692" t="n"/>
      <c r="AP950" s="692" t="n"/>
    </row>
    <row r="951">
      <c r="A951" s="692" t="n"/>
      <c r="B951" s="692" t="n"/>
      <c r="C951" s="692" t="n"/>
      <c r="D951" s="692" t="n"/>
      <c r="E951" s="692" t="n"/>
      <c r="F951" s="692" t="n"/>
      <c r="G951" s="692" t="n"/>
      <c r="H951" s="692" t="n"/>
      <c r="I951" s="692" t="n"/>
      <c r="J951" s="692" t="n"/>
      <c r="K951" s="692" t="n"/>
      <c r="L951" s="692" t="n"/>
      <c r="M951" s="692" t="n"/>
      <c r="N951" s="692" t="n"/>
      <c r="O951" s="692" t="n"/>
      <c r="P951" s="692" t="n"/>
      <c r="Q951" s="692" t="n"/>
      <c r="R951" s="692" t="n"/>
      <c r="S951" s="692" t="n"/>
      <c r="T951" s="692" t="n"/>
      <c r="U951" s="692" t="n"/>
      <c r="V951" s="692" t="n"/>
      <c r="W951" s="692" t="n"/>
      <c r="X951" s="692" t="n"/>
      <c r="Y951" s="692" t="n"/>
      <c r="Z951" s="692" t="n"/>
      <c r="AA951" s="692" t="n"/>
      <c r="AB951" s="692" t="n"/>
      <c r="AC951" s="692" t="n"/>
      <c r="AD951" s="692" t="n"/>
      <c r="AE951" s="692" t="n"/>
      <c r="AF951" s="692" t="n"/>
      <c r="AG951" s="692" t="n"/>
      <c r="AH951" s="692" t="n"/>
      <c r="AI951" s="692" t="n"/>
      <c r="AJ951" s="692" t="n"/>
      <c r="AK951" s="692" t="n"/>
      <c r="AL951" s="692" t="n"/>
      <c r="AM951" s="692" t="n"/>
      <c r="AN951" s="692" t="n"/>
      <c r="AO951" s="692" t="n"/>
      <c r="AP951" s="692" t="n"/>
    </row>
    <row r="952">
      <c r="A952" s="692" t="n"/>
      <c r="B952" s="692" t="n"/>
      <c r="C952" s="692" t="n"/>
      <c r="D952" s="692" t="n"/>
      <c r="E952" s="692" t="n"/>
      <c r="F952" s="692" t="n"/>
      <c r="G952" s="692" t="n"/>
      <c r="H952" s="692" t="n"/>
      <c r="I952" s="692" t="n"/>
      <c r="J952" s="692" t="n"/>
      <c r="K952" s="692" t="n"/>
      <c r="L952" s="692" t="n"/>
      <c r="M952" s="692" t="n"/>
      <c r="N952" s="692" t="n"/>
      <c r="O952" s="692" t="n"/>
      <c r="P952" s="692" t="n"/>
      <c r="Q952" s="692" t="n"/>
      <c r="R952" s="692" t="n"/>
      <c r="S952" s="692" t="n"/>
      <c r="T952" s="692" t="n"/>
      <c r="U952" s="692" t="n"/>
      <c r="V952" s="692" t="n"/>
      <c r="W952" s="692" t="n"/>
      <c r="X952" s="692" t="n"/>
      <c r="Y952" s="692" t="n"/>
      <c r="Z952" s="692" t="n"/>
      <c r="AA952" s="692" t="n"/>
      <c r="AB952" s="692" t="n"/>
      <c r="AC952" s="692" t="n"/>
      <c r="AD952" s="692" t="n"/>
      <c r="AE952" s="692" t="n"/>
      <c r="AF952" s="692" t="n"/>
      <c r="AG952" s="692" t="n"/>
      <c r="AH952" s="692" t="n"/>
      <c r="AI952" s="692" t="n"/>
      <c r="AJ952" s="692" t="n"/>
      <c r="AK952" s="692" t="n"/>
      <c r="AL952" s="692" t="n"/>
      <c r="AM952" s="692" t="n"/>
      <c r="AN952" s="692" t="n"/>
      <c r="AO952" s="692" t="n"/>
      <c r="AP952" s="692" t="n"/>
    </row>
    <row r="953">
      <c r="A953" s="692" t="n"/>
      <c r="B953" s="692" t="n"/>
      <c r="C953" s="692" t="n"/>
      <c r="D953" s="692" t="n"/>
      <c r="E953" s="692" t="n"/>
      <c r="F953" s="692" t="n"/>
      <c r="G953" s="692" t="n"/>
      <c r="H953" s="692" t="n"/>
      <c r="I953" s="692" t="n"/>
      <c r="J953" s="692" t="n"/>
      <c r="K953" s="692" t="n"/>
      <c r="L953" s="692" t="n"/>
      <c r="M953" s="692" t="n"/>
      <c r="N953" s="692" t="n"/>
      <c r="O953" s="692" t="n"/>
      <c r="P953" s="692" t="n"/>
      <c r="Q953" s="692" t="n"/>
      <c r="R953" s="692" t="n"/>
      <c r="S953" s="692" t="n"/>
      <c r="T953" s="692" t="n"/>
      <c r="U953" s="692" t="n"/>
      <c r="V953" s="692" t="n"/>
      <c r="W953" s="692" t="n"/>
      <c r="X953" s="692" t="n"/>
      <c r="Y953" s="692" t="n"/>
      <c r="Z953" s="692" t="n"/>
      <c r="AA953" s="692" t="n"/>
      <c r="AB953" s="692" t="n"/>
      <c r="AC953" s="692" t="n"/>
      <c r="AD953" s="692" t="n"/>
      <c r="AE953" s="692" t="n"/>
      <c r="AF953" s="692" t="n"/>
      <c r="AG953" s="692" t="n"/>
      <c r="AH953" s="692" t="n"/>
      <c r="AI953" s="692" t="n"/>
      <c r="AJ953" s="692" t="n"/>
      <c r="AK953" s="692" t="n"/>
      <c r="AL953" s="692" t="n"/>
      <c r="AM953" s="692" t="n"/>
      <c r="AN953" s="692" t="n"/>
      <c r="AO953" s="692" t="n"/>
      <c r="AP953" s="692" t="n"/>
    </row>
    <row r="954">
      <c r="A954" s="692" t="n"/>
      <c r="B954" s="692" t="n"/>
      <c r="C954" s="692" t="n"/>
      <c r="D954" s="692" t="n"/>
      <c r="E954" s="692" t="n"/>
      <c r="F954" s="692" t="n"/>
      <c r="G954" s="692" t="n"/>
      <c r="H954" s="692" t="n"/>
      <c r="I954" s="692" t="n"/>
      <c r="J954" s="692" t="n"/>
      <c r="K954" s="692" t="n"/>
      <c r="L954" s="692" t="n"/>
      <c r="M954" s="692" t="n"/>
      <c r="N954" s="692" t="n"/>
      <c r="O954" s="692" t="n"/>
      <c r="P954" s="692" t="n"/>
      <c r="Q954" s="692" t="n"/>
      <c r="R954" s="692" t="n"/>
      <c r="S954" s="692" t="n"/>
      <c r="T954" s="692" t="n"/>
      <c r="U954" s="692" t="n"/>
      <c r="V954" s="692" t="n"/>
      <c r="W954" s="692" t="n"/>
      <c r="X954" s="692" t="n"/>
      <c r="Y954" s="692" t="n"/>
      <c r="Z954" s="692" t="n"/>
      <c r="AA954" s="692" t="n"/>
      <c r="AB954" s="692" t="n"/>
      <c r="AC954" s="692" t="n"/>
      <c r="AD954" s="692" t="n"/>
      <c r="AE954" s="692" t="n"/>
      <c r="AF954" s="692" t="n"/>
      <c r="AG954" s="692" t="n"/>
      <c r="AH954" s="692" t="n"/>
      <c r="AI954" s="692" t="n"/>
      <c r="AJ954" s="692" t="n"/>
      <c r="AK954" s="692" t="n"/>
      <c r="AL954" s="692" t="n"/>
      <c r="AM954" s="692" t="n"/>
      <c r="AN954" s="692" t="n"/>
      <c r="AO954" s="692" t="n"/>
      <c r="AP954" s="692" t="n"/>
    </row>
    <row r="955">
      <c r="A955" s="692" t="n"/>
      <c r="B955" s="692" t="n"/>
      <c r="C955" s="692" t="n"/>
      <c r="D955" s="692" t="n"/>
      <c r="E955" s="692" t="n"/>
      <c r="F955" s="692" t="n"/>
      <c r="G955" s="692" t="n"/>
      <c r="H955" s="692" t="n"/>
      <c r="I955" s="692" t="n"/>
      <c r="J955" s="692" t="n"/>
      <c r="K955" s="692" t="n"/>
      <c r="L955" s="692" t="n"/>
      <c r="M955" s="692" t="n"/>
      <c r="N955" s="692" t="n"/>
      <c r="O955" s="692" t="n"/>
      <c r="P955" s="692" t="n"/>
      <c r="Q955" s="692" t="n"/>
      <c r="R955" s="692" t="n"/>
      <c r="S955" s="692" t="n"/>
      <c r="T955" s="692" t="n"/>
      <c r="U955" s="692" t="n"/>
      <c r="V955" s="692" t="n"/>
      <c r="W955" s="692" t="n"/>
      <c r="X955" s="692" t="n"/>
      <c r="Y955" s="692" t="n"/>
      <c r="Z955" s="692" t="n"/>
      <c r="AA955" s="692" t="n"/>
      <c r="AB955" s="692" t="n"/>
      <c r="AC955" s="692" t="n"/>
      <c r="AD955" s="692" t="n"/>
      <c r="AE955" s="692" t="n"/>
      <c r="AF955" s="692" t="n"/>
      <c r="AG955" s="692" t="n"/>
      <c r="AH955" s="692" t="n"/>
      <c r="AI955" s="692" t="n"/>
      <c r="AJ955" s="692" t="n"/>
      <c r="AK955" s="692" t="n"/>
      <c r="AL955" s="692" t="n"/>
      <c r="AM955" s="692" t="n"/>
      <c r="AN955" s="692" t="n"/>
      <c r="AO955" s="692" t="n"/>
      <c r="AP955" s="692" t="n"/>
    </row>
    <row r="956">
      <c r="A956" s="692" t="n"/>
      <c r="B956" s="692" t="n"/>
      <c r="C956" s="692" t="n"/>
      <c r="D956" s="692" t="n"/>
      <c r="E956" s="692" t="n"/>
      <c r="F956" s="692" t="n"/>
      <c r="G956" s="692" t="n"/>
      <c r="H956" s="692" t="n"/>
      <c r="I956" s="692" t="n"/>
      <c r="J956" s="692" t="n"/>
      <c r="K956" s="692" t="n"/>
      <c r="L956" s="692" t="n"/>
      <c r="M956" s="692" t="n"/>
      <c r="N956" s="692" t="n"/>
      <c r="O956" s="692" t="n"/>
      <c r="P956" s="692" t="n"/>
      <c r="Q956" s="692" t="n"/>
      <c r="R956" s="692" t="n"/>
      <c r="S956" s="692" t="n"/>
      <c r="T956" s="692" t="n"/>
      <c r="U956" s="692" t="n"/>
      <c r="V956" s="692" t="n"/>
      <c r="W956" s="692" t="n"/>
      <c r="X956" s="692" t="n"/>
      <c r="Y956" s="692" t="n"/>
      <c r="Z956" s="692" t="n"/>
      <c r="AA956" s="692" t="n"/>
      <c r="AB956" s="692" t="n"/>
      <c r="AC956" s="692" t="n"/>
      <c r="AD956" s="692" t="n"/>
      <c r="AE956" s="692" t="n"/>
      <c r="AF956" s="692" t="n"/>
      <c r="AG956" s="692" t="n"/>
      <c r="AH956" s="692" t="n"/>
      <c r="AI956" s="692" t="n"/>
      <c r="AJ956" s="692" t="n"/>
      <c r="AK956" s="692" t="n"/>
      <c r="AL956" s="692" t="n"/>
      <c r="AM956" s="692" t="n"/>
      <c r="AN956" s="692" t="n"/>
      <c r="AO956" s="692" t="n"/>
      <c r="AP956" s="692" t="n"/>
    </row>
    <row r="957">
      <c r="A957" s="692" t="n"/>
      <c r="B957" s="692" t="n"/>
      <c r="C957" s="692" t="n"/>
      <c r="D957" s="692" t="n"/>
      <c r="E957" s="692" t="n"/>
      <c r="F957" s="692" t="n"/>
      <c r="G957" s="692" t="n"/>
      <c r="H957" s="692" t="n"/>
      <c r="I957" s="692" t="n"/>
      <c r="J957" s="692" t="n"/>
      <c r="K957" s="692" t="n"/>
      <c r="L957" s="692" t="n"/>
      <c r="M957" s="692" t="n"/>
      <c r="N957" s="692" t="n"/>
      <c r="O957" s="692" t="n"/>
      <c r="P957" s="692" t="n"/>
      <c r="Q957" s="692" t="n"/>
      <c r="R957" s="692" t="n"/>
      <c r="S957" s="692" t="n"/>
      <c r="T957" s="692" t="n"/>
      <c r="U957" s="692" t="n"/>
      <c r="V957" s="692" t="n"/>
      <c r="W957" s="692" t="n"/>
      <c r="X957" s="692" t="n"/>
      <c r="Y957" s="692" t="n"/>
      <c r="Z957" s="692" t="n"/>
      <c r="AA957" s="692" t="n"/>
      <c r="AB957" s="692" t="n"/>
      <c r="AC957" s="692" t="n"/>
      <c r="AD957" s="692" t="n"/>
      <c r="AE957" s="692" t="n"/>
      <c r="AF957" s="692" t="n"/>
      <c r="AG957" s="692" t="n"/>
      <c r="AH957" s="692" t="n"/>
      <c r="AI957" s="692" t="n"/>
      <c r="AJ957" s="692" t="n"/>
      <c r="AK957" s="692" t="n"/>
      <c r="AL957" s="692" t="n"/>
      <c r="AM957" s="692" t="n"/>
      <c r="AN957" s="692" t="n"/>
      <c r="AO957" s="692" t="n"/>
      <c r="AP957" s="692" t="n"/>
    </row>
    <row r="958">
      <c r="A958" s="692" t="n"/>
      <c r="B958" s="692" t="n"/>
      <c r="C958" s="692" t="n"/>
      <c r="D958" s="692" t="n"/>
      <c r="E958" s="692" t="n"/>
      <c r="F958" s="692" t="n"/>
      <c r="G958" s="692" t="n"/>
      <c r="H958" s="692" t="n"/>
      <c r="I958" s="692" t="n"/>
      <c r="J958" s="692" t="n"/>
      <c r="K958" s="692" t="n"/>
      <c r="L958" s="692" t="n"/>
      <c r="M958" s="692" t="n"/>
      <c r="N958" s="692" t="n"/>
      <c r="O958" s="692" t="n"/>
      <c r="P958" s="692" t="n"/>
      <c r="Q958" s="692" t="n"/>
      <c r="R958" s="692" t="n"/>
      <c r="S958" s="692" t="n"/>
      <c r="T958" s="692" t="n"/>
      <c r="U958" s="692" t="n"/>
      <c r="V958" s="692" t="n"/>
      <c r="W958" s="692" t="n"/>
      <c r="X958" s="692" t="n"/>
      <c r="Y958" s="692" t="n"/>
      <c r="Z958" s="692" t="n"/>
      <c r="AA958" s="692" t="n"/>
      <c r="AB958" s="692" t="n"/>
      <c r="AC958" s="692" t="n"/>
      <c r="AD958" s="692" t="n"/>
      <c r="AE958" s="692" t="n"/>
      <c r="AF958" s="692" t="n"/>
      <c r="AG958" s="692" t="n"/>
      <c r="AH958" s="692" t="n"/>
      <c r="AI958" s="692" t="n"/>
      <c r="AJ958" s="692" t="n"/>
      <c r="AK958" s="692" t="n"/>
      <c r="AL958" s="692" t="n"/>
      <c r="AM958" s="692" t="n"/>
      <c r="AN958" s="692" t="n"/>
      <c r="AO958" s="692" t="n"/>
      <c r="AP958" s="692" t="n"/>
    </row>
    <row r="959">
      <c r="A959" s="692" t="n"/>
      <c r="B959" s="692" t="n"/>
      <c r="C959" s="692" t="n"/>
      <c r="D959" s="692" t="n"/>
      <c r="E959" s="692" t="n"/>
      <c r="F959" s="692" t="n"/>
      <c r="G959" s="692" t="n"/>
      <c r="H959" s="692" t="n"/>
      <c r="I959" s="692" t="n"/>
      <c r="J959" s="692" t="n"/>
      <c r="K959" s="692" t="n"/>
      <c r="L959" s="692" t="n"/>
      <c r="M959" s="692" t="n"/>
      <c r="N959" s="692" t="n"/>
      <c r="O959" s="692" t="n"/>
      <c r="P959" s="692" t="n"/>
      <c r="Q959" s="692" t="n"/>
      <c r="R959" s="692" t="n"/>
      <c r="S959" s="692" t="n"/>
      <c r="T959" s="692" t="n"/>
      <c r="U959" s="692" t="n"/>
      <c r="V959" s="692" t="n"/>
      <c r="W959" s="692" t="n"/>
      <c r="X959" s="692" t="n"/>
      <c r="Y959" s="692" t="n"/>
      <c r="Z959" s="692" t="n"/>
      <c r="AA959" s="692" t="n"/>
      <c r="AB959" s="692" t="n"/>
      <c r="AC959" s="692" t="n"/>
      <c r="AD959" s="692" t="n"/>
      <c r="AE959" s="692" t="n"/>
      <c r="AF959" s="692" t="n"/>
      <c r="AG959" s="692" t="n"/>
      <c r="AH959" s="692" t="n"/>
      <c r="AI959" s="692" t="n"/>
      <c r="AJ959" s="692" t="n"/>
      <c r="AK959" s="692" t="n"/>
      <c r="AL959" s="692" t="n"/>
      <c r="AM959" s="692" t="n"/>
      <c r="AN959" s="692" t="n"/>
      <c r="AO959" s="692" t="n"/>
      <c r="AP959" s="692" t="n"/>
    </row>
    <row r="960">
      <c r="A960" s="692" t="n"/>
      <c r="B960" s="692" t="n"/>
      <c r="C960" s="692" t="n"/>
      <c r="D960" s="692" t="n"/>
      <c r="E960" s="692" t="n"/>
      <c r="F960" s="692" t="n"/>
      <c r="G960" s="692" t="n"/>
      <c r="H960" s="692" t="n"/>
      <c r="I960" s="692" t="n"/>
      <c r="J960" s="692" t="n"/>
      <c r="K960" s="692" t="n"/>
      <c r="L960" s="692" t="n"/>
      <c r="M960" s="692" t="n"/>
      <c r="N960" s="692" t="n"/>
      <c r="O960" s="692" t="n"/>
      <c r="P960" s="692" t="n"/>
      <c r="Q960" s="692" t="n"/>
      <c r="R960" s="692" t="n"/>
      <c r="S960" s="692" t="n"/>
      <c r="T960" s="692" t="n"/>
      <c r="U960" s="692" t="n"/>
      <c r="V960" s="692" t="n"/>
      <c r="W960" s="692" t="n"/>
      <c r="X960" s="692" t="n"/>
      <c r="Y960" s="692" t="n"/>
      <c r="Z960" s="692" t="n"/>
      <c r="AA960" s="692" t="n"/>
      <c r="AB960" s="692" t="n"/>
      <c r="AC960" s="692" t="n"/>
      <c r="AD960" s="692" t="n"/>
      <c r="AE960" s="692" t="n"/>
      <c r="AF960" s="692" t="n"/>
      <c r="AG960" s="692" t="n"/>
      <c r="AH960" s="692" t="n"/>
      <c r="AI960" s="692" t="n"/>
      <c r="AJ960" s="692" t="n"/>
      <c r="AK960" s="692" t="n"/>
      <c r="AL960" s="692" t="n"/>
      <c r="AM960" s="692" t="n"/>
      <c r="AN960" s="692" t="n"/>
      <c r="AO960" s="692" t="n"/>
      <c r="AP960" s="692" t="n"/>
    </row>
    <row r="961">
      <c r="A961" s="692" t="n"/>
      <c r="B961" s="692" t="n"/>
      <c r="C961" s="692" t="n"/>
      <c r="D961" s="692" t="n"/>
      <c r="E961" s="692" t="n"/>
      <c r="F961" s="692" t="n"/>
      <c r="G961" s="692" t="n"/>
      <c r="H961" s="692" t="n"/>
      <c r="I961" s="692" t="n"/>
      <c r="J961" s="692" t="n"/>
      <c r="K961" s="692" t="n"/>
      <c r="L961" s="692" t="n"/>
      <c r="M961" s="692" t="n"/>
      <c r="N961" s="692" t="n"/>
      <c r="O961" s="692" t="n"/>
      <c r="P961" s="692" t="n"/>
      <c r="Q961" s="692" t="n"/>
      <c r="R961" s="692" t="n"/>
      <c r="S961" s="692" t="n"/>
      <c r="T961" s="692" t="n"/>
      <c r="U961" s="692" t="n"/>
      <c r="V961" s="692" t="n"/>
      <c r="W961" s="692" t="n"/>
      <c r="X961" s="692" t="n"/>
      <c r="Y961" s="692" t="n"/>
      <c r="Z961" s="692" t="n"/>
      <c r="AA961" s="692" t="n"/>
      <c r="AB961" s="692" t="n"/>
      <c r="AC961" s="692" t="n"/>
      <c r="AD961" s="692" t="n"/>
      <c r="AE961" s="692" t="n"/>
      <c r="AF961" s="692" t="n"/>
      <c r="AG961" s="692" t="n"/>
      <c r="AH961" s="692" t="n"/>
      <c r="AI961" s="692" t="n"/>
      <c r="AJ961" s="692" t="n"/>
      <c r="AK961" s="692" t="n"/>
      <c r="AL961" s="692" t="n"/>
      <c r="AM961" s="692" t="n"/>
      <c r="AN961" s="692" t="n"/>
      <c r="AO961" s="692" t="n"/>
      <c r="AP961" s="692" t="n"/>
    </row>
    <row r="962">
      <c r="A962" s="692" t="n"/>
      <c r="B962" s="692" t="n"/>
      <c r="C962" s="692" t="n"/>
      <c r="D962" s="692" t="n"/>
      <c r="E962" s="692" t="n"/>
      <c r="F962" s="692" t="n"/>
      <c r="G962" s="692" t="n"/>
      <c r="H962" s="692" t="n"/>
      <c r="I962" s="692" t="n"/>
      <c r="J962" s="692" t="n"/>
      <c r="K962" s="692" t="n"/>
      <c r="L962" s="692" t="n"/>
      <c r="M962" s="692" t="n"/>
      <c r="N962" s="692" t="n"/>
      <c r="O962" s="692" t="n"/>
      <c r="P962" s="692" t="n"/>
      <c r="Q962" s="692" t="n"/>
      <c r="R962" s="692" t="n"/>
      <c r="S962" s="692" t="n"/>
      <c r="T962" s="692" t="n"/>
      <c r="U962" s="692" t="n"/>
      <c r="V962" s="692" t="n"/>
      <c r="W962" s="692" t="n"/>
      <c r="X962" s="692" t="n"/>
      <c r="Y962" s="692" t="n"/>
      <c r="Z962" s="692" t="n"/>
      <c r="AA962" s="692" t="n"/>
      <c r="AB962" s="692" t="n"/>
      <c r="AC962" s="692" t="n"/>
      <c r="AD962" s="692" t="n"/>
      <c r="AE962" s="692" t="n"/>
      <c r="AF962" s="692" t="n"/>
      <c r="AG962" s="692" t="n"/>
      <c r="AH962" s="692" t="n"/>
      <c r="AI962" s="692" t="n"/>
      <c r="AJ962" s="692" t="n"/>
      <c r="AK962" s="692" t="n"/>
      <c r="AL962" s="692" t="n"/>
      <c r="AM962" s="692" t="n"/>
      <c r="AN962" s="692" t="n"/>
      <c r="AO962" s="692" t="n"/>
      <c r="AP962" s="692" t="n"/>
    </row>
    <row r="963">
      <c r="A963" s="692" t="n"/>
      <c r="B963" s="692" t="n"/>
      <c r="C963" s="692" t="n"/>
      <c r="D963" s="692" t="n"/>
      <c r="E963" s="692" t="n"/>
      <c r="F963" s="692" t="n"/>
      <c r="G963" s="692" t="n"/>
      <c r="H963" s="692" t="n"/>
      <c r="I963" s="692" t="n"/>
      <c r="J963" s="692" t="n"/>
      <c r="K963" s="692" t="n"/>
      <c r="L963" s="692" t="n"/>
      <c r="M963" s="692" t="n"/>
      <c r="N963" s="692" t="n"/>
      <c r="O963" s="692" t="n"/>
      <c r="P963" s="692" t="n"/>
      <c r="Q963" s="692" t="n"/>
      <c r="R963" s="692" t="n"/>
      <c r="S963" s="692" t="n"/>
      <c r="T963" s="692" t="n"/>
      <c r="U963" s="692" t="n"/>
      <c r="V963" s="692" t="n"/>
      <c r="W963" s="692" t="n"/>
      <c r="X963" s="692" t="n"/>
      <c r="Y963" s="692" t="n"/>
      <c r="Z963" s="692" t="n"/>
      <c r="AA963" s="692" t="n"/>
      <c r="AB963" s="692" t="n"/>
      <c r="AC963" s="692" t="n"/>
      <c r="AD963" s="692" t="n"/>
      <c r="AE963" s="692" t="n"/>
      <c r="AF963" s="692" t="n"/>
      <c r="AG963" s="692" t="n"/>
      <c r="AH963" s="692" t="n"/>
      <c r="AI963" s="692" t="n"/>
      <c r="AJ963" s="692" t="n"/>
      <c r="AK963" s="692" t="n"/>
      <c r="AL963" s="692" t="n"/>
      <c r="AM963" s="692" t="n"/>
      <c r="AN963" s="692" t="n"/>
      <c r="AO963" s="692" t="n"/>
      <c r="AP963" s="692" t="n"/>
    </row>
    <row r="964">
      <c r="A964" s="692" t="n"/>
      <c r="B964" s="692" t="n"/>
      <c r="C964" s="692" t="n"/>
      <c r="D964" s="692" t="n"/>
      <c r="E964" s="692" t="n"/>
      <c r="F964" s="692" t="n"/>
      <c r="G964" s="692" t="n"/>
      <c r="H964" s="692" t="n"/>
      <c r="I964" s="692" t="n"/>
      <c r="J964" s="692" t="n"/>
      <c r="K964" s="692" t="n"/>
      <c r="L964" s="692" t="n"/>
      <c r="M964" s="692" t="n"/>
      <c r="N964" s="692" t="n"/>
      <c r="O964" s="692" t="n"/>
      <c r="P964" s="692" t="n"/>
      <c r="Q964" s="692" t="n"/>
      <c r="R964" s="692" t="n"/>
      <c r="S964" s="692" t="n"/>
      <c r="T964" s="692" t="n"/>
      <c r="U964" s="692" t="n"/>
      <c r="V964" s="692" t="n"/>
      <c r="W964" s="692" t="n"/>
      <c r="X964" s="692" t="n"/>
      <c r="Y964" s="692" t="n"/>
      <c r="Z964" s="692" t="n"/>
      <c r="AA964" s="692" t="n"/>
      <c r="AB964" s="692" t="n"/>
      <c r="AC964" s="692" t="n"/>
      <c r="AD964" s="692" t="n"/>
      <c r="AE964" s="692" t="n"/>
      <c r="AF964" s="692" t="n"/>
      <c r="AG964" s="692" t="n"/>
      <c r="AH964" s="692" t="n"/>
      <c r="AI964" s="692" t="n"/>
      <c r="AJ964" s="692" t="n"/>
      <c r="AK964" s="692" t="n"/>
      <c r="AL964" s="692" t="n"/>
      <c r="AM964" s="692" t="n"/>
      <c r="AN964" s="692" t="n"/>
      <c r="AO964" s="692" t="n"/>
      <c r="AP964" s="692" t="n"/>
    </row>
    <row r="965">
      <c r="A965" s="692" t="n"/>
      <c r="B965" s="692" t="n"/>
      <c r="C965" s="692" t="n"/>
      <c r="D965" s="692" t="n"/>
      <c r="E965" s="692" t="n"/>
      <c r="F965" s="692" t="n"/>
      <c r="G965" s="692" t="n"/>
      <c r="H965" s="692" t="n"/>
      <c r="I965" s="692" t="n"/>
      <c r="J965" s="692" t="n"/>
      <c r="K965" s="692" t="n"/>
      <c r="L965" s="692" t="n"/>
      <c r="M965" s="692" t="n"/>
      <c r="N965" s="692" t="n"/>
      <c r="O965" s="692" t="n"/>
      <c r="P965" s="692" t="n"/>
      <c r="Q965" s="692" t="n"/>
      <c r="R965" s="692" t="n"/>
      <c r="S965" s="692" t="n"/>
      <c r="T965" s="692" t="n"/>
      <c r="U965" s="692" t="n"/>
      <c r="V965" s="692" t="n"/>
      <c r="W965" s="692" t="n"/>
      <c r="X965" s="692" t="n"/>
      <c r="Y965" s="692" t="n"/>
      <c r="Z965" s="692" t="n"/>
      <c r="AA965" s="692" t="n"/>
      <c r="AB965" s="692" t="n"/>
      <c r="AC965" s="692" t="n"/>
      <c r="AD965" s="692" t="n"/>
      <c r="AE965" s="692" t="n"/>
      <c r="AF965" s="692" t="n"/>
      <c r="AG965" s="692" t="n"/>
      <c r="AH965" s="692" t="n"/>
      <c r="AI965" s="692" t="n"/>
      <c r="AJ965" s="692" t="n"/>
      <c r="AK965" s="692" t="n"/>
      <c r="AL965" s="692" t="n"/>
      <c r="AM965" s="692" t="n"/>
      <c r="AN965" s="692" t="n"/>
      <c r="AO965" s="692" t="n"/>
      <c r="AP965" s="692" t="n"/>
    </row>
    <row r="966">
      <c r="A966" s="692" t="n"/>
      <c r="B966" s="692" t="n"/>
      <c r="C966" s="692" t="n"/>
      <c r="D966" s="692" t="n"/>
      <c r="E966" s="692" t="n"/>
      <c r="F966" s="692" t="n"/>
      <c r="G966" s="692" t="n"/>
      <c r="H966" s="692" t="n"/>
      <c r="I966" s="692" t="n"/>
      <c r="J966" s="692" t="n"/>
      <c r="K966" s="692" t="n"/>
      <c r="L966" s="692" t="n"/>
      <c r="M966" s="692" t="n"/>
      <c r="N966" s="692" t="n"/>
      <c r="O966" s="692" t="n"/>
      <c r="P966" s="692" t="n"/>
      <c r="Q966" s="692" t="n"/>
      <c r="R966" s="692" t="n"/>
      <c r="S966" s="692" t="n"/>
      <c r="T966" s="692" t="n"/>
      <c r="U966" s="692" t="n"/>
      <c r="V966" s="692" t="n"/>
      <c r="W966" s="692" t="n"/>
      <c r="X966" s="692" t="n"/>
      <c r="Y966" s="692" t="n"/>
      <c r="Z966" s="692" t="n"/>
      <c r="AA966" s="692" t="n"/>
      <c r="AB966" s="692" t="n"/>
      <c r="AC966" s="692" t="n"/>
      <c r="AD966" s="692" t="n"/>
      <c r="AE966" s="692" t="n"/>
      <c r="AF966" s="692" t="n"/>
      <c r="AG966" s="692" t="n"/>
      <c r="AH966" s="692" t="n"/>
      <c r="AI966" s="692" t="n"/>
      <c r="AJ966" s="692" t="n"/>
      <c r="AK966" s="692" t="n"/>
      <c r="AL966" s="692" t="n"/>
      <c r="AM966" s="692" t="n"/>
      <c r="AN966" s="692" t="n"/>
      <c r="AO966" s="692" t="n"/>
      <c r="AP966" s="692" t="n"/>
    </row>
    <row r="967">
      <c r="A967" s="692" t="n"/>
      <c r="B967" s="692" t="n"/>
      <c r="C967" s="692" t="n"/>
      <c r="D967" s="692" t="n"/>
      <c r="E967" s="692" t="n"/>
      <c r="F967" s="692" t="n"/>
      <c r="G967" s="692" t="n"/>
      <c r="H967" s="692" t="n"/>
      <c r="I967" s="692" t="n"/>
      <c r="J967" s="692" t="n"/>
      <c r="K967" s="692" t="n"/>
      <c r="L967" s="692" t="n"/>
      <c r="M967" s="692" t="n"/>
      <c r="N967" s="692" t="n"/>
      <c r="O967" s="692" t="n"/>
      <c r="P967" s="692" t="n"/>
      <c r="Q967" s="692" t="n"/>
      <c r="R967" s="692" t="n"/>
      <c r="S967" s="692" t="n"/>
      <c r="T967" s="692" t="n"/>
      <c r="U967" s="692" t="n"/>
      <c r="V967" s="692" t="n"/>
      <c r="W967" s="692" t="n"/>
      <c r="X967" s="692" t="n"/>
      <c r="Y967" s="692" t="n"/>
      <c r="Z967" s="692" t="n"/>
      <c r="AA967" s="692" t="n"/>
      <c r="AB967" s="692" t="n"/>
      <c r="AC967" s="692" t="n"/>
      <c r="AD967" s="692" t="n"/>
      <c r="AE967" s="692" t="n"/>
      <c r="AF967" s="692" t="n"/>
      <c r="AG967" s="692" t="n"/>
      <c r="AH967" s="692" t="n"/>
      <c r="AI967" s="692" t="n"/>
      <c r="AJ967" s="692" t="n"/>
      <c r="AK967" s="692" t="n"/>
      <c r="AL967" s="692" t="n"/>
      <c r="AM967" s="692" t="n"/>
      <c r="AN967" s="692" t="n"/>
      <c r="AO967" s="692" t="n"/>
      <c r="AP967" s="692" t="n"/>
    </row>
    <row r="968">
      <c r="A968" s="692" t="n"/>
      <c r="B968" s="692" t="n"/>
      <c r="C968" s="692" t="n"/>
      <c r="D968" s="692" t="n"/>
      <c r="E968" s="692" t="n"/>
      <c r="F968" s="692" t="n"/>
      <c r="G968" s="692" t="n"/>
      <c r="H968" s="692" t="n"/>
      <c r="I968" s="692" t="n"/>
      <c r="J968" s="692" t="n"/>
      <c r="K968" s="692" t="n"/>
      <c r="L968" s="692" t="n"/>
      <c r="M968" s="692" t="n"/>
      <c r="N968" s="692" t="n"/>
      <c r="O968" s="692" t="n"/>
      <c r="P968" s="692" t="n"/>
      <c r="Q968" s="692" t="n"/>
      <c r="R968" s="692" t="n"/>
      <c r="S968" s="692" t="n"/>
      <c r="T968" s="692" t="n"/>
      <c r="U968" s="692" t="n"/>
      <c r="V968" s="692" t="n"/>
      <c r="W968" s="692" t="n"/>
      <c r="X968" s="692" t="n"/>
      <c r="Y968" s="692" t="n"/>
      <c r="Z968" s="692" t="n"/>
      <c r="AA968" s="692" t="n"/>
      <c r="AB968" s="692" t="n"/>
      <c r="AC968" s="692" t="n"/>
      <c r="AD968" s="692" t="n"/>
      <c r="AE968" s="692" t="n"/>
      <c r="AF968" s="692" t="n"/>
      <c r="AG968" s="692" t="n"/>
      <c r="AH968" s="692" t="n"/>
      <c r="AI968" s="692" t="n"/>
      <c r="AJ968" s="692" t="n"/>
      <c r="AK968" s="692" t="n"/>
      <c r="AL968" s="692" t="n"/>
      <c r="AM968" s="692" t="n"/>
      <c r="AN968" s="692" t="n"/>
      <c r="AO968" s="692" t="n"/>
      <c r="AP968" s="692" t="n"/>
    </row>
    <row r="969">
      <c r="A969" s="692" t="n"/>
      <c r="B969" s="692" t="n"/>
      <c r="C969" s="692" t="n"/>
      <c r="D969" s="692" t="n"/>
      <c r="E969" s="692" t="n"/>
      <c r="F969" s="692" t="n"/>
      <c r="G969" s="692" t="n"/>
      <c r="H969" s="692" t="n"/>
      <c r="I969" s="692" t="n"/>
      <c r="J969" s="692" t="n"/>
      <c r="K969" s="692" t="n"/>
      <c r="L969" s="692" t="n"/>
      <c r="M969" s="692" t="n"/>
      <c r="N969" s="692" t="n"/>
      <c r="O969" s="692" t="n"/>
      <c r="P969" s="692" t="n"/>
      <c r="Q969" s="692" t="n"/>
      <c r="R969" s="692" t="n"/>
      <c r="S969" s="692" t="n"/>
      <c r="T969" s="692" t="n"/>
      <c r="U969" s="692" t="n"/>
      <c r="V969" s="692" t="n"/>
      <c r="W969" s="692" t="n"/>
      <c r="X969" s="692" t="n"/>
      <c r="Y969" s="692" t="n"/>
      <c r="Z969" s="692" t="n"/>
      <c r="AA969" s="692" t="n"/>
      <c r="AB969" s="692" t="n"/>
      <c r="AC969" s="692" t="n"/>
      <c r="AD969" s="692" t="n"/>
      <c r="AE969" s="692" t="n"/>
      <c r="AF969" s="692" t="n"/>
      <c r="AG969" s="692" t="n"/>
      <c r="AH969" s="692" t="n"/>
      <c r="AI969" s="692" t="n"/>
      <c r="AJ969" s="692" t="n"/>
      <c r="AK969" s="692" t="n"/>
      <c r="AL969" s="692" t="n"/>
      <c r="AM969" s="692" t="n"/>
      <c r="AN969" s="692" t="n"/>
      <c r="AO969" s="692" t="n"/>
      <c r="AP969" s="692" t="n"/>
    </row>
    <row r="970">
      <c r="A970" s="692" t="n"/>
      <c r="B970" s="692" t="n"/>
      <c r="C970" s="692" t="n"/>
      <c r="D970" s="692" t="n"/>
      <c r="E970" s="692" t="n"/>
      <c r="F970" s="692" t="n"/>
      <c r="G970" s="692" t="n"/>
      <c r="H970" s="692" t="n"/>
      <c r="I970" s="692" t="n"/>
      <c r="J970" s="692" t="n"/>
      <c r="K970" s="692" t="n"/>
      <c r="L970" s="692" t="n"/>
      <c r="M970" s="692" t="n"/>
      <c r="N970" s="692" t="n"/>
      <c r="O970" s="692" t="n"/>
      <c r="P970" s="692" t="n"/>
      <c r="Q970" s="692" t="n"/>
      <c r="R970" s="692" t="n"/>
      <c r="S970" s="692" t="n"/>
      <c r="T970" s="692" t="n"/>
      <c r="U970" s="692" t="n"/>
      <c r="V970" s="692" t="n"/>
      <c r="W970" s="692" t="n"/>
      <c r="X970" s="692" t="n"/>
      <c r="Y970" s="692" t="n"/>
      <c r="Z970" s="692" t="n"/>
      <c r="AA970" s="692" t="n"/>
      <c r="AB970" s="692" t="n"/>
      <c r="AC970" s="692" t="n"/>
      <c r="AD970" s="692" t="n"/>
      <c r="AE970" s="692" t="n"/>
      <c r="AF970" s="692" t="n"/>
      <c r="AG970" s="692" t="n"/>
      <c r="AH970" s="692" t="n"/>
      <c r="AI970" s="692" t="n"/>
      <c r="AJ970" s="692" t="n"/>
      <c r="AK970" s="692" t="n"/>
      <c r="AL970" s="692" t="n"/>
      <c r="AM970" s="692" t="n"/>
      <c r="AN970" s="692" t="n"/>
      <c r="AO970" s="692" t="n"/>
      <c r="AP970" s="692" t="n"/>
    </row>
    <row r="971">
      <c r="A971" s="692" t="n"/>
      <c r="B971" s="692" t="n"/>
      <c r="C971" s="692" t="n"/>
      <c r="D971" s="692" t="n"/>
      <c r="E971" s="692" t="n"/>
      <c r="F971" s="692" t="n"/>
      <c r="G971" s="692" t="n"/>
      <c r="H971" s="692" t="n"/>
      <c r="I971" s="692" t="n"/>
      <c r="J971" s="692" t="n"/>
      <c r="K971" s="692" t="n"/>
      <c r="L971" s="692" t="n"/>
      <c r="M971" s="692" t="n"/>
      <c r="N971" s="692" t="n"/>
      <c r="O971" s="692" t="n"/>
      <c r="P971" s="692" t="n"/>
      <c r="Q971" s="692" t="n"/>
      <c r="R971" s="692" t="n"/>
      <c r="S971" s="692" t="n"/>
      <c r="T971" s="692" t="n"/>
      <c r="U971" s="692" t="n"/>
      <c r="V971" s="692" t="n"/>
      <c r="W971" s="692" t="n"/>
      <c r="X971" s="692" t="n"/>
      <c r="Y971" s="692" t="n"/>
      <c r="Z971" s="692" t="n"/>
      <c r="AA971" s="692" t="n"/>
      <c r="AB971" s="692" t="n"/>
      <c r="AC971" s="692" t="n"/>
      <c r="AD971" s="692" t="n"/>
      <c r="AE971" s="692" t="n"/>
      <c r="AF971" s="692" t="n"/>
      <c r="AG971" s="692" t="n"/>
      <c r="AH971" s="692" t="n"/>
      <c r="AI971" s="692" t="n"/>
      <c r="AJ971" s="692" t="n"/>
      <c r="AK971" s="692" t="n"/>
      <c r="AL971" s="692" t="n"/>
      <c r="AM971" s="692" t="n"/>
      <c r="AN971" s="692" t="n"/>
      <c r="AO971" s="692" t="n"/>
      <c r="AP971" s="692" t="n"/>
    </row>
    <row r="972">
      <c r="A972" s="692" t="n"/>
      <c r="B972" s="692" t="n"/>
      <c r="C972" s="692" t="n"/>
      <c r="D972" s="692" t="n"/>
      <c r="E972" s="692" t="n"/>
      <c r="F972" s="692" t="n"/>
      <c r="G972" s="692" t="n"/>
      <c r="H972" s="692" t="n"/>
      <c r="I972" s="692" t="n"/>
      <c r="J972" s="692" t="n"/>
      <c r="K972" s="692" t="n"/>
      <c r="L972" s="692" t="n"/>
      <c r="M972" s="692" t="n"/>
      <c r="N972" s="692" t="n"/>
      <c r="O972" s="692" t="n"/>
      <c r="P972" s="692" t="n"/>
      <c r="Q972" s="692" t="n"/>
      <c r="R972" s="692" t="n"/>
      <c r="S972" s="692" t="n"/>
      <c r="T972" s="692" t="n"/>
      <c r="U972" s="692" t="n"/>
      <c r="V972" s="692" t="n"/>
      <c r="W972" s="692" t="n"/>
      <c r="X972" s="692" t="n"/>
      <c r="Y972" s="692" t="n"/>
      <c r="Z972" s="692" t="n"/>
      <c r="AA972" s="692" t="n"/>
      <c r="AB972" s="692" t="n"/>
      <c r="AC972" s="692" t="n"/>
      <c r="AD972" s="692" t="n"/>
      <c r="AE972" s="692" t="n"/>
      <c r="AF972" s="692" t="n"/>
      <c r="AG972" s="692" t="n"/>
      <c r="AH972" s="692" t="n"/>
      <c r="AI972" s="692" t="n"/>
      <c r="AJ972" s="692" t="n"/>
      <c r="AK972" s="692" t="n"/>
      <c r="AL972" s="692" t="n"/>
      <c r="AM972" s="692" t="n"/>
      <c r="AN972" s="692" t="n"/>
      <c r="AO972" s="692" t="n"/>
      <c r="AP972" s="692" t="n"/>
    </row>
    <row r="973">
      <c r="A973" s="692" t="n"/>
      <c r="B973" s="692" t="n"/>
      <c r="C973" s="692" t="n"/>
      <c r="D973" s="692" t="n"/>
      <c r="E973" s="692" t="n"/>
      <c r="F973" s="692" t="n"/>
      <c r="G973" s="692" t="n"/>
      <c r="H973" s="692" t="n"/>
      <c r="I973" s="692" t="n"/>
      <c r="J973" s="692" t="n"/>
      <c r="K973" s="692" t="n"/>
      <c r="L973" s="692" t="n"/>
      <c r="M973" s="692" t="n"/>
      <c r="N973" s="692" t="n"/>
      <c r="O973" s="692" t="n"/>
      <c r="P973" s="692" t="n"/>
      <c r="Q973" s="692" t="n"/>
      <c r="R973" s="692" t="n"/>
      <c r="S973" s="692" t="n"/>
      <c r="T973" s="692" t="n"/>
      <c r="U973" s="692" t="n"/>
      <c r="V973" s="692" t="n"/>
      <c r="W973" s="692" t="n"/>
      <c r="X973" s="692" t="n"/>
      <c r="Y973" s="692" t="n"/>
      <c r="Z973" s="692" t="n"/>
      <c r="AA973" s="692" t="n"/>
      <c r="AB973" s="692" t="n"/>
      <c r="AC973" s="692" t="n"/>
      <c r="AD973" s="692" t="n"/>
      <c r="AE973" s="692" t="n"/>
      <c r="AF973" s="692" t="n"/>
      <c r="AG973" s="692" t="n"/>
      <c r="AH973" s="692" t="n"/>
      <c r="AI973" s="692" t="n"/>
      <c r="AJ973" s="692" t="n"/>
      <c r="AK973" s="692" t="n"/>
      <c r="AL973" s="692" t="n"/>
      <c r="AM973" s="692" t="n"/>
      <c r="AN973" s="692" t="n"/>
      <c r="AO973" s="692" t="n"/>
      <c r="AP973" s="692" t="n"/>
    </row>
    <row r="974">
      <c r="A974" s="692" t="n"/>
      <c r="B974" s="692" t="n"/>
      <c r="C974" s="692" t="n"/>
      <c r="D974" s="692" t="n"/>
      <c r="E974" s="692" t="n"/>
      <c r="F974" s="692" t="n"/>
      <c r="G974" s="692" t="n"/>
      <c r="H974" s="692" t="n"/>
      <c r="I974" s="692" t="n"/>
      <c r="J974" s="692" t="n"/>
      <c r="K974" s="692" t="n"/>
      <c r="L974" s="692" t="n"/>
      <c r="M974" s="692" t="n"/>
      <c r="N974" s="692" t="n"/>
      <c r="O974" s="692" t="n"/>
      <c r="P974" s="692" t="n"/>
      <c r="Q974" s="692" t="n"/>
      <c r="R974" s="692" t="n"/>
      <c r="S974" s="692" t="n"/>
      <c r="T974" s="692" t="n"/>
      <c r="U974" s="692" t="n"/>
      <c r="V974" s="692" t="n"/>
      <c r="W974" s="692" t="n"/>
      <c r="X974" s="692" t="n"/>
      <c r="Y974" s="692" t="n"/>
      <c r="Z974" s="692" t="n"/>
      <c r="AA974" s="692" t="n"/>
      <c r="AB974" s="692" t="n"/>
      <c r="AC974" s="692" t="n"/>
      <c r="AD974" s="692" t="n"/>
      <c r="AE974" s="692" t="n"/>
      <c r="AF974" s="692" t="n"/>
      <c r="AG974" s="692" t="n"/>
      <c r="AH974" s="692" t="n"/>
      <c r="AI974" s="692" t="n"/>
      <c r="AJ974" s="692" t="n"/>
      <c r="AK974" s="692" t="n"/>
      <c r="AL974" s="692" t="n"/>
      <c r="AM974" s="692" t="n"/>
      <c r="AN974" s="692" t="n"/>
      <c r="AO974" s="692" t="n"/>
      <c r="AP974" s="692" t="n"/>
    </row>
    <row r="975">
      <c r="A975" s="692" t="n"/>
      <c r="B975" s="692" t="n"/>
      <c r="C975" s="692" t="n"/>
      <c r="D975" s="692" t="n"/>
      <c r="E975" s="692" t="n"/>
      <c r="F975" s="692" t="n"/>
      <c r="G975" s="692" t="n"/>
      <c r="H975" s="692" t="n"/>
      <c r="I975" s="692" t="n"/>
      <c r="J975" s="692" t="n"/>
      <c r="K975" s="692" t="n"/>
      <c r="L975" s="692" t="n"/>
      <c r="M975" s="692" t="n"/>
      <c r="N975" s="692" t="n"/>
      <c r="O975" s="692" t="n"/>
      <c r="P975" s="692" t="n"/>
      <c r="Q975" s="692" t="n"/>
      <c r="R975" s="692" t="n"/>
      <c r="S975" s="692" t="n"/>
      <c r="T975" s="692" t="n"/>
      <c r="U975" s="692" t="n"/>
      <c r="V975" s="692" t="n"/>
      <c r="W975" s="692" t="n"/>
      <c r="X975" s="692" t="n"/>
      <c r="Y975" s="692" t="n"/>
      <c r="Z975" s="692" t="n"/>
      <c r="AA975" s="692" t="n"/>
      <c r="AB975" s="692" t="n"/>
      <c r="AC975" s="692" t="n"/>
      <c r="AD975" s="692" t="n"/>
      <c r="AE975" s="692" t="n"/>
      <c r="AF975" s="692" t="n"/>
      <c r="AG975" s="692" t="n"/>
      <c r="AH975" s="692" t="n"/>
      <c r="AI975" s="692" t="n"/>
      <c r="AJ975" s="692" t="n"/>
      <c r="AK975" s="692" t="n"/>
      <c r="AL975" s="692" t="n"/>
      <c r="AM975" s="692" t="n"/>
      <c r="AN975" s="692" t="n"/>
      <c r="AO975" s="692" t="n"/>
      <c r="AP975" s="692" t="n"/>
    </row>
    <row r="976">
      <c r="A976" s="692" t="n"/>
      <c r="B976" s="692" t="n"/>
      <c r="C976" s="692" t="n"/>
      <c r="D976" s="692" t="n"/>
      <c r="E976" s="692" t="n"/>
      <c r="F976" s="692" t="n"/>
      <c r="G976" s="692" t="n"/>
      <c r="H976" s="692" t="n"/>
      <c r="I976" s="692" t="n"/>
      <c r="J976" s="692" t="n"/>
      <c r="K976" s="692" t="n"/>
      <c r="L976" s="692" t="n"/>
      <c r="M976" s="692" t="n"/>
      <c r="N976" s="692" t="n"/>
      <c r="O976" s="692" t="n"/>
      <c r="P976" s="692" t="n"/>
      <c r="Q976" s="692" t="n"/>
      <c r="R976" s="692" t="n"/>
      <c r="S976" s="692" t="n"/>
      <c r="T976" s="692" t="n"/>
      <c r="U976" s="692" t="n"/>
      <c r="V976" s="692" t="n"/>
      <c r="W976" s="692" t="n"/>
      <c r="X976" s="692" t="n"/>
      <c r="Y976" s="692" t="n"/>
      <c r="Z976" s="692" t="n"/>
      <c r="AA976" s="692" t="n"/>
      <c r="AB976" s="692" t="n"/>
      <c r="AC976" s="692" t="n"/>
      <c r="AD976" s="692" t="n"/>
      <c r="AE976" s="692" t="n"/>
      <c r="AF976" s="692" t="n"/>
      <c r="AG976" s="692" t="n"/>
      <c r="AH976" s="692" t="n"/>
      <c r="AI976" s="692" t="n"/>
      <c r="AJ976" s="692" t="n"/>
      <c r="AK976" s="692" t="n"/>
      <c r="AL976" s="692" t="n"/>
      <c r="AM976" s="692" t="n"/>
      <c r="AN976" s="692" t="n"/>
      <c r="AO976" s="692" t="n"/>
      <c r="AP976" s="692" t="n"/>
    </row>
    <row r="977">
      <c r="A977" s="692" t="n"/>
      <c r="B977" s="692" t="n"/>
      <c r="C977" s="692" t="n"/>
      <c r="D977" s="692" t="n"/>
      <c r="E977" s="692" t="n"/>
      <c r="F977" s="692" t="n"/>
      <c r="G977" s="692" t="n"/>
      <c r="H977" s="692" t="n"/>
      <c r="I977" s="692" t="n"/>
      <c r="J977" s="692" t="n"/>
      <c r="K977" s="692" t="n"/>
      <c r="L977" s="692" t="n"/>
      <c r="M977" s="692" t="n"/>
      <c r="N977" s="692" t="n"/>
      <c r="O977" s="692" t="n"/>
      <c r="P977" s="692" t="n"/>
      <c r="Q977" s="692" t="n"/>
      <c r="R977" s="692" t="n"/>
      <c r="S977" s="692" t="n"/>
      <c r="T977" s="692" t="n"/>
      <c r="U977" s="692" t="n"/>
      <c r="V977" s="692" t="n"/>
      <c r="W977" s="692" t="n"/>
      <c r="X977" s="692" t="n"/>
      <c r="Y977" s="692" t="n"/>
      <c r="Z977" s="692" t="n"/>
      <c r="AA977" s="692" t="n"/>
      <c r="AB977" s="692" t="n"/>
      <c r="AC977" s="692" t="n"/>
      <c r="AD977" s="692" t="n"/>
      <c r="AE977" s="692" t="n"/>
      <c r="AF977" s="692" t="n"/>
      <c r="AG977" s="692" t="n"/>
      <c r="AH977" s="692" t="n"/>
      <c r="AI977" s="692" t="n"/>
      <c r="AJ977" s="692" t="n"/>
      <c r="AK977" s="692" t="n"/>
      <c r="AL977" s="692" t="n"/>
      <c r="AM977" s="692" t="n"/>
      <c r="AN977" s="692" t="n"/>
      <c r="AO977" s="692" t="n"/>
      <c r="AP977" s="692" t="n"/>
    </row>
    <row r="978">
      <c r="A978" s="692" t="n"/>
      <c r="B978" s="692" t="n"/>
      <c r="C978" s="692" t="n"/>
      <c r="D978" s="692" t="n"/>
      <c r="E978" s="692" t="n"/>
      <c r="F978" s="692" t="n"/>
      <c r="G978" s="692" t="n"/>
      <c r="H978" s="692" t="n"/>
      <c r="I978" s="692" t="n"/>
      <c r="J978" s="692" t="n"/>
      <c r="K978" s="692" t="n"/>
      <c r="L978" s="692" t="n"/>
      <c r="M978" s="692" t="n"/>
      <c r="N978" s="692" t="n"/>
      <c r="O978" s="692" t="n"/>
      <c r="P978" s="692" t="n"/>
      <c r="Q978" s="692" t="n"/>
      <c r="R978" s="692" t="n"/>
      <c r="S978" s="692" t="n"/>
      <c r="T978" s="692" t="n"/>
      <c r="U978" s="692" t="n"/>
      <c r="V978" s="692" t="n"/>
      <c r="W978" s="692" t="n"/>
      <c r="X978" s="692" t="n"/>
      <c r="Y978" s="692" t="n"/>
      <c r="Z978" s="692" t="n"/>
      <c r="AA978" s="692" t="n"/>
      <c r="AB978" s="692" t="n"/>
      <c r="AC978" s="692" t="n"/>
      <c r="AD978" s="692" t="n"/>
      <c r="AE978" s="692" t="n"/>
      <c r="AF978" s="692" t="n"/>
      <c r="AG978" s="692" t="n"/>
      <c r="AH978" s="692" t="n"/>
      <c r="AI978" s="692" t="n"/>
      <c r="AJ978" s="692" t="n"/>
      <c r="AK978" s="692" t="n"/>
      <c r="AL978" s="692" t="n"/>
      <c r="AM978" s="692" t="n"/>
      <c r="AN978" s="692" t="n"/>
      <c r="AO978" s="692" t="n"/>
      <c r="AP978" s="692" t="n"/>
    </row>
    <row r="979">
      <c r="A979" s="692" t="n"/>
      <c r="B979" s="692" t="n"/>
      <c r="C979" s="692" t="n"/>
      <c r="D979" s="692" t="n"/>
      <c r="E979" s="692" t="n"/>
      <c r="F979" s="692" t="n"/>
      <c r="G979" s="692" t="n"/>
      <c r="H979" s="692" t="n"/>
      <c r="I979" s="692" t="n"/>
      <c r="J979" s="692" t="n"/>
      <c r="K979" s="692" t="n"/>
      <c r="L979" s="692" t="n"/>
      <c r="M979" s="692" t="n"/>
      <c r="N979" s="692" t="n"/>
      <c r="O979" s="692" t="n"/>
      <c r="P979" s="692" t="n"/>
      <c r="Q979" s="692" t="n"/>
      <c r="R979" s="692" t="n"/>
      <c r="S979" s="692" t="n"/>
      <c r="T979" s="692" t="n"/>
      <c r="U979" s="692" t="n"/>
      <c r="V979" s="692" t="n"/>
      <c r="W979" s="692" t="n"/>
      <c r="X979" s="692" t="n"/>
      <c r="Y979" s="692" t="n"/>
      <c r="Z979" s="692" t="n"/>
      <c r="AA979" s="692" t="n"/>
      <c r="AB979" s="692" t="n"/>
      <c r="AC979" s="692" t="n"/>
      <c r="AD979" s="692" t="n"/>
      <c r="AE979" s="692" t="n"/>
      <c r="AF979" s="692" t="n"/>
      <c r="AG979" s="692" t="n"/>
      <c r="AH979" s="692" t="n"/>
      <c r="AI979" s="692" t="n"/>
      <c r="AJ979" s="692" t="n"/>
      <c r="AK979" s="692" t="n"/>
      <c r="AL979" s="692" t="n"/>
      <c r="AM979" s="692" t="n"/>
      <c r="AN979" s="692" t="n"/>
      <c r="AO979" s="692" t="n"/>
      <c r="AP979" s="692" t="n"/>
    </row>
    <row r="980">
      <c r="A980" s="692" t="n"/>
      <c r="B980" s="692" t="n"/>
      <c r="C980" s="692" t="n"/>
      <c r="D980" s="692" t="n"/>
      <c r="E980" s="692" t="n"/>
      <c r="F980" s="692" t="n"/>
      <c r="G980" s="692" t="n"/>
      <c r="H980" s="692" t="n"/>
      <c r="I980" s="692" t="n"/>
      <c r="J980" s="692" t="n"/>
      <c r="K980" s="692" t="n"/>
      <c r="L980" s="692" t="n"/>
      <c r="M980" s="692" t="n"/>
      <c r="N980" s="692" t="n"/>
      <c r="O980" s="692" t="n"/>
      <c r="P980" s="692" t="n"/>
      <c r="Q980" s="692" t="n"/>
      <c r="R980" s="692" t="n"/>
      <c r="S980" s="692" t="n"/>
      <c r="T980" s="692" t="n"/>
      <c r="U980" s="692" t="n"/>
      <c r="V980" s="692" t="n"/>
      <c r="W980" s="692" t="n"/>
      <c r="X980" s="692" t="n"/>
      <c r="Y980" s="692" t="n"/>
      <c r="Z980" s="692" t="n"/>
      <c r="AA980" s="692" t="n"/>
      <c r="AB980" s="692" t="n"/>
      <c r="AC980" s="692" t="n"/>
      <c r="AD980" s="692" t="n"/>
      <c r="AE980" s="692" t="n"/>
      <c r="AF980" s="692" t="n"/>
      <c r="AG980" s="692" t="n"/>
      <c r="AH980" s="692" t="n"/>
      <c r="AI980" s="692" t="n"/>
      <c r="AJ980" s="692" t="n"/>
      <c r="AK980" s="692" t="n"/>
      <c r="AL980" s="692" t="n"/>
      <c r="AM980" s="692" t="n"/>
      <c r="AN980" s="692" t="n"/>
      <c r="AO980" s="692" t="n"/>
      <c r="AP980" s="692" t="n"/>
    </row>
    <row r="981">
      <c r="A981" s="692" t="n"/>
      <c r="B981" s="692" t="n"/>
      <c r="C981" s="692" t="n"/>
      <c r="D981" s="692" t="n"/>
      <c r="E981" s="692" t="n"/>
      <c r="F981" s="692" t="n"/>
      <c r="G981" s="692" t="n"/>
      <c r="H981" s="692" t="n"/>
      <c r="I981" s="692" t="n"/>
      <c r="J981" s="692" t="n"/>
      <c r="K981" s="692" t="n"/>
      <c r="L981" s="692" t="n"/>
      <c r="M981" s="692" t="n"/>
      <c r="N981" s="692" t="n"/>
      <c r="O981" s="692" t="n"/>
      <c r="P981" s="692" t="n"/>
      <c r="Q981" s="692" t="n"/>
      <c r="R981" s="692" t="n"/>
      <c r="S981" s="692" t="n"/>
      <c r="T981" s="692" t="n"/>
      <c r="U981" s="692" t="n"/>
      <c r="V981" s="692" t="n"/>
      <c r="W981" s="692" t="n"/>
      <c r="X981" s="692" t="n"/>
      <c r="Y981" s="692" t="n"/>
      <c r="Z981" s="692" t="n"/>
      <c r="AA981" s="692" t="n"/>
      <c r="AB981" s="692" t="n"/>
      <c r="AC981" s="692" t="n"/>
      <c r="AD981" s="692" t="n"/>
      <c r="AE981" s="692" t="n"/>
      <c r="AF981" s="692" t="n"/>
      <c r="AG981" s="692" t="n"/>
      <c r="AH981" s="692" t="n"/>
      <c r="AI981" s="692" t="n"/>
      <c r="AJ981" s="692" t="n"/>
      <c r="AK981" s="692" t="n"/>
      <c r="AL981" s="692" t="n"/>
      <c r="AM981" s="692" t="n"/>
      <c r="AN981" s="692" t="n"/>
      <c r="AO981" s="692" t="n"/>
      <c r="AP981" s="692" t="n"/>
    </row>
    <row r="982">
      <c r="A982" s="692" t="n"/>
      <c r="B982" s="692" t="n"/>
      <c r="C982" s="692" t="n"/>
      <c r="D982" s="692" t="n"/>
      <c r="E982" s="692" t="n"/>
      <c r="F982" s="692" t="n"/>
      <c r="G982" s="692" t="n"/>
      <c r="H982" s="692" t="n"/>
      <c r="I982" s="692" t="n"/>
      <c r="J982" s="692" t="n"/>
      <c r="K982" s="692" t="n"/>
      <c r="L982" s="692" t="n"/>
      <c r="M982" s="692" t="n"/>
      <c r="N982" s="692" t="n"/>
      <c r="O982" s="692" t="n"/>
      <c r="P982" s="692" t="n"/>
      <c r="Q982" s="692" t="n"/>
      <c r="R982" s="692" t="n"/>
      <c r="S982" s="692" t="n"/>
      <c r="T982" s="692" t="n"/>
      <c r="U982" s="692" t="n"/>
      <c r="V982" s="692" t="n"/>
      <c r="W982" s="692" t="n"/>
      <c r="X982" s="692" t="n"/>
      <c r="Y982" s="692" t="n"/>
      <c r="Z982" s="692" t="n"/>
      <c r="AA982" s="692" t="n"/>
      <c r="AB982" s="692" t="n"/>
      <c r="AC982" s="692" t="n"/>
      <c r="AD982" s="692" t="n"/>
      <c r="AE982" s="692" t="n"/>
      <c r="AF982" s="692" t="n"/>
      <c r="AG982" s="692" t="n"/>
      <c r="AH982" s="692" t="n"/>
      <c r="AI982" s="692" t="n"/>
      <c r="AJ982" s="692" t="n"/>
      <c r="AK982" s="692" t="n"/>
      <c r="AL982" s="692" t="n"/>
      <c r="AM982" s="692" t="n"/>
      <c r="AN982" s="692" t="n"/>
      <c r="AO982" s="692" t="n"/>
      <c r="AP982" s="692" t="n"/>
    </row>
    <row r="983">
      <c r="A983" s="692" t="n"/>
      <c r="B983" s="692" t="n"/>
      <c r="C983" s="692" t="n"/>
      <c r="D983" s="692" t="n"/>
      <c r="E983" s="692" t="n"/>
      <c r="F983" s="692" t="n"/>
      <c r="G983" s="692" t="n"/>
      <c r="H983" s="692" t="n"/>
      <c r="I983" s="692" t="n"/>
      <c r="J983" s="692" t="n"/>
      <c r="K983" s="692" t="n"/>
      <c r="L983" s="692" t="n"/>
      <c r="M983" s="692" t="n"/>
      <c r="N983" s="692" t="n"/>
      <c r="O983" s="692" t="n"/>
      <c r="P983" s="692" t="n"/>
      <c r="Q983" s="692" t="n"/>
      <c r="R983" s="692" t="n"/>
      <c r="S983" s="692" t="n"/>
      <c r="T983" s="692" t="n"/>
      <c r="U983" s="692" t="n"/>
      <c r="V983" s="692" t="n"/>
      <c r="W983" s="692" t="n"/>
      <c r="X983" s="692" t="n"/>
      <c r="Y983" s="692" t="n"/>
      <c r="Z983" s="692" t="n"/>
      <c r="AA983" s="692" t="n"/>
      <c r="AB983" s="692" t="n"/>
      <c r="AC983" s="692" t="n"/>
      <c r="AD983" s="692" t="n"/>
      <c r="AE983" s="692" t="n"/>
      <c r="AF983" s="692" t="n"/>
      <c r="AG983" s="692" t="n"/>
      <c r="AH983" s="692" t="n"/>
      <c r="AI983" s="692" t="n"/>
      <c r="AJ983" s="692" t="n"/>
      <c r="AK983" s="692" t="n"/>
      <c r="AL983" s="692" t="n"/>
      <c r="AM983" s="692" t="n"/>
      <c r="AN983" s="692" t="n"/>
      <c r="AO983" s="692" t="n"/>
      <c r="AP983" s="692" t="n"/>
    </row>
    <row r="984">
      <c r="A984" s="692" t="n"/>
      <c r="B984" s="692" t="n"/>
      <c r="C984" s="692" t="n"/>
      <c r="D984" s="692" t="n"/>
      <c r="E984" s="692" t="n"/>
      <c r="F984" s="692" t="n"/>
      <c r="G984" s="692" t="n"/>
      <c r="H984" s="692" t="n"/>
      <c r="I984" s="692" t="n"/>
      <c r="J984" s="692" t="n"/>
      <c r="K984" s="692" t="n"/>
      <c r="L984" s="692" t="n"/>
      <c r="M984" s="692" t="n"/>
      <c r="N984" s="692" t="n"/>
      <c r="O984" s="692" t="n"/>
      <c r="P984" s="692" t="n"/>
      <c r="Q984" s="692" t="n"/>
      <c r="R984" s="692" t="n"/>
      <c r="S984" s="692" t="n"/>
      <c r="T984" s="692" t="n"/>
      <c r="U984" s="692" t="n"/>
      <c r="V984" s="692" t="n"/>
      <c r="W984" s="692" t="n"/>
      <c r="X984" s="692" t="n"/>
      <c r="Y984" s="692" t="n"/>
      <c r="Z984" s="692" t="n"/>
      <c r="AA984" s="692" t="n"/>
      <c r="AB984" s="692" t="n"/>
      <c r="AC984" s="692" t="n"/>
      <c r="AD984" s="692" t="n"/>
      <c r="AE984" s="692" t="n"/>
      <c r="AF984" s="692" t="n"/>
      <c r="AG984" s="692" t="n"/>
      <c r="AH984" s="692" t="n"/>
      <c r="AI984" s="692" t="n"/>
      <c r="AJ984" s="692" t="n"/>
      <c r="AK984" s="692" t="n"/>
      <c r="AL984" s="692" t="n"/>
      <c r="AM984" s="692" t="n"/>
      <c r="AN984" s="692" t="n"/>
      <c r="AO984" s="692" t="n"/>
      <c r="AP984" s="692" t="n"/>
    </row>
    <row r="985">
      <c r="A985" s="692" t="n"/>
      <c r="B985" s="692" t="n"/>
      <c r="C985" s="692" t="n"/>
      <c r="D985" s="692" t="n"/>
      <c r="E985" s="692" t="n"/>
      <c r="F985" s="692" t="n"/>
      <c r="G985" s="692" t="n"/>
      <c r="H985" s="692" t="n"/>
      <c r="I985" s="692" t="n"/>
      <c r="J985" s="692" t="n"/>
      <c r="K985" s="692" t="n"/>
      <c r="L985" s="692" t="n"/>
      <c r="M985" s="692" t="n"/>
      <c r="N985" s="692" t="n"/>
      <c r="O985" s="692" t="n"/>
      <c r="P985" s="692" t="n"/>
      <c r="Q985" s="692" t="n"/>
      <c r="R985" s="692" t="n"/>
      <c r="S985" s="692" t="n"/>
      <c r="T985" s="692" t="n"/>
      <c r="U985" s="692" t="n"/>
      <c r="V985" s="692" t="n"/>
      <c r="W985" s="692" t="n"/>
      <c r="X985" s="692" t="n"/>
      <c r="Y985" s="692" t="n"/>
      <c r="Z985" s="692" t="n"/>
      <c r="AA985" s="692" t="n"/>
      <c r="AB985" s="692" t="n"/>
      <c r="AC985" s="692" t="n"/>
      <c r="AD985" s="692" t="n"/>
      <c r="AE985" s="692" t="n"/>
      <c r="AF985" s="692" t="n"/>
      <c r="AG985" s="692" t="n"/>
      <c r="AH985" s="692" t="n"/>
      <c r="AI985" s="692" t="n"/>
      <c r="AJ985" s="692" t="n"/>
      <c r="AK985" s="692" t="n"/>
      <c r="AL985" s="692" t="n"/>
      <c r="AM985" s="692" t="n"/>
      <c r="AN985" s="692" t="n"/>
      <c r="AO985" s="692" t="n"/>
      <c r="AP985" s="692" t="n"/>
    </row>
    <row r="986">
      <c r="A986" s="692" t="n"/>
      <c r="B986" s="692" t="n"/>
      <c r="C986" s="692" t="n"/>
      <c r="D986" s="692" t="n"/>
      <c r="E986" s="692" t="n"/>
      <c r="F986" s="692" t="n"/>
      <c r="G986" s="692" t="n"/>
      <c r="H986" s="692" t="n"/>
      <c r="I986" s="692" t="n"/>
      <c r="J986" s="692" t="n"/>
      <c r="K986" s="692" t="n"/>
      <c r="L986" s="692" t="n"/>
      <c r="M986" s="692" t="n"/>
      <c r="N986" s="692" t="n"/>
      <c r="O986" s="692" t="n"/>
      <c r="P986" s="692" t="n"/>
      <c r="Q986" s="692" t="n"/>
      <c r="R986" s="692" t="n"/>
      <c r="S986" s="692" t="n"/>
      <c r="T986" s="692" t="n"/>
      <c r="U986" s="692" t="n"/>
      <c r="V986" s="692" t="n"/>
      <c r="W986" s="692" t="n"/>
      <c r="X986" s="692" t="n"/>
      <c r="Y986" s="692" t="n"/>
      <c r="Z986" s="692" t="n"/>
      <c r="AA986" s="692" t="n"/>
      <c r="AB986" s="692" t="n"/>
      <c r="AC986" s="692" t="n"/>
      <c r="AD986" s="692" t="n"/>
      <c r="AE986" s="692" t="n"/>
      <c r="AF986" s="692" t="n"/>
      <c r="AG986" s="692" t="n"/>
      <c r="AH986" s="692" t="n"/>
      <c r="AI986" s="692" t="n"/>
      <c r="AJ986" s="692" t="n"/>
      <c r="AK986" s="692" t="n"/>
      <c r="AL986" s="692" t="n"/>
      <c r="AM986" s="692" t="n"/>
      <c r="AN986" s="692" t="n"/>
      <c r="AO986" s="692" t="n"/>
      <c r="AP986" s="692" t="n"/>
    </row>
    <row r="987">
      <c r="A987" s="692" t="n"/>
      <c r="B987" s="692" t="n"/>
      <c r="C987" s="692" t="n"/>
      <c r="D987" s="692" t="n"/>
      <c r="E987" s="692" t="n"/>
      <c r="F987" s="692" t="n"/>
      <c r="G987" s="692" t="n"/>
      <c r="H987" s="692" t="n"/>
      <c r="I987" s="692" t="n"/>
      <c r="J987" s="692" t="n"/>
      <c r="K987" s="692" t="n"/>
      <c r="L987" s="692" t="n"/>
      <c r="M987" s="692" t="n"/>
      <c r="N987" s="692" t="n"/>
      <c r="O987" s="692" t="n"/>
      <c r="P987" s="692" t="n"/>
      <c r="Q987" s="692" t="n"/>
      <c r="R987" s="692" t="n"/>
      <c r="S987" s="692" t="n"/>
      <c r="T987" s="692" t="n"/>
      <c r="U987" s="692" t="n"/>
      <c r="V987" s="692" t="n"/>
      <c r="W987" s="692" t="n"/>
      <c r="X987" s="692" t="n"/>
      <c r="Y987" s="692" t="n"/>
      <c r="Z987" s="692" t="n"/>
      <c r="AA987" s="692" t="n"/>
      <c r="AB987" s="692" t="n"/>
      <c r="AC987" s="692" t="n"/>
      <c r="AD987" s="692" t="n"/>
      <c r="AE987" s="692" t="n"/>
      <c r="AF987" s="692" t="n"/>
      <c r="AG987" s="692" t="n"/>
      <c r="AH987" s="692" t="n"/>
      <c r="AI987" s="692" t="n"/>
      <c r="AJ987" s="692" t="n"/>
      <c r="AK987" s="692" t="n"/>
      <c r="AL987" s="692" t="n"/>
      <c r="AM987" s="692" t="n"/>
      <c r="AN987" s="692" t="n"/>
      <c r="AO987" s="692" t="n"/>
      <c r="AP987" s="692" t="n"/>
    </row>
    <row r="988">
      <c r="A988" s="692" t="n"/>
      <c r="B988" s="692" t="n"/>
      <c r="C988" s="692" t="n"/>
      <c r="D988" s="692" t="n"/>
      <c r="E988" s="692" t="n"/>
      <c r="F988" s="692" t="n"/>
      <c r="G988" s="692" t="n"/>
      <c r="H988" s="692" t="n"/>
      <c r="I988" s="692" t="n"/>
      <c r="J988" s="692" t="n"/>
      <c r="K988" s="692" t="n"/>
      <c r="L988" s="692" t="n"/>
      <c r="M988" s="692" t="n"/>
      <c r="N988" s="692" t="n"/>
      <c r="O988" s="692" t="n"/>
      <c r="P988" s="692" t="n"/>
      <c r="Q988" s="692" t="n"/>
      <c r="R988" s="692" t="n"/>
      <c r="S988" s="692" t="n"/>
      <c r="T988" s="692" t="n"/>
      <c r="U988" s="692" t="n"/>
      <c r="V988" s="692" t="n"/>
      <c r="W988" s="692" t="n"/>
      <c r="X988" s="692" t="n"/>
      <c r="Y988" s="692" t="n"/>
      <c r="Z988" s="692" t="n"/>
      <c r="AA988" s="692" t="n"/>
      <c r="AB988" s="692" t="n"/>
      <c r="AC988" s="692" t="n"/>
      <c r="AD988" s="692" t="n"/>
      <c r="AE988" s="692" t="n"/>
      <c r="AF988" s="692" t="n"/>
      <c r="AG988" s="692" t="n"/>
      <c r="AH988" s="692" t="n"/>
      <c r="AI988" s="692" t="n"/>
      <c r="AJ988" s="692" t="n"/>
      <c r="AK988" s="692" t="n"/>
      <c r="AL988" s="692" t="n"/>
      <c r="AM988" s="692" t="n"/>
      <c r="AN988" s="692" t="n"/>
      <c r="AO988" s="692" t="n"/>
      <c r="AP988" s="692" t="n"/>
    </row>
    <row r="989">
      <c r="A989" s="692" t="n"/>
      <c r="B989" s="692" t="n"/>
      <c r="C989" s="692" t="n"/>
      <c r="D989" s="692" t="n"/>
      <c r="E989" s="692" t="n"/>
      <c r="F989" s="692" t="n"/>
      <c r="G989" s="692" t="n"/>
      <c r="H989" s="692" t="n"/>
      <c r="I989" s="692" t="n"/>
      <c r="J989" s="692" t="n"/>
      <c r="K989" s="692" t="n"/>
      <c r="L989" s="692" t="n"/>
      <c r="M989" s="692" t="n"/>
      <c r="N989" s="692" t="n"/>
      <c r="O989" s="692" t="n"/>
      <c r="P989" s="692" t="n"/>
      <c r="Q989" s="692" t="n"/>
      <c r="R989" s="692" t="n"/>
      <c r="S989" s="692" t="n"/>
      <c r="T989" s="692" t="n"/>
      <c r="U989" s="692" t="n"/>
      <c r="V989" s="692" t="n"/>
      <c r="W989" s="692" t="n"/>
      <c r="X989" s="692" t="n"/>
      <c r="Y989" s="692" t="n"/>
      <c r="Z989" s="692" t="n"/>
      <c r="AA989" s="692" t="n"/>
      <c r="AB989" s="692" t="n"/>
      <c r="AC989" s="692" t="n"/>
      <c r="AD989" s="692" t="n"/>
      <c r="AE989" s="692" t="n"/>
      <c r="AF989" s="692" t="n"/>
      <c r="AG989" s="692" t="n"/>
      <c r="AH989" s="692" t="n"/>
      <c r="AI989" s="692" t="n"/>
      <c r="AJ989" s="692" t="n"/>
      <c r="AK989" s="692" t="n"/>
      <c r="AL989" s="692" t="n"/>
      <c r="AM989" s="692" t="n"/>
      <c r="AN989" s="692" t="n"/>
      <c r="AO989" s="692" t="n"/>
      <c r="AP989" s="692" t="n"/>
    </row>
    <row r="990">
      <c r="A990" s="692" t="n"/>
      <c r="B990" s="692" t="n"/>
      <c r="C990" s="692" t="n"/>
      <c r="D990" s="692" t="n"/>
      <c r="E990" s="692" t="n"/>
      <c r="F990" s="692" t="n"/>
      <c r="G990" s="692" t="n"/>
      <c r="H990" s="692" t="n"/>
      <c r="I990" s="692" t="n"/>
      <c r="J990" s="692" t="n"/>
      <c r="K990" s="692" t="n"/>
      <c r="L990" s="692" t="n"/>
      <c r="M990" s="692" t="n"/>
      <c r="N990" s="692" t="n"/>
      <c r="O990" s="692" t="n"/>
      <c r="P990" s="692" t="n"/>
      <c r="Q990" s="692" t="n"/>
      <c r="R990" s="692" t="n"/>
      <c r="S990" s="692" t="n"/>
      <c r="T990" s="692" t="n"/>
      <c r="U990" s="692" t="n"/>
      <c r="V990" s="692" t="n"/>
      <c r="W990" s="692" t="n"/>
      <c r="X990" s="692" t="n"/>
      <c r="Y990" s="692" t="n"/>
      <c r="Z990" s="692" t="n"/>
      <c r="AA990" s="692" t="n"/>
      <c r="AB990" s="692" t="n"/>
      <c r="AC990" s="692" t="n"/>
      <c r="AD990" s="692" t="n"/>
      <c r="AE990" s="692" t="n"/>
      <c r="AF990" s="692" t="n"/>
      <c r="AG990" s="692" t="n"/>
      <c r="AH990" s="692" t="n"/>
      <c r="AI990" s="692" t="n"/>
      <c r="AJ990" s="692" t="n"/>
      <c r="AK990" s="692" t="n"/>
      <c r="AL990" s="692" t="n"/>
      <c r="AM990" s="692" t="n"/>
      <c r="AN990" s="692" t="n"/>
      <c r="AO990" s="692" t="n"/>
      <c r="AP990" s="692" t="n"/>
    </row>
    <row r="991">
      <c r="A991" s="692" t="n"/>
      <c r="B991" s="692" t="n"/>
      <c r="C991" s="692" t="n"/>
      <c r="D991" s="692" t="n"/>
      <c r="E991" s="692" t="n"/>
      <c r="F991" s="692" t="n"/>
      <c r="G991" s="692" t="n"/>
      <c r="H991" s="692" t="n"/>
      <c r="I991" s="692" t="n"/>
      <c r="J991" s="692" t="n"/>
      <c r="K991" s="692" t="n"/>
      <c r="L991" s="692" t="n"/>
      <c r="M991" s="692" t="n"/>
      <c r="N991" s="692" t="n"/>
      <c r="O991" s="692" t="n"/>
      <c r="P991" s="692" t="n"/>
      <c r="Q991" s="692" t="n"/>
      <c r="R991" s="692" t="n"/>
      <c r="S991" s="692" t="n"/>
      <c r="T991" s="692" t="n"/>
      <c r="U991" s="692" t="n"/>
      <c r="V991" s="692" t="n"/>
      <c r="W991" s="692" t="n"/>
      <c r="X991" s="692" t="n"/>
      <c r="Y991" s="692" t="n"/>
      <c r="Z991" s="692" t="n"/>
      <c r="AA991" s="692" t="n"/>
      <c r="AB991" s="692" t="n"/>
      <c r="AC991" s="692" t="n"/>
      <c r="AD991" s="692" t="n"/>
      <c r="AE991" s="692" t="n"/>
      <c r="AF991" s="692" t="n"/>
      <c r="AG991" s="692" t="n"/>
      <c r="AH991" s="692" t="n"/>
      <c r="AI991" s="692" t="n"/>
      <c r="AJ991" s="692" t="n"/>
      <c r="AK991" s="692" t="n"/>
      <c r="AL991" s="692" t="n"/>
      <c r="AM991" s="692" t="n"/>
      <c r="AN991" s="692" t="n"/>
      <c r="AO991" s="692" t="n"/>
      <c r="AP991" s="692" t="n"/>
    </row>
    <row r="992">
      <c r="A992" s="692" t="n"/>
      <c r="B992" s="692" t="n"/>
      <c r="C992" s="692" t="n"/>
      <c r="D992" s="692" t="n"/>
      <c r="E992" s="692" t="n"/>
      <c r="F992" s="692" t="n"/>
      <c r="G992" s="692" t="n"/>
      <c r="H992" s="692" t="n"/>
      <c r="I992" s="692" t="n"/>
      <c r="J992" s="692" t="n"/>
      <c r="K992" s="692" t="n"/>
      <c r="L992" s="692" t="n"/>
      <c r="M992" s="692" t="n"/>
      <c r="N992" s="692" t="n"/>
      <c r="O992" s="692" t="n"/>
      <c r="P992" s="692" t="n"/>
      <c r="Q992" s="692" t="n"/>
      <c r="R992" s="692" t="n"/>
      <c r="S992" s="692" t="n"/>
      <c r="T992" s="692" t="n"/>
      <c r="U992" s="692" t="n"/>
      <c r="V992" s="692" t="n"/>
      <c r="W992" s="692" t="n"/>
      <c r="X992" s="692" t="n"/>
      <c r="Y992" s="692" t="n"/>
      <c r="Z992" s="692" t="n"/>
      <c r="AA992" s="692" t="n"/>
      <c r="AB992" s="692" t="n"/>
      <c r="AC992" s="692" t="n"/>
      <c r="AD992" s="692" t="n"/>
      <c r="AE992" s="692" t="n"/>
      <c r="AF992" s="692" t="n"/>
      <c r="AG992" s="692" t="n"/>
      <c r="AH992" s="692" t="n"/>
      <c r="AI992" s="692" t="n"/>
      <c r="AJ992" s="692" t="n"/>
      <c r="AK992" s="692" t="n"/>
      <c r="AL992" s="692" t="n"/>
      <c r="AM992" s="692" t="n"/>
      <c r="AN992" s="692" t="n"/>
      <c r="AO992" s="692" t="n"/>
      <c r="AP992" s="692" t="n"/>
    </row>
    <row r="993">
      <c r="A993" s="692" t="n"/>
      <c r="B993" s="692" t="n"/>
      <c r="C993" s="692" t="n"/>
      <c r="D993" s="692" t="n"/>
      <c r="E993" s="692" t="n"/>
      <c r="F993" s="692" t="n"/>
      <c r="G993" s="692" t="n"/>
      <c r="H993" s="692" t="n"/>
      <c r="I993" s="692" t="n"/>
      <c r="J993" s="692" t="n"/>
      <c r="K993" s="692" t="n"/>
      <c r="L993" s="692" t="n"/>
      <c r="M993" s="692" t="n"/>
      <c r="N993" s="692" t="n"/>
      <c r="O993" s="692" t="n"/>
      <c r="P993" s="692" t="n"/>
      <c r="Q993" s="692" t="n"/>
      <c r="R993" s="692" t="n"/>
      <c r="S993" s="692" t="n"/>
      <c r="T993" s="692" t="n"/>
      <c r="U993" s="692" t="n"/>
      <c r="V993" s="692" t="n"/>
      <c r="W993" s="692" t="n"/>
      <c r="X993" s="692" t="n"/>
      <c r="Y993" s="692" t="n"/>
      <c r="Z993" s="692" t="n"/>
      <c r="AA993" s="692" t="n"/>
      <c r="AB993" s="692" t="n"/>
      <c r="AC993" s="692" t="n"/>
      <c r="AD993" s="692" t="n"/>
      <c r="AE993" s="692" t="n"/>
      <c r="AF993" s="692" t="n"/>
      <c r="AG993" s="692" t="n"/>
      <c r="AH993" s="692" t="n"/>
      <c r="AI993" s="692" t="n"/>
      <c r="AJ993" s="692" t="n"/>
      <c r="AK993" s="692" t="n"/>
      <c r="AL993" s="692" t="n"/>
      <c r="AM993" s="692" t="n"/>
      <c r="AN993" s="692" t="n"/>
      <c r="AO993" s="692" t="n"/>
      <c r="AP993" s="692" t="n"/>
    </row>
    <row r="994">
      <c r="A994" s="692" t="n"/>
      <c r="B994" s="692" t="n"/>
      <c r="C994" s="692" t="n"/>
      <c r="D994" s="692" t="n"/>
      <c r="E994" s="692" t="n"/>
      <c r="F994" s="692" t="n"/>
      <c r="G994" s="692" t="n"/>
      <c r="H994" s="692" t="n"/>
      <c r="I994" s="692" t="n"/>
      <c r="J994" s="692" t="n"/>
      <c r="K994" s="692" t="n"/>
      <c r="L994" s="692" t="n"/>
      <c r="M994" s="692" t="n"/>
      <c r="N994" s="692" t="n"/>
      <c r="O994" s="692" t="n"/>
      <c r="P994" s="692" t="n"/>
      <c r="Q994" s="692" t="n"/>
      <c r="R994" s="692" t="n"/>
      <c r="S994" s="692" t="n"/>
      <c r="T994" s="692" t="n"/>
      <c r="U994" s="692" t="n"/>
      <c r="V994" s="692" t="n"/>
      <c r="W994" s="692" t="n"/>
      <c r="X994" s="692" t="n"/>
      <c r="Y994" s="692" t="n"/>
      <c r="Z994" s="692" t="n"/>
      <c r="AA994" s="692" t="n"/>
      <c r="AB994" s="692" t="n"/>
      <c r="AC994" s="692" t="n"/>
      <c r="AD994" s="692" t="n"/>
      <c r="AE994" s="692" t="n"/>
      <c r="AF994" s="692" t="n"/>
      <c r="AG994" s="692" t="n"/>
      <c r="AH994" s="692" t="n"/>
      <c r="AI994" s="692" t="n"/>
      <c r="AJ994" s="692" t="n"/>
      <c r="AK994" s="692" t="n"/>
      <c r="AL994" s="692" t="n"/>
      <c r="AM994" s="692" t="n"/>
      <c r="AN994" s="692" t="n"/>
      <c r="AO994" s="692" t="n"/>
      <c r="AP994" s="692" t="n"/>
    </row>
    <row r="995">
      <c r="A995" s="692" t="n"/>
      <c r="B995" s="692" t="n"/>
      <c r="C995" s="692" t="n"/>
      <c r="D995" s="692" t="n"/>
      <c r="E995" s="692" t="n"/>
      <c r="F995" s="692" t="n"/>
      <c r="G995" s="692" t="n"/>
      <c r="H995" s="692" t="n"/>
      <c r="I995" s="692" t="n"/>
      <c r="J995" s="692" t="n"/>
      <c r="K995" s="692" t="n"/>
      <c r="L995" s="692" t="n"/>
      <c r="M995" s="692" t="n"/>
      <c r="N995" s="692" t="n"/>
      <c r="O995" s="692" t="n"/>
      <c r="P995" s="692" t="n"/>
      <c r="Q995" s="692" t="n"/>
      <c r="R995" s="692" t="n"/>
      <c r="S995" s="692" t="n"/>
      <c r="T995" s="692" t="n"/>
      <c r="U995" s="692" t="n"/>
      <c r="V995" s="692" t="n"/>
      <c r="W995" s="692" t="n"/>
      <c r="X995" s="692" t="n"/>
      <c r="Y995" s="692" t="n"/>
      <c r="Z995" s="692" t="n"/>
      <c r="AA995" s="692" t="n"/>
      <c r="AB995" s="692" t="n"/>
      <c r="AC995" s="692" t="n"/>
      <c r="AD995" s="692" t="n"/>
      <c r="AE995" s="692" t="n"/>
      <c r="AF995" s="692" t="n"/>
      <c r="AG995" s="692" t="n"/>
      <c r="AH995" s="692" t="n"/>
      <c r="AI995" s="692" t="n"/>
      <c r="AJ995" s="692" t="n"/>
      <c r="AK995" s="692" t="n"/>
      <c r="AL995" s="692" t="n"/>
      <c r="AM995" s="692" t="n"/>
      <c r="AN995" s="692" t="n"/>
      <c r="AO995" s="692" t="n"/>
      <c r="AP995" s="692" t="n"/>
    </row>
    <row r="996">
      <c r="A996" s="692" t="n"/>
      <c r="B996" s="692" t="n"/>
      <c r="C996" s="692" t="n"/>
      <c r="D996" s="692" t="n"/>
      <c r="E996" s="692" t="n"/>
      <c r="F996" s="692" t="n"/>
      <c r="G996" s="692" t="n"/>
      <c r="H996" s="692" t="n"/>
      <c r="I996" s="692" t="n"/>
      <c r="J996" s="692" t="n"/>
      <c r="K996" s="692" t="n"/>
      <c r="L996" s="692" t="n"/>
      <c r="M996" s="692" t="n"/>
      <c r="N996" s="692" t="n"/>
      <c r="O996" s="692" t="n"/>
      <c r="P996" s="692" t="n"/>
      <c r="Q996" s="692" t="n"/>
      <c r="R996" s="692" t="n"/>
      <c r="S996" s="692" t="n"/>
      <c r="T996" s="692" t="n"/>
      <c r="U996" s="692" t="n"/>
      <c r="V996" s="692" t="n"/>
      <c r="W996" s="692" t="n"/>
      <c r="X996" s="692" t="n"/>
      <c r="Y996" s="692" t="n"/>
      <c r="Z996" s="692" t="n"/>
      <c r="AA996" s="692" t="n"/>
      <c r="AB996" s="692" t="n"/>
      <c r="AC996" s="692" t="n"/>
      <c r="AD996" s="692" t="n"/>
      <c r="AE996" s="692" t="n"/>
      <c r="AF996" s="692" t="n"/>
      <c r="AG996" s="692" t="n"/>
      <c r="AH996" s="692" t="n"/>
      <c r="AI996" s="692" t="n"/>
      <c r="AJ996" s="692" t="n"/>
      <c r="AK996" s="692" t="n"/>
      <c r="AL996" s="692" t="n"/>
      <c r="AM996" s="692" t="n"/>
      <c r="AN996" s="692" t="n"/>
      <c r="AO996" s="692" t="n"/>
      <c r="AP996" s="692" t="n"/>
    </row>
    <row r="997">
      <c r="A997" s="692" t="n"/>
      <c r="B997" s="692" t="n"/>
      <c r="C997" s="692" t="n"/>
      <c r="D997" s="692" t="n"/>
      <c r="E997" s="692" t="n"/>
      <c r="F997" s="692" t="n"/>
      <c r="G997" s="692" t="n"/>
      <c r="H997" s="692" t="n"/>
      <c r="I997" s="692" t="n"/>
      <c r="J997" s="692" t="n"/>
      <c r="K997" s="692" t="n"/>
      <c r="L997" s="692" t="n"/>
      <c r="M997" s="692" t="n"/>
      <c r="N997" s="692" t="n"/>
      <c r="O997" s="692" t="n"/>
      <c r="P997" s="692" t="n"/>
      <c r="Q997" s="692" t="n"/>
      <c r="R997" s="692" t="n"/>
      <c r="S997" s="692" t="n"/>
      <c r="T997" s="692" t="n"/>
      <c r="U997" s="692" t="n"/>
      <c r="V997" s="692" t="n"/>
      <c r="W997" s="692" t="n"/>
      <c r="X997" s="692" t="n"/>
      <c r="Y997" s="692" t="n"/>
      <c r="Z997" s="692" t="n"/>
      <c r="AA997" s="692" t="n"/>
      <c r="AB997" s="692" t="n"/>
      <c r="AC997" s="692" t="n"/>
      <c r="AD997" s="692" t="n"/>
      <c r="AE997" s="692" t="n"/>
      <c r="AF997" s="692" t="n"/>
      <c r="AG997" s="692" t="n"/>
      <c r="AH997" s="692" t="n"/>
      <c r="AI997" s="692" t="n"/>
      <c r="AJ997" s="692" t="n"/>
      <c r="AK997" s="692" t="n"/>
      <c r="AL997" s="692" t="n"/>
      <c r="AM997" s="692" t="n"/>
      <c r="AN997" s="692" t="n"/>
      <c r="AO997" s="692" t="n"/>
      <c r="AP997" s="692" t="n"/>
    </row>
    <row r="998">
      <c r="A998" s="692" t="n"/>
      <c r="B998" s="692" t="n"/>
      <c r="C998" s="692" t="n"/>
      <c r="D998" s="692" t="n"/>
      <c r="E998" s="692" t="n"/>
      <c r="F998" s="692" t="n"/>
      <c r="G998" s="692" t="n"/>
      <c r="H998" s="692" t="n"/>
      <c r="I998" s="692" t="n"/>
      <c r="J998" s="692" t="n"/>
      <c r="K998" s="692" t="n"/>
      <c r="L998" s="692" t="n"/>
      <c r="M998" s="692" t="n"/>
      <c r="N998" s="692" t="n"/>
      <c r="O998" s="692" t="n"/>
      <c r="P998" s="692" t="n"/>
      <c r="Q998" s="692" t="n"/>
      <c r="R998" s="692" t="n"/>
      <c r="S998" s="692" t="n"/>
      <c r="T998" s="692" t="n"/>
      <c r="U998" s="692" t="n"/>
      <c r="V998" s="692" t="n"/>
      <c r="W998" s="692" t="n"/>
      <c r="X998" s="692" t="n"/>
      <c r="Y998" s="692" t="n"/>
      <c r="Z998" s="692" t="n"/>
      <c r="AA998" s="692" t="n"/>
      <c r="AB998" s="692" t="n"/>
      <c r="AC998" s="692" t="n"/>
      <c r="AD998" s="692" t="n"/>
      <c r="AE998" s="692" t="n"/>
      <c r="AF998" s="692" t="n"/>
      <c r="AG998" s="692" t="n"/>
      <c r="AH998" s="692" t="n"/>
      <c r="AI998" s="692" t="n"/>
      <c r="AJ998" s="692" t="n"/>
      <c r="AK998" s="692" t="n"/>
      <c r="AL998" s="692" t="n"/>
      <c r="AM998" s="692" t="n"/>
      <c r="AN998" s="692" t="n"/>
      <c r="AO998" s="692" t="n"/>
      <c r="AP998" s="692" t="n"/>
    </row>
    <row r="999">
      <c r="A999" s="692" t="n"/>
      <c r="B999" s="692" t="n"/>
      <c r="C999" s="692" t="n"/>
      <c r="D999" s="692" t="n"/>
      <c r="E999" s="692" t="n"/>
      <c r="F999" s="692" t="n"/>
      <c r="G999" s="692" t="n"/>
      <c r="H999" s="692" t="n"/>
      <c r="I999" s="692" t="n"/>
      <c r="J999" s="692" t="n"/>
      <c r="K999" s="692" t="n"/>
      <c r="L999" s="692" t="n"/>
      <c r="M999" s="692" t="n"/>
      <c r="N999" s="692" t="n"/>
      <c r="O999" s="692" t="n"/>
      <c r="P999" s="692" t="n"/>
      <c r="Q999" s="692" t="n"/>
      <c r="R999" s="692" t="n"/>
      <c r="S999" s="692" t="n"/>
      <c r="T999" s="692" t="n"/>
      <c r="U999" s="692" t="n"/>
      <c r="V999" s="692" t="n"/>
      <c r="W999" s="692" t="n"/>
      <c r="X999" s="692" t="n"/>
      <c r="Y999" s="692" t="n"/>
      <c r="Z999" s="692" t="n"/>
      <c r="AA999" s="692" t="n"/>
      <c r="AB999" s="692" t="n"/>
      <c r="AC999" s="692" t="n"/>
      <c r="AD999" s="692" t="n"/>
      <c r="AE999" s="692" t="n"/>
      <c r="AF999" s="692" t="n"/>
      <c r="AG999" s="692" t="n"/>
      <c r="AH999" s="692" t="n"/>
      <c r="AI999" s="692" t="n"/>
      <c r="AJ999" s="692" t="n"/>
      <c r="AK999" s="692" t="n"/>
      <c r="AL999" s="692" t="n"/>
      <c r="AM999" s="692" t="n"/>
      <c r="AN999" s="692" t="n"/>
      <c r="AO999" s="692" t="n"/>
      <c r="AP999" s="692" t="n"/>
    </row>
  </sheetData>
  <mergeCells count="4">
    <mergeCell ref="U1:U2"/>
    <mergeCell ref="Y1:AA1"/>
    <mergeCell ref="V1:X1"/>
    <mergeCell ref="AB1:AC1"/>
  </mergeCells>
  <printOptions horizontalCentered="1" gridLines="1"/>
  <pageMargins left="0.7" right="0.7" top="0.75" bottom="0.75" header="0" footer="0"/>
  <pageSetup orientation="landscape" fitToHeight="0" pageOrder="overThenDown" cellComments="atEnd"/>
</worksheet>
</file>

<file path=xl/worksheets/sheet6.xml><?xml version="1.0" encoding="utf-8"?>
<worksheet xmlns="http://schemas.openxmlformats.org/spreadsheetml/2006/main">
  <sheetPr>
    <outlinePr summaryBelow="0" summaryRight="0"/>
    <pageSetUpPr/>
  </sheetPr>
  <dimension ref="A1:X1121"/>
  <sheetViews>
    <sheetView workbookViewId="0">
      <selection activeCell="A1" sqref="A1"/>
    </sheetView>
  </sheetViews>
  <sheetFormatPr baseColWidth="8" defaultColWidth="12.63" defaultRowHeight="15.75" customHeight="1"/>
  <cols>
    <col width="10.13" customWidth="1" style="763" min="2" max="2"/>
    <col width="8.75" customWidth="1" style="763" min="3" max="3"/>
    <col width="11.63" customWidth="1" style="763" min="4" max="4"/>
    <col width="9.5" customWidth="1" style="763" min="5" max="5"/>
    <col width="9.25" customWidth="1" style="763" min="6" max="6"/>
    <col width="9.380000000000001" customWidth="1" style="763" min="7" max="7"/>
    <col width="10.75" customWidth="1" style="763" min="8" max="8"/>
    <col width="24.38" customWidth="1" style="763" min="9" max="9"/>
    <col width="15.88" customWidth="1" style="763" min="10" max="10"/>
    <col width="13" customWidth="1" style="763" min="11" max="11"/>
    <col width="17.38" customWidth="1" style="763" min="12" max="12"/>
    <col width="6.63" customWidth="1" style="763" min="13" max="13"/>
    <col width="12" customWidth="1" style="763" min="14" max="14"/>
    <col width="17" customWidth="1" style="763" min="15" max="17"/>
    <col width="4.5" customWidth="1" style="763" min="18" max="18"/>
    <col width="10.75" customWidth="1" style="763" min="21" max="22"/>
    <col width="11.5" customWidth="1" style="763" min="23" max="23"/>
    <col width="10.75" customWidth="1" style="763" min="24" max="24"/>
  </cols>
  <sheetData>
    <row r="1">
      <c r="A1" s="160" t="inlineStr">
        <is>
          <t>Gender</t>
        </is>
      </c>
      <c r="B1" s="163" t="inlineStr">
        <is>
          <t>Event</t>
        </is>
      </c>
      <c r="C1" s="163" t="inlineStr">
        <is>
          <t>Year</t>
        </is>
      </c>
      <c r="D1" s="163" t="inlineStr">
        <is>
          <t>Country</t>
        </is>
      </c>
      <c r="E1" s="164" t="inlineStr">
        <is>
          <t>Rank</t>
        </is>
      </c>
      <c r="F1" s="163" t="inlineStr">
        <is>
          <t>Time</t>
        </is>
      </c>
      <c r="G1" s="163" t="inlineStr">
        <is>
          <t>Birth Year</t>
        </is>
      </c>
      <c r="H1" s="164" t="inlineStr">
        <is>
          <t>Medal Age</t>
        </is>
      </c>
      <c r="I1" s="163" t="inlineStr">
        <is>
          <t>Athlete Name</t>
        </is>
      </c>
      <c r="J1" s="163" t="inlineStr">
        <is>
          <t>University Team</t>
        </is>
      </c>
      <c r="K1" s="163" t="inlineStr">
        <is>
          <t>University Country</t>
        </is>
      </c>
      <c r="L1" s="165" t="inlineStr">
        <is>
          <t>Foregin National?</t>
        </is>
      </c>
      <c r="N1" s="697" t="inlineStr">
        <is>
          <t xml:space="preserve">1)  Once the 2025 results are entered, create a table with the column headers Gender, Event, and Medal Age. For each row, for example, Female 50 Free, calculate the Medal age by averaging the medal age for the Female 50 Free from Years 2022, 2023 and 2025. </t>
        </is>
      </c>
      <c r="S1" s="167" t="inlineStr">
        <is>
          <t>Gender</t>
        </is>
      </c>
      <c r="T1" s="240" t="inlineStr">
        <is>
          <t>Event</t>
        </is>
      </c>
      <c r="U1" s="240" t="inlineStr">
        <is>
          <t>Entry Age</t>
        </is>
      </c>
      <c r="V1" s="240" t="inlineStr">
        <is>
          <t>Arrival Age</t>
        </is>
      </c>
      <c r="W1" s="169" t="inlineStr">
        <is>
          <t>2025 SEA Games Bronze Average Age</t>
        </is>
      </c>
      <c r="X1" s="170" t="inlineStr">
        <is>
          <t>2025 SEA Games Bronze Time</t>
        </is>
      </c>
    </row>
    <row r="2">
      <c r="A2" s="218" t="inlineStr">
        <is>
          <t>F</t>
        </is>
      </c>
      <c r="B2" s="215" t="inlineStr">
        <is>
          <t>100 Back</t>
        </is>
      </c>
      <c r="C2" s="189" t="n">
        <v>2025</v>
      </c>
      <c r="D2" s="215" t="n"/>
      <c r="E2" s="219" t="n">
        <v>3</v>
      </c>
      <c r="F2" s="215">
        <f>B2</f>
        <v/>
      </c>
      <c r="G2" s="215" t="n"/>
      <c r="H2" s="215">
        <f>C2-G2</f>
        <v/>
      </c>
      <c r="I2" s="215" t="n"/>
      <c r="J2" s="215" t="n"/>
      <c r="K2" s="215" t="n"/>
      <c r="L2" s="217" t="n"/>
      <c r="S2" s="270" t="inlineStr">
        <is>
          <t>F</t>
        </is>
      </c>
      <c r="T2" s="590" t="inlineStr">
        <is>
          <t>100 Back</t>
        </is>
      </c>
      <c r="U2" s="590" t="n">
        <v>13</v>
      </c>
      <c r="V2" s="590" t="n">
        <v>21</v>
      </c>
      <c r="W2" s="590" t="n"/>
      <c r="X2" s="177">
        <f>F2</f>
        <v/>
      </c>
    </row>
    <row r="3">
      <c r="A3" s="220" t="inlineStr">
        <is>
          <t>F</t>
        </is>
      </c>
      <c r="B3" s="211" t="inlineStr">
        <is>
          <t>100 Breast</t>
        </is>
      </c>
      <c r="C3" s="190" t="n">
        <v>2025</v>
      </c>
      <c r="D3" s="211" t="n"/>
      <c r="E3" s="221" t="n">
        <v>3</v>
      </c>
      <c r="F3" s="211">
        <f>B3</f>
        <v/>
      </c>
      <c r="G3" s="211" t="n"/>
      <c r="H3" s="211">
        <f>C3-G3</f>
        <v/>
      </c>
      <c r="I3" s="211" t="n"/>
      <c r="J3" s="211" t="n"/>
      <c r="K3" s="211" t="n"/>
      <c r="L3" s="213" t="n"/>
      <c r="N3" s="183" t="inlineStr">
        <is>
          <t>2) Use the following "Entry and Arrival" table to determine the age we will begin and end the evaluation period for tracking.  Entry is when the Canada On Track system determined tracking relevancy, arrival is the SEA Games Medal 3 Games Average</t>
        </is>
      </c>
      <c r="S3" s="277" t="inlineStr">
        <is>
          <t>F</t>
        </is>
      </c>
      <c r="T3" s="613" t="inlineStr">
        <is>
          <t>100 Breast</t>
        </is>
      </c>
      <c r="U3" s="613" t="n">
        <v>16</v>
      </c>
      <c r="V3" s="613" t="n">
        <v>24</v>
      </c>
      <c r="W3" s="613" t="n"/>
      <c r="X3" s="185">
        <f>F3</f>
        <v/>
      </c>
    </row>
    <row r="4">
      <c r="A4" s="218" t="inlineStr">
        <is>
          <t>F</t>
        </is>
      </c>
      <c r="B4" s="215" t="inlineStr">
        <is>
          <t>100 Fly</t>
        </is>
      </c>
      <c r="C4" s="189" t="n">
        <v>2025</v>
      </c>
      <c r="D4" s="215" t="n"/>
      <c r="E4" s="219" t="n">
        <v>3</v>
      </c>
      <c r="F4" s="215">
        <f>B4</f>
        <v/>
      </c>
      <c r="G4" s="215" t="n"/>
      <c r="H4" s="215">
        <f>C4-G4</f>
        <v/>
      </c>
      <c r="I4" s="215" t="n"/>
      <c r="J4" s="215" t="n"/>
      <c r="K4" s="215" t="n"/>
      <c r="L4" s="217" t="n"/>
      <c r="S4" s="270" t="inlineStr">
        <is>
          <t>F</t>
        </is>
      </c>
      <c r="T4" s="590" t="inlineStr">
        <is>
          <t>100 Fly</t>
        </is>
      </c>
      <c r="U4" s="590" t="n">
        <v>15</v>
      </c>
      <c r="V4" s="590" t="n">
        <v>23</v>
      </c>
      <c r="W4" s="590" t="n"/>
      <c r="X4" s="177">
        <f>F4</f>
        <v/>
      </c>
    </row>
    <row r="5">
      <c r="A5" s="220" t="inlineStr">
        <is>
          <t>F</t>
        </is>
      </c>
      <c r="B5" s="211" t="inlineStr">
        <is>
          <t>100 Free</t>
        </is>
      </c>
      <c r="C5" s="190" t="n">
        <v>2025</v>
      </c>
      <c r="D5" s="211" t="n"/>
      <c r="E5" s="221" t="n">
        <v>3</v>
      </c>
      <c r="F5" s="211">
        <f>B5</f>
        <v/>
      </c>
      <c r="G5" s="211" t="n"/>
      <c r="H5" s="211">
        <f>C5-G5</f>
        <v/>
      </c>
      <c r="I5" s="211" t="n"/>
      <c r="J5" s="211" t="n"/>
      <c r="K5" s="211" t="n"/>
      <c r="L5" s="213" t="n"/>
      <c r="S5" s="277" t="inlineStr">
        <is>
          <t>F</t>
        </is>
      </c>
      <c r="T5" s="613" t="inlineStr">
        <is>
          <t>100 Free</t>
        </is>
      </c>
      <c r="U5" s="613" t="n">
        <v>16</v>
      </c>
      <c r="V5" s="613" t="n">
        <v>24</v>
      </c>
      <c r="W5" s="613" t="n"/>
      <c r="X5" s="185">
        <f>F5</f>
        <v/>
      </c>
    </row>
    <row r="6">
      <c r="A6" s="218" t="inlineStr">
        <is>
          <t>F</t>
        </is>
      </c>
      <c r="B6" s="215" t="inlineStr">
        <is>
          <t>200 Back</t>
        </is>
      </c>
      <c r="C6" s="189" t="n">
        <v>2025</v>
      </c>
      <c r="D6" s="215" t="n"/>
      <c r="E6" s="219" t="n">
        <v>3</v>
      </c>
      <c r="F6" s="215">
        <f>B6</f>
        <v/>
      </c>
      <c r="G6" s="215" t="n"/>
      <c r="H6" s="215">
        <f>C6-G6</f>
        <v/>
      </c>
      <c r="I6" s="215" t="n"/>
      <c r="J6" s="215" t="n"/>
      <c r="K6" s="215" t="n"/>
      <c r="L6" s="217" t="n"/>
      <c r="N6" s="689" t="inlineStr">
        <is>
          <t>Entry Age:</t>
        </is>
      </c>
      <c r="O6" s="689" t="inlineStr">
        <is>
          <t>Youngest Canadian Track 1 age (data-driven relevancy)</t>
        </is>
      </c>
      <c r="S6" s="270" t="inlineStr">
        <is>
          <t>F</t>
        </is>
      </c>
      <c r="T6" s="590" t="inlineStr">
        <is>
          <t>200 Back</t>
        </is>
      </c>
      <c r="U6" s="590" t="n">
        <v>16</v>
      </c>
      <c r="V6" s="590" t="n">
        <v>24</v>
      </c>
      <c r="W6" s="590" t="n"/>
      <c r="X6" s="177">
        <f>F6</f>
        <v/>
      </c>
    </row>
    <row r="7">
      <c r="A7" s="220" t="inlineStr">
        <is>
          <t>F</t>
        </is>
      </c>
      <c r="B7" s="211" t="inlineStr">
        <is>
          <t>200 Breast</t>
        </is>
      </c>
      <c r="C7" s="190" t="n">
        <v>2025</v>
      </c>
      <c r="D7" s="211" t="n"/>
      <c r="E7" s="221" t="n">
        <v>3</v>
      </c>
      <c r="F7" s="211">
        <f>B7</f>
        <v/>
      </c>
      <c r="G7" s="211" t="n"/>
      <c r="H7" s="211">
        <f>C7-G7</f>
        <v/>
      </c>
      <c r="I7" s="211" t="n"/>
      <c r="J7" s="211" t="n"/>
      <c r="K7" s="211" t="n"/>
      <c r="L7" s="213" t="n"/>
      <c r="N7" s="689" t="inlineStr">
        <is>
          <t>Arrival Age:</t>
        </is>
      </c>
      <c r="O7" s="689" t="inlineStr">
        <is>
          <t>SEA Games average age across medalists for the past 3 Games</t>
        </is>
      </c>
      <c r="S7" s="277" t="inlineStr">
        <is>
          <t>F</t>
        </is>
      </c>
      <c r="T7" s="613" t="inlineStr">
        <is>
          <t>200 Breast</t>
        </is>
      </c>
      <c r="U7" s="613" t="n">
        <v>15</v>
      </c>
      <c r="V7" s="613" t="n">
        <v>23</v>
      </c>
      <c r="W7" s="613" t="n"/>
      <c r="X7" s="185">
        <f>F7</f>
        <v/>
      </c>
    </row>
    <row r="8">
      <c r="A8" s="218" t="inlineStr">
        <is>
          <t>F</t>
        </is>
      </c>
      <c r="B8" s="215" t="inlineStr">
        <is>
          <t>200 Fly</t>
        </is>
      </c>
      <c r="C8" s="189" t="n">
        <v>2025</v>
      </c>
      <c r="D8" s="215" t="n"/>
      <c r="E8" s="219" t="n">
        <v>3</v>
      </c>
      <c r="F8" s="215">
        <f>B8</f>
        <v/>
      </c>
      <c r="G8" s="215" t="n"/>
      <c r="H8" s="215">
        <f>C8-G8</f>
        <v/>
      </c>
      <c r="I8" s="215" t="n"/>
      <c r="J8" s="215" t="n"/>
      <c r="K8" s="215" t="n"/>
      <c r="L8" s="217" t="n"/>
      <c r="N8" s="689" t="inlineStr">
        <is>
          <t>Arrival Time:</t>
        </is>
      </c>
      <c r="O8" s="689" t="inlineStr">
        <is>
          <t>2025 SEA Games Bronze medal time</t>
        </is>
      </c>
      <c r="S8" s="270" t="inlineStr">
        <is>
          <t>F</t>
        </is>
      </c>
      <c r="T8" s="590" t="inlineStr">
        <is>
          <t>200 Fly</t>
        </is>
      </c>
      <c r="U8" s="590" t="n">
        <v>15</v>
      </c>
      <c r="V8" s="590" t="n">
        <v>23</v>
      </c>
      <c r="W8" s="590" t="n"/>
      <c r="X8" s="177">
        <f>F8</f>
        <v/>
      </c>
    </row>
    <row r="9">
      <c r="A9" s="220" t="inlineStr">
        <is>
          <t>F</t>
        </is>
      </c>
      <c r="B9" s="211" t="inlineStr">
        <is>
          <t>200 Free</t>
        </is>
      </c>
      <c r="C9" s="190" t="n">
        <v>2025</v>
      </c>
      <c r="D9" s="211" t="n"/>
      <c r="E9" s="221" t="n">
        <v>3</v>
      </c>
      <c r="F9" s="211">
        <f>B9</f>
        <v/>
      </c>
      <c r="G9" s="211" t="n"/>
      <c r="H9" s="211">
        <f>C9-G9</f>
        <v/>
      </c>
      <c r="I9" s="211" t="n"/>
      <c r="J9" s="211" t="n"/>
      <c r="K9" s="211" t="n"/>
      <c r="L9" s="213" t="n"/>
      <c r="N9" s="689" t="inlineStr">
        <is>
          <t>Create the tables with dummy data for this process so far...</t>
        </is>
      </c>
      <c r="S9" s="277" t="inlineStr">
        <is>
          <t>F</t>
        </is>
      </c>
      <c r="T9" s="613" t="inlineStr">
        <is>
          <t>200 Free</t>
        </is>
      </c>
      <c r="U9" s="613" t="n">
        <v>14</v>
      </c>
      <c r="V9" s="613" t="n">
        <v>22</v>
      </c>
      <c r="W9" s="613" t="n"/>
      <c r="X9" s="185">
        <f>F9</f>
        <v/>
      </c>
    </row>
    <row r="10">
      <c r="A10" s="218" t="inlineStr">
        <is>
          <t>F</t>
        </is>
      </c>
      <c r="B10" s="215" t="inlineStr">
        <is>
          <t>200 IM</t>
        </is>
      </c>
      <c r="C10" s="189" t="n">
        <v>2025</v>
      </c>
      <c r="D10" s="215" t="n"/>
      <c r="E10" s="219" t="n">
        <v>3</v>
      </c>
      <c r="F10" s="215">
        <f>B10</f>
        <v/>
      </c>
      <c r="G10" s="215" t="n"/>
      <c r="H10" s="215">
        <f>C10-G10</f>
        <v/>
      </c>
      <c r="I10" s="215" t="n"/>
      <c r="J10" s="215" t="n"/>
      <c r="K10" s="215" t="n"/>
      <c r="L10" s="217" t="n"/>
      <c r="S10" s="270" t="inlineStr">
        <is>
          <t>F</t>
        </is>
      </c>
      <c r="T10" s="590" t="inlineStr">
        <is>
          <t>200 IM</t>
        </is>
      </c>
      <c r="U10" s="590" t="n">
        <v>15</v>
      </c>
      <c r="V10" s="590" t="n">
        <v>23</v>
      </c>
      <c r="W10" s="590" t="n"/>
      <c r="X10" s="177">
        <f>F10</f>
        <v/>
      </c>
    </row>
    <row r="11">
      <c r="A11" s="220" t="inlineStr">
        <is>
          <t>F</t>
        </is>
      </c>
      <c r="B11" s="211" t="inlineStr">
        <is>
          <t>400 Free</t>
        </is>
      </c>
      <c r="C11" s="190" t="n">
        <v>2025</v>
      </c>
      <c r="D11" s="211" t="n"/>
      <c r="E11" s="221" t="n">
        <v>3</v>
      </c>
      <c r="F11" s="211">
        <f>B11</f>
        <v/>
      </c>
      <c r="G11" s="211" t="n"/>
      <c r="H11" s="211">
        <f>C11-G11</f>
        <v/>
      </c>
      <c r="I11" s="211" t="n"/>
      <c r="J11" s="211" t="n"/>
      <c r="K11" s="211" t="n"/>
      <c r="L11" s="213" t="n"/>
      <c r="S11" s="277" t="inlineStr">
        <is>
          <t>F</t>
        </is>
      </c>
      <c r="T11" s="613" t="inlineStr">
        <is>
          <t>400 Free</t>
        </is>
      </c>
      <c r="U11" s="613" t="n">
        <v>13</v>
      </c>
      <c r="V11" s="613" t="n">
        <v>21</v>
      </c>
      <c r="W11" s="613" t="n"/>
      <c r="X11" s="185">
        <f>F11</f>
        <v/>
      </c>
    </row>
    <row r="12">
      <c r="A12" s="218" t="inlineStr">
        <is>
          <t>F</t>
        </is>
      </c>
      <c r="B12" s="215" t="inlineStr">
        <is>
          <t>400 Free Relay</t>
        </is>
      </c>
      <c r="C12" s="189" t="n">
        <v>2025</v>
      </c>
      <c r="D12" s="215" t="n"/>
      <c r="E12" s="219" t="n">
        <v>3</v>
      </c>
      <c r="F12" s="215">
        <f>B12</f>
        <v/>
      </c>
      <c r="G12" s="215" t="n"/>
      <c r="H12" s="215">
        <f>C12-G12</f>
        <v/>
      </c>
      <c r="I12" s="215" t="n"/>
      <c r="J12" s="215" t="n"/>
      <c r="K12" s="215" t="n"/>
      <c r="L12" s="217" t="n"/>
      <c r="S12" s="270" t="inlineStr">
        <is>
          <t>F</t>
        </is>
      </c>
      <c r="T12" s="590" t="inlineStr">
        <is>
          <t>400 IM</t>
        </is>
      </c>
      <c r="U12" s="590" t="n">
        <v>15</v>
      </c>
      <c r="V12" s="590" t="n">
        <v>23</v>
      </c>
      <c r="W12" s="590" t="n"/>
      <c r="X12" s="177">
        <f>F13</f>
        <v/>
      </c>
    </row>
    <row r="13">
      <c r="A13" s="220" t="inlineStr">
        <is>
          <t>F</t>
        </is>
      </c>
      <c r="B13" s="211" t="inlineStr">
        <is>
          <t>400 IM</t>
        </is>
      </c>
      <c r="C13" s="190" t="n">
        <v>2025</v>
      </c>
      <c r="D13" s="211" t="n"/>
      <c r="E13" s="221" t="n">
        <v>3</v>
      </c>
      <c r="F13" s="211">
        <f>B13</f>
        <v/>
      </c>
      <c r="G13" s="211" t="n"/>
      <c r="H13" s="211">
        <f>C13-G13</f>
        <v/>
      </c>
      <c r="I13" s="211" t="n"/>
      <c r="J13" s="211" t="n"/>
      <c r="K13" s="211" t="n"/>
      <c r="L13" s="213" t="n"/>
      <c r="S13" s="277" t="inlineStr">
        <is>
          <t>F</t>
        </is>
      </c>
      <c r="T13" s="613" t="inlineStr">
        <is>
          <t>50 Back</t>
        </is>
      </c>
      <c r="U13" s="613" t="n">
        <v>15</v>
      </c>
      <c r="V13" s="613" t="n">
        <v>23</v>
      </c>
      <c r="W13" s="613" t="n"/>
      <c r="X13" s="185">
        <f>F15</f>
        <v/>
      </c>
    </row>
    <row r="14">
      <c r="A14" s="218" t="inlineStr">
        <is>
          <t>F</t>
        </is>
      </c>
      <c r="B14" s="215" t="inlineStr">
        <is>
          <t>400 Medley Relay</t>
        </is>
      </c>
      <c r="C14" s="189" t="n">
        <v>2025</v>
      </c>
      <c r="D14" s="215" t="n"/>
      <c r="E14" s="219" t="n">
        <v>3</v>
      </c>
      <c r="F14" s="215">
        <f>B14</f>
        <v/>
      </c>
      <c r="G14" s="215" t="n"/>
      <c r="H14" s="215">
        <f>C14-G14</f>
        <v/>
      </c>
      <c r="I14" s="215" t="n"/>
      <c r="J14" s="215" t="n"/>
      <c r="K14" s="215" t="n"/>
      <c r="L14" s="217" t="n"/>
      <c r="S14" s="270" t="inlineStr">
        <is>
          <t>F</t>
        </is>
      </c>
      <c r="T14" s="590" t="inlineStr">
        <is>
          <t>50 Breast</t>
        </is>
      </c>
      <c r="U14" s="590" t="n">
        <v>15</v>
      </c>
      <c r="V14" s="590" t="n">
        <v>23</v>
      </c>
      <c r="W14" s="590" t="n"/>
      <c r="X14" s="177">
        <f>F16</f>
        <v/>
      </c>
    </row>
    <row r="15">
      <c r="A15" s="220" t="inlineStr">
        <is>
          <t>F</t>
        </is>
      </c>
      <c r="B15" s="211" t="inlineStr">
        <is>
          <t>50 Back</t>
        </is>
      </c>
      <c r="C15" s="190" t="n">
        <v>2025</v>
      </c>
      <c r="D15" s="211" t="n"/>
      <c r="E15" s="221" t="n">
        <v>3</v>
      </c>
      <c r="F15" s="211">
        <f>B15</f>
        <v/>
      </c>
      <c r="G15" s="211" t="n"/>
      <c r="H15" s="211">
        <f>C15-G15</f>
        <v/>
      </c>
      <c r="I15" s="211" t="n"/>
      <c r="J15" s="211" t="n"/>
      <c r="K15" s="211" t="n"/>
      <c r="L15" s="213" t="n"/>
      <c r="S15" s="277" t="inlineStr">
        <is>
          <t>F</t>
        </is>
      </c>
      <c r="T15" s="613" t="inlineStr">
        <is>
          <t>50 Fly</t>
        </is>
      </c>
      <c r="U15" s="613" t="n">
        <v>14</v>
      </c>
      <c r="V15" s="613" t="n">
        <v>22</v>
      </c>
      <c r="W15" s="613" t="n"/>
      <c r="X15" s="185">
        <f>F17</f>
        <v/>
      </c>
    </row>
    <row r="16">
      <c r="A16" s="218" t="inlineStr">
        <is>
          <t>F</t>
        </is>
      </c>
      <c r="B16" s="215" t="inlineStr">
        <is>
          <t>50 Breast</t>
        </is>
      </c>
      <c r="C16" s="189" t="n">
        <v>2025</v>
      </c>
      <c r="D16" s="215" t="n"/>
      <c r="E16" s="219" t="n">
        <v>3</v>
      </c>
      <c r="F16" s="215">
        <f>B16</f>
        <v/>
      </c>
      <c r="G16" s="215" t="n"/>
      <c r="H16" s="215">
        <f>C16-G16</f>
        <v/>
      </c>
      <c r="I16" s="215" t="n"/>
      <c r="J16" s="215" t="n"/>
      <c r="K16" s="215" t="n"/>
      <c r="L16" s="217" t="n"/>
      <c r="S16" s="270" t="inlineStr">
        <is>
          <t>F</t>
        </is>
      </c>
      <c r="T16" s="590" t="inlineStr">
        <is>
          <t>50 Free</t>
        </is>
      </c>
      <c r="U16" s="590" t="n">
        <v>15</v>
      </c>
      <c r="V16" s="590" t="n">
        <v>23</v>
      </c>
      <c r="W16" s="590" t="n"/>
      <c r="X16" s="177">
        <f>F18</f>
        <v/>
      </c>
    </row>
    <row r="17">
      <c r="A17" s="220" t="inlineStr">
        <is>
          <t>F</t>
        </is>
      </c>
      <c r="B17" s="211" t="inlineStr">
        <is>
          <t>50 Fly</t>
        </is>
      </c>
      <c r="C17" s="190" t="n">
        <v>2025</v>
      </c>
      <c r="D17" s="211" t="n"/>
      <c r="E17" s="221" t="n">
        <v>3</v>
      </c>
      <c r="F17" s="211">
        <f>B17</f>
        <v/>
      </c>
      <c r="G17" s="211" t="n"/>
      <c r="H17" s="211">
        <f>C17-G17</f>
        <v/>
      </c>
      <c r="I17" s="211" t="n"/>
      <c r="J17" s="211" t="n"/>
      <c r="K17" s="211" t="n"/>
      <c r="L17" s="213" t="n"/>
      <c r="S17" s="277" t="inlineStr">
        <is>
          <t>F</t>
        </is>
      </c>
      <c r="T17" s="613" t="inlineStr">
        <is>
          <t>800 Free</t>
        </is>
      </c>
      <c r="U17" s="613" t="n">
        <v>14</v>
      </c>
      <c r="V17" s="613" t="n">
        <v>22</v>
      </c>
      <c r="W17" s="613" t="n"/>
      <c r="X17" s="185">
        <f>F19</f>
        <v/>
      </c>
    </row>
    <row r="18">
      <c r="A18" s="218" t="inlineStr">
        <is>
          <t>F</t>
        </is>
      </c>
      <c r="B18" s="215" t="inlineStr">
        <is>
          <t>50 Free</t>
        </is>
      </c>
      <c r="C18" s="189" t="n">
        <v>2025</v>
      </c>
      <c r="D18" s="215" t="n"/>
      <c r="E18" s="219" t="n">
        <v>3</v>
      </c>
      <c r="F18" s="215">
        <f>B18</f>
        <v/>
      </c>
      <c r="G18" s="215" t="n"/>
      <c r="H18" s="215">
        <f>C18-G18</f>
        <v/>
      </c>
      <c r="I18" s="215" t="n"/>
      <c r="J18" s="215" t="n"/>
      <c r="K18" s="215" t="n"/>
      <c r="L18" s="217" t="n"/>
      <c r="S18" s="270" t="inlineStr">
        <is>
          <t>M</t>
        </is>
      </c>
      <c r="T18" s="590" t="inlineStr">
        <is>
          <t>100 Back</t>
        </is>
      </c>
      <c r="U18" s="590" t="n">
        <v>15</v>
      </c>
      <c r="V18" s="590" t="n">
        <v>23</v>
      </c>
      <c r="W18" s="590" t="n"/>
      <c r="X18" s="177">
        <f>F21</f>
        <v/>
      </c>
    </row>
    <row r="19">
      <c r="A19" s="220" t="inlineStr">
        <is>
          <t>F</t>
        </is>
      </c>
      <c r="B19" s="211" t="inlineStr">
        <is>
          <t>800 Free</t>
        </is>
      </c>
      <c r="C19" s="190" t="n">
        <v>2025</v>
      </c>
      <c r="D19" s="211" t="n"/>
      <c r="E19" s="221" t="n">
        <v>3</v>
      </c>
      <c r="F19" s="211">
        <f>B19</f>
        <v/>
      </c>
      <c r="G19" s="211" t="n"/>
      <c r="H19" s="211">
        <f>C19-G19</f>
        <v/>
      </c>
      <c r="I19" s="211" t="n"/>
      <c r="J19" s="211" t="n"/>
      <c r="K19" s="211" t="n"/>
      <c r="L19" s="213" t="n"/>
      <c r="S19" s="277" t="inlineStr">
        <is>
          <t>M</t>
        </is>
      </c>
      <c r="T19" s="613" t="inlineStr">
        <is>
          <t>100 Breast</t>
        </is>
      </c>
      <c r="U19" s="613" t="n">
        <v>15</v>
      </c>
      <c r="V19" s="613" t="n">
        <v>23</v>
      </c>
      <c r="W19" s="613" t="n"/>
      <c r="X19" s="185">
        <f>F22</f>
        <v/>
      </c>
    </row>
    <row r="20">
      <c r="A20" s="218" t="inlineStr">
        <is>
          <t>F</t>
        </is>
      </c>
      <c r="B20" s="215" t="inlineStr">
        <is>
          <t>800 Free Relay</t>
        </is>
      </c>
      <c r="C20" s="189" t="n">
        <v>2025</v>
      </c>
      <c r="D20" s="215" t="n"/>
      <c r="E20" s="219" t="n">
        <v>3</v>
      </c>
      <c r="F20" s="215">
        <f>B20</f>
        <v/>
      </c>
      <c r="G20" s="215" t="n"/>
      <c r="H20" s="215">
        <f>C20-G20</f>
        <v/>
      </c>
      <c r="I20" s="215" t="n"/>
      <c r="J20" s="215" t="n"/>
      <c r="K20" s="215" t="n"/>
      <c r="L20" s="217" t="n"/>
      <c r="S20" s="270" t="inlineStr">
        <is>
          <t>M</t>
        </is>
      </c>
      <c r="T20" s="590" t="inlineStr">
        <is>
          <t>100 Fly</t>
        </is>
      </c>
      <c r="U20" s="590" t="n">
        <v>16</v>
      </c>
      <c r="V20" s="590" t="n">
        <v>24</v>
      </c>
      <c r="W20" s="590" t="n"/>
      <c r="X20" s="177">
        <f>F23</f>
        <v/>
      </c>
    </row>
    <row r="21">
      <c r="A21" s="220" t="inlineStr">
        <is>
          <t>M</t>
        </is>
      </c>
      <c r="B21" s="211" t="inlineStr">
        <is>
          <t>100 Back</t>
        </is>
      </c>
      <c r="C21" s="190" t="n">
        <v>2025</v>
      </c>
      <c r="D21" s="211" t="n"/>
      <c r="E21" s="221" t="n">
        <v>3</v>
      </c>
      <c r="F21" s="211">
        <f>B21</f>
        <v/>
      </c>
      <c r="G21" s="211" t="n"/>
      <c r="H21" s="211">
        <f>C21-G21</f>
        <v/>
      </c>
      <c r="I21" s="211" t="n"/>
      <c r="J21" s="211" t="n"/>
      <c r="K21" s="211" t="n"/>
      <c r="L21" s="213" t="n"/>
      <c r="S21" s="277" t="inlineStr">
        <is>
          <t>M</t>
        </is>
      </c>
      <c r="T21" s="613" t="inlineStr">
        <is>
          <t>100 Free</t>
        </is>
      </c>
      <c r="U21" s="613" t="n">
        <v>14</v>
      </c>
      <c r="V21" s="613" t="n">
        <v>22</v>
      </c>
      <c r="W21" s="613" t="n"/>
      <c r="X21" s="185">
        <f>F24</f>
        <v/>
      </c>
    </row>
    <row r="22">
      <c r="A22" s="218" t="inlineStr">
        <is>
          <t>M</t>
        </is>
      </c>
      <c r="B22" s="215" t="inlineStr">
        <is>
          <t>100 Breast</t>
        </is>
      </c>
      <c r="C22" s="189" t="n">
        <v>2025</v>
      </c>
      <c r="D22" s="215" t="n"/>
      <c r="E22" s="219" t="n">
        <v>3</v>
      </c>
      <c r="F22" s="215">
        <f>B22</f>
        <v/>
      </c>
      <c r="G22" s="215" t="n"/>
      <c r="H22" s="215">
        <f>C22-G22</f>
        <v/>
      </c>
      <c r="I22" s="215" t="n"/>
      <c r="J22" s="215" t="n"/>
      <c r="K22" s="215" t="n"/>
      <c r="L22" s="217" t="n"/>
      <c r="S22" s="270" t="inlineStr">
        <is>
          <t>M</t>
        </is>
      </c>
      <c r="T22" s="590" t="inlineStr">
        <is>
          <t>1500 Free</t>
        </is>
      </c>
      <c r="U22" s="590" t="n">
        <v>15</v>
      </c>
      <c r="V22" s="590" t="n">
        <v>23</v>
      </c>
      <c r="W22" s="590" t="n"/>
      <c r="X22" s="177">
        <f>F25</f>
        <v/>
      </c>
    </row>
    <row r="23">
      <c r="A23" s="220" t="inlineStr">
        <is>
          <t>M</t>
        </is>
      </c>
      <c r="B23" s="211" t="inlineStr">
        <is>
          <t>100 Fly</t>
        </is>
      </c>
      <c r="C23" s="190" t="n">
        <v>2025</v>
      </c>
      <c r="D23" s="211" t="n"/>
      <c r="E23" s="221" t="n">
        <v>3</v>
      </c>
      <c r="F23" s="211">
        <f>B23</f>
        <v/>
      </c>
      <c r="G23" s="211" t="n"/>
      <c r="H23" s="211">
        <f>C23-G23</f>
        <v/>
      </c>
      <c r="I23" s="211" t="n"/>
      <c r="J23" s="211" t="n"/>
      <c r="K23" s="211" t="n"/>
      <c r="L23" s="213" t="n"/>
      <c r="S23" s="277" t="inlineStr">
        <is>
          <t>M</t>
        </is>
      </c>
      <c r="T23" s="613" t="inlineStr">
        <is>
          <t>200 Back</t>
        </is>
      </c>
      <c r="U23" s="613" t="n">
        <v>13</v>
      </c>
      <c r="V23" s="613" t="n">
        <v>21</v>
      </c>
      <c r="W23" s="613" t="n"/>
      <c r="X23" s="185">
        <f>F26</f>
        <v/>
      </c>
    </row>
    <row r="24">
      <c r="A24" s="218" t="inlineStr">
        <is>
          <t>M</t>
        </is>
      </c>
      <c r="B24" s="215" t="inlineStr">
        <is>
          <t>100 Free</t>
        </is>
      </c>
      <c r="C24" s="189" t="n">
        <v>2025</v>
      </c>
      <c r="D24" s="215" t="n"/>
      <c r="E24" s="219" t="n">
        <v>3</v>
      </c>
      <c r="F24" s="215">
        <f>B24</f>
        <v/>
      </c>
      <c r="G24" s="215" t="n"/>
      <c r="H24" s="215">
        <f>C24-G24</f>
        <v/>
      </c>
      <c r="I24" s="215" t="n"/>
      <c r="J24" s="215" t="n"/>
      <c r="K24" s="215" t="n"/>
      <c r="L24" s="217" t="n"/>
      <c r="S24" s="270" t="inlineStr">
        <is>
          <t>M</t>
        </is>
      </c>
      <c r="T24" s="590" t="inlineStr">
        <is>
          <t>200 Breast</t>
        </is>
      </c>
      <c r="U24" s="590" t="n">
        <v>15</v>
      </c>
      <c r="V24" s="590" t="n">
        <v>23</v>
      </c>
      <c r="W24" s="590" t="n"/>
      <c r="X24" s="177">
        <f>F27</f>
        <v/>
      </c>
    </row>
    <row r="25">
      <c r="A25" s="220" t="inlineStr">
        <is>
          <t>M</t>
        </is>
      </c>
      <c r="B25" s="211" t="inlineStr">
        <is>
          <t>1500 Free</t>
        </is>
      </c>
      <c r="C25" s="190" t="n">
        <v>2025</v>
      </c>
      <c r="D25" s="211" t="n"/>
      <c r="E25" s="221" t="n">
        <v>3</v>
      </c>
      <c r="F25" s="211">
        <f>B25</f>
        <v/>
      </c>
      <c r="G25" s="211" t="n"/>
      <c r="H25" s="211">
        <f>C25-G25</f>
        <v/>
      </c>
      <c r="I25" s="211" t="n"/>
      <c r="J25" s="211" t="n"/>
      <c r="K25" s="211" t="n"/>
      <c r="L25" s="213" t="n"/>
      <c r="S25" s="277" t="inlineStr">
        <is>
          <t>M</t>
        </is>
      </c>
      <c r="T25" s="613" t="inlineStr">
        <is>
          <t>200 Fly</t>
        </is>
      </c>
      <c r="U25" s="613" t="n">
        <v>15</v>
      </c>
      <c r="V25" s="613" t="n">
        <v>23</v>
      </c>
      <c r="W25" s="613" t="n"/>
      <c r="X25" s="185">
        <f>F28</f>
        <v/>
      </c>
    </row>
    <row r="26">
      <c r="A26" s="218" t="inlineStr">
        <is>
          <t>M</t>
        </is>
      </c>
      <c r="B26" s="215" t="inlineStr">
        <is>
          <t>200 Back</t>
        </is>
      </c>
      <c r="C26" s="189" t="n">
        <v>2025</v>
      </c>
      <c r="D26" s="215" t="n"/>
      <c r="E26" s="219" t="n">
        <v>3</v>
      </c>
      <c r="F26" s="215">
        <f>B26</f>
        <v/>
      </c>
      <c r="G26" s="215" t="n"/>
      <c r="H26" s="215">
        <f>C26-G26</f>
        <v/>
      </c>
      <c r="I26" s="215" t="n"/>
      <c r="J26" s="215" t="n"/>
      <c r="K26" s="215" t="n"/>
      <c r="L26" s="217" t="n"/>
      <c r="S26" s="270" t="inlineStr">
        <is>
          <t>M</t>
        </is>
      </c>
      <c r="T26" s="590" t="inlineStr">
        <is>
          <t>200 Free</t>
        </is>
      </c>
      <c r="U26" s="590" t="n">
        <v>16</v>
      </c>
      <c r="V26" s="590" t="n">
        <v>24</v>
      </c>
      <c r="W26" s="590" t="n"/>
      <c r="X26" s="177">
        <f>F29</f>
        <v/>
      </c>
    </row>
    <row r="27">
      <c r="A27" s="220" t="inlineStr">
        <is>
          <t>M</t>
        </is>
      </c>
      <c r="B27" s="211" t="inlineStr">
        <is>
          <t>200 Breast</t>
        </is>
      </c>
      <c r="C27" s="190" t="n">
        <v>2025</v>
      </c>
      <c r="D27" s="211" t="n"/>
      <c r="E27" s="221" t="n">
        <v>3</v>
      </c>
      <c r="F27" s="211">
        <f>B27</f>
        <v/>
      </c>
      <c r="G27" s="211" t="n"/>
      <c r="H27" s="211">
        <f>C27-G27</f>
        <v/>
      </c>
      <c r="I27" s="211" t="n"/>
      <c r="J27" s="211" t="n"/>
      <c r="K27" s="211" t="n"/>
      <c r="L27" s="213" t="n"/>
      <c r="S27" s="277" t="inlineStr">
        <is>
          <t>M</t>
        </is>
      </c>
      <c r="T27" s="613" t="inlineStr">
        <is>
          <t>200 IM</t>
        </is>
      </c>
      <c r="U27" s="613" t="n">
        <v>16</v>
      </c>
      <c r="V27" s="613" t="n">
        <v>24</v>
      </c>
      <c r="W27" s="613" t="n"/>
      <c r="X27" s="185">
        <f>F30</f>
        <v/>
      </c>
    </row>
    <row r="28">
      <c r="A28" s="218" t="inlineStr">
        <is>
          <t>M</t>
        </is>
      </c>
      <c r="B28" s="215" t="inlineStr">
        <is>
          <t>200 Fly</t>
        </is>
      </c>
      <c r="C28" s="189" t="n">
        <v>2025</v>
      </c>
      <c r="D28" s="215" t="n"/>
      <c r="E28" s="219" t="n">
        <v>3</v>
      </c>
      <c r="F28" s="215">
        <f>B28</f>
        <v/>
      </c>
      <c r="G28" s="215" t="n"/>
      <c r="H28" s="215">
        <f>C28-G28</f>
        <v/>
      </c>
      <c r="I28" s="215" t="n"/>
      <c r="J28" s="215" t="n"/>
      <c r="K28" s="215" t="n"/>
      <c r="L28" s="217" t="n"/>
      <c r="S28" s="270" t="inlineStr">
        <is>
          <t>M</t>
        </is>
      </c>
      <c r="T28" s="590" t="inlineStr">
        <is>
          <t>400 Free</t>
        </is>
      </c>
      <c r="U28" s="590" t="n">
        <v>18</v>
      </c>
      <c r="V28" s="590" t="n">
        <v>26</v>
      </c>
      <c r="W28" s="590" t="n"/>
      <c r="X28" s="177">
        <f>F33</f>
        <v/>
      </c>
    </row>
    <row r="29">
      <c r="A29" s="220" t="inlineStr">
        <is>
          <t>M</t>
        </is>
      </c>
      <c r="B29" s="211" t="inlineStr">
        <is>
          <t>200 Free</t>
        </is>
      </c>
      <c r="C29" s="190" t="n">
        <v>2025</v>
      </c>
      <c r="D29" s="211" t="n"/>
      <c r="E29" s="221" t="n">
        <v>3</v>
      </c>
      <c r="F29" s="211">
        <f>B29</f>
        <v/>
      </c>
      <c r="G29" s="211" t="n"/>
      <c r="H29" s="211">
        <f>C29-G29</f>
        <v/>
      </c>
      <c r="I29" s="211" t="n"/>
      <c r="J29" s="211" t="n"/>
      <c r="K29" s="211" t="n"/>
      <c r="L29" s="213" t="n"/>
      <c r="S29" s="277" t="inlineStr">
        <is>
          <t>M</t>
        </is>
      </c>
      <c r="T29" s="613" t="inlineStr">
        <is>
          <t>400 IM</t>
        </is>
      </c>
      <c r="U29" s="613" t="n">
        <v>17</v>
      </c>
      <c r="V29" s="613" t="n">
        <v>25</v>
      </c>
      <c r="W29" s="613" t="n"/>
      <c r="X29" s="185">
        <f>F36</f>
        <v/>
      </c>
    </row>
    <row r="30">
      <c r="A30" s="218" t="inlineStr">
        <is>
          <t>M</t>
        </is>
      </c>
      <c r="B30" s="215" t="inlineStr">
        <is>
          <t>200 IM</t>
        </is>
      </c>
      <c r="C30" s="189" t="n">
        <v>2025</v>
      </c>
      <c r="D30" s="215" t="n"/>
      <c r="E30" s="219" t="n">
        <v>3</v>
      </c>
      <c r="F30" s="215">
        <f>B30</f>
        <v/>
      </c>
      <c r="G30" s="215" t="n"/>
      <c r="H30" s="215">
        <f>C30-G30</f>
        <v/>
      </c>
      <c r="I30" s="215" t="n"/>
      <c r="J30" s="215" t="n"/>
      <c r="K30" s="215" t="n"/>
      <c r="L30" s="217" t="n"/>
      <c r="S30" s="270" t="inlineStr">
        <is>
          <t>M</t>
        </is>
      </c>
      <c r="T30" s="590" t="inlineStr">
        <is>
          <t>50 Back</t>
        </is>
      </c>
      <c r="U30" s="590" t="n">
        <v>17</v>
      </c>
      <c r="V30" s="590" t="n">
        <v>25</v>
      </c>
      <c r="W30" s="590" t="n"/>
      <c r="X30" s="177">
        <f>F35</f>
        <v/>
      </c>
    </row>
    <row r="31">
      <c r="A31" s="220" t="inlineStr">
        <is>
          <t>M</t>
        </is>
      </c>
      <c r="B31" s="211" t="inlineStr">
        <is>
          <t>400 Free</t>
        </is>
      </c>
      <c r="C31" s="190" t="n">
        <v>2025</v>
      </c>
      <c r="D31" s="211" t="n"/>
      <c r="E31" s="221" t="n">
        <v>3</v>
      </c>
      <c r="F31" s="211">
        <f>B31</f>
        <v/>
      </c>
      <c r="G31" s="211" t="n"/>
      <c r="H31" s="211">
        <f>C31-G31</f>
        <v/>
      </c>
      <c r="I31" s="211" t="n"/>
      <c r="J31" s="211" t="n"/>
      <c r="K31" s="211" t="n"/>
      <c r="L31" s="213" t="n"/>
      <c r="S31" s="277" t="inlineStr">
        <is>
          <t>M</t>
        </is>
      </c>
      <c r="T31" s="613" t="inlineStr">
        <is>
          <t>50 Breast</t>
        </is>
      </c>
      <c r="U31" s="613" t="n">
        <v>16</v>
      </c>
      <c r="V31" s="613" t="n">
        <v>24</v>
      </c>
      <c r="W31" s="613" t="n"/>
      <c r="X31" s="185">
        <f>F36</f>
        <v/>
      </c>
    </row>
    <row r="32">
      <c r="A32" s="218" t="inlineStr">
        <is>
          <t>M</t>
        </is>
      </c>
      <c r="B32" s="215" t="inlineStr">
        <is>
          <t>400 Free Relay</t>
        </is>
      </c>
      <c r="C32" s="189" t="n">
        <v>2025</v>
      </c>
      <c r="D32" s="215" t="n"/>
      <c r="E32" s="219" t="n">
        <v>3</v>
      </c>
      <c r="F32" s="215">
        <f>B32</f>
        <v/>
      </c>
      <c r="G32" s="215" t="n"/>
      <c r="H32" s="215">
        <f>C32-G32</f>
        <v/>
      </c>
      <c r="I32" s="215" t="n"/>
      <c r="J32" s="215" t="n"/>
      <c r="K32" s="215" t="n"/>
      <c r="L32" s="217" t="n"/>
      <c r="S32" s="270" t="inlineStr">
        <is>
          <t>M</t>
        </is>
      </c>
      <c r="T32" s="590" t="inlineStr">
        <is>
          <t>50 Fly</t>
        </is>
      </c>
      <c r="U32" s="590" t="n">
        <v>17</v>
      </c>
      <c r="V32" s="590" t="n">
        <v>25</v>
      </c>
      <c r="W32" s="590" t="n"/>
      <c r="X32" s="177">
        <f>F37</f>
        <v/>
      </c>
    </row>
    <row r="33">
      <c r="A33" s="220" t="inlineStr">
        <is>
          <t>M</t>
        </is>
      </c>
      <c r="B33" s="211" t="inlineStr">
        <is>
          <t>400 IM</t>
        </is>
      </c>
      <c r="C33" s="190" t="n">
        <v>2025</v>
      </c>
      <c r="D33" s="211" t="n"/>
      <c r="E33" s="221" t="n">
        <v>3</v>
      </c>
      <c r="F33" s="211">
        <f>B33</f>
        <v/>
      </c>
      <c r="G33" s="211" t="n"/>
      <c r="H33" s="211">
        <f>C33-G33</f>
        <v/>
      </c>
      <c r="I33" s="211" t="n"/>
      <c r="J33" s="211" t="n"/>
      <c r="K33" s="211" t="n"/>
      <c r="L33" s="213" t="n"/>
      <c r="S33" s="186" t="inlineStr">
        <is>
          <t>M</t>
        </is>
      </c>
      <c r="T33" s="187" t="inlineStr">
        <is>
          <t>50 Free</t>
        </is>
      </c>
      <c r="U33" s="187" t="n">
        <v>14</v>
      </c>
      <c r="V33" s="187" t="n">
        <v>22</v>
      </c>
      <c r="W33" s="187" t="n"/>
      <c r="X33" s="188">
        <f>F38</f>
        <v/>
      </c>
    </row>
    <row r="34">
      <c r="A34" s="218" t="inlineStr">
        <is>
          <t>M</t>
        </is>
      </c>
      <c r="B34" s="215" t="inlineStr">
        <is>
          <t>400 Medley Relay</t>
        </is>
      </c>
      <c r="C34" s="189" t="n">
        <v>2025</v>
      </c>
      <c r="D34" s="215" t="n"/>
      <c r="E34" s="219" t="n">
        <v>3</v>
      </c>
      <c r="F34" s="215">
        <f>B34</f>
        <v/>
      </c>
      <c r="G34" s="215" t="n"/>
      <c r="H34" s="215">
        <f>C34-G34</f>
        <v/>
      </c>
      <c r="I34" s="215" t="n"/>
      <c r="J34" s="215" t="n"/>
      <c r="K34" s="215" t="n"/>
      <c r="L34" s="217" t="n"/>
    </row>
    <row r="35">
      <c r="A35" s="220" t="inlineStr">
        <is>
          <t>M</t>
        </is>
      </c>
      <c r="B35" s="211" t="inlineStr">
        <is>
          <t>50 Back</t>
        </is>
      </c>
      <c r="C35" s="190" t="n">
        <v>2025</v>
      </c>
      <c r="D35" s="211" t="n"/>
      <c r="E35" s="221" t="n">
        <v>3</v>
      </c>
      <c r="F35" s="211">
        <f>B35</f>
        <v/>
      </c>
      <c r="G35" s="211" t="n"/>
      <c r="H35" s="211">
        <f>C35-G35</f>
        <v/>
      </c>
      <c r="I35" s="211" t="n"/>
      <c r="J35" s="211" t="n"/>
      <c r="K35" s="211" t="n"/>
      <c r="L35" s="213" t="n"/>
    </row>
    <row r="36">
      <c r="A36" s="218" t="inlineStr">
        <is>
          <t>M</t>
        </is>
      </c>
      <c r="B36" s="215" t="inlineStr">
        <is>
          <t>50 Breast</t>
        </is>
      </c>
      <c r="C36" s="189" t="n">
        <v>2025</v>
      </c>
      <c r="D36" s="215" t="n"/>
      <c r="E36" s="219" t="n">
        <v>3</v>
      </c>
      <c r="F36" s="215">
        <f>B36</f>
        <v/>
      </c>
      <c r="G36" s="215" t="n"/>
      <c r="H36" s="215">
        <f>C36-G36</f>
        <v/>
      </c>
      <c r="I36" s="215" t="n"/>
      <c r="J36" s="215" t="n"/>
      <c r="K36" s="215" t="n"/>
      <c r="L36" s="217" t="n"/>
    </row>
    <row r="37">
      <c r="A37" s="220" t="inlineStr">
        <is>
          <t>M</t>
        </is>
      </c>
      <c r="B37" s="211" t="inlineStr">
        <is>
          <t>50 Fly</t>
        </is>
      </c>
      <c r="C37" s="190" t="n">
        <v>2025</v>
      </c>
      <c r="D37" s="211" t="n"/>
      <c r="E37" s="221" t="n">
        <v>3</v>
      </c>
      <c r="F37" s="211">
        <f>B37</f>
        <v/>
      </c>
      <c r="G37" s="211" t="n"/>
      <c r="H37" s="211">
        <f>C37-G37</f>
        <v/>
      </c>
      <c r="I37" s="211" t="n"/>
      <c r="J37" s="211" t="n"/>
      <c r="K37" s="211" t="n"/>
      <c r="L37" s="213" t="n"/>
    </row>
    <row r="38">
      <c r="A38" s="218" t="inlineStr">
        <is>
          <t>M</t>
        </is>
      </c>
      <c r="B38" s="215" t="inlineStr">
        <is>
          <t>50 Free</t>
        </is>
      </c>
      <c r="C38" s="189" t="n">
        <v>2025</v>
      </c>
      <c r="D38" s="215" t="n"/>
      <c r="E38" s="219" t="n">
        <v>3</v>
      </c>
      <c r="F38" s="215">
        <f>B38</f>
        <v/>
      </c>
      <c r="G38" s="215" t="n"/>
      <c r="H38" s="215">
        <f>C38-G38</f>
        <v/>
      </c>
      <c r="I38" s="215" t="n"/>
      <c r="J38" s="215" t="n"/>
      <c r="K38" s="215" t="n"/>
      <c r="L38" s="217" t="n"/>
    </row>
    <row r="39">
      <c r="A39" s="220" t="inlineStr">
        <is>
          <t>M</t>
        </is>
      </c>
      <c r="B39" s="211" t="inlineStr">
        <is>
          <t>800 Free Relay</t>
        </is>
      </c>
      <c r="C39" s="190" t="n">
        <v>2025</v>
      </c>
      <c r="D39" s="211" t="n"/>
      <c r="E39" s="221" t="n">
        <v>3</v>
      </c>
      <c r="F39" s="211" t="n"/>
      <c r="G39" s="211" t="n"/>
      <c r="H39" s="211">
        <f>C39-G39</f>
        <v/>
      </c>
      <c r="I39" s="211" t="n"/>
      <c r="J39" s="211" t="n"/>
      <c r="K39" s="211" t="n"/>
      <c r="L39" s="213" t="n"/>
    </row>
    <row r="40">
      <c r="A40" s="218" t="inlineStr">
        <is>
          <t>F</t>
        </is>
      </c>
      <c r="B40" s="215" t="inlineStr">
        <is>
          <t>100 Back</t>
        </is>
      </c>
      <c r="C40" s="189" t="n">
        <v>2025</v>
      </c>
      <c r="D40" s="215" t="n"/>
      <c r="E40" s="219" t="n">
        <v>2</v>
      </c>
      <c r="F40" s="215" t="n"/>
      <c r="G40" s="215" t="n"/>
      <c r="H40" s="215">
        <f>C40-G40</f>
        <v/>
      </c>
      <c r="I40" s="215" t="n"/>
      <c r="J40" s="215" t="n"/>
      <c r="K40" s="215" t="n"/>
      <c r="L40" s="217" t="n"/>
    </row>
    <row r="41">
      <c r="A41" s="220" t="inlineStr">
        <is>
          <t>F</t>
        </is>
      </c>
      <c r="B41" s="211" t="inlineStr">
        <is>
          <t>100 Breast</t>
        </is>
      </c>
      <c r="C41" s="190" t="n">
        <v>2025</v>
      </c>
      <c r="D41" s="211" t="n"/>
      <c r="E41" s="221" t="n">
        <v>2</v>
      </c>
      <c r="F41" s="211" t="n"/>
      <c r="G41" s="211" t="n"/>
      <c r="H41" s="211">
        <f>C41-G41</f>
        <v/>
      </c>
      <c r="I41" s="211" t="n"/>
      <c r="J41" s="211" t="n"/>
      <c r="K41" s="211" t="n"/>
      <c r="L41" s="213" t="n"/>
    </row>
    <row r="42">
      <c r="A42" s="218" t="inlineStr">
        <is>
          <t>F</t>
        </is>
      </c>
      <c r="B42" s="215" t="inlineStr">
        <is>
          <t>100 Fly</t>
        </is>
      </c>
      <c r="C42" s="189" t="n">
        <v>2025</v>
      </c>
      <c r="D42" s="215" t="n"/>
      <c r="E42" s="219" t="n">
        <v>2</v>
      </c>
      <c r="F42" s="215" t="n"/>
      <c r="G42" s="215" t="n"/>
      <c r="H42" s="215">
        <f>C42-G42</f>
        <v/>
      </c>
      <c r="I42" s="215" t="n"/>
      <c r="J42" s="215" t="n"/>
      <c r="K42" s="215" t="n"/>
      <c r="L42" s="217" t="n"/>
    </row>
    <row r="43">
      <c r="A43" s="220" t="inlineStr">
        <is>
          <t>F</t>
        </is>
      </c>
      <c r="B43" s="211" t="inlineStr">
        <is>
          <t>100 Free</t>
        </is>
      </c>
      <c r="C43" s="190" t="n">
        <v>2025</v>
      </c>
      <c r="D43" s="211" t="n"/>
      <c r="E43" s="221" t="n">
        <v>2</v>
      </c>
      <c r="F43" s="211" t="n"/>
      <c r="G43" s="211" t="n"/>
      <c r="H43" s="211">
        <f>C43-G43</f>
        <v/>
      </c>
      <c r="I43" s="211" t="n"/>
      <c r="J43" s="211" t="n"/>
      <c r="K43" s="211" t="n"/>
      <c r="L43" s="213" t="n"/>
    </row>
    <row r="44">
      <c r="A44" s="218" t="inlineStr">
        <is>
          <t>F</t>
        </is>
      </c>
      <c r="B44" s="215" t="inlineStr">
        <is>
          <t>200 Back</t>
        </is>
      </c>
      <c r="C44" s="189" t="n">
        <v>2025</v>
      </c>
      <c r="D44" s="215" t="n"/>
      <c r="E44" s="219" t="n">
        <v>2</v>
      </c>
      <c r="F44" s="215" t="n"/>
      <c r="G44" s="215" t="n"/>
      <c r="H44" s="215">
        <f>C44-G44</f>
        <v/>
      </c>
      <c r="I44" s="215" t="n"/>
      <c r="J44" s="215" t="n"/>
      <c r="K44" s="215" t="n"/>
      <c r="L44" s="217" t="n"/>
    </row>
    <row r="45">
      <c r="A45" s="220" t="inlineStr">
        <is>
          <t>F</t>
        </is>
      </c>
      <c r="B45" s="211" t="inlineStr">
        <is>
          <t>200 Breast</t>
        </is>
      </c>
      <c r="C45" s="190" t="n">
        <v>2025</v>
      </c>
      <c r="D45" s="211" t="n"/>
      <c r="E45" s="221" t="n">
        <v>2</v>
      </c>
      <c r="F45" s="211" t="n"/>
      <c r="G45" s="211" t="n"/>
      <c r="H45" s="211">
        <f>C45-G45</f>
        <v/>
      </c>
      <c r="I45" s="211" t="n"/>
      <c r="J45" s="211" t="n"/>
      <c r="K45" s="211" t="n"/>
      <c r="L45" s="213" t="n"/>
    </row>
    <row r="46">
      <c r="A46" s="218" t="inlineStr">
        <is>
          <t>F</t>
        </is>
      </c>
      <c r="B46" s="215" t="inlineStr">
        <is>
          <t>200 Fly</t>
        </is>
      </c>
      <c r="C46" s="189" t="n">
        <v>2025</v>
      </c>
      <c r="D46" s="215" t="n"/>
      <c r="E46" s="219" t="n">
        <v>2</v>
      </c>
      <c r="F46" s="215" t="n"/>
      <c r="G46" s="215" t="n"/>
      <c r="H46" s="215">
        <f>C46-G46</f>
        <v/>
      </c>
      <c r="I46" s="215" t="n"/>
      <c r="J46" s="215" t="n"/>
      <c r="K46" s="215" t="n"/>
      <c r="L46" s="217" t="n"/>
    </row>
    <row r="47">
      <c r="A47" s="220" t="inlineStr">
        <is>
          <t>F</t>
        </is>
      </c>
      <c r="B47" s="211" t="inlineStr">
        <is>
          <t>200 Free</t>
        </is>
      </c>
      <c r="C47" s="190" t="n">
        <v>2025</v>
      </c>
      <c r="D47" s="211" t="n"/>
      <c r="E47" s="221" t="n">
        <v>2</v>
      </c>
      <c r="F47" s="211" t="n"/>
      <c r="G47" s="211" t="n"/>
      <c r="H47" s="211">
        <f>C47-G47</f>
        <v/>
      </c>
      <c r="I47" s="211" t="n"/>
      <c r="J47" s="211" t="n"/>
      <c r="K47" s="211" t="n"/>
      <c r="L47" s="213" t="n"/>
    </row>
    <row r="48">
      <c r="A48" s="218" t="inlineStr">
        <is>
          <t>F</t>
        </is>
      </c>
      <c r="B48" s="215" t="inlineStr">
        <is>
          <t>200 IM</t>
        </is>
      </c>
      <c r="C48" s="189" t="n">
        <v>2025</v>
      </c>
      <c r="D48" s="215" t="n"/>
      <c r="E48" s="219" t="n">
        <v>2</v>
      </c>
      <c r="F48" s="215" t="n"/>
      <c r="G48" s="215" t="n"/>
      <c r="H48" s="215">
        <f>C48-G48</f>
        <v/>
      </c>
      <c r="I48" s="215" t="n"/>
      <c r="J48" s="215" t="n"/>
      <c r="K48" s="215" t="n"/>
      <c r="L48" s="217" t="n"/>
    </row>
    <row r="49">
      <c r="A49" s="220" t="inlineStr">
        <is>
          <t>F</t>
        </is>
      </c>
      <c r="B49" s="211" t="inlineStr">
        <is>
          <t>400 Free</t>
        </is>
      </c>
      <c r="C49" s="190" t="n">
        <v>2025</v>
      </c>
      <c r="D49" s="211" t="n"/>
      <c r="E49" s="221" t="n">
        <v>2</v>
      </c>
      <c r="F49" s="211" t="n"/>
      <c r="G49" s="211" t="n"/>
      <c r="H49" s="211">
        <f>C49-G49</f>
        <v/>
      </c>
      <c r="I49" s="211" t="n"/>
      <c r="J49" s="211" t="n"/>
      <c r="K49" s="211" t="n"/>
      <c r="L49" s="213" t="n"/>
    </row>
    <row r="50">
      <c r="A50" s="218" t="inlineStr">
        <is>
          <t>F</t>
        </is>
      </c>
      <c r="B50" s="215" t="inlineStr">
        <is>
          <t>400 Free Relay</t>
        </is>
      </c>
      <c r="C50" s="189" t="n">
        <v>2025</v>
      </c>
      <c r="D50" s="215" t="n"/>
      <c r="E50" s="219" t="n">
        <v>2</v>
      </c>
      <c r="F50" s="215" t="n"/>
      <c r="G50" s="215" t="n"/>
      <c r="H50" s="215">
        <f>C50-G50</f>
        <v/>
      </c>
      <c r="I50" s="215" t="n"/>
      <c r="J50" s="215" t="n"/>
      <c r="K50" s="215" t="n"/>
      <c r="L50" s="217" t="n"/>
    </row>
    <row r="51">
      <c r="A51" s="220" t="inlineStr">
        <is>
          <t>F</t>
        </is>
      </c>
      <c r="B51" s="211" t="inlineStr">
        <is>
          <t>400 IM</t>
        </is>
      </c>
      <c r="C51" s="190" t="n">
        <v>2025</v>
      </c>
      <c r="D51" s="211" t="n"/>
      <c r="E51" s="221" t="n">
        <v>2</v>
      </c>
      <c r="F51" s="211" t="n"/>
      <c r="G51" s="211" t="n"/>
      <c r="H51" s="211">
        <f>C51-G51</f>
        <v/>
      </c>
      <c r="I51" s="211" t="n"/>
      <c r="J51" s="211" t="n"/>
      <c r="K51" s="211" t="n"/>
      <c r="L51" s="213" t="n"/>
    </row>
    <row r="52">
      <c r="A52" s="218" t="inlineStr">
        <is>
          <t>F</t>
        </is>
      </c>
      <c r="B52" s="215" t="inlineStr">
        <is>
          <t>400 Medley Relay</t>
        </is>
      </c>
      <c r="C52" s="189" t="n">
        <v>2025</v>
      </c>
      <c r="D52" s="215" t="n"/>
      <c r="E52" s="219" t="n">
        <v>2</v>
      </c>
      <c r="F52" s="215" t="n"/>
      <c r="G52" s="215" t="n"/>
      <c r="H52" s="215">
        <f>C52-G52</f>
        <v/>
      </c>
      <c r="I52" s="215" t="n"/>
      <c r="J52" s="215" t="n"/>
      <c r="K52" s="215" t="n"/>
      <c r="L52" s="217" t="n"/>
    </row>
    <row r="53">
      <c r="A53" s="220" t="inlineStr">
        <is>
          <t>F</t>
        </is>
      </c>
      <c r="B53" s="211" t="inlineStr">
        <is>
          <t>50 Back</t>
        </is>
      </c>
      <c r="C53" s="190" t="n">
        <v>2025</v>
      </c>
      <c r="D53" s="211" t="n"/>
      <c r="E53" s="221" t="n">
        <v>2</v>
      </c>
      <c r="F53" s="211" t="n"/>
      <c r="G53" s="211" t="n"/>
      <c r="H53" s="211">
        <f>C53-G53</f>
        <v/>
      </c>
      <c r="I53" s="211" t="n"/>
      <c r="J53" s="211" t="n"/>
      <c r="K53" s="211" t="n"/>
      <c r="L53" s="213" t="n"/>
    </row>
    <row r="54">
      <c r="A54" s="218" t="inlineStr">
        <is>
          <t>F</t>
        </is>
      </c>
      <c r="B54" s="215" t="inlineStr">
        <is>
          <t>50 Breast</t>
        </is>
      </c>
      <c r="C54" s="189" t="n">
        <v>2025</v>
      </c>
      <c r="D54" s="215" t="n"/>
      <c r="E54" s="219" t="n">
        <v>2</v>
      </c>
      <c r="F54" s="215" t="n"/>
      <c r="G54" s="215" t="n"/>
      <c r="H54" s="215">
        <f>C54-G54</f>
        <v/>
      </c>
      <c r="I54" s="215" t="n"/>
      <c r="J54" s="215" t="n"/>
      <c r="K54" s="215" t="n"/>
      <c r="L54" s="217" t="n"/>
    </row>
    <row r="55">
      <c r="A55" s="220" t="inlineStr">
        <is>
          <t>F</t>
        </is>
      </c>
      <c r="B55" s="211" t="inlineStr">
        <is>
          <t>50 Fly</t>
        </is>
      </c>
      <c r="C55" s="190" t="n">
        <v>2025</v>
      </c>
      <c r="D55" s="211" t="n"/>
      <c r="E55" s="221" t="n">
        <v>2</v>
      </c>
      <c r="F55" s="211" t="n"/>
      <c r="G55" s="211" t="n"/>
      <c r="H55" s="211">
        <f>C55-G55</f>
        <v/>
      </c>
      <c r="I55" s="211" t="n"/>
      <c r="J55" s="211" t="n"/>
      <c r="K55" s="211" t="n"/>
      <c r="L55" s="213" t="n"/>
    </row>
    <row r="56">
      <c r="A56" s="218" t="inlineStr">
        <is>
          <t>F</t>
        </is>
      </c>
      <c r="B56" s="215" t="inlineStr">
        <is>
          <t>50 Free</t>
        </is>
      </c>
      <c r="C56" s="189" t="n">
        <v>2025</v>
      </c>
      <c r="D56" s="215" t="n"/>
      <c r="E56" s="219" t="n">
        <v>2</v>
      </c>
      <c r="F56" s="215" t="n"/>
      <c r="G56" s="215" t="n"/>
      <c r="H56" s="215">
        <f>C56-G56</f>
        <v/>
      </c>
      <c r="I56" s="215" t="n"/>
      <c r="J56" s="215" t="n"/>
      <c r="K56" s="215" t="n"/>
      <c r="L56" s="217" t="n"/>
    </row>
    <row r="57">
      <c r="A57" s="220" t="inlineStr">
        <is>
          <t>F</t>
        </is>
      </c>
      <c r="B57" s="211" t="inlineStr">
        <is>
          <t>800 Free</t>
        </is>
      </c>
      <c r="C57" s="190" t="n">
        <v>2025</v>
      </c>
      <c r="D57" s="211" t="n"/>
      <c r="E57" s="221" t="n">
        <v>2</v>
      </c>
      <c r="F57" s="211" t="n"/>
      <c r="G57" s="211" t="n"/>
      <c r="H57" s="211">
        <f>C57-G57</f>
        <v/>
      </c>
      <c r="I57" s="211" t="n"/>
      <c r="J57" s="211" t="n"/>
      <c r="K57" s="211" t="n"/>
      <c r="L57" s="213" t="n"/>
    </row>
    <row r="58">
      <c r="A58" s="218" t="inlineStr">
        <is>
          <t>F</t>
        </is>
      </c>
      <c r="B58" s="215" t="inlineStr">
        <is>
          <t>800 Free Relay</t>
        </is>
      </c>
      <c r="C58" s="189" t="n">
        <v>2025</v>
      </c>
      <c r="D58" s="215" t="n"/>
      <c r="E58" s="219" t="n">
        <v>2</v>
      </c>
      <c r="F58" s="215" t="n"/>
      <c r="G58" s="215" t="n"/>
      <c r="H58" s="215">
        <f>C58-G58</f>
        <v/>
      </c>
      <c r="I58" s="215" t="n"/>
      <c r="J58" s="215" t="n"/>
      <c r="K58" s="215" t="n"/>
      <c r="L58" s="217" t="n"/>
    </row>
    <row r="59">
      <c r="A59" s="220" t="inlineStr">
        <is>
          <t>M</t>
        </is>
      </c>
      <c r="B59" s="211" t="inlineStr">
        <is>
          <t>100 Back</t>
        </is>
      </c>
      <c r="C59" s="190" t="n">
        <v>2025</v>
      </c>
      <c r="D59" s="211" t="n"/>
      <c r="E59" s="221" t="n">
        <v>2</v>
      </c>
      <c r="F59" s="211" t="n"/>
      <c r="G59" s="211" t="n"/>
      <c r="H59" s="211">
        <f>C59-G59</f>
        <v/>
      </c>
      <c r="I59" s="211" t="n"/>
      <c r="J59" s="211" t="n"/>
      <c r="K59" s="211" t="n"/>
      <c r="L59" s="213" t="n"/>
    </row>
    <row r="60">
      <c r="A60" s="218" t="inlineStr">
        <is>
          <t>M</t>
        </is>
      </c>
      <c r="B60" s="215" t="inlineStr">
        <is>
          <t>100 Breast</t>
        </is>
      </c>
      <c r="C60" s="189" t="n">
        <v>2025</v>
      </c>
      <c r="D60" s="215" t="n"/>
      <c r="E60" s="219" t="n">
        <v>2</v>
      </c>
      <c r="F60" s="215" t="n"/>
      <c r="G60" s="215" t="n"/>
      <c r="H60" s="215">
        <f>C60-G60</f>
        <v/>
      </c>
      <c r="I60" s="215" t="n"/>
      <c r="J60" s="215" t="n"/>
      <c r="K60" s="215" t="n"/>
      <c r="L60" s="217" t="n"/>
    </row>
    <row r="61">
      <c r="A61" s="220" t="inlineStr">
        <is>
          <t>M</t>
        </is>
      </c>
      <c r="B61" s="211" t="inlineStr">
        <is>
          <t>100 Fly</t>
        </is>
      </c>
      <c r="C61" s="190" t="n">
        <v>2025</v>
      </c>
      <c r="D61" s="211" t="n"/>
      <c r="E61" s="221" t="n">
        <v>2</v>
      </c>
      <c r="F61" s="211" t="n"/>
      <c r="G61" s="211" t="n"/>
      <c r="H61" s="211">
        <f>C61-G61</f>
        <v/>
      </c>
      <c r="I61" s="211" t="n"/>
      <c r="J61" s="211" t="n"/>
      <c r="K61" s="211" t="n"/>
      <c r="L61" s="213" t="n"/>
    </row>
    <row r="62">
      <c r="A62" s="218" t="inlineStr">
        <is>
          <t>M</t>
        </is>
      </c>
      <c r="B62" s="215" t="inlineStr">
        <is>
          <t>100 Free</t>
        </is>
      </c>
      <c r="C62" s="189" t="n">
        <v>2025</v>
      </c>
      <c r="D62" s="215" t="n"/>
      <c r="E62" s="219" t="n">
        <v>2</v>
      </c>
      <c r="F62" s="215" t="n"/>
      <c r="G62" s="215" t="n"/>
      <c r="H62" s="215">
        <f>C62-G62</f>
        <v/>
      </c>
      <c r="I62" s="215" t="n"/>
      <c r="J62" s="215" t="n"/>
      <c r="K62" s="215" t="n"/>
      <c r="L62" s="217" t="n"/>
    </row>
    <row r="63">
      <c r="A63" s="220" t="inlineStr">
        <is>
          <t>M</t>
        </is>
      </c>
      <c r="B63" s="211" t="inlineStr">
        <is>
          <t>1500 Free</t>
        </is>
      </c>
      <c r="C63" s="190" t="n">
        <v>2025</v>
      </c>
      <c r="D63" s="211" t="n"/>
      <c r="E63" s="221" t="n">
        <v>2</v>
      </c>
      <c r="F63" s="211" t="n"/>
      <c r="G63" s="211" t="n"/>
      <c r="H63" s="211">
        <f>C63-G63</f>
        <v/>
      </c>
      <c r="I63" s="211" t="n"/>
      <c r="J63" s="211" t="n"/>
      <c r="K63" s="211" t="n"/>
      <c r="L63" s="213" t="n"/>
    </row>
    <row r="64">
      <c r="A64" s="218" t="inlineStr">
        <is>
          <t>M</t>
        </is>
      </c>
      <c r="B64" s="215" t="inlineStr">
        <is>
          <t>200 Back</t>
        </is>
      </c>
      <c r="C64" s="189" t="n">
        <v>2025</v>
      </c>
      <c r="D64" s="215" t="n"/>
      <c r="E64" s="219" t="n">
        <v>2</v>
      </c>
      <c r="F64" s="215" t="n"/>
      <c r="G64" s="215" t="n"/>
      <c r="H64" s="215">
        <f>C64-G64</f>
        <v/>
      </c>
      <c r="I64" s="215" t="n"/>
      <c r="J64" s="215" t="n"/>
      <c r="K64" s="215" t="n"/>
      <c r="L64" s="217" t="n"/>
    </row>
    <row r="65">
      <c r="A65" s="220" t="inlineStr">
        <is>
          <t>M</t>
        </is>
      </c>
      <c r="B65" s="211" t="inlineStr">
        <is>
          <t>200 Breast</t>
        </is>
      </c>
      <c r="C65" s="190" t="n">
        <v>2025</v>
      </c>
      <c r="D65" s="211" t="n"/>
      <c r="E65" s="221" t="n">
        <v>2</v>
      </c>
      <c r="F65" s="211" t="n"/>
      <c r="G65" s="211" t="n"/>
      <c r="H65" s="211">
        <f>C65-G65</f>
        <v/>
      </c>
      <c r="I65" s="211" t="n"/>
      <c r="J65" s="211" t="n"/>
      <c r="K65" s="211" t="n"/>
      <c r="L65" s="213" t="n"/>
    </row>
    <row r="66">
      <c r="A66" s="218" t="inlineStr">
        <is>
          <t>M</t>
        </is>
      </c>
      <c r="B66" s="215" t="inlineStr">
        <is>
          <t>200 Fly</t>
        </is>
      </c>
      <c r="C66" s="189" t="n">
        <v>2025</v>
      </c>
      <c r="D66" s="215" t="n"/>
      <c r="E66" s="219" t="n">
        <v>2</v>
      </c>
      <c r="F66" s="215" t="n"/>
      <c r="G66" s="215" t="n"/>
      <c r="H66" s="215">
        <f>C66-G66</f>
        <v/>
      </c>
      <c r="I66" s="215" t="n"/>
      <c r="J66" s="215" t="n"/>
      <c r="K66" s="215" t="n"/>
      <c r="L66" s="217" t="n"/>
    </row>
    <row r="67">
      <c r="A67" s="220" t="inlineStr">
        <is>
          <t>M</t>
        </is>
      </c>
      <c r="B67" s="211" t="inlineStr">
        <is>
          <t>200 Free</t>
        </is>
      </c>
      <c r="C67" s="190" t="n">
        <v>2025</v>
      </c>
      <c r="D67" s="211" t="n"/>
      <c r="E67" s="221" t="n">
        <v>2</v>
      </c>
      <c r="F67" s="211" t="n"/>
      <c r="G67" s="211" t="n"/>
      <c r="H67" s="211">
        <f>C67-G67</f>
        <v/>
      </c>
      <c r="I67" s="211" t="n"/>
      <c r="J67" s="211" t="n"/>
      <c r="K67" s="211" t="n"/>
      <c r="L67" s="213" t="n"/>
    </row>
    <row r="68">
      <c r="A68" s="218" t="inlineStr">
        <is>
          <t>M</t>
        </is>
      </c>
      <c r="B68" s="215" t="inlineStr">
        <is>
          <t>200 IM</t>
        </is>
      </c>
      <c r="C68" s="189" t="n">
        <v>2025</v>
      </c>
      <c r="D68" s="215" t="n"/>
      <c r="E68" s="219" t="n">
        <v>2</v>
      </c>
      <c r="F68" s="215" t="n"/>
      <c r="G68" s="215" t="n"/>
      <c r="H68" s="215">
        <f>C68-G68</f>
        <v/>
      </c>
      <c r="I68" s="215" t="n"/>
      <c r="J68" s="215" t="n"/>
      <c r="K68" s="215" t="n"/>
      <c r="L68" s="217" t="n"/>
    </row>
    <row r="69">
      <c r="A69" s="220" t="inlineStr">
        <is>
          <t>M</t>
        </is>
      </c>
      <c r="B69" s="211" t="inlineStr">
        <is>
          <t>400 Free</t>
        </is>
      </c>
      <c r="C69" s="190" t="n">
        <v>2025</v>
      </c>
      <c r="D69" s="211" t="n"/>
      <c r="E69" s="221" t="n">
        <v>2</v>
      </c>
      <c r="F69" s="211" t="n"/>
      <c r="G69" s="211" t="n"/>
      <c r="H69" s="211">
        <f>C69-G69</f>
        <v/>
      </c>
      <c r="I69" s="211" t="n"/>
      <c r="J69" s="211" t="n"/>
      <c r="K69" s="211" t="n"/>
      <c r="L69" s="213" t="n"/>
    </row>
    <row r="70">
      <c r="A70" s="218" t="inlineStr">
        <is>
          <t>M</t>
        </is>
      </c>
      <c r="B70" s="215" t="inlineStr">
        <is>
          <t>400 Free Relay</t>
        </is>
      </c>
      <c r="C70" s="189" t="n">
        <v>2025</v>
      </c>
      <c r="D70" s="215" t="n"/>
      <c r="E70" s="219" t="n">
        <v>2</v>
      </c>
      <c r="F70" s="215" t="n"/>
      <c r="G70" s="215" t="n"/>
      <c r="H70" s="215">
        <f>C70-G70</f>
        <v/>
      </c>
      <c r="I70" s="215" t="n"/>
      <c r="J70" s="215" t="n"/>
      <c r="K70" s="215" t="n"/>
      <c r="L70" s="217" t="n"/>
    </row>
    <row r="71">
      <c r="A71" s="220" t="inlineStr">
        <is>
          <t>M</t>
        </is>
      </c>
      <c r="B71" s="211" t="inlineStr">
        <is>
          <t>400 IM</t>
        </is>
      </c>
      <c r="C71" s="190" t="n">
        <v>2025</v>
      </c>
      <c r="D71" s="211" t="n"/>
      <c r="E71" s="221" t="n">
        <v>2</v>
      </c>
      <c r="F71" s="211" t="n"/>
      <c r="G71" s="211" t="n"/>
      <c r="H71" s="211">
        <f>C71-G71</f>
        <v/>
      </c>
      <c r="I71" s="211" t="n"/>
      <c r="J71" s="211" t="n"/>
      <c r="K71" s="211" t="n"/>
      <c r="L71" s="213" t="n"/>
    </row>
    <row r="72">
      <c r="A72" s="218" t="inlineStr">
        <is>
          <t>M</t>
        </is>
      </c>
      <c r="B72" s="215" t="inlineStr">
        <is>
          <t>400 Medley Relay</t>
        </is>
      </c>
      <c r="C72" s="189" t="n">
        <v>2025</v>
      </c>
      <c r="D72" s="215" t="n"/>
      <c r="E72" s="219" t="n">
        <v>2</v>
      </c>
      <c r="F72" s="215" t="n"/>
      <c r="G72" s="215" t="n"/>
      <c r="H72" s="215">
        <f>C72-G72</f>
        <v/>
      </c>
      <c r="I72" s="215" t="n"/>
      <c r="J72" s="215" t="n"/>
      <c r="K72" s="215" t="n"/>
      <c r="L72" s="217" t="n"/>
    </row>
    <row r="73">
      <c r="A73" s="220" t="inlineStr">
        <is>
          <t>M</t>
        </is>
      </c>
      <c r="B73" s="211" t="inlineStr">
        <is>
          <t>50 Back</t>
        </is>
      </c>
      <c r="C73" s="190" t="n">
        <v>2025</v>
      </c>
      <c r="D73" s="211" t="n"/>
      <c r="E73" s="221" t="n">
        <v>2</v>
      </c>
      <c r="F73" s="211" t="n"/>
      <c r="G73" s="211" t="n"/>
      <c r="H73" s="211">
        <f>C73-G73</f>
        <v/>
      </c>
      <c r="I73" s="211" t="n"/>
      <c r="J73" s="211" t="n"/>
      <c r="K73" s="211" t="n"/>
      <c r="L73" s="213" t="n"/>
    </row>
    <row r="74">
      <c r="A74" s="218" t="inlineStr">
        <is>
          <t>M</t>
        </is>
      </c>
      <c r="B74" s="215" t="inlineStr">
        <is>
          <t>50 Breast</t>
        </is>
      </c>
      <c r="C74" s="189" t="n">
        <v>2025</v>
      </c>
      <c r="D74" s="215" t="n"/>
      <c r="E74" s="219" t="n">
        <v>2</v>
      </c>
      <c r="F74" s="215" t="n"/>
      <c r="G74" s="215" t="n"/>
      <c r="H74" s="215">
        <f>C74-G74</f>
        <v/>
      </c>
      <c r="I74" s="215" t="n"/>
      <c r="J74" s="215" t="n"/>
      <c r="K74" s="215" t="n"/>
      <c r="L74" s="217" t="n"/>
    </row>
    <row r="75">
      <c r="A75" s="220" t="inlineStr">
        <is>
          <t>M</t>
        </is>
      </c>
      <c r="B75" s="211" t="inlineStr">
        <is>
          <t>50 Fly</t>
        </is>
      </c>
      <c r="C75" s="190" t="n">
        <v>2025</v>
      </c>
      <c r="D75" s="211" t="n"/>
      <c r="E75" s="221" t="n">
        <v>2</v>
      </c>
      <c r="F75" s="211" t="n"/>
      <c r="G75" s="211" t="n"/>
      <c r="H75" s="211">
        <f>C75-G75</f>
        <v/>
      </c>
      <c r="I75" s="211" t="n"/>
      <c r="J75" s="211" t="n"/>
      <c r="K75" s="211" t="n"/>
      <c r="L75" s="213" t="n"/>
    </row>
    <row r="76">
      <c r="A76" s="218" t="inlineStr">
        <is>
          <t>M</t>
        </is>
      </c>
      <c r="B76" s="215" t="inlineStr">
        <is>
          <t>50 Free</t>
        </is>
      </c>
      <c r="C76" s="189" t="n">
        <v>2025</v>
      </c>
      <c r="D76" s="215" t="n"/>
      <c r="E76" s="219" t="n">
        <v>2</v>
      </c>
      <c r="F76" s="215" t="n"/>
      <c r="G76" s="215" t="n"/>
      <c r="H76" s="215">
        <f>C76-G76</f>
        <v/>
      </c>
      <c r="I76" s="215" t="n"/>
      <c r="J76" s="215" t="n"/>
      <c r="K76" s="215" t="n"/>
      <c r="L76" s="217" t="n"/>
    </row>
    <row r="77">
      <c r="A77" s="220" t="inlineStr">
        <is>
          <t>M</t>
        </is>
      </c>
      <c r="B77" s="211" t="inlineStr">
        <is>
          <t>800 Free Relay</t>
        </is>
      </c>
      <c r="C77" s="190" t="n">
        <v>2025</v>
      </c>
      <c r="D77" s="211" t="n"/>
      <c r="E77" s="221" t="n">
        <v>2</v>
      </c>
      <c r="F77" s="211" t="n"/>
      <c r="G77" s="211" t="n"/>
      <c r="H77" s="211">
        <f>C77-G77</f>
        <v/>
      </c>
      <c r="I77" s="211" t="n"/>
      <c r="J77" s="211" t="n"/>
      <c r="K77" s="211" t="n"/>
      <c r="L77" s="213" t="n"/>
    </row>
    <row r="78">
      <c r="A78" s="218" t="inlineStr">
        <is>
          <t>F</t>
        </is>
      </c>
      <c r="B78" s="215" t="inlineStr">
        <is>
          <t>100 Back</t>
        </is>
      </c>
      <c r="C78" s="189" t="n">
        <v>2025</v>
      </c>
      <c r="D78" s="215" t="n"/>
      <c r="E78" s="219" t="n">
        <v>1</v>
      </c>
      <c r="F78" s="215" t="n"/>
      <c r="G78" s="215" t="n"/>
      <c r="H78" s="215">
        <f>C78-G78</f>
        <v/>
      </c>
      <c r="I78" s="215" t="n"/>
      <c r="J78" s="215" t="n"/>
      <c r="K78" s="215" t="n"/>
      <c r="L78" s="217" t="n"/>
    </row>
    <row r="79">
      <c r="A79" s="220" t="inlineStr">
        <is>
          <t>F</t>
        </is>
      </c>
      <c r="B79" s="211" t="inlineStr">
        <is>
          <t>100 Breast</t>
        </is>
      </c>
      <c r="C79" s="190" t="n">
        <v>2025</v>
      </c>
      <c r="D79" s="211" t="n"/>
      <c r="E79" s="221" t="n">
        <v>1</v>
      </c>
      <c r="F79" s="211" t="n"/>
      <c r="G79" s="211" t="n"/>
      <c r="H79" s="211">
        <f>C79-G79</f>
        <v/>
      </c>
      <c r="I79" s="211" t="n"/>
      <c r="J79" s="211" t="n"/>
      <c r="K79" s="211" t="n"/>
      <c r="L79" s="213" t="n"/>
    </row>
    <row r="80">
      <c r="A80" s="218" t="inlineStr">
        <is>
          <t>F</t>
        </is>
      </c>
      <c r="B80" s="215" t="inlineStr">
        <is>
          <t>100 Fly</t>
        </is>
      </c>
      <c r="C80" s="189" t="n">
        <v>2025</v>
      </c>
      <c r="D80" s="215" t="n"/>
      <c r="E80" s="219" t="n">
        <v>1</v>
      </c>
      <c r="F80" s="215" t="n"/>
      <c r="G80" s="215" t="n"/>
      <c r="H80" s="215">
        <f>C80-G80</f>
        <v/>
      </c>
      <c r="I80" s="215" t="n"/>
      <c r="J80" s="215" t="n"/>
      <c r="K80" s="215" t="n"/>
      <c r="L80" s="217" t="n"/>
    </row>
    <row r="81">
      <c r="A81" s="220" t="inlineStr">
        <is>
          <t>F</t>
        </is>
      </c>
      <c r="B81" s="211" t="inlineStr">
        <is>
          <t>100 Free</t>
        </is>
      </c>
      <c r="C81" s="190" t="n">
        <v>2025</v>
      </c>
      <c r="D81" s="211" t="n"/>
      <c r="E81" s="221" t="n">
        <v>1</v>
      </c>
      <c r="F81" s="211" t="n"/>
      <c r="G81" s="211" t="n"/>
      <c r="H81" s="211">
        <f>C81-G81</f>
        <v/>
      </c>
      <c r="I81" s="211" t="n"/>
      <c r="J81" s="211" t="n"/>
      <c r="K81" s="211" t="n"/>
      <c r="L81" s="213" t="n"/>
    </row>
    <row r="82">
      <c r="A82" s="218" t="inlineStr">
        <is>
          <t>F</t>
        </is>
      </c>
      <c r="B82" s="215" t="inlineStr">
        <is>
          <t>200 Back</t>
        </is>
      </c>
      <c r="C82" s="189" t="n">
        <v>2025</v>
      </c>
      <c r="D82" s="215" t="n"/>
      <c r="E82" s="219" t="n">
        <v>1</v>
      </c>
      <c r="F82" s="215" t="n"/>
      <c r="G82" s="215" t="n"/>
      <c r="H82" s="215">
        <f>C82-G82</f>
        <v/>
      </c>
      <c r="I82" s="215" t="n"/>
      <c r="J82" s="215" t="n"/>
      <c r="K82" s="215" t="n"/>
      <c r="L82" s="217" t="n"/>
    </row>
    <row r="83">
      <c r="A83" s="220" t="inlineStr">
        <is>
          <t>F</t>
        </is>
      </c>
      <c r="B83" s="211" t="inlineStr">
        <is>
          <t>200 Breast</t>
        </is>
      </c>
      <c r="C83" s="190" t="n">
        <v>2025</v>
      </c>
      <c r="D83" s="211" t="n"/>
      <c r="E83" s="221" t="n">
        <v>1</v>
      </c>
      <c r="F83" s="211" t="n"/>
      <c r="G83" s="211" t="n"/>
      <c r="H83" s="211">
        <f>C83-G83</f>
        <v/>
      </c>
      <c r="I83" s="211" t="n"/>
      <c r="J83" s="211" t="n"/>
      <c r="K83" s="211" t="n"/>
      <c r="L83" s="213" t="n"/>
    </row>
    <row r="84">
      <c r="A84" s="218" t="inlineStr">
        <is>
          <t>F</t>
        </is>
      </c>
      <c r="B84" s="215" t="inlineStr">
        <is>
          <t>200 Fly</t>
        </is>
      </c>
      <c r="C84" s="189" t="n">
        <v>2025</v>
      </c>
      <c r="D84" s="215" t="n"/>
      <c r="E84" s="219" t="n">
        <v>1</v>
      </c>
      <c r="F84" s="215" t="n"/>
      <c r="G84" s="215" t="n"/>
      <c r="H84" s="215">
        <f>C84-G84</f>
        <v/>
      </c>
      <c r="I84" s="215" t="n"/>
      <c r="J84" s="215" t="n"/>
      <c r="K84" s="215" t="n"/>
      <c r="L84" s="217" t="n"/>
    </row>
    <row r="85">
      <c r="A85" s="220" t="inlineStr">
        <is>
          <t>F</t>
        </is>
      </c>
      <c r="B85" s="211" t="inlineStr">
        <is>
          <t>200 Free</t>
        </is>
      </c>
      <c r="C85" s="190" t="n">
        <v>2025</v>
      </c>
      <c r="D85" s="211" t="n"/>
      <c r="E85" s="221" t="n">
        <v>1</v>
      </c>
      <c r="F85" s="211" t="n"/>
      <c r="G85" s="211" t="n"/>
      <c r="H85" s="211">
        <f>C85-G85</f>
        <v/>
      </c>
      <c r="I85" s="211" t="n"/>
      <c r="J85" s="211" t="n"/>
      <c r="K85" s="211" t="n"/>
      <c r="L85" s="213" t="n"/>
    </row>
    <row r="86">
      <c r="A86" s="218" t="inlineStr">
        <is>
          <t>F</t>
        </is>
      </c>
      <c r="B86" s="215" t="inlineStr">
        <is>
          <t>200 IM</t>
        </is>
      </c>
      <c r="C86" s="189" t="n">
        <v>2025</v>
      </c>
      <c r="D86" s="215" t="n"/>
      <c r="E86" s="219" t="n">
        <v>1</v>
      </c>
      <c r="F86" s="215" t="n"/>
      <c r="G86" s="215" t="n"/>
      <c r="H86" s="215">
        <f>C86-G86</f>
        <v/>
      </c>
      <c r="I86" s="215" t="n"/>
      <c r="J86" s="215" t="n"/>
      <c r="K86" s="215" t="n"/>
      <c r="L86" s="217" t="n"/>
    </row>
    <row r="87">
      <c r="A87" s="220" t="inlineStr">
        <is>
          <t>F</t>
        </is>
      </c>
      <c r="B87" s="211" t="inlineStr">
        <is>
          <t>400 Free</t>
        </is>
      </c>
      <c r="C87" s="190" t="n">
        <v>2025</v>
      </c>
      <c r="D87" s="211" t="n"/>
      <c r="E87" s="221" t="n">
        <v>1</v>
      </c>
      <c r="F87" s="211" t="n"/>
      <c r="G87" s="211" t="n"/>
      <c r="H87" s="211">
        <f>C87-G87</f>
        <v/>
      </c>
      <c r="I87" s="211" t="n"/>
      <c r="J87" s="211" t="n"/>
      <c r="K87" s="211" t="n"/>
      <c r="L87" s="213" t="n"/>
    </row>
    <row r="88">
      <c r="A88" s="218" t="inlineStr">
        <is>
          <t>F</t>
        </is>
      </c>
      <c r="B88" s="215" t="inlineStr">
        <is>
          <t>400 Free Relay</t>
        </is>
      </c>
      <c r="C88" s="189" t="n">
        <v>2025</v>
      </c>
      <c r="D88" s="215" t="n"/>
      <c r="E88" s="219" t="n">
        <v>1</v>
      </c>
      <c r="F88" s="215" t="n"/>
      <c r="G88" s="215" t="n"/>
      <c r="H88" s="215">
        <f>C88-G88</f>
        <v/>
      </c>
      <c r="I88" s="215" t="n"/>
      <c r="J88" s="215" t="n"/>
      <c r="K88" s="215" t="n"/>
      <c r="L88" s="217" t="n"/>
    </row>
    <row r="89">
      <c r="A89" s="220" t="inlineStr">
        <is>
          <t>F</t>
        </is>
      </c>
      <c r="B89" s="211" t="inlineStr">
        <is>
          <t>400 IM</t>
        </is>
      </c>
      <c r="C89" s="190" t="n">
        <v>2025</v>
      </c>
      <c r="D89" s="211" t="n"/>
      <c r="E89" s="221" t="n">
        <v>1</v>
      </c>
      <c r="F89" s="211" t="n"/>
      <c r="G89" s="211" t="n"/>
      <c r="H89" s="211">
        <f>C89-G89</f>
        <v/>
      </c>
      <c r="I89" s="211" t="n"/>
      <c r="J89" s="211" t="n"/>
      <c r="K89" s="211" t="n"/>
      <c r="L89" s="213" t="n"/>
    </row>
    <row r="90">
      <c r="A90" s="218" t="inlineStr">
        <is>
          <t>F</t>
        </is>
      </c>
      <c r="B90" s="215" t="inlineStr">
        <is>
          <t>400 Medley Relay</t>
        </is>
      </c>
      <c r="C90" s="189" t="n">
        <v>2025</v>
      </c>
      <c r="D90" s="215" t="n"/>
      <c r="E90" s="219" t="n">
        <v>1</v>
      </c>
      <c r="F90" s="215" t="n"/>
      <c r="G90" s="215" t="n"/>
      <c r="H90" s="215">
        <f>C90-G90</f>
        <v/>
      </c>
      <c r="I90" s="215" t="n"/>
      <c r="J90" s="215" t="n"/>
      <c r="K90" s="215" t="n"/>
      <c r="L90" s="217" t="n"/>
    </row>
    <row r="91">
      <c r="A91" s="220" t="inlineStr">
        <is>
          <t>F</t>
        </is>
      </c>
      <c r="B91" s="211" t="inlineStr">
        <is>
          <t>50 Back</t>
        </is>
      </c>
      <c r="C91" s="190" t="n">
        <v>2025</v>
      </c>
      <c r="D91" s="211" t="n"/>
      <c r="E91" s="221" t="n">
        <v>1</v>
      </c>
      <c r="F91" s="211" t="n"/>
      <c r="G91" s="211" t="n"/>
      <c r="H91" s="211">
        <f>C91-G91</f>
        <v/>
      </c>
      <c r="I91" s="211" t="n"/>
      <c r="J91" s="211" t="n"/>
      <c r="K91" s="211" t="n"/>
      <c r="L91" s="213" t="n"/>
    </row>
    <row r="92">
      <c r="A92" s="218" t="inlineStr">
        <is>
          <t>F</t>
        </is>
      </c>
      <c r="B92" s="215" t="inlineStr">
        <is>
          <t>50 Breast</t>
        </is>
      </c>
      <c r="C92" s="189" t="n">
        <v>2025</v>
      </c>
      <c r="D92" s="215" t="n"/>
      <c r="E92" s="219" t="n">
        <v>1</v>
      </c>
      <c r="F92" s="215" t="n"/>
      <c r="G92" s="215" t="n"/>
      <c r="H92" s="215">
        <f>C92-G92</f>
        <v/>
      </c>
      <c r="I92" s="215" t="n"/>
      <c r="J92" s="215" t="n"/>
      <c r="K92" s="215" t="n"/>
      <c r="L92" s="217" t="n"/>
    </row>
    <row r="93">
      <c r="A93" s="220" t="inlineStr">
        <is>
          <t>F</t>
        </is>
      </c>
      <c r="B93" s="211" t="inlineStr">
        <is>
          <t>50 Fly</t>
        </is>
      </c>
      <c r="C93" s="190" t="n">
        <v>2025</v>
      </c>
      <c r="D93" s="211" t="n"/>
      <c r="E93" s="221" t="n">
        <v>1</v>
      </c>
      <c r="F93" s="211" t="n"/>
      <c r="G93" s="211" t="n"/>
      <c r="H93" s="211">
        <f>C93-G93</f>
        <v/>
      </c>
      <c r="I93" s="211" t="n"/>
      <c r="J93" s="211" t="n"/>
      <c r="K93" s="211" t="n"/>
      <c r="L93" s="213" t="n"/>
    </row>
    <row r="94">
      <c r="A94" s="218" t="inlineStr">
        <is>
          <t>F</t>
        </is>
      </c>
      <c r="B94" s="215" t="inlineStr">
        <is>
          <t>50 Free</t>
        </is>
      </c>
      <c r="C94" s="189" t="n">
        <v>2025</v>
      </c>
      <c r="D94" s="215" t="n"/>
      <c r="E94" s="219" t="n">
        <v>1</v>
      </c>
      <c r="F94" s="215" t="n"/>
      <c r="G94" s="215" t="n"/>
      <c r="H94" s="215">
        <f>C94-G94</f>
        <v/>
      </c>
      <c r="I94" s="215" t="n"/>
      <c r="J94" s="215" t="n"/>
      <c r="K94" s="215" t="n"/>
      <c r="L94" s="217" t="n"/>
    </row>
    <row r="95">
      <c r="A95" s="220" t="inlineStr">
        <is>
          <t>F</t>
        </is>
      </c>
      <c r="B95" s="211" t="inlineStr">
        <is>
          <t>800 Free</t>
        </is>
      </c>
      <c r="C95" s="190" t="n">
        <v>2025</v>
      </c>
      <c r="D95" s="211" t="n"/>
      <c r="E95" s="221" t="n">
        <v>1</v>
      </c>
      <c r="F95" s="211" t="n"/>
      <c r="G95" s="211" t="n"/>
      <c r="H95" s="211">
        <f>C95-G95</f>
        <v/>
      </c>
      <c r="I95" s="211" t="n"/>
      <c r="J95" s="211" t="n"/>
      <c r="K95" s="211" t="n"/>
      <c r="L95" s="213" t="n"/>
    </row>
    <row r="96">
      <c r="A96" s="218" t="inlineStr">
        <is>
          <t>F</t>
        </is>
      </c>
      <c r="B96" s="215" t="inlineStr">
        <is>
          <t>800 Free Relay</t>
        </is>
      </c>
      <c r="C96" s="189" t="n">
        <v>2025</v>
      </c>
      <c r="D96" s="215" t="n"/>
      <c r="E96" s="219" t="n">
        <v>1</v>
      </c>
      <c r="F96" s="215" t="n"/>
      <c r="G96" s="215" t="n"/>
      <c r="H96" s="215">
        <f>C96-G96</f>
        <v/>
      </c>
      <c r="I96" s="215" t="n"/>
      <c r="J96" s="215" t="n"/>
      <c r="K96" s="215" t="n"/>
      <c r="L96" s="217" t="n"/>
    </row>
    <row r="97">
      <c r="A97" s="220" t="inlineStr">
        <is>
          <t>M</t>
        </is>
      </c>
      <c r="B97" s="211" t="inlineStr">
        <is>
          <t>100 Back</t>
        </is>
      </c>
      <c r="C97" s="190" t="n">
        <v>2025</v>
      </c>
      <c r="D97" s="211" t="n"/>
      <c r="E97" s="221" t="n">
        <v>1</v>
      </c>
      <c r="F97" s="211" t="n"/>
      <c r="G97" s="211" t="n"/>
      <c r="H97" s="211">
        <f>C97-G97</f>
        <v/>
      </c>
      <c r="I97" s="211" t="n"/>
      <c r="J97" s="211" t="n"/>
      <c r="K97" s="211" t="n"/>
      <c r="L97" s="213" t="n"/>
    </row>
    <row r="98">
      <c r="A98" s="218" t="inlineStr">
        <is>
          <t>M</t>
        </is>
      </c>
      <c r="B98" s="215" t="inlineStr">
        <is>
          <t>100 Breast</t>
        </is>
      </c>
      <c r="C98" s="189" t="n">
        <v>2025</v>
      </c>
      <c r="D98" s="215" t="n"/>
      <c r="E98" s="219" t="n">
        <v>1</v>
      </c>
      <c r="F98" s="215" t="n"/>
      <c r="G98" s="215" t="n"/>
      <c r="H98" s="215">
        <f>C98-G98</f>
        <v/>
      </c>
      <c r="I98" s="215" t="n"/>
      <c r="J98" s="215" t="n"/>
      <c r="K98" s="215" t="n"/>
      <c r="L98" s="217" t="n"/>
    </row>
    <row r="99">
      <c r="A99" s="220" t="inlineStr">
        <is>
          <t>M</t>
        </is>
      </c>
      <c r="B99" s="211" t="inlineStr">
        <is>
          <t>100 Fly</t>
        </is>
      </c>
      <c r="C99" s="190" t="n">
        <v>2025</v>
      </c>
      <c r="D99" s="211" t="n"/>
      <c r="E99" s="221" t="n">
        <v>1</v>
      </c>
      <c r="F99" s="211" t="n"/>
      <c r="G99" s="211" t="n"/>
      <c r="H99" s="211">
        <f>C99-G99</f>
        <v/>
      </c>
      <c r="I99" s="211" t="n"/>
      <c r="J99" s="211" t="n"/>
      <c r="K99" s="211" t="n"/>
      <c r="L99" s="213" t="n"/>
    </row>
    <row r="100">
      <c r="A100" s="218" t="inlineStr">
        <is>
          <t>M</t>
        </is>
      </c>
      <c r="B100" s="215" t="inlineStr">
        <is>
          <t>100 Free</t>
        </is>
      </c>
      <c r="C100" s="189" t="n">
        <v>2025</v>
      </c>
      <c r="D100" s="215" t="n"/>
      <c r="E100" s="219" t="n">
        <v>1</v>
      </c>
      <c r="F100" s="215" t="n"/>
      <c r="G100" s="215" t="n"/>
      <c r="H100" s="215">
        <f>C100-G100</f>
        <v/>
      </c>
      <c r="I100" s="215" t="n"/>
      <c r="J100" s="215" t="n"/>
      <c r="K100" s="215" t="n"/>
      <c r="L100" s="217" t="n"/>
    </row>
    <row r="101">
      <c r="A101" s="220" t="inlineStr">
        <is>
          <t>M</t>
        </is>
      </c>
      <c r="B101" s="211" t="inlineStr">
        <is>
          <t>1500 Free</t>
        </is>
      </c>
      <c r="C101" s="190" t="n">
        <v>2025</v>
      </c>
      <c r="D101" s="211" t="n"/>
      <c r="E101" s="221" t="n">
        <v>1</v>
      </c>
      <c r="F101" s="211" t="n"/>
      <c r="G101" s="211" t="n"/>
      <c r="H101" s="211">
        <f>C101-G101</f>
        <v/>
      </c>
      <c r="I101" s="211" t="n"/>
      <c r="J101" s="211" t="n"/>
      <c r="K101" s="211" t="n"/>
      <c r="L101" s="213" t="n"/>
    </row>
    <row r="102">
      <c r="A102" s="218" t="inlineStr">
        <is>
          <t>M</t>
        </is>
      </c>
      <c r="B102" s="215" t="inlineStr">
        <is>
          <t>200 Back</t>
        </is>
      </c>
      <c r="C102" s="189" t="n">
        <v>2025</v>
      </c>
      <c r="D102" s="215" t="n"/>
      <c r="E102" s="219" t="n">
        <v>1</v>
      </c>
      <c r="F102" s="215" t="n"/>
      <c r="G102" s="215" t="n"/>
      <c r="H102" s="215">
        <f>C102-G102</f>
        <v/>
      </c>
      <c r="I102" s="215" t="n"/>
      <c r="J102" s="215" t="n"/>
      <c r="K102" s="215" t="n"/>
      <c r="L102" s="217" t="n"/>
    </row>
    <row r="103">
      <c r="A103" s="220" t="inlineStr">
        <is>
          <t>M</t>
        </is>
      </c>
      <c r="B103" s="211" t="inlineStr">
        <is>
          <t>200 Breast</t>
        </is>
      </c>
      <c r="C103" s="190" t="n">
        <v>2025</v>
      </c>
      <c r="D103" s="211" t="n"/>
      <c r="E103" s="221" t="n">
        <v>1</v>
      </c>
      <c r="F103" s="211" t="n"/>
      <c r="G103" s="211" t="n"/>
      <c r="H103" s="211">
        <f>C103-G103</f>
        <v/>
      </c>
      <c r="I103" s="211" t="n"/>
      <c r="J103" s="211" t="n"/>
      <c r="K103" s="211" t="n"/>
      <c r="L103" s="213" t="n"/>
    </row>
    <row r="104">
      <c r="A104" s="218" t="inlineStr">
        <is>
          <t>M</t>
        </is>
      </c>
      <c r="B104" s="215" t="inlineStr">
        <is>
          <t>200 Fly</t>
        </is>
      </c>
      <c r="C104" s="189" t="n">
        <v>2025</v>
      </c>
      <c r="D104" s="215" t="n"/>
      <c r="E104" s="219" t="n">
        <v>1</v>
      </c>
      <c r="F104" s="215" t="n"/>
      <c r="G104" s="215" t="n"/>
      <c r="H104" s="215">
        <f>C104-G104</f>
        <v/>
      </c>
      <c r="I104" s="215" t="n"/>
      <c r="J104" s="215" t="n"/>
      <c r="K104" s="215" t="n"/>
      <c r="L104" s="217" t="n"/>
    </row>
    <row r="105">
      <c r="A105" s="220" t="inlineStr">
        <is>
          <t>M</t>
        </is>
      </c>
      <c r="B105" s="211" t="inlineStr">
        <is>
          <t>200 Free</t>
        </is>
      </c>
      <c r="C105" s="190" t="n">
        <v>2025</v>
      </c>
      <c r="D105" s="211" t="n"/>
      <c r="E105" s="221" t="n">
        <v>1</v>
      </c>
      <c r="F105" s="211" t="n"/>
      <c r="G105" s="211" t="n"/>
      <c r="H105" s="211">
        <f>C105-G105</f>
        <v/>
      </c>
      <c r="I105" s="211" t="n"/>
      <c r="J105" s="211" t="n"/>
      <c r="K105" s="211" t="n"/>
      <c r="L105" s="213" t="n"/>
    </row>
    <row r="106">
      <c r="A106" s="218" t="inlineStr">
        <is>
          <t>M</t>
        </is>
      </c>
      <c r="B106" s="215" t="inlineStr">
        <is>
          <t>200 IM</t>
        </is>
      </c>
      <c r="C106" s="189" t="n">
        <v>2025</v>
      </c>
      <c r="D106" s="215" t="n"/>
      <c r="E106" s="219" t="n">
        <v>1</v>
      </c>
      <c r="F106" s="215" t="n"/>
      <c r="G106" s="215" t="n"/>
      <c r="H106" s="215">
        <f>C106-G106</f>
        <v/>
      </c>
      <c r="I106" s="215" t="n"/>
      <c r="J106" s="215" t="n"/>
      <c r="K106" s="215" t="n"/>
      <c r="L106" s="217" t="n"/>
    </row>
    <row r="107">
      <c r="A107" s="220" t="inlineStr">
        <is>
          <t>M</t>
        </is>
      </c>
      <c r="B107" s="211" t="inlineStr">
        <is>
          <t>400 Free</t>
        </is>
      </c>
      <c r="C107" s="190" t="n">
        <v>2025</v>
      </c>
      <c r="D107" s="211" t="n"/>
      <c r="E107" s="221" t="n">
        <v>1</v>
      </c>
      <c r="F107" s="211" t="n"/>
      <c r="G107" s="211" t="n"/>
      <c r="H107" s="211">
        <f>C107-G107</f>
        <v/>
      </c>
      <c r="I107" s="211" t="n"/>
      <c r="J107" s="211" t="n"/>
      <c r="K107" s="211" t="n"/>
      <c r="L107" s="213" t="n"/>
    </row>
    <row r="108">
      <c r="A108" s="218" t="inlineStr">
        <is>
          <t>M</t>
        </is>
      </c>
      <c r="B108" s="215" t="inlineStr">
        <is>
          <t>400 Free Relay</t>
        </is>
      </c>
      <c r="C108" s="189" t="n">
        <v>2025</v>
      </c>
      <c r="D108" s="215" t="n"/>
      <c r="E108" s="219" t="n">
        <v>1</v>
      </c>
      <c r="F108" s="215" t="n"/>
      <c r="G108" s="215" t="n"/>
      <c r="H108" s="215">
        <f>C108-G108</f>
        <v/>
      </c>
      <c r="I108" s="215" t="n"/>
      <c r="J108" s="215" t="n"/>
      <c r="K108" s="215" t="n"/>
      <c r="L108" s="217" t="n"/>
    </row>
    <row r="109">
      <c r="A109" s="220" t="inlineStr">
        <is>
          <t>M</t>
        </is>
      </c>
      <c r="B109" s="211" t="inlineStr">
        <is>
          <t>400 IM</t>
        </is>
      </c>
      <c r="C109" s="190" t="n">
        <v>2025</v>
      </c>
      <c r="D109" s="211" t="n"/>
      <c r="E109" s="221" t="n">
        <v>1</v>
      </c>
      <c r="F109" s="211" t="n"/>
      <c r="G109" s="211" t="n"/>
      <c r="H109" s="211">
        <f>C109-G109</f>
        <v/>
      </c>
      <c r="I109" s="211" t="n"/>
      <c r="J109" s="211" t="n"/>
      <c r="K109" s="211" t="n"/>
      <c r="L109" s="213" t="n"/>
    </row>
    <row r="110">
      <c r="A110" s="218" t="inlineStr">
        <is>
          <t>M</t>
        </is>
      </c>
      <c r="B110" s="215" t="inlineStr">
        <is>
          <t>400 Medley Relay</t>
        </is>
      </c>
      <c r="C110" s="189" t="n">
        <v>2025</v>
      </c>
      <c r="D110" s="215" t="n"/>
      <c r="E110" s="219" t="n">
        <v>1</v>
      </c>
      <c r="F110" s="215" t="n"/>
      <c r="G110" s="215" t="n"/>
      <c r="H110" s="215">
        <f>C110-G110</f>
        <v/>
      </c>
      <c r="I110" s="215" t="n"/>
      <c r="J110" s="215" t="n"/>
      <c r="K110" s="215" t="n"/>
      <c r="L110" s="217" t="n"/>
    </row>
    <row r="111">
      <c r="A111" s="220" t="inlineStr">
        <is>
          <t>M</t>
        </is>
      </c>
      <c r="B111" s="211" t="inlineStr">
        <is>
          <t>50 Back</t>
        </is>
      </c>
      <c r="C111" s="190" t="n">
        <v>2025</v>
      </c>
      <c r="D111" s="211" t="n"/>
      <c r="E111" s="221" t="n">
        <v>1</v>
      </c>
      <c r="F111" s="211" t="n"/>
      <c r="G111" s="211" t="n"/>
      <c r="H111" s="211">
        <f>C111-G111</f>
        <v/>
      </c>
      <c r="I111" s="211" t="n"/>
      <c r="J111" s="211" t="n"/>
      <c r="K111" s="211" t="n"/>
      <c r="L111" s="213" t="n"/>
    </row>
    <row r="112">
      <c r="A112" s="218" t="inlineStr">
        <is>
          <t>M</t>
        </is>
      </c>
      <c r="B112" s="215" t="inlineStr">
        <is>
          <t>50 Breast</t>
        </is>
      </c>
      <c r="C112" s="189" t="n">
        <v>2025</v>
      </c>
      <c r="D112" s="215" t="n"/>
      <c r="E112" s="219" t="n">
        <v>1</v>
      </c>
      <c r="F112" s="215" t="n"/>
      <c r="G112" s="215" t="n"/>
      <c r="H112" s="215">
        <f>C112-G112</f>
        <v/>
      </c>
      <c r="I112" s="215" t="n"/>
      <c r="J112" s="215" t="n"/>
      <c r="K112" s="215" t="n"/>
      <c r="L112" s="217" t="n"/>
    </row>
    <row r="113">
      <c r="A113" s="220" t="inlineStr">
        <is>
          <t>M</t>
        </is>
      </c>
      <c r="B113" s="211" t="inlineStr">
        <is>
          <t>50 Fly</t>
        </is>
      </c>
      <c r="C113" s="190" t="n">
        <v>2025</v>
      </c>
      <c r="D113" s="211" t="n"/>
      <c r="E113" s="221" t="n">
        <v>1</v>
      </c>
      <c r="F113" s="211" t="n"/>
      <c r="G113" s="211" t="n"/>
      <c r="H113" s="211">
        <f>C113-G113</f>
        <v/>
      </c>
      <c r="I113" s="211" t="n"/>
      <c r="J113" s="211" t="n"/>
      <c r="K113" s="211" t="n"/>
      <c r="L113" s="213" t="n"/>
    </row>
    <row r="114">
      <c r="A114" s="218" t="inlineStr">
        <is>
          <t>M</t>
        </is>
      </c>
      <c r="B114" s="215" t="inlineStr">
        <is>
          <t>50 Free</t>
        </is>
      </c>
      <c r="C114" s="189" t="n">
        <v>2025</v>
      </c>
      <c r="D114" s="215" t="n"/>
      <c r="E114" s="219" t="n">
        <v>1</v>
      </c>
      <c r="F114" s="215" t="n"/>
      <c r="G114" s="215" t="n"/>
      <c r="H114" s="215">
        <f>C114-G114</f>
        <v/>
      </c>
      <c r="I114" s="215" t="n"/>
      <c r="J114" s="215" t="n"/>
      <c r="K114" s="215" t="n"/>
      <c r="L114" s="217" t="n"/>
    </row>
    <row r="115">
      <c r="A115" s="220" t="inlineStr">
        <is>
          <t>M</t>
        </is>
      </c>
      <c r="B115" s="211" t="inlineStr">
        <is>
          <t>800 Free Relay</t>
        </is>
      </c>
      <c r="C115" s="190" t="n">
        <v>2025</v>
      </c>
      <c r="D115" s="211" t="n"/>
      <c r="E115" s="221" t="n">
        <v>1</v>
      </c>
      <c r="F115" s="211" t="n"/>
      <c r="G115" s="211" t="n"/>
      <c r="H115" s="211">
        <f>C115-G115</f>
        <v/>
      </c>
      <c r="I115" s="211" t="n"/>
      <c r="J115" s="211" t="n"/>
      <c r="K115" s="211" t="n"/>
      <c r="L115" s="213" t="n"/>
    </row>
    <row r="116">
      <c r="A116" s="218" t="inlineStr">
        <is>
          <t>F</t>
        </is>
      </c>
      <c r="B116" s="215" t="inlineStr">
        <is>
          <t>100 Back</t>
        </is>
      </c>
      <c r="C116" s="189" t="n">
        <v>2023</v>
      </c>
      <c r="D116" s="215" t="inlineStr">
        <is>
          <t>IND</t>
        </is>
      </c>
      <c r="E116" s="219" t="n">
        <v>3</v>
      </c>
      <c r="F116" s="215" t="inlineStr">
        <is>
          <t>1:03.71</t>
        </is>
      </c>
      <c r="G116" s="215" t="n">
        <v>2001</v>
      </c>
      <c r="H116" s="215">
        <f>C116-G116</f>
        <v/>
      </c>
      <c r="I116" s="215" t="inlineStr">
        <is>
          <t>Angel Gabriella Yus</t>
        </is>
      </c>
      <c r="J116" s="215" t="n"/>
      <c r="K116" s="215" t="n"/>
      <c r="L116" s="217" t="n"/>
    </row>
    <row r="117">
      <c r="A117" s="220" t="inlineStr">
        <is>
          <t>F</t>
        </is>
      </c>
      <c r="B117" s="211" t="inlineStr">
        <is>
          <t>100 Breast</t>
        </is>
      </c>
      <c r="C117" s="190" t="n">
        <v>2023</v>
      </c>
      <c r="D117" s="211" t="inlineStr">
        <is>
          <t>SGP</t>
        </is>
      </c>
      <c r="E117" s="221" t="n">
        <v>3</v>
      </c>
      <c r="F117" s="211" t="inlineStr">
        <is>
          <t>1:10.94</t>
        </is>
      </c>
      <c r="G117" s="211" t="n">
        <v>2000</v>
      </c>
      <c r="H117" s="211">
        <f>C117-G117</f>
        <v/>
      </c>
      <c r="I117" s="211" t="inlineStr">
        <is>
          <t>Christie May Mun EE Chue</t>
        </is>
      </c>
      <c r="J117" s="211" t="inlineStr">
        <is>
          <t>FIU</t>
        </is>
      </c>
      <c r="K117" s="211" t="inlineStr">
        <is>
          <t>USA</t>
        </is>
      </c>
      <c r="L117" s="213" t="n"/>
    </row>
    <row r="118">
      <c r="A118" s="218" t="inlineStr">
        <is>
          <t>F</t>
        </is>
      </c>
      <c r="B118" s="215" t="inlineStr">
        <is>
          <t>100 Fly</t>
        </is>
      </c>
      <c r="C118" s="189" t="n">
        <v>2023</v>
      </c>
      <c r="D118" s="215" t="inlineStr">
        <is>
          <t>PHI</t>
        </is>
      </c>
      <c r="E118" s="219" t="n">
        <v>3</v>
      </c>
      <c r="F118" s="215" t="inlineStr">
        <is>
          <t>1:00.45</t>
        </is>
      </c>
      <c r="G118" s="215" t="n">
        <v>1993</v>
      </c>
      <c r="H118" s="215">
        <f>C118-G118</f>
        <v/>
      </c>
      <c r="I118" s="215" t="inlineStr">
        <is>
          <t>Jasmine Alkhaldi</t>
        </is>
      </c>
      <c r="J118" s="215" t="inlineStr">
        <is>
          <t>Hawaii</t>
        </is>
      </c>
      <c r="K118" s="215" t="inlineStr">
        <is>
          <t>USA</t>
        </is>
      </c>
      <c r="L118" s="217" t="n"/>
    </row>
    <row r="119">
      <c r="A119" s="220" t="inlineStr">
        <is>
          <t>F</t>
        </is>
      </c>
      <c r="B119" s="211" t="inlineStr">
        <is>
          <t>100 Free</t>
        </is>
      </c>
      <c r="C119" s="190" t="n">
        <v>2023</v>
      </c>
      <c r="D119" s="211" t="inlineStr">
        <is>
          <t>VIE</t>
        </is>
      </c>
      <c r="E119" s="221" t="n">
        <v>3</v>
      </c>
      <c r="F119" s="211" t="inlineStr">
        <is>
          <t>56.42</t>
        </is>
      </c>
      <c r="G119" s="211" t="n">
        <v>2009</v>
      </c>
      <c r="H119" s="211">
        <f>C119-G119</f>
        <v/>
      </c>
      <c r="I119" s="211" t="inlineStr">
        <is>
          <t>Thuy Hien Nguyen</t>
        </is>
      </c>
      <c r="J119" s="211" t="n"/>
      <c r="K119" s="211" t="n"/>
      <c r="L119" s="213" t="n"/>
    </row>
    <row r="120">
      <c r="A120" s="218" t="inlineStr">
        <is>
          <t>F</t>
        </is>
      </c>
      <c r="B120" s="215" t="inlineStr">
        <is>
          <t>200 Back</t>
        </is>
      </c>
      <c r="C120" s="189" t="n">
        <v>2023</v>
      </c>
      <c r="D120" s="215" t="inlineStr">
        <is>
          <t>THA</t>
        </is>
      </c>
      <c r="E120" s="219" t="n">
        <v>3</v>
      </c>
      <c r="F120" s="215" t="inlineStr">
        <is>
          <t>2:17.95</t>
        </is>
      </c>
      <c r="G120" s="215" t="n">
        <v>2000</v>
      </c>
      <c r="H120" s="215">
        <f>C120-G120</f>
        <v/>
      </c>
      <c r="I120" s="215" t="inlineStr">
        <is>
          <t>Fonpray Yamsuan</t>
        </is>
      </c>
      <c r="J120" s="215" t="n"/>
      <c r="K120" s="215" t="n"/>
      <c r="L120" s="217" t="n"/>
    </row>
    <row r="121">
      <c r="A121" s="220" t="inlineStr">
        <is>
          <t>F</t>
        </is>
      </c>
      <c r="B121" s="211" t="inlineStr">
        <is>
          <t>200 Breast</t>
        </is>
      </c>
      <c r="C121" s="190" t="n">
        <v>2023</v>
      </c>
      <c r="D121" s="211" t="inlineStr">
        <is>
          <t>SGP</t>
        </is>
      </c>
      <c r="E121" s="221" t="n">
        <v>3</v>
      </c>
      <c r="F121" s="211" t="inlineStr">
        <is>
          <t>2:32.60</t>
        </is>
      </c>
      <c r="G121" s="211" t="n">
        <v>2000</v>
      </c>
      <c r="H121" s="211">
        <f>C121-G121</f>
        <v/>
      </c>
      <c r="I121" s="211" t="inlineStr">
        <is>
          <t>Christie May Mun EE Chue</t>
        </is>
      </c>
      <c r="J121" s="211" t="inlineStr">
        <is>
          <t>FIU</t>
        </is>
      </c>
      <c r="K121" s="211" t="inlineStr">
        <is>
          <t>USA</t>
        </is>
      </c>
      <c r="L121" s="213" t="n"/>
    </row>
    <row r="122">
      <c r="A122" s="218" t="inlineStr">
        <is>
          <t>F</t>
        </is>
      </c>
      <c r="B122" s="215" t="inlineStr">
        <is>
          <t>200 Fly</t>
        </is>
      </c>
      <c r="C122" s="189" t="n">
        <v>2023</v>
      </c>
      <c r="D122" s="215" t="inlineStr">
        <is>
          <t>THA</t>
        </is>
      </c>
      <c r="E122" s="219" t="n">
        <v>3</v>
      </c>
      <c r="F122" s="215" t="inlineStr">
        <is>
          <t>2:14.37</t>
        </is>
      </c>
      <c r="G122" s="215" t="n">
        <v>2005</v>
      </c>
      <c r="H122" s="215">
        <f>C122-G122</f>
        <v/>
      </c>
      <c r="I122" s="215" t="inlineStr">
        <is>
          <t>Jinjutha Pholjamjumrus</t>
        </is>
      </c>
      <c r="J122" s="215" t="n"/>
      <c r="K122" s="215" t="n"/>
      <c r="L122" s="217" t="n"/>
    </row>
    <row r="123">
      <c r="A123" s="220" t="inlineStr">
        <is>
          <t>F</t>
        </is>
      </c>
      <c r="B123" s="211" t="inlineStr">
        <is>
          <t>200 Free</t>
        </is>
      </c>
      <c r="C123" s="190" t="n">
        <v>2023</v>
      </c>
      <c r="D123" s="211" t="inlineStr">
        <is>
          <t>SGP</t>
        </is>
      </c>
      <c r="E123" s="221" t="n">
        <v>3</v>
      </c>
      <c r="F123" s="211" t="inlineStr">
        <is>
          <t>2:02.94</t>
        </is>
      </c>
      <c r="G123" s="211" t="n">
        <v>2001</v>
      </c>
      <c r="H123" s="211">
        <f>C123-G123</f>
        <v/>
      </c>
      <c r="I123" s="211" t="inlineStr">
        <is>
          <t>ZI YI Chan</t>
        </is>
      </c>
      <c r="J123" s="613" t="inlineStr">
        <is>
          <t>Loughborough</t>
        </is>
      </c>
      <c r="K123" s="613" t="inlineStr">
        <is>
          <t>UK</t>
        </is>
      </c>
      <c r="L123" s="513" t="n"/>
    </row>
    <row r="124">
      <c r="A124" s="218" t="inlineStr">
        <is>
          <t>F</t>
        </is>
      </c>
      <c r="B124" s="215" t="inlineStr">
        <is>
          <t>200 IM</t>
        </is>
      </c>
      <c r="C124" s="189" t="n">
        <v>2023</v>
      </c>
      <c r="D124" s="215" t="inlineStr">
        <is>
          <t>SGP</t>
        </is>
      </c>
      <c r="E124" s="219" t="n">
        <v>3</v>
      </c>
      <c r="F124" s="215" t="inlineStr">
        <is>
          <t>2:16.39</t>
        </is>
      </c>
      <c r="G124" s="215" t="n">
        <v>1994</v>
      </c>
      <c r="H124" s="215">
        <f>C124-G124</f>
        <v/>
      </c>
      <c r="I124" s="215" t="inlineStr">
        <is>
          <t>Jing Wen Quah</t>
        </is>
      </c>
      <c r="J124" s="215" t="inlineStr">
        <is>
          <t>A&amp;M</t>
        </is>
      </c>
      <c r="K124" s="215" t="inlineStr">
        <is>
          <t>USA</t>
        </is>
      </c>
      <c r="L124" s="217" t="n"/>
    </row>
    <row r="125">
      <c r="A125" s="220" t="inlineStr">
        <is>
          <t>F</t>
        </is>
      </c>
      <c r="B125" s="211" t="inlineStr">
        <is>
          <t>400 Free</t>
        </is>
      </c>
      <c r="C125" s="190" t="n">
        <v>2023</v>
      </c>
      <c r="D125" s="211" t="inlineStr">
        <is>
          <t>THA</t>
        </is>
      </c>
      <c r="E125" s="221" t="n">
        <v>3</v>
      </c>
      <c r="F125" s="211" t="inlineStr">
        <is>
          <t>4:17.55</t>
        </is>
      </c>
      <c r="G125" s="211" t="n">
        <v>2005</v>
      </c>
      <c r="H125" s="211">
        <f>C125-G125</f>
        <v/>
      </c>
      <c r="I125" s="211" t="inlineStr">
        <is>
          <t>Kamonchanok Kwanmuang</t>
        </is>
      </c>
      <c r="J125" s="211" t="n"/>
      <c r="K125" s="211" t="n"/>
      <c r="L125" s="213" t="n"/>
    </row>
    <row r="126">
      <c r="A126" s="218" t="inlineStr">
        <is>
          <t>F</t>
        </is>
      </c>
      <c r="B126" s="215" t="inlineStr">
        <is>
          <t>400 Free Relay</t>
        </is>
      </c>
      <c r="C126" s="189" t="n">
        <v>2023</v>
      </c>
      <c r="D126" s="215" t="inlineStr">
        <is>
          <t>THA</t>
        </is>
      </c>
      <c r="E126" s="219" t="n">
        <v>3</v>
      </c>
      <c r="F126" s="215" t="inlineStr">
        <is>
          <t>3:50.01</t>
        </is>
      </c>
      <c r="G126" s="215" t="n"/>
      <c r="H126" s="215" t="n"/>
      <c r="I126" s="215" t="n"/>
      <c r="J126" s="215" t="n"/>
      <c r="K126" s="215" t="n"/>
      <c r="L126" s="217" t="n"/>
    </row>
    <row r="127">
      <c r="A127" s="220" t="inlineStr">
        <is>
          <t>F</t>
        </is>
      </c>
      <c r="B127" s="211" t="inlineStr">
        <is>
          <t>400 IM</t>
        </is>
      </c>
      <c r="C127" s="190" t="n">
        <v>2023</v>
      </c>
      <c r="D127" s="211" t="inlineStr">
        <is>
          <t>PHI</t>
        </is>
      </c>
      <c r="E127" s="221" t="n">
        <v>3</v>
      </c>
      <c r="F127" s="211" t="inlineStr">
        <is>
          <t>4:52.08</t>
        </is>
      </c>
      <c r="G127" s="211" t="n">
        <v>2001</v>
      </c>
      <c r="H127" s="211">
        <f>C127-G127</f>
        <v/>
      </c>
      <c r="I127" s="211" t="inlineStr">
        <is>
          <t>Xiandi Chua</t>
        </is>
      </c>
      <c r="J127" s="211" t="n"/>
      <c r="K127" s="211" t="n"/>
      <c r="L127" s="213" t="n"/>
    </row>
    <row r="128">
      <c r="A128" s="218" t="inlineStr">
        <is>
          <t>F</t>
        </is>
      </c>
      <c r="B128" s="215" t="inlineStr">
        <is>
          <t>400 Medley Relay</t>
        </is>
      </c>
      <c r="C128" s="189" t="n">
        <v>2023</v>
      </c>
      <c r="D128" s="215" t="inlineStr">
        <is>
          <t>THA</t>
        </is>
      </c>
      <c r="E128" s="219" t="n">
        <v>3</v>
      </c>
      <c r="F128" s="215" t="inlineStr">
        <is>
          <t>4:14.06</t>
        </is>
      </c>
      <c r="G128" s="215" t="n"/>
      <c r="H128" s="215" t="n"/>
      <c r="I128" s="215" t="n"/>
      <c r="J128" s="215" t="n"/>
      <c r="K128" s="215" t="n"/>
      <c r="L128" s="217" t="n"/>
    </row>
    <row r="129">
      <c r="A129" s="220" t="inlineStr">
        <is>
          <t>F</t>
        </is>
      </c>
      <c r="B129" s="211" t="inlineStr">
        <is>
          <t>50 Back</t>
        </is>
      </c>
      <c r="C129" s="190" t="n">
        <v>2023</v>
      </c>
      <c r="D129" s="211" t="inlineStr">
        <is>
          <t>PHI</t>
        </is>
      </c>
      <c r="E129" s="221" t="n">
        <v>3</v>
      </c>
      <c r="F129" s="211" t="inlineStr">
        <is>
          <t>28.99</t>
        </is>
      </c>
      <c r="G129" s="211" t="n">
        <v>2005</v>
      </c>
      <c r="H129" s="211">
        <f>C129-G129</f>
        <v/>
      </c>
      <c r="I129" s="211" t="inlineStr">
        <is>
          <t>Teia Isabella Salvino</t>
        </is>
      </c>
      <c r="J129" s="211" t="inlineStr">
        <is>
          <t>SMU</t>
        </is>
      </c>
      <c r="K129" s="211" t="inlineStr">
        <is>
          <t>USA</t>
        </is>
      </c>
      <c r="L129" s="213" t="inlineStr">
        <is>
          <t>USA</t>
        </is>
      </c>
    </row>
    <row r="130">
      <c r="A130" s="218" t="inlineStr">
        <is>
          <t>F</t>
        </is>
      </c>
      <c r="B130" s="215" t="inlineStr">
        <is>
          <t>50 Breast</t>
        </is>
      </c>
      <c r="C130" s="189" t="n">
        <v>2023</v>
      </c>
      <c r="D130" s="215" t="inlineStr">
        <is>
          <t>MAS</t>
        </is>
      </c>
      <c r="E130" s="219" t="n">
        <v>3</v>
      </c>
      <c r="F130" s="215" t="inlineStr">
        <is>
          <t>31.94</t>
        </is>
      </c>
      <c r="G130" s="215" t="n">
        <v>1997</v>
      </c>
      <c r="H130" s="215">
        <f>C130-G130</f>
        <v/>
      </c>
      <c r="I130" s="215" t="inlineStr">
        <is>
          <t>Phee Jinq EN</t>
        </is>
      </c>
      <c r="J130" s="215" t="inlineStr">
        <is>
          <t>Purdue</t>
        </is>
      </c>
      <c r="K130" s="215" t="inlineStr">
        <is>
          <t>USA</t>
        </is>
      </c>
      <c r="L130" s="217" t="n"/>
    </row>
    <row r="131">
      <c r="A131" s="220" t="inlineStr">
        <is>
          <t>F</t>
        </is>
      </c>
      <c r="B131" s="211" t="inlineStr">
        <is>
          <t>50 Fly</t>
        </is>
      </c>
      <c r="C131" s="190" t="n">
        <v>2023</v>
      </c>
      <c r="D131" s="211" t="inlineStr">
        <is>
          <t>PHI</t>
        </is>
      </c>
      <c r="E131" s="221" t="n">
        <v>3</v>
      </c>
      <c r="F131" s="211" t="inlineStr">
        <is>
          <t>27.02</t>
        </is>
      </c>
      <c r="G131" s="211" t="n">
        <v>1993</v>
      </c>
      <c r="H131" s="211">
        <f>C131-G131</f>
        <v/>
      </c>
      <c r="I131" s="211" t="inlineStr">
        <is>
          <t>Jasmine Alkhaldi</t>
        </is>
      </c>
      <c r="J131" s="211" t="inlineStr">
        <is>
          <t>Hawaii</t>
        </is>
      </c>
      <c r="K131" s="211" t="inlineStr">
        <is>
          <t>USA</t>
        </is>
      </c>
      <c r="L131" s="213" t="n"/>
    </row>
    <row r="132">
      <c r="A132" s="218" t="inlineStr">
        <is>
          <t>F</t>
        </is>
      </c>
      <c r="B132" s="215" t="inlineStr">
        <is>
          <t>50 Free</t>
        </is>
      </c>
      <c r="C132" s="189" t="n">
        <v>2023</v>
      </c>
      <c r="D132" s="215" t="inlineStr">
        <is>
          <t>THA</t>
        </is>
      </c>
      <c r="E132" s="219" t="n">
        <v>3</v>
      </c>
      <c r="F132" s="215" t="inlineStr">
        <is>
          <t>25.32</t>
        </is>
      </c>
      <c r="G132" s="215" t="n">
        <v>1995</v>
      </c>
      <c r="H132" s="215">
        <f>C132-G132</f>
        <v/>
      </c>
      <c r="I132" s="215" t="inlineStr">
        <is>
          <t>Jenjira Srisa-Ard</t>
        </is>
      </c>
      <c r="J132" s="215" t="n"/>
      <c r="K132" s="215" t="n"/>
      <c r="L132" s="217" t="n"/>
    </row>
    <row r="133">
      <c r="A133" s="220" t="inlineStr">
        <is>
          <t>F</t>
        </is>
      </c>
      <c r="B133" s="211" t="inlineStr">
        <is>
          <t>800 Free</t>
        </is>
      </c>
      <c r="C133" s="190" t="n">
        <v>2023</v>
      </c>
      <c r="D133" s="211" t="inlineStr">
        <is>
          <t>VIE</t>
        </is>
      </c>
      <c r="E133" s="221" t="n">
        <v>3</v>
      </c>
      <c r="F133" s="211" t="inlineStr">
        <is>
          <t>8:56.07</t>
        </is>
      </c>
      <c r="G133" s="211" t="n">
        <v>2005</v>
      </c>
      <c r="H133" s="211">
        <f>C133-G133</f>
        <v/>
      </c>
      <c r="I133" s="211" t="inlineStr">
        <is>
          <t>Thi MY Tien VO</t>
        </is>
      </c>
      <c r="J133" s="211" t="n"/>
      <c r="K133" s="211" t="n"/>
      <c r="L133" s="213" t="n"/>
    </row>
    <row r="134">
      <c r="A134" s="218" t="inlineStr">
        <is>
          <t>F</t>
        </is>
      </c>
      <c r="B134" s="215" t="inlineStr">
        <is>
          <t>800 Free Relay</t>
        </is>
      </c>
      <c r="C134" s="189" t="n">
        <v>2023</v>
      </c>
      <c r="D134" s="215" t="inlineStr">
        <is>
          <t>PHI</t>
        </is>
      </c>
      <c r="E134" s="219" t="n">
        <v>3</v>
      </c>
      <c r="F134" s="215" t="inlineStr">
        <is>
          <t>8:19.94</t>
        </is>
      </c>
      <c r="G134" s="215" t="n"/>
      <c r="H134" s="215" t="n"/>
      <c r="I134" s="215" t="n"/>
      <c r="J134" s="215" t="n"/>
      <c r="K134" s="215" t="n"/>
      <c r="L134" s="217" t="n"/>
    </row>
    <row r="135">
      <c r="A135" s="220" t="inlineStr">
        <is>
          <t>M</t>
        </is>
      </c>
      <c r="B135" s="211" t="inlineStr">
        <is>
          <t>100 Back</t>
        </is>
      </c>
      <c r="C135" s="190" t="n">
        <v>2023</v>
      </c>
      <c r="D135" s="211" t="inlineStr">
        <is>
          <t>PHI</t>
        </is>
      </c>
      <c r="E135" s="221" t="n">
        <v>3</v>
      </c>
      <c r="F135" s="211" t="inlineStr">
        <is>
          <t>55.99</t>
        </is>
      </c>
      <c r="G135" s="211" t="n">
        <v>2001</v>
      </c>
      <c r="H135" s="211">
        <f>C135-G135</f>
        <v/>
      </c>
      <c r="I135" s="211" t="inlineStr">
        <is>
          <t>Jerard Dominic Jacinto</t>
        </is>
      </c>
      <c r="J135" s="211" t="n"/>
      <c r="K135" s="211" t="n"/>
      <c r="L135" s="213" t="n"/>
    </row>
    <row r="136">
      <c r="A136" s="218" t="inlineStr">
        <is>
          <t>M</t>
        </is>
      </c>
      <c r="B136" s="215" t="inlineStr">
        <is>
          <t>100 Breast</t>
        </is>
      </c>
      <c r="C136" s="189" t="n">
        <v>2023</v>
      </c>
      <c r="D136" s="215" t="inlineStr">
        <is>
          <t>SGP</t>
        </is>
      </c>
      <c r="E136" s="219" t="n">
        <v>3</v>
      </c>
      <c r="F136" s="215" t="inlineStr">
        <is>
          <t>1:02.21</t>
        </is>
      </c>
      <c r="G136" s="215" t="n">
        <v>2001</v>
      </c>
      <c r="H136" s="215">
        <f>C136-G136</f>
        <v/>
      </c>
      <c r="I136" s="215" t="inlineStr">
        <is>
          <t>Maximillan Wei Ang</t>
        </is>
      </c>
      <c r="J136" s="215" t="n"/>
      <c r="K136" s="215" t="n"/>
      <c r="L136" s="217" t="n"/>
    </row>
    <row r="137">
      <c r="A137" s="220" t="inlineStr">
        <is>
          <t>M</t>
        </is>
      </c>
      <c r="B137" s="211" t="inlineStr">
        <is>
          <t>100 Fly</t>
        </is>
      </c>
      <c r="C137" s="190" t="n">
        <v>2023</v>
      </c>
      <c r="D137" s="211" t="inlineStr">
        <is>
          <t>PHI</t>
        </is>
      </c>
      <c r="E137" s="221" t="n">
        <v>3</v>
      </c>
      <c r="F137" s="211" t="inlineStr">
        <is>
          <t>52.91</t>
        </is>
      </c>
      <c r="G137" s="211" t="n">
        <v>1998</v>
      </c>
      <c r="H137" s="211">
        <f>C137-G137</f>
        <v/>
      </c>
      <c r="I137" s="211" t="inlineStr">
        <is>
          <t>Jarod Hatch</t>
        </is>
      </c>
      <c r="J137" s="211" t="inlineStr">
        <is>
          <t>California Berkeley</t>
        </is>
      </c>
      <c r="K137" s="211" t="inlineStr">
        <is>
          <t>USA</t>
        </is>
      </c>
      <c r="L137" s="213" t="n"/>
    </row>
    <row r="138">
      <c r="A138" s="218" t="inlineStr">
        <is>
          <t>M</t>
        </is>
      </c>
      <c r="B138" s="215" t="inlineStr">
        <is>
          <t>100 Free</t>
        </is>
      </c>
      <c r="C138" s="189" t="n">
        <v>2023</v>
      </c>
      <c r="D138" s="215" t="inlineStr">
        <is>
          <t>VIE</t>
        </is>
      </c>
      <c r="E138" s="219" t="n">
        <v>3</v>
      </c>
      <c r="F138" s="215" t="inlineStr">
        <is>
          <t>49.69</t>
        </is>
      </c>
      <c r="G138" s="215" t="n">
        <v>2000</v>
      </c>
      <c r="H138" s="215">
        <f>C138-G138</f>
        <v/>
      </c>
      <c r="I138" s="215" t="inlineStr">
        <is>
          <t>Jeremie Loic Nino Luong</t>
        </is>
      </c>
      <c r="J138" s="215" t="inlineStr">
        <is>
          <t>Michigan</t>
        </is>
      </c>
      <c r="K138" s="215" t="inlineStr">
        <is>
          <t>USA</t>
        </is>
      </c>
      <c r="L138" s="217" t="inlineStr">
        <is>
          <t>France (10)</t>
        </is>
      </c>
    </row>
    <row r="139">
      <c r="A139" s="220" t="inlineStr">
        <is>
          <t>M</t>
        </is>
      </c>
      <c r="B139" s="211" t="inlineStr">
        <is>
          <t>1500 Free</t>
        </is>
      </c>
      <c r="C139" s="190" t="n">
        <v>2023</v>
      </c>
      <c r="D139" s="211" t="inlineStr">
        <is>
          <t>SGP</t>
        </is>
      </c>
      <c r="E139" s="221" t="n">
        <v>3</v>
      </c>
      <c r="F139" s="211" t="inlineStr">
        <is>
          <t>15:40.49</t>
        </is>
      </c>
      <c r="G139" s="211" t="n">
        <v>2002</v>
      </c>
      <c r="H139" s="211">
        <f>C139-G139</f>
        <v/>
      </c>
      <c r="I139" s="211" t="inlineStr">
        <is>
          <t>Glen Jun Wei Lim</t>
        </is>
      </c>
      <c r="J139" s="211" t="n"/>
      <c r="K139" s="211" t="n"/>
      <c r="L139" s="213" t="n"/>
    </row>
    <row r="140">
      <c r="A140" s="218" t="inlineStr">
        <is>
          <t>M</t>
        </is>
      </c>
      <c r="B140" s="215" t="inlineStr">
        <is>
          <t>200 Back</t>
        </is>
      </c>
      <c r="C140" s="189" t="n">
        <v>2023</v>
      </c>
      <c r="D140" s="215" t="inlineStr">
        <is>
          <t>MAS</t>
        </is>
      </c>
      <c r="E140" s="219" t="n">
        <v>3</v>
      </c>
      <c r="F140" s="215" t="inlineStr">
        <is>
          <t>2:01.74</t>
        </is>
      </c>
      <c r="G140" s="215" t="n">
        <v>2002</v>
      </c>
      <c r="H140" s="215">
        <f>C140-G140</f>
        <v/>
      </c>
      <c r="I140" s="215" t="inlineStr">
        <is>
          <t>Khiew Hoe Yean</t>
        </is>
      </c>
      <c r="J140" s="215" t="n"/>
      <c r="K140" s="215" t="n"/>
      <c r="L140" s="217" t="n"/>
    </row>
    <row r="141">
      <c r="A141" s="220" t="inlineStr">
        <is>
          <t>M</t>
        </is>
      </c>
      <c r="B141" s="211" t="inlineStr">
        <is>
          <t>200 Breast</t>
        </is>
      </c>
      <c r="C141" s="190" t="n">
        <v>2023</v>
      </c>
      <c r="D141" s="211" t="inlineStr">
        <is>
          <t>SGP</t>
        </is>
      </c>
      <c r="E141" s="221" t="n">
        <v>3</v>
      </c>
      <c r="F141" s="211" t="inlineStr">
        <is>
          <t>2:14.30</t>
        </is>
      </c>
      <c r="G141" s="211" t="n">
        <v>2001</v>
      </c>
      <c r="H141" s="211">
        <f>C141-G141</f>
        <v/>
      </c>
      <c r="I141" s="211" t="inlineStr">
        <is>
          <t>Maximillan Wei Ang</t>
        </is>
      </c>
      <c r="J141" s="211" t="n"/>
      <c r="K141" s="211" t="n"/>
      <c r="L141" s="213" t="n"/>
    </row>
    <row r="142">
      <c r="A142" s="218" t="inlineStr">
        <is>
          <t>M</t>
        </is>
      </c>
      <c r="B142" s="215" t="inlineStr">
        <is>
          <t>200 Fly</t>
        </is>
      </c>
      <c r="C142" s="189" t="n">
        <v>2023</v>
      </c>
      <c r="D142" s="215" t="inlineStr">
        <is>
          <t>VIE</t>
        </is>
      </c>
      <c r="E142" s="219" t="n">
        <v>3</v>
      </c>
      <c r="F142" s="215" t="inlineStr">
        <is>
          <t>2:00.60</t>
        </is>
      </c>
      <c r="G142" s="215" t="n">
        <v>2005</v>
      </c>
      <c r="H142" s="215">
        <f>C142-G142</f>
        <v/>
      </c>
      <c r="I142" s="215" t="inlineStr">
        <is>
          <t>Nguyen Duy Khoa HO</t>
        </is>
      </c>
      <c r="J142" s="215" t="n"/>
      <c r="K142" s="215" t="n"/>
      <c r="L142" s="217" t="n"/>
    </row>
    <row r="143">
      <c r="A143" s="220" t="inlineStr">
        <is>
          <t>M</t>
        </is>
      </c>
      <c r="B143" s="211" t="inlineStr">
        <is>
          <t>200 Free</t>
        </is>
      </c>
      <c r="C143" s="190" t="n">
        <v>2023</v>
      </c>
      <c r="D143" s="211" t="inlineStr">
        <is>
          <t>VIE</t>
        </is>
      </c>
      <c r="E143" s="221" t="n">
        <v>3</v>
      </c>
      <c r="F143" s="211" t="inlineStr">
        <is>
          <t>1:49.31</t>
        </is>
      </c>
      <c r="G143" s="211" t="n">
        <v>2000</v>
      </c>
      <c r="H143" s="211">
        <f>C143-G143</f>
        <v/>
      </c>
      <c r="I143" s="211" t="inlineStr">
        <is>
          <t>Huy Hoang Nguyen</t>
        </is>
      </c>
      <c r="J143" s="211" t="n"/>
      <c r="K143" s="211" t="n"/>
      <c r="L143" s="213" t="n"/>
    </row>
    <row r="144">
      <c r="A144" s="218" t="inlineStr">
        <is>
          <t>M</t>
        </is>
      </c>
      <c r="B144" s="215" t="inlineStr">
        <is>
          <t>200 IM</t>
        </is>
      </c>
      <c r="C144" s="189" t="n">
        <v>2023</v>
      </c>
      <c r="D144" s="215" t="inlineStr">
        <is>
          <t>SGP</t>
        </is>
      </c>
      <c r="E144" s="219" t="n">
        <v>3</v>
      </c>
      <c r="F144" s="215" t="inlineStr">
        <is>
          <t>2:02.42</t>
        </is>
      </c>
      <c r="G144" s="215" t="n">
        <v>2003</v>
      </c>
      <c r="H144" s="215">
        <f>C144-G144</f>
        <v/>
      </c>
      <c r="I144" s="215" t="inlineStr">
        <is>
          <t>Zachary Ian Tan</t>
        </is>
      </c>
      <c r="J144" s="215" t="inlineStr">
        <is>
          <t>California Berkeley</t>
        </is>
      </c>
      <c r="K144" s="215" t="inlineStr">
        <is>
          <t>USA</t>
        </is>
      </c>
      <c r="L144" s="217" t="inlineStr">
        <is>
          <t>USA</t>
        </is>
      </c>
    </row>
    <row r="145">
      <c r="A145" s="220" t="inlineStr">
        <is>
          <t>M</t>
        </is>
      </c>
      <c r="B145" s="211" t="inlineStr">
        <is>
          <t>400 Free</t>
        </is>
      </c>
      <c r="C145" s="190" t="n">
        <v>2023</v>
      </c>
      <c r="D145" s="211" t="inlineStr">
        <is>
          <t>SGP</t>
        </is>
      </c>
      <c r="E145" s="221" t="n">
        <v>3</v>
      </c>
      <c r="F145" s="211" t="inlineStr">
        <is>
          <t>3:53.78</t>
        </is>
      </c>
      <c r="G145" s="211" t="n">
        <v>2002</v>
      </c>
      <c r="H145" s="211">
        <f>C145-G145</f>
        <v/>
      </c>
      <c r="I145" s="211" t="inlineStr">
        <is>
          <t>Glen Jun Wei Lim</t>
        </is>
      </c>
      <c r="J145" s="211" t="n"/>
      <c r="K145" s="211" t="n"/>
      <c r="L145" s="213" t="n"/>
    </row>
    <row r="146">
      <c r="A146" s="218" t="inlineStr">
        <is>
          <t>M</t>
        </is>
      </c>
      <c r="B146" s="215" t="inlineStr">
        <is>
          <t>400 Free Relay</t>
        </is>
      </c>
      <c r="C146" s="189" t="n">
        <v>2023</v>
      </c>
      <c r="D146" s="215" t="inlineStr">
        <is>
          <t>VIE</t>
        </is>
      </c>
      <c r="E146" s="219" t="n">
        <v>3</v>
      </c>
      <c r="F146" s="215" t="inlineStr">
        <is>
          <t>3:21.09</t>
        </is>
      </c>
      <c r="G146" s="215" t="n"/>
      <c r="H146" s="215" t="n"/>
      <c r="I146" s="215" t="n"/>
      <c r="J146" s="215" t="n"/>
      <c r="K146" s="215" t="n"/>
      <c r="L146" s="217" t="n"/>
    </row>
    <row r="147">
      <c r="A147" s="220" t="inlineStr">
        <is>
          <t>M</t>
        </is>
      </c>
      <c r="B147" s="211" t="inlineStr">
        <is>
          <t>400 IM</t>
        </is>
      </c>
      <c r="C147" s="190" t="n">
        <v>2023</v>
      </c>
      <c r="D147" s="211" t="inlineStr">
        <is>
          <t>MAS</t>
        </is>
      </c>
      <c r="E147" s="221" t="n">
        <v>3</v>
      </c>
      <c r="F147" s="211" t="inlineStr">
        <is>
          <t>4:23.24</t>
        </is>
      </c>
      <c r="G147" s="211" t="n">
        <v>2004</v>
      </c>
      <c r="H147" s="211">
        <f>C147-G147</f>
        <v/>
      </c>
      <c r="I147" s="211" t="inlineStr">
        <is>
          <t>Tan Khai Xin</t>
        </is>
      </c>
      <c r="J147" s="211" t="n"/>
      <c r="K147" s="211" t="n"/>
      <c r="L147" s="213" t="n"/>
    </row>
    <row r="148">
      <c r="A148" s="218" t="inlineStr">
        <is>
          <t>M</t>
        </is>
      </c>
      <c r="B148" s="215" t="inlineStr">
        <is>
          <t>400 Medley Relay</t>
        </is>
      </c>
      <c r="C148" s="189" t="n">
        <v>2023</v>
      </c>
      <c r="D148" s="215" t="inlineStr">
        <is>
          <t>IND</t>
        </is>
      </c>
      <c r="E148" s="219" t="n">
        <v>3</v>
      </c>
      <c r="F148" s="215" t="inlineStr">
        <is>
          <t>3:41.92</t>
        </is>
      </c>
      <c r="G148" s="215" t="n"/>
      <c r="H148" s="215" t="n"/>
      <c r="I148" s="215" t="n"/>
      <c r="J148" s="215" t="n"/>
      <c r="K148" s="215" t="n"/>
      <c r="L148" s="217" t="n"/>
    </row>
    <row r="149">
      <c r="A149" s="220" t="inlineStr">
        <is>
          <t>M</t>
        </is>
      </c>
      <c r="B149" s="211" t="inlineStr">
        <is>
          <t>50 Back</t>
        </is>
      </c>
      <c r="C149" s="190" t="n">
        <v>2023</v>
      </c>
      <c r="D149" s="211" t="inlineStr">
        <is>
          <t>SGP</t>
        </is>
      </c>
      <c r="E149" s="221" t="n">
        <v>3</v>
      </c>
      <c r="F149" s="211" t="inlineStr">
        <is>
          <t>25.61</t>
        </is>
      </c>
      <c r="G149" s="211" t="n">
        <v>1996</v>
      </c>
      <c r="H149" s="211">
        <f>C149-G149</f>
        <v/>
      </c>
      <c r="I149" s="211" t="inlineStr">
        <is>
          <t>Zheng Wen Quah</t>
        </is>
      </c>
      <c r="J149" s="211" t="inlineStr">
        <is>
          <t>California Berkeley</t>
        </is>
      </c>
      <c r="K149" s="211" t="inlineStr">
        <is>
          <t>USA</t>
        </is>
      </c>
      <c r="L149" s="213" t="n"/>
    </row>
    <row r="150">
      <c r="A150" s="218" t="inlineStr">
        <is>
          <t>M</t>
        </is>
      </c>
      <c r="B150" s="215" t="inlineStr">
        <is>
          <t>50 Breast</t>
        </is>
      </c>
      <c r="C150" s="189" t="n">
        <v>2023</v>
      </c>
      <c r="D150" s="215" t="inlineStr">
        <is>
          <t>IND</t>
        </is>
      </c>
      <c r="E150" s="219" t="n">
        <v>3</v>
      </c>
      <c r="F150" s="215" t="inlineStr">
        <is>
          <t>28.01</t>
        </is>
      </c>
      <c r="G150" s="215" t="n">
        <v>2000</v>
      </c>
      <c r="H150" s="215">
        <f>C150-G150</f>
        <v/>
      </c>
      <c r="I150" s="215" t="inlineStr">
        <is>
          <t>Muhammad Dwiky Raharjo</t>
        </is>
      </c>
      <c r="J150" s="215" t="n"/>
      <c r="K150" s="215" t="n"/>
      <c r="L150" s="217" t="n"/>
    </row>
    <row r="151">
      <c r="A151" s="220" t="inlineStr">
        <is>
          <t>M</t>
        </is>
      </c>
      <c r="B151" s="211" t="inlineStr">
        <is>
          <t>50 Fly</t>
        </is>
      </c>
      <c r="C151" s="190" t="n">
        <v>2023</v>
      </c>
      <c r="D151" s="211" t="inlineStr">
        <is>
          <t>PHI</t>
        </is>
      </c>
      <c r="E151" s="221" t="n">
        <v>3</v>
      </c>
      <c r="F151" s="211" t="inlineStr">
        <is>
          <t>23.89</t>
        </is>
      </c>
      <c r="G151" s="211" t="n">
        <v>1998</v>
      </c>
      <c r="H151" s="211">
        <f>C151-G151</f>
        <v/>
      </c>
      <c r="I151" s="211" t="inlineStr">
        <is>
          <t>Jarod Hatch</t>
        </is>
      </c>
      <c r="J151" s="211" t="inlineStr">
        <is>
          <t>California Berkeley</t>
        </is>
      </c>
      <c r="K151" s="211" t="inlineStr">
        <is>
          <t>USA</t>
        </is>
      </c>
      <c r="L151" s="213" t="n"/>
    </row>
    <row r="152">
      <c r="A152" s="218" t="inlineStr">
        <is>
          <t>M</t>
        </is>
      </c>
      <c r="B152" s="215" t="inlineStr">
        <is>
          <t>50 Free</t>
        </is>
      </c>
      <c r="C152" s="189" t="n">
        <v>2023</v>
      </c>
      <c r="D152" s="215" t="inlineStr">
        <is>
          <t>VIE</t>
        </is>
      </c>
      <c r="E152" s="219" t="n">
        <v>3</v>
      </c>
      <c r="F152" s="215" t="inlineStr">
        <is>
          <t>22.84</t>
        </is>
      </c>
      <c r="G152" s="215" t="n">
        <v>2000</v>
      </c>
      <c r="H152" s="215">
        <f>C152-G152</f>
        <v/>
      </c>
      <c r="I152" s="215" t="inlineStr">
        <is>
          <t>Jeremie Loic Nino Luong</t>
        </is>
      </c>
      <c r="J152" s="215" t="inlineStr">
        <is>
          <t>Michigan</t>
        </is>
      </c>
      <c r="K152" s="215" t="inlineStr">
        <is>
          <t>USA</t>
        </is>
      </c>
      <c r="L152" s="217" t="inlineStr">
        <is>
          <t>France (10)</t>
        </is>
      </c>
    </row>
    <row r="153">
      <c r="A153" s="220" t="inlineStr">
        <is>
          <t>M</t>
        </is>
      </c>
      <c r="B153" s="211" t="inlineStr">
        <is>
          <t>800 Free Relay</t>
        </is>
      </c>
      <c r="C153" s="190" t="n">
        <v>2023</v>
      </c>
      <c r="D153" s="211" t="inlineStr">
        <is>
          <t>MAS</t>
        </is>
      </c>
      <c r="E153" s="221" t="n">
        <v>3</v>
      </c>
      <c r="F153" s="211" t="inlineStr">
        <is>
          <t>7:21.55</t>
        </is>
      </c>
      <c r="G153" s="215" t="n"/>
      <c r="H153" s="215" t="n"/>
      <c r="I153" s="215" t="n"/>
      <c r="J153" s="215" t="n"/>
      <c r="K153" s="215" t="n"/>
      <c r="L153" s="217" t="n"/>
    </row>
    <row r="154">
      <c r="A154" s="218" t="inlineStr">
        <is>
          <t>F</t>
        </is>
      </c>
      <c r="B154" s="215" t="inlineStr">
        <is>
          <t>100 Back</t>
        </is>
      </c>
      <c r="C154" s="189" t="n">
        <v>2023</v>
      </c>
      <c r="D154" s="215" t="inlineStr">
        <is>
          <t>SGP</t>
        </is>
      </c>
      <c r="E154" s="219" t="n">
        <v>2</v>
      </c>
      <c r="F154" s="215" t="inlineStr">
        <is>
          <t>1:03.68</t>
        </is>
      </c>
      <c r="G154" s="215" t="n">
        <v>2003</v>
      </c>
      <c r="H154" s="215">
        <f>C154-G154</f>
        <v/>
      </c>
      <c r="I154" s="215" t="inlineStr">
        <is>
          <t>Faith Elizabeth Khoo</t>
        </is>
      </c>
      <c r="J154" s="215" t="inlineStr">
        <is>
          <t>South Carolina</t>
        </is>
      </c>
      <c r="K154" s="215" t="inlineStr">
        <is>
          <t>USA</t>
        </is>
      </c>
      <c r="L154" s="217" t="n"/>
    </row>
    <row r="155">
      <c r="A155" s="220" t="inlineStr">
        <is>
          <t>F</t>
        </is>
      </c>
      <c r="B155" s="211" t="inlineStr">
        <is>
          <t>100 Breast</t>
        </is>
      </c>
      <c r="C155" s="190" t="n">
        <v>2023</v>
      </c>
      <c r="D155" s="211" t="inlineStr">
        <is>
          <t>MAS</t>
        </is>
      </c>
      <c r="E155" s="221" t="n">
        <v>2</v>
      </c>
      <c r="F155" s="211" t="inlineStr">
        <is>
          <t>1:09.60</t>
        </is>
      </c>
      <c r="G155" s="211" t="n">
        <v>1997</v>
      </c>
      <c r="H155" s="211">
        <f>C155-G155</f>
        <v/>
      </c>
      <c r="I155" s="211" t="inlineStr">
        <is>
          <t>Phee Jinq EN</t>
        </is>
      </c>
      <c r="J155" s="211" t="inlineStr">
        <is>
          <t>Purdue</t>
        </is>
      </c>
      <c r="K155" s="211" t="inlineStr">
        <is>
          <t>USA</t>
        </is>
      </c>
      <c r="L155" s="213" t="n"/>
    </row>
    <row r="156">
      <c r="A156" s="218" t="inlineStr">
        <is>
          <t>F</t>
        </is>
      </c>
      <c r="B156" s="215" t="inlineStr">
        <is>
          <t>100 Fly</t>
        </is>
      </c>
      <c r="C156" s="189" t="n">
        <v>2023</v>
      </c>
      <c r="D156" s="215" t="inlineStr">
        <is>
          <t>SGP</t>
        </is>
      </c>
      <c r="E156" s="219" t="n">
        <v>2</v>
      </c>
      <c r="F156" s="215" t="inlineStr">
        <is>
          <t>59.51</t>
        </is>
      </c>
      <c r="G156" s="215" t="n">
        <v>1992</v>
      </c>
      <c r="H156" s="215">
        <f>C156-G156</f>
        <v/>
      </c>
      <c r="I156" s="215" t="inlineStr">
        <is>
          <t>Ting Wen Quah</t>
        </is>
      </c>
      <c r="J156" s="215" t="inlineStr">
        <is>
          <t>UCLA</t>
        </is>
      </c>
      <c r="K156" s="215" t="inlineStr">
        <is>
          <t>USA</t>
        </is>
      </c>
      <c r="L156" s="217" t="n"/>
    </row>
    <row r="157">
      <c r="A157" s="220" t="inlineStr">
        <is>
          <t>F</t>
        </is>
      </c>
      <c r="B157" s="211" t="inlineStr">
        <is>
          <t>100 Free</t>
        </is>
      </c>
      <c r="C157" s="190" t="n">
        <v>2023</v>
      </c>
      <c r="D157" s="211" t="inlineStr">
        <is>
          <t>PHI</t>
        </is>
      </c>
      <c r="E157" s="221" t="n">
        <v>2</v>
      </c>
      <c r="F157" s="211" t="inlineStr">
        <is>
          <t>56.12</t>
        </is>
      </c>
      <c r="G157" s="211" t="n">
        <v>1993</v>
      </c>
      <c r="H157" s="211">
        <f>C157-G157</f>
        <v/>
      </c>
      <c r="I157" s="211" t="inlineStr">
        <is>
          <t>Jasmine Alkhaldi</t>
        </is>
      </c>
      <c r="J157" s="211" t="inlineStr">
        <is>
          <t>Hawaii</t>
        </is>
      </c>
      <c r="K157" s="211" t="inlineStr">
        <is>
          <t>USA</t>
        </is>
      </c>
      <c r="L157" s="213" t="n"/>
    </row>
    <row r="158">
      <c r="A158" s="218" t="inlineStr">
        <is>
          <t>F</t>
        </is>
      </c>
      <c r="B158" s="215" t="inlineStr">
        <is>
          <t>200 Back</t>
        </is>
      </c>
      <c r="C158" s="189" t="n">
        <v>2023</v>
      </c>
      <c r="D158" s="215" t="inlineStr">
        <is>
          <t>PHI</t>
        </is>
      </c>
      <c r="E158" s="219" t="n">
        <v>2</v>
      </c>
      <c r="F158" s="215" t="inlineStr">
        <is>
          <t>2:16.19</t>
        </is>
      </c>
      <c r="G158" s="215" t="n">
        <v>1998</v>
      </c>
      <c r="H158" s="215">
        <f>C158-G158</f>
        <v/>
      </c>
      <c r="I158" s="215" t="inlineStr">
        <is>
          <t>Chloe Kennedy Anne Isleta</t>
        </is>
      </c>
      <c r="J158" s="215" t="inlineStr">
        <is>
          <t>ASU</t>
        </is>
      </c>
      <c r="K158" s="215" t="inlineStr">
        <is>
          <t>USA</t>
        </is>
      </c>
      <c r="L158" s="217" t="inlineStr">
        <is>
          <t>USA</t>
        </is>
      </c>
    </row>
    <row r="159">
      <c r="A159" s="220" t="inlineStr">
        <is>
          <t>F</t>
        </is>
      </c>
      <c r="B159" s="211" t="inlineStr">
        <is>
          <t>200 Breast</t>
        </is>
      </c>
      <c r="C159" s="190" t="n">
        <v>2023</v>
      </c>
      <c r="D159" s="211" t="inlineStr">
        <is>
          <t>THA</t>
        </is>
      </c>
      <c r="E159" s="221" t="n">
        <v>2</v>
      </c>
      <c r="F159" s="211" t="inlineStr">
        <is>
          <t>2:32.44</t>
        </is>
      </c>
      <c r="G159" s="211" t="n">
        <v>1996</v>
      </c>
      <c r="H159" s="211">
        <f>C159-G159</f>
        <v/>
      </c>
      <c r="I159" s="211" t="inlineStr">
        <is>
          <t>Phiangkhwan Pawapotako</t>
        </is>
      </c>
      <c r="J159" s="211" t="n"/>
      <c r="K159" s="211" t="n"/>
      <c r="L159" s="213" t="n"/>
    </row>
    <row r="160">
      <c r="A160" s="218" t="inlineStr">
        <is>
          <t>F</t>
        </is>
      </c>
      <c r="B160" s="215" t="inlineStr">
        <is>
          <t>200 Fly</t>
        </is>
      </c>
      <c r="C160" s="189" t="n">
        <v>2023</v>
      </c>
      <c r="D160" s="215" t="inlineStr">
        <is>
          <t>THA</t>
        </is>
      </c>
      <c r="E160" s="219" t="n">
        <v>2</v>
      </c>
      <c r="F160" s="215" t="inlineStr">
        <is>
          <t>2:11.56</t>
        </is>
      </c>
      <c r="G160" s="215" t="n">
        <v>2005</v>
      </c>
      <c r="H160" s="215">
        <f>C160-G160</f>
        <v/>
      </c>
      <c r="I160" s="215" t="inlineStr">
        <is>
          <t>Kamonchanok Kwanmuang</t>
        </is>
      </c>
      <c r="J160" s="215" t="n"/>
      <c r="K160" s="215" t="n"/>
      <c r="L160" s="217" t="n"/>
    </row>
    <row r="161">
      <c r="A161" s="220" t="inlineStr">
        <is>
          <t>F</t>
        </is>
      </c>
      <c r="B161" s="211" t="inlineStr">
        <is>
          <t>200 Free</t>
        </is>
      </c>
      <c r="C161" s="190" t="n">
        <v>2023</v>
      </c>
      <c r="D161" s="211" t="inlineStr">
        <is>
          <t>THA</t>
        </is>
      </c>
      <c r="E161" s="221" t="n">
        <v>2</v>
      </c>
      <c r="F161" s="211" t="inlineStr">
        <is>
          <t>2:02.21</t>
        </is>
      </c>
      <c r="G161" s="211" t="n">
        <v>2005</v>
      </c>
      <c r="H161" s="211">
        <f>C161-G161</f>
        <v/>
      </c>
      <c r="I161" s="211" t="inlineStr">
        <is>
          <t>Kamonchanok Kwanmuang</t>
        </is>
      </c>
      <c r="J161" s="211" t="n"/>
      <c r="K161" s="211" t="n"/>
      <c r="L161" s="213" t="n"/>
    </row>
    <row r="162">
      <c r="A162" s="218" t="inlineStr">
        <is>
          <t>F</t>
        </is>
      </c>
      <c r="B162" s="215" t="inlineStr">
        <is>
          <t>200 IM</t>
        </is>
      </c>
      <c r="C162" s="189" t="n">
        <v>2023</v>
      </c>
      <c r="D162" s="215" t="inlineStr">
        <is>
          <t>THA</t>
        </is>
      </c>
      <c r="E162" s="219" t="n">
        <v>2</v>
      </c>
      <c r="F162" s="215" t="inlineStr">
        <is>
          <t>2:16.16</t>
        </is>
      </c>
      <c r="G162" s="215" t="n">
        <v>2005</v>
      </c>
      <c r="H162" s="215">
        <f>C162-G162</f>
        <v/>
      </c>
      <c r="I162" s="215" t="inlineStr">
        <is>
          <t>Kamonchanok Kwanmuang</t>
        </is>
      </c>
      <c r="J162" s="215" t="n"/>
      <c r="K162" s="215" t="n"/>
      <c r="L162" s="217" t="n"/>
    </row>
    <row r="163">
      <c r="A163" s="220" t="inlineStr">
        <is>
          <t>F</t>
        </is>
      </c>
      <c r="B163" s="211" t="inlineStr">
        <is>
          <t>400 Free</t>
        </is>
      </c>
      <c r="C163" s="190" t="n">
        <v>2023</v>
      </c>
      <c r="D163" s="211" t="inlineStr">
        <is>
          <t>SGP</t>
        </is>
      </c>
      <c r="E163" s="221" t="n">
        <v>2</v>
      </c>
      <c r="F163" s="211" t="inlineStr">
        <is>
          <t>4:17.16</t>
        </is>
      </c>
      <c r="G163" s="211" t="n">
        <v>2005</v>
      </c>
      <c r="H163" s="211">
        <f>C163-G163</f>
        <v/>
      </c>
      <c r="I163" s="211" t="inlineStr">
        <is>
          <t>Ashley Yi-Xuan Lim</t>
        </is>
      </c>
      <c r="J163" s="211" t="n"/>
      <c r="K163" s="211" t="n"/>
      <c r="L163" s="213" t="n"/>
    </row>
    <row r="164">
      <c r="A164" s="218" t="inlineStr">
        <is>
          <t>F</t>
        </is>
      </c>
      <c r="B164" s="215" t="inlineStr">
        <is>
          <t>400 Free Relay</t>
        </is>
      </c>
      <c r="C164" s="189" t="n">
        <v>2023</v>
      </c>
      <c r="D164" s="215" t="inlineStr">
        <is>
          <t>PHI</t>
        </is>
      </c>
      <c r="E164" s="219" t="n">
        <v>2</v>
      </c>
      <c r="F164" s="215" t="inlineStr">
        <is>
          <t>3:47.96</t>
        </is>
      </c>
      <c r="G164" s="215" t="n"/>
      <c r="H164" s="215" t="n"/>
      <c r="I164" s="215" t="n"/>
      <c r="J164" s="215" t="n"/>
      <c r="K164" s="215" t="n"/>
      <c r="L164" s="217" t="n"/>
    </row>
    <row r="165">
      <c r="A165" s="220" t="inlineStr">
        <is>
          <t>F</t>
        </is>
      </c>
      <c r="B165" s="211" t="inlineStr">
        <is>
          <t>400 IM</t>
        </is>
      </c>
      <c r="C165" s="190" t="n">
        <v>2023</v>
      </c>
      <c r="D165" s="211" t="inlineStr">
        <is>
          <t>THA</t>
        </is>
      </c>
      <c r="E165" s="221" t="n">
        <v>2</v>
      </c>
      <c r="F165" s="211" t="inlineStr">
        <is>
          <t>4:49.33</t>
        </is>
      </c>
      <c r="G165" s="211" t="n">
        <v>2005</v>
      </c>
      <c r="H165" s="211">
        <f>C165-G165</f>
        <v/>
      </c>
      <c r="I165" s="211" t="inlineStr">
        <is>
          <t>Jinjutha Pholjamjumrus</t>
        </is>
      </c>
      <c r="J165" s="211" t="n"/>
      <c r="K165" s="211" t="n"/>
      <c r="L165" s="213" t="n"/>
    </row>
    <row r="166">
      <c r="A166" s="218" t="inlineStr">
        <is>
          <t>F</t>
        </is>
      </c>
      <c r="B166" s="215" t="inlineStr">
        <is>
          <t>400 Medley Relay</t>
        </is>
      </c>
      <c r="C166" s="189" t="n">
        <v>2023</v>
      </c>
      <c r="D166" s="215" t="inlineStr">
        <is>
          <t>PHI</t>
        </is>
      </c>
      <c r="E166" s="219" t="n">
        <v>2</v>
      </c>
      <c r="F166" s="215" t="inlineStr">
        <is>
          <t>4:11.81</t>
        </is>
      </c>
      <c r="G166" s="215" t="n"/>
      <c r="H166" s="215" t="n"/>
      <c r="I166" s="215" t="n"/>
      <c r="J166" s="215" t="n"/>
      <c r="K166" s="215" t="n"/>
      <c r="L166" s="217" t="n"/>
    </row>
    <row r="167">
      <c r="A167" s="220" t="inlineStr">
        <is>
          <t>F</t>
        </is>
      </c>
      <c r="B167" s="211" t="inlineStr">
        <is>
          <t>50 Back</t>
        </is>
      </c>
      <c r="C167" s="190" t="n">
        <v>2023</v>
      </c>
      <c r="D167" s="211" t="inlineStr">
        <is>
          <t>THA</t>
        </is>
      </c>
      <c r="E167" s="221" t="n">
        <v>2</v>
      </c>
      <c r="F167" s="211" t="inlineStr">
        <is>
          <t>28.97</t>
        </is>
      </c>
      <c r="G167" s="211" t="n">
        <v>2000</v>
      </c>
      <c r="H167" s="211">
        <f>C167-G167</f>
        <v/>
      </c>
      <c r="I167" s="211" t="inlineStr">
        <is>
          <t>Saovanee Boonamphai</t>
        </is>
      </c>
      <c r="J167" s="211" t="n"/>
      <c r="K167" s="211" t="n"/>
      <c r="L167" s="213" t="n"/>
    </row>
    <row r="168">
      <c r="A168" s="218" t="inlineStr">
        <is>
          <t>F</t>
        </is>
      </c>
      <c r="B168" s="215" t="inlineStr">
        <is>
          <t>50 Breast</t>
        </is>
      </c>
      <c r="C168" s="189" t="n">
        <v>2023</v>
      </c>
      <c r="D168" s="215" t="inlineStr">
        <is>
          <t>SGP</t>
        </is>
      </c>
      <c r="E168" s="219" t="n">
        <v>2</v>
      </c>
      <c r="F168" s="215" t="inlineStr">
        <is>
          <t>31.62</t>
        </is>
      </c>
      <c r="G168" s="215" t="n">
        <v>2003</v>
      </c>
      <c r="H168" s="215">
        <f>C168-G168</f>
        <v/>
      </c>
      <c r="I168" s="215" t="inlineStr">
        <is>
          <t>Letitia EN YI Sim</t>
        </is>
      </c>
      <c r="J168" s="215" t="inlineStr">
        <is>
          <t>Michigan</t>
        </is>
      </c>
      <c r="K168" s="215" t="inlineStr">
        <is>
          <t>USA</t>
        </is>
      </c>
      <c r="L168" s="217" t="inlineStr">
        <is>
          <t>USA</t>
        </is>
      </c>
    </row>
    <row r="169">
      <c r="A169" s="220" t="inlineStr">
        <is>
          <t>F</t>
        </is>
      </c>
      <c r="B169" s="211" t="inlineStr">
        <is>
          <t>50 Fly</t>
        </is>
      </c>
      <c r="C169" s="190" t="n">
        <v>2023</v>
      </c>
      <c r="D169" s="211" t="inlineStr">
        <is>
          <t>SGP</t>
        </is>
      </c>
      <c r="E169" s="221" t="n">
        <v>2</v>
      </c>
      <c r="F169" s="211" t="inlineStr">
        <is>
          <t>26.66</t>
        </is>
      </c>
      <c r="G169" s="211" t="n">
        <v>1992</v>
      </c>
      <c r="H169" s="211">
        <f>C169-G169</f>
        <v/>
      </c>
      <c r="I169" s="211" t="inlineStr">
        <is>
          <t>Ting Wen Quah</t>
        </is>
      </c>
      <c r="J169" s="211" t="inlineStr">
        <is>
          <t>UCLA</t>
        </is>
      </c>
      <c r="K169" s="211" t="inlineStr">
        <is>
          <t>USA</t>
        </is>
      </c>
      <c r="L169" s="213" t="n"/>
    </row>
    <row r="170">
      <c r="A170" s="218" t="inlineStr">
        <is>
          <t>F</t>
        </is>
      </c>
      <c r="B170" s="215" t="inlineStr">
        <is>
          <t>50 Free</t>
        </is>
      </c>
      <c r="C170" s="189" t="n">
        <v>2023</v>
      </c>
      <c r="D170" s="215" t="inlineStr">
        <is>
          <t>SGP</t>
        </is>
      </c>
      <c r="E170" s="219" t="n">
        <v>2</v>
      </c>
      <c r="F170" s="215" t="inlineStr">
        <is>
          <t>25.16</t>
        </is>
      </c>
      <c r="G170" s="215" t="n">
        <v>1993</v>
      </c>
      <c r="H170" s="215">
        <f>C170-G170</f>
        <v/>
      </c>
      <c r="I170" s="215" t="inlineStr">
        <is>
          <t>Amanda Xiang QI Lim</t>
        </is>
      </c>
      <c r="J170" s="215" t="n"/>
      <c r="K170" s="215" t="n"/>
      <c r="L170" s="217" t="n"/>
    </row>
    <row r="171">
      <c r="A171" s="220" t="inlineStr">
        <is>
          <t>F</t>
        </is>
      </c>
      <c r="B171" s="211" t="inlineStr">
        <is>
          <t>800 Free</t>
        </is>
      </c>
      <c r="C171" s="190" t="n">
        <v>2023</v>
      </c>
      <c r="D171" s="211" t="inlineStr">
        <is>
          <t>SGP</t>
        </is>
      </c>
      <c r="E171" s="221" t="n">
        <v>2</v>
      </c>
      <c r="F171" s="211" t="inlineStr">
        <is>
          <t>8:46.88</t>
        </is>
      </c>
      <c r="G171" s="211" t="n">
        <v>2005</v>
      </c>
      <c r="H171" s="211">
        <f>C171-G171</f>
        <v/>
      </c>
      <c r="I171" s="211" t="inlineStr">
        <is>
          <t>Ashley Yi-Xuan Lim</t>
        </is>
      </c>
      <c r="J171" s="211" t="n"/>
      <c r="K171" s="211" t="n"/>
      <c r="L171" s="213" t="n"/>
    </row>
    <row r="172">
      <c r="A172" s="218" t="inlineStr">
        <is>
          <t>F</t>
        </is>
      </c>
      <c r="B172" s="215" t="inlineStr">
        <is>
          <t>800 Free Relay</t>
        </is>
      </c>
      <c r="C172" s="189" t="n">
        <v>2023</v>
      </c>
      <c r="D172" s="215" t="inlineStr">
        <is>
          <t>THA</t>
        </is>
      </c>
      <c r="E172" s="219" t="n">
        <v>2</v>
      </c>
      <c r="F172" s="215" t="inlineStr">
        <is>
          <t>8:17.95</t>
        </is>
      </c>
      <c r="G172" s="215" t="n"/>
      <c r="H172" s="215" t="n"/>
      <c r="I172" s="215" t="n"/>
      <c r="J172" s="215" t="n"/>
      <c r="K172" s="215" t="n"/>
      <c r="L172" s="217" t="n"/>
    </row>
    <row r="173">
      <c r="A173" s="220" t="inlineStr">
        <is>
          <t>M</t>
        </is>
      </c>
      <c r="B173" s="211" t="inlineStr">
        <is>
          <t>100 Back</t>
        </is>
      </c>
      <c r="C173" s="190" t="n">
        <v>2023</v>
      </c>
      <c r="D173" s="211" t="inlineStr">
        <is>
          <t>IND</t>
        </is>
      </c>
      <c r="E173" s="221" t="n">
        <v>2</v>
      </c>
      <c r="F173" s="211" t="inlineStr">
        <is>
          <t>55.80</t>
        </is>
      </c>
      <c r="G173" s="211" t="n">
        <v>2001</v>
      </c>
      <c r="H173" s="211">
        <f>C173-G173</f>
        <v/>
      </c>
      <c r="I173" s="211" t="inlineStr">
        <is>
          <t>Farrel Armandio Tangkas</t>
        </is>
      </c>
      <c r="J173" s="211" t="n"/>
      <c r="K173" s="211" t="n"/>
      <c r="L173" s="213" t="n"/>
    </row>
    <row r="174">
      <c r="A174" s="218" t="inlineStr">
        <is>
          <t>M</t>
        </is>
      </c>
      <c r="B174" s="215" t="inlineStr">
        <is>
          <t>100 Breast</t>
        </is>
      </c>
      <c r="C174" s="189" t="n">
        <v>2023</v>
      </c>
      <c r="D174" s="215" t="inlineStr">
        <is>
          <t>SGP</t>
        </is>
      </c>
      <c r="E174" s="219" t="n">
        <v>2</v>
      </c>
      <c r="F174" s="215" t="inlineStr">
        <is>
          <t>1:01.22</t>
        </is>
      </c>
      <c r="G174" s="215" t="n">
        <v>2005</v>
      </c>
      <c r="H174" s="215">
        <f>C174-G174</f>
        <v/>
      </c>
      <c r="I174" s="215" t="inlineStr">
        <is>
          <t>Nicholas Rui Karsten Mahabir</t>
        </is>
      </c>
      <c r="J174" s="215" t="n"/>
      <c r="K174" s="215" t="n"/>
      <c r="L174" s="217" t="inlineStr">
        <is>
          <t>USA</t>
        </is>
      </c>
    </row>
    <row r="175">
      <c r="A175" s="220" t="inlineStr">
        <is>
          <t>M</t>
        </is>
      </c>
      <c r="B175" s="211" t="inlineStr">
        <is>
          <t>100 Fly</t>
        </is>
      </c>
      <c r="C175" s="190" t="n">
        <v>2023</v>
      </c>
      <c r="D175" s="211" t="inlineStr">
        <is>
          <t>SGP</t>
        </is>
      </c>
      <c r="E175" s="221" t="n">
        <v>2</v>
      </c>
      <c r="F175" s="211" t="inlineStr">
        <is>
          <t>52.60</t>
        </is>
      </c>
      <c r="G175" s="211" t="n">
        <v>1997</v>
      </c>
      <c r="H175" s="211">
        <f>C175-G175</f>
        <v/>
      </c>
      <c r="I175" s="211" t="inlineStr">
        <is>
          <t>Tzen Wei Teong</t>
        </is>
      </c>
      <c r="J175" s="211" t="n"/>
      <c r="K175" s="211" t="n"/>
      <c r="L175" s="213" t="n"/>
    </row>
    <row r="176">
      <c r="A176" s="218" t="inlineStr">
        <is>
          <t>M</t>
        </is>
      </c>
      <c r="B176" s="215" t="inlineStr">
        <is>
          <t>100 Free</t>
        </is>
      </c>
      <c r="C176" s="189" t="n">
        <v>2023</v>
      </c>
      <c r="D176" s="215" t="inlineStr">
        <is>
          <t>SGP</t>
        </is>
      </c>
      <c r="E176" s="219" t="n">
        <v>2</v>
      </c>
      <c r="F176" s="215" t="inlineStr">
        <is>
          <t>48.99</t>
        </is>
      </c>
      <c r="G176" s="215" t="n">
        <v>1996</v>
      </c>
      <c r="H176" s="215">
        <f>C176-G176</f>
        <v/>
      </c>
      <c r="I176" s="215" t="inlineStr">
        <is>
          <t>Zheng Wen Quah</t>
        </is>
      </c>
      <c r="J176" s="215" t="inlineStr">
        <is>
          <t>California Berkeley</t>
        </is>
      </c>
      <c r="K176" s="215" t="inlineStr">
        <is>
          <t>USA</t>
        </is>
      </c>
      <c r="L176" s="217" t="n"/>
    </row>
    <row r="177">
      <c r="A177" s="220" t="inlineStr">
        <is>
          <t>M</t>
        </is>
      </c>
      <c r="B177" s="211" t="inlineStr">
        <is>
          <t>1500 Free</t>
        </is>
      </c>
      <c r="C177" s="190" t="n">
        <v>2023</v>
      </c>
      <c r="D177" s="211" t="inlineStr">
        <is>
          <t>VIE</t>
        </is>
      </c>
      <c r="E177" s="221" t="n">
        <v>2</v>
      </c>
      <c r="F177" s="211" t="inlineStr">
        <is>
          <t>15:35.21</t>
        </is>
      </c>
      <c r="G177" s="211" t="n">
        <v>2002</v>
      </c>
      <c r="H177" s="211">
        <f>C177-G177</f>
        <v/>
      </c>
      <c r="I177" s="211" t="inlineStr">
        <is>
          <t>Huu Kim Son Nguyen</t>
        </is>
      </c>
      <c r="J177" s="211" t="n"/>
      <c r="K177" s="211" t="n"/>
      <c r="L177" s="213" t="n"/>
    </row>
    <row r="178">
      <c r="A178" s="218" t="inlineStr">
        <is>
          <t>M</t>
        </is>
      </c>
      <c r="B178" s="215" t="inlineStr">
        <is>
          <t>200 Back</t>
        </is>
      </c>
      <c r="C178" s="189" t="n">
        <v>2023</v>
      </c>
      <c r="D178" s="215" t="inlineStr">
        <is>
          <t>VIE</t>
        </is>
      </c>
      <c r="E178" s="219" t="n">
        <v>2</v>
      </c>
      <c r="F178" s="215" t="inlineStr">
        <is>
          <t>2:01.34</t>
        </is>
      </c>
      <c r="G178" s="215" t="n">
        <v>2003</v>
      </c>
      <c r="H178" s="215">
        <f>C178-G178</f>
        <v/>
      </c>
      <c r="I178" s="215" t="inlineStr">
        <is>
          <t>Hung Nguyen Tran</t>
        </is>
      </c>
      <c r="J178" s="215" t="n"/>
      <c r="K178" s="215" t="n"/>
      <c r="L178" s="217" t="n"/>
    </row>
    <row r="179">
      <c r="A179" s="220" t="inlineStr">
        <is>
          <t>M</t>
        </is>
      </c>
      <c r="B179" s="211" t="inlineStr">
        <is>
          <t>200 Breast</t>
        </is>
      </c>
      <c r="C179" s="190" t="n">
        <v>2023</v>
      </c>
      <c r="D179" s="211" t="inlineStr">
        <is>
          <t>SGP</t>
        </is>
      </c>
      <c r="E179" s="221" t="n">
        <v>2</v>
      </c>
      <c r="F179" s="211" t="inlineStr">
        <is>
          <t>2:13.95</t>
        </is>
      </c>
      <c r="G179" s="211" t="n">
        <v>2005</v>
      </c>
      <c r="H179" s="211">
        <f>C179-G179</f>
        <v/>
      </c>
      <c r="I179" s="211" t="inlineStr">
        <is>
          <t>Nicholas Rui Karsten Mahabir</t>
        </is>
      </c>
      <c r="J179" s="211" t="inlineStr">
        <is>
          <t>California Berkeley</t>
        </is>
      </c>
      <c r="K179" s="211" t="inlineStr">
        <is>
          <t>USA</t>
        </is>
      </c>
      <c r="L179" s="213" t="inlineStr">
        <is>
          <t>USA</t>
        </is>
      </c>
    </row>
    <row r="180">
      <c r="A180" s="218" t="inlineStr">
        <is>
          <t>M</t>
        </is>
      </c>
      <c r="B180" s="215" t="inlineStr">
        <is>
          <t>200 Fly</t>
        </is>
      </c>
      <c r="C180" s="189" t="n">
        <v>2023</v>
      </c>
      <c r="D180" s="215" t="inlineStr">
        <is>
          <t>THA</t>
        </is>
      </c>
      <c r="E180" s="219" t="n">
        <v>2</v>
      </c>
      <c r="F180" s="215" t="inlineStr">
        <is>
          <t>1:59.64</t>
        </is>
      </c>
      <c r="G180" s="215" t="n">
        <v>1997</v>
      </c>
      <c r="H180" s="215">
        <f>C180-G180</f>
        <v/>
      </c>
      <c r="I180" s="215" t="inlineStr">
        <is>
          <t>Navaphat Wongcharoen</t>
        </is>
      </c>
      <c r="J180" s="215" t="n"/>
      <c r="K180" s="215" t="n"/>
      <c r="L180" s="217" t="n"/>
    </row>
    <row r="181">
      <c r="A181" s="220" t="inlineStr">
        <is>
          <t>M</t>
        </is>
      </c>
      <c r="B181" s="211" t="inlineStr">
        <is>
          <t>200 Free</t>
        </is>
      </c>
      <c r="C181" s="190" t="n">
        <v>2023</v>
      </c>
      <c r="D181" s="211" t="inlineStr">
        <is>
          <t>THA</t>
        </is>
      </c>
      <c r="E181" s="221" t="n">
        <v>2</v>
      </c>
      <c r="F181" s="211" t="inlineStr">
        <is>
          <t>1:49.29</t>
        </is>
      </c>
      <c r="G181" s="211" t="n">
        <v>2002</v>
      </c>
      <c r="H181" s="211">
        <f>C181-G181</f>
        <v/>
      </c>
      <c r="I181" s="211" t="inlineStr">
        <is>
          <t>Dulyawat Kaewsriyong</t>
        </is>
      </c>
      <c r="J181" s="211" t="n"/>
      <c r="K181" s="211" t="n"/>
      <c r="L181" s="213" t="n"/>
    </row>
    <row r="182">
      <c r="A182" s="218" t="inlineStr">
        <is>
          <t>M</t>
        </is>
      </c>
      <c r="B182" s="215" t="inlineStr">
        <is>
          <t>200 IM</t>
        </is>
      </c>
      <c r="C182" s="189" t="n">
        <v>2023</v>
      </c>
      <c r="D182" s="215" t="inlineStr">
        <is>
          <t>THA</t>
        </is>
      </c>
      <c r="E182" s="219" t="n">
        <v>2</v>
      </c>
      <c r="F182" s="215" t="inlineStr">
        <is>
          <t>2:02.25</t>
        </is>
      </c>
      <c r="G182" s="215" t="n">
        <v>2002</v>
      </c>
      <c r="H182" s="215">
        <f>C182-G182</f>
        <v/>
      </c>
      <c r="I182" s="215" t="inlineStr">
        <is>
          <t>Dulyawat Kaewsriyong</t>
        </is>
      </c>
      <c r="J182" s="215" t="n"/>
      <c r="K182" s="215" t="n"/>
      <c r="L182" s="217" t="n"/>
    </row>
    <row r="183">
      <c r="A183" s="220" t="inlineStr">
        <is>
          <t>M</t>
        </is>
      </c>
      <c r="B183" s="211" t="inlineStr">
        <is>
          <t>400 Free</t>
        </is>
      </c>
      <c r="C183" s="190" t="n">
        <v>2023</v>
      </c>
      <c r="D183" s="211" t="inlineStr">
        <is>
          <t>MAS</t>
        </is>
      </c>
      <c r="E183" s="221" t="n">
        <v>2</v>
      </c>
      <c r="F183" s="211" t="inlineStr">
        <is>
          <t>3:50.39</t>
        </is>
      </c>
      <c r="G183" s="211" t="n">
        <v>2002</v>
      </c>
      <c r="H183" s="211">
        <f>C183-G183</f>
        <v/>
      </c>
      <c r="I183" s="211" t="inlineStr">
        <is>
          <t>Khiew Hoe Yean</t>
        </is>
      </c>
      <c r="J183" s="211" t="n"/>
      <c r="K183" s="211" t="n"/>
      <c r="L183" s="213" t="n"/>
    </row>
    <row r="184">
      <c r="A184" s="218" t="inlineStr">
        <is>
          <t>M</t>
        </is>
      </c>
      <c r="B184" s="215" t="inlineStr">
        <is>
          <t>400 Free Relay</t>
        </is>
      </c>
      <c r="C184" s="189" t="n">
        <v>2023</v>
      </c>
      <c r="D184" s="215" t="inlineStr">
        <is>
          <t>MAS</t>
        </is>
      </c>
      <c r="E184" s="219" t="n">
        <v>2</v>
      </c>
      <c r="F184" s="215" t="inlineStr">
        <is>
          <t>3:20.61</t>
        </is>
      </c>
      <c r="G184" s="215" t="n"/>
      <c r="H184" s="215" t="n"/>
      <c r="I184" s="215" t="n"/>
      <c r="J184" s="215" t="n"/>
      <c r="K184" s="215" t="n"/>
      <c r="L184" s="217" t="n"/>
    </row>
    <row r="185">
      <c r="A185" s="220" t="inlineStr">
        <is>
          <t>M</t>
        </is>
      </c>
      <c r="B185" s="211" t="inlineStr">
        <is>
          <t>400 IM</t>
        </is>
      </c>
      <c r="C185" s="190" t="n">
        <v>2023</v>
      </c>
      <c r="D185" s="211" t="inlineStr">
        <is>
          <t>VIE</t>
        </is>
      </c>
      <c r="E185" s="221" t="n">
        <v>2</v>
      </c>
      <c r="F185" s="211" t="inlineStr">
        <is>
          <t>4:21.03</t>
        </is>
      </c>
      <c r="G185" s="211" t="n">
        <v>2006</v>
      </c>
      <c r="H185" s="211">
        <f>C185-G185</f>
        <v/>
      </c>
      <c r="I185" s="211" t="inlineStr">
        <is>
          <t>Quang Thuan Nguyen</t>
        </is>
      </c>
      <c r="J185" s="211" t="n"/>
      <c r="K185" s="211" t="n"/>
      <c r="L185" s="213" t="n"/>
    </row>
    <row r="186">
      <c r="A186" s="218" t="inlineStr">
        <is>
          <t>M</t>
        </is>
      </c>
      <c r="B186" s="215" t="inlineStr">
        <is>
          <t>400 Medley Relay</t>
        </is>
      </c>
      <c r="C186" s="189" t="n">
        <v>2023</v>
      </c>
      <c r="D186" s="215" t="inlineStr">
        <is>
          <t>THA</t>
        </is>
      </c>
      <c r="E186" s="219" t="n">
        <v>2</v>
      </c>
      <c r="F186" s="215" t="inlineStr">
        <is>
          <t>3:41.75</t>
        </is>
      </c>
      <c r="G186" s="215" t="n"/>
      <c r="H186" s="215" t="n"/>
      <c r="I186" s="215" t="n"/>
      <c r="J186" s="215" t="n"/>
      <c r="K186" s="215" t="n"/>
      <c r="L186" s="217" t="n"/>
    </row>
    <row r="187">
      <c r="A187" s="220" t="inlineStr">
        <is>
          <t>M</t>
        </is>
      </c>
      <c r="B187" s="211" t="inlineStr">
        <is>
          <t>50 Back</t>
        </is>
      </c>
      <c r="C187" s="190" t="n">
        <v>2023</v>
      </c>
      <c r="D187" s="211" t="inlineStr">
        <is>
          <t>PHI</t>
        </is>
      </c>
      <c r="E187" s="221" t="n">
        <v>2</v>
      </c>
      <c r="F187" s="211" t="inlineStr">
        <is>
          <t>25.56</t>
        </is>
      </c>
      <c r="G187" s="211" t="n">
        <v>2001</v>
      </c>
      <c r="H187" s="211">
        <f>C187-G187</f>
        <v/>
      </c>
      <c r="I187" s="211" t="inlineStr">
        <is>
          <t>Jerard Dominic Jacinto</t>
        </is>
      </c>
      <c r="J187" s="211" t="inlineStr">
        <is>
          <t>A&amp;M</t>
        </is>
      </c>
      <c r="K187" s="211" t="inlineStr">
        <is>
          <t>USA</t>
        </is>
      </c>
      <c r="L187" s="213" t="n"/>
    </row>
    <row r="188">
      <c r="A188" s="218" t="inlineStr">
        <is>
          <t>M</t>
        </is>
      </c>
      <c r="B188" s="215" t="inlineStr">
        <is>
          <t>50 Breast</t>
        </is>
      </c>
      <c r="C188" s="189" t="n">
        <v>2023</v>
      </c>
      <c r="D188" s="215" t="inlineStr">
        <is>
          <t>SGP</t>
        </is>
      </c>
      <c r="E188" s="219" t="n">
        <v>2</v>
      </c>
      <c r="F188" s="215" t="inlineStr">
        <is>
          <t>27.91</t>
        </is>
      </c>
      <c r="G188" s="211" t="n">
        <v>2005</v>
      </c>
      <c r="H188" s="211">
        <f>C188-G188</f>
        <v/>
      </c>
      <c r="I188" s="211" t="inlineStr">
        <is>
          <t>Nicholas Rui Karsten Mahabir</t>
        </is>
      </c>
      <c r="J188" s="215" t="inlineStr">
        <is>
          <t>California Berkeley</t>
        </is>
      </c>
      <c r="K188" s="215" t="inlineStr">
        <is>
          <t>USA</t>
        </is>
      </c>
      <c r="L188" s="217" t="inlineStr">
        <is>
          <t>USA</t>
        </is>
      </c>
    </row>
    <row r="189">
      <c r="A189" s="220" t="inlineStr">
        <is>
          <t>M</t>
        </is>
      </c>
      <c r="B189" s="211" t="inlineStr">
        <is>
          <t>50 Fly</t>
        </is>
      </c>
      <c r="C189" s="190" t="n">
        <v>2023</v>
      </c>
      <c r="D189" s="211" t="inlineStr">
        <is>
          <t>SGP</t>
        </is>
      </c>
      <c r="E189" s="221" t="n">
        <v>2</v>
      </c>
      <c r="F189" s="211" t="inlineStr">
        <is>
          <t>23.67</t>
        </is>
      </c>
      <c r="G189" s="211" t="n">
        <v>1997</v>
      </c>
      <c r="H189" s="211">
        <f>C189-G189</f>
        <v/>
      </c>
      <c r="I189" s="211" t="inlineStr">
        <is>
          <t>Tzen Wei Teong</t>
        </is>
      </c>
      <c r="J189" s="211" t="n"/>
      <c r="K189" s="211" t="n"/>
      <c r="L189" s="213" t="n"/>
    </row>
    <row r="190">
      <c r="A190" s="218" t="inlineStr">
        <is>
          <t>M</t>
        </is>
      </c>
      <c r="B190" s="215" t="inlineStr">
        <is>
          <t>50 Free</t>
        </is>
      </c>
      <c r="C190" s="189" t="n">
        <v>2023</v>
      </c>
      <c r="D190" s="215" t="inlineStr">
        <is>
          <t>SGP</t>
        </is>
      </c>
      <c r="E190" s="219" t="n">
        <v>2</v>
      </c>
      <c r="F190" s="215" t="inlineStr">
        <is>
          <t>22.50</t>
        </is>
      </c>
      <c r="G190" s="215" t="n">
        <v>1997</v>
      </c>
      <c r="H190" s="215">
        <f>C190-G190</f>
        <v/>
      </c>
      <c r="I190" s="215" t="inlineStr">
        <is>
          <t>Tzen Wei Teong</t>
        </is>
      </c>
      <c r="J190" s="215" t="n"/>
      <c r="K190" s="215" t="n"/>
      <c r="L190" s="217" t="n"/>
    </row>
    <row r="191">
      <c r="A191" s="220" t="inlineStr">
        <is>
          <t>M</t>
        </is>
      </c>
      <c r="B191" s="211" t="inlineStr">
        <is>
          <t>800 Free Relay</t>
        </is>
      </c>
      <c r="C191" s="190" t="n">
        <v>2023</v>
      </c>
      <c r="D191" s="211" t="inlineStr">
        <is>
          <t>SGP</t>
        </is>
      </c>
      <c r="E191" s="221" t="n">
        <v>2</v>
      </c>
      <c r="F191" s="211" t="inlineStr">
        <is>
          <t>7:21.50</t>
        </is>
      </c>
      <c r="G191" s="211" t="n"/>
      <c r="H191" s="211" t="n"/>
      <c r="I191" s="211" t="n"/>
      <c r="J191" s="211" t="n"/>
      <c r="K191" s="211" t="n"/>
      <c r="L191" s="213" t="n"/>
    </row>
    <row r="192">
      <c r="A192" s="218" t="inlineStr">
        <is>
          <t>F</t>
        </is>
      </c>
      <c r="B192" s="215" t="inlineStr">
        <is>
          <t>100 Back</t>
        </is>
      </c>
      <c r="C192" s="189" t="n">
        <v>2023</v>
      </c>
      <c r="D192" s="215" t="inlineStr">
        <is>
          <t>PHI</t>
        </is>
      </c>
      <c r="E192" s="219" t="n">
        <v>1</v>
      </c>
      <c r="F192" s="215" t="inlineStr">
        <is>
          <t>1:01.64</t>
        </is>
      </c>
      <c r="G192" s="215" t="n">
        <v>2005</v>
      </c>
      <c r="H192" s="215">
        <f>C192-G192</f>
        <v/>
      </c>
      <c r="I192" s="215" t="inlineStr">
        <is>
          <t>Teia Isabella Salvino</t>
        </is>
      </c>
      <c r="J192" s="215" t="inlineStr">
        <is>
          <t>SMU</t>
        </is>
      </c>
      <c r="K192" s="215" t="inlineStr">
        <is>
          <t>USA</t>
        </is>
      </c>
      <c r="L192" s="217" t="inlineStr">
        <is>
          <t>USA</t>
        </is>
      </c>
    </row>
    <row r="193">
      <c r="A193" s="220" t="inlineStr">
        <is>
          <t>F</t>
        </is>
      </c>
      <c r="B193" s="211" t="inlineStr">
        <is>
          <t>100 Breast</t>
        </is>
      </c>
      <c r="C193" s="190" t="n">
        <v>2023</v>
      </c>
      <c r="D193" s="211" t="inlineStr">
        <is>
          <t>SGP</t>
        </is>
      </c>
      <c r="E193" s="221" t="n">
        <v>1</v>
      </c>
      <c r="F193" s="211" t="inlineStr">
        <is>
          <t>1:07.94</t>
        </is>
      </c>
      <c r="G193" s="211" t="n">
        <v>2003</v>
      </c>
      <c r="H193" s="211">
        <f>C193-G193</f>
        <v/>
      </c>
      <c r="I193" s="211" t="inlineStr">
        <is>
          <t>Letitia EN YI Sim</t>
        </is>
      </c>
      <c r="J193" s="211" t="inlineStr">
        <is>
          <t>Michigan</t>
        </is>
      </c>
      <c r="K193" s="211" t="inlineStr">
        <is>
          <t>USA</t>
        </is>
      </c>
      <c r="L193" s="213" t="inlineStr">
        <is>
          <t>USA</t>
        </is>
      </c>
    </row>
    <row r="194">
      <c r="A194" s="218" t="inlineStr">
        <is>
          <t>F</t>
        </is>
      </c>
      <c r="B194" s="215" t="inlineStr">
        <is>
          <t>100 Fly</t>
        </is>
      </c>
      <c r="C194" s="189" t="n">
        <v>2023</v>
      </c>
      <c r="D194" s="215" t="inlineStr">
        <is>
          <t>SGP</t>
        </is>
      </c>
      <c r="E194" s="219" t="n">
        <v>1</v>
      </c>
      <c r="F194" s="215" t="inlineStr">
        <is>
          <t>59.02</t>
        </is>
      </c>
      <c r="G194" s="215" t="n">
        <v>1994</v>
      </c>
      <c r="H194" s="215">
        <f>C194-G194</f>
        <v/>
      </c>
      <c r="I194" s="215" t="inlineStr">
        <is>
          <t>Jing Wen Quah</t>
        </is>
      </c>
      <c r="J194" s="215" t="inlineStr">
        <is>
          <t>A&amp;M</t>
        </is>
      </c>
      <c r="K194" s="215" t="inlineStr">
        <is>
          <t>USA</t>
        </is>
      </c>
      <c r="L194" s="217" t="n"/>
    </row>
    <row r="195">
      <c r="A195" s="220" t="inlineStr">
        <is>
          <t>F</t>
        </is>
      </c>
      <c r="B195" s="211" t="inlineStr">
        <is>
          <t>100 Free</t>
        </is>
      </c>
      <c r="C195" s="190" t="n">
        <v>2023</v>
      </c>
      <c r="D195" s="211" t="inlineStr">
        <is>
          <t>SGP</t>
        </is>
      </c>
      <c r="E195" s="221" t="n">
        <v>1</v>
      </c>
      <c r="F195" s="211" t="inlineStr">
        <is>
          <t>55.83</t>
        </is>
      </c>
      <c r="G195" s="211" t="n">
        <v>1992</v>
      </c>
      <c r="H195" s="211">
        <f>C195-G195</f>
        <v/>
      </c>
      <c r="I195" s="211" t="inlineStr">
        <is>
          <t>Ting Wen Quah</t>
        </is>
      </c>
      <c r="J195" s="211" t="inlineStr">
        <is>
          <t>UCLA</t>
        </is>
      </c>
      <c r="K195" s="211" t="inlineStr">
        <is>
          <t>USA</t>
        </is>
      </c>
      <c r="L195" s="213" t="n"/>
    </row>
    <row r="196">
      <c r="A196" s="218" t="inlineStr">
        <is>
          <t>F</t>
        </is>
      </c>
      <c r="B196" s="215" t="inlineStr">
        <is>
          <t>200 Back</t>
        </is>
      </c>
      <c r="C196" s="189" t="n">
        <v>2023</v>
      </c>
      <c r="D196" s="215" t="inlineStr">
        <is>
          <t>PHI</t>
        </is>
      </c>
      <c r="E196" s="219" t="n">
        <v>1</v>
      </c>
      <c r="F196" s="215" t="inlineStr">
        <is>
          <t>2:13.20</t>
        </is>
      </c>
      <c r="G196" s="215" t="n">
        <v>2001</v>
      </c>
      <c r="H196" s="215">
        <f>C196-G196</f>
        <v/>
      </c>
      <c r="I196" s="215" t="inlineStr">
        <is>
          <t>Xiandi Chua</t>
        </is>
      </c>
      <c r="J196" s="215" t="n"/>
      <c r="K196" s="215" t="n"/>
      <c r="L196" s="217" t="n"/>
    </row>
    <row r="197">
      <c r="A197" s="220" t="inlineStr">
        <is>
          <t>F</t>
        </is>
      </c>
      <c r="B197" s="211" t="inlineStr">
        <is>
          <t>200 Breast</t>
        </is>
      </c>
      <c r="C197" s="190" t="n">
        <v>2023</v>
      </c>
      <c r="D197" s="211" t="inlineStr">
        <is>
          <t>SGP</t>
        </is>
      </c>
      <c r="E197" s="221" t="n">
        <v>1</v>
      </c>
      <c r="F197" s="211" t="inlineStr">
        <is>
          <t>2:28.49</t>
        </is>
      </c>
      <c r="G197" s="211" t="n">
        <v>2003</v>
      </c>
      <c r="H197" s="211">
        <f>C197-G197</f>
        <v/>
      </c>
      <c r="I197" s="211" t="inlineStr">
        <is>
          <t>Letitia EN YI Sim</t>
        </is>
      </c>
      <c r="J197" s="211" t="inlineStr">
        <is>
          <t>Michigan</t>
        </is>
      </c>
      <c r="K197" s="211" t="inlineStr">
        <is>
          <t>USA</t>
        </is>
      </c>
      <c r="L197" s="213" t="inlineStr">
        <is>
          <t>USA</t>
        </is>
      </c>
    </row>
    <row r="198">
      <c r="A198" s="218" t="inlineStr">
        <is>
          <t>F</t>
        </is>
      </c>
      <c r="B198" s="215" t="inlineStr">
        <is>
          <t>200 Fly</t>
        </is>
      </c>
      <c r="C198" s="189" t="n">
        <v>2023</v>
      </c>
      <c r="D198" s="215" t="inlineStr">
        <is>
          <t>SGP</t>
        </is>
      </c>
      <c r="E198" s="219" t="n">
        <v>1</v>
      </c>
      <c r="F198" s="215" t="inlineStr">
        <is>
          <t>2:10.63</t>
        </is>
      </c>
      <c r="G198" s="215" t="n">
        <v>1994</v>
      </c>
      <c r="H198" s="215">
        <f>C198-G198</f>
        <v/>
      </c>
      <c r="I198" s="215" t="inlineStr">
        <is>
          <t>Jing Wen Quah</t>
        </is>
      </c>
      <c r="J198" s="215" t="inlineStr">
        <is>
          <t>A&amp;M</t>
        </is>
      </c>
      <c r="K198" s="215" t="inlineStr">
        <is>
          <t>USA</t>
        </is>
      </c>
      <c r="L198" s="217" t="n"/>
    </row>
    <row r="199">
      <c r="A199" s="220" t="inlineStr">
        <is>
          <t>F</t>
        </is>
      </c>
      <c r="B199" s="211" t="inlineStr">
        <is>
          <t>200 Free</t>
        </is>
      </c>
      <c r="C199" s="190" t="n">
        <v>2023</v>
      </c>
      <c r="D199" s="211" t="inlineStr">
        <is>
          <t>SGP</t>
        </is>
      </c>
      <c r="E199" s="221" t="n">
        <v>1</v>
      </c>
      <c r="F199" s="211" t="inlineStr">
        <is>
          <t>2:01.76</t>
        </is>
      </c>
      <c r="G199" s="211" t="n">
        <v>2003</v>
      </c>
      <c r="H199" s="211">
        <f>C199-G199</f>
        <v/>
      </c>
      <c r="I199" s="211" t="inlineStr">
        <is>
          <t>Ching Hwee Gan</t>
        </is>
      </c>
      <c r="J199" s="211" t="inlineStr">
        <is>
          <t>Indiana</t>
        </is>
      </c>
      <c r="K199" s="211" t="inlineStr">
        <is>
          <t>USA</t>
        </is>
      </c>
      <c r="L199" s="213" t="n"/>
    </row>
    <row r="200">
      <c r="A200" s="218" t="inlineStr">
        <is>
          <t>F</t>
        </is>
      </c>
      <c r="B200" s="215" t="inlineStr">
        <is>
          <t>200 IM</t>
        </is>
      </c>
      <c r="C200" s="189" t="n">
        <v>2023</v>
      </c>
      <c r="D200" s="215" t="inlineStr">
        <is>
          <t>SGP</t>
        </is>
      </c>
      <c r="E200" s="219" t="n">
        <v>1</v>
      </c>
      <c r="F200" s="215" t="inlineStr">
        <is>
          <t>2:14.49</t>
        </is>
      </c>
      <c r="G200" s="215" t="n">
        <v>2003</v>
      </c>
      <c r="H200" s="215">
        <f>C200-G200</f>
        <v/>
      </c>
      <c r="I200" s="215" t="inlineStr">
        <is>
          <t>Letitia EN YI Sim</t>
        </is>
      </c>
      <c r="J200" s="215" t="inlineStr">
        <is>
          <t>Michigan</t>
        </is>
      </c>
      <c r="K200" s="215" t="inlineStr">
        <is>
          <t>USA</t>
        </is>
      </c>
      <c r="L200" s="217" t="inlineStr">
        <is>
          <t>USA</t>
        </is>
      </c>
    </row>
    <row r="201">
      <c r="A201" s="220" t="inlineStr">
        <is>
          <t>F</t>
        </is>
      </c>
      <c r="B201" s="211" t="inlineStr">
        <is>
          <t>400 Free</t>
        </is>
      </c>
      <c r="C201" s="190" t="n">
        <v>2023</v>
      </c>
      <c r="D201" s="211" t="inlineStr">
        <is>
          <t>SGP</t>
        </is>
      </c>
      <c r="E201" s="221" t="n">
        <v>1</v>
      </c>
      <c r="F201" s="211" t="inlineStr">
        <is>
          <t>4:15.17</t>
        </is>
      </c>
      <c r="G201" s="211" t="n">
        <v>2003</v>
      </c>
      <c r="H201" s="211">
        <f>C201-G201</f>
        <v/>
      </c>
      <c r="I201" s="211" t="inlineStr">
        <is>
          <t>Ching Hwee Gan</t>
        </is>
      </c>
      <c r="J201" s="211" t="inlineStr">
        <is>
          <t>Indiana</t>
        </is>
      </c>
      <c r="K201" s="211" t="inlineStr">
        <is>
          <t>USA</t>
        </is>
      </c>
      <c r="L201" s="213" t="n"/>
    </row>
    <row r="202">
      <c r="A202" s="218" t="inlineStr">
        <is>
          <t>F</t>
        </is>
      </c>
      <c r="B202" s="215" t="inlineStr">
        <is>
          <t>400 Free Relay</t>
        </is>
      </c>
      <c r="C202" s="189" t="n">
        <v>2023</v>
      </c>
      <c r="D202" s="215" t="inlineStr">
        <is>
          <t>SGP</t>
        </is>
      </c>
      <c r="E202" s="219" t="n">
        <v>1</v>
      </c>
      <c r="F202" s="215" t="inlineStr">
        <is>
          <t>3:44.29</t>
        </is>
      </c>
      <c r="G202" s="215" t="n"/>
      <c r="H202" s="215" t="n"/>
      <c r="I202" s="215" t="n"/>
      <c r="J202" s="215" t="n"/>
      <c r="K202" s="215" t="n"/>
      <c r="L202" s="217" t="n"/>
    </row>
    <row r="203">
      <c r="A203" s="220" t="inlineStr">
        <is>
          <t>F</t>
        </is>
      </c>
      <c r="B203" s="211" t="inlineStr">
        <is>
          <t>400 IM</t>
        </is>
      </c>
      <c r="C203" s="190" t="n">
        <v>2023</v>
      </c>
      <c r="D203" s="211" t="inlineStr">
        <is>
          <t>THA</t>
        </is>
      </c>
      <c r="E203" s="221" t="n">
        <v>1</v>
      </c>
      <c r="F203" s="211" t="inlineStr">
        <is>
          <t>4:47.25</t>
        </is>
      </c>
      <c r="G203" s="211" t="n">
        <v>2005</v>
      </c>
      <c r="H203" s="211">
        <f>C203-G203</f>
        <v/>
      </c>
      <c r="I203" s="211" t="inlineStr">
        <is>
          <t>Kamonchanok Kwanmuang</t>
        </is>
      </c>
      <c r="J203" s="211" t="n"/>
      <c r="K203" s="211" t="n"/>
      <c r="L203" s="213" t="n"/>
    </row>
    <row r="204">
      <c r="A204" s="218" t="inlineStr">
        <is>
          <t>F</t>
        </is>
      </c>
      <c r="B204" s="215" t="inlineStr">
        <is>
          <t>400 Medley Relay</t>
        </is>
      </c>
      <c r="C204" s="189" t="n">
        <v>2023</v>
      </c>
      <c r="D204" s="215" t="inlineStr">
        <is>
          <t>SGP</t>
        </is>
      </c>
      <c r="E204" s="219" t="n">
        <v>1</v>
      </c>
      <c r="F204" s="215" t="inlineStr">
        <is>
          <t>4:06.97</t>
        </is>
      </c>
      <c r="G204" s="215" t="n"/>
      <c r="H204" s="215" t="n"/>
      <c r="I204" s="215" t="n"/>
      <c r="J204" s="215" t="n"/>
      <c r="K204" s="215" t="n"/>
      <c r="L204" s="217" t="n"/>
    </row>
    <row r="205">
      <c r="A205" s="220" t="inlineStr">
        <is>
          <t>F</t>
        </is>
      </c>
      <c r="B205" s="211" t="inlineStr">
        <is>
          <t>50 Back</t>
        </is>
      </c>
      <c r="C205" s="190" t="n">
        <v>2023</v>
      </c>
      <c r="D205" s="211" t="inlineStr">
        <is>
          <t>IND</t>
        </is>
      </c>
      <c r="E205" s="221" t="n">
        <v>1</v>
      </c>
      <c r="F205" s="211" t="inlineStr">
        <is>
          <t>28.89</t>
        </is>
      </c>
      <c r="G205" s="211" t="n">
        <v>2005</v>
      </c>
      <c r="H205" s="211">
        <f>C205-G205</f>
        <v/>
      </c>
      <c r="I205" s="211" t="inlineStr">
        <is>
          <t>Masniari Wolf</t>
        </is>
      </c>
      <c r="J205" s="211" t="n"/>
      <c r="K205" s="211" t="n"/>
      <c r="L205" s="213" t="n"/>
    </row>
    <row r="206">
      <c r="A206" s="218" t="inlineStr">
        <is>
          <t>F</t>
        </is>
      </c>
      <c r="B206" s="215" t="inlineStr">
        <is>
          <t>50 Breast</t>
        </is>
      </c>
      <c r="C206" s="189" t="n">
        <v>2023</v>
      </c>
      <c r="D206" s="215" t="inlineStr">
        <is>
          <t>THA</t>
        </is>
      </c>
      <c r="E206" s="219" t="n">
        <v>1</v>
      </c>
      <c r="F206" s="215" t="inlineStr">
        <is>
          <t>31.22</t>
        </is>
      </c>
      <c r="G206" s="215" t="n">
        <v>1995</v>
      </c>
      <c r="H206" s="215">
        <f>C206-G206</f>
        <v/>
      </c>
      <c r="I206" s="215" t="inlineStr">
        <is>
          <t>Jenjira Srisa-Ard</t>
        </is>
      </c>
      <c r="J206" s="215" t="n"/>
      <c r="K206" s="215" t="n"/>
      <c r="L206" s="217" t="n"/>
    </row>
    <row r="207">
      <c r="A207" s="220" t="inlineStr">
        <is>
          <t>F</t>
        </is>
      </c>
      <c r="B207" s="211" t="inlineStr">
        <is>
          <t>50 Fly</t>
        </is>
      </c>
      <c r="C207" s="190" t="n">
        <v>2023</v>
      </c>
      <c r="D207" s="211" t="inlineStr">
        <is>
          <t>THA</t>
        </is>
      </c>
      <c r="E207" s="221" t="n">
        <v>1</v>
      </c>
      <c r="F207" s="211" t="inlineStr">
        <is>
          <t>26.65</t>
        </is>
      </c>
      <c r="G207" s="211" t="n">
        <v>1995</v>
      </c>
      <c r="H207" s="211">
        <f>C207-G207</f>
        <v/>
      </c>
      <c r="I207" s="211" t="inlineStr">
        <is>
          <t>Jenjira Srisa-Ard</t>
        </is>
      </c>
      <c r="J207" s="211" t="n"/>
      <c r="K207" s="211" t="n"/>
      <c r="L207" s="213" t="n"/>
    </row>
    <row r="208">
      <c r="A208" s="218" t="inlineStr">
        <is>
          <t>F</t>
        </is>
      </c>
      <c r="B208" s="215" t="inlineStr">
        <is>
          <t>50 Free</t>
        </is>
      </c>
      <c r="C208" s="189" t="n">
        <v>2023</v>
      </c>
      <c r="D208" s="215" t="inlineStr">
        <is>
          <t>SGP</t>
        </is>
      </c>
      <c r="E208" s="219" t="n">
        <v>1</v>
      </c>
      <c r="F208" s="215" t="inlineStr">
        <is>
          <t>25.04</t>
        </is>
      </c>
      <c r="G208" s="215" t="n">
        <v>1992</v>
      </c>
      <c r="H208" s="215">
        <f>C208-G208</f>
        <v/>
      </c>
      <c r="I208" s="215" t="inlineStr">
        <is>
          <t>Ting Wen Quah</t>
        </is>
      </c>
      <c r="J208" s="215" t="inlineStr">
        <is>
          <t>UCLA</t>
        </is>
      </c>
      <c r="K208" s="215" t="inlineStr">
        <is>
          <t>USA</t>
        </is>
      </c>
      <c r="L208" s="217" t="n"/>
    </row>
    <row r="209">
      <c r="A209" s="220" t="inlineStr">
        <is>
          <t>F</t>
        </is>
      </c>
      <c r="B209" s="211" t="inlineStr">
        <is>
          <t>800 Free</t>
        </is>
      </c>
      <c r="C209" s="190" t="n">
        <v>2023</v>
      </c>
      <c r="D209" s="211" t="inlineStr">
        <is>
          <t>SGP</t>
        </is>
      </c>
      <c r="E209" s="221" t="n">
        <v>1</v>
      </c>
      <c r="F209" s="211" t="inlineStr">
        <is>
          <t>8:41.05</t>
        </is>
      </c>
      <c r="G209" s="211" t="n">
        <v>2003</v>
      </c>
      <c r="H209" s="211">
        <f>C209-G209</f>
        <v/>
      </c>
      <c r="I209" s="211" t="inlineStr">
        <is>
          <t>Ching Hwee Gan</t>
        </is>
      </c>
      <c r="J209" s="211" t="inlineStr">
        <is>
          <t>Indiana</t>
        </is>
      </c>
      <c r="K209" s="211" t="inlineStr">
        <is>
          <t>USA</t>
        </is>
      </c>
      <c r="L209" s="213" t="n"/>
    </row>
    <row r="210">
      <c r="A210" s="218" t="inlineStr">
        <is>
          <t>F</t>
        </is>
      </c>
      <c r="B210" s="215" t="inlineStr">
        <is>
          <t>800 Free Relay</t>
        </is>
      </c>
      <c r="C210" s="189" t="n">
        <v>2023</v>
      </c>
      <c r="D210" s="215" t="inlineStr">
        <is>
          <t>SGP</t>
        </is>
      </c>
      <c r="E210" s="219" t="n">
        <v>1</v>
      </c>
      <c r="F210" s="215" t="inlineStr">
        <is>
          <t>8:12.80</t>
        </is>
      </c>
      <c r="G210" s="215" t="n"/>
      <c r="H210" s="215" t="n"/>
      <c r="I210" s="215" t="n"/>
      <c r="J210" s="215" t="n"/>
      <c r="K210" s="215" t="n"/>
      <c r="L210" s="217" t="n"/>
    </row>
    <row r="211">
      <c r="A211" s="220" t="inlineStr">
        <is>
          <t>M</t>
        </is>
      </c>
      <c r="B211" s="211" t="inlineStr">
        <is>
          <t>100 Back</t>
        </is>
      </c>
      <c r="C211" s="190" t="n">
        <v>2023</v>
      </c>
      <c r="D211" s="211" t="inlineStr">
        <is>
          <t>SGP</t>
        </is>
      </c>
      <c r="E211" s="221" t="n">
        <v>1</v>
      </c>
      <c r="F211" s="211" t="inlineStr">
        <is>
          <t>55.22</t>
        </is>
      </c>
      <c r="G211" s="211" t="n">
        <v>1996</v>
      </c>
      <c r="H211" s="211">
        <f>C211-G211</f>
        <v/>
      </c>
      <c r="I211" s="211" t="inlineStr">
        <is>
          <t>Zheng Wen Quah</t>
        </is>
      </c>
      <c r="J211" s="211" t="inlineStr">
        <is>
          <t>California Berkeley</t>
        </is>
      </c>
      <c r="K211" s="211" t="inlineStr">
        <is>
          <t>USA</t>
        </is>
      </c>
      <c r="L211" s="213" t="n"/>
    </row>
    <row r="212">
      <c r="A212" s="218" t="inlineStr">
        <is>
          <t>M</t>
        </is>
      </c>
      <c r="B212" s="215" t="inlineStr">
        <is>
          <t>100 Breast</t>
        </is>
      </c>
      <c r="C212" s="189" t="n">
        <v>2023</v>
      </c>
      <c r="D212" s="215" t="inlineStr">
        <is>
          <t>VIE</t>
        </is>
      </c>
      <c r="E212" s="219" t="n">
        <v>1</v>
      </c>
      <c r="F212" s="215" t="inlineStr">
        <is>
          <t>1:00.97</t>
        </is>
      </c>
      <c r="G212" s="215" t="n">
        <v>2001</v>
      </c>
      <c r="H212" s="215">
        <f>C212-G212</f>
        <v/>
      </c>
      <c r="I212" s="215" t="inlineStr">
        <is>
          <t>Thanh Bao Pham</t>
        </is>
      </c>
      <c r="J212" s="215" t="n"/>
      <c r="K212" s="215" t="n"/>
      <c r="L212" s="217" t="n"/>
    </row>
    <row r="213">
      <c r="A213" s="220" t="inlineStr">
        <is>
          <t>M</t>
        </is>
      </c>
      <c r="B213" s="211" t="inlineStr">
        <is>
          <t>100 Fly</t>
        </is>
      </c>
      <c r="C213" s="190" t="n">
        <v>2023</v>
      </c>
      <c r="D213" s="211" t="inlineStr">
        <is>
          <t>SGP</t>
        </is>
      </c>
      <c r="E213" s="221" t="n">
        <v>1</v>
      </c>
      <c r="F213" s="211" t="inlineStr">
        <is>
          <t>52.04</t>
        </is>
      </c>
      <c r="G213" s="211" t="n">
        <v>1996</v>
      </c>
      <c r="H213" s="211">
        <f>C213-G213</f>
        <v/>
      </c>
      <c r="I213" s="211" t="inlineStr">
        <is>
          <t>Zheng Wen Quah</t>
        </is>
      </c>
      <c r="J213" s="211" t="inlineStr">
        <is>
          <t>California Berkeley</t>
        </is>
      </c>
      <c r="K213" s="211" t="inlineStr">
        <is>
          <t>USA</t>
        </is>
      </c>
      <c r="L213" s="213" t="n"/>
    </row>
    <row r="214">
      <c r="A214" s="218" t="inlineStr">
        <is>
          <t>M</t>
        </is>
      </c>
      <c r="B214" s="215" t="inlineStr">
        <is>
          <t>100 Free</t>
        </is>
      </c>
      <c r="C214" s="189" t="n">
        <v>2023</v>
      </c>
      <c r="D214" s="215" t="inlineStr">
        <is>
          <t>SGP</t>
        </is>
      </c>
      <c r="E214" s="219" t="n">
        <v>1</v>
      </c>
      <c r="F214" s="215" t="inlineStr">
        <is>
          <t>48.80</t>
        </is>
      </c>
      <c r="G214" s="215" t="n">
        <v>2002</v>
      </c>
      <c r="H214" s="215">
        <f>C214-G214</f>
        <v/>
      </c>
      <c r="I214" s="215" t="inlineStr">
        <is>
          <t>Jonathan EU Jin Tan</t>
        </is>
      </c>
      <c r="J214" s="215" t="inlineStr">
        <is>
          <t>Stanford</t>
        </is>
      </c>
      <c r="K214" s="215" t="inlineStr">
        <is>
          <t>USA</t>
        </is>
      </c>
      <c r="L214" s="217" t="n"/>
    </row>
    <row r="215">
      <c r="A215" s="220" t="inlineStr">
        <is>
          <t>M</t>
        </is>
      </c>
      <c r="B215" s="211" t="inlineStr">
        <is>
          <t>1500 Free</t>
        </is>
      </c>
      <c r="C215" s="190" t="n">
        <v>2023</v>
      </c>
      <c r="D215" s="211" t="inlineStr">
        <is>
          <t>VIE</t>
        </is>
      </c>
      <c r="E215" s="221" t="n">
        <v>1</v>
      </c>
      <c r="F215" s="211" t="inlineStr">
        <is>
          <t>15:11.24</t>
        </is>
      </c>
      <c r="G215" s="211" t="n">
        <v>2000</v>
      </c>
      <c r="H215" s="211">
        <f>C215-G215</f>
        <v/>
      </c>
      <c r="I215" s="211" t="inlineStr">
        <is>
          <t>Huy Hoang Nguyen</t>
        </is>
      </c>
      <c r="J215" s="211" t="n"/>
      <c r="K215" s="211" t="n"/>
      <c r="L215" s="213" t="n"/>
    </row>
    <row r="216">
      <c r="A216" s="218" t="inlineStr">
        <is>
          <t>M</t>
        </is>
      </c>
      <c r="B216" s="215" t="inlineStr">
        <is>
          <t>200 Back</t>
        </is>
      </c>
      <c r="C216" s="189" t="n">
        <v>2023</v>
      </c>
      <c r="D216" s="215" t="inlineStr">
        <is>
          <t>THA</t>
        </is>
      </c>
      <c r="E216" s="219" t="n">
        <v>1</v>
      </c>
      <c r="F216" s="215" t="inlineStr">
        <is>
          <t>2:01.29</t>
        </is>
      </c>
      <c r="G216" s="215" t="n">
        <v>2005</v>
      </c>
      <c r="H216" s="215">
        <f>C216-G216</f>
        <v/>
      </c>
      <c r="I216" s="215" t="inlineStr">
        <is>
          <t>Tonnam Kanteemool</t>
        </is>
      </c>
      <c r="J216" s="215" t="n"/>
      <c r="K216" s="215" t="n"/>
      <c r="L216" s="217" t="n"/>
    </row>
    <row r="217">
      <c r="A217" s="220" t="inlineStr">
        <is>
          <t>M</t>
        </is>
      </c>
      <c r="B217" s="211" t="inlineStr">
        <is>
          <t>200 Breast</t>
        </is>
      </c>
      <c r="C217" s="190" t="n">
        <v>2023</v>
      </c>
      <c r="D217" s="211" t="inlineStr">
        <is>
          <t>VIE</t>
        </is>
      </c>
      <c r="E217" s="221" t="n">
        <v>1</v>
      </c>
      <c r="F217" s="211" t="inlineStr">
        <is>
          <t>2:11.45</t>
        </is>
      </c>
      <c r="G217" s="211" t="n">
        <v>2001</v>
      </c>
      <c r="H217" s="211">
        <f>C217-G217</f>
        <v/>
      </c>
      <c r="I217" s="211" t="inlineStr">
        <is>
          <t>Thanh Bao Pham</t>
        </is>
      </c>
      <c r="J217" s="211" t="n"/>
      <c r="K217" s="211" t="n"/>
      <c r="L217" s="213" t="n"/>
    </row>
    <row r="218">
      <c r="A218" s="218" t="inlineStr">
        <is>
          <t>M</t>
        </is>
      </c>
      <c r="B218" s="215" t="inlineStr">
        <is>
          <t>200 Fly</t>
        </is>
      </c>
      <c r="C218" s="189" t="n">
        <v>2023</v>
      </c>
      <c r="D218" s="215" t="inlineStr">
        <is>
          <t>SGP</t>
        </is>
      </c>
      <c r="E218" s="219" t="n">
        <v>1</v>
      </c>
      <c r="F218" s="215" t="inlineStr">
        <is>
          <t>1:59.44</t>
        </is>
      </c>
      <c r="G218" s="215" t="n">
        <v>2001</v>
      </c>
      <c r="H218" s="215">
        <f>C218-G218</f>
        <v/>
      </c>
      <c r="I218" s="215" t="inlineStr">
        <is>
          <t>Jung YI Ong</t>
        </is>
      </c>
      <c r="J218" s="215" t="n"/>
      <c r="K218" s="215" t="n"/>
      <c r="L218" s="217" t="n"/>
    </row>
    <row r="219">
      <c r="A219" s="220" t="inlineStr">
        <is>
          <t>M</t>
        </is>
      </c>
      <c r="B219" s="211" t="inlineStr">
        <is>
          <t>200 Free</t>
        </is>
      </c>
      <c r="C219" s="190" t="n">
        <v>2023</v>
      </c>
      <c r="D219" s="211" t="inlineStr">
        <is>
          <t>MAS</t>
        </is>
      </c>
      <c r="E219" s="221" t="n">
        <v>1</v>
      </c>
      <c r="F219" s="211" t="inlineStr">
        <is>
          <t>1:48.91</t>
        </is>
      </c>
      <c r="G219" s="211" t="n">
        <v>2002</v>
      </c>
      <c r="H219" s="211">
        <f>C219-G219</f>
        <v/>
      </c>
      <c r="I219" s="211" t="inlineStr">
        <is>
          <t>Khiew Hoe Yean</t>
        </is>
      </c>
      <c r="J219" s="211" t="n"/>
      <c r="K219" s="211" t="n"/>
      <c r="L219" s="213" t="n"/>
    </row>
    <row r="220">
      <c r="A220" s="218" t="inlineStr">
        <is>
          <t>M</t>
        </is>
      </c>
      <c r="B220" s="215" t="inlineStr">
        <is>
          <t>200 IM</t>
        </is>
      </c>
      <c r="C220" s="189" t="n">
        <v>2023</v>
      </c>
      <c r="D220" s="215" t="inlineStr">
        <is>
          <t>VIE</t>
        </is>
      </c>
      <c r="E220" s="219" t="n">
        <v>1</v>
      </c>
      <c r="F220" s="215" t="inlineStr">
        <is>
          <t>2:01.28</t>
        </is>
      </c>
      <c r="G220" s="215" t="n">
        <v>2003</v>
      </c>
      <c r="H220" s="215">
        <f>C220-G220</f>
        <v/>
      </c>
      <c r="I220" s="215" t="inlineStr">
        <is>
          <t>Hung Nguyen Tran</t>
        </is>
      </c>
      <c r="J220" s="215" t="n"/>
      <c r="K220" s="215" t="n"/>
      <c r="L220" s="217" t="n"/>
    </row>
    <row r="221">
      <c r="A221" s="220" t="inlineStr">
        <is>
          <t>M</t>
        </is>
      </c>
      <c r="B221" s="211" t="inlineStr">
        <is>
          <t>400 Free</t>
        </is>
      </c>
      <c r="C221" s="190" t="n">
        <v>2023</v>
      </c>
      <c r="D221" s="211" t="inlineStr">
        <is>
          <t>VIE</t>
        </is>
      </c>
      <c r="E221" s="221" t="n">
        <v>1</v>
      </c>
      <c r="F221" s="211" t="inlineStr">
        <is>
          <t>3:49.50</t>
        </is>
      </c>
      <c r="G221" s="211" t="n">
        <v>2000</v>
      </c>
      <c r="H221" s="211">
        <f>C221-G221</f>
        <v/>
      </c>
      <c r="I221" s="211" t="inlineStr">
        <is>
          <t>Huy Hoang Nguyen</t>
        </is>
      </c>
      <c r="J221" s="211" t="n"/>
      <c r="K221" s="211" t="n"/>
      <c r="L221" s="213" t="n"/>
    </row>
    <row r="222">
      <c r="A222" s="218" t="inlineStr">
        <is>
          <t>M</t>
        </is>
      </c>
      <c r="B222" s="215" t="inlineStr">
        <is>
          <t>400 Free Relay</t>
        </is>
      </c>
      <c r="C222" s="189" t="n">
        <v>2023</v>
      </c>
      <c r="D222" s="215" t="inlineStr">
        <is>
          <t>SGP</t>
        </is>
      </c>
      <c r="E222" s="219" t="n">
        <v>1</v>
      </c>
      <c r="F222" s="215" t="inlineStr">
        <is>
          <t>3:17.35</t>
        </is>
      </c>
      <c r="G222" s="215" t="n"/>
      <c r="H222" s="215" t="n"/>
      <c r="I222" s="215" t="n"/>
      <c r="J222" s="215" t="n"/>
      <c r="K222" s="215" t="n"/>
      <c r="L222" s="217" t="n"/>
    </row>
    <row r="223">
      <c r="A223" s="220" t="inlineStr">
        <is>
          <t>M</t>
        </is>
      </c>
      <c r="B223" s="211" t="inlineStr">
        <is>
          <t>400 IM</t>
        </is>
      </c>
      <c r="C223" s="190" t="n">
        <v>2023</v>
      </c>
      <c r="D223" s="211" t="inlineStr">
        <is>
          <t>VIE</t>
        </is>
      </c>
      <c r="E223" s="221" t="n">
        <v>1</v>
      </c>
      <c r="F223" s="211" t="inlineStr">
        <is>
          <t>4:19.12</t>
        </is>
      </c>
      <c r="G223" s="211" t="n">
        <v>2003</v>
      </c>
      <c r="H223" s="211">
        <f>C223-G223</f>
        <v/>
      </c>
      <c r="I223" s="211" t="inlineStr">
        <is>
          <t>Hung Nguyen Tran</t>
        </is>
      </c>
      <c r="J223" s="211" t="n"/>
      <c r="K223" s="211" t="n"/>
      <c r="L223" s="213" t="n"/>
    </row>
    <row r="224">
      <c r="A224" s="218" t="inlineStr">
        <is>
          <t>M</t>
        </is>
      </c>
      <c r="B224" s="215" t="inlineStr">
        <is>
          <t>400 Medley Relay</t>
        </is>
      </c>
      <c r="C224" s="189" t="n">
        <v>2023</v>
      </c>
      <c r="D224" s="215" t="inlineStr">
        <is>
          <t>SGP</t>
        </is>
      </c>
      <c r="E224" s="219" t="n">
        <v>1</v>
      </c>
      <c r="F224" s="215" t="inlineStr">
        <is>
          <t>3:37.45</t>
        </is>
      </c>
      <c r="G224" s="215" t="n"/>
      <c r="H224" s="215" t="n"/>
      <c r="I224" s="215" t="n"/>
      <c r="J224" s="215" t="n"/>
      <c r="K224" s="215" t="n"/>
      <c r="L224" s="217" t="n"/>
    </row>
    <row r="225">
      <c r="A225" s="220" t="inlineStr">
        <is>
          <t>M</t>
        </is>
      </c>
      <c r="B225" s="211" t="inlineStr">
        <is>
          <t>50 Back</t>
        </is>
      </c>
      <c r="C225" s="190" t="n">
        <v>2023</v>
      </c>
      <c r="D225" s="211" t="inlineStr">
        <is>
          <t>IND</t>
        </is>
      </c>
      <c r="E225" s="221" t="n">
        <v>1</v>
      </c>
      <c r="F225" s="211" t="inlineStr">
        <is>
          <t>25.16</t>
        </is>
      </c>
      <c r="G225" s="211" t="n">
        <v>1994</v>
      </c>
      <c r="H225" s="211">
        <f>C225-G225</f>
        <v/>
      </c>
      <c r="I225" s="211" t="inlineStr">
        <is>
          <t>I Gede Siman Sudartawa</t>
        </is>
      </c>
      <c r="J225" s="211" t="n"/>
      <c r="K225" s="211" t="n"/>
      <c r="L225" s="213" t="n"/>
    </row>
    <row r="226">
      <c r="A226" s="218" t="inlineStr">
        <is>
          <t>M</t>
        </is>
      </c>
      <c r="B226" s="215" t="inlineStr">
        <is>
          <t>50 Breast</t>
        </is>
      </c>
      <c r="C226" s="189" t="n">
        <v>2023</v>
      </c>
      <c r="D226" s="215" t="inlineStr">
        <is>
          <t>IND</t>
        </is>
      </c>
      <c r="E226" s="219" t="n">
        <v>1</v>
      </c>
      <c r="F226" s="215" t="inlineStr">
        <is>
          <t>27.70</t>
        </is>
      </c>
      <c r="G226" s="215" t="n">
        <v>2005</v>
      </c>
      <c r="H226" s="215">
        <f>C226-G226</f>
        <v/>
      </c>
      <c r="I226" s="215" t="inlineStr">
        <is>
          <t>Felix Viktor Iberle</t>
        </is>
      </c>
      <c r="J226" s="215" t="n"/>
      <c r="K226" s="215" t="n"/>
      <c r="L226" s="217" t="n"/>
    </row>
    <row r="227">
      <c r="A227" s="220" t="inlineStr">
        <is>
          <t>M</t>
        </is>
      </c>
      <c r="B227" s="211" t="inlineStr">
        <is>
          <t>50 Fly</t>
        </is>
      </c>
      <c r="C227" s="190" t="n">
        <v>2023</v>
      </c>
      <c r="D227" s="211" t="inlineStr">
        <is>
          <t>SGP</t>
        </is>
      </c>
      <c r="E227" s="221" t="n">
        <v>1</v>
      </c>
      <c r="F227" s="211" t="inlineStr">
        <is>
          <t>23.45</t>
        </is>
      </c>
      <c r="G227" s="211" t="n">
        <v>2002</v>
      </c>
      <c r="H227" s="211">
        <f>C227-G227</f>
        <v/>
      </c>
      <c r="I227" s="211" t="inlineStr">
        <is>
          <t>Mikkel Jun Jie Lee</t>
        </is>
      </c>
      <c r="J227" s="211" t="inlineStr">
        <is>
          <t>Wisconsin</t>
        </is>
      </c>
      <c r="K227" s="211" t="inlineStr">
        <is>
          <t>USA</t>
        </is>
      </c>
      <c r="L227" s="213" t="n"/>
    </row>
    <row r="228">
      <c r="A228" s="218" t="inlineStr">
        <is>
          <t>M</t>
        </is>
      </c>
      <c r="B228" s="215" t="inlineStr">
        <is>
          <t>50 Free</t>
        </is>
      </c>
      <c r="C228" s="189" t="n">
        <v>2023</v>
      </c>
      <c r="D228" s="215" t="inlineStr">
        <is>
          <t>SGP</t>
        </is>
      </c>
      <c r="E228" s="219" t="n">
        <v>1</v>
      </c>
      <c r="F228" s="215" t="inlineStr">
        <is>
          <t>21.95</t>
        </is>
      </c>
      <c r="G228" s="215" t="n">
        <v>2002</v>
      </c>
      <c r="H228" s="215">
        <f>C228-G228</f>
        <v/>
      </c>
      <c r="I228" s="215" t="inlineStr">
        <is>
          <t>Jonathan EU Jin Tan</t>
        </is>
      </c>
      <c r="J228" s="215" t="inlineStr">
        <is>
          <t>Stanford</t>
        </is>
      </c>
      <c r="K228" s="215" t="inlineStr">
        <is>
          <t>USA</t>
        </is>
      </c>
      <c r="L228" s="217" t="n"/>
    </row>
    <row r="229">
      <c r="A229" s="220" t="inlineStr">
        <is>
          <t>M</t>
        </is>
      </c>
      <c r="B229" s="211" t="inlineStr">
        <is>
          <t>800 Free Relay</t>
        </is>
      </c>
      <c r="C229" s="190" t="n">
        <v>2023</v>
      </c>
      <c r="D229" s="211" t="inlineStr">
        <is>
          <t>VIE</t>
        </is>
      </c>
      <c r="E229" s="221" t="n">
        <v>1</v>
      </c>
      <c r="F229" s="211" t="inlineStr">
        <is>
          <t>7:18.51</t>
        </is>
      </c>
      <c r="G229" s="211" t="n"/>
      <c r="H229" s="211" t="n"/>
      <c r="I229" s="211" t="n"/>
      <c r="J229" s="211" t="n"/>
      <c r="K229" s="211" t="n"/>
      <c r="L229" s="213" t="n"/>
    </row>
    <row r="230">
      <c r="A230" s="218" t="inlineStr">
        <is>
          <t>F</t>
        </is>
      </c>
      <c r="B230" s="215" t="inlineStr">
        <is>
          <t>100 Back</t>
        </is>
      </c>
      <c r="C230" s="189" t="n">
        <v>2022</v>
      </c>
      <c r="D230" s="215" t="inlineStr">
        <is>
          <t>PHI</t>
        </is>
      </c>
      <c r="E230" s="219" t="n">
        <v>3</v>
      </c>
      <c r="F230" s="215" t="inlineStr">
        <is>
          <t>1:03.86</t>
        </is>
      </c>
      <c r="G230" s="215" t="n">
        <v>1998</v>
      </c>
      <c r="H230" s="195">
        <f>C230-G230</f>
        <v/>
      </c>
      <c r="I230" s="215" t="inlineStr">
        <is>
          <t>Geriane Taguba Jessica Joy</t>
        </is>
      </c>
      <c r="J230" s="215" t="inlineStr">
        <is>
          <t>Notre Dame</t>
        </is>
      </c>
      <c r="K230" s="215" t="inlineStr">
        <is>
          <t>USA</t>
        </is>
      </c>
      <c r="L230" s="217" t="inlineStr">
        <is>
          <t>USA</t>
        </is>
      </c>
    </row>
    <row r="231">
      <c r="A231" s="220" t="inlineStr">
        <is>
          <t>F</t>
        </is>
      </c>
      <c r="B231" s="211" t="inlineStr">
        <is>
          <t>100 Breast</t>
        </is>
      </c>
      <c r="C231" s="190" t="n">
        <v>2022</v>
      </c>
      <c r="D231" s="211" t="inlineStr">
        <is>
          <t>SGP</t>
        </is>
      </c>
      <c r="E231" s="221" t="n">
        <v>3</v>
      </c>
      <c r="F231" s="211" t="inlineStr">
        <is>
          <t>1:10.29</t>
        </is>
      </c>
      <c r="G231" s="211" t="n">
        <v>2000</v>
      </c>
      <c r="H231" s="196">
        <f>C231-G231</f>
        <v/>
      </c>
      <c r="I231" s="613" t="inlineStr">
        <is>
          <t>Christie CHUE</t>
        </is>
      </c>
      <c r="J231" s="211" t="inlineStr">
        <is>
          <t>FIU</t>
        </is>
      </c>
      <c r="K231" s="211" t="inlineStr">
        <is>
          <t>USA</t>
        </is>
      </c>
      <c r="L231" s="213" t="n"/>
    </row>
    <row r="232">
      <c r="A232" s="218" t="inlineStr">
        <is>
          <t>F</t>
        </is>
      </c>
      <c r="B232" s="215" t="inlineStr">
        <is>
          <t>100 Fly</t>
        </is>
      </c>
      <c r="C232" s="189" t="n">
        <v>2022</v>
      </c>
      <c r="D232" s="215" t="inlineStr">
        <is>
          <t>THA</t>
        </is>
      </c>
      <c r="E232" s="219" t="n">
        <v>3</v>
      </c>
      <c r="F232" s="215" t="inlineStr">
        <is>
          <t>1:01.15</t>
        </is>
      </c>
      <c r="G232" s="215" t="n">
        <v>1993</v>
      </c>
      <c r="H232" s="211">
        <f>C232-G232</f>
        <v/>
      </c>
      <c r="I232" s="215" t="inlineStr">
        <is>
          <t>Jasmine Alkhaldi</t>
        </is>
      </c>
      <c r="J232" s="215" t="inlineStr">
        <is>
          <t>Hawaii</t>
        </is>
      </c>
      <c r="K232" s="215" t="inlineStr">
        <is>
          <t>USA</t>
        </is>
      </c>
      <c r="L232" s="217" t="n"/>
    </row>
    <row r="233">
      <c r="A233" s="220" t="inlineStr">
        <is>
          <t>F</t>
        </is>
      </c>
      <c r="B233" s="211" t="inlineStr">
        <is>
          <t>100 Free</t>
        </is>
      </c>
      <c r="C233" s="190" t="n">
        <v>2022</v>
      </c>
      <c r="D233" s="211" t="inlineStr">
        <is>
          <t>PHI</t>
        </is>
      </c>
      <c r="E233" s="221" t="n">
        <v>3</v>
      </c>
      <c r="F233" s="211" t="inlineStr">
        <is>
          <t>56.95</t>
        </is>
      </c>
      <c r="G233" s="211" t="n">
        <v>2001</v>
      </c>
      <c r="H233" s="197">
        <f>C233-G233</f>
        <v/>
      </c>
      <c r="I233" s="211" t="inlineStr">
        <is>
          <t>Renner Toc Miranda Cristina</t>
        </is>
      </c>
      <c r="J233" s="211" t="inlineStr">
        <is>
          <t>UCSD</t>
        </is>
      </c>
      <c r="K233" s="211" t="inlineStr">
        <is>
          <t>USA</t>
        </is>
      </c>
      <c r="L233" s="213" t="inlineStr">
        <is>
          <t>USA</t>
        </is>
      </c>
    </row>
    <row r="234">
      <c r="A234" s="218" t="inlineStr">
        <is>
          <t>F</t>
        </is>
      </c>
      <c r="B234" s="215" t="inlineStr">
        <is>
          <t>200 Back</t>
        </is>
      </c>
      <c r="C234" s="189" t="n">
        <v>2022</v>
      </c>
      <c r="D234" s="215" t="inlineStr">
        <is>
          <t>THA</t>
        </is>
      </c>
      <c r="E234" s="219" t="n">
        <v>3</v>
      </c>
      <c r="F234" s="215" t="inlineStr">
        <is>
          <t>2:19.90</t>
        </is>
      </c>
      <c r="G234" s="215" t="n">
        <v>2007</v>
      </c>
      <c r="H234" s="215">
        <f>C234-G234</f>
        <v/>
      </c>
      <c r="I234" s="215" t="inlineStr">
        <is>
          <t>Millar Mia</t>
        </is>
      </c>
      <c r="J234" s="215" t="n"/>
      <c r="K234" s="215" t="n"/>
      <c r="L234" s="217" t="n"/>
    </row>
    <row r="235">
      <c r="A235" s="220" t="inlineStr">
        <is>
          <t>F</t>
        </is>
      </c>
      <c r="B235" s="211" t="inlineStr">
        <is>
          <t>200 Breast</t>
        </is>
      </c>
      <c r="C235" s="190" t="n">
        <v>2022</v>
      </c>
      <c r="D235" s="211" t="inlineStr">
        <is>
          <t>SGP</t>
        </is>
      </c>
      <c r="E235" s="221" t="n">
        <v>3</v>
      </c>
      <c r="F235" s="211" t="inlineStr">
        <is>
          <t>2:31.97</t>
        </is>
      </c>
      <c r="G235" s="196" t="n">
        <v>2003</v>
      </c>
      <c r="H235" s="195">
        <f>C235-G235</f>
        <v/>
      </c>
      <c r="I235" s="198" t="inlineStr">
        <is>
          <t>Letitia EN YI Sim</t>
        </is>
      </c>
      <c r="J235" s="198" t="inlineStr">
        <is>
          <t>Michigan</t>
        </is>
      </c>
      <c r="K235" s="198" t="inlineStr">
        <is>
          <t>USA</t>
        </is>
      </c>
      <c r="L235" s="199" t="inlineStr">
        <is>
          <t>USA</t>
        </is>
      </c>
    </row>
    <row r="236">
      <c r="A236" s="218" t="inlineStr">
        <is>
          <t>F</t>
        </is>
      </c>
      <c r="B236" s="215" t="inlineStr">
        <is>
          <t>200 Fly</t>
        </is>
      </c>
      <c r="C236" s="189" t="n">
        <v>2022</v>
      </c>
      <c r="D236" s="215" t="inlineStr">
        <is>
          <t>THA</t>
        </is>
      </c>
      <c r="E236" s="219" t="n">
        <v>3</v>
      </c>
      <c r="F236" s="215" t="inlineStr">
        <is>
          <t>2:14.35</t>
        </is>
      </c>
      <c r="G236" s="195" t="n">
        <v>2005</v>
      </c>
      <c r="H236" s="195">
        <f>C236-G236</f>
        <v/>
      </c>
      <c r="I236" s="200" t="inlineStr">
        <is>
          <t>Kamonchanok Kwanmuang</t>
        </is>
      </c>
      <c r="J236" s="215" t="n"/>
      <c r="K236" s="215" t="n"/>
      <c r="L236" s="217" t="n"/>
    </row>
    <row r="237">
      <c r="A237" s="220" t="inlineStr">
        <is>
          <t>F</t>
        </is>
      </c>
      <c r="B237" s="211" t="inlineStr">
        <is>
          <t>200 Free</t>
        </is>
      </c>
      <c r="C237" s="190" t="n">
        <v>2022</v>
      </c>
      <c r="D237" s="211" t="inlineStr">
        <is>
          <t>SGP</t>
        </is>
      </c>
      <c r="E237" s="221" t="n">
        <v>3</v>
      </c>
      <c r="F237" s="211" t="inlineStr">
        <is>
          <t>2:03.21</t>
        </is>
      </c>
      <c r="G237" s="211" t="n">
        <v>2001</v>
      </c>
      <c r="H237" s="196">
        <f>C237-G237</f>
        <v/>
      </c>
      <c r="I237" s="211" t="inlineStr">
        <is>
          <t>Zi Yi CHAN</t>
        </is>
      </c>
      <c r="J237" s="211" t="n"/>
      <c r="K237" s="211" t="n"/>
      <c r="L237" s="213" t="n"/>
    </row>
    <row r="238">
      <c r="A238" s="218" t="inlineStr">
        <is>
          <t>F</t>
        </is>
      </c>
      <c r="B238" s="215" t="inlineStr">
        <is>
          <t>200 IM</t>
        </is>
      </c>
      <c r="C238" s="189" t="n">
        <v>2022</v>
      </c>
      <c r="D238" s="215" t="inlineStr">
        <is>
          <t>THA</t>
        </is>
      </c>
      <c r="E238" s="219" t="n">
        <v>3</v>
      </c>
      <c r="F238" s="215" t="inlineStr">
        <is>
          <t>2:16.75</t>
        </is>
      </c>
      <c r="G238" s="215" t="n">
        <v>2005</v>
      </c>
      <c r="H238" s="195">
        <f>C238-G238</f>
        <v/>
      </c>
      <c r="I238" s="215" t="inlineStr">
        <is>
          <t>Moji Pholjamjumrus</t>
        </is>
      </c>
      <c r="J238" s="215" t="n"/>
      <c r="K238" s="215" t="n"/>
      <c r="L238" s="217" t="n"/>
    </row>
    <row r="239">
      <c r="A239" s="220" t="inlineStr">
        <is>
          <t>F</t>
        </is>
      </c>
      <c r="B239" s="211" t="inlineStr">
        <is>
          <t>400 Free</t>
        </is>
      </c>
      <c r="C239" s="190" t="n">
        <v>2022</v>
      </c>
      <c r="D239" s="211" t="inlineStr">
        <is>
          <t>VIE</t>
        </is>
      </c>
      <c r="E239" s="221" t="n">
        <v>3</v>
      </c>
      <c r="F239" s="211" t="inlineStr">
        <is>
          <t>4:17.52</t>
        </is>
      </c>
      <c r="G239" s="211" t="n">
        <v>1996</v>
      </c>
      <c r="H239" s="197">
        <f>C239-G239</f>
        <v/>
      </c>
      <c r="I239" s="613" t="inlineStr">
        <is>
          <t>MY Thao LE Thi</t>
        </is>
      </c>
      <c r="J239" s="211" t="n"/>
      <c r="K239" s="211" t="n"/>
      <c r="L239" s="213" t="n"/>
    </row>
    <row r="240">
      <c r="A240" s="218" t="inlineStr">
        <is>
          <t>F</t>
        </is>
      </c>
      <c r="B240" s="215" t="inlineStr">
        <is>
          <t>400 Free Relay</t>
        </is>
      </c>
      <c r="C240" s="189" t="n">
        <v>2022</v>
      </c>
      <c r="D240" s="215" t="inlineStr">
        <is>
          <t>IND</t>
        </is>
      </c>
      <c r="E240" s="219" t="n">
        <v>3</v>
      </c>
      <c r="F240" s="215" t="inlineStr">
        <is>
          <t>3:51.57</t>
        </is>
      </c>
      <c r="G240" s="215" t="n"/>
      <c r="H240" s="215" t="n"/>
      <c r="I240" s="215" t="n"/>
      <c r="J240" s="215" t="n"/>
      <c r="K240" s="215" t="n"/>
      <c r="L240" s="217" t="n"/>
    </row>
    <row r="241">
      <c r="A241" s="220" t="inlineStr">
        <is>
          <t>F</t>
        </is>
      </c>
      <c r="B241" s="211" t="inlineStr">
        <is>
          <t>400 IM</t>
        </is>
      </c>
      <c r="C241" s="190" t="n">
        <v>2022</v>
      </c>
      <c r="D241" s="211" t="inlineStr">
        <is>
          <t>IND</t>
        </is>
      </c>
      <c r="E241" s="221" t="n">
        <v>3</v>
      </c>
      <c r="F241" s="211" t="inlineStr">
        <is>
          <t>4:56.42</t>
        </is>
      </c>
      <c r="G241" s="211" t="n">
        <v>2002</v>
      </c>
      <c r="H241" s="195">
        <f>C241-G241</f>
        <v/>
      </c>
      <c r="I241" s="211" t="inlineStr">
        <is>
          <t>Azzahra PERMATAHANI</t>
        </is>
      </c>
      <c r="J241" s="211" t="n"/>
      <c r="K241" s="211" t="n"/>
      <c r="L241" s="213" t="n"/>
    </row>
    <row r="242">
      <c r="A242" s="218" t="inlineStr">
        <is>
          <t>F</t>
        </is>
      </c>
      <c r="B242" s="215" t="inlineStr">
        <is>
          <t>400 Medley Relay</t>
        </is>
      </c>
      <c r="C242" s="189" t="n">
        <v>2022</v>
      </c>
      <c r="D242" s="215" t="inlineStr">
        <is>
          <t>THA</t>
        </is>
      </c>
      <c r="E242" s="219" t="n">
        <v>3</v>
      </c>
      <c r="F242" s="215" t="inlineStr">
        <is>
          <t>4:15.33</t>
        </is>
      </c>
      <c r="G242" s="215" t="n"/>
      <c r="H242" s="215" t="n"/>
      <c r="I242" s="215" t="n"/>
      <c r="J242" s="215" t="n"/>
      <c r="K242" s="215" t="n"/>
      <c r="L242" s="217" t="n"/>
    </row>
    <row r="243">
      <c r="A243" s="220" t="inlineStr">
        <is>
          <t>F</t>
        </is>
      </c>
      <c r="B243" s="211" t="inlineStr">
        <is>
          <t>50 Back</t>
        </is>
      </c>
      <c r="C243" s="190" t="n">
        <v>2022</v>
      </c>
      <c r="D243" s="211" t="inlineStr">
        <is>
          <t>IND</t>
        </is>
      </c>
      <c r="E243" s="221" t="n">
        <v>3</v>
      </c>
      <c r="F243" s="211" t="inlineStr">
        <is>
          <t>29.21</t>
        </is>
      </c>
      <c r="G243" s="211" t="n">
        <v>1998</v>
      </c>
      <c r="H243" s="196">
        <f>C243-G243</f>
        <v/>
      </c>
      <c r="I243" s="211" t="inlineStr">
        <is>
          <t>Anak Agung Istri Kania RATIH</t>
        </is>
      </c>
      <c r="J243" s="211" t="n"/>
      <c r="K243" s="211" t="n"/>
      <c r="L243" s="213" t="n"/>
    </row>
    <row r="244">
      <c r="A244" s="218" t="inlineStr">
        <is>
          <t>F</t>
        </is>
      </c>
      <c r="B244" s="215" t="inlineStr">
        <is>
          <t>50 Breast</t>
        </is>
      </c>
      <c r="C244" s="189" t="n">
        <v>2022</v>
      </c>
      <c r="D244" s="215" t="inlineStr">
        <is>
          <t>SGP</t>
        </is>
      </c>
      <c r="E244" s="219" t="n">
        <v>3</v>
      </c>
      <c r="F244" s="215" t="inlineStr">
        <is>
          <t>32.1</t>
        </is>
      </c>
      <c r="G244" s="215" t="n">
        <v>2000</v>
      </c>
      <c r="H244" s="215">
        <f>C244-G244</f>
        <v/>
      </c>
      <c r="I244" s="215" t="inlineStr">
        <is>
          <t>Christie May Mun EE Chue</t>
        </is>
      </c>
      <c r="J244" s="215" t="inlineStr">
        <is>
          <t>FIU</t>
        </is>
      </c>
      <c r="K244" s="215" t="inlineStr">
        <is>
          <t>USA</t>
        </is>
      </c>
      <c r="L244" s="217" t="n"/>
    </row>
    <row r="245">
      <c r="A245" s="220" t="inlineStr">
        <is>
          <t>F</t>
        </is>
      </c>
      <c r="B245" s="211" t="inlineStr">
        <is>
          <t>50 Fly</t>
        </is>
      </c>
      <c r="C245" s="190" t="n">
        <v>2022</v>
      </c>
      <c r="D245" s="211" t="inlineStr">
        <is>
          <t>SGP</t>
        </is>
      </c>
      <c r="E245" s="221" t="n">
        <v>3</v>
      </c>
      <c r="F245" s="211" t="inlineStr">
        <is>
          <t>26.98</t>
        </is>
      </c>
      <c r="G245" s="197" t="n">
        <v>1994</v>
      </c>
      <c r="H245" s="197">
        <f>C245-G245</f>
        <v/>
      </c>
      <c r="I245" s="201" t="inlineStr">
        <is>
          <t>Jing Wen Quah</t>
        </is>
      </c>
      <c r="J245" s="201" t="inlineStr">
        <is>
          <t>A&amp;M</t>
        </is>
      </c>
      <c r="K245" s="201" t="inlineStr">
        <is>
          <t>USA</t>
        </is>
      </c>
      <c r="L245" s="213" t="n"/>
    </row>
    <row r="246">
      <c r="A246" s="218" t="inlineStr">
        <is>
          <t>F</t>
        </is>
      </c>
      <c r="B246" s="215" t="inlineStr">
        <is>
          <t>50 Free</t>
        </is>
      </c>
      <c r="C246" s="189" t="n">
        <v>2022</v>
      </c>
      <c r="D246" s="215" t="inlineStr">
        <is>
          <t>SGP</t>
        </is>
      </c>
      <c r="E246" s="219" t="n">
        <v>3</v>
      </c>
      <c r="F246" s="215" t="inlineStr">
        <is>
          <t>25.49</t>
        </is>
      </c>
      <c r="G246" s="195" t="n">
        <v>1992</v>
      </c>
      <c r="H246" s="195">
        <f>C246-G246</f>
        <v/>
      </c>
      <c r="I246" s="200" t="inlineStr">
        <is>
          <t>Ting Wen Quah</t>
        </is>
      </c>
      <c r="J246" s="200" t="inlineStr">
        <is>
          <t>UCLA</t>
        </is>
      </c>
      <c r="K246" s="200" t="inlineStr">
        <is>
          <t>USA</t>
        </is>
      </c>
      <c r="L246" s="217" t="n"/>
    </row>
    <row r="247">
      <c r="A247" s="220" t="inlineStr">
        <is>
          <t>F</t>
        </is>
      </c>
      <c r="B247" s="211" t="inlineStr">
        <is>
          <t>800 Free</t>
        </is>
      </c>
      <c r="C247" s="190" t="n">
        <v>2022</v>
      </c>
      <c r="D247" s="211" t="inlineStr">
        <is>
          <t>SGP</t>
        </is>
      </c>
      <c r="E247" s="221" t="n">
        <v>3</v>
      </c>
      <c r="F247" s="211" t="inlineStr">
        <is>
          <t>8:58.98</t>
        </is>
      </c>
      <c r="G247" s="197" t="n">
        <v>2005</v>
      </c>
      <c r="H247" s="197">
        <f>C247-G247</f>
        <v/>
      </c>
      <c r="I247" s="201" t="inlineStr">
        <is>
          <t>Ashley Yi-Xuan Lim</t>
        </is>
      </c>
      <c r="J247" s="211" t="n"/>
      <c r="K247" s="211" t="n"/>
      <c r="L247" s="213" t="n"/>
    </row>
    <row r="248">
      <c r="A248" s="218" t="inlineStr">
        <is>
          <t>F</t>
        </is>
      </c>
      <c r="B248" s="215" t="inlineStr">
        <is>
          <t>800 Free Relay</t>
        </is>
      </c>
      <c r="C248" s="189" t="n">
        <v>2022</v>
      </c>
      <c r="D248" s="215" t="inlineStr">
        <is>
          <t>IND</t>
        </is>
      </c>
      <c r="E248" s="219" t="n">
        <v>3</v>
      </c>
      <c r="F248" s="215" t="inlineStr">
        <is>
          <t>8:26.24</t>
        </is>
      </c>
      <c r="G248" s="215" t="n"/>
      <c r="H248" s="215" t="n"/>
      <c r="I248" s="215" t="n"/>
      <c r="J248" s="215" t="n"/>
      <c r="K248" s="215" t="n"/>
      <c r="L248" s="217" t="n"/>
    </row>
    <row r="249">
      <c r="A249" s="220" t="inlineStr">
        <is>
          <t>M</t>
        </is>
      </c>
      <c r="B249" s="211" t="inlineStr">
        <is>
          <t>100 Back</t>
        </is>
      </c>
      <c r="C249" s="190" t="n">
        <v>2022</v>
      </c>
      <c r="D249" s="211" t="inlineStr">
        <is>
          <t>IND</t>
        </is>
      </c>
      <c r="E249" s="221" t="n">
        <v>3</v>
      </c>
      <c r="F249" s="211" t="inlineStr">
        <is>
          <t>56.21</t>
        </is>
      </c>
      <c r="G249" s="197" t="n">
        <v>2001</v>
      </c>
      <c r="H249" s="202">
        <f>C249-G249</f>
        <v/>
      </c>
      <c r="I249" s="201" t="inlineStr">
        <is>
          <t>Farrel Armandio Tangkas</t>
        </is>
      </c>
      <c r="J249" s="211" t="n"/>
      <c r="K249" s="211" t="n"/>
      <c r="L249" s="213" t="n"/>
    </row>
    <row r="250">
      <c r="A250" s="218" t="inlineStr">
        <is>
          <t>M</t>
        </is>
      </c>
      <c r="B250" s="215" t="inlineStr">
        <is>
          <t>100 Breast</t>
        </is>
      </c>
      <c r="C250" s="189" t="n">
        <v>2022</v>
      </c>
      <c r="D250" s="215" t="inlineStr">
        <is>
          <t>IND</t>
        </is>
      </c>
      <c r="E250" s="219" t="n">
        <v>3</v>
      </c>
      <c r="F250" s="215" t="inlineStr">
        <is>
          <t>1:02.74</t>
        </is>
      </c>
      <c r="G250" s="211" t="n">
        <v>1995</v>
      </c>
      <c r="H250" s="197">
        <f>C250-G250</f>
        <v/>
      </c>
      <c r="I250" s="211" t="inlineStr">
        <is>
          <t>Gagarin Nathaniel</t>
        </is>
      </c>
      <c r="J250" s="215" t="n"/>
      <c r="K250" s="215" t="n"/>
      <c r="L250" s="217" t="n"/>
    </row>
    <row r="251">
      <c r="A251" s="220" t="inlineStr">
        <is>
          <t>M</t>
        </is>
      </c>
      <c r="B251" s="211" t="inlineStr">
        <is>
          <t>100 Fly</t>
        </is>
      </c>
      <c r="C251" s="190" t="n">
        <v>2022</v>
      </c>
      <c r="D251" s="211" t="inlineStr">
        <is>
          <t>THA</t>
        </is>
      </c>
      <c r="E251" s="221" t="n">
        <v>3</v>
      </c>
      <c r="F251" s="211" t="inlineStr">
        <is>
          <t>52.98</t>
        </is>
      </c>
      <c r="G251" s="211" t="n">
        <v>1997</v>
      </c>
      <c r="H251" s="196">
        <f>C251-G251</f>
        <v/>
      </c>
      <c r="I251" s="211" t="inlineStr">
        <is>
          <t>Navaphat WONGCHAROEN</t>
        </is>
      </c>
      <c r="J251" s="211" t="n"/>
      <c r="K251" s="211" t="n"/>
      <c r="L251" s="213" t="n"/>
    </row>
    <row r="252">
      <c r="A252" s="218" t="inlineStr">
        <is>
          <t>M</t>
        </is>
      </c>
      <c r="B252" s="215" t="inlineStr">
        <is>
          <t>1500 Free</t>
        </is>
      </c>
      <c r="C252" s="189" t="n">
        <v>2022</v>
      </c>
      <c r="D252" s="215" t="inlineStr">
        <is>
          <t>THA</t>
        </is>
      </c>
      <c r="E252" s="219" t="n">
        <v>3</v>
      </c>
      <c r="F252" s="215" t="inlineStr">
        <is>
          <t>15:33.54</t>
        </is>
      </c>
      <c r="G252" s="197" t="n">
        <v>2005</v>
      </c>
      <c r="H252" s="202">
        <f>C252-G252</f>
        <v/>
      </c>
      <c r="I252" s="201" t="inlineStr">
        <is>
          <t>Tonnam Kanteemool</t>
        </is>
      </c>
      <c r="J252" s="215" t="n"/>
      <c r="K252" s="215" t="n"/>
      <c r="L252" s="217" t="n"/>
    </row>
    <row r="253">
      <c r="A253" s="220" t="inlineStr">
        <is>
          <t>M</t>
        </is>
      </c>
      <c r="B253" s="211" t="inlineStr">
        <is>
          <t>200 Back</t>
        </is>
      </c>
      <c r="C253" s="190" t="n">
        <v>2022</v>
      </c>
      <c r="D253" s="211" t="inlineStr">
        <is>
          <t>IND</t>
        </is>
      </c>
      <c r="E253" s="221" t="n">
        <v>3</v>
      </c>
      <c r="F253" s="211" t="inlineStr">
        <is>
          <t>2:01.80</t>
        </is>
      </c>
      <c r="G253" s="196" t="n">
        <v>2001</v>
      </c>
      <c r="H253" s="195">
        <f>C253-G253</f>
        <v/>
      </c>
      <c r="I253" s="198" t="inlineStr">
        <is>
          <t>Farrel Armandio Tangkas</t>
        </is>
      </c>
      <c r="J253" s="211" t="n"/>
      <c r="K253" s="211" t="n"/>
      <c r="L253" s="213" t="n"/>
    </row>
    <row r="254">
      <c r="A254" s="218" t="inlineStr">
        <is>
          <t>M</t>
        </is>
      </c>
      <c r="B254" s="215" t="inlineStr">
        <is>
          <t>200 Breast</t>
        </is>
      </c>
      <c r="C254" s="189" t="n">
        <v>2022</v>
      </c>
      <c r="D254" s="215" t="inlineStr">
        <is>
          <t>MAS</t>
        </is>
      </c>
      <c r="E254" s="219" t="n">
        <v>3</v>
      </c>
      <c r="F254" s="215" t="inlineStr">
        <is>
          <t>2:17.68</t>
        </is>
      </c>
      <c r="G254" s="215" t="n">
        <v>2000</v>
      </c>
      <c r="H254" s="202">
        <f>C254-G254</f>
        <v/>
      </c>
      <c r="I254" s="215" t="inlineStr">
        <is>
          <t>Job XI Jay Tan</t>
        </is>
      </c>
      <c r="J254" s="215" t="n"/>
      <c r="K254" s="215" t="n"/>
      <c r="L254" s="217" t="n"/>
    </row>
    <row r="255">
      <c r="A255" s="220" t="inlineStr">
        <is>
          <t>M</t>
        </is>
      </c>
      <c r="B255" s="211" t="inlineStr">
        <is>
          <t>200 Fly</t>
        </is>
      </c>
      <c r="C255" s="190" t="n">
        <v>2022</v>
      </c>
      <c r="D255" s="211" t="inlineStr">
        <is>
          <t>SGP</t>
        </is>
      </c>
      <c r="E255" s="221" t="n">
        <v>3</v>
      </c>
      <c r="F255" s="211" t="inlineStr">
        <is>
          <t>1:59.33</t>
        </is>
      </c>
      <c r="G255" s="211" t="n">
        <v>2001</v>
      </c>
      <c r="H255" s="196">
        <f>C255-G255</f>
        <v/>
      </c>
      <c r="I255" s="211" t="inlineStr">
        <is>
          <t>Jung Yi Ong</t>
        </is>
      </c>
      <c r="J255" s="211" t="n"/>
      <c r="K255" s="211" t="n"/>
      <c r="L255" s="213" t="n"/>
    </row>
    <row r="256">
      <c r="A256" s="218" t="inlineStr">
        <is>
          <t>M</t>
        </is>
      </c>
      <c r="B256" s="215" t="inlineStr">
        <is>
          <t>200 Free</t>
        </is>
      </c>
      <c r="C256" s="189" t="n">
        <v>2022</v>
      </c>
      <c r="D256" s="215" t="inlineStr">
        <is>
          <t>VIE</t>
        </is>
      </c>
      <c r="E256" s="219" t="n">
        <v>3</v>
      </c>
      <c r="F256" s="215" t="inlineStr">
        <is>
          <t>1:49.35</t>
        </is>
      </c>
      <c r="G256" s="215" t="n">
        <v>1993</v>
      </c>
      <c r="H256" s="195">
        <f>C256-G256</f>
        <v/>
      </c>
      <c r="I256" s="215" t="inlineStr">
        <is>
          <t>Quy Phuoc HOANG</t>
        </is>
      </c>
      <c r="J256" s="215" t="n"/>
      <c r="K256" s="215" t="n"/>
      <c r="L256" s="217" t="n"/>
    </row>
    <row r="257">
      <c r="A257" s="220" t="inlineStr">
        <is>
          <t>M</t>
        </is>
      </c>
      <c r="B257" s="211" t="inlineStr">
        <is>
          <t>200 IM</t>
        </is>
      </c>
      <c r="C257" s="190" t="n">
        <v>2022</v>
      </c>
      <c r="D257" s="211" t="inlineStr">
        <is>
          <t>SGP</t>
        </is>
      </c>
      <c r="E257" s="221" t="n">
        <v>3</v>
      </c>
      <c r="F257" s="211" t="inlineStr">
        <is>
          <t>2:03.73</t>
        </is>
      </c>
      <c r="G257" s="196" t="n">
        <v>2001</v>
      </c>
      <c r="H257" s="196">
        <f>C257-G257</f>
        <v/>
      </c>
      <c r="I257" s="198" t="inlineStr">
        <is>
          <t>Maximillan Wei Ang</t>
        </is>
      </c>
      <c r="J257" s="211" t="n"/>
      <c r="K257" s="211" t="n"/>
      <c r="L257" s="213" t="n"/>
    </row>
    <row r="258">
      <c r="A258" s="218" t="inlineStr">
        <is>
          <t>M</t>
        </is>
      </c>
      <c r="B258" s="215" t="inlineStr">
        <is>
          <t>400 Free</t>
        </is>
      </c>
      <c r="C258" s="189" t="n">
        <v>2022</v>
      </c>
      <c r="D258" s="215" t="inlineStr">
        <is>
          <t>SGP</t>
        </is>
      </c>
      <c r="E258" s="219" t="n">
        <v>3</v>
      </c>
      <c r="F258" s="215" t="inlineStr">
        <is>
          <t>3:56.68</t>
        </is>
      </c>
      <c r="G258" s="196" t="n">
        <v>2002</v>
      </c>
      <c r="H258" s="196">
        <f>C258-G258</f>
        <v/>
      </c>
      <c r="I258" s="198" t="inlineStr">
        <is>
          <t>Glen Jun Wei Lim</t>
        </is>
      </c>
      <c r="J258" s="215" t="n"/>
      <c r="K258" s="215" t="n"/>
      <c r="L258" s="217" t="n"/>
    </row>
    <row r="259">
      <c r="A259" s="220" t="inlineStr">
        <is>
          <t>M</t>
        </is>
      </c>
      <c r="B259" s="211" t="inlineStr">
        <is>
          <t>400 Free Relay</t>
        </is>
      </c>
      <c r="C259" s="190" t="n">
        <v>2022</v>
      </c>
      <c r="D259" s="211" t="inlineStr">
        <is>
          <t>THA</t>
        </is>
      </c>
      <c r="E259" s="221" t="n">
        <v>3</v>
      </c>
      <c r="F259" s="211" t="inlineStr">
        <is>
          <t>3:24.28</t>
        </is>
      </c>
      <c r="G259" s="211" t="n"/>
      <c r="H259" s="215" t="n"/>
      <c r="I259" s="211" t="n"/>
      <c r="J259" s="211" t="n"/>
      <c r="K259" s="211" t="n"/>
      <c r="L259" s="213" t="n"/>
    </row>
    <row r="260">
      <c r="A260" s="218" t="inlineStr">
        <is>
          <t>M</t>
        </is>
      </c>
      <c r="B260" s="215" t="inlineStr">
        <is>
          <t>400 IM</t>
        </is>
      </c>
      <c r="C260" s="189" t="n">
        <v>2022</v>
      </c>
      <c r="D260" s="215" t="inlineStr">
        <is>
          <t>IND</t>
        </is>
      </c>
      <c r="E260" s="219" t="n">
        <v>3</v>
      </c>
      <c r="F260" s="215" t="inlineStr">
        <is>
          <t>4:23.43</t>
        </is>
      </c>
      <c r="G260" s="215" t="n">
        <v>1997</v>
      </c>
      <c r="H260" s="202">
        <f>C260-G260</f>
        <v/>
      </c>
      <c r="I260" s="215" t="inlineStr">
        <is>
          <t>Aflah Fadlan PRAWIRA</t>
        </is>
      </c>
      <c r="J260" s="215" t="n"/>
      <c r="K260" s="215" t="n"/>
      <c r="L260" s="217" t="n"/>
    </row>
    <row r="261">
      <c r="A261" s="220" t="inlineStr">
        <is>
          <t>M</t>
        </is>
      </c>
      <c r="B261" s="211" t="inlineStr">
        <is>
          <t>400 Medley Relay</t>
        </is>
      </c>
      <c r="C261" s="190" t="n">
        <v>2022</v>
      </c>
      <c r="D261" s="211" t="inlineStr">
        <is>
          <t>THA</t>
        </is>
      </c>
      <c r="E261" s="221" t="n">
        <v>3</v>
      </c>
      <c r="F261" s="211" t="inlineStr">
        <is>
          <t>3:43.67</t>
        </is>
      </c>
      <c r="G261" s="211" t="n"/>
      <c r="H261" s="211" t="n"/>
      <c r="I261" s="211" t="n"/>
      <c r="J261" s="211" t="n"/>
      <c r="K261" s="211" t="n"/>
      <c r="L261" s="213" t="n"/>
    </row>
    <row r="262">
      <c r="A262" s="218" t="inlineStr">
        <is>
          <t>M</t>
        </is>
      </c>
      <c r="B262" s="215" t="inlineStr">
        <is>
          <t>50 Back</t>
        </is>
      </c>
      <c r="C262" s="189" t="n">
        <v>2022</v>
      </c>
      <c r="D262" s="215" t="inlineStr">
        <is>
          <t>IND</t>
        </is>
      </c>
      <c r="E262" s="219" t="n">
        <v>3</v>
      </c>
      <c r="F262" s="215" t="inlineStr">
        <is>
          <t>25.88</t>
        </is>
      </c>
      <c r="G262" s="215" t="n">
        <v>1994</v>
      </c>
      <c r="H262" s="202">
        <f>C262-G262</f>
        <v/>
      </c>
      <c r="I262" s="215" t="inlineStr">
        <is>
          <t>Siman SUDARTAWA I</t>
        </is>
      </c>
      <c r="J262" s="215" t="n"/>
      <c r="K262" s="215" t="n"/>
      <c r="L262" s="217" t="n"/>
    </row>
    <row r="263">
      <c r="A263" s="220" t="inlineStr">
        <is>
          <t>M</t>
        </is>
      </c>
      <c r="B263" s="211" t="inlineStr">
        <is>
          <t>50 Breast</t>
        </is>
      </c>
      <c r="C263" s="190" t="n">
        <v>2022</v>
      </c>
      <c r="D263" s="211" t="inlineStr">
        <is>
          <t>SGP</t>
        </is>
      </c>
      <c r="E263" s="221" t="n">
        <v>3</v>
      </c>
      <c r="F263" s="211" t="inlineStr">
        <is>
          <t>28.32</t>
        </is>
      </c>
      <c r="G263" s="196" t="n">
        <v>2001</v>
      </c>
      <c r="H263" s="196">
        <f>C263-G263</f>
        <v/>
      </c>
      <c r="I263" s="198" t="inlineStr">
        <is>
          <t>Maximillan Wei Ang</t>
        </is>
      </c>
      <c r="J263" s="211" t="n"/>
      <c r="K263" s="211" t="n"/>
      <c r="L263" s="213" t="n"/>
    </row>
    <row r="264">
      <c r="A264" s="218" t="inlineStr">
        <is>
          <t>M</t>
        </is>
      </c>
      <c r="B264" s="215" t="inlineStr">
        <is>
          <t>50 Fly</t>
        </is>
      </c>
      <c r="C264" s="189" t="n">
        <v>2022</v>
      </c>
      <c r="D264" s="215" t="inlineStr">
        <is>
          <t>IND</t>
        </is>
      </c>
      <c r="E264" s="219" t="n">
        <v>3</v>
      </c>
      <c r="F264" s="215" t="inlineStr">
        <is>
          <t>24.30</t>
        </is>
      </c>
      <c r="G264" s="215" t="n">
        <v>1989</v>
      </c>
      <c r="H264" s="196">
        <f>C264-G264</f>
        <v/>
      </c>
      <c r="I264" s="215" t="inlineStr">
        <is>
          <t>Glenn Victor SUTANTO</t>
        </is>
      </c>
      <c r="J264" s="215" t="n"/>
      <c r="K264" s="215" t="n"/>
      <c r="L264" s="217" t="n"/>
    </row>
    <row r="265">
      <c r="A265" s="220" t="inlineStr">
        <is>
          <t>M</t>
        </is>
      </c>
      <c r="B265" s="211" t="inlineStr">
        <is>
          <t>50 Free</t>
        </is>
      </c>
      <c r="C265" s="190" t="n">
        <v>2022</v>
      </c>
      <c r="D265" s="211" t="inlineStr">
        <is>
          <t>VIE</t>
        </is>
      </c>
      <c r="E265" s="221" t="n">
        <v>3</v>
      </c>
      <c r="F265" s="211" t="inlineStr">
        <is>
          <t>22.85</t>
        </is>
      </c>
      <c r="G265" s="197" t="n">
        <v>2000</v>
      </c>
      <c r="H265" s="197">
        <f>C265-G265</f>
        <v/>
      </c>
      <c r="I265" s="201" t="inlineStr">
        <is>
          <t>Jeremie Loic Nino Luong</t>
        </is>
      </c>
      <c r="J265" s="201" t="inlineStr">
        <is>
          <t>Michigan</t>
        </is>
      </c>
      <c r="K265" s="201" t="inlineStr">
        <is>
          <t>USA</t>
        </is>
      </c>
      <c r="L265" s="203" t="inlineStr">
        <is>
          <t>France (10)</t>
        </is>
      </c>
    </row>
    <row r="266">
      <c r="A266" s="218" t="inlineStr">
        <is>
          <t>M</t>
        </is>
      </c>
      <c r="B266" s="215" t="inlineStr">
        <is>
          <t>800 Free Relay</t>
        </is>
      </c>
      <c r="C266" s="189" t="n">
        <v>2022</v>
      </c>
      <c r="D266" s="215" t="inlineStr">
        <is>
          <t>SGP</t>
        </is>
      </c>
      <c r="E266" s="219" t="n">
        <v>3</v>
      </c>
      <c r="F266" s="215" t="inlineStr">
        <is>
          <t>7:21.49</t>
        </is>
      </c>
      <c r="G266" s="215" t="n"/>
      <c r="H266" s="215" t="n"/>
      <c r="I266" s="215" t="n"/>
      <c r="J266" s="215" t="n"/>
      <c r="K266" s="215" t="n"/>
      <c r="L266" s="217" t="n"/>
    </row>
    <row r="267">
      <c r="A267" s="220" t="inlineStr">
        <is>
          <t>F</t>
        </is>
      </c>
      <c r="B267" s="211" t="inlineStr">
        <is>
          <t>100 Back</t>
        </is>
      </c>
      <c r="C267" s="190" t="n">
        <v>2022</v>
      </c>
      <c r="D267" s="211" t="inlineStr">
        <is>
          <t>PHI</t>
        </is>
      </c>
      <c r="E267" s="221" t="n">
        <v>2</v>
      </c>
      <c r="F267" s="211" t="inlineStr">
        <is>
          <t>1:03.78</t>
        </is>
      </c>
      <c r="G267" s="211" t="n">
        <v>1998</v>
      </c>
      <c r="H267" s="211">
        <f>C267-G267</f>
        <v/>
      </c>
      <c r="I267" s="211" t="inlineStr">
        <is>
          <t>Chloe Kennedy Anne Isleta</t>
        </is>
      </c>
      <c r="J267" s="211" t="inlineStr">
        <is>
          <t>ASU</t>
        </is>
      </c>
      <c r="K267" s="211" t="inlineStr">
        <is>
          <t>USA</t>
        </is>
      </c>
      <c r="L267" s="213" t="inlineStr">
        <is>
          <t>USA</t>
        </is>
      </c>
    </row>
    <row r="268">
      <c r="A268" s="218" t="inlineStr">
        <is>
          <t>F</t>
        </is>
      </c>
      <c r="B268" s="215" t="inlineStr">
        <is>
          <t>100 Breast</t>
        </is>
      </c>
      <c r="C268" s="189" t="n">
        <v>2022</v>
      </c>
      <c r="D268" s="215" t="inlineStr">
        <is>
          <t>MAS</t>
        </is>
      </c>
      <c r="E268" s="219" t="n">
        <v>2</v>
      </c>
      <c r="F268" s="215" t="inlineStr">
        <is>
          <t>1:09.60</t>
        </is>
      </c>
      <c r="G268" s="215" t="n">
        <v>1997</v>
      </c>
      <c r="H268" s="215">
        <f>C268-G268</f>
        <v/>
      </c>
      <c r="I268" s="215" t="inlineStr">
        <is>
          <t>Phee Jinq EN</t>
        </is>
      </c>
      <c r="J268" s="215" t="inlineStr">
        <is>
          <t>Purdue</t>
        </is>
      </c>
      <c r="K268" s="215" t="inlineStr">
        <is>
          <t>USA</t>
        </is>
      </c>
      <c r="L268" s="217" t="n"/>
    </row>
    <row r="269">
      <c r="A269" s="220" t="inlineStr">
        <is>
          <t>F</t>
        </is>
      </c>
      <c r="B269" s="211" t="inlineStr">
        <is>
          <t>100 Fly</t>
        </is>
      </c>
      <c r="C269" s="190" t="n">
        <v>2022</v>
      </c>
      <c r="D269" s="211" t="inlineStr">
        <is>
          <t>SGP</t>
        </is>
      </c>
      <c r="E269" s="221" t="n">
        <v>2</v>
      </c>
      <c r="F269" s="211" t="inlineStr">
        <is>
          <t>59.34</t>
        </is>
      </c>
      <c r="G269" s="195" t="n">
        <v>1992</v>
      </c>
      <c r="H269" s="195">
        <f>C269-G269</f>
        <v/>
      </c>
      <c r="I269" s="200" t="inlineStr">
        <is>
          <t>Ting Wen Quah</t>
        </is>
      </c>
      <c r="J269" s="198" t="inlineStr">
        <is>
          <t>UCLA</t>
        </is>
      </c>
      <c r="K269" s="198" t="inlineStr">
        <is>
          <t>USA</t>
        </is>
      </c>
      <c r="L269" s="213" t="n"/>
    </row>
    <row r="270">
      <c r="A270" s="218" t="inlineStr">
        <is>
          <t>F</t>
        </is>
      </c>
      <c r="B270" s="215" t="inlineStr">
        <is>
          <t>100 Free</t>
        </is>
      </c>
      <c r="C270" s="189" t="n">
        <v>2022</v>
      </c>
      <c r="D270" s="215" t="inlineStr">
        <is>
          <t>THA</t>
        </is>
      </c>
      <c r="E270" s="219" t="n">
        <v>2</v>
      </c>
      <c r="F270" s="215" t="inlineStr">
        <is>
          <t>56.62</t>
        </is>
      </c>
      <c r="G270" s="202" t="n">
        <v>1995</v>
      </c>
      <c r="H270" s="202">
        <f>C270-G270</f>
        <v/>
      </c>
      <c r="I270" s="206" t="inlineStr">
        <is>
          <t>Jenjira Srisa-Ard</t>
        </is>
      </c>
      <c r="J270" s="215" t="n"/>
      <c r="K270" s="215" t="n"/>
      <c r="L270" s="217" t="n"/>
    </row>
    <row r="271">
      <c r="A271" s="220" t="inlineStr">
        <is>
          <t>F</t>
        </is>
      </c>
      <c r="B271" s="211" t="inlineStr">
        <is>
          <t>200 Back</t>
        </is>
      </c>
      <c r="C271" s="190" t="n">
        <v>2022</v>
      </c>
      <c r="D271" s="211" t="inlineStr">
        <is>
          <t>IND</t>
        </is>
      </c>
      <c r="E271" s="221" t="n">
        <v>2</v>
      </c>
      <c r="F271" s="211" t="inlineStr">
        <is>
          <t>2:19.79</t>
        </is>
      </c>
      <c r="G271" s="211" t="n">
        <v>1996</v>
      </c>
      <c r="H271" s="215">
        <f>C271-G271</f>
        <v/>
      </c>
      <c r="I271" s="211" t="inlineStr">
        <is>
          <t>Nurul Fajar Fitriati</t>
        </is>
      </c>
      <c r="J271" s="211" t="n"/>
      <c r="K271" s="211" t="n"/>
      <c r="L271" s="213" t="n"/>
    </row>
    <row r="272">
      <c r="A272" s="218" t="inlineStr">
        <is>
          <t>F</t>
        </is>
      </c>
      <c r="B272" s="215" t="inlineStr">
        <is>
          <t>200 Breast</t>
        </is>
      </c>
      <c r="C272" s="189" t="n">
        <v>2022</v>
      </c>
      <c r="D272" s="215" t="inlineStr">
        <is>
          <t>SGP</t>
        </is>
      </c>
      <c r="E272" s="219" t="n">
        <v>2</v>
      </c>
      <c r="F272" s="215" t="inlineStr">
        <is>
          <t>2:31.89</t>
        </is>
      </c>
      <c r="G272" s="215" t="n">
        <v>2000</v>
      </c>
      <c r="H272" s="215">
        <f>C272-G272</f>
        <v/>
      </c>
      <c r="I272" s="215" t="inlineStr">
        <is>
          <t>Christie May Mun EE Chue</t>
        </is>
      </c>
      <c r="J272" s="211" t="inlineStr">
        <is>
          <t>FIU</t>
        </is>
      </c>
      <c r="K272" s="211" t="inlineStr">
        <is>
          <t>USA</t>
        </is>
      </c>
      <c r="L272" s="213" t="n"/>
    </row>
    <row r="273">
      <c r="A273" s="220" t="inlineStr">
        <is>
          <t>F</t>
        </is>
      </c>
      <c r="B273" s="211" t="inlineStr">
        <is>
          <t>200 Fly</t>
        </is>
      </c>
      <c r="C273" s="190" t="n">
        <v>2022</v>
      </c>
      <c r="D273" s="211" t="inlineStr">
        <is>
          <t>VIE</t>
        </is>
      </c>
      <c r="E273" s="221" t="n">
        <v>2</v>
      </c>
      <c r="F273" s="211" t="inlineStr">
        <is>
          <t>2:14.20</t>
        </is>
      </c>
      <c r="G273" s="211" t="n">
        <v>1996</v>
      </c>
      <c r="H273" s="202">
        <f>C273-G273</f>
        <v/>
      </c>
      <c r="I273" s="613" t="inlineStr">
        <is>
          <t>MY Thao LE Thi</t>
        </is>
      </c>
      <c r="J273" s="211" t="n"/>
      <c r="K273" s="211" t="n"/>
      <c r="L273" s="213" t="n"/>
    </row>
    <row r="274">
      <c r="A274" s="218" t="inlineStr">
        <is>
          <t>F</t>
        </is>
      </c>
      <c r="B274" s="215" t="inlineStr">
        <is>
          <t>200 Free</t>
        </is>
      </c>
      <c r="C274" s="189" t="n">
        <v>2022</v>
      </c>
      <c r="D274" s="215" t="inlineStr">
        <is>
          <t>THA</t>
        </is>
      </c>
      <c r="E274" s="219" t="n">
        <v>2</v>
      </c>
      <c r="F274" s="215" t="inlineStr">
        <is>
          <t>2:02.63</t>
        </is>
      </c>
      <c r="G274" s="196" t="n">
        <v>2005</v>
      </c>
      <c r="H274" s="196">
        <f>C274-G274</f>
        <v/>
      </c>
      <c r="I274" s="198" t="inlineStr">
        <is>
          <t>Kamonchanok Kwanmuang</t>
        </is>
      </c>
      <c r="J274" s="215" t="n"/>
      <c r="K274" s="215" t="n"/>
      <c r="L274" s="217" t="n"/>
    </row>
    <row r="275">
      <c r="A275" s="220" t="inlineStr">
        <is>
          <t>F</t>
        </is>
      </c>
      <c r="B275" s="211" t="inlineStr">
        <is>
          <t>200 IM</t>
        </is>
      </c>
      <c r="C275" s="190" t="n">
        <v>2022</v>
      </c>
      <c r="D275" s="211" t="inlineStr">
        <is>
          <t>SGP</t>
        </is>
      </c>
      <c r="E275" s="221" t="n">
        <v>2</v>
      </c>
      <c r="F275" s="211" t="inlineStr">
        <is>
          <t>2:16.61</t>
        </is>
      </c>
      <c r="G275" s="195" t="n">
        <v>2003</v>
      </c>
      <c r="H275" s="195">
        <f>C275-G275</f>
        <v/>
      </c>
      <c r="I275" s="200" t="inlineStr">
        <is>
          <t>Letitia EN YI Sim</t>
        </is>
      </c>
      <c r="J275" s="198" t="inlineStr">
        <is>
          <t>Michigan</t>
        </is>
      </c>
      <c r="K275" s="198" t="inlineStr">
        <is>
          <t>USA</t>
        </is>
      </c>
      <c r="L275" s="199" t="inlineStr">
        <is>
          <t>USA</t>
        </is>
      </c>
    </row>
    <row r="276">
      <c r="A276" s="218" t="inlineStr">
        <is>
          <t>F</t>
        </is>
      </c>
      <c r="B276" s="215" t="inlineStr">
        <is>
          <t>400 Free</t>
        </is>
      </c>
      <c r="C276" s="189" t="n">
        <v>2022</v>
      </c>
      <c r="D276" s="215" t="inlineStr">
        <is>
          <t>THA</t>
        </is>
      </c>
      <c r="E276" s="219" t="n">
        <v>2</v>
      </c>
      <c r="F276" s="215" t="inlineStr">
        <is>
          <t>4:17.13</t>
        </is>
      </c>
      <c r="G276" s="196" t="n">
        <v>2005</v>
      </c>
      <c r="H276" s="196">
        <f>C276-G276</f>
        <v/>
      </c>
      <c r="I276" s="198" t="inlineStr">
        <is>
          <t>Kamonchanok Kwanmuang</t>
        </is>
      </c>
      <c r="J276" s="211" t="n"/>
      <c r="K276" s="211" t="n"/>
      <c r="L276" s="217" t="n"/>
    </row>
    <row r="277">
      <c r="A277" s="220" t="inlineStr">
        <is>
          <t>F</t>
        </is>
      </c>
      <c r="B277" s="211" t="inlineStr">
        <is>
          <t>400 Free Relay</t>
        </is>
      </c>
      <c r="C277" s="190" t="n">
        <v>2022</v>
      </c>
      <c r="D277" s="211" t="inlineStr">
        <is>
          <t>THA</t>
        </is>
      </c>
      <c r="E277" s="221" t="n">
        <v>2</v>
      </c>
      <c r="F277" s="211" t="inlineStr">
        <is>
          <t>3:48.63</t>
        </is>
      </c>
      <c r="G277" s="215" t="n"/>
      <c r="H277" s="215" t="n"/>
      <c r="I277" s="215" t="n"/>
      <c r="J277" s="215" t="n"/>
      <c r="K277" s="215" t="n"/>
      <c r="L277" s="213" t="n"/>
    </row>
    <row r="278">
      <c r="A278" s="218" t="inlineStr">
        <is>
          <t>F</t>
        </is>
      </c>
      <c r="B278" s="215" t="inlineStr">
        <is>
          <t>400 IM</t>
        </is>
      </c>
      <c r="C278" s="189" t="n">
        <v>2022</v>
      </c>
      <c r="D278" s="215" t="inlineStr">
        <is>
          <t>THA</t>
        </is>
      </c>
      <c r="E278" s="219" t="n">
        <v>2</v>
      </c>
      <c r="F278" s="215" t="inlineStr">
        <is>
          <t>4:52.32</t>
        </is>
      </c>
      <c r="G278" s="215" t="n">
        <v>2005</v>
      </c>
      <c r="H278" s="195">
        <f>C278-G278</f>
        <v/>
      </c>
      <c r="I278" s="215" t="inlineStr">
        <is>
          <t>Moji Pholjamjumrus</t>
        </is>
      </c>
      <c r="J278" s="215" t="n"/>
      <c r="K278" s="215" t="n"/>
      <c r="L278" s="217" t="n"/>
    </row>
    <row r="279">
      <c r="A279" s="220" t="inlineStr">
        <is>
          <t>F</t>
        </is>
      </c>
      <c r="B279" s="211" t="inlineStr">
        <is>
          <t>400 Medley Relay</t>
        </is>
      </c>
      <c r="C279" s="190" t="n">
        <v>2022</v>
      </c>
      <c r="D279" s="211" t="inlineStr">
        <is>
          <t>PHI</t>
        </is>
      </c>
      <c r="E279" s="221" t="n">
        <v>2</v>
      </c>
      <c r="F279" s="211" t="inlineStr">
        <is>
          <t>4:12.36</t>
        </is>
      </c>
      <c r="G279" s="211" t="n"/>
      <c r="H279" s="211" t="n"/>
      <c r="I279" s="211" t="n"/>
      <c r="J279" s="211" t="n"/>
      <c r="K279" s="211" t="n"/>
      <c r="L279" s="213" t="n"/>
    </row>
    <row r="280">
      <c r="A280" s="218" t="inlineStr">
        <is>
          <t>F</t>
        </is>
      </c>
      <c r="B280" s="215" t="inlineStr">
        <is>
          <t>50 Back</t>
        </is>
      </c>
      <c r="C280" s="189" t="n">
        <v>2022</v>
      </c>
      <c r="D280" s="215" t="inlineStr">
        <is>
          <t>PHI</t>
        </is>
      </c>
      <c r="E280" s="219" t="n">
        <v>2</v>
      </c>
      <c r="F280" s="215" t="inlineStr">
        <is>
          <t>29.35</t>
        </is>
      </c>
      <c r="G280" s="211" t="n">
        <v>1998</v>
      </c>
      <c r="H280" s="196">
        <f>C280-G280</f>
        <v/>
      </c>
      <c r="I280" s="211" t="inlineStr">
        <is>
          <t>Geriane Taguba Jessica Joy</t>
        </is>
      </c>
      <c r="J280" s="211" t="inlineStr">
        <is>
          <t>Notre Dame</t>
        </is>
      </c>
      <c r="K280" s="211" t="inlineStr">
        <is>
          <t>USA</t>
        </is>
      </c>
      <c r="L280" s="217" t="inlineStr">
        <is>
          <t>USA</t>
        </is>
      </c>
    </row>
    <row r="281">
      <c r="A281" s="220" t="inlineStr">
        <is>
          <t>F</t>
        </is>
      </c>
      <c r="B281" s="211" t="inlineStr">
        <is>
          <t>50 Breast</t>
        </is>
      </c>
      <c r="C281" s="190" t="n">
        <v>2022</v>
      </c>
      <c r="D281" s="211" t="inlineStr">
        <is>
          <t>THA</t>
        </is>
      </c>
      <c r="E281" s="221" t="n">
        <v>2</v>
      </c>
      <c r="F281" s="211" t="inlineStr">
        <is>
          <t>31.63</t>
        </is>
      </c>
      <c r="G281" s="197" t="n">
        <v>1995</v>
      </c>
      <c r="H281" s="197">
        <f>C281-G281</f>
        <v/>
      </c>
      <c r="I281" s="201" t="inlineStr">
        <is>
          <t>Jenjira Srisa-Ard</t>
        </is>
      </c>
      <c r="J281" s="211" t="n"/>
      <c r="K281" s="211" t="n"/>
      <c r="L281" s="213" t="n"/>
    </row>
    <row r="282">
      <c r="A282" s="218" t="inlineStr">
        <is>
          <t>F</t>
        </is>
      </c>
      <c r="B282" s="215" t="inlineStr">
        <is>
          <t>50 Fly</t>
        </is>
      </c>
      <c r="C282" s="189" t="n">
        <v>2022</v>
      </c>
      <c r="D282" s="215" t="inlineStr">
        <is>
          <t>SGP</t>
        </is>
      </c>
      <c r="E282" s="219" t="n">
        <v>2</v>
      </c>
      <c r="F282" s="215" t="inlineStr">
        <is>
          <t>26.88</t>
        </is>
      </c>
      <c r="G282" s="196" t="n">
        <v>1992</v>
      </c>
      <c r="H282" s="196">
        <f>C282-G282</f>
        <v/>
      </c>
      <c r="I282" s="198" t="inlineStr">
        <is>
          <t>Ting Wen Quah</t>
        </is>
      </c>
      <c r="J282" s="200" t="inlineStr">
        <is>
          <t>UCLA</t>
        </is>
      </c>
      <c r="K282" s="200" t="inlineStr">
        <is>
          <t>USA</t>
        </is>
      </c>
      <c r="L282" s="217" t="n"/>
    </row>
    <row r="283">
      <c r="A283" s="220" t="inlineStr">
        <is>
          <t>F</t>
        </is>
      </c>
      <c r="B283" s="211" t="inlineStr">
        <is>
          <t>50 Free</t>
        </is>
      </c>
      <c r="C283" s="190" t="n">
        <v>2022</v>
      </c>
      <c r="D283" s="211" t="inlineStr">
        <is>
          <t>SGP</t>
        </is>
      </c>
      <c r="E283" s="221" t="n">
        <v>2</v>
      </c>
      <c r="F283" s="211" t="inlineStr">
        <is>
          <t>25.39</t>
        </is>
      </c>
      <c r="G283" s="215" t="n">
        <v>1993</v>
      </c>
      <c r="H283" s="215">
        <f>C283-G283</f>
        <v/>
      </c>
      <c r="I283" s="215" t="inlineStr">
        <is>
          <t>Amanda Xiang QI Lim</t>
        </is>
      </c>
      <c r="J283" s="211" t="n"/>
      <c r="K283" s="211" t="n"/>
      <c r="L283" s="213" t="n"/>
    </row>
    <row r="284">
      <c r="A284" s="218" t="inlineStr">
        <is>
          <t>F</t>
        </is>
      </c>
      <c r="B284" s="215" t="inlineStr">
        <is>
          <t>800 Free</t>
        </is>
      </c>
      <c r="C284" s="189" t="n">
        <v>2022</v>
      </c>
      <c r="D284" s="215" t="inlineStr">
        <is>
          <t>VIE</t>
        </is>
      </c>
      <c r="E284" s="219" t="n">
        <v>2</v>
      </c>
      <c r="F284" s="215" t="inlineStr">
        <is>
          <t>8:51.73</t>
        </is>
      </c>
      <c r="G284" s="195" t="n">
        <v>2005</v>
      </c>
      <c r="H284" s="195">
        <f>C284-G284</f>
        <v/>
      </c>
      <c r="I284" s="200" t="inlineStr">
        <is>
          <t>Thi MY Tien VO</t>
        </is>
      </c>
      <c r="J284" s="215" t="n"/>
      <c r="K284" s="215" t="n"/>
      <c r="L284" s="217" t="n"/>
    </row>
    <row r="285">
      <c r="A285" s="220" t="inlineStr">
        <is>
          <t>F</t>
        </is>
      </c>
      <c r="B285" s="211" t="inlineStr">
        <is>
          <t>800 Free Relay</t>
        </is>
      </c>
      <c r="C285" s="190" t="n">
        <v>2022</v>
      </c>
      <c r="D285" s="211" t="inlineStr">
        <is>
          <t>THA</t>
        </is>
      </c>
      <c r="E285" s="221" t="n">
        <v>2</v>
      </c>
      <c r="F285" s="211" t="inlineStr">
        <is>
          <t>8:18.67</t>
        </is>
      </c>
      <c r="G285" s="211" t="n"/>
      <c r="H285" s="211" t="n"/>
      <c r="I285" s="211" t="n"/>
      <c r="J285" s="211" t="n"/>
      <c r="K285" s="211" t="n"/>
      <c r="L285" s="213" t="n"/>
    </row>
    <row r="286">
      <c r="A286" s="218" t="inlineStr">
        <is>
          <t>M</t>
        </is>
      </c>
      <c r="B286" s="215" t="inlineStr">
        <is>
          <t>100 Back</t>
        </is>
      </c>
      <c r="C286" s="189" t="n">
        <v>2022</v>
      </c>
      <c r="D286" s="215" t="inlineStr">
        <is>
          <t>VIE</t>
        </is>
      </c>
      <c r="E286" s="219" t="n">
        <v>2</v>
      </c>
      <c r="F286" s="215" t="inlineStr">
        <is>
          <t>56.08</t>
        </is>
      </c>
      <c r="G286" s="215" t="n">
        <v>1992</v>
      </c>
      <c r="H286" s="195">
        <f>C286-G286</f>
        <v/>
      </c>
      <c r="I286" s="215" t="inlineStr">
        <is>
          <t>Paul LE Nguyen</t>
        </is>
      </c>
      <c r="J286" s="215" t="inlineStr">
        <is>
          <t>Missouri State</t>
        </is>
      </c>
      <c r="K286" s="215" t="inlineStr">
        <is>
          <t>USA</t>
        </is>
      </c>
      <c r="L286" s="217" t="inlineStr">
        <is>
          <t>USA</t>
        </is>
      </c>
    </row>
    <row r="287">
      <c r="A287" s="220" t="inlineStr">
        <is>
          <t>M</t>
        </is>
      </c>
      <c r="B287" s="211" t="inlineStr">
        <is>
          <t>100 Breast</t>
        </is>
      </c>
      <c r="C287" s="190" t="n">
        <v>2022</v>
      </c>
      <c r="D287" s="211" t="inlineStr">
        <is>
          <t>SGP</t>
        </is>
      </c>
      <c r="E287" s="221" t="n">
        <v>2</v>
      </c>
      <c r="F287" s="211" t="inlineStr">
        <is>
          <t>1:01.58</t>
        </is>
      </c>
      <c r="G287" s="197" t="n">
        <v>2001</v>
      </c>
      <c r="H287" s="202">
        <f>C287-G287</f>
        <v/>
      </c>
      <c r="I287" s="201" t="inlineStr">
        <is>
          <t>Maximillan Wei Ang</t>
        </is>
      </c>
      <c r="J287" s="211" t="n"/>
      <c r="K287" s="211" t="n"/>
      <c r="L287" s="213" t="n"/>
    </row>
    <row r="288">
      <c r="A288" s="218" t="inlineStr">
        <is>
          <t>M</t>
        </is>
      </c>
      <c r="B288" s="215" t="inlineStr">
        <is>
          <t>100 Fly</t>
        </is>
      </c>
      <c r="C288" s="189" t="n">
        <v>2022</v>
      </c>
      <c r="D288" s="215" t="inlineStr">
        <is>
          <t>SGP</t>
        </is>
      </c>
      <c r="E288" s="219" t="n">
        <v>2</v>
      </c>
      <c r="F288" s="215" t="inlineStr">
        <is>
          <t>52.86</t>
        </is>
      </c>
      <c r="G288" s="196" t="n">
        <v>1996</v>
      </c>
      <c r="H288" s="195">
        <f>C288-G288</f>
        <v/>
      </c>
      <c r="I288" s="198" t="inlineStr">
        <is>
          <t>Zheng Wen Quah</t>
        </is>
      </c>
      <c r="J288" s="200" t="inlineStr">
        <is>
          <t>California Berkeley</t>
        </is>
      </c>
      <c r="K288" s="200" t="inlineStr">
        <is>
          <t>USA</t>
        </is>
      </c>
      <c r="L288" s="217" t="n"/>
    </row>
    <row r="289">
      <c r="A289" s="220" t="inlineStr">
        <is>
          <t>M</t>
        </is>
      </c>
      <c r="B289" s="211" t="inlineStr">
        <is>
          <t>100 Free</t>
        </is>
      </c>
      <c r="C289" s="190" t="n">
        <v>2022</v>
      </c>
      <c r="D289" s="211" t="inlineStr">
        <is>
          <t>SGP</t>
        </is>
      </c>
      <c r="E289" s="221" t="n">
        <v>2</v>
      </c>
      <c r="F289" s="211" t="inlineStr">
        <is>
          <t>50.14</t>
        </is>
      </c>
      <c r="G289" s="197" t="n">
        <v>2002</v>
      </c>
      <c r="H289" s="197">
        <f>C289-G289</f>
        <v/>
      </c>
      <c r="I289" s="201" t="inlineStr">
        <is>
          <t>Jonathan EU Jin Tan</t>
        </is>
      </c>
      <c r="J289" s="201" t="inlineStr">
        <is>
          <t>Stanford</t>
        </is>
      </c>
      <c r="K289" s="201" t="inlineStr">
        <is>
          <t>USA</t>
        </is>
      </c>
      <c r="L289" s="213" t="n"/>
    </row>
    <row r="290">
      <c r="A290" s="218" t="inlineStr">
        <is>
          <t>M</t>
        </is>
      </c>
      <c r="B290" s="215" t="inlineStr">
        <is>
          <t>100 Free</t>
        </is>
      </c>
      <c r="C290" s="189" t="n">
        <v>2022</v>
      </c>
      <c r="D290" s="215" t="inlineStr">
        <is>
          <t>SGP</t>
        </is>
      </c>
      <c r="E290" s="219" t="n">
        <v>2</v>
      </c>
      <c r="F290" s="215" t="inlineStr">
        <is>
          <t>50.14</t>
        </is>
      </c>
      <c r="G290" s="202" t="n">
        <v>2000</v>
      </c>
      <c r="H290" s="202">
        <f>C290-G290</f>
        <v/>
      </c>
      <c r="I290" s="206" t="inlineStr">
        <is>
          <t>Jeremie Loic Nino Luong</t>
        </is>
      </c>
      <c r="J290" s="206" t="inlineStr">
        <is>
          <t>Michigan</t>
        </is>
      </c>
      <c r="K290" s="206" t="inlineStr">
        <is>
          <t>USA</t>
        </is>
      </c>
      <c r="L290" s="205" t="inlineStr">
        <is>
          <t>France (10)</t>
        </is>
      </c>
    </row>
    <row r="291">
      <c r="A291" s="220" t="inlineStr">
        <is>
          <t>M</t>
        </is>
      </c>
      <c r="B291" s="211" t="inlineStr">
        <is>
          <t>1500 Free</t>
        </is>
      </c>
      <c r="C291" s="190" t="n">
        <v>2022</v>
      </c>
      <c r="D291" s="211" t="inlineStr">
        <is>
          <t>VIE</t>
        </is>
      </c>
      <c r="E291" s="221" t="n">
        <v>2</v>
      </c>
      <c r="F291" s="211" t="inlineStr">
        <is>
          <t>15:27.31</t>
        </is>
      </c>
      <c r="G291" s="202" t="n">
        <v>2002</v>
      </c>
      <c r="H291" s="202">
        <f>C291-G291</f>
        <v/>
      </c>
      <c r="I291" s="206" t="inlineStr">
        <is>
          <t>Huu Kim Son Nguyen</t>
        </is>
      </c>
      <c r="J291" s="211" t="n"/>
      <c r="K291" s="211" t="n"/>
      <c r="L291" s="213" t="n"/>
    </row>
    <row r="292">
      <c r="A292" s="218" t="inlineStr">
        <is>
          <t>M</t>
        </is>
      </c>
      <c r="B292" s="215" t="inlineStr">
        <is>
          <t>200 Back</t>
        </is>
      </c>
      <c r="C292" s="189" t="n">
        <v>2022</v>
      </c>
      <c r="D292" s="215" t="inlineStr">
        <is>
          <t>MAS</t>
        </is>
      </c>
      <c r="E292" s="219" t="n">
        <v>2</v>
      </c>
      <c r="F292" s="215" t="inlineStr">
        <is>
          <t>2:01.67</t>
        </is>
      </c>
      <c r="G292" s="197" t="n">
        <v>2002</v>
      </c>
      <c r="H292" s="202">
        <f>C292-G292</f>
        <v/>
      </c>
      <c r="I292" s="201" t="inlineStr">
        <is>
          <t>Khiew Hoe Yean</t>
        </is>
      </c>
      <c r="J292" s="215" t="n"/>
      <c r="K292" s="215" t="n"/>
      <c r="L292" s="217" t="n"/>
    </row>
    <row r="293">
      <c r="A293" s="220" t="inlineStr">
        <is>
          <t>M</t>
        </is>
      </c>
      <c r="B293" s="211" t="inlineStr">
        <is>
          <t>200 Breast</t>
        </is>
      </c>
      <c r="C293" s="190" t="n">
        <v>2022</v>
      </c>
      <c r="D293" s="211" t="inlineStr">
        <is>
          <t>VIE</t>
        </is>
      </c>
      <c r="E293" s="221" t="n">
        <v>2</v>
      </c>
      <c r="F293" s="211" t="inlineStr">
        <is>
          <t>2:12.09</t>
        </is>
      </c>
      <c r="G293" s="197" t="n">
        <v>2001</v>
      </c>
      <c r="H293" s="202">
        <f>C293-G293</f>
        <v/>
      </c>
      <c r="I293" s="201" t="inlineStr">
        <is>
          <t>Thanh Bao Pham</t>
        </is>
      </c>
      <c r="J293" s="211" t="n"/>
      <c r="K293" s="211" t="n"/>
      <c r="L293" s="213" t="n"/>
    </row>
    <row r="294">
      <c r="A294" s="218" t="inlineStr">
        <is>
          <t>M</t>
        </is>
      </c>
      <c r="B294" s="215" t="inlineStr">
        <is>
          <t>200 Fly</t>
        </is>
      </c>
      <c r="C294" s="189" t="n">
        <v>2022</v>
      </c>
      <c r="D294" s="215" t="inlineStr">
        <is>
          <t>THA</t>
        </is>
      </c>
      <c r="E294" s="219" t="n">
        <v>2</v>
      </c>
      <c r="F294" s="215" t="inlineStr">
        <is>
          <t>1:58.93</t>
        </is>
      </c>
      <c r="G294" s="196" t="n">
        <v>1997</v>
      </c>
      <c r="H294" s="196">
        <f>C294-G294</f>
        <v/>
      </c>
      <c r="I294" s="198" t="inlineStr">
        <is>
          <t>Navaphat Wongcharoen</t>
        </is>
      </c>
      <c r="J294" s="211" t="n"/>
      <c r="K294" s="211" t="n"/>
      <c r="L294" s="217" t="n"/>
    </row>
    <row r="295">
      <c r="A295" s="220" t="inlineStr">
        <is>
          <t>M</t>
        </is>
      </c>
      <c r="B295" s="211" t="inlineStr">
        <is>
          <t>200 Free</t>
        </is>
      </c>
      <c r="C295" s="190" t="n">
        <v>2022</v>
      </c>
      <c r="D295" s="211" t="inlineStr">
        <is>
          <t>SGP</t>
        </is>
      </c>
      <c r="E295" s="221" t="n">
        <v>2</v>
      </c>
      <c r="F295" s="211" t="inlineStr">
        <is>
          <t>1:47.81</t>
        </is>
      </c>
      <c r="G295" s="196" t="n">
        <v>1996</v>
      </c>
      <c r="H295" s="196">
        <f>C295-G295</f>
        <v/>
      </c>
      <c r="I295" s="198" t="inlineStr">
        <is>
          <t>Zheng Wen Quah</t>
        </is>
      </c>
      <c r="J295" s="198" t="inlineStr">
        <is>
          <t>California Berkeley</t>
        </is>
      </c>
      <c r="K295" s="198" t="inlineStr">
        <is>
          <t>USA</t>
        </is>
      </c>
      <c r="L295" s="213" t="n"/>
    </row>
    <row r="296">
      <c r="A296" s="218" t="inlineStr">
        <is>
          <t>M</t>
        </is>
      </c>
      <c r="B296" s="215" t="inlineStr">
        <is>
          <t>200 IM</t>
        </is>
      </c>
      <c r="C296" s="189" t="n">
        <v>2022</v>
      </c>
      <c r="D296" s="215" t="inlineStr">
        <is>
          <t>THA</t>
        </is>
      </c>
      <c r="E296" s="219" t="n">
        <v>2</v>
      </c>
      <c r="F296" s="215" t="inlineStr">
        <is>
          <t>2:02.89</t>
        </is>
      </c>
      <c r="G296" s="197" t="n">
        <v>2002</v>
      </c>
      <c r="H296" s="197">
        <f>C296-G296</f>
        <v/>
      </c>
      <c r="I296" s="201" t="inlineStr">
        <is>
          <t>Dulyawat Kaewsriyong</t>
        </is>
      </c>
      <c r="J296" s="211" t="n"/>
      <c r="K296" s="211" t="n"/>
      <c r="L296" s="217" t="n"/>
    </row>
    <row r="297">
      <c r="A297" s="220" t="inlineStr">
        <is>
          <t>M</t>
        </is>
      </c>
      <c r="B297" s="211" t="inlineStr">
        <is>
          <t>400 Free</t>
        </is>
      </c>
      <c r="C297" s="190" t="n">
        <v>2022</v>
      </c>
      <c r="D297" s="211" t="inlineStr">
        <is>
          <t>MAS</t>
        </is>
      </c>
      <c r="E297" s="221" t="n">
        <v>2</v>
      </c>
      <c r="F297" s="211" t="inlineStr">
        <is>
          <t>3:52.03</t>
        </is>
      </c>
      <c r="G297" s="202" t="n">
        <v>2002</v>
      </c>
      <c r="H297" s="202">
        <f>C297-G297</f>
        <v/>
      </c>
      <c r="I297" s="206" t="inlineStr">
        <is>
          <t>Khiew Hoe Yean</t>
        </is>
      </c>
      <c r="J297" s="215" t="n"/>
      <c r="K297" s="215" t="n"/>
      <c r="L297" s="213" t="n"/>
    </row>
    <row r="298">
      <c r="A298" s="218" t="inlineStr">
        <is>
          <t>M</t>
        </is>
      </c>
      <c r="B298" s="215" t="inlineStr">
        <is>
          <t>400 Free Relay</t>
        </is>
      </c>
      <c r="C298" s="189" t="n">
        <v>2022</v>
      </c>
      <c r="D298" s="215" t="inlineStr">
        <is>
          <t>IND</t>
        </is>
      </c>
      <c r="E298" s="219" t="n">
        <v>2</v>
      </c>
      <c r="F298" s="215" t="inlineStr">
        <is>
          <t>3:24.09</t>
        </is>
      </c>
      <c r="G298" s="215" t="n"/>
      <c r="H298" s="215" t="n"/>
      <c r="I298" s="215" t="n"/>
      <c r="J298" s="215" t="n"/>
      <c r="K298" s="215" t="n"/>
      <c r="L298" s="217" t="n"/>
    </row>
    <row r="299">
      <c r="A299" s="220" t="inlineStr">
        <is>
          <t>M</t>
        </is>
      </c>
      <c r="B299" s="211" t="inlineStr">
        <is>
          <t>400 IM</t>
        </is>
      </c>
      <c r="C299" s="190" t="n">
        <v>2022</v>
      </c>
      <c r="D299" s="211" t="inlineStr">
        <is>
          <t>VIE</t>
        </is>
      </c>
      <c r="E299" s="221" t="n">
        <v>2</v>
      </c>
      <c r="F299" s="211" t="inlineStr">
        <is>
          <t>4:22.46</t>
        </is>
      </c>
      <c r="G299" s="197" t="n">
        <v>2006</v>
      </c>
      <c r="H299" s="197">
        <f>C299-G299</f>
        <v/>
      </c>
      <c r="I299" s="201" t="inlineStr">
        <is>
          <t>Quang Thuan Nguyen</t>
        </is>
      </c>
      <c r="J299" s="211" t="n"/>
      <c r="K299" s="211" t="n"/>
      <c r="L299" s="213" t="n"/>
    </row>
    <row r="300">
      <c r="A300" s="218" t="inlineStr">
        <is>
          <t>M</t>
        </is>
      </c>
      <c r="B300" s="215" t="inlineStr">
        <is>
          <t>400 Medley Relay</t>
        </is>
      </c>
      <c r="C300" s="189" t="n">
        <v>2022</v>
      </c>
      <c r="D300" s="215" t="inlineStr">
        <is>
          <t>VIE</t>
        </is>
      </c>
      <c r="E300" s="219" t="n">
        <v>2</v>
      </c>
      <c r="F300" s="215" t="inlineStr">
        <is>
          <t>3:39.76</t>
        </is>
      </c>
      <c r="G300" s="215" t="n"/>
      <c r="H300" s="215" t="n"/>
      <c r="I300" s="215" t="n"/>
      <c r="J300" s="215" t="n"/>
      <c r="K300" s="215" t="n"/>
      <c r="L300" s="217" t="n"/>
    </row>
    <row r="301">
      <c r="A301" s="220" t="inlineStr">
        <is>
          <t>M</t>
        </is>
      </c>
      <c r="B301" s="211" t="inlineStr">
        <is>
          <t>50 Back</t>
        </is>
      </c>
      <c r="C301" s="190" t="n">
        <v>2022</v>
      </c>
      <c r="D301" s="211" t="inlineStr">
        <is>
          <t>VIE</t>
        </is>
      </c>
      <c r="E301" s="221" t="n">
        <v>2</v>
      </c>
      <c r="F301" s="211" t="inlineStr">
        <is>
          <t>25.86</t>
        </is>
      </c>
      <c r="G301" s="202" t="n">
        <v>1992</v>
      </c>
      <c r="H301" s="202">
        <f>C301-G301</f>
        <v/>
      </c>
      <c r="I301" s="206" t="inlineStr">
        <is>
          <t>Paul LE Nguyen</t>
        </is>
      </c>
      <c r="J301" s="201" t="inlineStr">
        <is>
          <t>Missouri State</t>
        </is>
      </c>
      <c r="K301" s="201" t="inlineStr">
        <is>
          <t>USA</t>
        </is>
      </c>
      <c r="L301" s="203" t="inlineStr">
        <is>
          <t>USA</t>
        </is>
      </c>
    </row>
    <row r="302">
      <c r="A302" s="218" t="inlineStr">
        <is>
          <t>M</t>
        </is>
      </c>
      <c r="B302" s="215" t="inlineStr">
        <is>
          <t>50 Breast</t>
        </is>
      </c>
      <c r="C302" s="189" t="n">
        <v>2022</v>
      </c>
      <c r="D302" s="215" t="inlineStr">
        <is>
          <t>IND</t>
        </is>
      </c>
      <c r="E302" s="219" t="n">
        <v>2</v>
      </c>
      <c r="F302" s="215" t="inlineStr">
        <is>
          <t>28.31</t>
        </is>
      </c>
      <c r="G302" s="202" t="n">
        <v>1995</v>
      </c>
      <c r="H302" s="202">
        <f>C302-G302</f>
        <v/>
      </c>
      <c r="I302" s="206" t="inlineStr">
        <is>
          <t>Gagarin Nathaniel Yus</t>
        </is>
      </c>
      <c r="J302" s="215" t="n"/>
      <c r="K302" s="215" t="n"/>
      <c r="L302" s="217" t="n"/>
    </row>
    <row r="303">
      <c r="A303" s="220" t="inlineStr">
        <is>
          <t>M</t>
        </is>
      </c>
      <c r="B303" s="211" t="inlineStr">
        <is>
          <t>50 Fly</t>
        </is>
      </c>
      <c r="C303" s="190" t="n">
        <v>2022</v>
      </c>
      <c r="D303" s="211" t="inlineStr">
        <is>
          <t>SGP</t>
        </is>
      </c>
      <c r="E303" s="221" t="n">
        <v>2</v>
      </c>
      <c r="F303" s="211" t="inlineStr">
        <is>
          <t>23.67</t>
        </is>
      </c>
      <c r="G303" s="195" t="n">
        <v>2002</v>
      </c>
      <c r="H303" s="195">
        <f>C303-G303</f>
        <v/>
      </c>
      <c r="I303" s="200" t="inlineStr">
        <is>
          <t>Mikkel Jun Jie Lee</t>
        </is>
      </c>
      <c r="J303" s="198" t="inlineStr">
        <is>
          <t>Wisconsin</t>
        </is>
      </c>
      <c r="K303" s="198" t="inlineStr">
        <is>
          <t>USA</t>
        </is>
      </c>
      <c r="L303" s="213" t="n"/>
    </row>
    <row r="304">
      <c r="A304" s="218" t="inlineStr">
        <is>
          <t>M</t>
        </is>
      </c>
      <c r="B304" s="215" t="inlineStr">
        <is>
          <t>50 Free</t>
        </is>
      </c>
      <c r="C304" s="189" t="n">
        <v>2022</v>
      </c>
      <c r="D304" s="215" t="inlineStr">
        <is>
          <t>SGP</t>
        </is>
      </c>
      <c r="E304" s="219" t="n">
        <v>2</v>
      </c>
      <c r="F304" s="215" t="inlineStr">
        <is>
          <t>22.24</t>
        </is>
      </c>
      <c r="G304" s="202" t="n">
        <v>2002</v>
      </c>
      <c r="H304" s="202">
        <f>C304-G304</f>
        <v/>
      </c>
      <c r="I304" s="206" t="inlineStr">
        <is>
          <t>Jonathan EU Jin Tan</t>
        </is>
      </c>
      <c r="J304" s="206" t="inlineStr">
        <is>
          <t>Stanford</t>
        </is>
      </c>
      <c r="K304" s="206" t="inlineStr">
        <is>
          <t>USA</t>
        </is>
      </c>
      <c r="L304" s="217" t="n"/>
    </row>
    <row r="305">
      <c r="A305" s="220" t="inlineStr">
        <is>
          <t>M</t>
        </is>
      </c>
      <c r="B305" s="211" t="inlineStr">
        <is>
          <t>800 Free Relay</t>
        </is>
      </c>
      <c r="C305" s="190" t="n">
        <v>2022</v>
      </c>
      <c r="D305" s="211" t="inlineStr">
        <is>
          <t>MAS</t>
        </is>
      </c>
      <c r="E305" s="221" t="n">
        <v>2</v>
      </c>
      <c r="F305" s="211" t="inlineStr">
        <is>
          <t>7:19.75</t>
        </is>
      </c>
      <c r="G305" s="215" t="n"/>
      <c r="H305" s="215" t="n"/>
      <c r="I305" s="215" t="n"/>
      <c r="J305" s="211" t="n"/>
      <c r="K305" s="211" t="n"/>
      <c r="L305" s="213" t="n"/>
    </row>
    <row r="306">
      <c r="A306" s="218" t="inlineStr">
        <is>
          <t>F</t>
        </is>
      </c>
      <c r="B306" s="215" t="inlineStr">
        <is>
          <t>100 Back</t>
        </is>
      </c>
      <c r="C306" s="189" t="n">
        <v>2022</v>
      </c>
      <c r="D306" s="215" t="inlineStr">
        <is>
          <t>IND</t>
        </is>
      </c>
      <c r="E306" s="219" t="n">
        <v>1</v>
      </c>
      <c r="F306" s="215" t="inlineStr">
        <is>
          <t>1:03.36</t>
        </is>
      </c>
      <c r="G306" s="215" t="n">
        <v>2005</v>
      </c>
      <c r="H306" s="215">
        <f>C306-G306</f>
        <v/>
      </c>
      <c r="I306" s="215" t="inlineStr">
        <is>
          <t>Flairene Candre Wonomiharjo</t>
        </is>
      </c>
      <c r="J306" s="215" t="n"/>
      <c r="K306" s="215" t="n"/>
      <c r="L306" s="217" t="n"/>
    </row>
    <row r="307">
      <c r="A307" s="220" t="inlineStr">
        <is>
          <t>F</t>
        </is>
      </c>
      <c r="B307" s="211" t="inlineStr">
        <is>
          <t>100 Breast</t>
        </is>
      </c>
      <c r="C307" s="190" t="n">
        <v>2022</v>
      </c>
      <c r="D307" s="211" t="inlineStr">
        <is>
          <t>SGP</t>
        </is>
      </c>
      <c r="E307" s="221" t="n">
        <v>1</v>
      </c>
      <c r="F307" s="211" t="inlineStr">
        <is>
          <t>1:08.79</t>
        </is>
      </c>
      <c r="G307" s="196" t="n">
        <v>2003</v>
      </c>
      <c r="H307" s="195">
        <f>C307-G307</f>
        <v/>
      </c>
      <c r="I307" s="198" t="inlineStr">
        <is>
          <t>Letitia EN YI Sim</t>
        </is>
      </c>
      <c r="J307" s="198" t="inlineStr">
        <is>
          <t>Michigan</t>
        </is>
      </c>
      <c r="K307" s="198" t="inlineStr">
        <is>
          <t>USA</t>
        </is>
      </c>
      <c r="L307" s="199" t="inlineStr">
        <is>
          <t>USA</t>
        </is>
      </c>
    </row>
    <row r="308">
      <c r="A308" s="218" t="inlineStr">
        <is>
          <t>F</t>
        </is>
      </c>
      <c r="B308" s="215" t="inlineStr">
        <is>
          <t>100 Fly</t>
        </is>
      </c>
      <c r="C308" s="189" t="n">
        <v>2022</v>
      </c>
      <c r="D308" s="215" t="inlineStr">
        <is>
          <t>SGP</t>
        </is>
      </c>
      <c r="E308" s="219" t="n">
        <v>1</v>
      </c>
      <c r="F308" s="215" t="inlineStr">
        <is>
          <t>59.15</t>
        </is>
      </c>
      <c r="G308" s="197" t="n">
        <v>1994</v>
      </c>
      <c r="H308" s="197">
        <f>C308-G308</f>
        <v/>
      </c>
      <c r="I308" s="201" t="inlineStr">
        <is>
          <t>Jing Wen Quah</t>
        </is>
      </c>
      <c r="J308" s="206" t="inlineStr">
        <is>
          <t>A&amp;M</t>
        </is>
      </c>
      <c r="K308" s="206" t="inlineStr">
        <is>
          <t>USA</t>
        </is>
      </c>
      <c r="L308" s="217" t="n"/>
    </row>
    <row r="309">
      <c r="A309" s="220" t="inlineStr">
        <is>
          <t>F</t>
        </is>
      </c>
      <c r="B309" s="211" t="inlineStr">
        <is>
          <t>100 Free</t>
        </is>
      </c>
      <c r="C309" s="190" t="n">
        <v>2022</v>
      </c>
      <c r="D309" s="211" t="inlineStr">
        <is>
          <t>SGP</t>
        </is>
      </c>
      <c r="E309" s="221" t="n">
        <v>1</v>
      </c>
      <c r="F309" s="211" t="inlineStr">
        <is>
          <t>55.6</t>
        </is>
      </c>
      <c r="G309" s="196" t="n">
        <v>1992</v>
      </c>
      <c r="H309" s="196">
        <f>C309-G309</f>
        <v/>
      </c>
      <c r="I309" s="198" t="inlineStr">
        <is>
          <t>Ting Wen Quah</t>
        </is>
      </c>
      <c r="J309" s="198" t="inlineStr">
        <is>
          <t>UCLA</t>
        </is>
      </c>
      <c r="K309" s="198" t="inlineStr">
        <is>
          <t>USA</t>
        </is>
      </c>
      <c r="L309" s="213" t="n"/>
    </row>
    <row r="310">
      <c r="A310" s="218" t="inlineStr">
        <is>
          <t>F</t>
        </is>
      </c>
      <c r="B310" s="215" t="inlineStr">
        <is>
          <t>200 Back</t>
        </is>
      </c>
      <c r="C310" s="189" t="n">
        <v>2022</v>
      </c>
      <c r="D310" s="215" t="inlineStr">
        <is>
          <t>PHI</t>
        </is>
      </c>
      <c r="E310" s="219" t="n">
        <v>1</v>
      </c>
      <c r="F310" s="215" t="inlineStr">
        <is>
          <t>2:18.60</t>
        </is>
      </c>
      <c r="G310" s="215" t="n">
        <v>1998</v>
      </c>
      <c r="H310" s="211">
        <f>C310-G310</f>
        <v/>
      </c>
      <c r="I310" s="215" t="inlineStr">
        <is>
          <t>Chloe Kennedy Anne Isleta</t>
        </is>
      </c>
      <c r="J310" s="215" t="inlineStr">
        <is>
          <t>ASU</t>
        </is>
      </c>
      <c r="K310" s="215" t="inlineStr">
        <is>
          <t>USA</t>
        </is>
      </c>
      <c r="L310" s="217" t="inlineStr">
        <is>
          <t>USA</t>
        </is>
      </c>
    </row>
    <row r="311">
      <c r="A311" s="220" t="inlineStr">
        <is>
          <t>F</t>
        </is>
      </c>
      <c r="B311" s="211" t="inlineStr">
        <is>
          <t>200 Breast</t>
        </is>
      </c>
      <c r="C311" s="190" t="n">
        <v>2022</v>
      </c>
      <c r="D311" s="211" t="inlineStr">
        <is>
          <t>THA</t>
        </is>
      </c>
      <c r="E311" s="221" t="n">
        <v>1</v>
      </c>
      <c r="F311" s="211" t="inlineStr">
        <is>
          <t>2:30.24</t>
        </is>
      </c>
      <c r="G311" s="211" t="n">
        <v>1996</v>
      </c>
      <c r="H311" s="196">
        <f>C311-G311</f>
        <v/>
      </c>
      <c r="I311" s="211" t="inlineStr">
        <is>
          <t>Phiangkhwan PAWAPOTAKO</t>
        </is>
      </c>
      <c r="J311" s="211" t="n"/>
      <c r="K311" s="211" t="n"/>
      <c r="L311" s="213" t="n"/>
    </row>
    <row r="312">
      <c r="A312" s="218" t="inlineStr">
        <is>
          <t>F</t>
        </is>
      </c>
      <c r="B312" s="215" t="inlineStr">
        <is>
          <t>200 Fly</t>
        </is>
      </c>
      <c r="C312" s="189" t="n">
        <v>2022</v>
      </c>
      <c r="D312" s="215" t="inlineStr">
        <is>
          <t>SGP</t>
        </is>
      </c>
      <c r="E312" s="219" t="n">
        <v>1</v>
      </c>
      <c r="F312" s="215" t="inlineStr">
        <is>
          <t>2:09.52</t>
        </is>
      </c>
      <c r="G312" s="197" t="n">
        <v>1994</v>
      </c>
      <c r="H312" s="197">
        <f>C312-G312</f>
        <v/>
      </c>
      <c r="I312" s="201" t="inlineStr">
        <is>
          <t>Jing Wen Quah</t>
        </is>
      </c>
      <c r="J312" s="201" t="inlineStr">
        <is>
          <t>A&amp;M</t>
        </is>
      </c>
      <c r="K312" s="201" t="inlineStr">
        <is>
          <t>USA</t>
        </is>
      </c>
      <c r="L312" s="217" t="n"/>
    </row>
    <row r="313">
      <c r="A313" s="220" t="inlineStr">
        <is>
          <t>F</t>
        </is>
      </c>
      <c r="B313" s="211" t="inlineStr">
        <is>
          <t>200 Free</t>
        </is>
      </c>
      <c r="C313" s="190" t="n">
        <v>2022</v>
      </c>
      <c r="D313" s="211" t="inlineStr">
        <is>
          <t>SGP</t>
        </is>
      </c>
      <c r="E313" s="221" t="n">
        <v>1</v>
      </c>
      <c r="F313" s="211" t="inlineStr">
        <is>
          <t>2:02.06</t>
        </is>
      </c>
      <c r="G313" s="196" t="n">
        <v>2003</v>
      </c>
      <c r="H313" s="196">
        <f>C313-G313</f>
        <v/>
      </c>
      <c r="I313" s="198" t="inlineStr">
        <is>
          <t>Ching Hwee Gan</t>
        </is>
      </c>
      <c r="J313" s="198" t="inlineStr">
        <is>
          <t>Indiana</t>
        </is>
      </c>
      <c r="K313" s="198" t="inlineStr">
        <is>
          <t>USA</t>
        </is>
      </c>
      <c r="L313" s="213" t="n"/>
    </row>
    <row r="314">
      <c r="A314" s="218" t="inlineStr">
        <is>
          <t>F</t>
        </is>
      </c>
      <c r="B314" s="215" t="inlineStr">
        <is>
          <t>200 IM</t>
        </is>
      </c>
      <c r="C314" s="189" t="n">
        <v>2022</v>
      </c>
      <c r="D314" s="215" t="inlineStr">
        <is>
          <t>SGP</t>
        </is>
      </c>
      <c r="E314" s="219" t="n">
        <v>1</v>
      </c>
      <c r="F314" s="215" t="inlineStr">
        <is>
          <t>2:15.98</t>
        </is>
      </c>
      <c r="G314" s="197" t="n">
        <v>1994</v>
      </c>
      <c r="H314" s="197">
        <f>C314-G314</f>
        <v/>
      </c>
      <c r="I314" s="201" t="inlineStr">
        <is>
          <t>Jing Wen Quah</t>
        </is>
      </c>
      <c r="J314" s="206" t="inlineStr">
        <is>
          <t>A&amp;M</t>
        </is>
      </c>
      <c r="K314" s="206" t="inlineStr">
        <is>
          <t>USA</t>
        </is>
      </c>
      <c r="L314" s="217" t="n"/>
    </row>
    <row r="315">
      <c r="A315" s="220" t="inlineStr">
        <is>
          <t>F</t>
        </is>
      </c>
      <c r="B315" s="211" t="inlineStr">
        <is>
          <t>400 Free</t>
        </is>
      </c>
      <c r="C315" s="190" t="n">
        <v>2022</v>
      </c>
      <c r="D315" s="211" t="inlineStr">
        <is>
          <t>SGP</t>
        </is>
      </c>
      <c r="E315" s="221" t="n">
        <v>1</v>
      </c>
      <c r="F315" s="211" t="inlineStr">
        <is>
          <t>4:14.16</t>
        </is>
      </c>
      <c r="G315" s="195" t="n">
        <v>2003</v>
      </c>
      <c r="H315" s="195">
        <f>C315-G315</f>
        <v/>
      </c>
      <c r="I315" s="200" t="inlineStr">
        <is>
          <t>Ching Hwee Gan</t>
        </is>
      </c>
      <c r="J315" s="198" t="inlineStr">
        <is>
          <t>Indiana</t>
        </is>
      </c>
      <c r="K315" s="198" t="inlineStr">
        <is>
          <t>USA</t>
        </is>
      </c>
      <c r="L315" s="213" t="n"/>
    </row>
    <row r="316">
      <c r="A316" s="218" t="inlineStr">
        <is>
          <t>F</t>
        </is>
      </c>
      <c r="B316" s="215" t="inlineStr">
        <is>
          <t>400 Free Relay</t>
        </is>
      </c>
      <c r="C316" s="189" t="n">
        <v>2022</v>
      </c>
      <c r="D316" s="215" t="inlineStr">
        <is>
          <t>SGP</t>
        </is>
      </c>
      <c r="E316" s="219" t="n">
        <v>1</v>
      </c>
      <c r="F316" s="215" t="inlineStr">
        <is>
          <t>3:45.71</t>
        </is>
      </c>
      <c r="G316" s="211" t="n"/>
      <c r="H316" s="211" t="n"/>
      <c r="I316" s="211" t="n"/>
      <c r="J316" s="215" t="n"/>
      <c r="K316" s="215" t="n"/>
      <c r="L316" s="217" t="n"/>
    </row>
    <row r="317">
      <c r="A317" s="220" t="inlineStr">
        <is>
          <t>F</t>
        </is>
      </c>
      <c r="B317" s="211" t="inlineStr">
        <is>
          <t>400 IM</t>
        </is>
      </c>
      <c r="C317" s="190" t="n">
        <v>2022</v>
      </c>
      <c r="D317" s="211" t="inlineStr">
        <is>
          <t>THA</t>
        </is>
      </c>
      <c r="E317" s="221" t="n">
        <v>1</v>
      </c>
      <c r="F317" s="211" t="inlineStr">
        <is>
          <t>4:49.98</t>
        </is>
      </c>
      <c r="G317" s="196" t="n">
        <v>2005</v>
      </c>
      <c r="H317" s="196">
        <f>C317-G317</f>
        <v/>
      </c>
      <c r="I317" s="198" t="inlineStr">
        <is>
          <t>Kamonchanok Kwanmuang</t>
        </is>
      </c>
      <c r="J317" s="211" t="n"/>
      <c r="K317" s="211" t="n"/>
      <c r="L317" s="213" t="n"/>
    </row>
    <row r="318">
      <c r="A318" s="218" t="inlineStr">
        <is>
          <t>F</t>
        </is>
      </c>
      <c r="B318" s="215" t="inlineStr">
        <is>
          <t>400 Medley Relay</t>
        </is>
      </c>
      <c r="C318" s="189" t="n">
        <v>2022</v>
      </c>
      <c r="D318" s="215" t="inlineStr">
        <is>
          <t>SGP</t>
        </is>
      </c>
      <c r="E318" s="219" t="n">
        <v>1</v>
      </c>
      <c r="F318" s="215" t="inlineStr">
        <is>
          <t>4:07.62</t>
        </is>
      </c>
      <c r="G318" s="215" t="n"/>
      <c r="H318" s="215" t="n"/>
      <c r="I318" s="215" t="n"/>
      <c r="J318" s="215" t="n"/>
      <c r="K318" s="215" t="n"/>
      <c r="L318" s="217" t="n"/>
    </row>
    <row r="319">
      <c r="A319" s="220" t="inlineStr">
        <is>
          <t>F</t>
        </is>
      </c>
      <c r="B319" s="211" t="inlineStr">
        <is>
          <t>50 Back</t>
        </is>
      </c>
      <c r="C319" s="190" t="n">
        <v>2022</v>
      </c>
      <c r="D319" s="211" t="inlineStr">
        <is>
          <t>IND</t>
        </is>
      </c>
      <c r="E319" s="221" t="n">
        <v>1</v>
      </c>
      <c r="F319" s="211" t="inlineStr">
        <is>
          <t>29.21</t>
        </is>
      </c>
      <c r="G319" s="196" t="n">
        <v>2005</v>
      </c>
      <c r="H319" s="196">
        <f>C319-G319</f>
        <v/>
      </c>
      <c r="I319" s="198" t="inlineStr">
        <is>
          <t>Masniari Wolf</t>
        </is>
      </c>
      <c r="J319" s="211" t="n"/>
      <c r="K319" s="211" t="n"/>
      <c r="L319" s="213" t="n"/>
    </row>
    <row r="320">
      <c r="A320" s="218" t="inlineStr">
        <is>
          <t>F</t>
        </is>
      </c>
      <c r="B320" s="215" t="inlineStr">
        <is>
          <t>50 Breast</t>
        </is>
      </c>
      <c r="C320" s="189" t="n">
        <v>2022</v>
      </c>
      <c r="D320" s="215" t="inlineStr">
        <is>
          <t>SGP</t>
        </is>
      </c>
      <c r="E320" s="219" t="n">
        <v>1</v>
      </c>
      <c r="F320" s="215" t="inlineStr">
        <is>
          <t>31.34</t>
        </is>
      </c>
      <c r="G320" s="195" t="n">
        <v>2003</v>
      </c>
      <c r="H320" s="195">
        <f>C320-G320</f>
        <v/>
      </c>
      <c r="I320" s="200" t="inlineStr">
        <is>
          <t>Letitia EN YI Sim</t>
        </is>
      </c>
      <c r="J320" s="200" t="inlineStr">
        <is>
          <t>Michigan</t>
        </is>
      </c>
      <c r="K320" s="200" t="inlineStr">
        <is>
          <t>USA</t>
        </is>
      </c>
      <c r="L320" s="207" t="inlineStr">
        <is>
          <t>USA</t>
        </is>
      </c>
    </row>
    <row r="321">
      <c r="A321" s="220" t="inlineStr">
        <is>
          <t>F</t>
        </is>
      </c>
      <c r="B321" s="211" t="inlineStr">
        <is>
          <t>50 Fly</t>
        </is>
      </c>
      <c r="C321" s="190" t="n">
        <v>2022</v>
      </c>
      <c r="D321" s="211" t="inlineStr">
        <is>
          <t>THA</t>
        </is>
      </c>
      <c r="E321" s="221" t="n">
        <v>1</v>
      </c>
      <c r="F321" s="211" t="inlineStr">
        <is>
          <t>26.53</t>
        </is>
      </c>
      <c r="G321" s="197" t="n">
        <v>1995</v>
      </c>
      <c r="H321" s="197">
        <f>C321-G321</f>
        <v/>
      </c>
      <c r="I321" s="201" t="inlineStr">
        <is>
          <t>Jenjira Srisa-Ard</t>
        </is>
      </c>
      <c r="J321" s="211" t="n"/>
      <c r="K321" s="211" t="n"/>
      <c r="L321" s="213" t="n"/>
    </row>
    <row r="322">
      <c r="A322" s="218" t="inlineStr">
        <is>
          <t>F</t>
        </is>
      </c>
      <c r="B322" s="215" t="inlineStr">
        <is>
          <t>50 Free</t>
        </is>
      </c>
      <c r="C322" s="189" t="n">
        <v>2022</v>
      </c>
      <c r="D322" s="215" t="inlineStr">
        <is>
          <t>THA</t>
        </is>
      </c>
      <c r="E322" s="219" t="n">
        <v>1</v>
      </c>
      <c r="F322" s="215" t="inlineStr">
        <is>
          <t>25.12</t>
        </is>
      </c>
      <c r="G322" s="202" t="n">
        <v>1995</v>
      </c>
      <c r="H322" s="202">
        <f>C322-G322</f>
        <v/>
      </c>
      <c r="I322" s="206" t="inlineStr">
        <is>
          <t>Jenjira Srisa-Ard</t>
        </is>
      </c>
      <c r="J322" s="215" t="n"/>
      <c r="K322" s="215" t="n"/>
      <c r="L322" s="217" t="n"/>
    </row>
    <row r="323">
      <c r="A323" s="220" t="inlineStr">
        <is>
          <t>F</t>
        </is>
      </c>
      <c r="B323" s="211" t="inlineStr">
        <is>
          <t>800 Free</t>
        </is>
      </c>
      <c r="C323" s="190" t="n">
        <v>2022</v>
      </c>
      <c r="D323" s="211" t="inlineStr">
        <is>
          <t>SGP</t>
        </is>
      </c>
      <c r="E323" s="221" t="n">
        <v>1</v>
      </c>
      <c r="F323" s="211" t="inlineStr">
        <is>
          <t>8:42.60</t>
        </is>
      </c>
      <c r="G323" s="195" t="n">
        <v>2003</v>
      </c>
      <c r="H323" s="195">
        <f>C323-G323</f>
        <v/>
      </c>
      <c r="I323" s="200" t="inlineStr">
        <is>
          <t>Ching Hwee Gan</t>
        </is>
      </c>
      <c r="J323" s="198" t="inlineStr">
        <is>
          <t>Indiana</t>
        </is>
      </c>
      <c r="K323" s="198" t="inlineStr">
        <is>
          <t>USA</t>
        </is>
      </c>
      <c r="L323" s="213" t="n"/>
    </row>
    <row r="324">
      <c r="A324" s="218" t="inlineStr">
        <is>
          <t>F</t>
        </is>
      </c>
      <c r="B324" s="215" t="inlineStr">
        <is>
          <t>800 Free Relay</t>
        </is>
      </c>
      <c r="C324" s="189" t="n">
        <v>2022</v>
      </c>
      <c r="D324" s="215" t="inlineStr">
        <is>
          <t>SGP</t>
        </is>
      </c>
      <c r="E324" s="219" t="n">
        <v>1</v>
      </c>
      <c r="F324" s="215" t="inlineStr">
        <is>
          <t>8:10.75</t>
        </is>
      </c>
      <c r="G324" s="215" t="n"/>
      <c r="H324" s="211" t="n"/>
      <c r="I324" s="215" t="n"/>
      <c r="J324" s="215" t="n"/>
      <c r="K324" s="215" t="n"/>
      <c r="L324" s="217" t="n"/>
    </row>
    <row r="325">
      <c r="A325" s="220" t="inlineStr">
        <is>
          <t>M</t>
        </is>
      </c>
      <c r="B325" s="211" t="inlineStr">
        <is>
          <t>100 Back</t>
        </is>
      </c>
      <c r="C325" s="190" t="n">
        <v>2022</v>
      </c>
      <c r="D325" s="211" t="inlineStr">
        <is>
          <t>SGP</t>
        </is>
      </c>
      <c r="E325" s="221" t="n">
        <v>1</v>
      </c>
      <c r="F325" s="211" t="inlineStr">
        <is>
          <t>54.83</t>
        </is>
      </c>
      <c r="G325" s="196" t="n">
        <v>1996</v>
      </c>
      <c r="H325" s="196">
        <f>C325-G325</f>
        <v/>
      </c>
      <c r="I325" s="198" t="inlineStr">
        <is>
          <t>Zheng Wen Quah</t>
        </is>
      </c>
      <c r="J325" s="198" t="inlineStr">
        <is>
          <t>California Berkeley</t>
        </is>
      </c>
      <c r="K325" s="198" t="inlineStr">
        <is>
          <t>USA</t>
        </is>
      </c>
      <c r="L325" s="213" t="n"/>
    </row>
    <row r="326">
      <c r="A326" s="218" t="inlineStr">
        <is>
          <t>M</t>
        </is>
      </c>
      <c r="B326" s="215" t="inlineStr">
        <is>
          <t>100 Breast</t>
        </is>
      </c>
      <c r="C326" s="189" t="n">
        <v>2022</v>
      </c>
      <c r="D326" s="215" t="inlineStr">
        <is>
          <t>VIE</t>
        </is>
      </c>
      <c r="E326" s="219" t="n">
        <v>1</v>
      </c>
      <c r="F326" s="215" t="inlineStr">
        <is>
          <t>1:01.17</t>
        </is>
      </c>
      <c r="G326" s="202" t="n">
        <v>2001</v>
      </c>
      <c r="H326" s="202">
        <f>C326-G326</f>
        <v/>
      </c>
      <c r="I326" s="206" t="inlineStr">
        <is>
          <t>Thanh Bao Pham</t>
        </is>
      </c>
      <c r="J326" s="215" t="n"/>
      <c r="K326" s="215" t="n"/>
      <c r="L326" s="217" t="n"/>
    </row>
    <row r="327">
      <c r="A327" s="220" t="inlineStr">
        <is>
          <t>M</t>
        </is>
      </c>
      <c r="B327" s="211" t="inlineStr">
        <is>
          <t>100 Fly</t>
        </is>
      </c>
      <c r="C327" s="190" t="n">
        <v>2022</v>
      </c>
      <c r="D327" s="211" t="inlineStr">
        <is>
          <t>SGP</t>
        </is>
      </c>
      <c r="E327" s="221" t="n">
        <v>1</v>
      </c>
      <c r="F327" s="211" t="inlineStr">
        <is>
          <t>52.22</t>
        </is>
      </c>
      <c r="G327" s="215" t="n">
        <v>1995</v>
      </c>
      <c r="H327" s="202">
        <f>C327-G327</f>
        <v/>
      </c>
      <c r="I327" s="215" t="inlineStr">
        <is>
          <t>Joseph Schooling</t>
        </is>
      </c>
      <c r="J327" s="211" t="inlineStr">
        <is>
          <t>Texas</t>
        </is>
      </c>
      <c r="K327" s="211" t="inlineStr">
        <is>
          <t>USA</t>
        </is>
      </c>
      <c r="L327" s="213" t="inlineStr">
        <is>
          <t>Prep School (Bolles)</t>
        </is>
      </c>
    </row>
    <row r="328">
      <c r="A328" s="218" t="inlineStr">
        <is>
          <t>M</t>
        </is>
      </c>
      <c r="B328" s="215" t="inlineStr">
        <is>
          <t>100 Free</t>
        </is>
      </c>
      <c r="C328" s="189" t="n">
        <v>2022</v>
      </c>
      <c r="D328" s="215" t="inlineStr">
        <is>
          <t>SGP</t>
        </is>
      </c>
      <c r="E328" s="219" t="n">
        <v>1</v>
      </c>
      <c r="F328" s="215" t="inlineStr">
        <is>
          <t>49.57</t>
        </is>
      </c>
      <c r="G328" s="195" t="n">
        <v>1996</v>
      </c>
      <c r="H328" s="195">
        <f>C328-G328</f>
        <v/>
      </c>
      <c r="I328" s="200" t="inlineStr">
        <is>
          <t>Zheng Wen Quah</t>
        </is>
      </c>
      <c r="J328" s="200" t="inlineStr">
        <is>
          <t>California Berkeley</t>
        </is>
      </c>
      <c r="K328" s="200" t="inlineStr">
        <is>
          <t>USA</t>
        </is>
      </c>
      <c r="L328" s="217" t="n"/>
    </row>
    <row r="329">
      <c r="A329" s="220" t="inlineStr">
        <is>
          <t>M</t>
        </is>
      </c>
      <c r="B329" s="211" t="inlineStr">
        <is>
          <t>1500 Free</t>
        </is>
      </c>
      <c r="C329" s="190" t="n">
        <v>2022</v>
      </c>
      <c r="D329" s="211" t="inlineStr">
        <is>
          <t>VIE</t>
        </is>
      </c>
      <c r="E329" s="221" t="n">
        <v>1</v>
      </c>
      <c r="F329" s="211" t="inlineStr">
        <is>
          <t>15:00.75</t>
        </is>
      </c>
      <c r="G329" s="211" t="n">
        <v>2000</v>
      </c>
      <c r="H329" s="211">
        <f>C329-G329</f>
        <v/>
      </c>
      <c r="I329" s="211" t="inlineStr">
        <is>
          <t>Huy Hoang Nguyen</t>
        </is>
      </c>
      <c r="J329" s="211" t="n"/>
      <c r="K329" s="211" t="n"/>
      <c r="L329" s="213" t="n"/>
    </row>
    <row r="330">
      <c r="A330" s="218" t="inlineStr">
        <is>
          <t>M</t>
        </is>
      </c>
      <c r="B330" s="215" t="inlineStr">
        <is>
          <t>200 Back</t>
        </is>
      </c>
      <c r="C330" s="189" t="n">
        <v>2022</v>
      </c>
      <c r="D330" s="215" t="inlineStr">
        <is>
          <t>VIE</t>
        </is>
      </c>
      <c r="E330" s="219" t="n">
        <v>1</v>
      </c>
      <c r="F330" s="215" t="inlineStr">
        <is>
          <t>2:01.58</t>
        </is>
      </c>
      <c r="G330" s="202" t="n">
        <v>2003</v>
      </c>
      <c r="H330" s="197">
        <f>C330-G330</f>
        <v/>
      </c>
      <c r="I330" s="206" t="inlineStr">
        <is>
          <t>Hung Nguyen Tran</t>
        </is>
      </c>
      <c r="J330" s="215" t="n"/>
      <c r="K330" s="215" t="n"/>
      <c r="L330" s="217" t="n"/>
    </row>
    <row r="331">
      <c r="A331" s="220" t="inlineStr">
        <is>
          <t>M</t>
        </is>
      </c>
      <c r="B331" s="211" t="inlineStr">
        <is>
          <t>200 Breast</t>
        </is>
      </c>
      <c r="C331" s="190" t="n">
        <v>2022</v>
      </c>
      <c r="D331" s="211" t="inlineStr">
        <is>
          <t>SGP</t>
        </is>
      </c>
      <c r="E331" s="221" t="n">
        <v>1</v>
      </c>
      <c r="F331" s="211" t="inlineStr">
        <is>
          <t>2:11.93</t>
        </is>
      </c>
      <c r="G331" s="196" t="n">
        <v>2001</v>
      </c>
      <c r="H331" s="196">
        <f>C331-G331</f>
        <v/>
      </c>
      <c r="I331" s="198" t="inlineStr">
        <is>
          <t>Maximillan Wei Ang</t>
        </is>
      </c>
      <c r="J331" s="211" t="n"/>
      <c r="K331" s="211" t="n"/>
      <c r="L331" s="213" t="n"/>
    </row>
    <row r="332">
      <c r="A332" s="218" t="inlineStr">
        <is>
          <t>M</t>
        </is>
      </c>
      <c r="B332" s="215" t="inlineStr">
        <is>
          <t>200 Fly</t>
        </is>
      </c>
      <c r="C332" s="189" t="n">
        <v>2022</v>
      </c>
      <c r="D332" s="215" t="inlineStr">
        <is>
          <t>VIE</t>
        </is>
      </c>
      <c r="E332" s="219" t="n">
        <v>1</v>
      </c>
      <c r="F332" s="215" t="inlineStr">
        <is>
          <t>1:58.81</t>
        </is>
      </c>
      <c r="G332" s="195" t="n">
        <v>2000</v>
      </c>
      <c r="H332" s="195">
        <f>C332-G332</f>
        <v/>
      </c>
      <c r="I332" s="200" t="inlineStr">
        <is>
          <t>Huy Hoang Nguyen</t>
        </is>
      </c>
      <c r="J332" s="215" t="n"/>
      <c r="K332" s="215" t="n"/>
      <c r="L332" s="217" t="n"/>
    </row>
    <row r="333">
      <c r="A333" s="220" t="inlineStr">
        <is>
          <t>M</t>
        </is>
      </c>
      <c r="B333" s="211" t="inlineStr">
        <is>
          <t>200 Free</t>
        </is>
      </c>
      <c r="C333" s="190" t="n">
        <v>2022</v>
      </c>
      <c r="D333" s="211" t="inlineStr">
        <is>
          <t>MAS</t>
        </is>
      </c>
      <c r="E333" s="221" t="n">
        <v>1</v>
      </c>
      <c r="F333" s="211" t="inlineStr">
        <is>
          <t>1:47.81</t>
        </is>
      </c>
      <c r="G333" s="195" t="n">
        <v>2002</v>
      </c>
      <c r="H333" s="195">
        <f>C333-G333</f>
        <v/>
      </c>
      <c r="I333" s="200" t="inlineStr">
        <is>
          <t>Khiew Hoe Yean</t>
        </is>
      </c>
      <c r="J333" s="211" t="n"/>
      <c r="K333" s="211" t="n"/>
      <c r="L333" s="213" t="n"/>
    </row>
    <row r="334">
      <c r="A334" s="218" t="inlineStr">
        <is>
          <t>M</t>
        </is>
      </c>
      <c r="B334" s="215" t="inlineStr">
        <is>
          <t>200 IM</t>
        </is>
      </c>
      <c r="C334" s="189" t="n">
        <v>2022</v>
      </c>
      <c r="D334" s="215" t="inlineStr">
        <is>
          <t>VIE</t>
        </is>
      </c>
      <c r="E334" s="219" t="n">
        <v>1</v>
      </c>
      <c r="F334" s="215" t="inlineStr">
        <is>
          <t>2:01.22</t>
        </is>
      </c>
      <c r="G334" s="195" t="n">
        <v>2003</v>
      </c>
      <c r="H334" s="195">
        <f>C334-G334</f>
        <v/>
      </c>
      <c r="I334" s="200" t="inlineStr">
        <is>
          <t>Hung Nguyen Tran</t>
        </is>
      </c>
      <c r="J334" s="215" t="n"/>
      <c r="K334" s="215" t="n"/>
      <c r="L334" s="217" t="n"/>
    </row>
    <row r="335">
      <c r="A335" s="220" t="inlineStr">
        <is>
          <t>M</t>
        </is>
      </c>
      <c r="B335" s="211" t="inlineStr">
        <is>
          <t>400 Free</t>
        </is>
      </c>
      <c r="C335" s="190" t="n">
        <v>2022</v>
      </c>
      <c r="D335" s="211" t="inlineStr">
        <is>
          <t>VIE</t>
        </is>
      </c>
      <c r="E335" s="221" t="n">
        <v>1</v>
      </c>
      <c r="F335" s="211" t="inlineStr">
        <is>
          <t>3:48.06</t>
        </is>
      </c>
      <c r="G335" s="195" t="n">
        <v>2000</v>
      </c>
      <c r="H335" s="195">
        <f>C335-G335</f>
        <v/>
      </c>
      <c r="I335" s="200" t="inlineStr">
        <is>
          <t>Huy Hoang Nguyen</t>
        </is>
      </c>
      <c r="J335" s="211" t="n"/>
      <c r="K335" s="211" t="n"/>
      <c r="L335" s="213" t="n"/>
    </row>
    <row r="336">
      <c r="A336" s="218" t="inlineStr">
        <is>
          <t>M</t>
        </is>
      </c>
      <c r="B336" s="215" t="inlineStr">
        <is>
          <t>400 Free Relay</t>
        </is>
      </c>
      <c r="C336" s="189" t="n">
        <v>2022</v>
      </c>
      <c r="D336" s="215" t="inlineStr">
        <is>
          <t>VIE</t>
        </is>
      </c>
      <c r="E336" s="219" t="n">
        <v>1</v>
      </c>
      <c r="F336" s="215" t="inlineStr">
        <is>
          <t>3:21.81</t>
        </is>
      </c>
      <c r="G336" s="211" t="n"/>
      <c r="H336" s="211" t="n"/>
      <c r="I336" s="211" t="n"/>
      <c r="J336" s="211" t="n"/>
      <c r="K336" s="211" t="n"/>
      <c r="L336" s="217" t="n"/>
    </row>
    <row r="337">
      <c r="A337" s="220" t="inlineStr">
        <is>
          <t>M</t>
        </is>
      </c>
      <c r="B337" s="211" t="inlineStr">
        <is>
          <t>400 IM</t>
        </is>
      </c>
      <c r="C337" s="190" t="n">
        <v>2022</v>
      </c>
      <c r="D337" s="211" t="inlineStr">
        <is>
          <t>VIE</t>
        </is>
      </c>
      <c r="E337" s="221" t="n">
        <v>1</v>
      </c>
      <c r="F337" s="211" t="inlineStr">
        <is>
          <t>4:18.10</t>
        </is>
      </c>
      <c r="G337" s="196" t="n">
        <v>2003</v>
      </c>
      <c r="H337" s="196">
        <f>C337-G337</f>
        <v/>
      </c>
      <c r="I337" s="198" t="inlineStr">
        <is>
          <t>Hung Nguyen Tran</t>
        </is>
      </c>
      <c r="J337" s="211" t="n"/>
      <c r="K337" s="211" t="n"/>
      <c r="L337" s="213" t="n"/>
    </row>
    <row r="338">
      <c r="A338" s="218" t="inlineStr">
        <is>
          <t>M</t>
        </is>
      </c>
      <c r="B338" s="215" t="inlineStr">
        <is>
          <t>400 Medley Relay</t>
        </is>
      </c>
      <c r="C338" s="189" t="n">
        <v>2022</v>
      </c>
      <c r="D338" s="215" t="inlineStr">
        <is>
          <t>SGP</t>
        </is>
      </c>
      <c r="E338" s="219" t="n">
        <v>1</v>
      </c>
      <c r="F338" s="215" t="inlineStr">
        <is>
          <t>3:37.69</t>
        </is>
      </c>
      <c r="G338" s="215" t="n"/>
      <c r="H338" s="215" t="n"/>
      <c r="I338" s="215" t="n"/>
      <c r="J338" s="215" t="n"/>
      <c r="K338" s="215" t="n"/>
      <c r="L338" s="217" t="n"/>
    </row>
    <row r="339">
      <c r="A339" s="220" t="inlineStr">
        <is>
          <t>M</t>
        </is>
      </c>
      <c r="B339" s="211" t="inlineStr">
        <is>
          <t>50 Back</t>
        </is>
      </c>
      <c r="C339" s="190" t="n">
        <v>2022</v>
      </c>
      <c r="D339" s="211" t="inlineStr">
        <is>
          <t>SGP</t>
        </is>
      </c>
      <c r="E339" s="221" t="n">
        <v>1</v>
      </c>
      <c r="F339" s="211" t="inlineStr">
        <is>
          <t>25.83</t>
        </is>
      </c>
      <c r="G339" s="202" t="n">
        <v>1996</v>
      </c>
      <c r="H339" s="202">
        <f>C339-G339</f>
        <v/>
      </c>
      <c r="I339" s="206" t="inlineStr">
        <is>
          <t>Zheng Wen Quah</t>
        </is>
      </c>
      <c r="J339" s="206" t="inlineStr">
        <is>
          <t>California Berkeley</t>
        </is>
      </c>
      <c r="K339" s="206" t="inlineStr">
        <is>
          <t>USA</t>
        </is>
      </c>
      <c r="L339" s="213" t="n"/>
    </row>
    <row r="340">
      <c r="A340" s="218" t="inlineStr">
        <is>
          <t>M</t>
        </is>
      </c>
      <c r="B340" s="215" t="inlineStr">
        <is>
          <t>50 Breast</t>
        </is>
      </c>
      <c r="C340" s="189" t="n">
        <v>2022</v>
      </c>
      <c r="D340" s="215" t="inlineStr">
        <is>
          <t>VIE</t>
        </is>
      </c>
      <c r="E340" s="219" t="n">
        <v>1</v>
      </c>
      <c r="F340" s="215" t="inlineStr">
        <is>
          <t>28.28</t>
        </is>
      </c>
      <c r="G340" s="202" t="n">
        <v>2001</v>
      </c>
      <c r="H340" s="202">
        <f>C340-G340</f>
        <v/>
      </c>
      <c r="I340" s="206" t="inlineStr">
        <is>
          <t>Thanh Bao Pham</t>
        </is>
      </c>
      <c r="J340" s="215" t="n"/>
      <c r="K340" s="215" t="n"/>
      <c r="L340" s="217" t="n"/>
    </row>
    <row r="341">
      <c r="A341" s="220" t="inlineStr">
        <is>
          <t>M</t>
        </is>
      </c>
      <c r="B341" s="211" t="inlineStr">
        <is>
          <t>50 Fly</t>
        </is>
      </c>
      <c r="C341" s="190" t="n">
        <v>2022</v>
      </c>
      <c r="D341" s="211" t="inlineStr">
        <is>
          <t>SGP</t>
        </is>
      </c>
      <c r="E341" s="221" t="n">
        <v>1</v>
      </c>
      <c r="F341" s="211" t="inlineStr">
        <is>
          <t>23.04</t>
        </is>
      </c>
      <c r="G341" s="197" t="n">
        <v>1997</v>
      </c>
      <c r="H341" s="197">
        <f>C341-G341</f>
        <v/>
      </c>
      <c r="I341" s="201" t="inlineStr">
        <is>
          <t>Tzen Wei Teong</t>
        </is>
      </c>
      <c r="J341" s="211" t="n"/>
      <c r="K341" s="211" t="n"/>
      <c r="L341" s="213" t="n"/>
    </row>
    <row r="342">
      <c r="A342" s="218" t="inlineStr">
        <is>
          <t>M</t>
        </is>
      </c>
      <c r="B342" s="215" t="inlineStr">
        <is>
          <t>50 Free</t>
        </is>
      </c>
      <c r="C342" s="189" t="n">
        <v>2022</v>
      </c>
      <c r="D342" s="215" t="inlineStr">
        <is>
          <t>SGP</t>
        </is>
      </c>
      <c r="E342" s="219" t="n">
        <v>1</v>
      </c>
      <c r="F342" s="215" t="inlineStr">
        <is>
          <t>21.93</t>
        </is>
      </c>
      <c r="G342" s="202" t="n">
        <v>1997</v>
      </c>
      <c r="H342" s="202">
        <f>C342-G342</f>
        <v/>
      </c>
      <c r="I342" s="206" t="inlineStr">
        <is>
          <t>Tzen Wei Teong</t>
        </is>
      </c>
      <c r="J342" s="215" t="n"/>
      <c r="K342" s="215" t="n"/>
      <c r="L342" s="217" t="n"/>
    </row>
    <row r="343">
      <c r="A343" s="220" t="inlineStr">
        <is>
          <t>M</t>
        </is>
      </c>
      <c r="B343" s="211" t="inlineStr">
        <is>
          <t>800 Free Relay</t>
        </is>
      </c>
      <c r="C343" s="190" t="n">
        <v>2022</v>
      </c>
      <c r="D343" s="211" t="inlineStr">
        <is>
          <t>VIE</t>
        </is>
      </c>
      <c r="E343" s="221" t="n">
        <v>1</v>
      </c>
      <c r="F343" s="211" t="inlineStr">
        <is>
          <t>7:16.31</t>
        </is>
      </c>
      <c r="G343" s="211" t="n"/>
      <c r="H343" s="211" t="n"/>
      <c r="I343" s="211" t="n"/>
      <c r="J343" s="211" t="n"/>
      <c r="K343" s="211" t="n"/>
      <c r="L343" s="213" t="n"/>
    </row>
    <row r="344">
      <c r="A344" s="218" t="inlineStr">
        <is>
          <t>F</t>
        </is>
      </c>
      <c r="B344" s="215" t="inlineStr">
        <is>
          <t>100 Back</t>
        </is>
      </c>
      <c r="C344" s="189" t="n">
        <v>2019</v>
      </c>
      <c r="D344" s="215" t="inlineStr">
        <is>
          <t>PHI</t>
        </is>
      </c>
      <c r="E344" s="219" t="n">
        <v>3</v>
      </c>
      <c r="F344" s="215" t="inlineStr">
        <is>
          <t>1:04.08</t>
        </is>
      </c>
      <c r="G344" s="215" t="n">
        <v>1993</v>
      </c>
      <c r="H344" s="215">
        <f>C344-G344</f>
        <v/>
      </c>
      <c r="I344" s="215" t="inlineStr">
        <is>
          <t>Jasmine Alkhaldi</t>
        </is>
      </c>
      <c r="J344" s="215" t="inlineStr">
        <is>
          <t>Hawaii</t>
        </is>
      </c>
      <c r="K344" s="215" t="inlineStr">
        <is>
          <t>USA</t>
        </is>
      </c>
      <c r="L344" s="217" t="n"/>
    </row>
    <row r="345">
      <c r="A345" s="220" t="inlineStr">
        <is>
          <t>F</t>
        </is>
      </c>
      <c r="B345" s="211" t="inlineStr">
        <is>
          <t>100 Breast</t>
        </is>
      </c>
      <c r="C345" s="190" t="n">
        <v>2019</v>
      </c>
      <c r="D345" s="211" t="inlineStr">
        <is>
          <t>THA</t>
        </is>
      </c>
      <c r="E345" s="221" t="n">
        <v>3</v>
      </c>
      <c r="F345" s="211" t="inlineStr">
        <is>
          <t>1:10.70</t>
        </is>
      </c>
      <c r="G345" s="211" t="n">
        <v>2003</v>
      </c>
      <c r="H345" s="196">
        <f>C345-G345</f>
        <v/>
      </c>
      <c r="I345" s="211" t="inlineStr">
        <is>
          <t>Nisha Kukanakorn</t>
        </is>
      </c>
      <c r="J345" s="211" t="n"/>
      <c r="K345" s="211" t="n"/>
      <c r="L345" s="213" t="n"/>
    </row>
    <row r="346">
      <c r="A346" s="218" t="inlineStr">
        <is>
          <t>F</t>
        </is>
      </c>
      <c r="B346" s="215" t="inlineStr">
        <is>
          <t>100 Fly</t>
        </is>
      </c>
      <c r="C346" s="189" t="n">
        <v>2019</v>
      </c>
      <c r="D346" s="215" t="inlineStr">
        <is>
          <t>PHI</t>
        </is>
      </c>
      <c r="E346" s="219" t="n">
        <v>3</v>
      </c>
      <c r="F346" s="215" t="inlineStr">
        <is>
          <t>1:00.39</t>
        </is>
      </c>
      <c r="G346" s="215" t="n">
        <v>1993</v>
      </c>
      <c r="H346" s="215">
        <f>C346-G346</f>
        <v/>
      </c>
      <c r="I346" s="215" t="inlineStr">
        <is>
          <t>Jasmine Alkhaldi</t>
        </is>
      </c>
      <c r="J346" s="215" t="inlineStr">
        <is>
          <t>Hawaii</t>
        </is>
      </c>
      <c r="K346" s="215" t="inlineStr">
        <is>
          <t>USA</t>
        </is>
      </c>
      <c r="L346" s="217" t="n"/>
    </row>
    <row r="347">
      <c r="A347" s="220" t="inlineStr">
        <is>
          <t>F</t>
        </is>
      </c>
      <c r="B347" s="211" t="inlineStr">
        <is>
          <t>100 Free</t>
        </is>
      </c>
      <c r="C347" s="190" t="n">
        <v>2019</v>
      </c>
      <c r="D347" s="211" t="inlineStr">
        <is>
          <t>PHI</t>
        </is>
      </c>
      <c r="E347" s="221" t="n">
        <v>3</v>
      </c>
      <c r="F347" s="211" t="inlineStr">
        <is>
          <t>55.76</t>
        </is>
      </c>
      <c r="G347" s="211" t="n">
        <v>1993</v>
      </c>
      <c r="H347" s="211">
        <f>C347-G347</f>
        <v/>
      </c>
      <c r="I347" s="211" t="inlineStr">
        <is>
          <t>Jasmine Alkhaldi</t>
        </is>
      </c>
      <c r="J347" s="211" t="inlineStr">
        <is>
          <t>Hawaii</t>
        </is>
      </c>
      <c r="K347" s="211" t="inlineStr">
        <is>
          <t>USA</t>
        </is>
      </c>
      <c r="L347" s="213" t="n"/>
    </row>
    <row r="348">
      <c r="A348" s="218" t="inlineStr">
        <is>
          <t>F</t>
        </is>
      </c>
      <c r="B348" s="215" t="inlineStr">
        <is>
          <t>200 Back</t>
        </is>
      </c>
      <c r="C348" s="189" t="n">
        <v>2019</v>
      </c>
      <c r="D348" s="215" t="inlineStr">
        <is>
          <t>PHI</t>
        </is>
      </c>
      <c r="E348" s="219" t="n">
        <v>3</v>
      </c>
      <c r="F348" s="215" t="inlineStr">
        <is>
          <t>2:18.48</t>
        </is>
      </c>
      <c r="G348" s="215" t="n">
        <v>1998</v>
      </c>
      <c r="H348" s="215">
        <f>C348-G348</f>
        <v/>
      </c>
      <c r="I348" s="215" t="inlineStr">
        <is>
          <t>Chloe Kennedy Anne Isleta</t>
        </is>
      </c>
      <c r="J348" s="215" t="inlineStr">
        <is>
          <t>ASU</t>
        </is>
      </c>
      <c r="K348" s="215" t="inlineStr">
        <is>
          <t>USA</t>
        </is>
      </c>
      <c r="L348" s="217" t="inlineStr">
        <is>
          <t>USA</t>
        </is>
      </c>
    </row>
    <row r="349">
      <c r="A349" s="220" t="inlineStr">
        <is>
          <t>F</t>
        </is>
      </c>
      <c r="B349" s="211" t="inlineStr">
        <is>
          <t>200 Breast</t>
        </is>
      </c>
      <c r="C349" s="190" t="n">
        <v>2019</v>
      </c>
      <c r="D349" s="211" t="inlineStr">
        <is>
          <t>MAS</t>
        </is>
      </c>
      <c r="E349" s="221" t="n">
        <v>3</v>
      </c>
      <c r="F349" s="211" t="inlineStr">
        <is>
          <t>2:32.38</t>
        </is>
      </c>
      <c r="G349" s="211" t="n">
        <v>1997</v>
      </c>
      <c r="H349" s="211">
        <f>C349-G349</f>
        <v/>
      </c>
      <c r="I349" s="211" t="inlineStr">
        <is>
          <t>Phee Jinq EN</t>
        </is>
      </c>
      <c r="J349" s="211" t="inlineStr">
        <is>
          <t>Purdue</t>
        </is>
      </c>
      <c r="K349" s="211" t="inlineStr">
        <is>
          <t>USA</t>
        </is>
      </c>
      <c r="L349" s="213" t="n"/>
    </row>
    <row r="350">
      <c r="A350" s="218" t="inlineStr">
        <is>
          <t>F</t>
        </is>
      </c>
      <c r="B350" s="215" t="inlineStr">
        <is>
          <t>200 Fly</t>
        </is>
      </c>
      <c r="C350" s="189" t="n">
        <v>2019</v>
      </c>
      <c r="D350" s="215" t="inlineStr">
        <is>
          <t>VIE</t>
        </is>
      </c>
      <c r="E350" s="219" t="n">
        <v>3</v>
      </c>
      <c r="F350" s="215" t="inlineStr">
        <is>
          <t>2:12.70</t>
        </is>
      </c>
      <c r="G350" s="215" t="n">
        <v>1996</v>
      </c>
      <c r="H350" s="202">
        <f>C350-G350</f>
        <v/>
      </c>
      <c r="I350" s="590" t="inlineStr">
        <is>
          <t>MY Thao LE Thi</t>
        </is>
      </c>
      <c r="J350" s="215" t="n"/>
      <c r="K350" s="215" t="n"/>
      <c r="L350" s="217" t="n"/>
    </row>
    <row r="351">
      <c r="A351" s="220" t="inlineStr">
        <is>
          <t>F</t>
        </is>
      </c>
      <c r="B351" s="211" t="inlineStr">
        <is>
          <t>200 Free</t>
        </is>
      </c>
      <c r="C351" s="190" t="n">
        <v>2019</v>
      </c>
      <c r="D351" s="211" t="inlineStr">
        <is>
          <t>PHI</t>
        </is>
      </c>
      <c r="E351" s="221" t="n">
        <v>3</v>
      </c>
      <c r="F351" s="211" t="inlineStr">
        <is>
          <t>2:01.64</t>
        </is>
      </c>
      <c r="G351" s="211" t="n">
        <v>1996</v>
      </c>
      <c r="H351" s="211">
        <f>C351-G351</f>
        <v/>
      </c>
      <c r="I351" s="211" t="inlineStr">
        <is>
          <t>Remedy Rule</t>
        </is>
      </c>
      <c r="J351" s="211" t="inlineStr">
        <is>
          <t>Texas</t>
        </is>
      </c>
      <c r="K351" s="211" t="inlineStr">
        <is>
          <t>USA</t>
        </is>
      </c>
      <c r="L351" s="213" t="inlineStr">
        <is>
          <t>USA</t>
        </is>
      </c>
    </row>
    <row r="352">
      <c r="A352" s="218" t="inlineStr">
        <is>
          <t>F</t>
        </is>
      </c>
      <c r="B352" s="215" t="inlineStr">
        <is>
          <t>200 IM</t>
        </is>
      </c>
      <c r="C352" s="189" t="n">
        <v>2019</v>
      </c>
      <c r="D352" s="215" t="inlineStr">
        <is>
          <t>THA</t>
        </is>
      </c>
      <c r="E352" s="219" t="n">
        <v>3</v>
      </c>
      <c r="F352" s="215" t="inlineStr">
        <is>
          <t>2:18.01</t>
        </is>
      </c>
      <c r="G352" s="215" t="n">
        <v>2005</v>
      </c>
      <c r="H352" s="215">
        <f>C352-G352</f>
        <v/>
      </c>
      <c r="I352" s="215" t="inlineStr">
        <is>
          <t>Jinjutha Pholjamjumrus</t>
        </is>
      </c>
      <c r="J352" s="215" t="n"/>
      <c r="K352" s="215" t="n"/>
      <c r="L352" s="217" t="n"/>
    </row>
    <row r="353">
      <c r="A353" s="220" t="inlineStr">
        <is>
          <t>F</t>
        </is>
      </c>
      <c r="B353" s="211" t="inlineStr">
        <is>
          <t>400 Free</t>
        </is>
      </c>
      <c r="C353" s="190" t="n">
        <v>2019</v>
      </c>
      <c r="D353" s="211" t="inlineStr">
        <is>
          <t>THA</t>
        </is>
      </c>
      <c r="E353" s="221" t="n">
        <v>3</v>
      </c>
      <c r="F353" s="211" t="inlineStr">
        <is>
          <t>4:17.59</t>
        </is>
      </c>
      <c r="G353" s="211" t="n">
        <v>1986</v>
      </c>
      <c r="H353" s="211">
        <f>C353-G353</f>
        <v/>
      </c>
      <c r="I353" s="211" t="inlineStr">
        <is>
          <t>Natthanan Junkrajang</t>
        </is>
      </c>
      <c r="J353" s="211" t="n"/>
      <c r="K353" s="211" t="n"/>
      <c r="L353" s="213" t="n"/>
    </row>
    <row r="354">
      <c r="A354" s="218" t="inlineStr">
        <is>
          <t>F</t>
        </is>
      </c>
      <c r="B354" s="215" t="inlineStr">
        <is>
          <t>400 Free Relay</t>
        </is>
      </c>
      <c r="C354" s="189" t="n">
        <v>2019</v>
      </c>
      <c r="D354" s="215" t="inlineStr">
        <is>
          <t>THA</t>
        </is>
      </c>
      <c r="E354" s="219" t="n">
        <v>3</v>
      </c>
      <c r="F354" s="215" t="inlineStr">
        <is>
          <t>3:48.30</t>
        </is>
      </c>
      <c r="G354" s="215" t="n"/>
      <c r="H354" s="215" t="n"/>
      <c r="I354" s="215" t="n"/>
      <c r="J354" s="215" t="n"/>
      <c r="K354" s="215" t="n"/>
      <c r="L354" s="217" t="n"/>
    </row>
    <row r="355">
      <c r="A355" s="220" t="inlineStr">
        <is>
          <t>F</t>
        </is>
      </c>
      <c r="B355" s="211" t="inlineStr">
        <is>
          <t>400 IM</t>
        </is>
      </c>
      <c r="C355" s="190" t="n">
        <v>2019</v>
      </c>
      <c r="D355" s="211" t="inlineStr">
        <is>
          <t>IND</t>
        </is>
      </c>
      <c r="E355" s="221" t="n">
        <v>3</v>
      </c>
      <c r="F355" s="211" t="inlineStr">
        <is>
          <t>4:49.55</t>
        </is>
      </c>
      <c r="G355" s="211" t="n">
        <v>2002</v>
      </c>
      <c r="H355" s="211">
        <f>C355-G355</f>
        <v/>
      </c>
      <c r="I355" s="211" t="inlineStr">
        <is>
          <t>Azzahra Permatahani</t>
        </is>
      </c>
      <c r="J355" s="211" t="n"/>
      <c r="K355" s="211" t="n"/>
      <c r="L355" s="213" t="n"/>
    </row>
    <row r="356">
      <c r="A356" s="218" t="inlineStr">
        <is>
          <t>F</t>
        </is>
      </c>
      <c r="B356" s="215" t="inlineStr">
        <is>
          <t>400 Medley Relay</t>
        </is>
      </c>
      <c r="C356" s="189" t="n">
        <v>2019</v>
      </c>
      <c r="D356" s="215" t="inlineStr">
        <is>
          <t>THA</t>
        </is>
      </c>
      <c r="E356" s="219" t="n">
        <v>3</v>
      </c>
      <c r="F356" s="215" t="inlineStr">
        <is>
          <t>4:14.35</t>
        </is>
      </c>
      <c r="G356" s="215" t="n"/>
      <c r="H356" s="215" t="n"/>
      <c r="I356" s="215" t="n"/>
      <c r="J356" s="215" t="n"/>
      <c r="K356" s="215" t="n"/>
      <c r="L356" s="217" t="n"/>
    </row>
    <row r="357">
      <c r="A357" s="220" t="inlineStr">
        <is>
          <t>F</t>
        </is>
      </c>
      <c r="B357" s="211" t="inlineStr">
        <is>
          <t>50 Back</t>
        </is>
      </c>
      <c r="C357" s="190" t="n">
        <v>2019</v>
      </c>
      <c r="D357" s="211" t="inlineStr">
        <is>
          <t>IND</t>
        </is>
      </c>
      <c r="E357" s="221" t="n">
        <v>3</v>
      </c>
      <c r="F357" s="211" t="inlineStr">
        <is>
          <t>29.77</t>
        </is>
      </c>
      <c r="G357" s="211" t="n">
        <v>1998</v>
      </c>
      <c r="H357" s="211">
        <f>C357-G357</f>
        <v/>
      </c>
      <c r="I357" s="211" t="inlineStr">
        <is>
          <t>Anak Agung Istri Kania Ratih Atmaja</t>
        </is>
      </c>
      <c r="J357" s="211" t="n"/>
      <c r="K357" s="211" t="n"/>
      <c r="L357" s="213" t="n"/>
    </row>
    <row r="358">
      <c r="A358" s="218" t="inlineStr">
        <is>
          <t>F</t>
        </is>
      </c>
      <c r="B358" s="215" t="inlineStr">
        <is>
          <t>50 Breast</t>
        </is>
      </c>
      <c r="C358" s="189" t="n">
        <v>2019</v>
      </c>
      <c r="D358" s="215" t="inlineStr">
        <is>
          <t>SGP</t>
        </is>
      </c>
      <c r="E358" s="219" t="n">
        <v>3</v>
      </c>
      <c r="F358" s="215" t="inlineStr">
        <is>
          <t>31.43</t>
        </is>
      </c>
      <c r="G358" s="215" t="n">
        <v>2000</v>
      </c>
      <c r="H358" s="215">
        <f>C358-G358</f>
        <v/>
      </c>
      <c r="I358" s="215" t="inlineStr">
        <is>
          <t>Christie May Mun EE Chue</t>
        </is>
      </c>
      <c r="J358" s="215" t="inlineStr">
        <is>
          <t>FIU</t>
        </is>
      </c>
      <c r="K358" s="215" t="inlineStr">
        <is>
          <t>USA</t>
        </is>
      </c>
      <c r="L358" s="217" t="n"/>
    </row>
    <row r="359">
      <c r="A359" s="220" t="inlineStr">
        <is>
          <t>F</t>
        </is>
      </c>
      <c r="B359" s="211" t="inlineStr">
        <is>
          <t>50 Fly</t>
        </is>
      </c>
      <c r="C359" s="190" t="n">
        <v>2019</v>
      </c>
      <c r="D359" s="211" t="inlineStr">
        <is>
          <t>PHI</t>
        </is>
      </c>
      <c r="E359" s="221" t="n">
        <v>3</v>
      </c>
      <c r="F359" s="211" t="inlineStr">
        <is>
          <t>27.09</t>
        </is>
      </c>
      <c r="G359" s="211" t="n">
        <v>1993</v>
      </c>
      <c r="H359" s="211">
        <f>C359-G359</f>
        <v/>
      </c>
      <c r="I359" s="211" t="inlineStr">
        <is>
          <t>Jasmine Alkhaldi</t>
        </is>
      </c>
      <c r="J359" s="211" t="inlineStr">
        <is>
          <t>Hawaii</t>
        </is>
      </c>
      <c r="K359" s="211" t="inlineStr">
        <is>
          <t>USA</t>
        </is>
      </c>
      <c r="L359" s="213" t="n"/>
    </row>
    <row r="360">
      <c r="A360" s="218" t="inlineStr">
        <is>
          <t>F</t>
        </is>
      </c>
      <c r="B360" s="215" t="inlineStr">
        <is>
          <t>50 Free</t>
        </is>
      </c>
      <c r="C360" s="189" t="n">
        <v>2019</v>
      </c>
      <c r="D360" s="215" t="inlineStr">
        <is>
          <t>PHI</t>
        </is>
      </c>
      <c r="E360" s="219" t="n">
        <v>3</v>
      </c>
      <c r="F360" s="215" t="inlineStr">
        <is>
          <t>25.48</t>
        </is>
      </c>
      <c r="G360" s="215" t="n">
        <v>1993</v>
      </c>
      <c r="H360" s="215">
        <f>C360-G360</f>
        <v/>
      </c>
      <c r="I360" s="215" t="inlineStr">
        <is>
          <t>Jasmine Alkhaldi</t>
        </is>
      </c>
      <c r="J360" s="215" t="inlineStr">
        <is>
          <t>Hawaii</t>
        </is>
      </c>
      <c r="K360" s="215" t="inlineStr">
        <is>
          <t>USA</t>
        </is>
      </c>
      <c r="L360" s="217" t="n"/>
    </row>
    <row r="361">
      <c r="A361" s="220" t="inlineStr">
        <is>
          <t>F</t>
        </is>
      </c>
      <c r="B361" s="211" t="inlineStr">
        <is>
          <t>800 Free</t>
        </is>
      </c>
      <c r="C361" s="190" t="n">
        <v>2019</v>
      </c>
      <c r="D361" s="211" t="inlineStr">
        <is>
          <t>THA</t>
        </is>
      </c>
      <c r="E361" s="221" t="n">
        <v>3</v>
      </c>
      <c r="F361" s="211" t="inlineStr">
        <is>
          <t>8:50.23</t>
        </is>
      </c>
      <c r="G361" s="196" t="n">
        <v>2005</v>
      </c>
      <c r="H361" s="196">
        <f>C361-G361</f>
        <v/>
      </c>
      <c r="I361" s="198" t="inlineStr">
        <is>
          <t>Kamonchanok Kwanmuang</t>
        </is>
      </c>
      <c r="J361" s="211" t="n"/>
      <c r="K361" s="211" t="n"/>
      <c r="L361" s="213" t="n"/>
    </row>
    <row r="362">
      <c r="A362" s="218" t="inlineStr">
        <is>
          <t>F</t>
        </is>
      </c>
      <c r="B362" s="215" t="inlineStr">
        <is>
          <t>800 Free Relay</t>
        </is>
      </c>
      <c r="C362" s="189" t="n">
        <v>2019</v>
      </c>
      <c r="D362" s="215" t="inlineStr">
        <is>
          <t>PHI</t>
        </is>
      </c>
      <c r="E362" s="219" t="n">
        <v>3</v>
      </c>
      <c r="F362" s="215" t="inlineStr">
        <is>
          <t>8:15.46</t>
        </is>
      </c>
      <c r="G362" s="215" t="n"/>
      <c r="H362" s="215" t="n"/>
      <c r="I362" s="215" t="n"/>
      <c r="J362" s="215" t="n"/>
      <c r="K362" s="215" t="n"/>
      <c r="L362" s="217" t="n"/>
    </row>
    <row r="363">
      <c r="A363" s="220" t="inlineStr">
        <is>
          <t>M</t>
        </is>
      </c>
      <c r="B363" s="211" t="inlineStr">
        <is>
          <t>100 Back</t>
        </is>
      </c>
      <c r="C363" s="190" t="n">
        <v>2019</v>
      </c>
      <c r="D363" s="211" t="inlineStr">
        <is>
          <t>IND</t>
        </is>
      </c>
      <c r="E363" s="221" t="n">
        <v>3</v>
      </c>
      <c r="F363" s="211" t="inlineStr">
        <is>
          <t>55.68</t>
        </is>
      </c>
      <c r="G363" s="215" t="n">
        <v>1994</v>
      </c>
      <c r="H363" s="211">
        <f>C363-G363</f>
        <v/>
      </c>
      <c r="I363" s="215" t="inlineStr">
        <is>
          <t>I Gede Siman Sudartawa</t>
        </is>
      </c>
      <c r="J363" s="211" t="n"/>
      <c r="K363" s="211" t="n"/>
      <c r="L363" s="213" t="n"/>
    </row>
    <row r="364">
      <c r="A364" s="218" t="inlineStr">
        <is>
          <t>M</t>
        </is>
      </c>
      <c r="B364" s="215" t="inlineStr">
        <is>
          <t>100 Breast</t>
        </is>
      </c>
      <c r="C364" s="189" t="n">
        <v>2019</v>
      </c>
      <c r="D364" s="215" t="inlineStr">
        <is>
          <t>SGP</t>
        </is>
      </c>
      <c r="E364" s="219" t="n">
        <v>3</v>
      </c>
      <c r="F364" s="215" t="inlineStr">
        <is>
          <t>1:01.98</t>
        </is>
      </c>
      <c r="G364" s="215" t="n">
        <v>1995</v>
      </c>
      <c r="H364" s="202">
        <f>C364-G364</f>
        <v/>
      </c>
      <c r="I364" s="215" t="inlineStr">
        <is>
          <t>Lionel Khoo</t>
        </is>
      </c>
      <c r="J364" s="215" t="inlineStr">
        <is>
          <t>South Carolina</t>
        </is>
      </c>
      <c r="K364" s="215" t="inlineStr">
        <is>
          <t>USA</t>
        </is>
      </c>
      <c r="L364" s="217" t="n"/>
    </row>
    <row r="365">
      <c r="A365" s="220" t="inlineStr">
        <is>
          <t>M</t>
        </is>
      </c>
      <c r="B365" s="211" t="inlineStr">
        <is>
          <t>100 Fly</t>
        </is>
      </c>
      <c r="C365" s="190" t="n">
        <v>2019</v>
      </c>
      <c r="D365" s="211" t="inlineStr">
        <is>
          <t>VIE</t>
        </is>
      </c>
      <c r="E365" s="221" t="n">
        <v>3</v>
      </c>
      <c r="F365" s="211" t="inlineStr">
        <is>
          <t>53.89</t>
        </is>
      </c>
      <c r="G365" s="197" t="n">
        <v>1992</v>
      </c>
      <c r="H365" s="197">
        <f>C365-G365</f>
        <v/>
      </c>
      <c r="I365" s="201" t="inlineStr">
        <is>
          <t>Paul LE Nguyen</t>
        </is>
      </c>
      <c r="J365" s="201" t="inlineStr">
        <is>
          <t>Missouri State</t>
        </is>
      </c>
      <c r="K365" s="201" t="inlineStr">
        <is>
          <t>USA</t>
        </is>
      </c>
      <c r="L365" s="203" t="inlineStr">
        <is>
          <t>USA</t>
        </is>
      </c>
    </row>
    <row r="366">
      <c r="A366" s="218" t="inlineStr">
        <is>
          <t>M</t>
        </is>
      </c>
      <c r="B366" s="215" t="inlineStr">
        <is>
          <t>100 Free</t>
        </is>
      </c>
      <c r="C366" s="189" t="n">
        <v>2019</v>
      </c>
      <c r="D366" s="215" t="inlineStr">
        <is>
          <t>VIE</t>
        </is>
      </c>
      <c r="E366" s="219" t="n">
        <v>3</v>
      </c>
      <c r="F366" s="215" t="inlineStr">
        <is>
          <t>50.08</t>
        </is>
      </c>
      <c r="G366" s="215" t="n">
        <v>1993</v>
      </c>
      <c r="H366" s="215">
        <f>C366-G366</f>
        <v/>
      </c>
      <c r="I366" s="215" t="inlineStr">
        <is>
          <t>Hoàng Quý Phước</t>
        </is>
      </c>
      <c r="J366" s="215" t="n"/>
      <c r="K366" s="215" t="n"/>
      <c r="L366" s="217" t="n"/>
    </row>
    <row r="367">
      <c r="A367" s="220" t="inlineStr">
        <is>
          <t>M</t>
        </is>
      </c>
      <c r="B367" s="211" t="inlineStr">
        <is>
          <t>1500 Free</t>
        </is>
      </c>
      <c r="C367" s="190" t="n">
        <v>2019</v>
      </c>
      <c r="D367" s="211" t="inlineStr">
        <is>
          <t>VIE</t>
        </is>
      </c>
      <c r="E367" s="221" t="n">
        <v>3</v>
      </c>
      <c r="F367" s="211" t="inlineStr">
        <is>
          <t>15:18.87</t>
        </is>
      </c>
      <c r="G367" s="197" t="n">
        <v>2002</v>
      </c>
      <c r="H367" s="197">
        <f>C367-G367</f>
        <v/>
      </c>
      <c r="I367" s="201" t="inlineStr">
        <is>
          <t>Huu Kim Son Nguyen</t>
        </is>
      </c>
      <c r="J367" s="211" t="n"/>
      <c r="K367" s="211" t="n"/>
      <c r="L367" s="213" t="n"/>
    </row>
    <row r="368">
      <c r="A368" s="218" t="inlineStr">
        <is>
          <t>M</t>
        </is>
      </c>
      <c r="B368" s="215" t="inlineStr">
        <is>
          <t>200 Back</t>
        </is>
      </c>
      <c r="C368" s="189" t="n">
        <v>2019</v>
      </c>
      <c r="D368" s="215" t="n"/>
      <c r="E368" s="219" t="n">
        <v>3</v>
      </c>
      <c r="F368" s="215" t="inlineStr">
        <is>
          <t>2:03.89</t>
        </is>
      </c>
      <c r="G368" s="202" t="n">
        <v>2002</v>
      </c>
      <c r="H368" s="202">
        <f>C368-G368</f>
        <v/>
      </c>
      <c r="I368" s="206" t="inlineStr">
        <is>
          <t>Khiew Hoe Yean</t>
        </is>
      </c>
      <c r="J368" s="215" t="n"/>
      <c r="K368" s="215" t="n"/>
      <c r="L368" s="217" t="n"/>
    </row>
    <row r="369">
      <c r="A369" s="220" t="inlineStr">
        <is>
          <t>M</t>
        </is>
      </c>
      <c r="B369" s="211" t="inlineStr">
        <is>
          <t>200 Breast</t>
        </is>
      </c>
      <c r="C369" s="190" t="n">
        <v>2019</v>
      </c>
      <c r="D369" s="211" t="inlineStr">
        <is>
          <t>SGP</t>
        </is>
      </c>
      <c r="E369" s="221" t="n">
        <v>3</v>
      </c>
      <c r="F369" s="211" t="inlineStr">
        <is>
          <t>2:13.96</t>
        </is>
      </c>
      <c r="G369" s="196" t="n">
        <v>2001</v>
      </c>
      <c r="H369" s="196">
        <f>C369-G369</f>
        <v/>
      </c>
      <c r="I369" s="198" t="inlineStr">
        <is>
          <t>Maximillan Wei Ang</t>
        </is>
      </c>
      <c r="J369" s="211" t="n"/>
      <c r="K369" s="211" t="n"/>
      <c r="L369" s="213" t="n"/>
    </row>
    <row r="370">
      <c r="A370" s="218" t="inlineStr">
        <is>
          <t>M</t>
        </is>
      </c>
      <c r="B370" s="215" t="inlineStr">
        <is>
          <t>200 Fly</t>
        </is>
      </c>
      <c r="C370" s="189" t="n">
        <v>2019</v>
      </c>
      <c r="D370" s="215" t="inlineStr">
        <is>
          <t>SGP</t>
        </is>
      </c>
      <c r="E370" s="219" t="n">
        <v>3</v>
      </c>
      <c r="F370" s="215" t="inlineStr">
        <is>
          <t>2:00.53</t>
        </is>
      </c>
      <c r="G370" s="215" t="n">
        <v>2001</v>
      </c>
      <c r="H370" s="195">
        <f>C370-G370</f>
        <v/>
      </c>
      <c r="I370" s="215" t="inlineStr">
        <is>
          <t>Jung Yi Ong</t>
        </is>
      </c>
      <c r="J370" s="215" t="n"/>
      <c r="K370" s="215" t="n"/>
      <c r="L370" s="217" t="n"/>
    </row>
    <row r="371">
      <c r="A371" s="220" t="inlineStr">
        <is>
          <t>M</t>
        </is>
      </c>
      <c r="B371" s="211" t="inlineStr">
        <is>
          <t>200 Free</t>
        </is>
      </c>
      <c r="C371" s="190" t="n">
        <v>2019</v>
      </c>
      <c r="D371" s="211" t="inlineStr">
        <is>
          <t>VIE</t>
        </is>
      </c>
      <c r="E371" s="221" t="n">
        <v>3</v>
      </c>
      <c r="F371" s="211" t="inlineStr">
        <is>
          <t>1:48.59</t>
        </is>
      </c>
      <c r="G371" s="211" t="n">
        <v>1993</v>
      </c>
      <c r="H371" s="196">
        <f>C371-G371</f>
        <v/>
      </c>
      <c r="I371" s="211" t="inlineStr">
        <is>
          <t>Quy Phuoc HOANG</t>
        </is>
      </c>
      <c r="J371" s="211" t="n"/>
      <c r="K371" s="211" t="n"/>
      <c r="L371" s="213" t="n"/>
    </row>
    <row r="372">
      <c r="A372" s="218" t="inlineStr">
        <is>
          <t>M</t>
        </is>
      </c>
      <c r="B372" s="215" t="inlineStr">
        <is>
          <t>200 IM</t>
        </is>
      </c>
      <c r="C372" s="189" t="n">
        <v>2019</v>
      </c>
      <c r="D372" s="215" t="inlineStr">
        <is>
          <t>IND</t>
        </is>
      </c>
      <c r="E372" s="219" t="n">
        <v>3</v>
      </c>
      <c r="F372" s="215" t="inlineStr">
        <is>
          <t>2:02.81</t>
        </is>
      </c>
      <c r="G372" s="590" t="n">
        <v>1991</v>
      </c>
      <c r="H372" s="195">
        <f>C374-G372</f>
        <v/>
      </c>
      <c r="I372" s="590" t="inlineStr">
        <is>
          <t>Triady Fauzi Sidiq</t>
        </is>
      </c>
      <c r="J372" s="215" t="n"/>
      <c r="K372" s="215" t="n"/>
      <c r="L372" s="217" t="n"/>
    </row>
    <row r="373">
      <c r="A373" s="220" t="inlineStr">
        <is>
          <t>M</t>
        </is>
      </c>
      <c r="B373" s="211" t="inlineStr">
        <is>
          <t>400 Free</t>
        </is>
      </c>
      <c r="C373" s="190" t="n">
        <v>2019</v>
      </c>
      <c r="D373" s="211" t="inlineStr">
        <is>
          <t>IND</t>
        </is>
      </c>
      <c r="E373" s="221" t="n">
        <v>3</v>
      </c>
      <c r="F373" s="211" t="inlineStr">
        <is>
          <t>3:52.65</t>
        </is>
      </c>
      <c r="G373" s="211" t="n">
        <v>1997</v>
      </c>
      <c r="H373" s="197">
        <f>C373-G373</f>
        <v/>
      </c>
      <c r="I373" s="211" t="inlineStr">
        <is>
          <t>Aflah Fadlan PRAWIRA</t>
        </is>
      </c>
      <c r="J373" s="211" t="n"/>
      <c r="K373" s="211" t="n"/>
      <c r="L373" s="213" t="n"/>
    </row>
    <row r="374">
      <c r="A374" s="218" t="inlineStr">
        <is>
          <t>M</t>
        </is>
      </c>
      <c r="B374" s="215" t="inlineStr">
        <is>
          <t>400 Free Relay</t>
        </is>
      </c>
      <c r="C374" s="189" t="n">
        <v>2019</v>
      </c>
      <c r="D374" s="215" t="inlineStr">
        <is>
          <t>VIE</t>
        </is>
      </c>
      <c r="E374" s="219" t="n">
        <v>3</v>
      </c>
      <c r="F374" s="215" t="inlineStr">
        <is>
          <t>3:22.45</t>
        </is>
      </c>
      <c r="G374" s="215" t="n"/>
      <c r="H374" s="215" t="n"/>
      <c r="I374" s="215" t="n"/>
      <c r="J374" s="215" t="n"/>
      <c r="K374" s="215" t="n"/>
      <c r="L374" s="217" t="n"/>
    </row>
    <row r="375">
      <c r="A375" s="220" t="inlineStr">
        <is>
          <t>M</t>
        </is>
      </c>
      <c r="B375" s="211" t="inlineStr">
        <is>
          <t>400 IM</t>
        </is>
      </c>
      <c r="C375" s="190" t="n">
        <v>2019</v>
      </c>
      <c r="D375" s="211" t="inlineStr">
        <is>
          <t>VIE</t>
        </is>
      </c>
      <c r="E375" s="221" t="n">
        <v>3</v>
      </c>
      <c r="F375" s="211" t="inlineStr">
        <is>
          <t>4:26.45</t>
        </is>
      </c>
      <c r="G375" s="197" t="n">
        <v>2002</v>
      </c>
      <c r="H375" s="197">
        <f>C375-G375</f>
        <v/>
      </c>
      <c r="I375" s="201" t="inlineStr">
        <is>
          <t>Huu Kim Son Nguyen</t>
        </is>
      </c>
      <c r="J375" s="211" t="n"/>
      <c r="K375" s="211" t="n"/>
      <c r="L375" s="213" t="n"/>
    </row>
    <row r="376">
      <c r="A376" s="218" t="inlineStr">
        <is>
          <t>M</t>
        </is>
      </c>
      <c r="B376" s="215" t="inlineStr">
        <is>
          <t>400 Medley Relay</t>
        </is>
      </c>
      <c r="C376" s="189" t="n">
        <v>2019</v>
      </c>
      <c r="D376" s="215" t="inlineStr">
        <is>
          <t>VIE</t>
        </is>
      </c>
      <c r="E376" s="219" t="n">
        <v>3</v>
      </c>
      <c r="F376" s="215" t="inlineStr">
        <is>
          <t>3:44.36</t>
        </is>
      </c>
      <c r="G376" s="215" t="n"/>
      <c r="H376" s="215" t="n"/>
      <c r="I376" s="215" t="n"/>
      <c r="J376" s="215" t="n"/>
      <c r="K376" s="215" t="n"/>
      <c r="L376" s="217" t="n"/>
    </row>
    <row r="377">
      <c r="A377" s="220" t="inlineStr">
        <is>
          <t>M</t>
        </is>
      </c>
      <c r="B377" s="211" t="inlineStr">
        <is>
          <t>50 Back</t>
        </is>
      </c>
      <c r="C377" s="190" t="n">
        <v>2019</v>
      </c>
      <c r="D377" s="211" t="inlineStr">
        <is>
          <t>VIE</t>
        </is>
      </c>
      <c r="E377" s="221" t="n">
        <v>3</v>
      </c>
      <c r="F377" s="211" t="inlineStr">
        <is>
          <t>25.73</t>
        </is>
      </c>
      <c r="G377" s="197" t="n">
        <v>1992</v>
      </c>
      <c r="H377" s="197">
        <f>C377-G377</f>
        <v/>
      </c>
      <c r="I377" s="201" t="inlineStr">
        <is>
          <t>Paul LE Nguyen</t>
        </is>
      </c>
      <c r="J377" s="201" t="inlineStr">
        <is>
          <t>Missouri State</t>
        </is>
      </c>
      <c r="K377" s="201" t="inlineStr">
        <is>
          <t>USA</t>
        </is>
      </c>
      <c r="L377" s="203" t="inlineStr">
        <is>
          <t>USA</t>
        </is>
      </c>
    </row>
    <row r="378">
      <c r="A378" s="218" t="inlineStr">
        <is>
          <t>M</t>
        </is>
      </c>
      <c r="B378" s="215" t="inlineStr">
        <is>
          <t>50 Breast</t>
        </is>
      </c>
      <c r="C378" s="189" t="n">
        <v>2019</v>
      </c>
      <c r="D378" s="215" t="inlineStr">
        <is>
          <t>IND</t>
        </is>
      </c>
      <c r="E378" s="219" t="n">
        <v>3</v>
      </c>
      <c r="F378" s="215" t="inlineStr">
        <is>
          <t>28.52</t>
        </is>
      </c>
      <c r="G378" s="202" t="n">
        <v>1995</v>
      </c>
      <c r="H378" s="202">
        <f>C378-G378</f>
        <v/>
      </c>
      <c r="I378" s="206" t="inlineStr">
        <is>
          <t>Gagarin Nathaniel Yus</t>
        </is>
      </c>
      <c r="J378" s="215" t="n"/>
      <c r="K378" s="215" t="n"/>
      <c r="L378" s="217" t="n"/>
    </row>
    <row r="379">
      <c r="A379" s="220" t="inlineStr">
        <is>
          <t>M</t>
        </is>
      </c>
      <c r="B379" s="211" t="inlineStr">
        <is>
          <t>50 Fly</t>
        </is>
      </c>
      <c r="C379" s="190" t="n">
        <v>2019</v>
      </c>
      <c r="D379" s="211" t="inlineStr">
        <is>
          <t>IND</t>
        </is>
      </c>
      <c r="E379" s="221" t="n">
        <v>3</v>
      </c>
      <c r="F379" s="211" t="inlineStr">
        <is>
          <t>23.84</t>
        </is>
      </c>
      <c r="G379" s="211" t="n">
        <v>1989</v>
      </c>
      <c r="H379" s="197">
        <f>C379-G379</f>
        <v/>
      </c>
      <c r="I379" s="211" t="inlineStr">
        <is>
          <t>Glenn Victor Sutanto</t>
        </is>
      </c>
      <c r="J379" s="211" t="n"/>
      <c r="K379" s="211" t="n"/>
      <c r="L379" s="213" t="n"/>
    </row>
    <row r="380">
      <c r="A380" s="218" t="inlineStr">
        <is>
          <t>M</t>
        </is>
      </c>
      <c r="B380" s="215" t="inlineStr">
        <is>
          <t>50 Free</t>
        </is>
      </c>
      <c r="C380" s="189" t="n">
        <v>2019</v>
      </c>
      <c r="D380" s="215" t="inlineStr">
        <is>
          <t>PHI</t>
        </is>
      </c>
      <c r="E380" s="219" t="n">
        <v>3</v>
      </c>
      <c r="F380" s="215" t="inlineStr">
        <is>
          <t>22.62</t>
        </is>
      </c>
      <c r="G380" s="215" t="n">
        <v>1996</v>
      </c>
      <c r="H380" s="195">
        <f>C380-G380</f>
        <v/>
      </c>
      <c r="I380" s="215" t="inlineStr">
        <is>
          <t>Luke Michael Gebbie</t>
        </is>
      </c>
      <c r="J380" s="215" t="inlineStr">
        <is>
          <t>Melbourne</t>
        </is>
      </c>
      <c r="K380" s="215" t="inlineStr">
        <is>
          <t>Australia</t>
        </is>
      </c>
      <c r="L380" s="217" t="inlineStr">
        <is>
          <t>Thailand</t>
        </is>
      </c>
    </row>
    <row r="381">
      <c r="A381" s="220" t="inlineStr">
        <is>
          <t>M</t>
        </is>
      </c>
      <c r="B381" s="211" t="inlineStr">
        <is>
          <t>800 Free Relay</t>
        </is>
      </c>
      <c r="C381" s="190" t="n">
        <v>2019</v>
      </c>
      <c r="D381" s="211" t="inlineStr">
        <is>
          <t>MAS</t>
        </is>
      </c>
      <c r="E381" s="221" t="n">
        <v>3</v>
      </c>
      <c r="F381" s="211" t="inlineStr">
        <is>
          <t>7:27.55</t>
        </is>
      </c>
      <c r="G381" s="211" t="n"/>
      <c r="H381" s="211" t="n"/>
      <c r="I381" s="211" t="n"/>
      <c r="J381" s="211" t="n"/>
      <c r="K381" s="211" t="n"/>
      <c r="L381" s="213" t="n"/>
    </row>
    <row r="382">
      <c r="A382" s="218" t="inlineStr">
        <is>
          <t>F</t>
        </is>
      </c>
      <c r="B382" s="215" t="inlineStr">
        <is>
          <t>100 Back</t>
        </is>
      </c>
      <c r="C382" s="189" t="n">
        <v>2019</v>
      </c>
      <c r="D382" s="215" t="inlineStr">
        <is>
          <t>PHI</t>
        </is>
      </c>
      <c r="E382" s="219" t="n">
        <v>2</v>
      </c>
      <c r="F382" s="215" t="inlineStr">
        <is>
          <t>1:03.87</t>
        </is>
      </c>
      <c r="G382" s="215" t="n">
        <v>1998</v>
      </c>
      <c r="H382" s="215">
        <f>C382-G382</f>
        <v/>
      </c>
      <c r="I382" s="215" t="inlineStr">
        <is>
          <t>Chloe Kennedy Anne Isleta</t>
        </is>
      </c>
      <c r="J382" s="215" t="inlineStr">
        <is>
          <t>ASU</t>
        </is>
      </c>
      <c r="K382" s="215" t="inlineStr">
        <is>
          <t>USA</t>
        </is>
      </c>
      <c r="L382" s="217" t="inlineStr">
        <is>
          <t>USA</t>
        </is>
      </c>
    </row>
    <row r="383">
      <c r="A383" s="220" t="inlineStr">
        <is>
          <t>F</t>
        </is>
      </c>
      <c r="B383" s="211" t="inlineStr">
        <is>
          <t>100 Breast</t>
        </is>
      </c>
      <c r="C383" s="190" t="n">
        <v>2019</v>
      </c>
      <c r="D383" s="211" t="inlineStr">
        <is>
          <t>SGP</t>
        </is>
      </c>
      <c r="E383" s="221" t="n">
        <v>2</v>
      </c>
      <c r="F383" s="211" t="inlineStr">
        <is>
          <t>1:09.06</t>
        </is>
      </c>
      <c r="G383" s="211" t="n">
        <v>2000</v>
      </c>
      <c r="H383" s="196">
        <f>C383-G383</f>
        <v/>
      </c>
      <c r="I383" s="613" t="inlineStr">
        <is>
          <t>Christie CHUE</t>
        </is>
      </c>
      <c r="J383" s="211" t="inlineStr">
        <is>
          <t>FIU</t>
        </is>
      </c>
      <c r="K383" s="211" t="inlineStr">
        <is>
          <t>USA</t>
        </is>
      </c>
      <c r="L383" s="213" t="n"/>
    </row>
    <row r="384">
      <c r="A384" s="218" t="inlineStr">
        <is>
          <t>F</t>
        </is>
      </c>
      <c r="B384" s="215" t="inlineStr">
        <is>
          <t>100 Fly</t>
        </is>
      </c>
      <c r="C384" s="189" t="n">
        <v>2019</v>
      </c>
      <c r="D384" s="215" t="inlineStr">
        <is>
          <t>SGP</t>
        </is>
      </c>
      <c r="E384" s="219" t="n">
        <v>2</v>
      </c>
      <c r="F384" s="215" t="inlineStr">
        <is>
          <t>59.73</t>
        </is>
      </c>
      <c r="G384" s="215" t="n">
        <v>1994</v>
      </c>
      <c r="H384" s="215">
        <f>C384-G384</f>
        <v/>
      </c>
      <c r="I384" s="215" t="inlineStr">
        <is>
          <t>Jing Wen Quah</t>
        </is>
      </c>
      <c r="J384" s="215" t="inlineStr">
        <is>
          <t>A&amp;M</t>
        </is>
      </c>
      <c r="K384" s="215" t="inlineStr">
        <is>
          <t>USA</t>
        </is>
      </c>
      <c r="L384" s="217" t="n"/>
    </row>
    <row r="385">
      <c r="A385" s="220" t="inlineStr">
        <is>
          <t>F</t>
        </is>
      </c>
      <c r="B385" s="211" t="inlineStr">
        <is>
          <t>100 Free</t>
        </is>
      </c>
      <c r="C385" s="190" t="n">
        <v>2019</v>
      </c>
      <c r="D385" s="211" t="inlineStr">
        <is>
          <t>SGP</t>
        </is>
      </c>
      <c r="E385" s="221" t="n">
        <v>2</v>
      </c>
      <c r="F385" s="211" t="inlineStr">
        <is>
          <t>55.55</t>
        </is>
      </c>
      <c r="G385" s="211" t="n">
        <v>2001</v>
      </c>
      <c r="H385" s="196">
        <f>C385-G385</f>
        <v/>
      </c>
      <c r="I385" s="211" t="inlineStr">
        <is>
          <t>Cherlyn Yeoh</t>
        </is>
      </c>
      <c r="J385" s="211" t="inlineStr">
        <is>
          <t>Warwick</t>
        </is>
      </c>
      <c r="K385" s="211" t="inlineStr">
        <is>
          <t>UK</t>
        </is>
      </c>
      <c r="L385" s="213" t="n"/>
    </row>
    <row r="386">
      <c r="A386" s="218" t="inlineStr">
        <is>
          <t>F</t>
        </is>
      </c>
      <c r="B386" s="215" t="inlineStr">
        <is>
          <t>200 Back</t>
        </is>
      </c>
      <c r="C386" s="189" t="n">
        <v>2019</v>
      </c>
      <c r="D386" s="215" t="inlineStr">
        <is>
          <t>IND</t>
        </is>
      </c>
      <c r="E386" s="219" t="n">
        <v>2</v>
      </c>
      <c r="F386" s="215" t="inlineStr">
        <is>
          <t>2:17.84</t>
        </is>
      </c>
      <c r="G386" s="215" t="n">
        <v>1996</v>
      </c>
      <c r="H386" s="215">
        <f>C386-G386</f>
        <v/>
      </c>
      <c r="I386" s="215" t="inlineStr">
        <is>
          <t>Nurul Fajar Fitriati</t>
        </is>
      </c>
      <c r="J386" s="215" t="n"/>
      <c r="K386" s="215" t="n"/>
      <c r="L386" s="217" t="n"/>
    </row>
    <row r="387">
      <c r="A387" s="220" t="inlineStr">
        <is>
          <t>F</t>
        </is>
      </c>
      <c r="B387" s="211" t="inlineStr">
        <is>
          <t>200 Breast</t>
        </is>
      </c>
      <c r="C387" s="190" t="n">
        <v>2019</v>
      </c>
      <c r="D387" s="211" t="inlineStr">
        <is>
          <t>THA</t>
        </is>
      </c>
      <c r="E387" s="221" t="n">
        <v>2</v>
      </c>
      <c r="F387" s="211" t="inlineStr">
        <is>
          <t>2:31.47</t>
        </is>
      </c>
      <c r="G387" s="211" t="n">
        <v>1996</v>
      </c>
      <c r="H387" s="211">
        <f>C387-G387</f>
        <v/>
      </c>
      <c r="I387" s="211" t="inlineStr">
        <is>
          <t>Phiangkhwan Pawapotako</t>
        </is>
      </c>
      <c r="J387" s="211" t="n"/>
      <c r="K387" s="211" t="n"/>
      <c r="L387" s="213" t="n"/>
    </row>
    <row r="388">
      <c r="A388" s="218" t="inlineStr">
        <is>
          <t>F</t>
        </is>
      </c>
      <c r="B388" s="215" t="inlineStr">
        <is>
          <t>200 Fly</t>
        </is>
      </c>
      <c r="C388" s="189" t="n">
        <v>2019</v>
      </c>
      <c r="D388" s="215" t="inlineStr">
        <is>
          <t>PHI</t>
        </is>
      </c>
      <c r="E388" s="219" t="n">
        <v>2</v>
      </c>
      <c r="F388" s="215" t="inlineStr">
        <is>
          <t>2:10.99</t>
        </is>
      </c>
      <c r="G388" s="215" t="n">
        <v>1996</v>
      </c>
      <c r="H388" s="215">
        <f>C388-G388</f>
        <v/>
      </c>
      <c r="I388" s="215" t="inlineStr">
        <is>
          <t>Remedy Rule</t>
        </is>
      </c>
      <c r="J388" s="215" t="inlineStr">
        <is>
          <t>Texas</t>
        </is>
      </c>
      <c r="K388" s="215" t="inlineStr">
        <is>
          <t>USA</t>
        </is>
      </c>
      <c r="L388" s="217" t="inlineStr">
        <is>
          <t>USA</t>
        </is>
      </c>
    </row>
    <row r="389">
      <c r="A389" s="220" t="inlineStr">
        <is>
          <t>F</t>
        </is>
      </c>
      <c r="B389" s="211" t="inlineStr">
        <is>
          <t>200 Free</t>
        </is>
      </c>
      <c r="C389" s="190" t="n">
        <v>2019</v>
      </c>
      <c r="D389" s="211" t="inlineStr">
        <is>
          <t>THA</t>
        </is>
      </c>
      <c r="E389" s="221" t="n">
        <v>2</v>
      </c>
      <c r="F389" s="211" t="inlineStr">
        <is>
          <t>2:00.93</t>
        </is>
      </c>
      <c r="G389" s="211" t="n">
        <v>1986</v>
      </c>
      <c r="H389" s="211">
        <f>C389-G389</f>
        <v/>
      </c>
      <c r="I389" s="211" t="inlineStr">
        <is>
          <t>Natthanan Junkrajang</t>
        </is>
      </c>
      <c r="J389" s="211" t="n"/>
      <c r="K389" s="211" t="n"/>
      <c r="L389" s="213" t="n"/>
    </row>
    <row r="390">
      <c r="A390" s="218" t="inlineStr">
        <is>
          <t>F</t>
        </is>
      </c>
      <c r="B390" s="215" t="inlineStr">
        <is>
          <t>200 IM</t>
        </is>
      </c>
      <c r="C390" s="189" t="n">
        <v>2019</v>
      </c>
      <c r="D390" s="215" t="inlineStr">
        <is>
          <t>IND</t>
        </is>
      </c>
      <c r="E390" s="219" t="n">
        <v>2</v>
      </c>
      <c r="F390" s="215" t="inlineStr">
        <is>
          <t>2:16.84</t>
        </is>
      </c>
      <c r="G390" s="215" t="n">
        <v>2002</v>
      </c>
      <c r="H390" s="215">
        <f>C390-G390</f>
        <v/>
      </c>
      <c r="I390" s="215" t="inlineStr">
        <is>
          <t>Azzahra Permatahani</t>
        </is>
      </c>
      <c r="J390" s="215" t="n"/>
      <c r="K390" s="215" t="n"/>
      <c r="L390" s="217" t="n"/>
    </row>
    <row r="391">
      <c r="A391" s="220" t="inlineStr">
        <is>
          <t>F</t>
        </is>
      </c>
      <c r="B391" s="211" t="inlineStr">
        <is>
          <t>400 Free</t>
        </is>
      </c>
      <c r="C391" s="190" t="n">
        <v>2019</v>
      </c>
      <c r="D391" s="211" t="inlineStr">
        <is>
          <t>SGP</t>
        </is>
      </c>
      <c r="E391" s="221" t="n">
        <v>2</v>
      </c>
      <c r="F391" s="211" t="inlineStr">
        <is>
          <t>4:14.56</t>
        </is>
      </c>
      <c r="G391" s="211" t="n">
        <v>2003</v>
      </c>
      <c r="H391" s="211">
        <f>C391-G391</f>
        <v/>
      </c>
      <c r="I391" s="211" t="inlineStr">
        <is>
          <t>Ching Hwee Gan</t>
        </is>
      </c>
      <c r="J391" s="211" t="inlineStr">
        <is>
          <t>Indiana</t>
        </is>
      </c>
      <c r="K391" s="211" t="inlineStr">
        <is>
          <t>USA</t>
        </is>
      </c>
      <c r="L391" s="213" t="n"/>
    </row>
    <row r="392">
      <c r="A392" s="218" t="inlineStr">
        <is>
          <t>F</t>
        </is>
      </c>
      <c r="B392" s="215" t="inlineStr">
        <is>
          <t>400 Free Relay</t>
        </is>
      </c>
      <c r="C392" s="189" t="n">
        <v>2019</v>
      </c>
      <c r="D392" s="215" t="inlineStr">
        <is>
          <t>PHI</t>
        </is>
      </c>
      <c r="E392" s="219" t="n">
        <v>2</v>
      </c>
      <c r="F392" s="215" t="inlineStr">
        <is>
          <t>3:47.05</t>
        </is>
      </c>
      <c r="G392" s="215" t="n"/>
      <c r="H392" s="215" t="n"/>
      <c r="I392" s="215" t="n"/>
      <c r="J392" s="215" t="n"/>
      <c r="K392" s="215" t="n"/>
      <c r="L392" s="217" t="n"/>
    </row>
    <row r="393">
      <c r="A393" s="220" t="inlineStr">
        <is>
          <t>F</t>
        </is>
      </c>
      <c r="B393" s="211" t="inlineStr">
        <is>
          <t>400 IM</t>
        </is>
      </c>
      <c r="C393" s="190" t="n">
        <v>2019</v>
      </c>
      <c r="D393" s="211" t="inlineStr">
        <is>
          <t>THA</t>
        </is>
      </c>
      <c r="E393" s="221" t="n">
        <v>2</v>
      </c>
      <c r="F393" s="211" t="inlineStr">
        <is>
          <t>4:48.43</t>
        </is>
      </c>
      <c r="G393" s="211" t="n">
        <v>2005</v>
      </c>
      <c r="H393" s="211">
        <f>C393-G393</f>
        <v/>
      </c>
      <c r="I393" s="211" t="inlineStr">
        <is>
          <t>Jinjutha Pholjamjumrus</t>
        </is>
      </c>
      <c r="J393" s="211" t="n"/>
      <c r="K393" s="211" t="n"/>
      <c r="L393" s="213" t="n"/>
    </row>
    <row r="394">
      <c r="A394" s="218" t="inlineStr">
        <is>
          <t>F</t>
        </is>
      </c>
      <c r="B394" s="215" t="inlineStr">
        <is>
          <t>400 Medley Relay</t>
        </is>
      </c>
      <c r="C394" s="189" t="n">
        <v>2019</v>
      </c>
      <c r="D394" s="215" t="inlineStr">
        <is>
          <t>PHI</t>
        </is>
      </c>
      <c r="E394" s="219" t="n">
        <v>2</v>
      </c>
      <c r="F394" s="215" t="inlineStr">
        <is>
          <t>4:11.10</t>
        </is>
      </c>
      <c r="G394" s="215" t="n"/>
      <c r="H394" s="215" t="n"/>
      <c r="I394" s="215" t="n"/>
      <c r="J394" s="215" t="n"/>
      <c r="K394" s="215" t="n"/>
      <c r="L394" s="217" t="n"/>
    </row>
    <row r="395">
      <c r="A395" s="220" t="inlineStr">
        <is>
          <t>F</t>
        </is>
      </c>
      <c r="B395" s="211" t="inlineStr">
        <is>
          <t>50 Back</t>
        </is>
      </c>
      <c r="C395" s="190" t="n">
        <v>2019</v>
      </c>
      <c r="D395" s="211" t="inlineStr">
        <is>
          <t>VIE</t>
        </is>
      </c>
      <c r="E395" s="221" t="n">
        <v>2</v>
      </c>
      <c r="F395" s="211" t="inlineStr">
        <is>
          <t>29.64</t>
        </is>
      </c>
      <c r="G395" s="211" t="n">
        <v>1996</v>
      </c>
      <c r="H395" s="211">
        <f>C395-G395</f>
        <v/>
      </c>
      <c r="I395" s="211" t="inlineStr">
        <is>
          <t>Nguyen Thi Anh Vien</t>
        </is>
      </c>
      <c r="J395" s="211" t="n"/>
      <c r="K395" s="211" t="n"/>
      <c r="L395" s="213" t="n"/>
    </row>
    <row r="396">
      <c r="A396" s="218" t="inlineStr">
        <is>
          <t>F</t>
        </is>
      </c>
      <c r="B396" s="215" t="inlineStr">
        <is>
          <t>50 Breast</t>
        </is>
      </c>
      <c r="C396" s="189" t="n">
        <v>2019</v>
      </c>
      <c r="D396" s="215" t="inlineStr">
        <is>
          <t>THA</t>
        </is>
      </c>
      <c r="E396" s="219" t="n">
        <v>2</v>
      </c>
      <c r="F396" s="215" t="inlineStr">
        <is>
          <t>31.41</t>
        </is>
      </c>
      <c r="G396" s="215" t="n">
        <v>1995</v>
      </c>
      <c r="H396" s="215">
        <f>C396-G396</f>
        <v/>
      </c>
      <c r="I396" s="215" t="inlineStr">
        <is>
          <t>Jenjira Srisa-Ard</t>
        </is>
      </c>
      <c r="J396" s="215" t="n"/>
      <c r="K396" s="215" t="n"/>
      <c r="L396" s="217" t="n"/>
    </row>
    <row r="397">
      <c r="A397" s="220" t="inlineStr">
        <is>
          <t>F</t>
        </is>
      </c>
      <c r="B397" s="211" t="inlineStr">
        <is>
          <t>50 Fly</t>
        </is>
      </c>
      <c r="C397" s="190" t="n">
        <v>2019</v>
      </c>
      <c r="D397" s="211" t="inlineStr">
        <is>
          <t>THA</t>
        </is>
      </c>
      <c r="E397" s="221" t="n">
        <v>2</v>
      </c>
      <c r="F397" s="211" t="inlineStr">
        <is>
          <t>26.64</t>
        </is>
      </c>
      <c r="G397" s="197" t="n">
        <v>1995</v>
      </c>
      <c r="H397" s="197">
        <f>C397-G397</f>
        <v/>
      </c>
      <c r="I397" s="201" t="inlineStr">
        <is>
          <t>Jenjira Srisa-Ard</t>
        </is>
      </c>
      <c r="J397" s="211" t="n"/>
      <c r="K397" s="211" t="n"/>
      <c r="L397" s="213" t="n"/>
    </row>
    <row r="398">
      <c r="A398" s="218" t="inlineStr">
        <is>
          <t>F</t>
        </is>
      </c>
      <c r="B398" s="215" t="inlineStr">
        <is>
          <t>50 Free</t>
        </is>
      </c>
      <c r="C398" s="189" t="n">
        <v>2019</v>
      </c>
      <c r="D398" s="215" t="inlineStr">
        <is>
          <t>THA</t>
        </is>
      </c>
      <c r="E398" s="219" t="n">
        <v>2</v>
      </c>
      <c r="F398" s="215" t="inlineStr">
        <is>
          <t>25.32</t>
        </is>
      </c>
      <c r="G398" s="202" t="n">
        <v>1995</v>
      </c>
      <c r="H398" s="202">
        <f>C398-G398</f>
        <v/>
      </c>
      <c r="I398" s="206" t="inlineStr">
        <is>
          <t>Jenjira Srisa-Ard</t>
        </is>
      </c>
      <c r="J398" s="215" t="n"/>
      <c r="K398" s="215" t="n"/>
      <c r="L398" s="217" t="n"/>
    </row>
    <row r="399">
      <c r="A399" s="220" t="inlineStr">
        <is>
          <t>F</t>
        </is>
      </c>
      <c r="B399" s="211" t="inlineStr">
        <is>
          <t>800 Free</t>
        </is>
      </c>
      <c r="C399" s="190" t="n">
        <v>2019</v>
      </c>
      <c r="D399" s="211" t="inlineStr">
        <is>
          <t>VIE</t>
        </is>
      </c>
      <c r="E399" s="221" t="n">
        <v>2</v>
      </c>
      <c r="F399" s="211" t="inlineStr">
        <is>
          <t>8:48.65</t>
        </is>
      </c>
      <c r="G399" s="211" t="n">
        <v>1996</v>
      </c>
      <c r="H399" s="211">
        <f>C399-G399</f>
        <v/>
      </c>
      <c r="I399" s="211" t="inlineStr">
        <is>
          <t>Nguyen Thi Anh Vien</t>
        </is>
      </c>
      <c r="J399" s="211" t="n"/>
      <c r="K399" s="211" t="n"/>
      <c r="L399" s="213" t="n"/>
    </row>
    <row r="400">
      <c r="A400" s="218" t="inlineStr">
        <is>
          <t>F</t>
        </is>
      </c>
      <c r="B400" s="215" t="inlineStr">
        <is>
          <t>800 Free Relay</t>
        </is>
      </c>
      <c r="C400" s="189" t="n">
        <v>2019</v>
      </c>
      <c r="D400" s="215" t="inlineStr">
        <is>
          <t>THA</t>
        </is>
      </c>
      <c r="E400" s="219" t="n">
        <v>2</v>
      </c>
      <c r="F400" s="215" t="inlineStr">
        <is>
          <t>8:11.88</t>
        </is>
      </c>
      <c r="G400" s="215" t="n"/>
      <c r="H400" s="215" t="n"/>
      <c r="I400" s="215" t="n"/>
      <c r="J400" s="215" t="n"/>
      <c r="K400" s="215" t="n"/>
      <c r="L400" s="217" t="n"/>
    </row>
    <row r="401">
      <c r="A401" s="220" t="inlineStr">
        <is>
          <t>M</t>
        </is>
      </c>
      <c r="B401" s="211" t="inlineStr">
        <is>
          <t>100 Back</t>
        </is>
      </c>
      <c r="C401" s="190" t="n">
        <v>2019</v>
      </c>
      <c r="D401" s="211" t="inlineStr">
        <is>
          <t>VIE</t>
        </is>
      </c>
      <c r="E401" s="221" t="n">
        <v>2</v>
      </c>
      <c r="F401" s="211" t="inlineStr">
        <is>
          <t>54.98</t>
        </is>
      </c>
      <c r="G401" s="211" t="n">
        <v>1992</v>
      </c>
      <c r="H401" s="196">
        <f>C401-G401</f>
        <v/>
      </c>
      <c r="I401" s="211" t="inlineStr">
        <is>
          <t>Paul LE Nguyen</t>
        </is>
      </c>
      <c r="J401" s="211" t="inlineStr">
        <is>
          <t>Missouri State</t>
        </is>
      </c>
      <c r="K401" s="211" t="inlineStr">
        <is>
          <t>USA</t>
        </is>
      </c>
      <c r="L401" s="213" t="inlineStr">
        <is>
          <t>USA</t>
        </is>
      </c>
    </row>
    <row r="402">
      <c r="A402" s="218" t="inlineStr">
        <is>
          <t>M</t>
        </is>
      </c>
      <c r="B402" s="215" t="inlineStr">
        <is>
          <t>100 Breast</t>
        </is>
      </c>
      <c r="C402" s="189" t="n">
        <v>2019</v>
      </c>
      <c r="D402" s="215" t="inlineStr">
        <is>
          <t>VIE</t>
        </is>
      </c>
      <c r="E402" s="219" t="n">
        <v>2</v>
      </c>
      <c r="F402" s="215" t="inlineStr">
        <is>
          <t>1:01.92</t>
        </is>
      </c>
      <c r="G402" s="202" t="n">
        <v>2001</v>
      </c>
      <c r="H402" s="202">
        <f>C402-G402</f>
        <v/>
      </c>
      <c r="I402" s="206" t="inlineStr">
        <is>
          <t>Thanh Bao Pham</t>
        </is>
      </c>
      <c r="J402" s="215" t="n"/>
      <c r="K402" s="215" t="n"/>
      <c r="L402" s="217" t="n"/>
    </row>
    <row r="403">
      <c r="A403" s="220" t="inlineStr">
        <is>
          <t>M</t>
        </is>
      </c>
      <c r="B403" s="211" t="inlineStr">
        <is>
          <t>100 Fly</t>
        </is>
      </c>
      <c r="C403" s="190" t="n">
        <v>2019</v>
      </c>
      <c r="D403" s="211" t="inlineStr">
        <is>
          <t>SGP</t>
        </is>
      </c>
      <c r="E403" s="221" t="n">
        <v>2</v>
      </c>
      <c r="F403" s="211" t="inlineStr">
        <is>
          <t>51.87</t>
        </is>
      </c>
      <c r="G403" s="196" t="n">
        <v>1996</v>
      </c>
      <c r="H403" s="196">
        <f>C403-G403</f>
        <v/>
      </c>
      <c r="I403" s="198" t="inlineStr">
        <is>
          <t>Zheng Wen Quah</t>
        </is>
      </c>
      <c r="J403" s="198" t="inlineStr">
        <is>
          <t>California Berkeley</t>
        </is>
      </c>
      <c r="K403" s="198" t="inlineStr">
        <is>
          <t>USA</t>
        </is>
      </c>
      <c r="L403" s="213" t="n"/>
    </row>
    <row r="404">
      <c r="A404" s="218" t="inlineStr">
        <is>
          <t>M</t>
        </is>
      </c>
      <c r="B404" s="215" t="inlineStr">
        <is>
          <t>100 Free</t>
        </is>
      </c>
      <c r="C404" s="189" t="n">
        <v>2019</v>
      </c>
      <c r="D404" s="215" t="inlineStr">
        <is>
          <t>SGP</t>
        </is>
      </c>
      <c r="E404" s="219" t="n">
        <v>2</v>
      </c>
      <c r="F404" s="215" t="inlineStr">
        <is>
          <t>49.64</t>
        </is>
      </c>
      <c r="G404" s="215" t="n">
        <v>1995</v>
      </c>
      <c r="H404" s="215">
        <f>C404-G404</f>
        <v/>
      </c>
      <c r="I404" s="215" t="inlineStr">
        <is>
          <t>Joseph Schooling</t>
        </is>
      </c>
      <c r="J404" s="215" t="inlineStr">
        <is>
          <t>Texas</t>
        </is>
      </c>
      <c r="K404" s="215" t="inlineStr">
        <is>
          <t>USA</t>
        </is>
      </c>
      <c r="L404" s="217" t="inlineStr">
        <is>
          <t>Prep School (Bolles)</t>
        </is>
      </c>
    </row>
    <row r="405">
      <c r="A405" s="220" t="inlineStr">
        <is>
          <t>M</t>
        </is>
      </c>
      <c r="B405" s="211" t="inlineStr">
        <is>
          <t>1500 Free</t>
        </is>
      </c>
      <c r="C405" s="190" t="n">
        <v>2019</v>
      </c>
      <c r="D405" s="211" t="inlineStr">
        <is>
          <t>IND</t>
        </is>
      </c>
      <c r="E405" s="221" t="n">
        <v>2</v>
      </c>
      <c r="F405" s="211" t="inlineStr">
        <is>
          <t>15:15.77</t>
        </is>
      </c>
      <c r="G405" s="211" t="n">
        <v>1997</v>
      </c>
      <c r="H405" s="197">
        <f>C405-G405</f>
        <v/>
      </c>
      <c r="I405" s="211" t="inlineStr">
        <is>
          <t>Aflah Fadlan PRAWIRA</t>
        </is>
      </c>
      <c r="J405" s="211" t="n"/>
      <c r="K405" s="211" t="n"/>
      <c r="L405" s="213" t="n"/>
    </row>
    <row r="406">
      <c r="A406" s="218" t="inlineStr">
        <is>
          <t>M</t>
        </is>
      </c>
      <c r="B406" s="215" t="inlineStr">
        <is>
          <t>200 Back</t>
        </is>
      </c>
      <c r="C406" s="189" t="n">
        <v>2019</v>
      </c>
      <c r="D406" s="215" t="inlineStr">
        <is>
          <t>IND</t>
        </is>
      </c>
      <c r="E406" s="219" t="n">
        <v>2</v>
      </c>
      <c r="F406" s="215" t="inlineStr">
        <is>
          <t>2:02.75</t>
        </is>
      </c>
      <c r="G406" s="195" t="n">
        <v>2001</v>
      </c>
      <c r="H406" s="195">
        <f>C406-G406</f>
        <v/>
      </c>
      <c r="I406" s="200" t="inlineStr">
        <is>
          <t>Farrel Armandio Tangkas</t>
        </is>
      </c>
      <c r="J406" s="215" t="n"/>
      <c r="K406" s="215" t="n"/>
      <c r="L406" s="217" t="n"/>
    </row>
    <row r="407">
      <c r="A407" s="220" t="inlineStr">
        <is>
          <t>M</t>
        </is>
      </c>
      <c r="B407" s="211" t="inlineStr">
        <is>
          <t>200 Breast</t>
        </is>
      </c>
      <c r="C407" s="190" t="n">
        <v>2019</v>
      </c>
      <c r="D407" s="211" t="inlineStr">
        <is>
          <t>VIE</t>
        </is>
      </c>
      <c r="E407" s="221" t="n">
        <v>2</v>
      </c>
      <c r="F407" s="211" t="inlineStr">
        <is>
          <t>2:12.84</t>
        </is>
      </c>
      <c r="G407" s="197" t="n">
        <v>2001</v>
      </c>
      <c r="H407" s="197">
        <f>C407-G407</f>
        <v/>
      </c>
      <c r="I407" s="201" t="inlineStr">
        <is>
          <t>Thanh Bao Pham</t>
        </is>
      </c>
      <c r="J407" s="211" t="n"/>
      <c r="K407" s="211" t="n"/>
      <c r="L407" s="213" t="n"/>
    </row>
    <row r="408">
      <c r="A408" s="218" t="inlineStr">
        <is>
          <t>M</t>
        </is>
      </c>
      <c r="B408" s="215" t="inlineStr">
        <is>
          <t>200 Fly</t>
        </is>
      </c>
      <c r="C408" s="189" t="n">
        <v>2019</v>
      </c>
      <c r="D408" s="215" t="inlineStr">
        <is>
          <t>THA</t>
        </is>
      </c>
      <c r="E408" s="219" t="n">
        <v>2</v>
      </c>
      <c r="F408" s="215" t="inlineStr">
        <is>
          <t>2:00.31</t>
        </is>
      </c>
      <c r="G408" s="195" t="n">
        <v>1997</v>
      </c>
      <c r="H408" s="195">
        <f>C408-G408</f>
        <v/>
      </c>
      <c r="I408" s="200" t="inlineStr">
        <is>
          <t>Navaphat Wongcharoen</t>
        </is>
      </c>
      <c r="J408" s="215" t="n"/>
      <c r="K408" s="215" t="n"/>
      <c r="L408" s="217" t="n"/>
    </row>
    <row r="409">
      <c r="A409" s="220" t="inlineStr">
        <is>
          <t>M</t>
        </is>
      </c>
      <c r="B409" s="211" t="inlineStr">
        <is>
          <t>200 Free</t>
        </is>
      </c>
      <c r="C409" s="190" t="n">
        <v>2019</v>
      </c>
      <c r="D409" s="211" t="inlineStr">
        <is>
          <t>MAS</t>
        </is>
      </c>
      <c r="E409" s="221" t="n">
        <v>2</v>
      </c>
      <c r="F409" s="211" t="inlineStr">
        <is>
          <t>1:48.52</t>
        </is>
      </c>
      <c r="G409" s="211" t="n">
        <v>1997</v>
      </c>
      <c r="H409" s="211">
        <f>C409-G409</f>
        <v/>
      </c>
      <c r="I409" s="211" t="inlineStr">
        <is>
          <t>Welson Sim</t>
        </is>
      </c>
      <c r="J409" s="211" t="n"/>
      <c r="K409" s="211" t="n"/>
      <c r="L409" s="213" t="n"/>
    </row>
    <row r="410">
      <c r="A410" s="218" t="inlineStr">
        <is>
          <t>M</t>
        </is>
      </c>
      <c r="B410" s="215" t="inlineStr">
        <is>
          <t>200 IM</t>
        </is>
      </c>
      <c r="C410" s="189" t="n">
        <v>2019</v>
      </c>
      <c r="D410" s="215" t="inlineStr">
        <is>
          <t>SGP</t>
        </is>
      </c>
      <c r="E410" s="219" t="n">
        <v>2</v>
      </c>
      <c r="F410" s="215" t="inlineStr">
        <is>
          <t>2:02.73</t>
        </is>
      </c>
      <c r="G410" s="215" t="n">
        <v>2000</v>
      </c>
      <c r="H410" s="215">
        <f>C410-G410</f>
        <v/>
      </c>
      <c r="I410" s="215" t="inlineStr">
        <is>
          <t>Darren Chua</t>
        </is>
      </c>
      <c r="J410" s="215" t="n"/>
      <c r="K410" s="215" t="n"/>
      <c r="L410" s="217" t="n"/>
    </row>
    <row r="411">
      <c r="A411" s="220" t="inlineStr">
        <is>
          <t>M</t>
        </is>
      </c>
      <c r="B411" s="211" t="inlineStr">
        <is>
          <t>400 Free</t>
        </is>
      </c>
      <c r="C411" s="190" t="n">
        <v>2019</v>
      </c>
      <c r="D411" s="211" t="inlineStr">
        <is>
          <t>MAS</t>
        </is>
      </c>
      <c r="E411" s="221" t="n">
        <v>2</v>
      </c>
      <c r="F411" s="211" t="inlineStr">
        <is>
          <t>3:49.55</t>
        </is>
      </c>
      <c r="G411" s="211" t="n">
        <v>1997</v>
      </c>
      <c r="H411" s="211">
        <f>C411-G411</f>
        <v/>
      </c>
      <c r="I411" s="211" t="inlineStr">
        <is>
          <t>Welson Sim</t>
        </is>
      </c>
      <c r="J411" s="211" t="n"/>
      <c r="K411" s="211" t="n"/>
      <c r="L411" s="213" t="n"/>
    </row>
    <row r="412">
      <c r="A412" s="218" t="inlineStr">
        <is>
          <t>M</t>
        </is>
      </c>
      <c r="B412" s="215" t="inlineStr">
        <is>
          <t>400 Free Relay</t>
        </is>
      </c>
      <c r="C412" s="189" t="n">
        <v>2019</v>
      </c>
      <c r="D412" s="215" t="inlineStr">
        <is>
          <t>PHI</t>
        </is>
      </c>
      <c r="E412" s="219" t="n">
        <v>2</v>
      </c>
      <c r="F412" s="215" t="inlineStr">
        <is>
          <t>3:22.32</t>
        </is>
      </c>
      <c r="G412" s="215" t="n"/>
      <c r="H412" s="215" t="n"/>
      <c r="I412" s="215" t="n"/>
      <c r="J412" s="215" t="n"/>
      <c r="K412" s="215" t="n"/>
      <c r="L412" s="217" t="n"/>
    </row>
    <row r="413">
      <c r="A413" s="220" t="inlineStr">
        <is>
          <t>M</t>
        </is>
      </c>
      <c r="B413" s="211" t="inlineStr">
        <is>
          <t>400 IM</t>
        </is>
      </c>
      <c r="C413" s="190" t="n">
        <v>2019</v>
      </c>
      <c r="D413" s="211" t="inlineStr">
        <is>
          <t>IND</t>
        </is>
      </c>
      <c r="E413" s="221" t="n">
        <v>2</v>
      </c>
      <c r="F413" s="211" t="inlineStr">
        <is>
          <t>4:21.30</t>
        </is>
      </c>
      <c r="G413" s="215" t="n">
        <v>1997</v>
      </c>
      <c r="H413" s="202">
        <f>C413-G413</f>
        <v/>
      </c>
      <c r="I413" s="215" t="inlineStr">
        <is>
          <t>Aflah Fadlan PRAWIRA</t>
        </is>
      </c>
      <c r="J413" s="215" t="n"/>
      <c r="K413" s="215" t="n"/>
      <c r="L413" s="213" t="n"/>
    </row>
    <row r="414">
      <c r="A414" s="218" t="inlineStr">
        <is>
          <t>M</t>
        </is>
      </c>
      <c r="B414" s="215" t="inlineStr">
        <is>
          <t>400 Medley Relay</t>
        </is>
      </c>
      <c r="C414" s="189" t="n">
        <v>2019</v>
      </c>
      <c r="D414" s="215" t="inlineStr">
        <is>
          <t>IND</t>
        </is>
      </c>
      <c r="E414" s="219" t="n">
        <v>2</v>
      </c>
      <c r="F414" s="215" t="inlineStr">
        <is>
          <t>3:43.27</t>
        </is>
      </c>
      <c r="G414" s="211" t="n"/>
      <c r="H414" s="211" t="n"/>
      <c r="I414" s="211" t="n"/>
      <c r="J414" s="215" t="n"/>
      <c r="K414" s="215" t="n"/>
      <c r="L414" s="217" t="n"/>
    </row>
    <row r="415">
      <c r="A415" s="220" t="inlineStr">
        <is>
          <t>M</t>
        </is>
      </c>
      <c r="B415" s="211" t="inlineStr">
        <is>
          <t>50 Back</t>
        </is>
      </c>
      <c r="C415" s="190" t="n">
        <v>2019</v>
      </c>
      <c r="D415" s="211" t="inlineStr">
        <is>
          <t>SGP</t>
        </is>
      </c>
      <c r="E415" s="221" t="n">
        <v>2</v>
      </c>
      <c r="F415" s="211" t="inlineStr">
        <is>
          <t>25.65</t>
        </is>
      </c>
      <c r="G415" s="197" t="n">
        <v>1996</v>
      </c>
      <c r="H415" s="197">
        <f>C415-G415</f>
        <v/>
      </c>
      <c r="I415" s="201" t="inlineStr">
        <is>
          <t>Zheng Wen Quah</t>
        </is>
      </c>
      <c r="J415" s="201" t="inlineStr">
        <is>
          <t>California Berkeley</t>
        </is>
      </c>
      <c r="K415" s="201" t="inlineStr">
        <is>
          <t>USA</t>
        </is>
      </c>
      <c r="L415" s="213" t="n"/>
    </row>
    <row r="416">
      <c r="A416" s="218" t="inlineStr">
        <is>
          <t>M</t>
        </is>
      </c>
      <c r="B416" s="215" t="inlineStr">
        <is>
          <t>50 Breast</t>
        </is>
      </c>
      <c r="C416" s="189" t="n">
        <v>2019</v>
      </c>
      <c r="D416" s="215" t="inlineStr">
        <is>
          <t>PHI</t>
        </is>
      </c>
      <c r="E416" s="219" t="n">
        <v>2</v>
      </c>
      <c r="F416" s="215" t="inlineStr">
        <is>
          <t>28.32</t>
        </is>
      </c>
      <c r="G416" s="215" t="n">
        <v>1993</v>
      </c>
      <c r="H416" s="215">
        <f>C416-G416</f>
        <v/>
      </c>
      <c r="I416" s="215" t="inlineStr">
        <is>
          <t>James Deiparine</t>
        </is>
      </c>
      <c r="J416" s="215" t="inlineStr">
        <is>
          <t>Cal Poy</t>
        </is>
      </c>
      <c r="K416" s="215" t="inlineStr">
        <is>
          <t>USA</t>
        </is>
      </c>
      <c r="L416" s="217" t="inlineStr">
        <is>
          <t>USA</t>
        </is>
      </c>
    </row>
    <row r="417">
      <c r="A417" s="220" t="inlineStr">
        <is>
          <t>M</t>
        </is>
      </c>
      <c r="B417" s="211" t="inlineStr">
        <is>
          <t>50 Fly</t>
        </is>
      </c>
      <c r="C417" s="190" t="n">
        <v>2019</v>
      </c>
      <c r="D417" s="211" t="inlineStr">
        <is>
          <t>SGP</t>
        </is>
      </c>
      <c r="E417" s="221" t="n">
        <v>2</v>
      </c>
      <c r="F417" s="211" t="inlineStr">
        <is>
          <t>23.61</t>
        </is>
      </c>
      <c r="G417" s="211" t="n">
        <v>1995</v>
      </c>
      <c r="H417" s="197">
        <f>C417-G417</f>
        <v/>
      </c>
      <c r="I417" s="211" t="inlineStr">
        <is>
          <t>Joseph Schooling</t>
        </is>
      </c>
      <c r="J417" s="211" t="inlineStr">
        <is>
          <t>Texas</t>
        </is>
      </c>
      <c r="K417" s="211" t="inlineStr">
        <is>
          <t>USA</t>
        </is>
      </c>
      <c r="L417" s="213" t="inlineStr">
        <is>
          <t>Prep School (Bolles)</t>
        </is>
      </c>
    </row>
    <row r="418">
      <c r="A418" s="218" t="inlineStr">
        <is>
          <t>M</t>
        </is>
      </c>
      <c r="B418" s="215" t="inlineStr">
        <is>
          <t>50 Free</t>
        </is>
      </c>
      <c r="C418" s="189" t="n">
        <v>2019</v>
      </c>
      <c r="D418" s="215" t="inlineStr">
        <is>
          <t>SGP</t>
        </is>
      </c>
      <c r="E418" s="219" t="n">
        <v>2</v>
      </c>
      <c r="F418" s="215" t="inlineStr">
        <is>
          <t>22.4</t>
        </is>
      </c>
      <c r="G418" s="195" t="n">
        <v>1997</v>
      </c>
      <c r="H418" s="195">
        <f>C418-G418</f>
        <v/>
      </c>
      <c r="I418" s="200" t="inlineStr">
        <is>
          <t>Tzen Wei Teong</t>
        </is>
      </c>
      <c r="J418" s="215" t="n"/>
      <c r="K418" s="215" t="n"/>
      <c r="L418" s="217" t="n"/>
    </row>
    <row r="419">
      <c r="A419" s="220" t="inlineStr">
        <is>
          <t>M</t>
        </is>
      </c>
      <c r="B419" s="211" t="inlineStr">
        <is>
          <t>800 Free Relay</t>
        </is>
      </c>
      <c r="C419" s="190" t="n">
        <v>2019</v>
      </c>
      <c r="D419" s="211" t="inlineStr">
        <is>
          <t>VIE</t>
        </is>
      </c>
      <c r="E419" s="221" t="n">
        <v>2</v>
      </c>
      <c r="F419" s="211" t="inlineStr">
        <is>
          <t>7:21.51</t>
        </is>
      </c>
      <c r="G419" s="211" t="n"/>
      <c r="H419" s="211" t="n"/>
      <c r="I419" s="211" t="n"/>
      <c r="J419" s="211" t="n"/>
      <c r="K419" s="211" t="n"/>
      <c r="L419" s="213" t="n"/>
    </row>
    <row r="420">
      <c r="A420" s="218" t="inlineStr">
        <is>
          <t>F</t>
        </is>
      </c>
      <c r="B420" s="215" t="inlineStr">
        <is>
          <t>100 Back</t>
        </is>
      </c>
      <c r="C420" s="189" t="n">
        <v>2019</v>
      </c>
      <c r="D420" s="215" t="inlineStr">
        <is>
          <t>VIE</t>
        </is>
      </c>
      <c r="E420" s="219" t="n">
        <v>1</v>
      </c>
      <c r="F420" s="215" t="inlineStr">
        <is>
          <t>1:02.97</t>
        </is>
      </c>
      <c r="G420" s="215" t="n">
        <v>1996</v>
      </c>
      <c r="H420" s="215">
        <f>C420-G420</f>
        <v/>
      </c>
      <c r="I420" s="215" t="inlineStr">
        <is>
          <t>Nguyen Thi Anh Vien</t>
        </is>
      </c>
      <c r="J420" s="215" t="n"/>
      <c r="K420" s="215" t="n"/>
      <c r="L420" s="217" t="n"/>
    </row>
    <row r="421">
      <c r="A421" s="220" t="inlineStr">
        <is>
          <t>F</t>
        </is>
      </c>
      <c r="B421" s="211" t="inlineStr">
        <is>
          <t>100 Breast</t>
        </is>
      </c>
      <c r="C421" s="190" t="n">
        <v>2019</v>
      </c>
      <c r="D421" s="211" t="inlineStr">
        <is>
          <t>MAS</t>
        </is>
      </c>
      <c r="E421" s="221" t="n">
        <v>1</v>
      </c>
      <c r="F421" s="211" t="inlineStr">
        <is>
          <t>1:08.50</t>
        </is>
      </c>
      <c r="G421" s="211" t="n">
        <v>1997</v>
      </c>
      <c r="H421" s="211">
        <f>C421-G421</f>
        <v/>
      </c>
      <c r="I421" s="211" t="inlineStr">
        <is>
          <t>Phee Jinq EN</t>
        </is>
      </c>
      <c r="J421" s="211" t="inlineStr">
        <is>
          <t>Purdue</t>
        </is>
      </c>
      <c r="K421" s="211" t="inlineStr">
        <is>
          <t>USA</t>
        </is>
      </c>
      <c r="L421" s="213" t="n"/>
    </row>
    <row r="422">
      <c r="A422" s="218" t="inlineStr">
        <is>
          <t>F</t>
        </is>
      </c>
      <c r="B422" s="215" t="inlineStr">
        <is>
          <t>100 Fly</t>
        </is>
      </c>
      <c r="C422" s="189" t="n">
        <v>2019</v>
      </c>
      <c r="D422" s="215" t="inlineStr">
        <is>
          <t>SGP</t>
        </is>
      </c>
      <c r="E422" s="219" t="n">
        <v>1</v>
      </c>
      <c r="F422" s="215" t="inlineStr">
        <is>
          <t>59.62</t>
        </is>
      </c>
      <c r="G422" s="215" t="n">
        <v>1992</v>
      </c>
      <c r="H422" s="215">
        <f>C422-G422</f>
        <v/>
      </c>
      <c r="I422" s="215" t="inlineStr">
        <is>
          <t>Ting Wen Quah</t>
        </is>
      </c>
      <c r="J422" s="215" t="inlineStr">
        <is>
          <t>UCLA</t>
        </is>
      </c>
      <c r="K422" s="215" t="inlineStr">
        <is>
          <t>USA</t>
        </is>
      </c>
      <c r="L422" s="217" t="n"/>
    </row>
    <row r="423">
      <c r="A423" s="220" t="inlineStr">
        <is>
          <t>F</t>
        </is>
      </c>
      <c r="B423" s="211" t="inlineStr">
        <is>
          <t>100 Free</t>
        </is>
      </c>
      <c r="C423" s="190" t="n">
        <v>2019</v>
      </c>
      <c r="D423" s="211" t="inlineStr">
        <is>
          <t>SGP</t>
        </is>
      </c>
      <c r="E423" s="221" t="n">
        <v>1</v>
      </c>
      <c r="F423" s="211" t="inlineStr">
        <is>
          <t>54.74</t>
        </is>
      </c>
      <c r="G423" s="196" t="n">
        <v>1992</v>
      </c>
      <c r="H423" s="196">
        <f>C423-G423</f>
        <v/>
      </c>
      <c r="I423" s="198" t="inlineStr">
        <is>
          <t>Ting Wen Quah</t>
        </is>
      </c>
      <c r="J423" s="198" t="inlineStr">
        <is>
          <t>UCLA</t>
        </is>
      </c>
      <c r="K423" s="198" t="inlineStr">
        <is>
          <t>USA</t>
        </is>
      </c>
      <c r="L423" s="213" t="n"/>
    </row>
    <row r="424">
      <c r="A424" s="218" t="inlineStr">
        <is>
          <t>F</t>
        </is>
      </c>
      <c r="B424" s="215" t="inlineStr">
        <is>
          <t>200 Back</t>
        </is>
      </c>
      <c r="C424" s="189" t="n">
        <v>2019</v>
      </c>
      <c r="D424" s="215" t="inlineStr">
        <is>
          <t>VIE</t>
        </is>
      </c>
      <c r="E424" s="219" t="n">
        <v>1</v>
      </c>
      <c r="F424" s="215" t="inlineStr">
        <is>
          <t>2:15.32</t>
        </is>
      </c>
      <c r="G424" s="215" t="n">
        <v>1996</v>
      </c>
      <c r="H424" s="215">
        <f>C424-G424</f>
        <v/>
      </c>
      <c r="I424" s="215" t="inlineStr">
        <is>
          <t>Nguyen Thi Anh Vien</t>
        </is>
      </c>
      <c r="J424" s="215" t="n"/>
      <c r="K424" s="215" t="n"/>
      <c r="L424" s="217" t="n"/>
    </row>
    <row r="425">
      <c r="A425" s="220" t="inlineStr">
        <is>
          <t>F</t>
        </is>
      </c>
      <c r="B425" s="211" t="inlineStr">
        <is>
          <t>200 Breast</t>
        </is>
      </c>
      <c r="C425" s="190" t="n">
        <v>2019</v>
      </c>
      <c r="D425" s="211" t="inlineStr">
        <is>
          <t>SGP</t>
        </is>
      </c>
      <c r="E425" s="221" t="n">
        <v>1</v>
      </c>
      <c r="F425" s="211" t="inlineStr">
        <is>
          <t>2:28.71</t>
        </is>
      </c>
      <c r="G425" s="211" t="n">
        <v>2000</v>
      </c>
      <c r="H425" s="211">
        <f>C425-G425</f>
        <v/>
      </c>
      <c r="I425" s="211" t="inlineStr">
        <is>
          <t>Christie May Mun EE Chue</t>
        </is>
      </c>
      <c r="J425" s="211" t="inlineStr">
        <is>
          <t>FIU</t>
        </is>
      </c>
      <c r="K425" s="211" t="inlineStr">
        <is>
          <t>USA</t>
        </is>
      </c>
      <c r="L425" s="213" t="n"/>
    </row>
    <row r="426">
      <c r="A426" s="218" t="inlineStr">
        <is>
          <t>F</t>
        </is>
      </c>
      <c r="B426" s="215" t="inlineStr">
        <is>
          <t>200 Fly</t>
        </is>
      </c>
      <c r="C426" s="189" t="n">
        <v>2019</v>
      </c>
      <c r="D426" s="215" t="inlineStr">
        <is>
          <t>SGP</t>
        </is>
      </c>
      <c r="E426" s="219" t="n">
        <v>1</v>
      </c>
      <c r="F426" s="215" t="inlineStr">
        <is>
          <t>2:10.97</t>
        </is>
      </c>
      <c r="G426" s="202" t="n">
        <v>1994</v>
      </c>
      <c r="H426" s="202">
        <f>C426-G426</f>
        <v/>
      </c>
      <c r="I426" s="206" t="inlineStr">
        <is>
          <t>Jing Wen Quah</t>
        </is>
      </c>
      <c r="J426" s="206" t="inlineStr">
        <is>
          <t>A&amp;M</t>
        </is>
      </c>
      <c r="K426" s="206" t="inlineStr">
        <is>
          <t>USA</t>
        </is>
      </c>
      <c r="L426" s="217" t="n"/>
    </row>
    <row r="427">
      <c r="A427" s="220" t="inlineStr">
        <is>
          <t>F</t>
        </is>
      </c>
      <c r="B427" s="211" t="inlineStr">
        <is>
          <t>200 Free</t>
        </is>
      </c>
      <c r="C427" s="190" t="n">
        <v>2019</v>
      </c>
      <c r="D427" s="211" t="inlineStr">
        <is>
          <t>VIE</t>
        </is>
      </c>
      <c r="E427" s="221" t="n">
        <v>1</v>
      </c>
      <c r="F427" s="211" t="inlineStr">
        <is>
          <t>2:00.75</t>
        </is>
      </c>
      <c r="G427" s="211" t="n">
        <v>1996</v>
      </c>
      <c r="H427" s="211">
        <f>C427-G427</f>
        <v/>
      </c>
      <c r="I427" s="211" t="inlineStr">
        <is>
          <t>Nguyen Thi Anh Vien</t>
        </is>
      </c>
      <c r="J427" s="211" t="n"/>
      <c r="K427" s="211" t="n"/>
      <c r="L427" s="213" t="n"/>
    </row>
    <row r="428">
      <c r="A428" s="218" t="inlineStr">
        <is>
          <t>F</t>
        </is>
      </c>
      <c r="B428" s="215" t="inlineStr">
        <is>
          <t>200 IM</t>
        </is>
      </c>
      <c r="C428" s="189" t="n">
        <v>2019</v>
      </c>
      <c r="D428" s="215" t="inlineStr">
        <is>
          <t>VIE</t>
        </is>
      </c>
      <c r="E428" s="219" t="n">
        <v>1</v>
      </c>
      <c r="F428" s="215" t="inlineStr">
        <is>
          <t>2:15.51</t>
        </is>
      </c>
      <c r="G428" s="215" t="n">
        <v>1996</v>
      </c>
      <c r="H428" s="215">
        <f>C428-G428</f>
        <v/>
      </c>
      <c r="I428" s="215" t="inlineStr">
        <is>
          <t>Nguyen Thi Anh Vien</t>
        </is>
      </c>
      <c r="J428" s="215" t="n"/>
      <c r="K428" s="215" t="n"/>
      <c r="L428" s="217" t="n"/>
    </row>
    <row r="429">
      <c r="A429" s="220" t="inlineStr">
        <is>
          <t>F</t>
        </is>
      </c>
      <c r="B429" s="211" t="inlineStr">
        <is>
          <t>400 Free</t>
        </is>
      </c>
      <c r="C429" s="190" t="n">
        <v>2019</v>
      </c>
      <c r="D429" s="211" t="inlineStr">
        <is>
          <t>VIE</t>
        </is>
      </c>
      <c r="E429" s="221" t="n">
        <v>1</v>
      </c>
      <c r="F429" s="211" t="inlineStr">
        <is>
          <t>4:13.20</t>
        </is>
      </c>
      <c r="G429" s="211" t="n">
        <v>1996</v>
      </c>
      <c r="H429" s="211">
        <f>C429-G429</f>
        <v/>
      </c>
      <c r="I429" s="211" t="inlineStr">
        <is>
          <t>Nguyen Thi Anh Vien</t>
        </is>
      </c>
      <c r="J429" s="211" t="n"/>
      <c r="K429" s="211" t="n"/>
      <c r="L429" s="213" t="n"/>
    </row>
    <row r="430">
      <c r="A430" s="218" t="inlineStr">
        <is>
          <t>F</t>
        </is>
      </c>
      <c r="B430" s="215" t="inlineStr">
        <is>
          <t>400 Free Relay</t>
        </is>
      </c>
      <c r="C430" s="189" t="n">
        <v>2019</v>
      </c>
      <c r="D430" s="215" t="inlineStr">
        <is>
          <t>SGP</t>
        </is>
      </c>
      <c r="E430" s="219" t="n">
        <v>1</v>
      </c>
      <c r="F430" s="215" t="inlineStr">
        <is>
          <t>3:40.92</t>
        </is>
      </c>
      <c r="G430" s="215" t="n"/>
      <c r="H430" s="215" t="n"/>
      <c r="I430" s="215" t="n"/>
      <c r="J430" s="215" t="n"/>
      <c r="K430" s="215" t="n"/>
      <c r="L430" s="217" t="n"/>
    </row>
    <row r="431">
      <c r="A431" s="220" t="inlineStr">
        <is>
          <t>F</t>
        </is>
      </c>
      <c r="B431" s="211" t="inlineStr">
        <is>
          <t>400 IM</t>
        </is>
      </c>
      <c r="C431" s="190" t="n">
        <v>2019</v>
      </c>
      <c r="D431" s="211" t="inlineStr">
        <is>
          <t>VIE</t>
        </is>
      </c>
      <c r="E431" s="221" t="n">
        <v>1</v>
      </c>
      <c r="F431" s="211" t="inlineStr">
        <is>
          <t>4:47.85</t>
        </is>
      </c>
      <c r="G431" s="211" t="n">
        <v>1996</v>
      </c>
      <c r="H431" s="211">
        <f>C431-G431</f>
        <v/>
      </c>
      <c r="I431" s="211" t="inlineStr">
        <is>
          <t>Nguyen Thi Anh Vien</t>
        </is>
      </c>
      <c r="J431" s="211" t="n"/>
      <c r="K431" s="211" t="n"/>
      <c r="L431" s="213" t="n"/>
    </row>
    <row r="432">
      <c r="A432" s="218" t="inlineStr">
        <is>
          <t>F</t>
        </is>
      </c>
      <c r="B432" s="215" t="inlineStr">
        <is>
          <t>400 Medley Relay</t>
        </is>
      </c>
      <c r="C432" s="189" t="n">
        <v>2019</v>
      </c>
      <c r="D432" s="215" t="inlineStr">
        <is>
          <t>SGP</t>
        </is>
      </c>
      <c r="E432" s="219" t="n">
        <v>1</v>
      </c>
      <c r="F432" s="215" t="inlineStr">
        <is>
          <t>4:07.05</t>
        </is>
      </c>
      <c r="G432" s="215" t="n"/>
      <c r="H432" s="215" t="n"/>
      <c r="I432" s="215" t="n"/>
      <c r="J432" s="215" t="n"/>
      <c r="K432" s="215" t="n"/>
      <c r="L432" s="217" t="n"/>
    </row>
    <row r="433">
      <c r="A433" s="220" t="inlineStr">
        <is>
          <t>F</t>
        </is>
      </c>
      <c r="B433" s="211" t="inlineStr">
        <is>
          <t>50 Back</t>
        </is>
      </c>
      <c r="C433" s="190" t="n">
        <v>2019</v>
      </c>
      <c r="D433" s="211" t="inlineStr">
        <is>
          <t>SGP</t>
        </is>
      </c>
      <c r="E433" s="221" t="n">
        <v>1</v>
      </c>
      <c r="F433" s="211" t="inlineStr">
        <is>
          <t>29.4</t>
        </is>
      </c>
      <c r="G433" s="215" t="n">
        <v>2004</v>
      </c>
      <c r="H433" s="202">
        <f>C433-G433</f>
        <v/>
      </c>
      <c r="I433" s="215" t="inlineStr">
        <is>
          <t>Elena Lee</t>
        </is>
      </c>
      <c r="J433" s="211" t="n"/>
      <c r="K433" s="211" t="n"/>
      <c r="L433" s="213" t="n"/>
    </row>
    <row r="434">
      <c r="A434" s="218" t="inlineStr">
        <is>
          <t>F</t>
        </is>
      </c>
      <c r="B434" s="215" t="inlineStr">
        <is>
          <t>50 Breast</t>
        </is>
      </c>
      <c r="C434" s="189" t="n">
        <v>2019</v>
      </c>
      <c r="D434" s="215" t="inlineStr">
        <is>
          <t>MAS</t>
        </is>
      </c>
      <c r="E434" s="219" t="n">
        <v>1</v>
      </c>
      <c r="F434" s="215" t="inlineStr">
        <is>
          <t>31.4</t>
        </is>
      </c>
      <c r="G434" s="215" t="n">
        <v>1997</v>
      </c>
      <c r="H434" s="215">
        <f>C434-G434</f>
        <v/>
      </c>
      <c r="I434" s="215" t="inlineStr">
        <is>
          <t>Phee Jinq EN</t>
        </is>
      </c>
      <c r="J434" s="215" t="inlineStr">
        <is>
          <t>Purdue</t>
        </is>
      </c>
      <c r="K434" s="215" t="inlineStr">
        <is>
          <t>USA</t>
        </is>
      </c>
      <c r="L434" s="217" t="n"/>
    </row>
    <row r="435">
      <c r="A435" s="220" t="inlineStr">
        <is>
          <t>F</t>
        </is>
      </c>
      <c r="B435" s="211" t="inlineStr">
        <is>
          <t>50 Fly</t>
        </is>
      </c>
      <c r="C435" s="190" t="n">
        <v>2019</v>
      </c>
      <c r="D435" s="211" t="inlineStr">
        <is>
          <t>SGP</t>
        </is>
      </c>
      <c r="E435" s="221" t="n">
        <v>1</v>
      </c>
      <c r="F435" s="211" t="inlineStr">
        <is>
          <t>26.50</t>
        </is>
      </c>
      <c r="G435" s="211" t="n">
        <v>1992</v>
      </c>
      <c r="H435" s="211">
        <f>C435-G435</f>
        <v/>
      </c>
      <c r="I435" s="211" t="inlineStr">
        <is>
          <t>Ting Wen Quah</t>
        </is>
      </c>
      <c r="J435" s="211" t="inlineStr">
        <is>
          <t>UCLA</t>
        </is>
      </c>
      <c r="K435" s="211" t="inlineStr">
        <is>
          <t>USA</t>
        </is>
      </c>
      <c r="L435" s="213" t="n"/>
    </row>
    <row r="436">
      <c r="A436" s="218" t="inlineStr">
        <is>
          <t>F</t>
        </is>
      </c>
      <c r="B436" s="215" t="inlineStr">
        <is>
          <t>50 Free</t>
        </is>
      </c>
      <c r="C436" s="189" t="n">
        <v>2019</v>
      </c>
      <c r="D436" s="215" t="inlineStr">
        <is>
          <t>SGP</t>
        </is>
      </c>
      <c r="E436" s="219" t="n">
        <v>1</v>
      </c>
      <c r="F436" s="215" t="inlineStr">
        <is>
          <t>25.06</t>
        </is>
      </c>
      <c r="G436" s="215" t="n">
        <v>1993</v>
      </c>
      <c r="H436" s="215">
        <f>C436-G436</f>
        <v/>
      </c>
      <c r="I436" s="215" t="inlineStr">
        <is>
          <t>Amanda Xiang QI Lim</t>
        </is>
      </c>
      <c r="J436" s="215" t="n"/>
      <c r="K436" s="215" t="n"/>
      <c r="L436" s="217" t="n"/>
    </row>
    <row r="437">
      <c r="A437" s="220" t="inlineStr">
        <is>
          <t>F</t>
        </is>
      </c>
      <c r="B437" s="211" t="inlineStr">
        <is>
          <t>800 Free</t>
        </is>
      </c>
      <c r="C437" s="190" t="n">
        <v>2019</v>
      </c>
      <c r="D437" s="211" t="inlineStr">
        <is>
          <t>SGP</t>
        </is>
      </c>
      <c r="E437" s="221" t="n">
        <v>1</v>
      </c>
      <c r="F437" s="211" t="inlineStr">
        <is>
          <t>8:41.48</t>
        </is>
      </c>
      <c r="G437" s="196" t="n">
        <v>2003</v>
      </c>
      <c r="H437" s="196">
        <f>C437-G437</f>
        <v/>
      </c>
      <c r="I437" s="198" t="inlineStr">
        <is>
          <t>Ching Hwee Gan</t>
        </is>
      </c>
      <c r="J437" s="198" t="inlineStr">
        <is>
          <t>Indiana</t>
        </is>
      </c>
      <c r="K437" s="198" t="inlineStr">
        <is>
          <t>USA</t>
        </is>
      </c>
      <c r="L437" s="213" t="n"/>
    </row>
    <row r="438">
      <c r="A438" s="218" t="inlineStr">
        <is>
          <t>F</t>
        </is>
      </c>
      <c r="B438" s="215" t="inlineStr">
        <is>
          <t>800 Free Relay</t>
        </is>
      </c>
      <c r="C438" s="189" t="n">
        <v>2019</v>
      </c>
      <c r="D438" s="215" t="inlineStr">
        <is>
          <t>SGP</t>
        </is>
      </c>
      <c r="E438" s="219" t="n">
        <v>1</v>
      </c>
      <c r="F438" s="215" t="inlineStr">
        <is>
          <t>8:07.00</t>
        </is>
      </c>
      <c r="G438" s="215" t="n"/>
      <c r="H438" s="215" t="n"/>
      <c r="I438" s="215" t="n"/>
      <c r="J438" s="215" t="n"/>
      <c r="K438" s="215" t="n"/>
      <c r="L438" s="217" t="n"/>
    </row>
    <row r="439">
      <c r="A439" s="220" t="inlineStr">
        <is>
          <t>M</t>
        </is>
      </c>
      <c r="B439" s="211" t="inlineStr">
        <is>
          <t>100 Back</t>
        </is>
      </c>
      <c r="C439" s="190" t="n">
        <v>2019</v>
      </c>
      <c r="D439" s="211" t="inlineStr">
        <is>
          <t>SGP</t>
        </is>
      </c>
      <c r="E439" s="221" t="n">
        <v>1</v>
      </c>
      <c r="F439" s="211" t="inlineStr">
        <is>
          <t>53.79</t>
        </is>
      </c>
      <c r="G439" s="196" t="n">
        <v>1996</v>
      </c>
      <c r="H439" s="196">
        <f>C439-G439</f>
        <v/>
      </c>
      <c r="I439" s="198" t="inlineStr">
        <is>
          <t>Zheng Wen Quah</t>
        </is>
      </c>
      <c r="J439" s="198" t="inlineStr">
        <is>
          <t>California Berkeley</t>
        </is>
      </c>
      <c r="K439" s="198" t="inlineStr">
        <is>
          <t>USA</t>
        </is>
      </c>
      <c r="L439" s="213" t="n"/>
    </row>
    <row r="440">
      <c r="A440" s="218" t="inlineStr">
        <is>
          <t>M</t>
        </is>
      </c>
      <c r="B440" s="215" t="inlineStr">
        <is>
          <t>100 Breast</t>
        </is>
      </c>
      <c r="C440" s="189" t="n">
        <v>2019</v>
      </c>
      <c r="D440" s="215" t="inlineStr">
        <is>
          <t>PHI</t>
        </is>
      </c>
      <c r="E440" s="219" t="n">
        <v>1</v>
      </c>
      <c r="F440" s="215" t="inlineStr">
        <is>
          <t>1:01.46</t>
        </is>
      </c>
      <c r="G440" s="215" t="n">
        <v>1993</v>
      </c>
      <c r="H440" s="215">
        <f>C440-G440</f>
        <v/>
      </c>
      <c r="I440" s="215" t="inlineStr">
        <is>
          <t>James Deiparine</t>
        </is>
      </c>
      <c r="J440" s="215" t="inlineStr">
        <is>
          <t>Cal Poy</t>
        </is>
      </c>
      <c r="K440" s="215" t="inlineStr">
        <is>
          <t>USA</t>
        </is>
      </c>
      <c r="L440" s="217" t="inlineStr">
        <is>
          <t>USA</t>
        </is>
      </c>
    </row>
    <row r="441">
      <c r="A441" s="220" t="inlineStr">
        <is>
          <t>M</t>
        </is>
      </c>
      <c r="B441" s="211" t="inlineStr">
        <is>
          <t>100 Fly</t>
        </is>
      </c>
      <c r="C441" s="190" t="n">
        <v>2019</v>
      </c>
      <c r="D441" s="211" t="inlineStr">
        <is>
          <t>SGP</t>
        </is>
      </c>
      <c r="E441" s="221" t="n">
        <v>1</v>
      </c>
      <c r="F441" s="211" t="inlineStr">
        <is>
          <t>51.84</t>
        </is>
      </c>
      <c r="G441" s="197" t="n">
        <v>1995</v>
      </c>
      <c r="H441" s="197">
        <f>C441-G441</f>
        <v/>
      </c>
      <c r="I441" s="201" t="inlineStr">
        <is>
          <t>Joseph Schooling</t>
        </is>
      </c>
      <c r="J441" s="201" t="inlineStr">
        <is>
          <t>Texas</t>
        </is>
      </c>
      <c r="K441" s="201" t="inlineStr">
        <is>
          <t>USA</t>
        </is>
      </c>
      <c r="L441" s="203" t="inlineStr">
        <is>
          <t>Prep School (Bolles)</t>
        </is>
      </c>
    </row>
    <row r="442">
      <c r="A442" s="218" t="inlineStr">
        <is>
          <t>M</t>
        </is>
      </c>
      <c r="B442" s="215" t="inlineStr">
        <is>
          <t>100 Free</t>
        </is>
      </c>
      <c r="C442" s="189" t="n">
        <v>2019</v>
      </c>
      <c r="D442" s="215" t="inlineStr">
        <is>
          <t>SGP</t>
        </is>
      </c>
      <c r="E442" s="219" t="n">
        <v>1</v>
      </c>
      <c r="F442" s="215" t="inlineStr">
        <is>
          <t>49.59</t>
        </is>
      </c>
      <c r="G442" s="215" t="n">
        <v>2000</v>
      </c>
      <c r="H442" s="215">
        <f>C442-G442</f>
        <v/>
      </c>
      <c r="I442" s="215" t="inlineStr">
        <is>
          <t>Darren Chua</t>
        </is>
      </c>
      <c r="J442" s="215" t="n"/>
      <c r="K442" s="215" t="n"/>
      <c r="L442" s="217" t="n"/>
    </row>
    <row r="443">
      <c r="A443" s="220" t="inlineStr">
        <is>
          <t>M</t>
        </is>
      </c>
      <c r="B443" s="211" t="inlineStr">
        <is>
          <t>1500 Free</t>
        </is>
      </c>
      <c r="C443" s="190" t="n">
        <v>2019</v>
      </c>
      <c r="D443" s="211" t="inlineStr">
        <is>
          <t>VIE</t>
        </is>
      </c>
      <c r="E443" s="221" t="n">
        <v>1</v>
      </c>
      <c r="F443" s="211" t="inlineStr">
        <is>
          <t>14:58.14</t>
        </is>
      </c>
      <c r="G443" s="196" t="n">
        <v>2000</v>
      </c>
      <c r="H443" s="196">
        <f>C443-G443</f>
        <v/>
      </c>
      <c r="I443" s="198" t="inlineStr">
        <is>
          <t>Huy Hoang Nguyen</t>
        </is>
      </c>
      <c r="J443" s="211" t="n"/>
      <c r="K443" s="211" t="n"/>
      <c r="L443" s="213" t="n"/>
    </row>
    <row r="444">
      <c r="A444" s="218" t="inlineStr">
        <is>
          <t>M</t>
        </is>
      </c>
      <c r="B444" s="215" t="inlineStr">
        <is>
          <t>200 Back</t>
        </is>
      </c>
      <c r="C444" s="189" t="n">
        <v>2019</v>
      </c>
      <c r="D444" s="215" t="inlineStr">
        <is>
          <t>SGP</t>
        </is>
      </c>
      <c r="E444" s="219" t="n">
        <v>1</v>
      </c>
      <c r="F444" s="215" t="inlineStr">
        <is>
          <t>2:00.06</t>
        </is>
      </c>
      <c r="G444" s="195" t="n">
        <v>1996</v>
      </c>
      <c r="H444" s="195">
        <f>C444-G444</f>
        <v/>
      </c>
      <c r="I444" s="200" t="inlineStr">
        <is>
          <t>Zheng Wen Quah</t>
        </is>
      </c>
      <c r="J444" s="200" t="inlineStr">
        <is>
          <t>California Berkeley</t>
        </is>
      </c>
      <c r="K444" s="200" t="inlineStr">
        <is>
          <t>USA</t>
        </is>
      </c>
      <c r="L444" s="217" t="n"/>
    </row>
    <row r="445">
      <c r="A445" s="220" t="inlineStr">
        <is>
          <t>M</t>
        </is>
      </c>
      <c r="B445" s="211" t="inlineStr">
        <is>
          <t>200 Breast</t>
        </is>
      </c>
      <c r="C445" s="190" t="n">
        <v>2019</v>
      </c>
      <c r="D445" s="211" t="inlineStr">
        <is>
          <t>THA</t>
        </is>
      </c>
      <c r="E445" s="221" t="n">
        <v>1</v>
      </c>
      <c r="F445" s="211" t="inlineStr">
        <is>
          <t>2:12.57</t>
        </is>
      </c>
      <c r="G445" s="211" t="n">
        <v>1992</v>
      </c>
      <c r="H445" s="211">
        <f>C445-G445</f>
        <v/>
      </c>
      <c r="I445" s="211" t="inlineStr">
        <is>
          <t>Nuttapong Ketin</t>
        </is>
      </c>
      <c r="J445" s="211" t="n"/>
      <c r="K445" s="211" t="n"/>
      <c r="L445" s="213" t="n"/>
    </row>
    <row r="446">
      <c r="A446" s="218" t="inlineStr">
        <is>
          <t>M</t>
        </is>
      </c>
      <c r="B446" s="215" t="inlineStr">
        <is>
          <t>200 Fly</t>
        </is>
      </c>
      <c r="C446" s="189" t="n">
        <v>2019</v>
      </c>
      <c r="D446" s="215" t="inlineStr">
        <is>
          <t>SGP</t>
        </is>
      </c>
      <c r="E446" s="219" t="n">
        <v>1</v>
      </c>
      <c r="F446" s="215" t="inlineStr">
        <is>
          <t>1:56.61</t>
        </is>
      </c>
      <c r="G446" s="195" t="n">
        <v>1996</v>
      </c>
      <c r="H446" s="195">
        <f>C446-G446</f>
        <v/>
      </c>
      <c r="I446" s="200" t="inlineStr">
        <is>
          <t>Zheng Wen Quah</t>
        </is>
      </c>
      <c r="J446" s="200" t="inlineStr">
        <is>
          <t>California Berkeley</t>
        </is>
      </c>
      <c r="K446" s="200" t="inlineStr">
        <is>
          <t>USA</t>
        </is>
      </c>
      <c r="L446" s="217" t="n"/>
    </row>
    <row r="447">
      <c r="A447" s="220" t="inlineStr">
        <is>
          <t>M</t>
        </is>
      </c>
      <c r="B447" s="211" t="inlineStr">
        <is>
          <t>200 Free</t>
        </is>
      </c>
      <c r="C447" s="190" t="n">
        <v>2019</v>
      </c>
      <c r="D447" s="211" t="inlineStr">
        <is>
          <t>SGP</t>
        </is>
      </c>
      <c r="E447" s="221" t="n">
        <v>1</v>
      </c>
      <c r="F447" s="211" t="inlineStr">
        <is>
          <t>1:48.26</t>
        </is>
      </c>
      <c r="G447" s="211" t="n">
        <v>2000</v>
      </c>
      <c r="H447" s="211">
        <f>C447-G447</f>
        <v/>
      </c>
      <c r="I447" s="211" t="inlineStr">
        <is>
          <t>Darren Chua</t>
        </is>
      </c>
      <c r="J447" s="211" t="n"/>
      <c r="K447" s="211" t="n"/>
      <c r="L447" s="213" t="n"/>
    </row>
    <row r="448">
      <c r="A448" s="218" t="inlineStr">
        <is>
          <t>M</t>
        </is>
      </c>
      <c r="B448" s="215" t="inlineStr">
        <is>
          <t>200 IM</t>
        </is>
      </c>
      <c r="C448" s="189" t="n">
        <v>2019</v>
      </c>
      <c r="D448" s="215" t="inlineStr">
        <is>
          <t>VIE</t>
        </is>
      </c>
      <c r="E448" s="219" t="n">
        <v>1</v>
      </c>
      <c r="F448" s="215" t="inlineStr">
        <is>
          <t>2:02.56</t>
        </is>
      </c>
      <c r="G448" s="195" t="n">
        <v>2003</v>
      </c>
      <c r="H448" s="195">
        <f>C450-G448</f>
        <v/>
      </c>
      <c r="I448" s="200" t="inlineStr">
        <is>
          <t>Hung Nguyen Tran</t>
        </is>
      </c>
      <c r="J448" s="215" t="n"/>
      <c r="K448" s="215" t="n"/>
      <c r="L448" s="217" t="n"/>
    </row>
    <row r="449">
      <c r="A449" s="220" t="inlineStr">
        <is>
          <t>M</t>
        </is>
      </c>
      <c r="B449" s="211" t="inlineStr">
        <is>
          <t>400 Free</t>
        </is>
      </c>
      <c r="C449" s="190" t="n">
        <v>2019</v>
      </c>
      <c r="D449" s="211" t="inlineStr">
        <is>
          <t>VIE</t>
        </is>
      </c>
      <c r="E449" s="221" t="n">
        <v>1</v>
      </c>
      <c r="F449" s="211" t="inlineStr">
        <is>
          <t>3:49.08</t>
        </is>
      </c>
      <c r="G449" s="196" t="n">
        <v>2000</v>
      </c>
      <c r="H449" s="196">
        <f>C449-G449</f>
        <v/>
      </c>
      <c r="I449" s="198" t="inlineStr">
        <is>
          <t>Huy Hoang Nguyen</t>
        </is>
      </c>
      <c r="J449" s="211" t="n"/>
      <c r="K449" s="211" t="n"/>
      <c r="L449" s="213" t="n"/>
    </row>
    <row r="450">
      <c r="A450" s="218" t="inlineStr">
        <is>
          <t>M</t>
        </is>
      </c>
      <c r="B450" s="215" t="inlineStr">
        <is>
          <t>400 Free Relay</t>
        </is>
      </c>
      <c r="C450" s="189" t="n">
        <v>2019</v>
      </c>
      <c r="D450" s="215" t="inlineStr">
        <is>
          <t>SGP</t>
        </is>
      </c>
      <c r="E450" s="219" t="n">
        <v>1</v>
      </c>
      <c r="F450" s="215" t="inlineStr">
        <is>
          <t>3:16.82</t>
        </is>
      </c>
      <c r="G450" s="215" t="n"/>
      <c r="H450" s="215" t="n"/>
      <c r="I450" s="215" t="n"/>
      <c r="J450" s="215" t="n"/>
      <c r="K450" s="215" t="n"/>
      <c r="L450" s="217" t="n"/>
    </row>
    <row r="451">
      <c r="A451" s="220" t="inlineStr">
        <is>
          <t>M</t>
        </is>
      </c>
      <c r="B451" s="211" t="inlineStr">
        <is>
          <t>400 IM</t>
        </is>
      </c>
      <c r="C451" s="190" t="n">
        <v>2019</v>
      </c>
      <c r="D451" s="211" t="inlineStr">
        <is>
          <t>VIE</t>
        </is>
      </c>
      <c r="E451" s="221" t="n">
        <v>1</v>
      </c>
      <c r="F451" s="211" t="inlineStr">
        <is>
          <t>4:20.65</t>
        </is>
      </c>
      <c r="G451" s="196" t="n">
        <v>2003</v>
      </c>
      <c r="H451" s="196">
        <f>C451-G451</f>
        <v/>
      </c>
      <c r="I451" s="198" t="inlineStr">
        <is>
          <t>Hung Nguyen Tran</t>
        </is>
      </c>
      <c r="J451" s="211" t="n"/>
      <c r="K451" s="211" t="n"/>
      <c r="L451" s="213" t="n"/>
    </row>
    <row r="452">
      <c r="A452" s="218" t="inlineStr">
        <is>
          <t>M</t>
        </is>
      </c>
      <c r="B452" s="215" t="inlineStr">
        <is>
          <t>400 Medley Relay</t>
        </is>
      </c>
      <c r="C452" s="189" t="n">
        <v>2019</v>
      </c>
      <c r="D452" s="215" t="inlineStr">
        <is>
          <t>SGP</t>
        </is>
      </c>
      <c r="E452" s="219" t="n">
        <v>1</v>
      </c>
      <c r="F452" s="215" t="inlineStr">
        <is>
          <t>3:38.63</t>
        </is>
      </c>
      <c r="G452" s="215" t="n"/>
      <c r="H452" s="215" t="n"/>
      <c r="I452" s="215" t="n"/>
      <c r="J452" s="215" t="n"/>
      <c r="K452" s="215" t="n"/>
      <c r="L452" s="217" t="n"/>
    </row>
    <row r="453">
      <c r="A453" s="220" t="inlineStr">
        <is>
          <t>M</t>
        </is>
      </c>
      <c r="B453" s="211" t="inlineStr">
        <is>
          <t>50 Back</t>
        </is>
      </c>
      <c r="C453" s="190" t="n">
        <v>2019</v>
      </c>
      <c r="D453" s="211" t="inlineStr">
        <is>
          <t>IND</t>
        </is>
      </c>
      <c r="E453" s="221" t="n">
        <v>1</v>
      </c>
      <c r="F453" s="211" t="inlineStr">
        <is>
          <t>25.12</t>
        </is>
      </c>
      <c r="G453" s="211" t="n">
        <v>1994</v>
      </c>
      <c r="H453" s="211">
        <f>C453-G453</f>
        <v/>
      </c>
      <c r="I453" s="211" t="inlineStr">
        <is>
          <t>I Gede Siman Sudartawa</t>
        </is>
      </c>
      <c r="J453" s="211" t="n"/>
      <c r="K453" s="211" t="n"/>
      <c r="L453" s="213" t="n"/>
    </row>
    <row r="454">
      <c r="A454" s="218" t="inlineStr">
        <is>
          <t>M</t>
        </is>
      </c>
      <c r="B454" s="215" t="inlineStr">
        <is>
          <t>50 Breast</t>
        </is>
      </c>
      <c r="C454" s="189" t="n">
        <v>2019</v>
      </c>
      <c r="D454" s="215" t="inlineStr">
        <is>
          <t>SGP</t>
        </is>
      </c>
      <c r="E454" s="219" t="n">
        <v>1</v>
      </c>
      <c r="F454" s="215" t="inlineStr">
        <is>
          <t>28.15</t>
        </is>
      </c>
      <c r="G454" s="215" t="n">
        <v>1995</v>
      </c>
      <c r="H454" s="202">
        <f>C454-G454</f>
        <v/>
      </c>
      <c r="I454" s="215" t="inlineStr">
        <is>
          <t>Lionel Khoo</t>
        </is>
      </c>
      <c r="J454" s="215" t="inlineStr">
        <is>
          <t>South Carolina</t>
        </is>
      </c>
      <c r="K454" s="215" t="inlineStr">
        <is>
          <t>USA</t>
        </is>
      </c>
      <c r="L454" s="217" t="n"/>
    </row>
    <row r="455">
      <c r="A455" s="220" t="inlineStr">
        <is>
          <t>M</t>
        </is>
      </c>
      <c r="B455" s="211" t="inlineStr">
        <is>
          <t>50 Fly</t>
        </is>
      </c>
      <c r="C455" s="190" t="n">
        <v>2019</v>
      </c>
      <c r="D455" s="211" t="inlineStr">
        <is>
          <t>SGP</t>
        </is>
      </c>
      <c r="E455" s="221" t="n">
        <v>1</v>
      </c>
      <c r="F455" s="211" t="inlineStr">
        <is>
          <t>23.55</t>
        </is>
      </c>
      <c r="G455" s="197" t="n">
        <v>1997</v>
      </c>
      <c r="H455" s="197">
        <f>C455-G455</f>
        <v/>
      </c>
      <c r="I455" s="201" t="inlineStr">
        <is>
          <t>Tzen Wei Teong</t>
        </is>
      </c>
      <c r="J455" s="211" t="n"/>
      <c r="K455" s="211" t="n"/>
      <c r="L455" s="213" t="n"/>
    </row>
    <row r="456">
      <c r="A456" s="218" t="inlineStr">
        <is>
          <t>M</t>
        </is>
      </c>
      <c r="B456" s="215" t="inlineStr">
        <is>
          <t>50 Free</t>
        </is>
      </c>
      <c r="C456" s="189" t="n">
        <v>2019</v>
      </c>
      <c r="D456" s="215" t="inlineStr">
        <is>
          <t>SGP</t>
        </is>
      </c>
      <c r="E456" s="219" t="n">
        <v>1</v>
      </c>
      <c r="F456" s="215" t="inlineStr">
        <is>
          <t>22.25</t>
        </is>
      </c>
      <c r="G456" s="202" t="n">
        <v>2002</v>
      </c>
      <c r="H456" s="202">
        <f>C456-G456</f>
        <v/>
      </c>
      <c r="I456" s="206" t="inlineStr">
        <is>
          <t>Jonathan EU Jin Tan</t>
        </is>
      </c>
      <c r="J456" s="206" t="inlineStr">
        <is>
          <t>Stanford</t>
        </is>
      </c>
      <c r="K456" s="206" t="inlineStr">
        <is>
          <t>USA</t>
        </is>
      </c>
      <c r="L456" s="217" t="n"/>
    </row>
    <row r="457">
      <c r="A457" s="220" t="inlineStr">
        <is>
          <t>M</t>
        </is>
      </c>
      <c r="B457" s="211" t="inlineStr">
        <is>
          <t>800 Free Relay</t>
        </is>
      </c>
      <c r="C457" s="190" t="n">
        <v>2019</v>
      </c>
      <c r="D457" s="211" t="inlineStr">
        <is>
          <t>SGP</t>
        </is>
      </c>
      <c r="E457" s="221" t="n">
        <v>1</v>
      </c>
      <c r="F457" s="211" t="inlineStr">
        <is>
          <t>7:17.88</t>
        </is>
      </c>
      <c r="G457" s="211" t="n"/>
      <c r="H457" s="211" t="n"/>
      <c r="I457" s="211" t="n"/>
      <c r="J457" s="211" t="n"/>
      <c r="K457" s="211" t="n"/>
      <c r="L457" s="213" t="n"/>
    </row>
    <row r="458">
      <c r="A458" s="218" t="n"/>
      <c r="B458" s="215" t="n"/>
      <c r="C458" s="215" t="n"/>
      <c r="D458" s="215" t="n"/>
      <c r="E458" s="219" t="n"/>
      <c r="F458" s="215" t="n"/>
      <c r="G458" s="215" t="n"/>
      <c r="H458" s="215" t="n"/>
      <c r="I458" s="215" t="n"/>
      <c r="J458" s="215" t="n"/>
      <c r="K458" s="215" t="n"/>
      <c r="L458" s="217" t="n"/>
    </row>
    <row r="459">
      <c r="A459" s="220" t="n"/>
      <c r="B459" s="211" t="n"/>
      <c r="C459" s="211" t="n"/>
      <c r="D459" s="211" t="n"/>
      <c r="E459" s="221" t="n"/>
      <c r="F459" s="211" t="n"/>
      <c r="G459" s="211" t="n"/>
      <c r="H459" s="211" t="n"/>
      <c r="I459" s="211" t="n"/>
      <c r="J459" s="211" t="n"/>
      <c r="K459" s="211" t="n"/>
      <c r="L459" s="213" t="n"/>
    </row>
    <row r="460">
      <c r="A460" s="218" t="n"/>
      <c r="B460" s="215" t="n"/>
      <c r="C460" s="215" t="n"/>
      <c r="D460" s="215" t="n"/>
      <c r="E460" s="219" t="n"/>
      <c r="F460" s="215" t="n"/>
      <c r="G460" s="215" t="n"/>
      <c r="H460" s="215" t="n"/>
      <c r="I460" s="215" t="n"/>
      <c r="J460" s="215" t="n"/>
      <c r="K460" s="215" t="n"/>
      <c r="L460" s="217" t="n"/>
    </row>
    <row r="461">
      <c r="A461" s="220" t="n"/>
      <c r="B461" s="211" t="n"/>
      <c r="C461" s="211" t="n"/>
      <c r="D461" s="211" t="n"/>
      <c r="E461" s="221" t="n"/>
      <c r="F461" s="211" t="n"/>
      <c r="G461" s="211" t="n"/>
      <c r="H461" s="211" t="n"/>
      <c r="I461" s="211" t="n"/>
      <c r="J461" s="211" t="n"/>
      <c r="K461" s="211" t="n"/>
      <c r="L461" s="213" t="n"/>
    </row>
    <row r="462">
      <c r="A462" s="218" t="n"/>
      <c r="B462" s="215" t="n"/>
      <c r="C462" s="215" t="n"/>
      <c r="D462" s="215" t="n"/>
      <c r="E462" s="219" t="n"/>
      <c r="F462" s="215" t="n"/>
      <c r="G462" s="215" t="n"/>
      <c r="H462" s="215" t="n"/>
      <c r="I462" s="215" t="n"/>
      <c r="J462" s="215" t="n"/>
      <c r="K462" s="215" t="n"/>
      <c r="L462" s="217" t="n"/>
    </row>
    <row r="463">
      <c r="A463" s="220" t="n"/>
      <c r="B463" s="211" t="n"/>
      <c r="C463" s="211" t="n"/>
      <c r="D463" s="211" t="n"/>
      <c r="E463" s="221" t="n"/>
      <c r="F463" s="211" t="n"/>
      <c r="G463" s="211" t="n"/>
      <c r="H463" s="211" t="n"/>
      <c r="I463" s="211" t="n"/>
      <c r="J463" s="211" t="n"/>
      <c r="K463" s="211" t="n"/>
      <c r="L463" s="213" t="n"/>
    </row>
    <row r="464">
      <c r="A464" s="218" t="n"/>
      <c r="B464" s="215" t="n"/>
      <c r="C464" s="215" t="n"/>
      <c r="D464" s="215" t="n"/>
      <c r="E464" s="219" t="n"/>
      <c r="F464" s="215" t="n"/>
      <c r="G464" s="215" t="n"/>
      <c r="H464" s="215" t="n"/>
      <c r="I464" s="215" t="n"/>
      <c r="J464" s="215" t="n"/>
      <c r="K464" s="215" t="n"/>
      <c r="L464" s="217" t="n"/>
    </row>
    <row r="465">
      <c r="A465" s="220" t="n"/>
      <c r="B465" s="211" t="n"/>
      <c r="C465" s="211" t="n"/>
      <c r="D465" s="211" t="n"/>
      <c r="E465" s="221" t="n"/>
      <c r="F465" s="211" t="n"/>
      <c r="G465" s="211" t="n"/>
      <c r="H465" s="211" t="n"/>
      <c r="I465" s="211" t="n"/>
      <c r="J465" s="211" t="n"/>
      <c r="K465" s="211" t="n"/>
      <c r="L465" s="213" t="n"/>
    </row>
    <row r="466">
      <c r="A466" s="218" t="n"/>
      <c r="B466" s="215" t="n"/>
      <c r="C466" s="215" t="n"/>
      <c r="D466" s="215" t="n"/>
      <c r="E466" s="219" t="n"/>
      <c r="F466" s="215" t="n"/>
      <c r="G466" s="215" t="n"/>
      <c r="H466" s="215" t="n"/>
      <c r="I466" s="215" t="n"/>
      <c r="J466" s="215" t="n"/>
      <c r="K466" s="215" t="n"/>
      <c r="L466" s="217" t="n"/>
    </row>
    <row r="467">
      <c r="A467" s="220" t="n"/>
      <c r="B467" s="211" t="n"/>
      <c r="C467" s="211" t="n"/>
      <c r="D467" s="211" t="n"/>
      <c r="E467" s="221" t="n"/>
      <c r="F467" s="211" t="n"/>
      <c r="G467" s="211" t="n"/>
      <c r="H467" s="211" t="n"/>
      <c r="I467" s="211" t="n"/>
      <c r="J467" s="211" t="n"/>
      <c r="K467" s="211" t="n"/>
      <c r="L467" s="213" t="n"/>
    </row>
    <row r="468">
      <c r="A468" s="218" t="n"/>
      <c r="B468" s="215" t="n"/>
      <c r="C468" s="215" t="n"/>
      <c r="D468" s="215" t="n"/>
      <c r="E468" s="219" t="n"/>
      <c r="F468" s="215" t="n"/>
      <c r="G468" s="215" t="n"/>
      <c r="H468" s="215" t="n"/>
      <c r="I468" s="215" t="n"/>
      <c r="J468" s="215" t="n"/>
      <c r="K468" s="215" t="n"/>
      <c r="L468" s="217" t="n"/>
    </row>
    <row r="469">
      <c r="A469" s="220" t="n"/>
      <c r="B469" s="211" t="n"/>
      <c r="C469" s="211" t="n"/>
      <c r="D469" s="211" t="n"/>
      <c r="E469" s="221" t="n"/>
      <c r="F469" s="211" t="n"/>
      <c r="G469" s="211" t="n"/>
      <c r="H469" s="211" t="n"/>
      <c r="I469" s="211" t="n"/>
      <c r="J469" s="211" t="n"/>
      <c r="K469" s="211" t="n"/>
      <c r="L469" s="213" t="n"/>
    </row>
    <row r="470">
      <c r="A470" s="218" t="n"/>
      <c r="B470" s="215" t="n"/>
      <c r="C470" s="215" t="n"/>
      <c r="D470" s="215" t="n"/>
      <c r="E470" s="219" t="n"/>
      <c r="F470" s="215" t="n"/>
      <c r="G470" s="215" t="n"/>
      <c r="H470" s="215" t="n"/>
      <c r="I470" s="215" t="n"/>
      <c r="J470" s="215" t="n"/>
      <c r="K470" s="215" t="n"/>
      <c r="L470" s="217" t="n"/>
    </row>
    <row r="471">
      <c r="A471" s="220" t="n"/>
      <c r="B471" s="211" t="n"/>
      <c r="C471" s="211" t="n"/>
      <c r="D471" s="211" t="n"/>
      <c r="E471" s="221" t="n"/>
      <c r="F471" s="211" t="n"/>
      <c r="G471" s="211" t="n"/>
      <c r="H471" s="211" t="n"/>
      <c r="I471" s="211" t="n"/>
      <c r="J471" s="211" t="n"/>
      <c r="K471" s="211" t="n"/>
      <c r="L471" s="213" t="n"/>
    </row>
    <row r="472">
      <c r="A472" s="218" t="n"/>
      <c r="B472" s="215" t="n"/>
      <c r="C472" s="215" t="n"/>
      <c r="D472" s="215" t="n"/>
      <c r="E472" s="219" t="n"/>
      <c r="F472" s="215" t="n"/>
      <c r="G472" s="215" t="n"/>
      <c r="H472" s="215" t="n"/>
      <c r="I472" s="215" t="n"/>
      <c r="J472" s="215" t="n"/>
      <c r="K472" s="215" t="n"/>
      <c r="L472" s="217" t="n"/>
    </row>
    <row r="473">
      <c r="A473" s="220" t="n"/>
      <c r="B473" s="211" t="n"/>
      <c r="C473" s="211" t="n"/>
      <c r="D473" s="211" t="n"/>
      <c r="E473" s="221" t="n"/>
      <c r="F473" s="211" t="n"/>
      <c r="G473" s="211" t="n"/>
      <c r="H473" s="211" t="n"/>
      <c r="I473" s="211" t="n"/>
      <c r="J473" s="211" t="n"/>
      <c r="K473" s="211" t="n"/>
      <c r="L473" s="213" t="n"/>
    </row>
    <row r="474">
      <c r="A474" s="218" t="n"/>
      <c r="B474" s="215" t="n"/>
      <c r="C474" s="215" t="n"/>
      <c r="D474" s="215" t="n"/>
      <c r="E474" s="219" t="n"/>
      <c r="F474" s="215" t="n"/>
      <c r="G474" s="215" t="n"/>
      <c r="H474" s="215" t="n"/>
      <c r="I474" s="215" t="n"/>
      <c r="J474" s="215" t="n"/>
      <c r="K474" s="215" t="n"/>
      <c r="L474" s="217" t="n"/>
    </row>
    <row r="475">
      <c r="A475" s="220" t="n"/>
      <c r="B475" s="211" t="n"/>
      <c r="C475" s="211" t="n"/>
      <c r="D475" s="211" t="n"/>
      <c r="E475" s="221" t="n"/>
      <c r="F475" s="211" t="n"/>
      <c r="G475" s="211" t="n"/>
      <c r="H475" s="211" t="n"/>
      <c r="I475" s="211" t="n"/>
      <c r="J475" s="211" t="n"/>
      <c r="K475" s="211" t="n"/>
      <c r="L475" s="213" t="n"/>
    </row>
    <row r="476">
      <c r="A476" s="218" t="n"/>
      <c r="B476" s="215" t="n"/>
      <c r="C476" s="215" t="n"/>
      <c r="D476" s="215" t="n"/>
      <c r="E476" s="219" t="n"/>
      <c r="F476" s="215" t="n"/>
      <c r="G476" s="215" t="n"/>
      <c r="H476" s="215" t="n"/>
      <c r="I476" s="215" t="n"/>
      <c r="J476" s="215" t="n"/>
      <c r="K476" s="215" t="n"/>
      <c r="L476" s="217" t="n"/>
    </row>
    <row r="477">
      <c r="A477" s="220" t="n"/>
      <c r="B477" s="211" t="n"/>
      <c r="C477" s="211" t="n"/>
      <c r="D477" s="211" t="n"/>
      <c r="E477" s="221" t="n"/>
      <c r="F477" s="211" t="n"/>
      <c r="G477" s="211" t="n"/>
      <c r="H477" s="211" t="n"/>
      <c r="I477" s="211" t="n"/>
      <c r="J477" s="211" t="n"/>
      <c r="K477" s="211" t="n"/>
      <c r="L477" s="213" t="n"/>
    </row>
    <row r="478">
      <c r="A478" s="218" t="n"/>
      <c r="B478" s="215" t="n"/>
      <c r="C478" s="215" t="n"/>
      <c r="D478" s="215" t="n"/>
      <c r="E478" s="219" t="n"/>
      <c r="F478" s="215" t="n"/>
      <c r="G478" s="215" t="n"/>
      <c r="H478" s="215" t="n"/>
      <c r="I478" s="215" t="n"/>
      <c r="J478" s="215" t="n"/>
      <c r="K478" s="215" t="n"/>
      <c r="L478" s="217" t="n"/>
    </row>
    <row r="479">
      <c r="A479" s="220" t="n"/>
      <c r="B479" s="211" t="n"/>
      <c r="C479" s="211" t="n"/>
      <c r="D479" s="211" t="n"/>
      <c r="E479" s="221" t="n"/>
      <c r="F479" s="211" t="n"/>
      <c r="G479" s="211" t="n"/>
      <c r="H479" s="211" t="n"/>
      <c r="I479" s="211" t="n"/>
      <c r="J479" s="211" t="n"/>
      <c r="K479" s="211" t="n"/>
      <c r="L479" s="213" t="n"/>
    </row>
    <row r="480">
      <c r="A480" s="218" t="n"/>
      <c r="B480" s="215" t="n"/>
      <c r="C480" s="215" t="n"/>
      <c r="D480" s="215" t="n"/>
      <c r="E480" s="219" t="n"/>
      <c r="F480" s="215" t="n"/>
      <c r="G480" s="215" t="n"/>
      <c r="H480" s="215" t="n"/>
      <c r="I480" s="215" t="n"/>
      <c r="J480" s="215" t="n"/>
      <c r="K480" s="215" t="n"/>
      <c r="L480" s="217" t="n"/>
    </row>
    <row r="481">
      <c r="A481" s="220" t="n"/>
      <c r="B481" s="211" t="n"/>
      <c r="C481" s="211" t="n"/>
      <c r="D481" s="211" t="n"/>
      <c r="E481" s="221" t="n"/>
      <c r="F481" s="211" t="n"/>
      <c r="G481" s="211" t="n"/>
      <c r="H481" s="211" t="n"/>
      <c r="I481" s="211" t="n"/>
      <c r="J481" s="211" t="n"/>
      <c r="K481" s="211" t="n"/>
      <c r="L481" s="213" t="n"/>
    </row>
    <row r="482">
      <c r="A482" s="218" t="n"/>
      <c r="B482" s="215" t="n"/>
      <c r="C482" s="215" t="n"/>
      <c r="D482" s="215" t="n"/>
      <c r="E482" s="219" t="n"/>
      <c r="F482" s="215" t="n"/>
      <c r="G482" s="215" t="n"/>
      <c r="H482" s="215" t="n"/>
      <c r="I482" s="215" t="n"/>
      <c r="J482" s="215" t="n"/>
      <c r="K482" s="215" t="n"/>
      <c r="L482" s="217" t="n"/>
    </row>
    <row r="483">
      <c r="A483" s="220" t="n"/>
      <c r="B483" s="211" t="n"/>
      <c r="C483" s="211" t="n"/>
      <c r="D483" s="211" t="n"/>
      <c r="E483" s="221" t="n"/>
      <c r="F483" s="211" t="n"/>
      <c r="G483" s="211" t="n"/>
      <c r="H483" s="211" t="n"/>
      <c r="I483" s="211" t="n"/>
      <c r="J483" s="211" t="n"/>
      <c r="K483" s="211" t="n"/>
      <c r="L483" s="213" t="n"/>
    </row>
    <row r="484">
      <c r="A484" s="218" t="n"/>
      <c r="B484" s="215" t="n"/>
      <c r="C484" s="215" t="n"/>
      <c r="D484" s="215" t="n"/>
      <c r="E484" s="219" t="n"/>
      <c r="F484" s="215" t="n"/>
      <c r="G484" s="215" t="n"/>
      <c r="H484" s="215" t="n"/>
      <c r="I484" s="215" t="n"/>
      <c r="J484" s="215" t="n"/>
      <c r="K484" s="215" t="n"/>
      <c r="L484" s="217" t="n"/>
    </row>
    <row r="485">
      <c r="A485" s="220" t="n"/>
      <c r="B485" s="211" t="n"/>
      <c r="C485" s="211" t="n"/>
      <c r="D485" s="211" t="n"/>
      <c r="E485" s="221" t="n"/>
      <c r="F485" s="211" t="n"/>
      <c r="G485" s="211" t="n"/>
      <c r="H485" s="211" t="n"/>
      <c r="I485" s="211" t="n"/>
      <c r="J485" s="211" t="n"/>
      <c r="K485" s="211" t="n"/>
      <c r="L485" s="213" t="n"/>
    </row>
    <row r="486">
      <c r="A486" s="218" t="n"/>
      <c r="B486" s="215" t="n"/>
      <c r="C486" s="215" t="n"/>
      <c r="D486" s="215" t="n"/>
      <c r="E486" s="219" t="n"/>
      <c r="F486" s="215" t="n"/>
      <c r="G486" s="215" t="n"/>
      <c r="H486" s="215" t="n"/>
      <c r="I486" s="215" t="n"/>
      <c r="J486" s="215" t="n"/>
      <c r="K486" s="215" t="n"/>
      <c r="L486" s="217" t="n"/>
    </row>
    <row r="487">
      <c r="A487" s="220" t="n"/>
      <c r="B487" s="211" t="n"/>
      <c r="C487" s="211" t="n"/>
      <c r="D487" s="211" t="n"/>
      <c r="E487" s="221" t="n"/>
      <c r="F487" s="211" t="n"/>
      <c r="G487" s="211" t="n"/>
      <c r="H487" s="211" t="n"/>
      <c r="I487" s="211" t="n"/>
      <c r="J487" s="211" t="n"/>
      <c r="K487" s="211" t="n"/>
      <c r="L487" s="213" t="n"/>
    </row>
    <row r="488">
      <c r="A488" s="218" t="n"/>
      <c r="B488" s="215" t="n"/>
      <c r="C488" s="215" t="n"/>
      <c r="D488" s="215" t="n"/>
      <c r="E488" s="219" t="n"/>
      <c r="F488" s="215" t="n"/>
      <c r="G488" s="215" t="n"/>
      <c r="H488" s="215" t="n"/>
      <c r="I488" s="215" t="n"/>
      <c r="J488" s="215" t="n"/>
      <c r="K488" s="215" t="n"/>
      <c r="L488" s="217" t="n"/>
    </row>
    <row r="489">
      <c r="A489" s="220" t="n"/>
      <c r="B489" s="211" t="n"/>
      <c r="C489" s="211" t="n"/>
      <c r="D489" s="211" t="n"/>
      <c r="E489" s="221" t="n"/>
      <c r="F489" s="211" t="n"/>
      <c r="G489" s="211" t="n"/>
      <c r="H489" s="211" t="n"/>
      <c r="I489" s="211" t="n"/>
      <c r="J489" s="211" t="n"/>
      <c r="K489" s="211" t="n"/>
      <c r="L489" s="213" t="n"/>
    </row>
    <row r="490">
      <c r="A490" s="218" t="n"/>
      <c r="B490" s="215" t="n"/>
      <c r="C490" s="215" t="n"/>
      <c r="D490" s="215" t="n"/>
      <c r="E490" s="219" t="n"/>
      <c r="F490" s="215" t="n"/>
      <c r="G490" s="215" t="n"/>
      <c r="H490" s="215" t="n"/>
      <c r="I490" s="215" t="n"/>
      <c r="J490" s="215" t="n"/>
      <c r="K490" s="215" t="n"/>
      <c r="L490" s="217" t="n"/>
    </row>
    <row r="491">
      <c r="A491" s="220" t="n"/>
      <c r="B491" s="211" t="n"/>
      <c r="C491" s="211" t="n"/>
      <c r="D491" s="211" t="n"/>
      <c r="E491" s="221" t="n"/>
      <c r="F491" s="211" t="n"/>
      <c r="G491" s="211" t="n"/>
      <c r="H491" s="211" t="n"/>
      <c r="I491" s="211" t="n"/>
      <c r="J491" s="211" t="n"/>
      <c r="K491" s="211" t="n"/>
      <c r="L491" s="213" t="n"/>
    </row>
    <row r="492">
      <c r="A492" s="218" t="n"/>
      <c r="B492" s="215" t="n"/>
      <c r="C492" s="215" t="n"/>
      <c r="D492" s="215" t="n"/>
      <c r="E492" s="219" t="n"/>
      <c r="F492" s="215" t="n"/>
      <c r="G492" s="215" t="n"/>
      <c r="H492" s="215" t="n"/>
      <c r="I492" s="215" t="n"/>
      <c r="J492" s="215" t="n"/>
      <c r="K492" s="215" t="n"/>
      <c r="L492" s="217" t="n"/>
    </row>
    <row r="493">
      <c r="A493" s="220" t="n"/>
      <c r="B493" s="211" t="n"/>
      <c r="C493" s="211" t="n"/>
      <c r="D493" s="211" t="n"/>
      <c r="E493" s="221" t="n"/>
      <c r="F493" s="211" t="n"/>
      <c r="G493" s="211" t="n"/>
      <c r="H493" s="211" t="n"/>
      <c r="I493" s="211" t="n"/>
      <c r="J493" s="211" t="n"/>
      <c r="K493" s="211" t="n"/>
      <c r="L493" s="213" t="n"/>
    </row>
    <row r="494">
      <c r="A494" s="218" t="n"/>
      <c r="B494" s="215" t="n"/>
      <c r="C494" s="215" t="n"/>
      <c r="D494" s="215" t="n"/>
      <c r="E494" s="219" t="n"/>
      <c r="F494" s="215" t="n"/>
      <c r="G494" s="215" t="n"/>
      <c r="H494" s="215" t="n"/>
      <c r="I494" s="215" t="n"/>
      <c r="J494" s="215" t="n"/>
      <c r="K494" s="215" t="n"/>
      <c r="L494" s="217" t="n"/>
    </row>
    <row r="495">
      <c r="A495" s="220" t="n"/>
      <c r="B495" s="211" t="n"/>
      <c r="C495" s="211" t="n"/>
      <c r="D495" s="211" t="n"/>
      <c r="E495" s="221" t="n"/>
      <c r="F495" s="211" t="n"/>
      <c r="G495" s="211" t="n"/>
      <c r="H495" s="211" t="n"/>
      <c r="I495" s="211" t="n"/>
      <c r="J495" s="211" t="n"/>
      <c r="K495" s="211" t="n"/>
      <c r="L495" s="213" t="n"/>
    </row>
    <row r="496">
      <c r="A496" s="218" t="n"/>
      <c r="B496" s="215" t="n"/>
      <c r="C496" s="215" t="n"/>
      <c r="D496" s="215" t="n"/>
      <c r="E496" s="219" t="n"/>
      <c r="F496" s="215" t="n"/>
      <c r="G496" s="215" t="n"/>
      <c r="H496" s="215" t="n"/>
      <c r="I496" s="215" t="n"/>
      <c r="J496" s="215" t="n"/>
      <c r="K496" s="215" t="n"/>
      <c r="L496" s="217" t="n"/>
    </row>
    <row r="497">
      <c r="A497" s="220" t="n"/>
      <c r="B497" s="211" t="n"/>
      <c r="C497" s="211" t="n"/>
      <c r="D497" s="211" t="n"/>
      <c r="E497" s="221" t="n"/>
      <c r="F497" s="211" t="n"/>
      <c r="G497" s="211" t="n"/>
      <c r="H497" s="211" t="n"/>
      <c r="I497" s="211" t="n"/>
      <c r="J497" s="211" t="n"/>
      <c r="K497" s="211" t="n"/>
      <c r="L497" s="213" t="n"/>
    </row>
    <row r="498">
      <c r="A498" s="218" t="n"/>
      <c r="B498" s="215" t="n"/>
      <c r="C498" s="215" t="n"/>
      <c r="D498" s="215" t="n"/>
      <c r="E498" s="219" t="n"/>
      <c r="F498" s="215" t="n"/>
      <c r="G498" s="215" t="n"/>
      <c r="H498" s="215" t="n"/>
      <c r="I498" s="215" t="n"/>
      <c r="J498" s="215" t="n"/>
      <c r="K498" s="215" t="n"/>
      <c r="L498" s="217" t="n"/>
    </row>
    <row r="499">
      <c r="A499" s="220" t="n"/>
      <c r="B499" s="211" t="n"/>
      <c r="C499" s="211" t="n"/>
      <c r="D499" s="211" t="n"/>
      <c r="E499" s="221" t="n"/>
      <c r="F499" s="211" t="n"/>
      <c r="G499" s="211" t="n"/>
      <c r="H499" s="211" t="n"/>
      <c r="I499" s="211" t="n"/>
      <c r="J499" s="211" t="n"/>
      <c r="K499" s="211" t="n"/>
      <c r="L499" s="213" t="n"/>
    </row>
    <row r="500">
      <c r="A500" s="218" t="n"/>
      <c r="B500" s="215" t="n"/>
      <c r="C500" s="215" t="n"/>
      <c r="D500" s="215" t="n"/>
      <c r="E500" s="219" t="n"/>
      <c r="F500" s="215" t="n"/>
      <c r="G500" s="215" t="n"/>
      <c r="H500" s="215" t="n"/>
      <c r="I500" s="215" t="n"/>
      <c r="J500" s="215" t="n"/>
      <c r="K500" s="215" t="n"/>
      <c r="L500" s="217" t="n"/>
    </row>
    <row r="501">
      <c r="A501" s="220" t="n"/>
      <c r="B501" s="211" t="n"/>
      <c r="C501" s="211" t="n"/>
      <c r="D501" s="211" t="n"/>
      <c r="E501" s="221" t="n"/>
      <c r="F501" s="211" t="n"/>
      <c r="G501" s="211" t="n"/>
      <c r="H501" s="211" t="n"/>
      <c r="I501" s="211" t="n"/>
      <c r="J501" s="211" t="n"/>
      <c r="K501" s="211" t="n"/>
      <c r="L501" s="213" t="n"/>
    </row>
    <row r="502">
      <c r="A502" s="218" t="n"/>
      <c r="B502" s="215" t="n"/>
      <c r="C502" s="215" t="n"/>
      <c r="D502" s="215" t="n"/>
      <c r="E502" s="219" t="n"/>
      <c r="F502" s="215" t="n"/>
      <c r="G502" s="215" t="n"/>
      <c r="H502" s="215" t="n"/>
      <c r="I502" s="215" t="n"/>
      <c r="J502" s="215" t="n"/>
      <c r="K502" s="215" t="n"/>
      <c r="L502" s="217" t="n"/>
    </row>
    <row r="503">
      <c r="A503" s="220" t="n"/>
      <c r="B503" s="211" t="n"/>
      <c r="C503" s="211" t="n"/>
      <c r="D503" s="211" t="n"/>
      <c r="E503" s="221" t="n"/>
      <c r="F503" s="211" t="n"/>
      <c r="G503" s="211" t="n"/>
      <c r="H503" s="211" t="n"/>
      <c r="I503" s="211" t="n"/>
      <c r="J503" s="211" t="n"/>
      <c r="K503" s="211" t="n"/>
      <c r="L503" s="213" t="n"/>
    </row>
    <row r="504">
      <c r="A504" s="218" t="n"/>
      <c r="B504" s="215" t="n"/>
      <c r="C504" s="215" t="n"/>
      <c r="D504" s="215" t="n"/>
      <c r="E504" s="219" t="n"/>
      <c r="F504" s="215" t="n"/>
      <c r="G504" s="215" t="n"/>
      <c r="H504" s="215" t="n"/>
      <c r="I504" s="215" t="n"/>
      <c r="J504" s="215" t="n"/>
      <c r="K504" s="215" t="n"/>
      <c r="L504" s="217" t="n"/>
    </row>
    <row r="505">
      <c r="A505" s="220" t="n"/>
      <c r="B505" s="211" t="n"/>
      <c r="C505" s="211" t="n"/>
      <c r="D505" s="211" t="n"/>
      <c r="E505" s="221" t="n"/>
      <c r="F505" s="211" t="n"/>
      <c r="G505" s="211" t="n"/>
      <c r="H505" s="211" t="n"/>
      <c r="I505" s="211" t="n"/>
      <c r="J505" s="211" t="n"/>
      <c r="K505" s="211" t="n"/>
      <c r="L505" s="213" t="n"/>
    </row>
    <row r="506">
      <c r="A506" s="218" t="n"/>
      <c r="B506" s="215" t="n"/>
      <c r="C506" s="215" t="n"/>
      <c r="D506" s="215" t="n"/>
      <c r="E506" s="219" t="n"/>
      <c r="F506" s="215" t="n"/>
      <c r="G506" s="215" t="n"/>
      <c r="H506" s="215" t="n"/>
      <c r="I506" s="215" t="n"/>
      <c r="J506" s="215" t="n"/>
      <c r="K506" s="215" t="n"/>
      <c r="L506" s="217" t="n"/>
    </row>
    <row r="507">
      <c r="A507" s="220" t="n"/>
      <c r="B507" s="211" t="n"/>
      <c r="C507" s="211" t="n"/>
      <c r="D507" s="211" t="n"/>
      <c r="E507" s="221" t="n"/>
      <c r="F507" s="211" t="n"/>
      <c r="G507" s="211" t="n"/>
      <c r="H507" s="211" t="n"/>
      <c r="I507" s="211" t="n"/>
      <c r="J507" s="211" t="n"/>
      <c r="K507" s="211" t="n"/>
      <c r="L507" s="213" t="n"/>
    </row>
    <row r="508">
      <c r="A508" s="218" t="n"/>
      <c r="B508" s="215" t="n"/>
      <c r="C508" s="215" t="n"/>
      <c r="D508" s="215" t="n"/>
      <c r="E508" s="219" t="n"/>
      <c r="F508" s="215" t="n"/>
      <c r="G508" s="215" t="n"/>
      <c r="H508" s="215" t="n"/>
      <c r="I508" s="215" t="n"/>
      <c r="J508" s="215" t="n"/>
      <c r="K508" s="215" t="n"/>
      <c r="L508" s="217" t="n"/>
    </row>
    <row r="509">
      <c r="A509" s="220" t="n"/>
      <c r="B509" s="211" t="n"/>
      <c r="C509" s="211" t="n"/>
      <c r="D509" s="211" t="n"/>
      <c r="E509" s="221" t="n"/>
      <c r="F509" s="211" t="n"/>
      <c r="G509" s="211" t="n"/>
      <c r="H509" s="211" t="n"/>
      <c r="I509" s="211" t="n"/>
      <c r="J509" s="211" t="n"/>
      <c r="K509" s="211" t="n"/>
      <c r="L509" s="213" t="n"/>
    </row>
    <row r="510">
      <c r="A510" s="218" t="n"/>
      <c r="B510" s="215" t="n"/>
      <c r="C510" s="215" t="n"/>
      <c r="D510" s="215" t="n"/>
      <c r="E510" s="219" t="n"/>
      <c r="F510" s="215" t="n"/>
      <c r="G510" s="215" t="n"/>
      <c r="H510" s="215" t="n"/>
      <c r="I510" s="215" t="n"/>
      <c r="J510" s="215" t="n"/>
      <c r="K510" s="215" t="n"/>
      <c r="L510" s="217" t="n"/>
    </row>
    <row r="511">
      <c r="A511" s="220" t="n"/>
      <c r="B511" s="211" t="n"/>
      <c r="C511" s="211" t="n"/>
      <c r="D511" s="211" t="n"/>
      <c r="E511" s="221" t="n"/>
      <c r="F511" s="211" t="n"/>
      <c r="G511" s="211" t="n"/>
      <c r="H511" s="211" t="n"/>
      <c r="I511" s="211" t="n"/>
      <c r="J511" s="211" t="n"/>
      <c r="K511" s="211" t="n"/>
      <c r="L511" s="213" t="n"/>
    </row>
    <row r="512">
      <c r="A512" s="218" t="n"/>
      <c r="B512" s="215" t="n"/>
      <c r="C512" s="215" t="n"/>
      <c r="D512" s="215" t="n"/>
      <c r="E512" s="219" t="n"/>
      <c r="F512" s="215" t="n"/>
      <c r="G512" s="215" t="n"/>
      <c r="H512" s="215" t="n"/>
      <c r="I512" s="215" t="n"/>
      <c r="J512" s="215" t="n"/>
      <c r="K512" s="215" t="n"/>
      <c r="L512" s="217" t="n"/>
    </row>
    <row r="513">
      <c r="A513" s="220" t="n"/>
      <c r="B513" s="211" t="n"/>
      <c r="C513" s="211" t="n"/>
      <c r="D513" s="211" t="n"/>
      <c r="E513" s="221" t="n"/>
      <c r="F513" s="211" t="n"/>
      <c r="G513" s="211" t="n"/>
      <c r="H513" s="211" t="n"/>
      <c r="I513" s="211" t="n"/>
      <c r="J513" s="211" t="n"/>
      <c r="K513" s="211" t="n"/>
      <c r="L513" s="213" t="n"/>
    </row>
    <row r="514">
      <c r="A514" s="218" t="n"/>
      <c r="B514" s="215" t="n"/>
      <c r="C514" s="215" t="n"/>
      <c r="D514" s="215" t="n"/>
      <c r="E514" s="219" t="n"/>
      <c r="F514" s="215" t="n"/>
      <c r="G514" s="215" t="n"/>
      <c r="H514" s="215" t="n"/>
      <c r="I514" s="215" t="n"/>
      <c r="J514" s="215" t="n"/>
      <c r="K514" s="215" t="n"/>
      <c r="L514" s="217" t="n"/>
    </row>
    <row r="515">
      <c r="A515" s="220" t="n"/>
      <c r="B515" s="211" t="n"/>
      <c r="C515" s="211" t="n"/>
      <c r="D515" s="211" t="n"/>
      <c r="E515" s="221" t="n"/>
      <c r="F515" s="211" t="n"/>
      <c r="G515" s="211" t="n"/>
      <c r="H515" s="211" t="n"/>
      <c r="I515" s="211" t="n"/>
      <c r="J515" s="211" t="n"/>
      <c r="K515" s="211" t="n"/>
      <c r="L515" s="213" t="n"/>
    </row>
    <row r="516">
      <c r="A516" s="218" t="n"/>
      <c r="B516" s="215" t="n"/>
      <c r="C516" s="215" t="n"/>
      <c r="D516" s="215" t="n"/>
      <c r="E516" s="219" t="n"/>
      <c r="F516" s="215" t="n"/>
      <c r="G516" s="215" t="n"/>
      <c r="H516" s="215" t="n"/>
      <c r="I516" s="215" t="n"/>
      <c r="J516" s="215" t="n"/>
      <c r="K516" s="215" t="n"/>
      <c r="L516" s="217" t="n"/>
    </row>
    <row r="517">
      <c r="A517" s="220" t="n"/>
      <c r="B517" s="211" t="n"/>
      <c r="C517" s="211" t="n"/>
      <c r="D517" s="211" t="n"/>
      <c r="E517" s="221" t="n"/>
      <c r="F517" s="211" t="n"/>
      <c r="G517" s="211" t="n"/>
      <c r="H517" s="211" t="n"/>
      <c r="I517" s="211" t="n"/>
      <c r="J517" s="211" t="n"/>
      <c r="K517" s="211" t="n"/>
      <c r="L517" s="213" t="n"/>
    </row>
    <row r="518">
      <c r="A518" s="218" t="n"/>
      <c r="B518" s="215" t="n"/>
      <c r="C518" s="215" t="n"/>
      <c r="D518" s="215" t="n"/>
      <c r="E518" s="219" t="n"/>
      <c r="F518" s="215" t="n"/>
      <c r="G518" s="215" t="n"/>
      <c r="H518" s="215" t="n"/>
      <c r="I518" s="215" t="n"/>
      <c r="J518" s="215" t="n"/>
      <c r="K518" s="215" t="n"/>
      <c r="L518" s="217" t="n"/>
    </row>
    <row r="519">
      <c r="A519" s="220" t="n"/>
      <c r="B519" s="211" t="n"/>
      <c r="C519" s="211" t="n"/>
      <c r="D519" s="211" t="n"/>
      <c r="E519" s="221" t="n"/>
      <c r="F519" s="211" t="n"/>
      <c r="G519" s="211" t="n"/>
      <c r="H519" s="211" t="n"/>
      <c r="I519" s="211" t="n"/>
      <c r="J519" s="211" t="n"/>
      <c r="K519" s="211" t="n"/>
      <c r="L519" s="213" t="n"/>
    </row>
    <row r="520">
      <c r="A520" s="218" t="n"/>
      <c r="B520" s="215" t="n"/>
      <c r="C520" s="215" t="n"/>
      <c r="D520" s="215" t="n"/>
      <c r="E520" s="219" t="n"/>
      <c r="F520" s="215" t="n"/>
      <c r="G520" s="215" t="n"/>
      <c r="H520" s="215" t="n"/>
      <c r="I520" s="215" t="n"/>
      <c r="J520" s="215" t="n"/>
      <c r="K520" s="215" t="n"/>
      <c r="L520" s="217" t="n"/>
    </row>
    <row r="521">
      <c r="A521" s="220" t="n"/>
      <c r="B521" s="211" t="n"/>
      <c r="C521" s="211" t="n"/>
      <c r="D521" s="211" t="n"/>
      <c r="E521" s="221" t="n"/>
      <c r="F521" s="211" t="n"/>
      <c r="G521" s="211" t="n"/>
      <c r="H521" s="211" t="n"/>
      <c r="I521" s="211" t="n"/>
      <c r="J521" s="211" t="n"/>
      <c r="K521" s="211" t="n"/>
      <c r="L521" s="213" t="n"/>
    </row>
    <row r="522">
      <c r="A522" s="218" t="n"/>
      <c r="B522" s="215" t="n"/>
      <c r="C522" s="215" t="n"/>
      <c r="D522" s="215" t="n"/>
      <c r="E522" s="219" t="n"/>
      <c r="F522" s="215" t="n"/>
      <c r="G522" s="215" t="n"/>
      <c r="H522" s="215" t="n"/>
      <c r="I522" s="215" t="n"/>
      <c r="J522" s="215" t="n"/>
      <c r="K522" s="215" t="n"/>
      <c r="L522" s="217" t="n"/>
    </row>
    <row r="523">
      <c r="A523" s="220" t="n"/>
      <c r="B523" s="211" t="n"/>
      <c r="C523" s="211" t="n"/>
      <c r="D523" s="211" t="n"/>
      <c r="E523" s="221" t="n"/>
      <c r="F523" s="211" t="n"/>
      <c r="G523" s="211" t="n"/>
      <c r="H523" s="211" t="n"/>
      <c r="I523" s="211" t="n"/>
      <c r="J523" s="211" t="n"/>
      <c r="K523" s="211" t="n"/>
      <c r="L523" s="213" t="n"/>
    </row>
    <row r="524">
      <c r="A524" s="218" t="n"/>
      <c r="B524" s="215" t="n"/>
      <c r="C524" s="215" t="n"/>
      <c r="D524" s="215" t="n"/>
      <c r="E524" s="219" t="n"/>
      <c r="F524" s="215" t="n"/>
      <c r="G524" s="215" t="n"/>
      <c r="H524" s="215" t="n"/>
      <c r="I524" s="215" t="n"/>
      <c r="J524" s="215" t="n"/>
      <c r="K524" s="215" t="n"/>
      <c r="L524" s="217" t="n"/>
    </row>
    <row r="525">
      <c r="A525" s="220" t="n"/>
      <c r="B525" s="211" t="n"/>
      <c r="C525" s="211" t="n"/>
      <c r="D525" s="211" t="n"/>
      <c r="E525" s="221" t="n"/>
      <c r="F525" s="211" t="n"/>
      <c r="G525" s="211" t="n"/>
      <c r="H525" s="211" t="n"/>
      <c r="I525" s="211" t="n"/>
      <c r="J525" s="211" t="n"/>
      <c r="K525" s="211" t="n"/>
      <c r="L525" s="213" t="n"/>
    </row>
    <row r="526">
      <c r="A526" s="218" t="n"/>
      <c r="B526" s="215" t="n"/>
      <c r="C526" s="215" t="n"/>
      <c r="D526" s="215" t="n"/>
      <c r="E526" s="219" t="n"/>
      <c r="F526" s="215" t="n"/>
      <c r="G526" s="215" t="n"/>
      <c r="H526" s="215" t="n"/>
      <c r="I526" s="215" t="n"/>
      <c r="J526" s="215" t="n"/>
      <c r="K526" s="215" t="n"/>
      <c r="L526" s="217" t="n"/>
    </row>
    <row r="527">
      <c r="A527" s="220" t="n"/>
      <c r="B527" s="211" t="n"/>
      <c r="C527" s="211" t="n"/>
      <c r="D527" s="211" t="n"/>
      <c r="E527" s="221" t="n"/>
      <c r="F527" s="211" t="n"/>
      <c r="G527" s="211" t="n"/>
      <c r="H527" s="211" t="n"/>
      <c r="I527" s="211" t="n"/>
      <c r="J527" s="211" t="n"/>
      <c r="K527" s="211" t="n"/>
      <c r="L527" s="213" t="n"/>
    </row>
    <row r="528">
      <c r="A528" s="218" t="n"/>
      <c r="B528" s="215" t="n"/>
      <c r="C528" s="215" t="n"/>
      <c r="D528" s="215" t="n"/>
      <c r="E528" s="219" t="n"/>
      <c r="F528" s="215" t="n"/>
      <c r="G528" s="215" t="n"/>
      <c r="H528" s="215" t="n"/>
      <c r="I528" s="215" t="n"/>
      <c r="J528" s="215" t="n"/>
      <c r="K528" s="215" t="n"/>
      <c r="L528" s="217" t="n"/>
    </row>
    <row r="529">
      <c r="A529" s="220" t="n"/>
      <c r="B529" s="211" t="n"/>
      <c r="C529" s="211" t="n"/>
      <c r="D529" s="211" t="n"/>
      <c r="E529" s="221" t="n"/>
      <c r="F529" s="211" t="n"/>
      <c r="G529" s="211" t="n"/>
      <c r="H529" s="211" t="n"/>
      <c r="I529" s="211" t="n"/>
      <c r="J529" s="211" t="n"/>
      <c r="K529" s="211" t="n"/>
      <c r="L529" s="213" t="n"/>
    </row>
    <row r="530">
      <c r="A530" s="218" t="n"/>
      <c r="B530" s="215" t="n"/>
      <c r="C530" s="215" t="n"/>
      <c r="D530" s="215" t="n"/>
      <c r="E530" s="219" t="n"/>
      <c r="F530" s="215" t="n"/>
      <c r="G530" s="215" t="n"/>
      <c r="H530" s="215" t="n"/>
      <c r="I530" s="215" t="n"/>
      <c r="J530" s="215" t="n"/>
      <c r="K530" s="215" t="n"/>
      <c r="L530" s="217" t="n"/>
    </row>
    <row r="531">
      <c r="A531" s="220" t="n"/>
      <c r="B531" s="211" t="n"/>
      <c r="C531" s="211" t="n"/>
      <c r="D531" s="211" t="n"/>
      <c r="E531" s="221" t="n"/>
      <c r="F531" s="211" t="n"/>
      <c r="G531" s="211" t="n"/>
      <c r="H531" s="211" t="n"/>
      <c r="I531" s="211" t="n"/>
      <c r="J531" s="211" t="n"/>
      <c r="K531" s="211" t="n"/>
      <c r="L531" s="213" t="n"/>
    </row>
    <row r="532">
      <c r="A532" s="218" t="n"/>
      <c r="B532" s="215" t="n"/>
      <c r="C532" s="215" t="n"/>
      <c r="D532" s="215" t="n"/>
      <c r="E532" s="219" t="n"/>
      <c r="F532" s="215" t="n"/>
      <c r="G532" s="215" t="n"/>
      <c r="H532" s="215" t="n"/>
      <c r="I532" s="215" t="n"/>
      <c r="J532" s="215" t="n"/>
      <c r="K532" s="215" t="n"/>
      <c r="L532" s="217" t="n"/>
    </row>
    <row r="533">
      <c r="A533" s="220" t="n"/>
      <c r="B533" s="211" t="n"/>
      <c r="C533" s="211" t="n"/>
      <c r="D533" s="211" t="n"/>
      <c r="E533" s="221" t="n"/>
      <c r="F533" s="211" t="n"/>
      <c r="G533" s="211" t="n"/>
      <c r="H533" s="211" t="n"/>
      <c r="I533" s="211" t="n"/>
      <c r="J533" s="211" t="n"/>
      <c r="K533" s="211" t="n"/>
      <c r="L533" s="213" t="n"/>
    </row>
    <row r="534">
      <c r="A534" s="218" t="n"/>
      <c r="B534" s="215" t="n"/>
      <c r="C534" s="215" t="n"/>
      <c r="D534" s="215" t="n"/>
      <c r="E534" s="219" t="n"/>
      <c r="F534" s="215" t="n"/>
      <c r="G534" s="215" t="n"/>
      <c r="H534" s="215" t="n"/>
      <c r="I534" s="215" t="n"/>
      <c r="J534" s="215" t="n"/>
      <c r="K534" s="215" t="n"/>
      <c r="L534" s="217" t="n"/>
    </row>
    <row r="535">
      <c r="A535" s="220" t="n"/>
      <c r="B535" s="211" t="n"/>
      <c r="C535" s="211" t="n"/>
      <c r="D535" s="211" t="n"/>
      <c r="E535" s="221" t="n"/>
      <c r="F535" s="211" t="n"/>
      <c r="G535" s="211" t="n"/>
      <c r="H535" s="211" t="n"/>
      <c r="I535" s="211" t="n"/>
      <c r="J535" s="211" t="n"/>
      <c r="K535" s="211" t="n"/>
      <c r="L535" s="213" t="n"/>
    </row>
    <row r="536">
      <c r="A536" s="218" t="n"/>
      <c r="B536" s="215" t="n"/>
      <c r="C536" s="215" t="n"/>
      <c r="D536" s="215" t="n"/>
      <c r="E536" s="219" t="n"/>
      <c r="F536" s="215" t="n"/>
      <c r="G536" s="215" t="n"/>
      <c r="H536" s="215" t="n"/>
      <c r="I536" s="215" t="n"/>
      <c r="J536" s="215" t="n"/>
      <c r="K536" s="215" t="n"/>
      <c r="L536" s="217" t="n"/>
    </row>
    <row r="537">
      <c r="A537" s="220" t="n"/>
      <c r="B537" s="211" t="n"/>
      <c r="C537" s="211" t="n"/>
      <c r="D537" s="211" t="n"/>
      <c r="E537" s="221" t="n"/>
      <c r="F537" s="211" t="n"/>
      <c r="G537" s="211" t="n"/>
      <c r="H537" s="211" t="n"/>
      <c r="I537" s="211" t="n"/>
      <c r="J537" s="211" t="n"/>
      <c r="K537" s="211" t="n"/>
      <c r="L537" s="213" t="n"/>
    </row>
    <row r="538">
      <c r="A538" s="218" t="n"/>
      <c r="B538" s="215" t="n"/>
      <c r="C538" s="215" t="n"/>
      <c r="D538" s="215" t="n"/>
      <c r="E538" s="219" t="n"/>
      <c r="F538" s="215" t="n"/>
      <c r="G538" s="215" t="n"/>
      <c r="H538" s="215" t="n"/>
      <c r="I538" s="215" t="n"/>
      <c r="J538" s="215" t="n"/>
      <c r="K538" s="215" t="n"/>
      <c r="L538" s="217" t="n"/>
    </row>
    <row r="539">
      <c r="A539" s="220" t="n"/>
      <c r="B539" s="211" t="n"/>
      <c r="C539" s="211" t="n"/>
      <c r="D539" s="211" t="n"/>
      <c r="E539" s="221" t="n"/>
      <c r="F539" s="211" t="n"/>
      <c r="G539" s="211" t="n"/>
      <c r="H539" s="211" t="n"/>
      <c r="I539" s="211" t="n"/>
      <c r="J539" s="211" t="n"/>
      <c r="K539" s="211" t="n"/>
      <c r="L539" s="213" t="n"/>
    </row>
    <row r="540">
      <c r="A540" s="218" t="n"/>
      <c r="B540" s="215" t="n"/>
      <c r="C540" s="215" t="n"/>
      <c r="D540" s="215" t="n"/>
      <c r="E540" s="219" t="n"/>
      <c r="F540" s="215" t="n"/>
      <c r="G540" s="215" t="n"/>
      <c r="H540" s="215" t="n"/>
      <c r="I540" s="215" t="n"/>
      <c r="J540" s="215" t="n"/>
      <c r="K540" s="215" t="n"/>
      <c r="L540" s="217" t="n"/>
    </row>
    <row r="541">
      <c r="A541" s="220" t="n"/>
      <c r="B541" s="211" t="n"/>
      <c r="C541" s="211" t="n"/>
      <c r="D541" s="211" t="n"/>
      <c r="E541" s="221" t="n"/>
      <c r="F541" s="211" t="n"/>
      <c r="G541" s="211" t="n"/>
      <c r="H541" s="211" t="n"/>
      <c r="I541" s="211" t="n"/>
      <c r="J541" s="211" t="n"/>
      <c r="K541" s="211" t="n"/>
      <c r="L541" s="213" t="n"/>
    </row>
    <row r="542">
      <c r="A542" s="218" t="n"/>
      <c r="B542" s="215" t="n"/>
      <c r="C542" s="215" t="n"/>
      <c r="D542" s="215" t="n"/>
      <c r="E542" s="219" t="n"/>
      <c r="F542" s="215" t="n"/>
      <c r="G542" s="215" t="n"/>
      <c r="H542" s="215" t="n"/>
      <c r="I542" s="215" t="n"/>
      <c r="J542" s="215" t="n"/>
      <c r="K542" s="215" t="n"/>
      <c r="L542" s="217" t="n"/>
    </row>
    <row r="543">
      <c r="A543" s="220" t="n"/>
      <c r="B543" s="211" t="n"/>
      <c r="C543" s="211" t="n"/>
      <c r="D543" s="211" t="n"/>
      <c r="E543" s="221" t="n"/>
      <c r="F543" s="211" t="n"/>
      <c r="G543" s="211" t="n"/>
      <c r="H543" s="211" t="n"/>
      <c r="I543" s="211" t="n"/>
      <c r="J543" s="211" t="n"/>
      <c r="K543" s="211" t="n"/>
      <c r="L543" s="213" t="n"/>
    </row>
    <row r="544">
      <c r="A544" s="218" t="n"/>
      <c r="B544" s="215" t="n"/>
      <c r="C544" s="215" t="n"/>
      <c r="D544" s="215" t="n"/>
      <c r="E544" s="219" t="n"/>
      <c r="F544" s="215" t="n"/>
      <c r="G544" s="215" t="n"/>
      <c r="H544" s="215" t="n"/>
      <c r="I544" s="215" t="n"/>
      <c r="J544" s="215" t="n"/>
      <c r="K544" s="215" t="n"/>
      <c r="L544" s="217" t="n"/>
    </row>
    <row r="545">
      <c r="A545" s="220" t="n"/>
      <c r="B545" s="211" t="n"/>
      <c r="C545" s="211" t="n"/>
      <c r="D545" s="211" t="n"/>
      <c r="E545" s="221" t="n"/>
      <c r="F545" s="211" t="n"/>
      <c r="G545" s="211" t="n"/>
      <c r="H545" s="211" t="n"/>
      <c r="I545" s="211" t="n"/>
      <c r="J545" s="211" t="n"/>
      <c r="K545" s="211" t="n"/>
      <c r="L545" s="213" t="n"/>
    </row>
    <row r="546">
      <c r="A546" s="218" t="n"/>
      <c r="B546" s="215" t="n"/>
      <c r="C546" s="215" t="n"/>
      <c r="D546" s="215" t="n"/>
      <c r="E546" s="219" t="n"/>
      <c r="F546" s="215" t="n"/>
      <c r="G546" s="215" t="n"/>
      <c r="H546" s="215" t="n"/>
      <c r="I546" s="215" t="n"/>
      <c r="J546" s="215" t="n"/>
      <c r="K546" s="215" t="n"/>
      <c r="L546" s="217" t="n"/>
    </row>
    <row r="547">
      <c r="A547" s="220" t="n"/>
      <c r="B547" s="211" t="n"/>
      <c r="C547" s="211" t="n"/>
      <c r="D547" s="211" t="n"/>
      <c r="E547" s="221" t="n"/>
      <c r="F547" s="211" t="n"/>
      <c r="G547" s="211" t="n"/>
      <c r="H547" s="211" t="n"/>
      <c r="I547" s="211" t="n"/>
      <c r="J547" s="211" t="n"/>
      <c r="K547" s="211" t="n"/>
      <c r="L547" s="213" t="n"/>
    </row>
    <row r="548">
      <c r="A548" s="218" t="n"/>
      <c r="B548" s="215" t="n"/>
      <c r="C548" s="215" t="n"/>
      <c r="D548" s="215" t="n"/>
      <c r="E548" s="219" t="n"/>
      <c r="F548" s="215" t="n"/>
      <c r="G548" s="215" t="n"/>
      <c r="H548" s="215" t="n"/>
      <c r="I548" s="215" t="n"/>
      <c r="J548" s="215" t="n"/>
      <c r="K548" s="215" t="n"/>
      <c r="L548" s="217" t="n"/>
    </row>
    <row r="549">
      <c r="A549" s="220" t="n"/>
      <c r="B549" s="211" t="n"/>
      <c r="C549" s="211" t="n"/>
      <c r="D549" s="211" t="n"/>
      <c r="E549" s="221" t="n"/>
      <c r="F549" s="211" t="n"/>
      <c r="G549" s="211" t="n"/>
      <c r="H549" s="211" t="n"/>
      <c r="I549" s="211" t="n"/>
      <c r="J549" s="211" t="n"/>
      <c r="K549" s="211" t="n"/>
      <c r="L549" s="213" t="n"/>
    </row>
    <row r="550">
      <c r="A550" s="218" t="n"/>
      <c r="B550" s="215" t="n"/>
      <c r="C550" s="215" t="n"/>
      <c r="D550" s="215" t="n"/>
      <c r="E550" s="219" t="n"/>
      <c r="F550" s="215" t="n"/>
      <c r="G550" s="215" t="n"/>
      <c r="H550" s="215" t="n"/>
      <c r="I550" s="215" t="n"/>
      <c r="J550" s="215" t="n"/>
      <c r="K550" s="215" t="n"/>
      <c r="L550" s="217" t="n"/>
    </row>
    <row r="551">
      <c r="A551" s="220" t="n"/>
      <c r="B551" s="211" t="n"/>
      <c r="C551" s="211" t="n"/>
      <c r="D551" s="211" t="n"/>
      <c r="E551" s="221" t="n"/>
      <c r="F551" s="211" t="n"/>
      <c r="G551" s="211" t="n"/>
      <c r="H551" s="211" t="n"/>
      <c r="I551" s="211" t="n"/>
      <c r="J551" s="211" t="n"/>
      <c r="K551" s="211" t="n"/>
      <c r="L551" s="213" t="n"/>
    </row>
    <row r="552">
      <c r="A552" s="218" t="n"/>
      <c r="B552" s="215" t="n"/>
      <c r="C552" s="215" t="n"/>
      <c r="D552" s="215" t="n"/>
      <c r="E552" s="219" t="n"/>
      <c r="F552" s="215" t="n"/>
      <c r="G552" s="215" t="n"/>
      <c r="H552" s="215" t="n"/>
      <c r="I552" s="215" t="n"/>
      <c r="J552" s="215" t="n"/>
      <c r="K552" s="215" t="n"/>
      <c r="L552" s="217" t="n"/>
    </row>
    <row r="553">
      <c r="A553" s="220" t="n"/>
      <c r="B553" s="211" t="n"/>
      <c r="C553" s="211" t="n"/>
      <c r="D553" s="211" t="n"/>
      <c r="E553" s="221" t="n"/>
      <c r="F553" s="211" t="n"/>
      <c r="G553" s="211" t="n"/>
      <c r="H553" s="211" t="n"/>
      <c r="I553" s="211" t="n"/>
      <c r="J553" s="211" t="n"/>
      <c r="K553" s="211" t="n"/>
      <c r="L553" s="213" t="n"/>
    </row>
    <row r="554">
      <c r="A554" s="218" t="n"/>
      <c r="B554" s="215" t="n"/>
      <c r="C554" s="215" t="n"/>
      <c r="D554" s="215" t="n"/>
      <c r="E554" s="219" t="n"/>
      <c r="F554" s="215" t="n"/>
      <c r="G554" s="215" t="n"/>
      <c r="H554" s="215" t="n"/>
      <c r="I554" s="215" t="n"/>
      <c r="J554" s="215" t="n"/>
      <c r="K554" s="215" t="n"/>
      <c r="L554" s="217" t="n"/>
    </row>
    <row r="555">
      <c r="A555" s="220" t="n"/>
      <c r="B555" s="211" t="n"/>
      <c r="C555" s="211" t="n"/>
      <c r="D555" s="211" t="n"/>
      <c r="E555" s="221" t="n"/>
      <c r="F555" s="211" t="n"/>
      <c r="G555" s="211" t="n"/>
      <c r="H555" s="211" t="n"/>
      <c r="I555" s="211" t="n"/>
      <c r="J555" s="211" t="n"/>
      <c r="K555" s="211" t="n"/>
      <c r="L555" s="213" t="n"/>
    </row>
    <row r="556">
      <c r="A556" s="218" t="n"/>
      <c r="B556" s="215" t="n"/>
      <c r="C556" s="215" t="n"/>
      <c r="D556" s="215" t="n"/>
      <c r="E556" s="219" t="n"/>
      <c r="F556" s="215" t="n"/>
      <c r="G556" s="215" t="n"/>
      <c r="H556" s="215" t="n"/>
      <c r="I556" s="215" t="n"/>
      <c r="J556" s="215" t="n"/>
      <c r="K556" s="215" t="n"/>
      <c r="L556" s="217" t="n"/>
    </row>
    <row r="557">
      <c r="A557" s="220" t="n"/>
      <c r="B557" s="211" t="n"/>
      <c r="C557" s="211" t="n"/>
      <c r="D557" s="211" t="n"/>
      <c r="E557" s="221" t="n"/>
      <c r="F557" s="211" t="n"/>
      <c r="G557" s="211" t="n"/>
      <c r="H557" s="211" t="n"/>
      <c r="I557" s="211" t="n"/>
      <c r="J557" s="211" t="n"/>
      <c r="K557" s="211" t="n"/>
      <c r="L557" s="213" t="n"/>
    </row>
    <row r="558">
      <c r="A558" s="218" t="n"/>
      <c r="B558" s="215" t="n"/>
      <c r="C558" s="215" t="n"/>
      <c r="D558" s="215" t="n"/>
      <c r="E558" s="219" t="n"/>
      <c r="F558" s="215" t="n"/>
      <c r="G558" s="215" t="n"/>
      <c r="H558" s="215" t="n"/>
      <c r="I558" s="215" t="n"/>
      <c r="J558" s="215" t="n"/>
      <c r="K558" s="215" t="n"/>
      <c r="L558" s="217" t="n"/>
    </row>
    <row r="559">
      <c r="A559" s="220" t="n"/>
      <c r="B559" s="211" t="n"/>
      <c r="C559" s="211" t="n"/>
      <c r="D559" s="211" t="n"/>
      <c r="E559" s="221" t="n"/>
      <c r="F559" s="211" t="n"/>
      <c r="G559" s="211" t="n"/>
      <c r="H559" s="211" t="n"/>
      <c r="I559" s="211" t="n"/>
      <c r="J559" s="211" t="n"/>
      <c r="K559" s="211" t="n"/>
      <c r="L559" s="213" t="n"/>
    </row>
    <row r="560">
      <c r="A560" s="218" t="n"/>
      <c r="B560" s="215" t="n"/>
      <c r="C560" s="215" t="n"/>
      <c r="D560" s="215" t="n"/>
      <c r="E560" s="219" t="n"/>
      <c r="F560" s="215" t="n"/>
      <c r="G560" s="215" t="n"/>
      <c r="H560" s="215" t="n"/>
      <c r="I560" s="215" t="n"/>
      <c r="J560" s="215" t="n"/>
      <c r="K560" s="215" t="n"/>
      <c r="L560" s="217" t="n"/>
    </row>
    <row r="561">
      <c r="A561" s="220" t="n"/>
      <c r="B561" s="211" t="n"/>
      <c r="C561" s="211" t="n"/>
      <c r="D561" s="211" t="n"/>
      <c r="E561" s="221" t="n"/>
      <c r="F561" s="211" t="n"/>
      <c r="G561" s="211" t="n"/>
      <c r="H561" s="211" t="n"/>
      <c r="I561" s="211" t="n"/>
      <c r="J561" s="211" t="n"/>
      <c r="K561" s="211" t="n"/>
      <c r="L561" s="213" t="n"/>
    </row>
    <row r="562">
      <c r="A562" s="218" t="n"/>
      <c r="B562" s="215" t="n"/>
      <c r="C562" s="215" t="n"/>
      <c r="D562" s="215" t="n"/>
      <c r="E562" s="219" t="n"/>
      <c r="F562" s="215" t="n"/>
      <c r="G562" s="215" t="n"/>
      <c r="H562" s="215" t="n"/>
      <c r="I562" s="215" t="n"/>
      <c r="J562" s="215" t="n"/>
      <c r="K562" s="215" t="n"/>
      <c r="L562" s="217" t="n"/>
    </row>
    <row r="563">
      <c r="A563" s="220" t="n"/>
      <c r="B563" s="211" t="n"/>
      <c r="C563" s="211" t="n"/>
      <c r="D563" s="211" t="n"/>
      <c r="E563" s="221" t="n"/>
      <c r="F563" s="211" t="n"/>
      <c r="G563" s="211" t="n"/>
      <c r="H563" s="211" t="n"/>
      <c r="I563" s="211" t="n"/>
      <c r="J563" s="211" t="n"/>
      <c r="K563" s="211" t="n"/>
      <c r="L563" s="213" t="n"/>
    </row>
    <row r="564">
      <c r="A564" s="218" t="n"/>
      <c r="B564" s="215" t="n"/>
      <c r="C564" s="215" t="n"/>
      <c r="D564" s="215" t="n"/>
      <c r="E564" s="219" t="n"/>
      <c r="F564" s="215" t="n"/>
      <c r="G564" s="215" t="n"/>
      <c r="H564" s="215" t="n"/>
      <c r="I564" s="215" t="n"/>
      <c r="J564" s="215" t="n"/>
      <c r="K564" s="215" t="n"/>
      <c r="L564" s="217" t="n"/>
    </row>
    <row r="565">
      <c r="A565" s="220" t="n"/>
      <c r="B565" s="211" t="n"/>
      <c r="C565" s="211" t="n"/>
      <c r="D565" s="211" t="n"/>
      <c r="E565" s="221" t="n"/>
      <c r="F565" s="211" t="n"/>
      <c r="G565" s="211" t="n"/>
      <c r="H565" s="211" t="n"/>
      <c r="I565" s="211" t="n"/>
      <c r="J565" s="211" t="n"/>
      <c r="K565" s="211" t="n"/>
      <c r="L565" s="213" t="n"/>
    </row>
    <row r="566">
      <c r="A566" s="218" t="n"/>
      <c r="B566" s="215" t="n"/>
      <c r="C566" s="215" t="n"/>
      <c r="D566" s="215" t="n"/>
      <c r="E566" s="219" t="n"/>
      <c r="F566" s="215" t="n"/>
      <c r="G566" s="215" t="n"/>
      <c r="H566" s="215" t="n"/>
      <c r="I566" s="215" t="n"/>
      <c r="J566" s="215" t="n"/>
      <c r="K566" s="215" t="n"/>
      <c r="L566" s="217" t="n"/>
    </row>
    <row r="567">
      <c r="A567" s="220" t="n"/>
      <c r="B567" s="211" t="n"/>
      <c r="C567" s="211" t="n"/>
      <c r="D567" s="211" t="n"/>
      <c r="E567" s="221" t="n"/>
      <c r="F567" s="211" t="n"/>
      <c r="G567" s="211" t="n"/>
      <c r="H567" s="211" t="n"/>
      <c r="I567" s="211" t="n"/>
      <c r="J567" s="211" t="n"/>
      <c r="K567" s="211" t="n"/>
      <c r="L567" s="213" t="n"/>
    </row>
    <row r="568">
      <c r="A568" s="218" t="n"/>
      <c r="B568" s="215" t="n"/>
      <c r="C568" s="215" t="n"/>
      <c r="D568" s="215" t="n"/>
      <c r="E568" s="219" t="n"/>
      <c r="F568" s="215" t="n"/>
      <c r="G568" s="215" t="n"/>
      <c r="H568" s="215" t="n"/>
      <c r="I568" s="215" t="n"/>
      <c r="J568" s="215" t="n"/>
      <c r="K568" s="215" t="n"/>
      <c r="L568" s="217" t="n"/>
    </row>
    <row r="569">
      <c r="A569" s="220" t="n"/>
      <c r="B569" s="211" t="n"/>
      <c r="C569" s="211" t="n"/>
      <c r="D569" s="211" t="n"/>
      <c r="E569" s="221" t="n"/>
      <c r="F569" s="211" t="n"/>
      <c r="G569" s="211" t="n"/>
      <c r="H569" s="211" t="n"/>
      <c r="I569" s="211" t="n"/>
      <c r="J569" s="211" t="n"/>
      <c r="K569" s="211" t="n"/>
      <c r="L569" s="213" t="n"/>
    </row>
    <row r="570">
      <c r="A570" s="218" t="n"/>
      <c r="B570" s="215" t="n"/>
      <c r="C570" s="215" t="n"/>
      <c r="D570" s="215" t="n"/>
      <c r="E570" s="219" t="n"/>
      <c r="F570" s="215" t="n"/>
      <c r="G570" s="215" t="n"/>
      <c r="H570" s="215" t="n"/>
      <c r="I570" s="215" t="n"/>
      <c r="J570" s="215" t="n"/>
      <c r="K570" s="215" t="n"/>
      <c r="L570" s="217" t="n"/>
    </row>
    <row r="571">
      <c r="A571" s="220" t="n"/>
      <c r="B571" s="211" t="n"/>
      <c r="C571" s="211" t="n"/>
      <c r="D571" s="211" t="n"/>
      <c r="E571" s="221" t="n"/>
      <c r="F571" s="211" t="n"/>
      <c r="G571" s="211" t="n"/>
      <c r="H571" s="211" t="n"/>
      <c r="I571" s="211" t="n"/>
      <c r="J571" s="211" t="n"/>
      <c r="K571" s="211" t="n"/>
      <c r="L571" s="213" t="n"/>
    </row>
    <row r="572">
      <c r="A572" s="218" t="n"/>
      <c r="B572" s="215" t="n"/>
      <c r="C572" s="215" t="n"/>
      <c r="D572" s="215" t="n"/>
      <c r="E572" s="219" t="n"/>
      <c r="F572" s="215" t="n"/>
      <c r="G572" s="215" t="n"/>
      <c r="H572" s="215" t="n"/>
      <c r="I572" s="215" t="n"/>
      <c r="J572" s="215" t="n"/>
      <c r="K572" s="215" t="n"/>
      <c r="L572" s="217" t="n"/>
    </row>
    <row r="573">
      <c r="A573" s="220" t="n"/>
      <c r="B573" s="211" t="n"/>
      <c r="C573" s="211" t="n"/>
      <c r="D573" s="211" t="n"/>
      <c r="E573" s="221" t="n"/>
      <c r="F573" s="211" t="n"/>
      <c r="G573" s="211" t="n"/>
      <c r="H573" s="211" t="n"/>
      <c r="I573" s="211" t="n"/>
      <c r="J573" s="211" t="n"/>
      <c r="K573" s="211" t="n"/>
      <c r="L573" s="213" t="n"/>
    </row>
    <row r="574">
      <c r="A574" s="218" t="n"/>
      <c r="B574" s="215" t="n"/>
      <c r="C574" s="215" t="n"/>
      <c r="D574" s="215" t="n"/>
      <c r="E574" s="219" t="n"/>
      <c r="F574" s="215" t="n"/>
      <c r="G574" s="215" t="n"/>
      <c r="H574" s="215" t="n"/>
      <c r="I574" s="215" t="n"/>
      <c r="J574" s="215" t="n"/>
      <c r="K574" s="215" t="n"/>
      <c r="L574" s="217" t="n"/>
    </row>
    <row r="575">
      <c r="A575" s="220" t="n"/>
      <c r="B575" s="211" t="n"/>
      <c r="C575" s="211" t="n"/>
      <c r="D575" s="211" t="n"/>
      <c r="E575" s="221" t="n"/>
      <c r="F575" s="211" t="n"/>
      <c r="G575" s="211" t="n"/>
      <c r="H575" s="211" t="n"/>
      <c r="I575" s="211" t="n"/>
      <c r="J575" s="211" t="n"/>
      <c r="K575" s="211" t="n"/>
      <c r="L575" s="213" t="n"/>
    </row>
    <row r="576">
      <c r="A576" s="218" t="n"/>
      <c r="B576" s="215" t="n"/>
      <c r="C576" s="215" t="n"/>
      <c r="D576" s="215" t="n"/>
      <c r="E576" s="219" t="n"/>
      <c r="F576" s="215" t="n"/>
      <c r="G576" s="215" t="n"/>
      <c r="H576" s="215" t="n"/>
      <c r="I576" s="215" t="n"/>
      <c r="J576" s="215" t="n"/>
      <c r="K576" s="215" t="n"/>
      <c r="L576" s="217" t="n"/>
    </row>
    <row r="577">
      <c r="A577" s="220" t="n"/>
      <c r="B577" s="211" t="n"/>
      <c r="C577" s="211" t="n"/>
      <c r="D577" s="211" t="n"/>
      <c r="E577" s="221" t="n"/>
      <c r="F577" s="211" t="n"/>
      <c r="G577" s="211" t="n"/>
      <c r="H577" s="211" t="n"/>
      <c r="I577" s="211" t="n"/>
      <c r="J577" s="211" t="n"/>
      <c r="K577" s="211" t="n"/>
      <c r="L577" s="213" t="n"/>
    </row>
    <row r="578">
      <c r="A578" s="218" t="n"/>
      <c r="B578" s="215" t="n"/>
      <c r="C578" s="215" t="n"/>
      <c r="D578" s="215" t="n"/>
      <c r="E578" s="219" t="n"/>
      <c r="F578" s="215" t="n"/>
      <c r="G578" s="215" t="n"/>
      <c r="H578" s="215" t="n"/>
      <c r="I578" s="215" t="n"/>
      <c r="J578" s="215" t="n"/>
      <c r="K578" s="215" t="n"/>
      <c r="L578" s="217" t="n"/>
    </row>
    <row r="579">
      <c r="A579" s="220" t="n"/>
      <c r="B579" s="211" t="n"/>
      <c r="C579" s="211" t="n"/>
      <c r="D579" s="211" t="n"/>
      <c r="E579" s="221" t="n"/>
      <c r="F579" s="211" t="n"/>
      <c r="G579" s="211" t="n"/>
      <c r="H579" s="211" t="n"/>
      <c r="I579" s="211" t="n"/>
      <c r="J579" s="211" t="n"/>
      <c r="K579" s="211" t="n"/>
      <c r="L579" s="213" t="n"/>
    </row>
    <row r="580">
      <c r="A580" s="218" t="n"/>
      <c r="B580" s="215" t="n"/>
      <c r="C580" s="215" t="n"/>
      <c r="D580" s="215" t="n"/>
      <c r="E580" s="219" t="n"/>
      <c r="F580" s="215" t="n"/>
      <c r="G580" s="215" t="n"/>
      <c r="H580" s="215" t="n"/>
      <c r="I580" s="215" t="n"/>
      <c r="J580" s="215" t="n"/>
      <c r="K580" s="215" t="n"/>
      <c r="L580" s="217" t="n"/>
    </row>
    <row r="581">
      <c r="A581" s="220" t="n"/>
      <c r="B581" s="211" t="n"/>
      <c r="C581" s="211" t="n"/>
      <c r="D581" s="211" t="n"/>
      <c r="E581" s="221" t="n"/>
      <c r="F581" s="211" t="n"/>
      <c r="G581" s="211" t="n"/>
      <c r="H581" s="211" t="n"/>
      <c r="I581" s="211" t="n"/>
      <c r="J581" s="211" t="n"/>
      <c r="K581" s="211" t="n"/>
      <c r="L581" s="213" t="n"/>
    </row>
    <row r="582">
      <c r="A582" s="218" t="n"/>
      <c r="B582" s="215" t="n"/>
      <c r="C582" s="215" t="n"/>
      <c r="D582" s="215" t="n"/>
      <c r="E582" s="219" t="n"/>
      <c r="F582" s="215" t="n"/>
      <c r="G582" s="215" t="n"/>
      <c r="H582" s="215" t="n"/>
      <c r="I582" s="215" t="n"/>
      <c r="J582" s="215" t="n"/>
      <c r="K582" s="215" t="n"/>
      <c r="L582" s="217" t="n"/>
    </row>
    <row r="583">
      <c r="A583" s="220" t="n"/>
      <c r="B583" s="211" t="n"/>
      <c r="C583" s="211" t="n"/>
      <c r="D583" s="211" t="n"/>
      <c r="E583" s="221" t="n"/>
      <c r="F583" s="211" t="n"/>
      <c r="G583" s="211" t="n"/>
      <c r="H583" s="211" t="n"/>
      <c r="I583" s="211" t="n"/>
      <c r="J583" s="211" t="n"/>
      <c r="K583" s="211" t="n"/>
      <c r="L583" s="213" t="n"/>
    </row>
    <row r="584">
      <c r="A584" s="218" t="n"/>
      <c r="B584" s="215" t="n"/>
      <c r="C584" s="215" t="n"/>
      <c r="D584" s="215" t="n"/>
      <c r="E584" s="219" t="n"/>
      <c r="F584" s="215" t="n"/>
      <c r="G584" s="215" t="n"/>
      <c r="H584" s="215" t="n"/>
      <c r="I584" s="215" t="n"/>
      <c r="J584" s="215" t="n"/>
      <c r="K584" s="215" t="n"/>
      <c r="L584" s="217" t="n"/>
    </row>
    <row r="585">
      <c r="A585" s="220" t="n"/>
      <c r="B585" s="211" t="n"/>
      <c r="C585" s="211" t="n"/>
      <c r="D585" s="211" t="n"/>
      <c r="E585" s="221" t="n"/>
      <c r="F585" s="211" t="n"/>
      <c r="G585" s="211" t="n"/>
      <c r="H585" s="211" t="n"/>
      <c r="I585" s="211" t="n"/>
      <c r="J585" s="211" t="n"/>
      <c r="K585" s="211" t="n"/>
      <c r="L585" s="213" t="n"/>
    </row>
    <row r="586">
      <c r="A586" s="218" t="n"/>
      <c r="B586" s="215" t="n"/>
      <c r="C586" s="215" t="n"/>
      <c r="D586" s="215" t="n"/>
      <c r="E586" s="219" t="n"/>
      <c r="F586" s="215" t="n"/>
      <c r="G586" s="215" t="n"/>
      <c r="H586" s="215" t="n"/>
      <c r="I586" s="215" t="n"/>
      <c r="J586" s="215" t="n"/>
      <c r="K586" s="215" t="n"/>
      <c r="L586" s="217" t="n"/>
    </row>
    <row r="587">
      <c r="A587" s="220" t="n"/>
      <c r="B587" s="211" t="n"/>
      <c r="C587" s="211" t="n"/>
      <c r="D587" s="211" t="n"/>
      <c r="E587" s="221" t="n"/>
      <c r="F587" s="211" t="n"/>
      <c r="G587" s="211" t="n"/>
      <c r="H587" s="211" t="n"/>
      <c r="I587" s="211" t="n"/>
      <c r="J587" s="211" t="n"/>
      <c r="K587" s="211" t="n"/>
      <c r="L587" s="213" t="n"/>
    </row>
    <row r="588">
      <c r="A588" s="218" t="n"/>
      <c r="B588" s="215" t="n"/>
      <c r="C588" s="215" t="n"/>
      <c r="D588" s="215" t="n"/>
      <c r="E588" s="219" t="n"/>
      <c r="F588" s="215" t="n"/>
      <c r="G588" s="215" t="n"/>
      <c r="H588" s="215" t="n"/>
      <c r="I588" s="215" t="n"/>
      <c r="J588" s="215" t="n"/>
      <c r="K588" s="215" t="n"/>
      <c r="L588" s="217" t="n"/>
    </row>
    <row r="589">
      <c r="A589" s="220" t="n"/>
      <c r="B589" s="211" t="n"/>
      <c r="C589" s="211" t="n"/>
      <c r="D589" s="211" t="n"/>
      <c r="E589" s="221" t="n"/>
      <c r="F589" s="211" t="n"/>
      <c r="G589" s="211" t="n"/>
      <c r="H589" s="211" t="n"/>
      <c r="I589" s="211" t="n"/>
      <c r="J589" s="211" t="n"/>
      <c r="K589" s="211" t="n"/>
      <c r="L589" s="213" t="n"/>
    </row>
    <row r="590">
      <c r="A590" s="218" t="n"/>
      <c r="B590" s="215" t="n"/>
      <c r="C590" s="215" t="n"/>
      <c r="D590" s="215" t="n"/>
      <c r="E590" s="219" t="n"/>
      <c r="F590" s="215" t="n"/>
      <c r="G590" s="215" t="n"/>
      <c r="H590" s="215" t="n"/>
      <c r="I590" s="215" t="n"/>
      <c r="J590" s="215" t="n"/>
      <c r="K590" s="215" t="n"/>
      <c r="L590" s="217" t="n"/>
    </row>
    <row r="591">
      <c r="A591" s="220" t="n"/>
      <c r="B591" s="211" t="n"/>
      <c r="C591" s="211" t="n"/>
      <c r="D591" s="211" t="n"/>
      <c r="E591" s="221" t="n"/>
      <c r="F591" s="211" t="n"/>
      <c r="G591" s="211" t="n"/>
      <c r="H591" s="211" t="n"/>
      <c r="I591" s="211" t="n"/>
      <c r="J591" s="211" t="n"/>
      <c r="K591" s="211" t="n"/>
      <c r="L591" s="213" t="n"/>
    </row>
    <row r="592">
      <c r="A592" s="218" t="n"/>
      <c r="B592" s="215" t="n"/>
      <c r="C592" s="215" t="n"/>
      <c r="D592" s="215" t="n"/>
      <c r="E592" s="219" t="n"/>
      <c r="F592" s="215" t="n"/>
      <c r="G592" s="215" t="n"/>
      <c r="H592" s="215" t="n"/>
      <c r="I592" s="215" t="n"/>
      <c r="J592" s="215" t="n"/>
      <c r="K592" s="215" t="n"/>
      <c r="L592" s="217" t="n"/>
    </row>
    <row r="593">
      <c r="A593" s="220" t="n"/>
      <c r="B593" s="211" t="n"/>
      <c r="C593" s="211" t="n"/>
      <c r="D593" s="211" t="n"/>
      <c r="E593" s="221" t="n"/>
      <c r="F593" s="211" t="n"/>
      <c r="G593" s="211" t="n"/>
      <c r="H593" s="211" t="n"/>
      <c r="I593" s="211" t="n"/>
      <c r="J593" s="211" t="n"/>
      <c r="K593" s="211" t="n"/>
      <c r="L593" s="213" t="n"/>
    </row>
    <row r="594">
      <c r="A594" s="218" t="n"/>
      <c r="B594" s="215" t="n"/>
      <c r="C594" s="215" t="n"/>
      <c r="D594" s="215" t="n"/>
      <c r="E594" s="219" t="n"/>
      <c r="F594" s="215" t="n"/>
      <c r="G594" s="215" t="n"/>
      <c r="H594" s="215" t="n"/>
      <c r="I594" s="215" t="n"/>
      <c r="J594" s="215" t="n"/>
      <c r="K594" s="215" t="n"/>
      <c r="L594" s="217" t="n"/>
    </row>
    <row r="595">
      <c r="A595" s="220" t="n"/>
      <c r="B595" s="211" t="n"/>
      <c r="C595" s="211" t="n"/>
      <c r="D595" s="211" t="n"/>
      <c r="E595" s="221" t="n"/>
      <c r="F595" s="211" t="n"/>
      <c r="G595" s="211" t="n"/>
      <c r="H595" s="211" t="n"/>
      <c r="I595" s="211" t="n"/>
      <c r="J595" s="211" t="n"/>
      <c r="K595" s="211" t="n"/>
      <c r="L595" s="213" t="n"/>
    </row>
    <row r="596">
      <c r="A596" s="218" t="n"/>
      <c r="B596" s="215" t="n"/>
      <c r="C596" s="215" t="n"/>
      <c r="D596" s="215" t="n"/>
      <c r="E596" s="219" t="n"/>
      <c r="F596" s="215" t="n"/>
      <c r="G596" s="215" t="n"/>
      <c r="H596" s="215" t="n"/>
      <c r="I596" s="215" t="n"/>
      <c r="J596" s="215" t="n"/>
      <c r="K596" s="215" t="n"/>
      <c r="L596" s="217" t="n"/>
    </row>
    <row r="597">
      <c r="A597" s="220" t="n"/>
      <c r="B597" s="211" t="n"/>
      <c r="C597" s="211" t="n"/>
      <c r="D597" s="211" t="n"/>
      <c r="E597" s="221" t="n"/>
      <c r="F597" s="211" t="n"/>
      <c r="G597" s="211" t="n"/>
      <c r="H597" s="211" t="n"/>
      <c r="I597" s="211" t="n"/>
      <c r="J597" s="211" t="n"/>
      <c r="K597" s="211" t="n"/>
      <c r="L597" s="213" t="n"/>
    </row>
    <row r="598">
      <c r="A598" s="218" t="n"/>
      <c r="B598" s="215" t="n"/>
      <c r="C598" s="215" t="n"/>
      <c r="D598" s="215" t="n"/>
      <c r="E598" s="219" t="n"/>
      <c r="F598" s="215" t="n"/>
      <c r="G598" s="215" t="n"/>
      <c r="H598" s="215" t="n"/>
      <c r="I598" s="215" t="n"/>
      <c r="J598" s="215" t="n"/>
      <c r="K598" s="215" t="n"/>
      <c r="L598" s="217" t="n"/>
    </row>
    <row r="599">
      <c r="A599" s="220" t="n"/>
      <c r="B599" s="211" t="n"/>
      <c r="C599" s="211" t="n"/>
      <c r="D599" s="211" t="n"/>
      <c r="E599" s="221" t="n"/>
      <c r="F599" s="211" t="n"/>
      <c r="G599" s="211" t="n"/>
      <c r="H599" s="211" t="n"/>
      <c r="I599" s="211" t="n"/>
      <c r="J599" s="211" t="n"/>
      <c r="K599" s="211" t="n"/>
      <c r="L599" s="213" t="n"/>
    </row>
    <row r="600">
      <c r="A600" s="218" t="n"/>
      <c r="B600" s="215" t="n"/>
      <c r="C600" s="215" t="n"/>
      <c r="D600" s="215" t="n"/>
      <c r="E600" s="219" t="n"/>
      <c r="F600" s="215" t="n"/>
      <c r="G600" s="215" t="n"/>
      <c r="H600" s="215" t="n"/>
      <c r="I600" s="215" t="n"/>
      <c r="J600" s="215" t="n"/>
      <c r="K600" s="215" t="n"/>
      <c r="L600" s="217" t="n"/>
    </row>
    <row r="601">
      <c r="A601" s="220" t="n"/>
      <c r="B601" s="211" t="n"/>
      <c r="C601" s="211" t="n"/>
      <c r="D601" s="211" t="n"/>
      <c r="E601" s="221" t="n"/>
      <c r="F601" s="211" t="n"/>
      <c r="G601" s="211" t="n"/>
      <c r="H601" s="211" t="n"/>
      <c r="I601" s="211" t="n"/>
      <c r="J601" s="211" t="n"/>
      <c r="K601" s="211" t="n"/>
      <c r="L601" s="213" t="n"/>
    </row>
    <row r="602">
      <c r="A602" s="218" t="n"/>
      <c r="B602" s="215" t="n"/>
      <c r="C602" s="215" t="n"/>
      <c r="D602" s="215" t="n"/>
      <c r="E602" s="219" t="n"/>
      <c r="F602" s="215" t="n"/>
      <c r="G602" s="215" t="n"/>
      <c r="H602" s="215" t="n"/>
      <c r="I602" s="215" t="n"/>
      <c r="J602" s="215" t="n"/>
      <c r="K602" s="215" t="n"/>
      <c r="L602" s="217" t="n"/>
    </row>
    <row r="603">
      <c r="A603" s="220" t="n"/>
      <c r="B603" s="211" t="n"/>
      <c r="C603" s="211" t="n"/>
      <c r="D603" s="211" t="n"/>
      <c r="E603" s="221" t="n"/>
      <c r="F603" s="211" t="n"/>
      <c r="G603" s="211" t="n"/>
      <c r="H603" s="211" t="n"/>
      <c r="I603" s="211" t="n"/>
      <c r="J603" s="211" t="n"/>
      <c r="K603" s="211" t="n"/>
      <c r="L603" s="213" t="n"/>
    </row>
    <row r="604">
      <c r="A604" s="218" t="n"/>
      <c r="B604" s="215" t="n"/>
      <c r="C604" s="215" t="n"/>
      <c r="D604" s="215" t="n"/>
      <c r="E604" s="219" t="n"/>
      <c r="F604" s="215" t="n"/>
      <c r="G604" s="215" t="n"/>
      <c r="H604" s="215" t="n"/>
      <c r="I604" s="215" t="n"/>
      <c r="J604" s="215" t="n"/>
      <c r="K604" s="215" t="n"/>
      <c r="L604" s="217" t="n"/>
    </row>
    <row r="605">
      <c r="A605" s="220" t="n"/>
      <c r="B605" s="211" t="n"/>
      <c r="C605" s="211" t="n"/>
      <c r="D605" s="211" t="n"/>
      <c r="E605" s="221" t="n"/>
      <c r="F605" s="211" t="n"/>
      <c r="G605" s="211" t="n"/>
      <c r="H605" s="211" t="n"/>
      <c r="I605" s="211" t="n"/>
      <c r="J605" s="211" t="n"/>
      <c r="K605" s="211" t="n"/>
      <c r="L605" s="213" t="n"/>
    </row>
    <row r="606">
      <c r="A606" s="218" t="n"/>
      <c r="B606" s="215" t="n"/>
      <c r="C606" s="215" t="n"/>
      <c r="D606" s="215" t="n"/>
      <c r="E606" s="219" t="n"/>
      <c r="F606" s="215" t="n"/>
      <c r="G606" s="215" t="n"/>
      <c r="H606" s="215" t="n"/>
      <c r="I606" s="215" t="n"/>
      <c r="J606" s="215" t="n"/>
      <c r="K606" s="215" t="n"/>
      <c r="L606" s="217" t="n"/>
    </row>
    <row r="607">
      <c r="A607" s="220" t="n"/>
      <c r="B607" s="211" t="n"/>
      <c r="C607" s="211" t="n"/>
      <c r="D607" s="211" t="n"/>
      <c r="E607" s="221" t="n"/>
      <c r="F607" s="211" t="n"/>
      <c r="G607" s="211" t="n"/>
      <c r="H607" s="211" t="n"/>
      <c r="I607" s="211" t="n"/>
      <c r="J607" s="211" t="n"/>
      <c r="K607" s="211" t="n"/>
      <c r="L607" s="213" t="n"/>
    </row>
    <row r="608">
      <c r="A608" s="218" t="n"/>
      <c r="B608" s="215" t="n"/>
      <c r="C608" s="215" t="n"/>
      <c r="D608" s="215" t="n"/>
      <c r="E608" s="219" t="n"/>
      <c r="F608" s="215" t="n"/>
      <c r="G608" s="215" t="n"/>
      <c r="H608" s="215" t="n"/>
      <c r="I608" s="215" t="n"/>
      <c r="J608" s="215" t="n"/>
      <c r="K608" s="215" t="n"/>
      <c r="L608" s="217" t="n"/>
    </row>
    <row r="609">
      <c r="A609" s="220" t="n"/>
      <c r="B609" s="211" t="n"/>
      <c r="C609" s="211" t="n"/>
      <c r="D609" s="211" t="n"/>
      <c r="E609" s="221" t="n"/>
      <c r="F609" s="211" t="n"/>
      <c r="G609" s="211" t="n"/>
      <c r="H609" s="211" t="n"/>
      <c r="I609" s="211" t="n"/>
      <c r="J609" s="211" t="n"/>
      <c r="K609" s="211" t="n"/>
      <c r="L609" s="213" t="n"/>
    </row>
    <row r="610">
      <c r="A610" s="218" t="n"/>
      <c r="B610" s="215" t="n"/>
      <c r="C610" s="215" t="n"/>
      <c r="D610" s="215" t="n"/>
      <c r="E610" s="219" t="n"/>
      <c r="F610" s="215" t="n"/>
      <c r="G610" s="215" t="n"/>
      <c r="H610" s="215" t="n"/>
      <c r="I610" s="215" t="n"/>
      <c r="J610" s="215" t="n"/>
      <c r="K610" s="215" t="n"/>
      <c r="L610" s="217" t="n"/>
    </row>
    <row r="611">
      <c r="A611" s="220" t="n"/>
      <c r="B611" s="211" t="n"/>
      <c r="C611" s="211" t="n"/>
      <c r="D611" s="211" t="n"/>
      <c r="E611" s="221" t="n"/>
      <c r="F611" s="211" t="n"/>
      <c r="G611" s="211" t="n"/>
      <c r="H611" s="211" t="n"/>
      <c r="I611" s="211" t="n"/>
      <c r="J611" s="211" t="n"/>
      <c r="K611" s="211" t="n"/>
      <c r="L611" s="213" t="n"/>
    </row>
    <row r="612">
      <c r="A612" s="218" t="n"/>
      <c r="B612" s="215" t="n"/>
      <c r="C612" s="215" t="n"/>
      <c r="D612" s="215" t="n"/>
      <c r="E612" s="219" t="n"/>
      <c r="F612" s="215" t="n"/>
      <c r="G612" s="215" t="n"/>
      <c r="H612" s="215" t="n"/>
      <c r="I612" s="215" t="n"/>
      <c r="J612" s="215" t="n"/>
      <c r="K612" s="215" t="n"/>
      <c r="L612" s="217" t="n"/>
    </row>
    <row r="613">
      <c r="A613" s="220" t="n"/>
      <c r="B613" s="211" t="n"/>
      <c r="C613" s="211" t="n"/>
      <c r="D613" s="211" t="n"/>
      <c r="E613" s="221" t="n"/>
      <c r="F613" s="211" t="n"/>
      <c r="G613" s="211" t="n"/>
      <c r="H613" s="211" t="n"/>
      <c r="I613" s="211" t="n"/>
      <c r="J613" s="211" t="n"/>
      <c r="K613" s="211" t="n"/>
      <c r="L613" s="213" t="n"/>
    </row>
    <row r="614">
      <c r="A614" s="218" t="n"/>
      <c r="B614" s="215" t="n"/>
      <c r="C614" s="215" t="n"/>
      <c r="D614" s="215" t="n"/>
      <c r="E614" s="219" t="n"/>
      <c r="F614" s="215" t="n"/>
      <c r="G614" s="215" t="n"/>
      <c r="H614" s="215" t="n"/>
      <c r="I614" s="215" t="n"/>
      <c r="J614" s="215" t="n"/>
      <c r="K614" s="215" t="n"/>
      <c r="L614" s="217" t="n"/>
    </row>
    <row r="615">
      <c r="A615" s="220" t="n"/>
      <c r="B615" s="211" t="n"/>
      <c r="C615" s="211" t="n"/>
      <c r="D615" s="211" t="n"/>
      <c r="E615" s="221" t="n"/>
      <c r="F615" s="211" t="n"/>
      <c r="G615" s="211" t="n"/>
      <c r="H615" s="211" t="n"/>
      <c r="I615" s="211" t="n"/>
      <c r="J615" s="211" t="n"/>
      <c r="K615" s="211" t="n"/>
      <c r="L615" s="213" t="n"/>
    </row>
    <row r="616">
      <c r="A616" s="218" t="n"/>
      <c r="B616" s="215" t="n"/>
      <c r="C616" s="215" t="n"/>
      <c r="D616" s="215" t="n"/>
      <c r="E616" s="219" t="n"/>
      <c r="F616" s="215" t="n"/>
      <c r="G616" s="215" t="n"/>
      <c r="H616" s="215" t="n"/>
      <c r="I616" s="215" t="n"/>
      <c r="J616" s="215" t="n"/>
      <c r="K616" s="215" t="n"/>
      <c r="L616" s="217" t="n"/>
    </row>
    <row r="617">
      <c r="A617" s="220" t="n"/>
      <c r="B617" s="211" t="n"/>
      <c r="C617" s="211" t="n"/>
      <c r="D617" s="211" t="n"/>
      <c r="E617" s="221" t="n"/>
      <c r="F617" s="211" t="n"/>
      <c r="G617" s="211" t="n"/>
      <c r="H617" s="211" t="n"/>
      <c r="I617" s="211" t="n"/>
      <c r="J617" s="211" t="n"/>
      <c r="K617" s="211" t="n"/>
      <c r="L617" s="213" t="n"/>
    </row>
    <row r="618">
      <c r="A618" s="218" t="n"/>
      <c r="B618" s="215" t="n"/>
      <c r="C618" s="215" t="n"/>
      <c r="D618" s="215" t="n"/>
      <c r="E618" s="219" t="n"/>
      <c r="F618" s="215" t="n"/>
      <c r="G618" s="215" t="n"/>
      <c r="H618" s="215" t="n"/>
      <c r="I618" s="215" t="n"/>
      <c r="J618" s="215" t="n"/>
      <c r="K618" s="215" t="n"/>
      <c r="L618" s="217" t="n"/>
    </row>
    <row r="619">
      <c r="A619" s="220" t="n"/>
      <c r="B619" s="211" t="n"/>
      <c r="C619" s="211" t="n"/>
      <c r="D619" s="211" t="n"/>
      <c r="E619" s="221" t="n"/>
      <c r="F619" s="211" t="n"/>
      <c r="G619" s="211" t="n"/>
      <c r="H619" s="211" t="n"/>
      <c r="I619" s="211" t="n"/>
      <c r="J619" s="211" t="n"/>
      <c r="K619" s="211" t="n"/>
      <c r="L619" s="213" t="n"/>
    </row>
    <row r="620">
      <c r="A620" s="218" t="n"/>
      <c r="B620" s="215" t="n"/>
      <c r="C620" s="215" t="n"/>
      <c r="D620" s="215" t="n"/>
      <c r="E620" s="219" t="n"/>
      <c r="F620" s="215" t="n"/>
      <c r="G620" s="215" t="n"/>
      <c r="H620" s="215" t="n"/>
      <c r="I620" s="215" t="n"/>
      <c r="J620" s="215" t="n"/>
      <c r="K620" s="215" t="n"/>
      <c r="L620" s="217" t="n"/>
    </row>
    <row r="621">
      <c r="A621" s="220" t="n"/>
      <c r="B621" s="211" t="n"/>
      <c r="C621" s="211" t="n"/>
      <c r="D621" s="211" t="n"/>
      <c r="E621" s="221" t="n"/>
      <c r="F621" s="211" t="n"/>
      <c r="G621" s="211" t="n"/>
      <c r="H621" s="211" t="n"/>
      <c r="I621" s="211" t="n"/>
      <c r="J621" s="211" t="n"/>
      <c r="K621" s="211" t="n"/>
      <c r="L621" s="213" t="n"/>
    </row>
    <row r="622">
      <c r="A622" s="218" t="n"/>
      <c r="B622" s="215" t="n"/>
      <c r="C622" s="215" t="n"/>
      <c r="D622" s="215" t="n"/>
      <c r="E622" s="219" t="n"/>
      <c r="F622" s="215" t="n"/>
      <c r="G622" s="215" t="n"/>
      <c r="H622" s="215" t="n"/>
      <c r="I622" s="215" t="n"/>
      <c r="J622" s="215" t="n"/>
      <c r="K622" s="215" t="n"/>
      <c r="L622" s="217" t="n"/>
    </row>
    <row r="623">
      <c r="A623" s="220" t="n"/>
      <c r="B623" s="211" t="n"/>
      <c r="C623" s="211" t="n"/>
      <c r="D623" s="211" t="n"/>
      <c r="E623" s="221" t="n"/>
      <c r="F623" s="211" t="n"/>
      <c r="G623" s="211" t="n"/>
      <c r="H623" s="211" t="n"/>
      <c r="I623" s="211" t="n"/>
      <c r="J623" s="211" t="n"/>
      <c r="K623" s="211" t="n"/>
      <c r="L623" s="213" t="n"/>
    </row>
    <row r="624">
      <c r="A624" s="218" t="n"/>
      <c r="B624" s="215" t="n"/>
      <c r="C624" s="215" t="n"/>
      <c r="D624" s="215" t="n"/>
      <c r="E624" s="219" t="n"/>
      <c r="F624" s="215" t="n"/>
      <c r="G624" s="215" t="n"/>
      <c r="H624" s="215" t="n"/>
      <c r="I624" s="215" t="n"/>
      <c r="J624" s="215" t="n"/>
      <c r="K624" s="215" t="n"/>
      <c r="L624" s="217" t="n"/>
    </row>
    <row r="625">
      <c r="A625" s="220" t="n"/>
      <c r="B625" s="211" t="n"/>
      <c r="C625" s="211" t="n"/>
      <c r="D625" s="211" t="n"/>
      <c r="E625" s="221" t="n"/>
      <c r="F625" s="211" t="n"/>
      <c r="G625" s="211" t="n"/>
      <c r="H625" s="211" t="n"/>
      <c r="I625" s="211" t="n"/>
      <c r="J625" s="211" t="n"/>
      <c r="K625" s="211" t="n"/>
      <c r="L625" s="213" t="n"/>
    </row>
    <row r="626">
      <c r="A626" s="218" t="n"/>
      <c r="B626" s="215" t="n"/>
      <c r="C626" s="215" t="n"/>
      <c r="D626" s="215" t="n"/>
      <c r="E626" s="219" t="n"/>
      <c r="F626" s="215" t="n"/>
      <c r="G626" s="215" t="n"/>
      <c r="H626" s="215" t="n"/>
      <c r="I626" s="215" t="n"/>
      <c r="J626" s="215" t="n"/>
      <c r="K626" s="215" t="n"/>
      <c r="L626" s="217" t="n"/>
    </row>
    <row r="627">
      <c r="A627" s="220" t="n"/>
      <c r="B627" s="211" t="n"/>
      <c r="C627" s="211" t="n"/>
      <c r="D627" s="211" t="n"/>
      <c r="E627" s="221" t="n"/>
      <c r="F627" s="211" t="n"/>
      <c r="G627" s="211" t="n"/>
      <c r="H627" s="211" t="n"/>
      <c r="I627" s="211" t="n"/>
      <c r="J627" s="211" t="n"/>
      <c r="K627" s="211" t="n"/>
      <c r="L627" s="213" t="n"/>
    </row>
    <row r="628">
      <c r="A628" s="218" t="n"/>
      <c r="B628" s="215" t="n"/>
      <c r="C628" s="215" t="n"/>
      <c r="D628" s="215" t="n"/>
      <c r="E628" s="219" t="n"/>
      <c r="F628" s="215" t="n"/>
      <c r="G628" s="215" t="n"/>
      <c r="H628" s="215" t="n"/>
      <c r="I628" s="215" t="n"/>
      <c r="J628" s="215" t="n"/>
      <c r="K628" s="215" t="n"/>
      <c r="L628" s="217" t="n"/>
    </row>
    <row r="629">
      <c r="A629" s="220" t="n"/>
      <c r="B629" s="211" t="n"/>
      <c r="C629" s="211" t="n"/>
      <c r="D629" s="211" t="n"/>
      <c r="E629" s="221" t="n"/>
      <c r="F629" s="211" t="n"/>
      <c r="G629" s="211" t="n"/>
      <c r="H629" s="211" t="n"/>
      <c r="I629" s="211" t="n"/>
      <c r="J629" s="211" t="n"/>
      <c r="K629" s="211" t="n"/>
      <c r="L629" s="213" t="n"/>
    </row>
    <row r="630">
      <c r="A630" s="218" t="n"/>
      <c r="B630" s="215" t="n"/>
      <c r="C630" s="215" t="n"/>
      <c r="D630" s="215" t="n"/>
      <c r="E630" s="219" t="n"/>
      <c r="F630" s="215" t="n"/>
      <c r="G630" s="215" t="n"/>
      <c r="H630" s="215" t="n"/>
      <c r="I630" s="215" t="n"/>
      <c r="J630" s="215" t="n"/>
      <c r="K630" s="215" t="n"/>
      <c r="L630" s="217" t="n"/>
    </row>
    <row r="631">
      <c r="A631" s="220" t="n"/>
      <c r="B631" s="211" t="n"/>
      <c r="C631" s="211" t="n"/>
      <c r="D631" s="211" t="n"/>
      <c r="E631" s="221" t="n"/>
      <c r="F631" s="211" t="n"/>
      <c r="G631" s="211" t="n"/>
      <c r="H631" s="211" t="n"/>
      <c r="I631" s="211" t="n"/>
      <c r="J631" s="211" t="n"/>
      <c r="K631" s="211" t="n"/>
      <c r="L631" s="213" t="n"/>
    </row>
    <row r="632">
      <c r="A632" s="218" t="n"/>
      <c r="B632" s="215" t="n"/>
      <c r="C632" s="215" t="n"/>
      <c r="D632" s="215" t="n"/>
      <c r="E632" s="219" t="n"/>
      <c r="F632" s="215" t="n"/>
      <c r="G632" s="215" t="n"/>
      <c r="H632" s="215" t="n"/>
      <c r="I632" s="215" t="n"/>
      <c r="J632" s="215" t="n"/>
      <c r="K632" s="215" t="n"/>
      <c r="L632" s="217" t="n"/>
    </row>
    <row r="633">
      <c r="A633" s="220" t="n"/>
      <c r="B633" s="211" t="n"/>
      <c r="C633" s="211" t="n"/>
      <c r="D633" s="211" t="n"/>
      <c r="E633" s="221" t="n"/>
      <c r="F633" s="211" t="n"/>
      <c r="G633" s="211" t="n"/>
      <c r="H633" s="211" t="n"/>
      <c r="I633" s="211" t="n"/>
      <c r="J633" s="211" t="n"/>
      <c r="K633" s="211" t="n"/>
      <c r="L633" s="213" t="n"/>
    </row>
    <row r="634">
      <c r="A634" s="218" t="n"/>
      <c r="B634" s="215" t="n"/>
      <c r="C634" s="215" t="n"/>
      <c r="D634" s="215" t="n"/>
      <c r="E634" s="219" t="n"/>
      <c r="F634" s="215" t="n"/>
      <c r="G634" s="215" t="n"/>
      <c r="H634" s="215" t="n"/>
      <c r="I634" s="215" t="n"/>
      <c r="J634" s="215" t="n"/>
      <c r="K634" s="215" t="n"/>
      <c r="L634" s="217" t="n"/>
    </row>
    <row r="635">
      <c r="A635" s="220" t="n"/>
      <c r="B635" s="211" t="n"/>
      <c r="C635" s="211" t="n"/>
      <c r="D635" s="211" t="n"/>
      <c r="E635" s="221" t="n"/>
      <c r="F635" s="211" t="n"/>
      <c r="G635" s="211" t="n"/>
      <c r="H635" s="211" t="n"/>
      <c r="I635" s="211" t="n"/>
      <c r="J635" s="211" t="n"/>
      <c r="K635" s="211" t="n"/>
      <c r="L635" s="213" t="n"/>
    </row>
    <row r="636">
      <c r="A636" s="218" t="n"/>
      <c r="B636" s="215" t="n"/>
      <c r="C636" s="215" t="n"/>
      <c r="D636" s="215" t="n"/>
      <c r="E636" s="219" t="n"/>
      <c r="F636" s="215" t="n"/>
      <c r="G636" s="215" t="n"/>
      <c r="H636" s="215" t="n"/>
      <c r="I636" s="215" t="n"/>
      <c r="J636" s="215" t="n"/>
      <c r="K636" s="215" t="n"/>
      <c r="L636" s="217" t="n"/>
    </row>
    <row r="637">
      <c r="A637" s="220" t="n"/>
      <c r="B637" s="211" t="n"/>
      <c r="C637" s="211" t="n"/>
      <c r="D637" s="211" t="n"/>
      <c r="E637" s="221" t="n"/>
      <c r="F637" s="211" t="n"/>
      <c r="G637" s="211" t="n"/>
      <c r="H637" s="211" t="n"/>
      <c r="I637" s="211" t="n"/>
      <c r="J637" s="211" t="n"/>
      <c r="K637" s="211" t="n"/>
      <c r="L637" s="213" t="n"/>
    </row>
    <row r="638">
      <c r="A638" s="218" t="n"/>
      <c r="B638" s="215" t="n"/>
      <c r="C638" s="215" t="n"/>
      <c r="D638" s="215" t="n"/>
      <c r="E638" s="219" t="n"/>
      <c r="F638" s="215" t="n"/>
      <c r="G638" s="215" t="n"/>
      <c r="H638" s="215" t="n"/>
      <c r="I638" s="215" t="n"/>
      <c r="J638" s="215" t="n"/>
      <c r="K638" s="215" t="n"/>
      <c r="L638" s="217" t="n"/>
    </row>
    <row r="639">
      <c r="A639" s="220" t="n"/>
      <c r="B639" s="211" t="n"/>
      <c r="C639" s="211" t="n"/>
      <c r="D639" s="211" t="n"/>
      <c r="E639" s="221" t="n"/>
      <c r="F639" s="211" t="n"/>
      <c r="G639" s="211" t="n"/>
      <c r="H639" s="211" t="n"/>
      <c r="I639" s="211" t="n"/>
      <c r="J639" s="211" t="n"/>
      <c r="K639" s="211" t="n"/>
      <c r="L639" s="213" t="n"/>
    </row>
    <row r="640">
      <c r="A640" s="218" t="n"/>
      <c r="B640" s="215" t="n"/>
      <c r="C640" s="215" t="n"/>
      <c r="D640" s="215" t="n"/>
      <c r="E640" s="219" t="n"/>
      <c r="F640" s="215" t="n"/>
      <c r="G640" s="215" t="n"/>
      <c r="H640" s="215" t="n"/>
      <c r="I640" s="215" t="n"/>
      <c r="J640" s="215" t="n"/>
      <c r="K640" s="215" t="n"/>
      <c r="L640" s="217" t="n"/>
    </row>
    <row r="641">
      <c r="A641" s="220" t="n"/>
      <c r="B641" s="211" t="n"/>
      <c r="C641" s="211" t="n"/>
      <c r="D641" s="211" t="n"/>
      <c r="E641" s="221" t="n"/>
      <c r="F641" s="211" t="n"/>
      <c r="G641" s="211" t="n"/>
      <c r="H641" s="211" t="n"/>
      <c r="I641" s="211" t="n"/>
      <c r="J641" s="211" t="n"/>
      <c r="K641" s="211" t="n"/>
      <c r="L641" s="213" t="n"/>
    </row>
    <row r="642">
      <c r="A642" s="218" t="n"/>
      <c r="B642" s="215" t="n"/>
      <c r="C642" s="215" t="n"/>
      <c r="D642" s="215" t="n"/>
      <c r="E642" s="219" t="n"/>
      <c r="F642" s="215" t="n"/>
      <c r="G642" s="215" t="n"/>
      <c r="H642" s="215" t="n"/>
      <c r="I642" s="215" t="n"/>
      <c r="J642" s="215" t="n"/>
      <c r="K642" s="215" t="n"/>
      <c r="L642" s="217" t="n"/>
    </row>
    <row r="643">
      <c r="A643" s="220" t="n"/>
      <c r="B643" s="211" t="n"/>
      <c r="C643" s="211" t="n"/>
      <c r="D643" s="211" t="n"/>
      <c r="E643" s="221" t="n"/>
      <c r="F643" s="211" t="n"/>
      <c r="G643" s="211" t="n"/>
      <c r="H643" s="211" t="n"/>
      <c r="I643" s="211" t="n"/>
      <c r="J643" s="211" t="n"/>
      <c r="K643" s="211" t="n"/>
      <c r="L643" s="213" t="n"/>
    </row>
    <row r="644">
      <c r="A644" s="218" t="n"/>
      <c r="B644" s="215" t="n"/>
      <c r="C644" s="215" t="n"/>
      <c r="D644" s="215" t="n"/>
      <c r="E644" s="219" t="n"/>
      <c r="F644" s="215" t="n"/>
      <c r="G644" s="215" t="n"/>
      <c r="H644" s="215" t="n"/>
      <c r="I644" s="215" t="n"/>
      <c r="J644" s="215" t="n"/>
      <c r="K644" s="215" t="n"/>
      <c r="L644" s="217" t="n"/>
    </row>
    <row r="645">
      <c r="A645" s="220" t="n"/>
      <c r="B645" s="211" t="n"/>
      <c r="C645" s="211" t="n"/>
      <c r="D645" s="211" t="n"/>
      <c r="E645" s="221" t="n"/>
      <c r="F645" s="211" t="n"/>
      <c r="G645" s="211" t="n"/>
      <c r="H645" s="211" t="n"/>
      <c r="I645" s="211" t="n"/>
      <c r="J645" s="211" t="n"/>
      <c r="K645" s="211" t="n"/>
      <c r="L645" s="213" t="n"/>
    </row>
    <row r="646">
      <c r="A646" s="218" t="n"/>
      <c r="B646" s="215" t="n"/>
      <c r="C646" s="215" t="n"/>
      <c r="D646" s="215" t="n"/>
      <c r="E646" s="219" t="n"/>
      <c r="F646" s="215" t="n"/>
      <c r="G646" s="215" t="n"/>
      <c r="H646" s="215" t="n"/>
      <c r="I646" s="215" t="n"/>
      <c r="J646" s="215" t="n"/>
      <c r="K646" s="215" t="n"/>
      <c r="L646" s="217" t="n"/>
    </row>
    <row r="647">
      <c r="A647" s="220" t="n"/>
      <c r="B647" s="211" t="n"/>
      <c r="C647" s="211" t="n"/>
      <c r="D647" s="211" t="n"/>
      <c r="E647" s="221" t="n"/>
      <c r="F647" s="211" t="n"/>
      <c r="G647" s="211" t="n"/>
      <c r="H647" s="211" t="n"/>
      <c r="I647" s="211" t="n"/>
      <c r="J647" s="211" t="n"/>
      <c r="K647" s="211" t="n"/>
      <c r="L647" s="213" t="n"/>
    </row>
    <row r="648">
      <c r="A648" s="218" t="n"/>
      <c r="B648" s="215" t="n"/>
      <c r="C648" s="215" t="n"/>
      <c r="D648" s="215" t="n"/>
      <c r="E648" s="219" t="n"/>
      <c r="F648" s="215" t="n"/>
      <c r="G648" s="215" t="n"/>
      <c r="H648" s="215" t="n"/>
      <c r="I648" s="215" t="n"/>
      <c r="J648" s="215" t="n"/>
      <c r="K648" s="215" t="n"/>
      <c r="L648" s="217" t="n"/>
    </row>
    <row r="649">
      <c r="A649" s="220" t="n"/>
      <c r="B649" s="211" t="n"/>
      <c r="C649" s="211" t="n"/>
      <c r="D649" s="211" t="n"/>
      <c r="E649" s="221" t="n"/>
      <c r="F649" s="211" t="n"/>
      <c r="G649" s="211" t="n"/>
      <c r="H649" s="211" t="n"/>
      <c r="I649" s="211" t="n"/>
      <c r="J649" s="211" t="n"/>
      <c r="K649" s="211" t="n"/>
      <c r="L649" s="213" t="n"/>
    </row>
    <row r="650">
      <c r="A650" s="218" t="n"/>
      <c r="B650" s="215" t="n"/>
      <c r="C650" s="215" t="n"/>
      <c r="D650" s="215" t="n"/>
      <c r="E650" s="219" t="n"/>
      <c r="F650" s="215" t="n"/>
      <c r="G650" s="215" t="n"/>
      <c r="H650" s="215" t="n"/>
      <c r="I650" s="215" t="n"/>
      <c r="J650" s="215" t="n"/>
      <c r="K650" s="215" t="n"/>
      <c r="L650" s="217" t="n"/>
    </row>
    <row r="651">
      <c r="A651" s="220" t="n"/>
      <c r="B651" s="211" t="n"/>
      <c r="C651" s="211" t="n"/>
      <c r="D651" s="211" t="n"/>
      <c r="E651" s="221" t="n"/>
      <c r="F651" s="211" t="n"/>
      <c r="G651" s="211" t="n"/>
      <c r="H651" s="211" t="n"/>
      <c r="I651" s="211" t="n"/>
      <c r="J651" s="211" t="n"/>
      <c r="K651" s="211" t="n"/>
      <c r="L651" s="213" t="n"/>
    </row>
    <row r="652">
      <c r="A652" s="218" t="n"/>
      <c r="B652" s="215" t="n"/>
      <c r="C652" s="215" t="n"/>
      <c r="D652" s="215" t="n"/>
      <c r="E652" s="219" t="n"/>
      <c r="F652" s="215" t="n"/>
      <c r="G652" s="215" t="n"/>
      <c r="H652" s="215" t="n"/>
      <c r="I652" s="215" t="n"/>
      <c r="J652" s="215" t="n"/>
      <c r="K652" s="215" t="n"/>
      <c r="L652" s="217" t="n"/>
    </row>
    <row r="653">
      <c r="A653" s="220" t="n"/>
      <c r="B653" s="211" t="n"/>
      <c r="C653" s="211" t="n"/>
      <c r="D653" s="211" t="n"/>
      <c r="E653" s="221" t="n"/>
      <c r="F653" s="211" t="n"/>
      <c r="G653" s="211" t="n"/>
      <c r="H653" s="211" t="n"/>
      <c r="I653" s="211" t="n"/>
      <c r="J653" s="211" t="n"/>
      <c r="K653" s="211" t="n"/>
      <c r="L653" s="213" t="n"/>
    </row>
    <row r="654">
      <c r="A654" s="218" t="n"/>
      <c r="B654" s="215" t="n"/>
      <c r="C654" s="215" t="n"/>
      <c r="D654" s="215" t="n"/>
      <c r="E654" s="219" t="n"/>
      <c r="F654" s="215" t="n"/>
      <c r="G654" s="215" t="n"/>
      <c r="H654" s="215" t="n"/>
      <c r="I654" s="215" t="n"/>
      <c r="J654" s="215" t="n"/>
      <c r="K654" s="215" t="n"/>
      <c r="L654" s="217" t="n"/>
    </row>
    <row r="655">
      <c r="A655" s="220" t="n"/>
      <c r="B655" s="211" t="n"/>
      <c r="C655" s="211" t="n"/>
      <c r="D655" s="211" t="n"/>
      <c r="E655" s="221" t="n"/>
      <c r="F655" s="211" t="n"/>
      <c r="G655" s="211" t="n"/>
      <c r="H655" s="211" t="n"/>
      <c r="I655" s="211" t="n"/>
      <c r="J655" s="211" t="n"/>
      <c r="K655" s="211" t="n"/>
      <c r="L655" s="213" t="n"/>
    </row>
    <row r="656">
      <c r="A656" s="218" t="n"/>
      <c r="B656" s="215" t="n"/>
      <c r="C656" s="215" t="n"/>
      <c r="D656" s="215" t="n"/>
      <c r="E656" s="219" t="n"/>
      <c r="F656" s="215" t="n"/>
      <c r="G656" s="215" t="n"/>
      <c r="H656" s="215" t="n"/>
      <c r="I656" s="215" t="n"/>
      <c r="J656" s="215" t="n"/>
      <c r="K656" s="215" t="n"/>
      <c r="L656" s="217" t="n"/>
    </row>
    <row r="657">
      <c r="A657" s="220" t="n"/>
      <c r="B657" s="211" t="n"/>
      <c r="C657" s="211" t="n"/>
      <c r="D657" s="211" t="n"/>
      <c r="E657" s="221" t="n"/>
      <c r="F657" s="211" t="n"/>
      <c r="G657" s="211" t="n"/>
      <c r="H657" s="211" t="n"/>
      <c r="I657" s="211" t="n"/>
      <c r="J657" s="211" t="n"/>
      <c r="K657" s="211" t="n"/>
      <c r="L657" s="213" t="n"/>
    </row>
    <row r="658">
      <c r="A658" s="218" t="n"/>
      <c r="B658" s="215" t="n"/>
      <c r="C658" s="215" t="n"/>
      <c r="D658" s="215" t="n"/>
      <c r="E658" s="219" t="n"/>
      <c r="F658" s="215" t="n"/>
      <c r="G658" s="215" t="n"/>
      <c r="H658" s="215" t="n"/>
      <c r="I658" s="215" t="n"/>
      <c r="J658" s="215" t="n"/>
      <c r="K658" s="215" t="n"/>
      <c r="L658" s="217" t="n"/>
    </row>
    <row r="659">
      <c r="A659" s="220" t="n"/>
      <c r="B659" s="211" t="n"/>
      <c r="C659" s="211" t="n"/>
      <c r="D659" s="211" t="n"/>
      <c r="E659" s="221" t="n"/>
      <c r="F659" s="211" t="n"/>
      <c r="G659" s="211" t="n"/>
      <c r="H659" s="211" t="n"/>
      <c r="I659" s="211" t="n"/>
      <c r="J659" s="211" t="n"/>
      <c r="K659" s="211" t="n"/>
      <c r="L659" s="213" t="n"/>
    </row>
    <row r="660">
      <c r="A660" s="218" t="n"/>
      <c r="B660" s="215" t="n"/>
      <c r="C660" s="215" t="n"/>
      <c r="D660" s="215" t="n"/>
      <c r="E660" s="219" t="n"/>
      <c r="F660" s="215" t="n"/>
      <c r="G660" s="215" t="n"/>
      <c r="H660" s="215" t="n"/>
      <c r="I660" s="215" t="n"/>
      <c r="J660" s="215" t="n"/>
      <c r="K660" s="215" t="n"/>
      <c r="L660" s="217" t="n"/>
    </row>
    <row r="661">
      <c r="A661" s="220" t="n"/>
      <c r="B661" s="211" t="n"/>
      <c r="C661" s="211" t="n"/>
      <c r="D661" s="211" t="n"/>
      <c r="E661" s="221" t="n"/>
      <c r="F661" s="211" t="n"/>
      <c r="G661" s="211" t="n"/>
      <c r="H661" s="211" t="n"/>
      <c r="I661" s="211" t="n"/>
      <c r="J661" s="211" t="n"/>
      <c r="K661" s="211" t="n"/>
      <c r="L661" s="213" t="n"/>
    </row>
    <row r="662">
      <c r="A662" s="218" t="n"/>
      <c r="B662" s="215" t="n"/>
      <c r="C662" s="215" t="n"/>
      <c r="D662" s="215" t="n"/>
      <c r="E662" s="219" t="n"/>
      <c r="F662" s="215" t="n"/>
      <c r="G662" s="215" t="n"/>
      <c r="H662" s="215" t="n"/>
      <c r="I662" s="215" t="n"/>
      <c r="J662" s="215" t="n"/>
      <c r="K662" s="215" t="n"/>
      <c r="L662" s="217" t="n"/>
    </row>
    <row r="663">
      <c r="A663" s="220" t="n"/>
      <c r="B663" s="211" t="n"/>
      <c r="C663" s="211" t="n"/>
      <c r="D663" s="211" t="n"/>
      <c r="E663" s="221" t="n"/>
      <c r="F663" s="211" t="n"/>
      <c r="G663" s="211" t="n"/>
      <c r="H663" s="211" t="n"/>
      <c r="I663" s="211" t="n"/>
      <c r="J663" s="211" t="n"/>
      <c r="K663" s="211" t="n"/>
      <c r="L663" s="213" t="n"/>
    </row>
    <row r="664">
      <c r="A664" s="218" t="n"/>
      <c r="B664" s="215" t="n"/>
      <c r="C664" s="215" t="n"/>
      <c r="D664" s="215" t="n"/>
      <c r="E664" s="219" t="n"/>
      <c r="F664" s="215" t="n"/>
      <c r="G664" s="215" t="n"/>
      <c r="H664" s="215" t="n"/>
      <c r="I664" s="215" t="n"/>
      <c r="J664" s="215" t="n"/>
      <c r="K664" s="215" t="n"/>
      <c r="L664" s="217" t="n"/>
    </row>
    <row r="665">
      <c r="A665" s="220" t="n"/>
      <c r="B665" s="211" t="n"/>
      <c r="C665" s="211" t="n"/>
      <c r="D665" s="211" t="n"/>
      <c r="E665" s="221" t="n"/>
      <c r="F665" s="211" t="n"/>
      <c r="G665" s="211" t="n"/>
      <c r="H665" s="211" t="n"/>
      <c r="I665" s="211" t="n"/>
      <c r="J665" s="211" t="n"/>
      <c r="K665" s="211" t="n"/>
      <c r="L665" s="213" t="n"/>
    </row>
    <row r="666">
      <c r="A666" s="218" t="n"/>
      <c r="B666" s="215" t="n"/>
      <c r="C666" s="215" t="n"/>
      <c r="D666" s="215" t="n"/>
      <c r="E666" s="219" t="n"/>
      <c r="F666" s="215" t="n"/>
      <c r="G666" s="215" t="n"/>
      <c r="H666" s="215" t="n"/>
      <c r="I666" s="215" t="n"/>
      <c r="J666" s="215" t="n"/>
      <c r="K666" s="215" t="n"/>
      <c r="L666" s="217" t="n"/>
    </row>
    <row r="667">
      <c r="A667" s="220" t="n"/>
      <c r="B667" s="211" t="n"/>
      <c r="C667" s="211" t="n"/>
      <c r="D667" s="211" t="n"/>
      <c r="E667" s="221" t="n"/>
      <c r="F667" s="211" t="n"/>
      <c r="G667" s="211" t="n"/>
      <c r="H667" s="211" t="n"/>
      <c r="I667" s="211" t="n"/>
      <c r="J667" s="211" t="n"/>
      <c r="K667" s="211" t="n"/>
      <c r="L667" s="213" t="n"/>
    </row>
    <row r="668">
      <c r="A668" s="218" t="n"/>
      <c r="B668" s="215" t="n"/>
      <c r="C668" s="215" t="n"/>
      <c r="D668" s="215" t="n"/>
      <c r="E668" s="219" t="n"/>
      <c r="F668" s="215" t="n"/>
      <c r="G668" s="215" t="n"/>
      <c r="H668" s="215" t="n"/>
      <c r="I668" s="215" t="n"/>
      <c r="J668" s="215" t="n"/>
      <c r="K668" s="215" t="n"/>
      <c r="L668" s="217" t="n"/>
    </row>
    <row r="669">
      <c r="A669" s="220" t="n"/>
      <c r="B669" s="211" t="n"/>
      <c r="C669" s="211" t="n"/>
      <c r="D669" s="211" t="n"/>
      <c r="E669" s="221" t="n"/>
      <c r="F669" s="211" t="n"/>
      <c r="G669" s="211" t="n"/>
      <c r="H669" s="211" t="n"/>
      <c r="I669" s="211" t="n"/>
      <c r="J669" s="211" t="n"/>
      <c r="K669" s="211" t="n"/>
      <c r="L669" s="213" t="n"/>
    </row>
    <row r="670">
      <c r="A670" s="218" t="n"/>
      <c r="B670" s="215" t="n"/>
      <c r="C670" s="215" t="n"/>
      <c r="D670" s="215" t="n"/>
      <c r="E670" s="219" t="n"/>
      <c r="F670" s="215" t="n"/>
      <c r="G670" s="215" t="n"/>
      <c r="H670" s="215" t="n"/>
      <c r="I670" s="215" t="n"/>
      <c r="J670" s="215" t="n"/>
      <c r="K670" s="215" t="n"/>
      <c r="L670" s="217" t="n"/>
    </row>
    <row r="671">
      <c r="A671" s="220" t="n"/>
      <c r="B671" s="211" t="n"/>
      <c r="C671" s="211" t="n"/>
      <c r="D671" s="211" t="n"/>
      <c r="E671" s="221" t="n"/>
      <c r="F671" s="211" t="n"/>
      <c r="G671" s="211" t="n"/>
      <c r="H671" s="211" t="n"/>
      <c r="I671" s="211" t="n"/>
      <c r="J671" s="211" t="n"/>
      <c r="K671" s="211" t="n"/>
      <c r="L671" s="213" t="n"/>
    </row>
    <row r="672">
      <c r="A672" s="218" t="n"/>
      <c r="B672" s="215" t="n"/>
      <c r="C672" s="215" t="n"/>
      <c r="D672" s="215" t="n"/>
      <c r="E672" s="219" t="n"/>
      <c r="F672" s="215" t="n"/>
      <c r="G672" s="215" t="n"/>
      <c r="H672" s="215" t="n"/>
      <c r="I672" s="215" t="n"/>
      <c r="J672" s="215" t="n"/>
      <c r="K672" s="215" t="n"/>
      <c r="L672" s="217" t="n"/>
    </row>
    <row r="673">
      <c r="A673" s="220" t="n"/>
      <c r="B673" s="211" t="n"/>
      <c r="C673" s="211" t="n"/>
      <c r="D673" s="211" t="n"/>
      <c r="E673" s="221" t="n"/>
      <c r="F673" s="211" t="n"/>
      <c r="G673" s="211" t="n"/>
      <c r="H673" s="211" t="n"/>
      <c r="I673" s="211" t="n"/>
      <c r="J673" s="211" t="n"/>
      <c r="K673" s="211" t="n"/>
      <c r="L673" s="213" t="n"/>
    </row>
    <row r="674">
      <c r="A674" s="218" t="n"/>
      <c r="B674" s="215" t="n"/>
      <c r="C674" s="215" t="n"/>
      <c r="D674" s="215" t="n"/>
      <c r="E674" s="219" t="n"/>
      <c r="F674" s="215" t="n"/>
      <c r="G674" s="215" t="n"/>
      <c r="H674" s="215" t="n"/>
      <c r="I674" s="215" t="n"/>
      <c r="J674" s="215" t="n"/>
      <c r="K674" s="215" t="n"/>
      <c r="L674" s="217" t="n"/>
    </row>
    <row r="675">
      <c r="A675" s="220" t="n"/>
      <c r="B675" s="211" t="n"/>
      <c r="C675" s="211" t="n"/>
      <c r="D675" s="211" t="n"/>
      <c r="E675" s="221" t="n"/>
      <c r="F675" s="211" t="n"/>
      <c r="G675" s="211" t="n"/>
      <c r="H675" s="211" t="n"/>
      <c r="I675" s="211" t="n"/>
      <c r="J675" s="211" t="n"/>
      <c r="K675" s="211" t="n"/>
      <c r="L675" s="213" t="n"/>
    </row>
    <row r="676">
      <c r="A676" s="218" t="n"/>
      <c r="B676" s="215" t="n"/>
      <c r="C676" s="215" t="n"/>
      <c r="D676" s="215" t="n"/>
      <c r="E676" s="219" t="n"/>
      <c r="F676" s="215" t="n"/>
      <c r="G676" s="215" t="n"/>
      <c r="H676" s="215" t="n"/>
      <c r="I676" s="215" t="n"/>
      <c r="J676" s="215" t="n"/>
      <c r="K676" s="215" t="n"/>
      <c r="L676" s="217" t="n"/>
    </row>
    <row r="677">
      <c r="A677" s="220" t="n"/>
      <c r="B677" s="211" t="n"/>
      <c r="C677" s="211" t="n"/>
      <c r="D677" s="211" t="n"/>
      <c r="E677" s="221" t="n"/>
      <c r="F677" s="211" t="n"/>
      <c r="G677" s="211" t="n"/>
      <c r="H677" s="211" t="n"/>
      <c r="I677" s="211" t="n"/>
      <c r="J677" s="211" t="n"/>
      <c r="K677" s="211" t="n"/>
      <c r="L677" s="213" t="n"/>
    </row>
    <row r="678">
      <c r="A678" s="218" t="n"/>
      <c r="B678" s="215" t="n"/>
      <c r="C678" s="215" t="n"/>
      <c r="D678" s="215" t="n"/>
      <c r="E678" s="219" t="n"/>
      <c r="F678" s="215" t="n"/>
      <c r="G678" s="215" t="n"/>
      <c r="H678" s="215" t="n"/>
      <c r="I678" s="215" t="n"/>
      <c r="J678" s="215" t="n"/>
      <c r="K678" s="215" t="n"/>
      <c r="L678" s="217" t="n"/>
    </row>
    <row r="679">
      <c r="A679" s="220" t="n"/>
      <c r="B679" s="211" t="n"/>
      <c r="C679" s="211" t="n"/>
      <c r="D679" s="211" t="n"/>
      <c r="E679" s="221" t="n"/>
      <c r="F679" s="211" t="n"/>
      <c r="G679" s="211" t="n"/>
      <c r="H679" s="211" t="n"/>
      <c r="I679" s="211" t="n"/>
      <c r="J679" s="211" t="n"/>
      <c r="K679" s="211" t="n"/>
      <c r="L679" s="213" t="n"/>
    </row>
    <row r="680">
      <c r="A680" s="218" t="n"/>
      <c r="B680" s="215" t="n"/>
      <c r="C680" s="215" t="n"/>
      <c r="D680" s="215" t="n"/>
      <c r="E680" s="219" t="n"/>
      <c r="F680" s="215" t="n"/>
      <c r="G680" s="215" t="n"/>
      <c r="H680" s="215" t="n"/>
      <c r="I680" s="215" t="n"/>
      <c r="J680" s="215" t="n"/>
      <c r="K680" s="215" t="n"/>
      <c r="L680" s="217" t="n"/>
    </row>
    <row r="681">
      <c r="A681" s="220" t="n"/>
      <c r="B681" s="211" t="n"/>
      <c r="C681" s="211" t="n"/>
      <c r="D681" s="211" t="n"/>
      <c r="E681" s="221" t="n"/>
      <c r="F681" s="211" t="n"/>
      <c r="G681" s="211" t="n"/>
      <c r="H681" s="211" t="n"/>
      <c r="I681" s="211" t="n"/>
      <c r="J681" s="211" t="n"/>
      <c r="K681" s="211" t="n"/>
      <c r="L681" s="213" t="n"/>
    </row>
    <row r="682">
      <c r="A682" s="218" t="n"/>
      <c r="B682" s="215" t="n"/>
      <c r="C682" s="215" t="n"/>
      <c r="D682" s="215" t="n"/>
      <c r="E682" s="219" t="n"/>
      <c r="F682" s="215" t="n"/>
      <c r="G682" s="215" t="n"/>
      <c r="H682" s="215" t="n"/>
      <c r="I682" s="215" t="n"/>
      <c r="J682" s="215" t="n"/>
      <c r="K682" s="215" t="n"/>
      <c r="L682" s="217" t="n"/>
    </row>
    <row r="683">
      <c r="A683" s="220" t="n"/>
      <c r="B683" s="211" t="n"/>
      <c r="C683" s="211" t="n"/>
      <c r="D683" s="211" t="n"/>
      <c r="E683" s="221" t="n"/>
      <c r="F683" s="211" t="n"/>
      <c r="G683" s="211" t="n"/>
      <c r="H683" s="211" t="n"/>
      <c r="I683" s="211" t="n"/>
      <c r="J683" s="211" t="n"/>
      <c r="K683" s="211" t="n"/>
      <c r="L683" s="213" t="n"/>
    </row>
    <row r="684">
      <c r="A684" s="218" t="n"/>
      <c r="B684" s="215" t="n"/>
      <c r="C684" s="215" t="n"/>
      <c r="D684" s="215" t="n"/>
      <c r="E684" s="219" t="n"/>
      <c r="F684" s="215" t="n"/>
      <c r="G684" s="215" t="n"/>
      <c r="H684" s="215" t="n"/>
      <c r="I684" s="215" t="n"/>
      <c r="J684" s="215" t="n"/>
      <c r="K684" s="215" t="n"/>
      <c r="L684" s="217" t="n"/>
    </row>
    <row r="685">
      <c r="A685" s="220" t="n"/>
      <c r="B685" s="211" t="n"/>
      <c r="C685" s="211" t="n"/>
      <c r="D685" s="211" t="n"/>
      <c r="E685" s="221" t="n"/>
      <c r="F685" s="211" t="n"/>
      <c r="G685" s="211" t="n"/>
      <c r="H685" s="211" t="n"/>
      <c r="I685" s="211" t="n"/>
      <c r="J685" s="211" t="n"/>
      <c r="K685" s="211" t="n"/>
      <c r="L685" s="213" t="n"/>
    </row>
    <row r="686">
      <c r="A686" s="218" t="n"/>
      <c r="B686" s="215" t="n"/>
      <c r="C686" s="215" t="n"/>
      <c r="D686" s="215" t="n"/>
      <c r="E686" s="219" t="n"/>
      <c r="F686" s="215" t="n"/>
      <c r="G686" s="215" t="n"/>
      <c r="H686" s="215" t="n"/>
      <c r="I686" s="215" t="n"/>
      <c r="J686" s="215" t="n"/>
      <c r="K686" s="215" t="n"/>
      <c r="L686" s="217" t="n"/>
    </row>
    <row r="687">
      <c r="A687" s="220" t="n"/>
      <c r="B687" s="211" t="n"/>
      <c r="C687" s="211" t="n"/>
      <c r="D687" s="211" t="n"/>
      <c r="E687" s="221" t="n"/>
      <c r="F687" s="211" t="n"/>
      <c r="G687" s="211" t="n"/>
      <c r="H687" s="211" t="n"/>
      <c r="I687" s="211" t="n"/>
      <c r="J687" s="211" t="n"/>
      <c r="K687" s="211" t="n"/>
      <c r="L687" s="213" t="n"/>
    </row>
    <row r="688">
      <c r="A688" s="218" t="n"/>
      <c r="B688" s="215" t="n"/>
      <c r="C688" s="215" t="n"/>
      <c r="D688" s="215" t="n"/>
      <c r="E688" s="219" t="n"/>
      <c r="F688" s="215" t="n"/>
      <c r="G688" s="215" t="n"/>
      <c r="H688" s="215" t="n"/>
      <c r="I688" s="215" t="n"/>
      <c r="J688" s="215" t="n"/>
      <c r="K688" s="215" t="n"/>
      <c r="L688" s="217" t="n"/>
    </row>
    <row r="689">
      <c r="A689" s="220" t="n"/>
      <c r="B689" s="211" t="n"/>
      <c r="C689" s="211" t="n"/>
      <c r="D689" s="211" t="n"/>
      <c r="E689" s="221" t="n"/>
      <c r="F689" s="211" t="n"/>
      <c r="G689" s="211" t="n"/>
      <c r="H689" s="211" t="n"/>
      <c r="I689" s="211" t="n"/>
      <c r="J689" s="211" t="n"/>
      <c r="K689" s="211" t="n"/>
      <c r="L689" s="213" t="n"/>
    </row>
    <row r="690">
      <c r="A690" s="218" t="n"/>
      <c r="B690" s="215" t="n"/>
      <c r="C690" s="215" t="n"/>
      <c r="D690" s="215" t="n"/>
      <c r="E690" s="219" t="n"/>
      <c r="F690" s="215" t="n"/>
      <c r="G690" s="215" t="n"/>
      <c r="H690" s="215" t="n"/>
      <c r="I690" s="215" t="n"/>
      <c r="J690" s="215" t="n"/>
      <c r="K690" s="215" t="n"/>
      <c r="L690" s="217" t="n"/>
    </row>
    <row r="691">
      <c r="A691" s="220" t="n"/>
      <c r="B691" s="211" t="n"/>
      <c r="C691" s="211" t="n"/>
      <c r="D691" s="211" t="n"/>
      <c r="E691" s="221" t="n"/>
      <c r="F691" s="211" t="n"/>
      <c r="G691" s="211" t="n"/>
      <c r="H691" s="211" t="n"/>
      <c r="I691" s="211" t="n"/>
      <c r="J691" s="211" t="n"/>
      <c r="K691" s="211" t="n"/>
      <c r="L691" s="213" t="n"/>
    </row>
    <row r="692">
      <c r="A692" s="218" t="n"/>
      <c r="B692" s="215" t="n"/>
      <c r="C692" s="215" t="n"/>
      <c r="D692" s="215" t="n"/>
      <c r="E692" s="219" t="n"/>
      <c r="F692" s="215" t="n"/>
      <c r="G692" s="215" t="n"/>
      <c r="H692" s="215" t="n"/>
      <c r="I692" s="215" t="n"/>
      <c r="J692" s="215" t="n"/>
      <c r="K692" s="215" t="n"/>
      <c r="L692" s="217" t="n"/>
    </row>
    <row r="693">
      <c r="A693" s="220" t="n"/>
      <c r="B693" s="211" t="n"/>
      <c r="C693" s="211" t="n"/>
      <c r="D693" s="211" t="n"/>
      <c r="E693" s="221" t="n"/>
      <c r="F693" s="211" t="n"/>
      <c r="G693" s="211" t="n"/>
      <c r="H693" s="211" t="n"/>
      <c r="I693" s="211" t="n"/>
      <c r="J693" s="211" t="n"/>
      <c r="K693" s="211" t="n"/>
      <c r="L693" s="213" t="n"/>
    </row>
    <row r="694">
      <c r="A694" s="218" t="n"/>
      <c r="B694" s="215" t="n"/>
      <c r="C694" s="215" t="n"/>
      <c r="D694" s="215" t="n"/>
      <c r="E694" s="219" t="n"/>
      <c r="F694" s="215" t="n"/>
      <c r="G694" s="215" t="n"/>
      <c r="H694" s="215" t="n"/>
      <c r="I694" s="215" t="n"/>
      <c r="J694" s="215" t="n"/>
      <c r="K694" s="215" t="n"/>
      <c r="L694" s="217" t="n"/>
    </row>
    <row r="695">
      <c r="A695" s="220" t="n"/>
      <c r="B695" s="211" t="n"/>
      <c r="C695" s="211" t="n"/>
      <c r="D695" s="211" t="n"/>
      <c r="E695" s="221" t="n"/>
      <c r="F695" s="211" t="n"/>
      <c r="G695" s="211" t="n"/>
      <c r="H695" s="211" t="n"/>
      <c r="I695" s="211" t="n"/>
      <c r="J695" s="211" t="n"/>
      <c r="K695" s="211" t="n"/>
      <c r="L695" s="213" t="n"/>
    </row>
    <row r="696">
      <c r="A696" s="218" t="n"/>
      <c r="B696" s="215" t="n"/>
      <c r="C696" s="215" t="n"/>
      <c r="D696" s="215" t="n"/>
      <c r="E696" s="219" t="n"/>
      <c r="F696" s="215" t="n"/>
      <c r="G696" s="215" t="n"/>
      <c r="H696" s="215" t="n"/>
      <c r="I696" s="215" t="n"/>
      <c r="J696" s="215" t="n"/>
      <c r="K696" s="215" t="n"/>
      <c r="L696" s="217" t="n"/>
    </row>
    <row r="697">
      <c r="A697" s="220" t="n"/>
      <c r="B697" s="211" t="n"/>
      <c r="C697" s="211" t="n"/>
      <c r="D697" s="211" t="n"/>
      <c r="E697" s="221" t="n"/>
      <c r="F697" s="211" t="n"/>
      <c r="G697" s="211" t="n"/>
      <c r="H697" s="211" t="n"/>
      <c r="I697" s="211" t="n"/>
      <c r="J697" s="211" t="n"/>
      <c r="K697" s="211" t="n"/>
      <c r="L697" s="213" t="n"/>
    </row>
    <row r="698">
      <c r="A698" s="218" t="n"/>
      <c r="B698" s="215" t="n"/>
      <c r="C698" s="215" t="n"/>
      <c r="D698" s="215" t="n"/>
      <c r="E698" s="219" t="n"/>
      <c r="F698" s="215" t="n"/>
      <c r="G698" s="215" t="n"/>
      <c r="H698" s="215" t="n"/>
      <c r="I698" s="215" t="n"/>
      <c r="J698" s="215" t="n"/>
      <c r="K698" s="215" t="n"/>
      <c r="L698" s="217" t="n"/>
    </row>
    <row r="699">
      <c r="A699" s="220" t="n"/>
      <c r="B699" s="211" t="n"/>
      <c r="C699" s="211" t="n"/>
      <c r="D699" s="211" t="n"/>
      <c r="E699" s="221" t="n"/>
      <c r="F699" s="211" t="n"/>
      <c r="G699" s="211" t="n"/>
      <c r="H699" s="211" t="n"/>
      <c r="I699" s="211" t="n"/>
      <c r="J699" s="211" t="n"/>
      <c r="K699" s="211" t="n"/>
      <c r="L699" s="213" t="n"/>
    </row>
    <row r="700">
      <c r="A700" s="218" t="n"/>
      <c r="B700" s="215" t="n"/>
      <c r="C700" s="215" t="n"/>
      <c r="D700" s="215" t="n"/>
      <c r="E700" s="219" t="n"/>
      <c r="F700" s="215" t="n"/>
      <c r="G700" s="215" t="n"/>
      <c r="H700" s="215" t="n"/>
      <c r="I700" s="215" t="n"/>
      <c r="J700" s="215" t="n"/>
      <c r="K700" s="215" t="n"/>
      <c r="L700" s="217" t="n"/>
    </row>
    <row r="701">
      <c r="A701" s="220" t="n"/>
      <c r="B701" s="211" t="n"/>
      <c r="C701" s="211" t="n"/>
      <c r="D701" s="211" t="n"/>
      <c r="E701" s="221" t="n"/>
      <c r="F701" s="211" t="n"/>
      <c r="G701" s="211" t="n"/>
      <c r="H701" s="211" t="n"/>
      <c r="I701" s="211" t="n"/>
      <c r="J701" s="211" t="n"/>
      <c r="K701" s="211" t="n"/>
      <c r="L701" s="213" t="n"/>
    </row>
    <row r="702">
      <c r="A702" s="218" t="n"/>
      <c r="B702" s="215" t="n"/>
      <c r="C702" s="215" t="n"/>
      <c r="D702" s="215" t="n"/>
      <c r="E702" s="219" t="n"/>
      <c r="F702" s="215" t="n"/>
      <c r="G702" s="215" t="n"/>
      <c r="H702" s="215" t="n"/>
      <c r="I702" s="215" t="n"/>
      <c r="J702" s="215" t="n"/>
      <c r="K702" s="215" t="n"/>
      <c r="L702" s="217" t="n"/>
    </row>
    <row r="703">
      <c r="A703" s="220" t="n"/>
      <c r="B703" s="211" t="n"/>
      <c r="C703" s="211" t="n"/>
      <c r="D703" s="211" t="n"/>
      <c r="E703" s="221" t="n"/>
      <c r="F703" s="211" t="n"/>
      <c r="G703" s="211" t="n"/>
      <c r="H703" s="211" t="n"/>
      <c r="I703" s="211" t="n"/>
      <c r="J703" s="211" t="n"/>
      <c r="K703" s="211" t="n"/>
      <c r="L703" s="213" t="n"/>
    </row>
    <row r="704">
      <c r="A704" s="218" t="n"/>
      <c r="B704" s="215" t="n"/>
      <c r="C704" s="215" t="n"/>
      <c r="D704" s="215" t="n"/>
      <c r="E704" s="219" t="n"/>
      <c r="F704" s="215" t="n"/>
      <c r="G704" s="215" t="n"/>
      <c r="H704" s="215" t="n"/>
      <c r="I704" s="215" t="n"/>
      <c r="J704" s="215" t="n"/>
      <c r="K704" s="215" t="n"/>
      <c r="L704" s="217" t="n"/>
    </row>
    <row r="705">
      <c r="A705" s="220" t="n"/>
      <c r="B705" s="211" t="n"/>
      <c r="C705" s="211" t="n"/>
      <c r="D705" s="211" t="n"/>
      <c r="E705" s="221" t="n"/>
      <c r="F705" s="211" t="n"/>
      <c r="G705" s="211" t="n"/>
      <c r="H705" s="211" t="n"/>
      <c r="I705" s="211" t="n"/>
      <c r="J705" s="211" t="n"/>
      <c r="K705" s="211" t="n"/>
      <c r="L705" s="213" t="n"/>
    </row>
    <row r="706">
      <c r="A706" s="218" t="n"/>
      <c r="B706" s="215" t="n"/>
      <c r="C706" s="215" t="n"/>
      <c r="D706" s="215" t="n"/>
      <c r="E706" s="219" t="n"/>
      <c r="F706" s="215" t="n"/>
      <c r="G706" s="215" t="n"/>
      <c r="H706" s="215" t="n"/>
      <c r="I706" s="215" t="n"/>
      <c r="J706" s="215" t="n"/>
      <c r="K706" s="215" t="n"/>
      <c r="L706" s="217" t="n"/>
    </row>
    <row r="707">
      <c r="A707" s="220" t="n"/>
      <c r="B707" s="211" t="n"/>
      <c r="C707" s="211" t="n"/>
      <c r="D707" s="211" t="n"/>
      <c r="E707" s="221" t="n"/>
      <c r="F707" s="211" t="n"/>
      <c r="G707" s="211" t="n"/>
      <c r="H707" s="211" t="n"/>
      <c r="I707" s="211" t="n"/>
      <c r="J707" s="211" t="n"/>
      <c r="K707" s="211" t="n"/>
      <c r="L707" s="213" t="n"/>
    </row>
    <row r="708">
      <c r="A708" s="218" t="n"/>
      <c r="B708" s="215" t="n"/>
      <c r="C708" s="215" t="n"/>
      <c r="D708" s="215" t="n"/>
      <c r="E708" s="219" t="n"/>
      <c r="F708" s="215" t="n"/>
      <c r="G708" s="215" t="n"/>
      <c r="H708" s="215" t="n"/>
      <c r="I708" s="215" t="n"/>
      <c r="J708" s="215" t="n"/>
      <c r="K708" s="215" t="n"/>
      <c r="L708" s="217" t="n"/>
    </row>
    <row r="709">
      <c r="A709" s="220" t="n"/>
      <c r="B709" s="211" t="n"/>
      <c r="C709" s="211" t="n"/>
      <c r="D709" s="211" t="n"/>
      <c r="E709" s="221" t="n"/>
      <c r="F709" s="211" t="n"/>
      <c r="G709" s="211" t="n"/>
      <c r="H709" s="211" t="n"/>
      <c r="I709" s="211" t="n"/>
      <c r="J709" s="211" t="n"/>
      <c r="K709" s="211" t="n"/>
      <c r="L709" s="213" t="n"/>
    </row>
    <row r="710">
      <c r="A710" s="218" t="n"/>
      <c r="B710" s="215" t="n"/>
      <c r="C710" s="215" t="n"/>
      <c r="D710" s="215" t="n"/>
      <c r="E710" s="219" t="n"/>
      <c r="F710" s="215" t="n"/>
      <c r="G710" s="215" t="n"/>
      <c r="H710" s="215" t="n"/>
      <c r="I710" s="215" t="n"/>
      <c r="J710" s="215" t="n"/>
      <c r="K710" s="215" t="n"/>
      <c r="L710" s="217" t="n"/>
    </row>
    <row r="711">
      <c r="A711" s="220" t="n"/>
      <c r="B711" s="211" t="n"/>
      <c r="C711" s="211" t="n"/>
      <c r="D711" s="211" t="n"/>
      <c r="E711" s="221" t="n"/>
      <c r="F711" s="211" t="n"/>
      <c r="G711" s="211" t="n"/>
      <c r="H711" s="211" t="n"/>
      <c r="I711" s="211" t="n"/>
      <c r="J711" s="211" t="n"/>
      <c r="K711" s="211" t="n"/>
      <c r="L711" s="213" t="n"/>
    </row>
    <row r="712">
      <c r="A712" s="218" t="n"/>
      <c r="B712" s="215" t="n"/>
      <c r="C712" s="215" t="n"/>
      <c r="D712" s="215" t="n"/>
      <c r="E712" s="219" t="n"/>
      <c r="F712" s="215" t="n"/>
      <c r="G712" s="215" t="n"/>
      <c r="H712" s="215" t="n"/>
      <c r="I712" s="215" t="n"/>
      <c r="J712" s="215" t="n"/>
      <c r="K712" s="215" t="n"/>
      <c r="L712" s="217" t="n"/>
    </row>
    <row r="713">
      <c r="A713" s="220" t="n"/>
      <c r="B713" s="211" t="n"/>
      <c r="C713" s="211" t="n"/>
      <c r="D713" s="211" t="n"/>
      <c r="E713" s="221" t="n"/>
      <c r="F713" s="211" t="n"/>
      <c r="G713" s="211" t="n"/>
      <c r="H713" s="211" t="n"/>
      <c r="I713" s="211" t="n"/>
      <c r="J713" s="211" t="n"/>
      <c r="K713" s="211" t="n"/>
      <c r="L713" s="213" t="n"/>
    </row>
    <row r="714">
      <c r="A714" s="218" t="n"/>
      <c r="B714" s="215" t="n"/>
      <c r="C714" s="215" t="n"/>
      <c r="D714" s="215" t="n"/>
      <c r="E714" s="219" t="n"/>
      <c r="F714" s="215" t="n"/>
      <c r="G714" s="215" t="n"/>
      <c r="H714" s="215" t="n"/>
      <c r="I714" s="215" t="n"/>
      <c r="J714" s="215" t="n"/>
      <c r="K714" s="215" t="n"/>
      <c r="L714" s="217" t="n"/>
    </row>
    <row r="715">
      <c r="A715" s="220" t="n"/>
      <c r="B715" s="211" t="n"/>
      <c r="C715" s="211" t="n"/>
      <c r="D715" s="211" t="n"/>
      <c r="E715" s="221" t="n"/>
      <c r="F715" s="211" t="n"/>
      <c r="G715" s="211" t="n"/>
      <c r="H715" s="211" t="n"/>
      <c r="I715" s="211" t="n"/>
      <c r="J715" s="211" t="n"/>
      <c r="K715" s="211" t="n"/>
      <c r="L715" s="213" t="n"/>
    </row>
    <row r="716">
      <c r="A716" s="218" t="n"/>
      <c r="B716" s="215" t="n"/>
      <c r="C716" s="215" t="n"/>
      <c r="D716" s="215" t="n"/>
      <c r="E716" s="219" t="n"/>
      <c r="F716" s="215" t="n"/>
      <c r="G716" s="215" t="n"/>
      <c r="H716" s="215" t="n"/>
      <c r="I716" s="215" t="n"/>
      <c r="J716" s="215" t="n"/>
      <c r="K716" s="215" t="n"/>
      <c r="L716" s="217" t="n"/>
    </row>
    <row r="717">
      <c r="A717" s="220" t="n"/>
      <c r="B717" s="211" t="n"/>
      <c r="C717" s="211" t="n"/>
      <c r="D717" s="211" t="n"/>
      <c r="E717" s="221" t="n"/>
      <c r="F717" s="211" t="n"/>
      <c r="G717" s="211" t="n"/>
      <c r="H717" s="211" t="n"/>
      <c r="I717" s="211" t="n"/>
      <c r="J717" s="211" t="n"/>
      <c r="K717" s="211" t="n"/>
      <c r="L717" s="213" t="n"/>
    </row>
    <row r="718">
      <c r="A718" s="218" t="n"/>
      <c r="B718" s="215" t="n"/>
      <c r="C718" s="215" t="n"/>
      <c r="D718" s="215" t="n"/>
      <c r="E718" s="219" t="n"/>
      <c r="F718" s="215" t="n"/>
      <c r="G718" s="215" t="n"/>
      <c r="H718" s="215" t="n"/>
      <c r="I718" s="215" t="n"/>
      <c r="J718" s="215" t="n"/>
      <c r="K718" s="215" t="n"/>
      <c r="L718" s="217" t="n"/>
    </row>
    <row r="719">
      <c r="A719" s="220" t="n"/>
      <c r="B719" s="211" t="n"/>
      <c r="C719" s="211" t="n"/>
      <c r="D719" s="211" t="n"/>
      <c r="E719" s="221" t="n"/>
      <c r="F719" s="211" t="n"/>
      <c r="G719" s="211" t="n"/>
      <c r="H719" s="211" t="n"/>
      <c r="I719" s="211" t="n"/>
      <c r="J719" s="211" t="n"/>
      <c r="K719" s="211" t="n"/>
      <c r="L719" s="213" t="n"/>
    </row>
    <row r="720">
      <c r="A720" s="218" t="n"/>
      <c r="B720" s="215" t="n"/>
      <c r="C720" s="215" t="n"/>
      <c r="D720" s="215" t="n"/>
      <c r="E720" s="219" t="n"/>
      <c r="F720" s="215" t="n"/>
      <c r="G720" s="215" t="n"/>
      <c r="H720" s="215" t="n"/>
      <c r="I720" s="215" t="n"/>
      <c r="J720" s="215" t="n"/>
      <c r="K720" s="215" t="n"/>
      <c r="L720" s="217" t="n"/>
    </row>
    <row r="721">
      <c r="A721" s="220" t="n"/>
      <c r="B721" s="211" t="n"/>
      <c r="C721" s="211" t="n"/>
      <c r="D721" s="211" t="n"/>
      <c r="E721" s="221" t="n"/>
      <c r="F721" s="211" t="n"/>
      <c r="G721" s="211" t="n"/>
      <c r="H721" s="211" t="n"/>
      <c r="I721" s="211" t="n"/>
      <c r="J721" s="211" t="n"/>
      <c r="K721" s="211" t="n"/>
      <c r="L721" s="213" t="n"/>
    </row>
    <row r="722">
      <c r="A722" s="218" t="n"/>
      <c r="B722" s="215" t="n"/>
      <c r="C722" s="215" t="n"/>
      <c r="D722" s="215" t="n"/>
      <c r="E722" s="219" t="n"/>
      <c r="F722" s="215" t="n"/>
      <c r="G722" s="215" t="n"/>
      <c r="H722" s="215" t="n"/>
      <c r="I722" s="215" t="n"/>
      <c r="J722" s="215" t="n"/>
      <c r="K722" s="215" t="n"/>
      <c r="L722" s="217" t="n"/>
    </row>
    <row r="723">
      <c r="A723" s="220" t="n"/>
      <c r="B723" s="211" t="n"/>
      <c r="C723" s="211" t="n"/>
      <c r="D723" s="211" t="n"/>
      <c r="E723" s="221" t="n"/>
      <c r="F723" s="211" t="n"/>
      <c r="G723" s="211" t="n"/>
      <c r="H723" s="211" t="n"/>
      <c r="I723" s="211" t="n"/>
      <c r="J723" s="211" t="n"/>
      <c r="K723" s="211" t="n"/>
      <c r="L723" s="213" t="n"/>
    </row>
    <row r="724">
      <c r="A724" s="218" t="n"/>
      <c r="B724" s="215" t="n"/>
      <c r="C724" s="215" t="n"/>
      <c r="D724" s="215" t="n"/>
      <c r="E724" s="219" t="n"/>
      <c r="F724" s="215" t="n"/>
      <c r="G724" s="215" t="n"/>
      <c r="H724" s="215" t="n"/>
      <c r="I724" s="215" t="n"/>
      <c r="J724" s="215" t="n"/>
      <c r="K724" s="215" t="n"/>
      <c r="L724" s="217" t="n"/>
    </row>
    <row r="725">
      <c r="A725" s="220" t="n"/>
      <c r="B725" s="211" t="n"/>
      <c r="C725" s="211" t="n"/>
      <c r="D725" s="211" t="n"/>
      <c r="E725" s="221" t="n"/>
      <c r="F725" s="211" t="n"/>
      <c r="G725" s="211" t="n"/>
      <c r="H725" s="211" t="n"/>
      <c r="I725" s="211" t="n"/>
      <c r="J725" s="211" t="n"/>
      <c r="K725" s="211" t="n"/>
      <c r="L725" s="213" t="n"/>
    </row>
    <row r="726">
      <c r="A726" s="218" t="n"/>
      <c r="B726" s="215" t="n"/>
      <c r="C726" s="215" t="n"/>
      <c r="D726" s="215" t="n"/>
      <c r="E726" s="219" t="n"/>
      <c r="F726" s="215" t="n"/>
      <c r="G726" s="215" t="n"/>
      <c r="H726" s="215" t="n"/>
      <c r="I726" s="215" t="n"/>
      <c r="J726" s="215" t="n"/>
      <c r="K726" s="215" t="n"/>
      <c r="L726" s="217" t="n"/>
    </row>
    <row r="727">
      <c r="A727" s="220" t="n"/>
      <c r="B727" s="211" t="n"/>
      <c r="C727" s="211" t="n"/>
      <c r="D727" s="211" t="n"/>
      <c r="E727" s="221" t="n"/>
      <c r="F727" s="211" t="n"/>
      <c r="G727" s="211" t="n"/>
      <c r="H727" s="211" t="n"/>
      <c r="I727" s="211" t="n"/>
      <c r="J727" s="211" t="n"/>
      <c r="K727" s="211" t="n"/>
      <c r="L727" s="213" t="n"/>
    </row>
    <row r="728">
      <c r="A728" s="218" t="n"/>
      <c r="B728" s="215" t="n"/>
      <c r="C728" s="215" t="n"/>
      <c r="D728" s="215" t="n"/>
      <c r="E728" s="219" t="n"/>
      <c r="F728" s="215" t="n"/>
      <c r="G728" s="215" t="n"/>
      <c r="H728" s="215" t="n"/>
      <c r="I728" s="215" t="n"/>
      <c r="J728" s="215" t="n"/>
      <c r="K728" s="215" t="n"/>
      <c r="L728" s="217" t="n"/>
    </row>
    <row r="729">
      <c r="A729" s="220" t="n"/>
      <c r="B729" s="211" t="n"/>
      <c r="C729" s="211" t="n"/>
      <c r="D729" s="211" t="n"/>
      <c r="E729" s="221" t="n"/>
      <c r="F729" s="211" t="n"/>
      <c r="G729" s="211" t="n"/>
      <c r="H729" s="211" t="n"/>
      <c r="I729" s="211" t="n"/>
      <c r="J729" s="211" t="n"/>
      <c r="K729" s="211" t="n"/>
      <c r="L729" s="213" t="n"/>
    </row>
    <row r="730">
      <c r="A730" s="218" t="n"/>
      <c r="B730" s="215" t="n"/>
      <c r="C730" s="215" t="n"/>
      <c r="D730" s="215" t="n"/>
      <c r="E730" s="219" t="n"/>
      <c r="F730" s="215" t="n"/>
      <c r="G730" s="215" t="n"/>
      <c r="H730" s="215" t="n"/>
      <c r="I730" s="215" t="n"/>
      <c r="J730" s="215" t="n"/>
      <c r="K730" s="215" t="n"/>
      <c r="L730" s="217" t="n"/>
    </row>
    <row r="731">
      <c r="A731" s="220" t="n"/>
      <c r="B731" s="211" t="n"/>
      <c r="C731" s="211" t="n"/>
      <c r="D731" s="211" t="n"/>
      <c r="E731" s="221" t="n"/>
      <c r="F731" s="211" t="n"/>
      <c r="G731" s="211" t="n"/>
      <c r="H731" s="211" t="n"/>
      <c r="I731" s="211" t="n"/>
      <c r="J731" s="211" t="n"/>
      <c r="K731" s="211" t="n"/>
      <c r="L731" s="213" t="n"/>
    </row>
    <row r="732">
      <c r="A732" s="218" t="n"/>
      <c r="B732" s="215" t="n"/>
      <c r="C732" s="215" t="n"/>
      <c r="D732" s="215" t="n"/>
      <c r="E732" s="219" t="n"/>
      <c r="F732" s="215" t="n"/>
      <c r="G732" s="215" t="n"/>
      <c r="H732" s="215" t="n"/>
      <c r="I732" s="215" t="n"/>
      <c r="J732" s="215" t="n"/>
      <c r="K732" s="215" t="n"/>
      <c r="L732" s="217" t="n"/>
    </row>
    <row r="733">
      <c r="A733" s="220" t="n"/>
      <c r="B733" s="211" t="n"/>
      <c r="C733" s="211" t="n"/>
      <c r="D733" s="211" t="n"/>
      <c r="E733" s="221" t="n"/>
      <c r="F733" s="211" t="n"/>
      <c r="G733" s="211" t="n"/>
      <c r="H733" s="211" t="n"/>
      <c r="I733" s="211" t="n"/>
      <c r="J733" s="211" t="n"/>
      <c r="K733" s="211" t="n"/>
      <c r="L733" s="213" t="n"/>
    </row>
    <row r="734">
      <c r="A734" s="218" t="n"/>
      <c r="B734" s="215" t="n"/>
      <c r="C734" s="215" t="n"/>
      <c r="D734" s="215" t="n"/>
      <c r="E734" s="219" t="n"/>
      <c r="F734" s="215" t="n"/>
      <c r="G734" s="215" t="n"/>
      <c r="H734" s="215" t="n"/>
      <c r="I734" s="215" t="n"/>
      <c r="J734" s="215" t="n"/>
      <c r="K734" s="215" t="n"/>
      <c r="L734" s="217" t="n"/>
    </row>
    <row r="735">
      <c r="A735" s="220" t="n"/>
      <c r="B735" s="211" t="n"/>
      <c r="C735" s="211" t="n"/>
      <c r="D735" s="211" t="n"/>
      <c r="E735" s="221" t="n"/>
      <c r="F735" s="211" t="n"/>
      <c r="G735" s="211" t="n"/>
      <c r="H735" s="211" t="n"/>
      <c r="I735" s="211" t="n"/>
      <c r="J735" s="211" t="n"/>
      <c r="K735" s="211" t="n"/>
      <c r="L735" s="213" t="n"/>
    </row>
    <row r="736">
      <c r="A736" s="218" t="n"/>
      <c r="B736" s="215" t="n"/>
      <c r="C736" s="215" t="n"/>
      <c r="D736" s="215" t="n"/>
      <c r="E736" s="219" t="n"/>
      <c r="F736" s="215" t="n"/>
      <c r="G736" s="215" t="n"/>
      <c r="H736" s="215" t="n"/>
      <c r="I736" s="215" t="n"/>
      <c r="J736" s="215" t="n"/>
      <c r="K736" s="215" t="n"/>
      <c r="L736" s="217" t="n"/>
    </row>
    <row r="737">
      <c r="A737" s="220" t="n"/>
      <c r="B737" s="211" t="n"/>
      <c r="C737" s="211" t="n"/>
      <c r="D737" s="211" t="n"/>
      <c r="E737" s="221" t="n"/>
      <c r="F737" s="211" t="n"/>
      <c r="G737" s="211" t="n"/>
      <c r="H737" s="211" t="n"/>
      <c r="I737" s="211" t="n"/>
      <c r="J737" s="211" t="n"/>
      <c r="K737" s="211" t="n"/>
      <c r="L737" s="213" t="n"/>
    </row>
    <row r="738">
      <c r="A738" s="218" t="n"/>
      <c r="B738" s="215" t="n"/>
      <c r="C738" s="215" t="n"/>
      <c r="D738" s="215" t="n"/>
      <c r="E738" s="219" t="n"/>
      <c r="F738" s="215" t="n"/>
      <c r="G738" s="215" t="n"/>
      <c r="H738" s="215" t="n"/>
      <c r="I738" s="215" t="n"/>
      <c r="J738" s="215" t="n"/>
      <c r="K738" s="215" t="n"/>
      <c r="L738" s="217" t="n"/>
    </row>
    <row r="739">
      <c r="A739" s="220" t="n"/>
      <c r="B739" s="211" t="n"/>
      <c r="C739" s="211" t="n"/>
      <c r="D739" s="211" t="n"/>
      <c r="E739" s="221" t="n"/>
      <c r="F739" s="211" t="n"/>
      <c r="G739" s="211" t="n"/>
      <c r="H739" s="211" t="n"/>
      <c r="I739" s="211" t="n"/>
      <c r="J739" s="211" t="n"/>
      <c r="K739" s="211" t="n"/>
      <c r="L739" s="213" t="n"/>
    </row>
    <row r="740">
      <c r="A740" s="218" t="n"/>
      <c r="B740" s="215" t="n"/>
      <c r="C740" s="215" t="n"/>
      <c r="D740" s="215" t="n"/>
      <c r="E740" s="219" t="n"/>
      <c r="F740" s="215" t="n"/>
      <c r="G740" s="215" t="n"/>
      <c r="H740" s="215" t="n"/>
      <c r="I740" s="215" t="n"/>
      <c r="J740" s="215" t="n"/>
      <c r="K740" s="215" t="n"/>
      <c r="L740" s="217" t="n"/>
    </row>
    <row r="741">
      <c r="A741" s="220" t="n"/>
      <c r="B741" s="211" t="n"/>
      <c r="C741" s="211" t="n"/>
      <c r="D741" s="211" t="n"/>
      <c r="E741" s="221" t="n"/>
      <c r="F741" s="211" t="n"/>
      <c r="G741" s="211" t="n"/>
      <c r="H741" s="211" t="n"/>
      <c r="I741" s="211" t="n"/>
      <c r="J741" s="211" t="n"/>
      <c r="K741" s="211" t="n"/>
      <c r="L741" s="213" t="n"/>
    </row>
    <row r="742">
      <c r="A742" s="218" t="n"/>
      <c r="B742" s="215" t="n"/>
      <c r="C742" s="215" t="n"/>
      <c r="D742" s="215" t="n"/>
      <c r="E742" s="219" t="n"/>
      <c r="F742" s="215" t="n"/>
      <c r="G742" s="215" t="n"/>
      <c r="H742" s="215" t="n"/>
      <c r="I742" s="215" t="n"/>
      <c r="J742" s="215" t="n"/>
      <c r="K742" s="215" t="n"/>
      <c r="L742" s="217" t="n"/>
    </row>
    <row r="743">
      <c r="A743" s="220" t="n"/>
      <c r="B743" s="211" t="n"/>
      <c r="C743" s="211" t="n"/>
      <c r="D743" s="211" t="n"/>
      <c r="E743" s="221" t="n"/>
      <c r="F743" s="211" t="n"/>
      <c r="G743" s="211" t="n"/>
      <c r="H743" s="211" t="n"/>
      <c r="I743" s="211" t="n"/>
      <c r="J743" s="211" t="n"/>
      <c r="K743" s="211" t="n"/>
      <c r="L743" s="213" t="n"/>
    </row>
    <row r="744">
      <c r="A744" s="218" t="n"/>
      <c r="B744" s="215" t="n"/>
      <c r="C744" s="215" t="n"/>
      <c r="D744" s="215" t="n"/>
      <c r="E744" s="219" t="n"/>
      <c r="F744" s="215" t="n"/>
      <c r="G744" s="215" t="n"/>
      <c r="H744" s="215" t="n"/>
      <c r="I744" s="215" t="n"/>
      <c r="J744" s="215" t="n"/>
      <c r="K744" s="215" t="n"/>
      <c r="L744" s="217" t="n"/>
    </row>
    <row r="745">
      <c r="A745" s="220" t="n"/>
      <c r="B745" s="211" t="n"/>
      <c r="C745" s="211" t="n"/>
      <c r="D745" s="211" t="n"/>
      <c r="E745" s="221" t="n"/>
      <c r="F745" s="211" t="n"/>
      <c r="G745" s="211" t="n"/>
      <c r="H745" s="211" t="n"/>
      <c r="I745" s="211" t="n"/>
      <c r="J745" s="211" t="n"/>
      <c r="K745" s="211" t="n"/>
      <c r="L745" s="213" t="n"/>
    </row>
    <row r="746">
      <c r="A746" s="218" t="n"/>
      <c r="B746" s="215" t="n"/>
      <c r="C746" s="215" t="n"/>
      <c r="D746" s="215" t="n"/>
      <c r="E746" s="219" t="n"/>
      <c r="F746" s="215" t="n"/>
      <c r="G746" s="215" t="n"/>
      <c r="H746" s="215" t="n"/>
      <c r="I746" s="215" t="n"/>
      <c r="J746" s="215" t="n"/>
      <c r="K746" s="215" t="n"/>
      <c r="L746" s="217" t="n"/>
    </row>
    <row r="747">
      <c r="A747" s="220" t="n"/>
      <c r="B747" s="211" t="n"/>
      <c r="C747" s="211" t="n"/>
      <c r="D747" s="211" t="n"/>
      <c r="E747" s="221" t="n"/>
      <c r="F747" s="211" t="n"/>
      <c r="G747" s="211" t="n"/>
      <c r="H747" s="211" t="n"/>
      <c r="I747" s="211" t="n"/>
      <c r="J747" s="211" t="n"/>
      <c r="K747" s="211" t="n"/>
      <c r="L747" s="213" t="n"/>
    </row>
    <row r="748">
      <c r="A748" s="218" t="n"/>
      <c r="B748" s="215" t="n"/>
      <c r="C748" s="215" t="n"/>
      <c r="D748" s="215" t="n"/>
      <c r="E748" s="219" t="n"/>
      <c r="F748" s="215" t="n"/>
      <c r="G748" s="215" t="n"/>
      <c r="H748" s="215" t="n"/>
      <c r="I748" s="215" t="n"/>
      <c r="J748" s="215" t="n"/>
      <c r="K748" s="215" t="n"/>
      <c r="L748" s="217" t="n"/>
    </row>
    <row r="749">
      <c r="A749" s="220" t="n"/>
      <c r="B749" s="211" t="n"/>
      <c r="C749" s="211" t="n"/>
      <c r="D749" s="211" t="n"/>
      <c r="E749" s="221" t="n"/>
      <c r="F749" s="211" t="n"/>
      <c r="G749" s="211" t="n"/>
      <c r="H749" s="211" t="n"/>
      <c r="I749" s="211" t="n"/>
      <c r="J749" s="211" t="n"/>
      <c r="K749" s="211" t="n"/>
      <c r="L749" s="213" t="n"/>
    </row>
    <row r="750">
      <c r="A750" s="218" t="n"/>
      <c r="B750" s="215" t="n"/>
      <c r="C750" s="215" t="n"/>
      <c r="D750" s="215" t="n"/>
      <c r="E750" s="219" t="n"/>
      <c r="F750" s="215" t="n"/>
      <c r="G750" s="215" t="n"/>
      <c r="H750" s="215" t="n"/>
      <c r="I750" s="215" t="n"/>
      <c r="J750" s="215" t="n"/>
      <c r="K750" s="215" t="n"/>
      <c r="L750" s="217" t="n"/>
    </row>
    <row r="751">
      <c r="A751" s="220" t="n"/>
      <c r="B751" s="211" t="n"/>
      <c r="C751" s="211" t="n"/>
      <c r="D751" s="211" t="n"/>
      <c r="E751" s="221" t="n"/>
      <c r="F751" s="211" t="n"/>
      <c r="G751" s="211" t="n"/>
      <c r="H751" s="211" t="n"/>
      <c r="I751" s="211" t="n"/>
      <c r="J751" s="211" t="n"/>
      <c r="K751" s="211" t="n"/>
      <c r="L751" s="213" t="n"/>
    </row>
    <row r="752">
      <c r="A752" s="218" t="n"/>
      <c r="B752" s="215" t="n"/>
      <c r="C752" s="215" t="n"/>
      <c r="D752" s="215" t="n"/>
      <c r="E752" s="219" t="n"/>
      <c r="F752" s="215" t="n"/>
      <c r="G752" s="215" t="n"/>
      <c r="H752" s="215" t="n"/>
      <c r="I752" s="215" t="n"/>
      <c r="J752" s="215" t="n"/>
      <c r="K752" s="215" t="n"/>
      <c r="L752" s="217" t="n"/>
    </row>
    <row r="753">
      <c r="A753" s="220" t="n"/>
      <c r="B753" s="211" t="n"/>
      <c r="C753" s="211" t="n"/>
      <c r="D753" s="211" t="n"/>
      <c r="E753" s="221" t="n"/>
      <c r="F753" s="211" t="n"/>
      <c r="G753" s="211" t="n"/>
      <c r="H753" s="211" t="n"/>
      <c r="I753" s="211" t="n"/>
      <c r="J753" s="211" t="n"/>
      <c r="K753" s="211" t="n"/>
      <c r="L753" s="213" t="n"/>
    </row>
    <row r="754">
      <c r="A754" s="218" t="n"/>
      <c r="B754" s="215" t="n"/>
      <c r="C754" s="215" t="n"/>
      <c r="D754" s="215" t="n"/>
      <c r="E754" s="219" t="n"/>
      <c r="F754" s="215" t="n"/>
      <c r="G754" s="215" t="n"/>
      <c r="H754" s="215" t="n"/>
      <c r="I754" s="215" t="n"/>
      <c r="J754" s="215" t="n"/>
      <c r="K754" s="215" t="n"/>
      <c r="L754" s="217" t="n"/>
    </row>
    <row r="755">
      <c r="A755" s="220" t="n"/>
      <c r="B755" s="211" t="n"/>
      <c r="C755" s="211" t="n"/>
      <c r="D755" s="211" t="n"/>
      <c r="E755" s="221" t="n"/>
      <c r="F755" s="211" t="n"/>
      <c r="G755" s="211" t="n"/>
      <c r="H755" s="211" t="n"/>
      <c r="I755" s="211" t="n"/>
      <c r="J755" s="211" t="n"/>
      <c r="K755" s="211" t="n"/>
      <c r="L755" s="213" t="n"/>
    </row>
    <row r="756">
      <c r="A756" s="218" t="n"/>
      <c r="B756" s="215" t="n"/>
      <c r="C756" s="215" t="n"/>
      <c r="D756" s="215" t="n"/>
      <c r="E756" s="219" t="n"/>
      <c r="F756" s="215" t="n"/>
      <c r="G756" s="215" t="n"/>
      <c r="H756" s="215" t="n"/>
      <c r="I756" s="215" t="n"/>
      <c r="J756" s="215" t="n"/>
      <c r="K756" s="215" t="n"/>
      <c r="L756" s="217" t="n"/>
    </row>
    <row r="757">
      <c r="A757" s="220" t="n"/>
      <c r="B757" s="211" t="n"/>
      <c r="C757" s="211" t="n"/>
      <c r="D757" s="211" t="n"/>
      <c r="E757" s="221" t="n"/>
      <c r="F757" s="211" t="n"/>
      <c r="G757" s="211" t="n"/>
      <c r="H757" s="211" t="n"/>
      <c r="I757" s="211" t="n"/>
      <c r="J757" s="211" t="n"/>
      <c r="K757" s="211" t="n"/>
      <c r="L757" s="213" t="n"/>
    </row>
    <row r="758">
      <c r="A758" s="218" t="n"/>
      <c r="B758" s="215" t="n"/>
      <c r="C758" s="215" t="n"/>
      <c r="D758" s="215" t="n"/>
      <c r="E758" s="219" t="n"/>
      <c r="F758" s="215" t="n"/>
      <c r="G758" s="215" t="n"/>
      <c r="H758" s="215" t="n"/>
      <c r="I758" s="215" t="n"/>
      <c r="J758" s="215" t="n"/>
      <c r="K758" s="215" t="n"/>
      <c r="L758" s="217" t="n"/>
    </row>
    <row r="759">
      <c r="A759" s="220" t="n"/>
      <c r="B759" s="211" t="n"/>
      <c r="C759" s="211" t="n"/>
      <c r="D759" s="211" t="n"/>
      <c r="E759" s="221" t="n"/>
      <c r="F759" s="211" t="n"/>
      <c r="G759" s="211" t="n"/>
      <c r="H759" s="211" t="n"/>
      <c r="I759" s="211" t="n"/>
      <c r="J759" s="211" t="n"/>
      <c r="K759" s="211" t="n"/>
      <c r="L759" s="213" t="n"/>
    </row>
    <row r="760">
      <c r="A760" s="218" t="n"/>
      <c r="B760" s="215" t="n"/>
      <c r="C760" s="215" t="n"/>
      <c r="D760" s="215" t="n"/>
      <c r="E760" s="219" t="n"/>
      <c r="F760" s="215" t="n"/>
      <c r="G760" s="215" t="n"/>
      <c r="H760" s="215" t="n"/>
      <c r="I760" s="215" t="n"/>
      <c r="J760" s="215" t="n"/>
      <c r="K760" s="215" t="n"/>
      <c r="L760" s="217" t="n"/>
    </row>
    <row r="761">
      <c r="A761" s="220" t="n"/>
      <c r="B761" s="211" t="n"/>
      <c r="C761" s="211" t="n"/>
      <c r="D761" s="211" t="n"/>
      <c r="E761" s="221" t="n"/>
      <c r="F761" s="211" t="n"/>
      <c r="G761" s="211" t="n"/>
      <c r="H761" s="211" t="n"/>
      <c r="I761" s="211" t="n"/>
      <c r="J761" s="211" t="n"/>
      <c r="K761" s="211" t="n"/>
      <c r="L761" s="213" t="n"/>
    </row>
    <row r="762">
      <c r="A762" s="218" t="n"/>
      <c r="B762" s="215" t="n"/>
      <c r="C762" s="215" t="n"/>
      <c r="D762" s="215" t="n"/>
      <c r="E762" s="219" t="n"/>
      <c r="F762" s="215" t="n"/>
      <c r="G762" s="215" t="n"/>
      <c r="H762" s="215" t="n"/>
      <c r="I762" s="215" t="n"/>
      <c r="J762" s="215" t="n"/>
      <c r="K762" s="215" t="n"/>
      <c r="L762" s="217" t="n"/>
    </row>
    <row r="763">
      <c r="A763" s="220" t="n"/>
      <c r="B763" s="211" t="n"/>
      <c r="C763" s="211" t="n"/>
      <c r="D763" s="211" t="n"/>
      <c r="E763" s="221" t="n"/>
      <c r="F763" s="211" t="n"/>
      <c r="G763" s="211" t="n"/>
      <c r="H763" s="211" t="n"/>
      <c r="I763" s="211" t="n"/>
      <c r="J763" s="211" t="n"/>
      <c r="K763" s="211" t="n"/>
      <c r="L763" s="213" t="n"/>
    </row>
    <row r="764">
      <c r="A764" s="218" t="n"/>
      <c r="B764" s="215" t="n"/>
      <c r="C764" s="215" t="n"/>
      <c r="D764" s="215" t="n"/>
      <c r="E764" s="219" t="n"/>
      <c r="F764" s="215" t="n"/>
      <c r="G764" s="215" t="n"/>
      <c r="H764" s="215" t="n"/>
      <c r="I764" s="215" t="n"/>
      <c r="J764" s="215" t="n"/>
      <c r="K764" s="215" t="n"/>
      <c r="L764" s="217" t="n"/>
    </row>
    <row r="765">
      <c r="A765" s="220" t="n"/>
      <c r="B765" s="211" t="n"/>
      <c r="C765" s="211" t="n"/>
      <c r="D765" s="211" t="n"/>
      <c r="E765" s="221" t="n"/>
      <c r="F765" s="211" t="n"/>
      <c r="G765" s="211" t="n"/>
      <c r="H765" s="211" t="n"/>
      <c r="I765" s="211" t="n"/>
      <c r="J765" s="211" t="n"/>
      <c r="K765" s="211" t="n"/>
      <c r="L765" s="213" t="n"/>
    </row>
    <row r="766">
      <c r="A766" s="218" t="n"/>
      <c r="B766" s="215" t="n"/>
      <c r="C766" s="215" t="n"/>
      <c r="D766" s="215" t="n"/>
      <c r="E766" s="219" t="n"/>
      <c r="F766" s="215" t="n"/>
      <c r="G766" s="215" t="n"/>
      <c r="H766" s="215" t="n"/>
      <c r="I766" s="215" t="n"/>
      <c r="J766" s="215" t="n"/>
      <c r="K766" s="215" t="n"/>
      <c r="L766" s="217" t="n"/>
    </row>
    <row r="767">
      <c r="A767" s="220" t="n"/>
      <c r="B767" s="211" t="n"/>
      <c r="C767" s="211" t="n"/>
      <c r="D767" s="211" t="n"/>
      <c r="E767" s="221" t="n"/>
      <c r="F767" s="211" t="n"/>
      <c r="G767" s="211" t="n"/>
      <c r="H767" s="211" t="n"/>
      <c r="I767" s="211" t="n"/>
      <c r="J767" s="211" t="n"/>
      <c r="K767" s="211" t="n"/>
      <c r="L767" s="213" t="n"/>
    </row>
    <row r="768">
      <c r="A768" s="218" t="n"/>
      <c r="B768" s="215" t="n"/>
      <c r="C768" s="215" t="n"/>
      <c r="D768" s="215" t="n"/>
      <c r="E768" s="219" t="n"/>
      <c r="F768" s="215" t="n"/>
      <c r="G768" s="215" t="n"/>
      <c r="H768" s="215" t="n"/>
      <c r="I768" s="215" t="n"/>
      <c r="J768" s="215" t="n"/>
      <c r="K768" s="215" t="n"/>
      <c r="L768" s="217" t="n"/>
    </row>
    <row r="769">
      <c r="A769" s="220" t="n"/>
      <c r="B769" s="211" t="n"/>
      <c r="C769" s="211" t="n"/>
      <c r="D769" s="211" t="n"/>
      <c r="E769" s="221" t="n"/>
      <c r="F769" s="211" t="n"/>
      <c r="G769" s="211" t="n"/>
      <c r="H769" s="211" t="n"/>
      <c r="I769" s="211" t="n"/>
      <c r="J769" s="211" t="n"/>
      <c r="K769" s="211" t="n"/>
      <c r="L769" s="213" t="n"/>
    </row>
    <row r="770">
      <c r="A770" s="218" t="n"/>
      <c r="B770" s="215" t="n"/>
      <c r="C770" s="215" t="n"/>
      <c r="D770" s="215" t="n"/>
      <c r="E770" s="219" t="n"/>
      <c r="F770" s="215" t="n"/>
      <c r="G770" s="215" t="n"/>
      <c r="H770" s="215" t="n"/>
      <c r="I770" s="215" t="n"/>
      <c r="J770" s="215" t="n"/>
      <c r="K770" s="215" t="n"/>
      <c r="L770" s="217" t="n"/>
    </row>
    <row r="771">
      <c r="A771" s="220" t="n"/>
      <c r="B771" s="211" t="n"/>
      <c r="C771" s="211" t="n"/>
      <c r="D771" s="211" t="n"/>
      <c r="E771" s="221" t="n"/>
      <c r="F771" s="211" t="n"/>
      <c r="G771" s="211" t="n"/>
      <c r="H771" s="211" t="n"/>
      <c r="I771" s="211" t="n"/>
      <c r="J771" s="211" t="n"/>
      <c r="K771" s="211" t="n"/>
      <c r="L771" s="213" t="n"/>
    </row>
    <row r="772">
      <c r="A772" s="218" t="n"/>
      <c r="B772" s="215" t="n"/>
      <c r="C772" s="215" t="n"/>
      <c r="D772" s="215" t="n"/>
      <c r="E772" s="219" t="n"/>
      <c r="F772" s="215" t="n"/>
      <c r="G772" s="215" t="n"/>
      <c r="H772" s="215" t="n"/>
      <c r="I772" s="215" t="n"/>
      <c r="J772" s="215" t="n"/>
      <c r="K772" s="215" t="n"/>
      <c r="L772" s="217" t="n"/>
    </row>
    <row r="773">
      <c r="A773" s="220" t="n"/>
      <c r="B773" s="211" t="n"/>
      <c r="C773" s="211" t="n"/>
      <c r="D773" s="211" t="n"/>
      <c r="E773" s="221" t="n"/>
      <c r="F773" s="211" t="n"/>
      <c r="G773" s="211" t="n"/>
      <c r="H773" s="211" t="n"/>
      <c r="I773" s="211" t="n"/>
      <c r="J773" s="211" t="n"/>
      <c r="K773" s="211" t="n"/>
      <c r="L773" s="213" t="n"/>
    </row>
    <row r="774">
      <c r="A774" s="218" t="n"/>
      <c r="B774" s="215" t="n"/>
      <c r="C774" s="215" t="n"/>
      <c r="D774" s="215" t="n"/>
      <c r="E774" s="219" t="n"/>
      <c r="F774" s="215" t="n"/>
      <c r="G774" s="215" t="n"/>
      <c r="H774" s="215" t="n"/>
      <c r="I774" s="215" t="n"/>
      <c r="J774" s="215" t="n"/>
      <c r="K774" s="215" t="n"/>
      <c r="L774" s="217" t="n"/>
    </row>
    <row r="775">
      <c r="A775" s="220" t="n"/>
      <c r="B775" s="211" t="n"/>
      <c r="C775" s="211" t="n"/>
      <c r="D775" s="211" t="n"/>
      <c r="E775" s="221" t="n"/>
      <c r="F775" s="211" t="n"/>
      <c r="G775" s="211" t="n"/>
      <c r="H775" s="211" t="n"/>
      <c r="I775" s="211" t="n"/>
      <c r="J775" s="211" t="n"/>
      <c r="K775" s="211" t="n"/>
      <c r="L775" s="213" t="n"/>
    </row>
    <row r="776">
      <c r="A776" s="218" t="n"/>
      <c r="B776" s="215" t="n"/>
      <c r="C776" s="215" t="n"/>
      <c r="D776" s="215" t="n"/>
      <c r="E776" s="219" t="n"/>
      <c r="F776" s="215" t="n"/>
      <c r="G776" s="215" t="n"/>
      <c r="H776" s="215" t="n"/>
      <c r="I776" s="215" t="n"/>
      <c r="J776" s="215" t="n"/>
      <c r="K776" s="215" t="n"/>
      <c r="L776" s="217" t="n"/>
    </row>
    <row r="777">
      <c r="A777" s="220" t="n"/>
      <c r="B777" s="211" t="n"/>
      <c r="C777" s="211" t="n"/>
      <c r="D777" s="211" t="n"/>
      <c r="E777" s="221" t="n"/>
      <c r="F777" s="211" t="n"/>
      <c r="G777" s="211" t="n"/>
      <c r="H777" s="211" t="n"/>
      <c r="I777" s="211" t="n"/>
      <c r="J777" s="211" t="n"/>
      <c r="K777" s="211" t="n"/>
      <c r="L777" s="213" t="n"/>
    </row>
    <row r="778">
      <c r="A778" s="218" t="n"/>
      <c r="B778" s="215" t="n"/>
      <c r="C778" s="215" t="n"/>
      <c r="D778" s="215" t="n"/>
      <c r="E778" s="219" t="n"/>
      <c r="F778" s="215" t="n"/>
      <c r="G778" s="215" t="n"/>
      <c r="H778" s="215" t="n"/>
      <c r="I778" s="215" t="n"/>
      <c r="J778" s="215" t="n"/>
      <c r="K778" s="215" t="n"/>
      <c r="L778" s="217" t="n"/>
    </row>
    <row r="779">
      <c r="A779" s="220" t="n"/>
      <c r="B779" s="211" t="n"/>
      <c r="C779" s="211" t="n"/>
      <c r="D779" s="211" t="n"/>
      <c r="E779" s="221" t="n"/>
      <c r="F779" s="211" t="n"/>
      <c r="G779" s="211" t="n"/>
      <c r="H779" s="211" t="n"/>
      <c r="I779" s="211" t="n"/>
      <c r="J779" s="211" t="n"/>
      <c r="K779" s="211" t="n"/>
      <c r="L779" s="213" t="n"/>
    </row>
    <row r="780">
      <c r="A780" s="218" t="n"/>
      <c r="B780" s="215" t="n"/>
      <c r="C780" s="215" t="n"/>
      <c r="D780" s="215" t="n"/>
      <c r="E780" s="219" t="n"/>
      <c r="F780" s="215" t="n"/>
      <c r="G780" s="215" t="n"/>
      <c r="H780" s="215" t="n"/>
      <c r="I780" s="215" t="n"/>
      <c r="J780" s="215" t="n"/>
      <c r="K780" s="215" t="n"/>
      <c r="L780" s="217" t="n"/>
    </row>
    <row r="781">
      <c r="A781" s="220" t="n"/>
      <c r="B781" s="211" t="n"/>
      <c r="C781" s="211" t="n"/>
      <c r="D781" s="211" t="n"/>
      <c r="E781" s="221" t="n"/>
      <c r="F781" s="211" t="n"/>
      <c r="G781" s="211" t="n"/>
      <c r="H781" s="211" t="n"/>
      <c r="I781" s="211" t="n"/>
      <c r="J781" s="211" t="n"/>
      <c r="K781" s="211" t="n"/>
      <c r="L781" s="213" t="n"/>
    </row>
    <row r="782">
      <c r="A782" s="218" t="n"/>
      <c r="B782" s="215" t="n"/>
      <c r="C782" s="215" t="n"/>
      <c r="D782" s="215" t="n"/>
      <c r="E782" s="219" t="n"/>
      <c r="F782" s="215" t="n"/>
      <c r="G782" s="215" t="n"/>
      <c r="H782" s="215" t="n"/>
      <c r="I782" s="215" t="n"/>
      <c r="J782" s="215" t="n"/>
      <c r="K782" s="215" t="n"/>
      <c r="L782" s="217" t="n"/>
    </row>
    <row r="783">
      <c r="A783" s="220" t="n"/>
      <c r="B783" s="211" t="n"/>
      <c r="C783" s="211" t="n"/>
      <c r="D783" s="211" t="n"/>
      <c r="E783" s="221" t="n"/>
      <c r="F783" s="211" t="n"/>
      <c r="G783" s="211" t="n"/>
      <c r="H783" s="211" t="n"/>
      <c r="I783" s="211" t="n"/>
      <c r="J783" s="211" t="n"/>
      <c r="K783" s="211" t="n"/>
      <c r="L783" s="213" t="n"/>
    </row>
    <row r="784">
      <c r="A784" s="218" t="n"/>
      <c r="B784" s="215" t="n"/>
      <c r="C784" s="215" t="n"/>
      <c r="D784" s="215" t="n"/>
      <c r="E784" s="219" t="n"/>
      <c r="F784" s="215" t="n"/>
      <c r="G784" s="215" t="n"/>
      <c r="H784" s="215" t="n"/>
      <c r="I784" s="215" t="n"/>
      <c r="J784" s="215" t="n"/>
      <c r="K784" s="215" t="n"/>
      <c r="L784" s="217" t="n"/>
    </row>
    <row r="785">
      <c r="A785" s="220" t="n"/>
      <c r="B785" s="211" t="n"/>
      <c r="C785" s="211" t="n"/>
      <c r="D785" s="211" t="n"/>
      <c r="E785" s="221" t="n"/>
      <c r="F785" s="211" t="n"/>
      <c r="G785" s="211" t="n"/>
      <c r="H785" s="211" t="n"/>
      <c r="I785" s="211" t="n"/>
      <c r="J785" s="211" t="n"/>
      <c r="K785" s="211" t="n"/>
      <c r="L785" s="213" t="n"/>
    </row>
    <row r="786">
      <c r="A786" s="218" t="n"/>
      <c r="B786" s="215" t="n"/>
      <c r="C786" s="215" t="n"/>
      <c r="D786" s="215" t="n"/>
      <c r="E786" s="219" t="n"/>
      <c r="F786" s="215" t="n"/>
      <c r="G786" s="215" t="n"/>
      <c r="H786" s="215" t="n"/>
      <c r="I786" s="215" t="n"/>
      <c r="J786" s="215" t="n"/>
      <c r="K786" s="215" t="n"/>
      <c r="L786" s="217" t="n"/>
    </row>
    <row r="787">
      <c r="A787" s="220" t="n"/>
      <c r="B787" s="211" t="n"/>
      <c r="C787" s="211" t="n"/>
      <c r="D787" s="211" t="n"/>
      <c r="E787" s="221" t="n"/>
      <c r="F787" s="211" t="n"/>
      <c r="G787" s="211" t="n"/>
      <c r="H787" s="211" t="n"/>
      <c r="I787" s="211" t="n"/>
      <c r="J787" s="211" t="n"/>
      <c r="K787" s="211" t="n"/>
      <c r="L787" s="213" t="n"/>
    </row>
    <row r="788">
      <c r="A788" s="218" t="n"/>
      <c r="B788" s="215" t="n"/>
      <c r="C788" s="215" t="n"/>
      <c r="D788" s="215" t="n"/>
      <c r="E788" s="219" t="n"/>
      <c r="F788" s="215" t="n"/>
      <c r="G788" s="215" t="n"/>
      <c r="H788" s="215" t="n"/>
      <c r="I788" s="215" t="n"/>
      <c r="J788" s="215" t="n"/>
      <c r="K788" s="215" t="n"/>
      <c r="L788" s="217" t="n"/>
    </row>
    <row r="789">
      <c r="A789" s="220" t="n"/>
      <c r="B789" s="211" t="n"/>
      <c r="C789" s="211" t="n"/>
      <c r="D789" s="211" t="n"/>
      <c r="E789" s="221" t="n"/>
      <c r="F789" s="211" t="n"/>
      <c r="G789" s="211" t="n"/>
      <c r="H789" s="211" t="n"/>
      <c r="I789" s="211" t="n"/>
      <c r="J789" s="211" t="n"/>
      <c r="K789" s="211" t="n"/>
      <c r="L789" s="213" t="n"/>
    </row>
    <row r="790">
      <c r="A790" s="218" t="n"/>
      <c r="B790" s="215" t="n"/>
      <c r="C790" s="215" t="n"/>
      <c r="D790" s="215" t="n"/>
      <c r="E790" s="219" t="n"/>
      <c r="F790" s="215" t="n"/>
      <c r="G790" s="215" t="n"/>
      <c r="H790" s="215" t="n"/>
      <c r="I790" s="215" t="n"/>
      <c r="J790" s="215" t="n"/>
      <c r="K790" s="215" t="n"/>
      <c r="L790" s="217" t="n"/>
    </row>
    <row r="791">
      <c r="A791" s="220" t="n"/>
      <c r="B791" s="211" t="n"/>
      <c r="C791" s="211" t="n"/>
      <c r="D791" s="211" t="n"/>
      <c r="E791" s="221" t="n"/>
      <c r="F791" s="211" t="n"/>
      <c r="G791" s="211" t="n"/>
      <c r="H791" s="211" t="n"/>
      <c r="I791" s="211" t="n"/>
      <c r="J791" s="211" t="n"/>
      <c r="K791" s="211" t="n"/>
      <c r="L791" s="213" t="n"/>
    </row>
    <row r="792">
      <c r="A792" s="218" t="n"/>
      <c r="B792" s="215" t="n"/>
      <c r="C792" s="215" t="n"/>
      <c r="D792" s="215" t="n"/>
      <c r="E792" s="219" t="n"/>
      <c r="F792" s="215" t="n"/>
      <c r="G792" s="215" t="n"/>
      <c r="H792" s="215" t="n"/>
      <c r="I792" s="215" t="n"/>
      <c r="J792" s="215" t="n"/>
      <c r="K792" s="215" t="n"/>
      <c r="L792" s="217" t="n"/>
    </row>
    <row r="793">
      <c r="A793" s="220" t="n"/>
      <c r="B793" s="211" t="n"/>
      <c r="C793" s="211" t="n"/>
      <c r="D793" s="211" t="n"/>
      <c r="E793" s="221" t="n"/>
      <c r="F793" s="211" t="n"/>
      <c r="G793" s="211" t="n"/>
      <c r="H793" s="211" t="n"/>
      <c r="I793" s="211" t="n"/>
      <c r="J793" s="211" t="n"/>
      <c r="K793" s="211" t="n"/>
      <c r="L793" s="213" t="n"/>
    </row>
    <row r="794">
      <c r="A794" s="218" t="n"/>
      <c r="B794" s="215" t="n"/>
      <c r="C794" s="215" t="n"/>
      <c r="D794" s="215" t="n"/>
      <c r="E794" s="219" t="n"/>
      <c r="F794" s="215" t="n"/>
      <c r="G794" s="215" t="n"/>
      <c r="H794" s="215" t="n"/>
      <c r="I794" s="215" t="n"/>
      <c r="J794" s="215" t="n"/>
      <c r="K794" s="215" t="n"/>
      <c r="L794" s="217" t="n"/>
    </row>
    <row r="795">
      <c r="A795" s="220" t="n"/>
      <c r="B795" s="211" t="n"/>
      <c r="C795" s="211" t="n"/>
      <c r="D795" s="211" t="n"/>
      <c r="E795" s="221" t="n"/>
      <c r="F795" s="211" t="n"/>
      <c r="G795" s="211" t="n"/>
      <c r="H795" s="211" t="n"/>
      <c r="I795" s="211" t="n"/>
      <c r="J795" s="211" t="n"/>
      <c r="K795" s="211" t="n"/>
      <c r="L795" s="213" t="n"/>
    </row>
    <row r="796">
      <c r="A796" s="218" t="n"/>
      <c r="B796" s="215" t="n"/>
      <c r="C796" s="215" t="n"/>
      <c r="D796" s="215" t="n"/>
      <c r="E796" s="219" t="n"/>
      <c r="F796" s="215" t="n"/>
      <c r="G796" s="215" t="n"/>
      <c r="H796" s="215" t="n"/>
      <c r="I796" s="215" t="n"/>
      <c r="J796" s="215" t="n"/>
      <c r="K796" s="215" t="n"/>
      <c r="L796" s="217" t="n"/>
    </row>
    <row r="797">
      <c r="A797" s="220" t="n"/>
      <c r="B797" s="211" t="n"/>
      <c r="C797" s="211" t="n"/>
      <c r="D797" s="211" t="n"/>
      <c r="E797" s="221" t="n"/>
      <c r="F797" s="211" t="n"/>
      <c r="G797" s="211" t="n"/>
      <c r="H797" s="211" t="n"/>
      <c r="I797" s="211" t="n"/>
      <c r="J797" s="211" t="n"/>
      <c r="K797" s="211" t="n"/>
      <c r="L797" s="213" t="n"/>
    </row>
    <row r="798">
      <c r="A798" s="218" t="n"/>
      <c r="B798" s="215" t="n"/>
      <c r="C798" s="215" t="n"/>
      <c r="D798" s="215" t="n"/>
      <c r="E798" s="219" t="n"/>
      <c r="F798" s="215" t="n"/>
      <c r="G798" s="215" t="n"/>
      <c r="H798" s="215" t="n"/>
      <c r="I798" s="215" t="n"/>
      <c r="J798" s="215" t="n"/>
      <c r="K798" s="215" t="n"/>
      <c r="L798" s="217" t="n"/>
    </row>
    <row r="799">
      <c r="A799" s="220" t="n"/>
      <c r="B799" s="211" t="n"/>
      <c r="C799" s="211" t="n"/>
      <c r="D799" s="211" t="n"/>
      <c r="E799" s="221" t="n"/>
      <c r="F799" s="211" t="n"/>
      <c r="G799" s="211" t="n"/>
      <c r="H799" s="211" t="n"/>
      <c r="I799" s="211" t="n"/>
      <c r="J799" s="211" t="n"/>
      <c r="K799" s="211" t="n"/>
      <c r="L799" s="213" t="n"/>
    </row>
    <row r="800">
      <c r="A800" s="218" t="n"/>
      <c r="B800" s="215" t="n"/>
      <c r="C800" s="215" t="n"/>
      <c r="D800" s="215" t="n"/>
      <c r="E800" s="219" t="n"/>
      <c r="F800" s="215" t="n"/>
      <c r="G800" s="215" t="n"/>
      <c r="H800" s="215" t="n"/>
      <c r="I800" s="215" t="n"/>
      <c r="J800" s="215" t="n"/>
      <c r="K800" s="215" t="n"/>
      <c r="L800" s="217" t="n"/>
    </row>
    <row r="801">
      <c r="A801" s="220" t="n"/>
      <c r="B801" s="211" t="n"/>
      <c r="C801" s="211" t="n"/>
      <c r="D801" s="211" t="n"/>
      <c r="E801" s="221" t="n"/>
      <c r="F801" s="211" t="n"/>
      <c r="G801" s="211" t="n"/>
      <c r="H801" s="211" t="n"/>
      <c r="I801" s="211" t="n"/>
      <c r="J801" s="211" t="n"/>
      <c r="K801" s="211" t="n"/>
      <c r="L801" s="213" t="n"/>
    </row>
    <row r="802">
      <c r="A802" s="218" t="n"/>
      <c r="B802" s="215" t="n"/>
      <c r="C802" s="215" t="n"/>
      <c r="D802" s="215" t="n"/>
      <c r="E802" s="219" t="n"/>
      <c r="F802" s="215" t="n"/>
      <c r="G802" s="215" t="n"/>
      <c r="H802" s="215" t="n"/>
      <c r="I802" s="215" t="n"/>
      <c r="J802" s="215" t="n"/>
      <c r="K802" s="215" t="n"/>
      <c r="L802" s="217" t="n"/>
    </row>
    <row r="803">
      <c r="A803" s="220" t="n"/>
      <c r="B803" s="211" t="n"/>
      <c r="C803" s="211" t="n"/>
      <c r="D803" s="211" t="n"/>
      <c r="E803" s="221" t="n"/>
      <c r="F803" s="211" t="n"/>
      <c r="G803" s="211" t="n"/>
      <c r="H803" s="211" t="n"/>
      <c r="I803" s="211" t="n"/>
      <c r="J803" s="211" t="n"/>
      <c r="K803" s="211" t="n"/>
      <c r="L803" s="213" t="n"/>
    </row>
    <row r="804">
      <c r="A804" s="218" t="n"/>
      <c r="B804" s="215" t="n"/>
      <c r="C804" s="215" t="n"/>
      <c r="D804" s="215" t="n"/>
      <c r="E804" s="219" t="n"/>
      <c r="F804" s="215" t="n"/>
      <c r="G804" s="215" t="n"/>
      <c r="H804" s="215" t="n"/>
      <c r="I804" s="215" t="n"/>
      <c r="J804" s="215" t="n"/>
      <c r="K804" s="215" t="n"/>
      <c r="L804" s="217" t="n"/>
    </row>
    <row r="805">
      <c r="A805" s="220" t="n"/>
      <c r="B805" s="211" t="n"/>
      <c r="C805" s="211" t="n"/>
      <c r="D805" s="211" t="n"/>
      <c r="E805" s="221" t="n"/>
      <c r="F805" s="211" t="n"/>
      <c r="G805" s="211" t="n"/>
      <c r="H805" s="211" t="n"/>
      <c r="I805" s="211" t="n"/>
      <c r="J805" s="211" t="n"/>
      <c r="K805" s="211" t="n"/>
      <c r="L805" s="213" t="n"/>
    </row>
    <row r="806">
      <c r="A806" s="218" t="n"/>
      <c r="B806" s="215" t="n"/>
      <c r="C806" s="215" t="n"/>
      <c r="D806" s="215" t="n"/>
      <c r="E806" s="219" t="n"/>
      <c r="F806" s="215" t="n"/>
      <c r="G806" s="215" t="n"/>
      <c r="H806" s="215" t="n"/>
      <c r="I806" s="215" t="n"/>
      <c r="J806" s="215" t="n"/>
      <c r="K806" s="215" t="n"/>
      <c r="L806" s="217" t="n"/>
    </row>
    <row r="807">
      <c r="A807" s="220" t="n"/>
      <c r="B807" s="211" t="n"/>
      <c r="C807" s="211" t="n"/>
      <c r="D807" s="211" t="n"/>
      <c r="E807" s="221" t="n"/>
      <c r="F807" s="211" t="n"/>
      <c r="G807" s="211" t="n"/>
      <c r="H807" s="211" t="n"/>
      <c r="I807" s="211" t="n"/>
      <c r="J807" s="211" t="n"/>
      <c r="K807" s="211" t="n"/>
      <c r="L807" s="213" t="n"/>
    </row>
    <row r="808">
      <c r="A808" s="218" t="n"/>
      <c r="B808" s="215" t="n"/>
      <c r="C808" s="215" t="n"/>
      <c r="D808" s="215" t="n"/>
      <c r="E808" s="219" t="n"/>
      <c r="F808" s="215" t="n"/>
      <c r="G808" s="215" t="n"/>
      <c r="H808" s="215" t="n"/>
      <c r="I808" s="215" t="n"/>
      <c r="J808" s="215" t="n"/>
      <c r="K808" s="215" t="n"/>
      <c r="L808" s="217" t="n"/>
    </row>
    <row r="809">
      <c r="A809" s="220" t="n"/>
      <c r="B809" s="211" t="n"/>
      <c r="C809" s="211" t="n"/>
      <c r="D809" s="211" t="n"/>
      <c r="E809" s="221" t="n"/>
      <c r="F809" s="211" t="n"/>
      <c r="G809" s="211" t="n"/>
      <c r="H809" s="211" t="n"/>
      <c r="I809" s="211" t="n"/>
      <c r="J809" s="211" t="n"/>
      <c r="K809" s="211" t="n"/>
      <c r="L809" s="213" t="n"/>
    </row>
    <row r="810">
      <c r="A810" s="218" t="n"/>
      <c r="B810" s="215" t="n"/>
      <c r="C810" s="215" t="n"/>
      <c r="D810" s="215" t="n"/>
      <c r="E810" s="219" t="n"/>
      <c r="F810" s="215" t="n"/>
      <c r="G810" s="215" t="n"/>
      <c r="H810" s="215" t="n"/>
      <c r="I810" s="215" t="n"/>
      <c r="J810" s="215" t="n"/>
      <c r="K810" s="215" t="n"/>
      <c r="L810" s="217" t="n"/>
    </row>
    <row r="811">
      <c r="A811" s="220" t="n"/>
      <c r="B811" s="211" t="n"/>
      <c r="C811" s="211" t="n"/>
      <c r="D811" s="211" t="n"/>
      <c r="E811" s="221" t="n"/>
      <c r="F811" s="211" t="n"/>
      <c r="G811" s="211" t="n"/>
      <c r="H811" s="211" t="n"/>
      <c r="I811" s="211" t="n"/>
      <c r="J811" s="211" t="n"/>
      <c r="K811" s="211" t="n"/>
      <c r="L811" s="213" t="n"/>
    </row>
    <row r="812">
      <c r="A812" s="218" t="n"/>
      <c r="B812" s="215" t="n"/>
      <c r="C812" s="215" t="n"/>
      <c r="D812" s="215" t="n"/>
      <c r="E812" s="219" t="n"/>
      <c r="F812" s="215" t="n"/>
      <c r="G812" s="215" t="n"/>
      <c r="H812" s="215" t="n"/>
      <c r="I812" s="215" t="n"/>
      <c r="J812" s="215" t="n"/>
      <c r="K812" s="215" t="n"/>
      <c r="L812" s="217" t="n"/>
    </row>
    <row r="813">
      <c r="A813" s="220" t="n"/>
      <c r="B813" s="211" t="n"/>
      <c r="C813" s="211" t="n"/>
      <c r="D813" s="211" t="n"/>
      <c r="E813" s="221" t="n"/>
      <c r="F813" s="211" t="n"/>
      <c r="G813" s="211" t="n"/>
      <c r="H813" s="211" t="n"/>
      <c r="I813" s="211" t="n"/>
      <c r="J813" s="211" t="n"/>
      <c r="K813" s="211" t="n"/>
      <c r="L813" s="213" t="n"/>
    </row>
    <row r="814">
      <c r="A814" s="218" t="n"/>
      <c r="B814" s="215" t="n"/>
      <c r="C814" s="215" t="n"/>
      <c r="D814" s="215" t="n"/>
      <c r="E814" s="219" t="n"/>
      <c r="F814" s="215" t="n"/>
      <c r="G814" s="215" t="n"/>
      <c r="H814" s="215" t="n"/>
      <c r="I814" s="215" t="n"/>
      <c r="J814" s="215" t="n"/>
      <c r="K814" s="215" t="n"/>
      <c r="L814" s="217" t="n"/>
    </row>
    <row r="815">
      <c r="A815" s="220" t="n"/>
      <c r="B815" s="211" t="n"/>
      <c r="C815" s="211" t="n"/>
      <c r="D815" s="211" t="n"/>
      <c r="E815" s="221" t="n"/>
      <c r="F815" s="211" t="n"/>
      <c r="G815" s="211" t="n"/>
      <c r="H815" s="211" t="n"/>
      <c r="I815" s="211" t="n"/>
      <c r="J815" s="211" t="n"/>
      <c r="K815" s="211" t="n"/>
      <c r="L815" s="213" t="n"/>
    </row>
    <row r="816">
      <c r="A816" s="218" t="n"/>
      <c r="B816" s="215" t="n"/>
      <c r="C816" s="215" t="n"/>
      <c r="D816" s="215" t="n"/>
      <c r="E816" s="219" t="n"/>
      <c r="F816" s="215" t="n"/>
      <c r="G816" s="215" t="n"/>
      <c r="H816" s="215" t="n"/>
      <c r="I816" s="215" t="n"/>
      <c r="J816" s="215" t="n"/>
      <c r="K816" s="215" t="n"/>
      <c r="L816" s="217" t="n"/>
    </row>
    <row r="817">
      <c r="A817" s="220" t="n"/>
      <c r="B817" s="211" t="n"/>
      <c r="C817" s="211" t="n"/>
      <c r="D817" s="211" t="n"/>
      <c r="E817" s="221" t="n"/>
      <c r="F817" s="211" t="n"/>
      <c r="G817" s="211" t="n"/>
      <c r="H817" s="211" t="n"/>
      <c r="I817" s="211" t="n"/>
      <c r="J817" s="211" t="n"/>
      <c r="K817" s="211" t="n"/>
      <c r="L817" s="213" t="n"/>
    </row>
    <row r="818">
      <c r="A818" s="218" t="n"/>
      <c r="B818" s="215" t="n"/>
      <c r="C818" s="215" t="n"/>
      <c r="D818" s="215" t="n"/>
      <c r="E818" s="219" t="n"/>
      <c r="F818" s="215" t="n"/>
      <c r="G818" s="215" t="n"/>
      <c r="H818" s="215" t="n"/>
      <c r="I818" s="215" t="n"/>
      <c r="J818" s="215" t="n"/>
      <c r="K818" s="215" t="n"/>
      <c r="L818" s="217" t="n"/>
    </row>
    <row r="819">
      <c r="A819" s="220" t="n"/>
      <c r="B819" s="211" t="n"/>
      <c r="C819" s="211" t="n"/>
      <c r="D819" s="211" t="n"/>
      <c r="E819" s="221" t="n"/>
      <c r="F819" s="211" t="n"/>
      <c r="G819" s="211" t="n"/>
      <c r="H819" s="211" t="n"/>
      <c r="I819" s="211" t="n"/>
      <c r="J819" s="211" t="n"/>
      <c r="K819" s="211" t="n"/>
      <c r="L819" s="213" t="n"/>
    </row>
    <row r="820">
      <c r="A820" s="218" t="n"/>
      <c r="B820" s="215" t="n"/>
      <c r="C820" s="215" t="n"/>
      <c r="D820" s="215" t="n"/>
      <c r="E820" s="219" t="n"/>
      <c r="F820" s="215" t="n"/>
      <c r="G820" s="215" t="n"/>
      <c r="H820" s="215" t="n"/>
      <c r="I820" s="215" t="n"/>
      <c r="J820" s="215" t="n"/>
      <c r="K820" s="215" t="n"/>
      <c r="L820" s="217" t="n"/>
    </row>
    <row r="821">
      <c r="A821" s="220" t="n"/>
      <c r="B821" s="211" t="n"/>
      <c r="C821" s="211" t="n"/>
      <c r="D821" s="211" t="n"/>
      <c r="E821" s="221" t="n"/>
      <c r="F821" s="211" t="n"/>
      <c r="G821" s="211" t="n"/>
      <c r="H821" s="211" t="n"/>
      <c r="I821" s="211" t="n"/>
      <c r="J821" s="211" t="n"/>
      <c r="K821" s="211" t="n"/>
      <c r="L821" s="213" t="n"/>
    </row>
    <row r="822">
      <c r="A822" s="218" t="n"/>
      <c r="B822" s="215" t="n"/>
      <c r="C822" s="215" t="n"/>
      <c r="D822" s="215" t="n"/>
      <c r="E822" s="219" t="n"/>
      <c r="F822" s="215" t="n"/>
      <c r="G822" s="215" t="n"/>
      <c r="H822" s="215" t="n"/>
      <c r="I822" s="215" t="n"/>
      <c r="J822" s="215" t="n"/>
      <c r="K822" s="215" t="n"/>
      <c r="L822" s="217" t="n"/>
    </row>
    <row r="823">
      <c r="A823" s="220" t="n"/>
      <c r="B823" s="211" t="n"/>
      <c r="C823" s="211" t="n"/>
      <c r="D823" s="211" t="n"/>
      <c r="E823" s="221" t="n"/>
      <c r="F823" s="211" t="n"/>
      <c r="G823" s="211" t="n"/>
      <c r="H823" s="211" t="n"/>
      <c r="I823" s="211" t="n"/>
      <c r="J823" s="211" t="n"/>
      <c r="K823" s="211" t="n"/>
      <c r="L823" s="213" t="n"/>
    </row>
    <row r="824">
      <c r="A824" s="218" t="n"/>
      <c r="B824" s="215" t="n"/>
      <c r="C824" s="215" t="n"/>
      <c r="D824" s="215" t="n"/>
      <c r="E824" s="219" t="n"/>
      <c r="F824" s="215" t="n"/>
      <c r="G824" s="215" t="n"/>
      <c r="H824" s="215" t="n"/>
      <c r="I824" s="215" t="n"/>
      <c r="J824" s="215" t="n"/>
      <c r="K824" s="215" t="n"/>
      <c r="L824" s="217" t="n"/>
    </row>
    <row r="825">
      <c r="A825" s="220" t="n"/>
      <c r="B825" s="211" t="n"/>
      <c r="C825" s="211" t="n"/>
      <c r="D825" s="211" t="n"/>
      <c r="E825" s="221" t="n"/>
      <c r="F825" s="211" t="n"/>
      <c r="G825" s="211" t="n"/>
      <c r="H825" s="211" t="n"/>
      <c r="I825" s="211" t="n"/>
      <c r="J825" s="211" t="n"/>
      <c r="K825" s="211" t="n"/>
      <c r="L825" s="213" t="n"/>
    </row>
    <row r="826">
      <c r="A826" s="218" t="n"/>
      <c r="B826" s="215" t="n"/>
      <c r="C826" s="215" t="n"/>
      <c r="D826" s="215" t="n"/>
      <c r="E826" s="219" t="n"/>
      <c r="F826" s="215" t="n"/>
      <c r="G826" s="215" t="n"/>
      <c r="H826" s="215" t="n"/>
      <c r="I826" s="215" t="n"/>
      <c r="J826" s="215" t="n"/>
      <c r="K826" s="215" t="n"/>
      <c r="L826" s="217" t="n"/>
    </row>
    <row r="827">
      <c r="A827" s="220" t="n"/>
      <c r="B827" s="211" t="n"/>
      <c r="C827" s="211" t="n"/>
      <c r="D827" s="211" t="n"/>
      <c r="E827" s="221" t="n"/>
      <c r="F827" s="211" t="n"/>
      <c r="G827" s="211" t="n"/>
      <c r="H827" s="211" t="n"/>
      <c r="I827" s="211" t="n"/>
      <c r="J827" s="211" t="n"/>
      <c r="K827" s="211" t="n"/>
      <c r="L827" s="213" t="n"/>
    </row>
    <row r="828">
      <c r="A828" s="218" t="n"/>
      <c r="B828" s="215" t="n"/>
      <c r="C828" s="215" t="n"/>
      <c r="D828" s="215" t="n"/>
      <c r="E828" s="219" t="n"/>
      <c r="F828" s="215" t="n"/>
      <c r="G828" s="215" t="n"/>
      <c r="H828" s="215" t="n"/>
      <c r="I828" s="215" t="n"/>
      <c r="J828" s="215" t="n"/>
      <c r="K828" s="215" t="n"/>
      <c r="L828" s="217" t="n"/>
    </row>
    <row r="829">
      <c r="A829" s="220" t="n"/>
      <c r="B829" s="211" t="n"/>
      <c r="C829" s="211" t="n"/>
      <c r="D829" s="211" t="n"/>
      <c r="E829" s="221" t="n"/>
      <c r="F829" s="211" t="n"/>
      <c r="G829" s="211" t="n"/>
      <c r="H829" s="211" t="n"/>
      <c r="I829" s="211" t="n"/>
      <c r="J829" s="211" t="n"/>
      <c r="K829" s="211" t="n"/>
      <c r="L829" s="213" t="n"/>
    </row>
    <row r="830">
      <c r="A830" s="218" t="n"/>
      <c r="B830" s="215" t="n"/>
      <c r="C830" s="215" t="n"/>
      <c r="D830" s="215" t="n"/>
      <c r="E830" s="219" t="n"/>
      <c r="F830" s="215" t="n"/>
      <c r="G830" s="215" t="n"/>
      <c r="H830" s="215" t="n"/>
      <c r="I830" s="215" t="n"/>
      <c r="J830" s="215" t="n"/>
      <c r="K830" s="215" t="n"/>
      <c r="L830" s="217" t="n"/>
    </row>
    <row r="831">
      <c r="A831" s="220" t="n"/>
      <c r="B831" s="211" t="n"/>
      <c r="C831" s="211" t="n"/>
      <c r="D831" s="211" t="n"/>
      <c r="E831" s="221" t="n"/>
      <c r="F831" s="211" t="n"/>
      <c r="G831" s="211" t="n"/>
      <c r="H831" s="211" t="n"/>
      <c r="I831" s="211" t="n"/>
      <c r="J831" s="211" t="n"/>
      <c r="K831" s="211" t="n"/>
      <c r="L831" s="213" t="n"/>
    </row>
    <row r="832">
      <c r="A832" s="218" t="n"/>
      <c r="B832" s="215" t="n"/>
      <c r="C832" s="215" t="n"/>
      <c r="D832" s="215" t="n"/>
      <c r="E832" s="219" t="n"/>
      <c r="F832" s="215" t="n"/>
      <c r="G832" s="215" t="n"/>
      <c r="H832" s="215" t="n"/>
      <c r="I832" s="215" t="n"/>
      <c r="J832" s="215" t="n"/>
      <c r="K832" s="215" t="n"/>
      <c r="L832" s="217" t="n"/>
    </row>
    <row r="833">
      <c r="A833" s="220" t="n"/>
      <c r="B833" s="211" t="n"/>
      <c r="C833" s="211" t="n"/>
      <c r="D833" s="211" t="n"/>
      <c r="E833" s="221" t="n"/>
      <c r="F833" s="211" t="n"/>
      <c r="G833" s="211" t="n"/>
      <c r="H833" s="211" t="n"/>
      <c r="I833" s="211" t="n"/>
      <c r="J833" s="211" t="n"/>
      <c r="K833" s="211" t="n"/>
      <c r="L833" s="213" t="n"/>
    </row>
    <row r="834">
      <c r="A834" s="218" t="n"/>
      <c r="B834" s="215" t="n"/>
      <c r="C834" s="215" t="n"/>
      <c r="D834" s="215" t="n"/>
      <c r="E834" s="219" t="n"/>
      <c r="F834" s="215" t="n"/>
      <c r="G834" s="215" t="n"/>
      <c r="H834" s="215" t="n"/>
      <c r="I834" s="215" t="n"/>
      <c r="J834" s="215" t="n"/>
      <c r="K834" s="215" t="n"/>
      <c r="L834" s="217" t="n"/>
    </row>
    <row r="835">
      <c r="A835" s="220" t="n"/>
      <c r="B835" s="211" t="n"/>
      <c r="C835" s="211" t="n"/>
      <c r="D835" s="211" t="n"/>
      <c r="E835" s="221" t="n"/>
      <c r="F835" s="211" t="n"/>
      <c r="G835" s="211" t="n"/>
      <c r="H835" s="211" t="n"/>
      <c r="I835" s="211" t="n"/>
      <c r="J835" s="211" t="n"/>
      <c r="K835" s="211" t="n"/>
      <c r="L835" s="213" t="n"/>
    </row>
    <row r="836">
      <c r="A836" s="218" t="n"/>
      <c r="B836" s="215" t="n"/>
      <c r="C836" s="215" t="n"/>
      <c r="D836" s="215" t="n"/>
      <c r="E836" s="219" t="n"/>
      <c r="F836" s="215" t="n"/>
      <c r="G836" s="215" t="n"/>
      <c r="H836" s="215" t="n"/>
      <c r="I836" s="215" t="n"/>
      <c r="J836" s="215" t="n"/>
      <c r="K836" s="215" t="n"/>
      <c r="L836" s="217" t="n"/>
    </row>
    <row r="837">
      <c r="A837" s="220" t="n"/>
      <c r="B837" s="211" t="n"/>
      <c r="C837" s="211" t="n"/>
      <c r="D837" s="211" t="n"/>
      <c r="E837" s="221" t="n"/>
      <c r="F837" s="211" t="n"/>
      <c r="G837" s="211" t="n"/>
      <c r="H837" s="211" t="n"/>
      <c r="I837" s="211" t="n"/>
      <c r="J837" s="211" t="n"/>
      <c r="K837" s="211" t="n"/>
      <c r="L837" s="213" t="n"/>
    </row>
    <row r="838">
      <c r="A838" s="218" t="n"/>
      <c r="B838" s="215" t="n"/>
      <c r="C838" s="215" t="n"/>
      <c r="D838" s="215" t="n"/>
      <c r="E838" s="219" t="n"/>
      <c r="F838" s="215" t="n"/>
      <c r="G838" s="215" t="n"/>
      <c r="H838" s="215" t="n"/>
      <c r="I838" s="215" t="n"/>
      <c r="J838" s="215" t="n"/>
      <c r="K838" s="215" t="n"/>
      <c r="L838" s="217" t="n"/>
    </row>
    <row r="839">
      <c r="A839" s="220" t="n"/>
      <c r="B839" s="211" t="n"/>
      <c r="C839" s="211" t="n"/>
      <c r="D839" s="211" t="n"/>
      <c r="E839" s="221" t="n"/>
      <c r="F839" s="211" t="n"/>
      <c r="G839" s="211" t="n"/>
      <c r="H839" s="211" t="n"/>
      <c r="I839" s="211" t="n"/>
      <c r="J839" s="211" t="n"/>
      <c r="K839" s="211" t="n"/>
      <c r="L839" s="213" t="n"/>
    </row>
    <row r="840">
      <c r="A840" s="218" t="n"/>
      <c r="B840" s="215" t="n"/>
      <c r="C840" s="215" t="n"/>
      <c r="D840" s="215" t="n"/>
      <c r="E840" s="219" t="n"/>
      <c r="F840" s="215" t="n"/>
      <c r="G840" s="215" t="n"/>
      <c r="H840" s="215" t="n"/>
      <c r="I840" s="215" t="n"/>
      <c r="J840" s="215" t="n"/>
      <c r="K840" s="215" t="n"/>
      <c r="L840" s="217" t="n"/>
    </row>
    <row r="841">
      <c r="A841" s="220" t="n"/>
      <c r="B841" s="211" t="n"/>
      <c r="C841" s="211" t="n"/>
      <c r="D841" s="211" t="n"/>
      <c r="E841" s="221" t="n"/>
      <c r="F841" s="211" t="n"/>
      <c r="G841" s="211" t="n"/>
      <c r="H841" s="211" t="n"/>
      <c r="I841" s="211" t="n"/>
      <c r="J841" s="211" t="n"/>
      <c r="K841" s="211" t="n"/>
      <c r="L841" s="213" t="n"/>
    </row>
    <row r="842">
      <c r="A842" s="218" t="n"/>
      <c r="B842" s="215" t="n"/>
      <c r="C842" s="215" t="n"/>
      <c r="D842" s="215" t="n"/>
      <c r="E842" s="219" t="n"/>
      <c r="F842" s="215" t="n"/>
      <c r="G842" s="215" t="n"/>
      <c r="H842" s="215" t="n"/>
      <c r="I842" s="215" t="n"/>
      <c r="J842" s="215" t="n"/>
      <c r="K842" s="215" t="n"/>
      <c r="L842" s="217" t="n"/>
    </row>
    <row r="843">
      <c r="A843" s="220" t="n"/>
      <c r="B843" s="211" t="n"/>
      <c r="C843" s="211" t="n"/>
      <c r="D843" s="211" t="n"/>
      <c r="E843" s="221" t="n"/>
      <c r="F843" s="211" t="n"/>
      <c r="G843" s="211" t="n"/>
      <c r="H843" s="211" t="n"/>
      <c r="I843" s="211" t="n"/>
      <c r="J843" s="211" t="n"/>
      <c r="K843" s="211" t="n"/>
      <c r="L843" s="213" t="n"/>
    </row>
    <row r="844">
      <c r="A844" s="218" t="n"/>
      <c r="B844" s="215" t="n"/>
      <c r="C844" s="215" t="n"/>
      <c r="D844" s="215" t="n"/>
      <c r="E844" s="219" t="n"/>
      <c r="F844" s="215" t="n"/>
      <c r="G844" s="215" t="n"/>
      <c r="H844" s="215" t="n"/>
      <c r="I844" s="215" t="n"/>
      <c r="J844" s="215" t="n"/>
      <c r="K844" s="215" t="n"/>
      <c r="L844" s="217" t="n"/>
    </row>
    <row r="845">
      <c r="A845" s="220" t="n"/>
      <c r="B845" s="211" t="n"/>
      <c r="C845" s="211" t="n"/>
      <c r="D845" s="211" t="n"/>
      <c r="E845" s="221" t="n"/>
      <c r="F845" s="211" t="n"/>
      <c r="G845" s="211" t="n"/>
      <c r="H845" s="211" t="n"/>
      <c r="I845" s="211" t="n"/>
      <c r="J845" s="211" t="n"/>
      <c r="K845" s="211" t="n"/>
      <c r="L845" s="213" t="n"/>
    </row>
    <row r="846">
      <c r="A846" s="218" t="n"/>
      <c r="B846" s="215" t="n"/>
      <c r="C846" s="215" t="n"/>
      <c r="D846" s="215" t="n"/>
      <c r="E846" s="219" t="n"/>
      <c r="F846" s="215" t="n"/>
      <c r="G846" s="215" t="n"/>
      <c r="H846" s="215" t="n"/>
      <c r="I846" s="215" t="n"/>
      <c r="J846" s="215" t="n"/>
      <c r="K846" s="215" t="n"/>
      <c r="L846" s="217" t="n"/>
    </row>
    <row r="847">
      <c r="A847" s="220" t="n"/>
      <c r="B847" s="211" t="n"/>
      <c r="C847" s="211" t="n"/>
      <c r="D847" s="211" t="n"/>
      <c r="E847" s="221" t="n"/>
      <c r="F847" s="211" t="n"/>
      <c r="G847" s="211" t="n"/>
      <c r="H847" s="211" t="n"/>
      <c r="I847" s="211" t="n"/>
      <c r="J847" s="211" t="n"/>
      <c r="K847" s="211" t="n"/>
      <c r="L847" s="213" t="n"/>
    </row>
    <row r="848">
      <c r="A848" s="218" t="n"/>
      <c r="B848" s="215" t="n"/>
      <c r="C848" s="215" t="n"/>
      <c r="D848" s="215" t="n"/>
      <c r="E848" s="219" t="n"/>
      <c r="F848" s="215" t="n"/>
      <c r="G848" s="215" t="n"/>
      <c r="H848" s="215" t="n"/>
      <c r="I848" s="215" t="n"/>
      <c r="J848" s="215" t="n"/>
      <c r="K848" s="215" t="n"/>
      <c r="L848" s="217" t="n"/>
    </row>
    <row r="849">
      <c r="A849" s="220" t="n"/>
      <c r="B849" s="211" t="n"/>
      <c r="C849" s="211" t="n"/>
      <c r="D849" s="211" t="n"/>
      <c r="E849" s="221" t="n"/>
      <c r="F849" s="211" t="n"/>
      <c r="G849" s="211" t="n"/>
      <c r="H849" s="211" t="n"/>
      <c r="I849" s="211" t="n"/>
      <c r="J849" s="211" t="n"/>
      <c r="K849" s="211" t="n"/>
      <c r="L849" s="213" t="n"/>
    </row>
    <row r="850">
      <c r="A850" s="218" t="n"/>
      <c r="B850" s="215" t="n"/>
      <c r="C850" s="215" t="n"/>
      <c r="D850" s="215" t="n"/>
      <c r="E850" s="219" t="n"/>
      <c r="F850" s="215" t="n"/>
      <c r="G850" s="215" t="n"/>
      <c r="H850" s="215" t="n"/>
      <c r="I850" s="215" t="n"/>
      <c r="J850" s="215" t="n"/>
      <c r="K850" s="215" t="n"/>
      <c r="L850" s="217" t="n"/>
    </row>
    <row r="851">
      <c r="A851" s="220" t="n"/>
      <c r="B851" s="211" t="n"/>
      <c r="C851" s="211" t="n"/>
      <c r="D851" s="211" t="n"/>
      <c r="E851" s="221" t="n"/>
      <c r="F851" s="211" t="n"/>
      <c r="G851" s="211" t="n"/>
      <c r="H851" s="211" t="n"/>
      <c r="I851" s="211" t="n"/>
      <c r="J851" s="211" t="n"/>
      <c r="K851" s="211" t="n"/>
      <c r="L851" s="213" t="n"/>
    </row>
    <row r="852">
      <c r="A852" s="218" t="n"/>
      <c r="B852" s="215" t="n"/>
      <c r="C852" s="215" t="n"/>
      <c r="D852" s="215" t="n"/>
      <c r="E852" s="219" t="n"/>
      <c r="F852" s="215" t="n"/>
      <c r="G852" s="215" t="n"/>
      <c r="H852" s="215" t="n"/>
      <c r="I852" s="215" t="n"/>
      <c r="J852" s="215" t="n"/>
      <c r="K852" s="215" t="n"/>
      <c r="L852" s="217" t="n"/>
    </row>
    <row r="853">
      <c r="A853" s="220" t="n"/>
      <c r="B853" s="211" t="n"/>
      <c r="C853" s="211" t="n"/>
      <c r="D853" s="211" t="n"/>
      <c r="E853" s="221" t="n"/>
      <c r="F853" s="211" t="n"/>
      <c r="G853" s="211" t="n"/>
      <c r="H853" s="211" t="n"/>
      <c r="I853" s="211" t="n"/>
      <c r="J853" s="211" t="n"/>
      <c r="K853" s="211" t="n"/>
      <c r="L853" s="213" t="n"/>
    </row>
    <row r="854">
      <c r="A854" s="218" t="n"/>
      <c r="B854" s="215" t="n"/>
      <c r="C854" s="215" t="n"/>
      <c r="D854" s="215" t="n"/>
      <c r="E854" s="219" t="n"/>
      <c r="F854" s="215" t="n"/>
      <c r="G854" s="215" t="n"/>
      <c r="H854" s="215" t="n"/>
      <c r="I854" s="215" t="n"/>
      <c r="J854" s="215" t="n"/>
      <c r="K854" s="215" t="n"/>
      <c r="L854" s="217" t="n"/>
    </row>
    <row r="855">
      <c r="A855" s="220" t="n"/>
      <c r="B855" s="211" t="n"/>
      <c r="C855" s="211" t="n"/>
      <c r="D855" s="211" t="n"/>
      <c r="E855" s="221" t="n"/>
      <c r="F855" s="211" t="n"/>
      <c r="G855" s="211" t="n"/>
      <c r="H855" s="211" t="n"/>
      <c r="I855" s="211" t="n"/>
      <c r="J855" s="211" t="n"/>
      <c r="K855" s="211" t="n"/>
      <c r="L855" s="213" t="n"/>
    </row>
    <row r="856">
      <c r="A856" s="218" t="n"/>
      <c r="B856" s="215" t="n"/>
      <c r="C856" s="215" t="n"/>
      <c r="D856" s="215" t="n"/>
      <c r="E856" s="219" t="n"/>
      <c r="F856" s="215" t="n"/>
      <c r="G856" s="215" t="n"/>
      <c r="H856" s="215" t="n"/>
      <c r="I856" s="215" t="n"/>
      <c r="J856" s="215" t="n"/>
      <c r="K856" s="215" t="n"/>
      <c r="L856" s="217" t="n"/>
    </row>
    <row r="857">
      <c r="A857" s="220" t="n"/>
      <c r="B857" s="211" t="n"/>
      <c r="C857" s="211" t="n"/>
      <c r="D857" s="211" t="n"/>
      <c r="E857" s="221" t="n"/>
      <c r="F857" s="211" t="n"/>
      <c r="G857" s="211" t="n"/>
      <c r="H857" s="211" t="n"/>
      <c r="I857" s="211" t="n"/>
      <c r="J857" s="211" t="n"/>
      <c r="K857" s="211" t="n"/>
      <c r="L857" s="213" t="n"/>
    </row>
    <row r="858">
      <c r="A858" s="218" t="n"/>
      <c r="B858" s="215" t="n"/>
      <c r="C858" s="215" t="n"/>
      <c r="D858" s="215" t="n"/>
      <c r="E858" s="219" t="n"/>
      <c r="F858" s="215" t="n"/>
      <c r="G858" s="215" t="n"/>
      <c r="H858" s="215" t="n"/>
      <c r="I858" s="215" t="n"/>
      <c r="J858" s="215" t="n"/>
      <c r="K858" s="215" t="n"/>
      <c r="L858" s="217" t="n"/>
    </row>
    <row r="859">
      <c r="A859" s="220" t="n"/>
      <c r="B859" s="211" t="n"/>
      <c r="C859" s="211" t="n"/>
      <c r="D859" s="211" t="n"/>
      <c r="E859" s="221" t="n"/>
      <c r="F859" s="211" t="n"/>
      <c r="G859" s="211" t="n"/>
      <c r="H859" s="211" t="n"/>
      <c r="I859" s="211" t="n"/>
      <c r="J859" s="211" t="n"/>
      <c r="K859" s="211" t="n"/>
      <c r="L859" s="213" t="n"/>
    </row>
    <row r="860">
      <c r="A860" s="218" t="n"/>
      <c r="B860" s="215" t="n"/>
      <c r="C860" s="215" t="n"/>
      <c r="D860" s="215" t="n"/>
      <c r="E860" s="219" t="n"/>
      <c r="F860" s="215" t="n"/>
      <c r="G860" s="215" t="n"/>
      <c r="H860" s="215" t="n"/>
      <c r="I860" s="215" t="n"/>
      <c r="J860" s="215" t="n"/>
      <c r="K860" s="215" t="n"/>
      <c r="L860" s="217" t="n"/>
    </row>
    <row r="861">
      <c r="A861" s="220" t="n"/>
      <c r="B861" s="211" t="n"/>
      <c r="C861" s="211" t="n"/>
      <c r="D861" s="211" t="n"/>
      <c r="E861" s="221" t="n"/>
      <c r="F861" s="211" t="n"/>
      <c r="G861" s="211" t="n"/>
      <c r="H861" s="211" t="n"/>
      <c r="I861" s="211" t="n"/>
      <c r="J861" s="211" t="n"/>
      <c r="K861" s="211" t="n"/>
      <c r="L861" s="213" t="n"/>
    </row>
    <row r="862">
      <c r="A862" s="218" t="n"/>
      <c r="B862" s="215" t="n"/>
      <c r="C862" s="215" t="n"/>
      <c r="D862" s="215" t="n"/>
      <c r="E862" s="219" t="n"/>
      <c r="F862" s="215" t="n"/>
      <c r="G862" s="215" t="n"/>
      <c r="H862" s="215" t="n"/>
      <c r="I862" s="215" t="n"/>
      <c r="J862" s="215" t="n"/>
      <c r="K862" s="215" t="n"/>
      <c r="L862" s="217" t="n"/>
    </row>
    <row r="863">
      <c r="A863" s="220" t="n"/>
      <c r="B863" s="211" t="n"/>
      <c r="C863" s="211" t="n"/>
      <c r="D863" s="211" t="n"/>
      <c r="E863" s="221" t="n"/>
      <c r="F863" s="211" t="n"/>
      <c r="G863" s="211" t="n"/>
      <c r="H863" s="211" t="n"/>
      <c r="I863" s="211" t="n"/>
      <c r="J863" s="211" t="n"/>
      <c r="K863" s="211" t="n"/>
      <c r="L863" s="213" t="n"/>
    </row>
    <row r="864">
      <c r="A864" s="218" t="n"/>
      <c r="B864" s="215" t="n"/>
      <c r="C864" s="215" t="n"/>
      <c r="D864" s="215" t="n"/>
      <c r="E864" s="219" t="n"/>
      <c r="F864" s="215" t="n"/>
      <c r="G864" s="215" t="n"/>
      <c r="H864" s="215" t="n"/>
      <c r="I864" s="215" t="n"/>
      <c r="J864" s="215" t="n"/>
      <c r="K864" s="215" t="n"/>
      <c r="L864" s="217" t="n"/>
    </row>
    <row r="865">
      <c r="A865" s="220" t="n"/>
      <c r="B865" s="211" t="n"/>
      <c r="C865" s="211" t="n"/>
      <c r="D865" s="211" t="n"/>
      <c r="E865" s="221" t="n"/>
      <c r="F865" s="211" t="n"/>
      <c r="G865" s="211" t="n"/>
      <c r="H865" s="211" t="n"/>
      <c r="I865" s="211" t="n"/>
      <c r="J865" s="211" t="n"/>
      <c r="K865" s="211" t="n"/>
      <c r="L865" s="213" t="n"/>
    </row>
    <row r="866">
      <c r="A866" s="218" t="n"/>
      <c r="B866" s="215" t="n"/>
      <c r="C866" s="215" t="n"/>
      <c r="D866" s="215" t="n"/>
      <c r="E866" s="219" t="n"/>
      <c r="F866" s="215" t="n"/>
      <c r="G866" s="215" t="n"/>
      <c r="H866" s="215" t="n"/>
      <c r="I866" s="215" t="n"/>
      <c r="J866" s="215" t="n"/>
      <c r="K866" s="215" t="n"/>
      <c r="L866" s="217" t="n"/>
    </row>
    <row r="867">
      <c r="A867" s="220" t="n"/>
      <c r="B867" s="211" t="n"/>
      <c r="C867" s="211" t="n"/>
      <c r="D867" s="211" t="n"/>
      <c r="E867" s="221" t="n"/>
      <c r="F867" s="211" t="n"/>
      <c r="G867" s="211" t="n"/>
      <c r="H867" s="211" t="n"/>
      <c r="I867" s="211" t="n"/>
      <c r="J867" s="211" t="n"/>
      <c r="K867" s="211" t="n"/>
      <c r="L867" s="213" t="n"/>
    </row>
    <row r="868">
      <c r="A868" s="218" t="n"/>
      <c r="B868" s="215" t="n"/>
      <c r="C868" s="215" t="n"/>
      <c r="D868" s="215" t="n"/>
      <c r="E868" s="219" t="n"/>
      <c r="F868" s="215" t="n"/>
      <c r="G868" s="215" t="n"/>
      <c r="H868" s="215" t="n"/>
      <c r="I868" s="215" t="n"/>
      <c r="J868" s="215" t="n"/>
      <c r="K868" s="215" t="n"/>
      <c r="L868" s="217" t="n"/>
    </row>
    <row r="869">
      <c r="A869" s="220" t="n"/>
      <c r="B869" s="211" t="n"/>
      <c r="C869" s="211" t="n"/>
      <c r="D869" s="211" t="n"/>
      <c r="E869" s="221" t="n"/>
      <c r="F869" s="211" t="n"/>
      <c r="G869" s="211" t="n"/>
      <c r="H869" s="211" t="n"/>
      <c r="I869" s="211" t="n"/>
      <c r="J869" s="211" t="n"/>
      <c r="K869" s="211" t="n"/>
      <c r="L869" s="213" t="n"/>
    </row>
    <row r="870">
      <c r="A870" s="218" t="n"/>
      <c r="B870" s="215" t="n"/>
      <c r="C870" s="215" t="n"/>
      <c r="D870" s="215" t="n"/>
      <c r="E870" s="219" t="n"/>
      <c r="F870" s="215" t="n"/>
      <c r="G870" s="215" t="n"/>
      <c r="H870" s="215" t="n"/>
      <c r="I870" s="215" t="n"/>
      <c r="J870" s="215" t="n"/>
      <c r="K870" s="215" t="n"/>
      <c r="L870" s="217" t="n"/>
    </row>
    <row r="871">
      <c r="A871" s="220" t="n"/>
      <c r="B871" s="211" t="n"/>
      <c r="C871" s="211" t="n"/>
      <c r="D871" s="211" t="n"/>
      <c r="E871" s="221" t="n"/>
      <c r="F871" s="211" t="n"/>
      <c r="G871" s="211" t="n"/>
      <c r="H871" s="211" t="n"/>
      <c r="I871" s="211" t="n"/>
      <c r="J871" s="211" t="n"/>
      <c r="K871" s="211" t="n"/>
      <c r="L871" s="213" t="n"/>
    </row>
    <row r="872">
      <c r="A872" s="218" t="n"/>
      <c r="B872" s="215" t="n"/>
      <c r="C872" s="215" t="n"/>
      <c r="D872" s="215" t="n"/>
      <c r="E872" s="219" t="n"/>
      <c r="F872" s="215" t="n"/>
      <c r="G872" s="215" t="n"/>
      <c r="H872" s="215" t="n"/>
      <c r="I872" s="215" t="n"/>
      <c r="J872" s="215" t="n"/>
      <c r="K872" s="215" t="n"/>
      <c r="L872" s="217" t="n"/>
    </row>
    <row r="873">
      <c r="A873" s="220" t="n"/>
      <c r="B873" s="211" t="n"/>
      <c r="C873" s="211" t="n"/>
      <c r="D873" s="211" t="n"/>
      <c r="E873" s="221" t="n"/>
      <c r="F873" s="211" t="n"/>
      <c r="G873" s="211" t="n"/>
      <c r="H873" s="211" t="n"/>
      <c r="I873" s="211" t="n"/>
      <c r="J873" s="211" t="n"/>
      <c r="K873" s="211" t="n"/>
      <c r="L873" s="213" t="n"/>
    </row>
    <row r="874">
      <c r="A874" s="218" t="n"/>
      <c r="B874" s="215" t="n"/>
      <c r="C874" s="215" t="n"/>
      <c r="D874" s="215" t="n"/>
      <c r="E874" s="219" t="n"/>
      <c r="F874" s="215" t="n"/>
      <c r="G874" s="215" t="n"/>
      <c r="H874" s="215" t="n"/>
      <c r="I874" s="215" t="n"/>
      <c r="J874" s="215" t="n"/>
      <c r="K874" s="215" t="n"/>
      <c r="L874" s="217" t="n"/>
    </row>
    <row r="875">
      <c r="A875" s="220" t="n"/>
      <c r="B875" s="211" t="n"/>
      <c r="C875" s="211" t="n"/>
      <c r="D875" s="211" t="n"/>
      <c r="E875" s="221" t="n"/>
      <c r="F875" s="211" t="n"/>
      <c r="G875" s="211" t="n"/>
      <c r="H875" s="211" t="n"/>
      <c r="I875" s="211" t="n"/>
      <c r="J875" s="211" t="n"/>
      <c r="K875" s="211" t="n"/>
      <c r="L875" s="213" t="n"/>
    </row>
    <row r="876">
      <c r="A876" s="218" t="n"/>
      <c r="B876" s="215" t="n"/>
      <c r="C876" s="215" t="n"/>
      <c r="D876" s="215" t="n"/>
      <c r="E876" s="219" t="n"/>
      <c r="F876" s="215" t="n"/>
      <c r="G876" s="215" t="n"/>
      <c r="H876" s="215" t="n"/>
      <c r="I876" s="215" t="n"/>
      <c r="J876" s="215" t="n"/>
      <c r="K876" s="215" t="n"/>
      <c r="L876" s="217" t="n"/>
    </row>
    <row r="877">
      <c r="A877" s="220" t="n"/>
      <c r="B877" s="211" t="n"/>
      <c r="C877" s="211" t="n"/>
      <c r="D877" s="211" t="n"/>
      <c r="E877" s="221" t="n"/>
      <c r="F877" s="211" t="n"/>
      <c r="G877" s="211" t="n"/>
      <c r="H877" s="211" t="n"/>
      <c r="I877" s="211" t="n"/>
      <c r="J877" s="211" t="n"/>
      <c r="K877" s="211" t="n"/>
      <c r="L877" s="213" t="n"/>
    </row>
    <row r="878">
      <c r="A878" s="218" t="n"/>
      <c r="B878" s="215" t="n"/>
      <c r="C878" s="215" t="n"/>
      <c r="D878" s="215" t="n"/>
      <c r="E878" s="219" t="n"/>
      <c r="F878" s="215" t="n"/>
      <c r="G878" s="215" t="n"/>
      <c r="H878" s="215" t="n"/>
      <c r="I878" s="215" t="n"/>
      <c r="J878" s="215" t="n"/>
      <c r="K878" s="215" t="n"/>
      <c r="L878" s="217" t="n"/>
    </row>
    <row r="879">
      <c r="A879" s="220" t="n"/>
      <c r="B879" s="211" t="n"/>
      <c r="C879" s="211" t="n"/>
      <c r="D879" s="211" t="n"/>
      <c r="E879" s="221" t="n"/>
      <c r="F879" s="211" t="n"/>
      <c r="G879" s="211" t="n"/>
      <c r="H879" s="211" t="n"/>
      <c r="I879" s="211" t="n"/>
      <c r="J879" s="211" t="n"/>
      <c r="K879" s="211" t="n"/>
      <c r="L879" s="213" t="n"/>
    </row>
    <row r="880">
      <c r="A880" s="218" t="n"/>
      <c r="B880" s="215" t="n"/>
      <c r="C880" s="215" t="n"/>
      <c r="D880" s="215" t="n"/>
      <c r="E880" s="219" t="n"/>
      <c r="F880" s="215" t="n"/>
      <c r="G880" s="215" t="n"/>
      <c r="H880" s="215" t="n"/>
      <c r="I880" s="215" t="n"/>
      <c r="J880" s="215" t="n"/>
      <c r="K880" s="215" t="n"/>
      <c r="L880" s="217" t="n"/>
    </row>
    <row r="881">
      <c r="A881" s="220" t="n"/>
      <c r="B881" s="211" t="n"/>
      <c r="C881" s="211" t="n"/>
      <c r="D881" s="211" t="n"/>
      <c r="E881" s="221" t="n"/>
      <c r="F881" s="211" t="n"/>
      <c r="G881" s="211" t="n"/>
      <c r="H881" s="211" t="n"/>
      <c r="I881" s="211" t="n"/>
      <c r="J881" s="211" t="n"/>
      <c r="K881" s="211" t="n"/>
      <c r="L881" s="213" t="n"/>
    </row>
    <row r="882">
      <c r="A882" s="218" t="n"/>
      <c r="B882" s="215" t="n"/>
      <c r="C882" s="215" t="n"/>
      <c r="D882" s="215" t="n"/>
      <c r="E882" s="219" t="n"/>
      <c r="F882" s="215" t="n"/>
      <c r="G882" s="215" t="n"/>
      <c r="H882" s="215" t="n"/>
      <c r="I882" s="215" t="n"/>
      <c r="J882" s="215" t="n"/>
      <c r="K882" s="215" t="n"/>
      <c r="L882" s="217" t="n"/>
    </row>
    <row r="883">
      <c r="A883" s="220" t="n"/>
      <c r="B883" s="211" t="n"/>
      <c r="C883" s="211" t="n"/>
      <c r="D883" s="211" t="n"/>
      <c r="E883" s="221" t="n"/>
      <c r="F883" s="211" t="n"/>
      <c r="G883" s="211" t="n"/>
      <c r="H883" s="211" t="n"/>
      <c r="I883" s="211" t="n"/>
      <c r="J883" s="211" t="n"/>
      <c r="K883" s="211" t="n"/>
      <c r="L883" s="213" t="n"/>
    </row>
    <row r="884">
      <c r="A884" s="218" t="n"/>
      <c r="B884" s="215" t="n"/>
      <c r="C884" s="215" t="n"/>
      <c r="D884" s="215" t="n"/>
      <c r="E884" s="219" t="n"/>
      <c r="F884" s="215" t="n"/>
      <c r="G884" s="215" t="n"/>
      <c r="H884" s="215" t="n"/>
      <c r="I884" s="215" t="n"/>
      <c r="J884" s="215" t="n"/>
      <c r="K884" s="215" t="n"/>
      <c r="L884" s="217" t="n"/>
    </row>
    <row r="885">
      <c r="A885" s="220" t="n"/>
      <c r="B885" s="211" t="n"/>
      <c r="C885" s="211" t="n"/>
      <c r="D885" s="211" t="n"/>
      <c r="E885" s="221" t="n"/>
      <c r="F885" s="211" t="n"/>
      <c r="G885" s="211" t="n"/>
      <c r="H885" s="211" t="n"/>
      <c r="I885" s="211" t="n"/>
      <c r="J885" s="211" t="n"/>
      <c r="K885" s="211" t="n"/>
      <c r="L885" s="213" t="n"/>
    </row>
    <row r="886">
      <c r="A886" s="218" t="n"/>
      <c r="B886" s="215" t="n"/>
      <c r="C886" s="215" t="n"/>
      <c r="D886" s="215" t="n"/>
      <c r="E886" s="219" t="n"/>
      <c r="F886" s="215" t="n"/>
      <c r="G886" s="215" t="n"/>
      <c r="H886" s="215" t="n"/>
      <c r="I886" s="215" t="n"/>
      <c r="J886" s="215" t="n"/>
      <c r="K886" s="215" t="n"/>
      <c r="L886" s="217" t="n"/>
    </row>
    <row r="887">
      <c r="A887" s="220" t="n"/>
      <c r="B887" s="211" t="n"/>
      <c r="C887" s="211" t="n"/>
      <c r="D887" s="211" t="n"/>
      <c r="E887" s="221" t="n"/>
      <c r="F887" s="211" t="n"/>
      <c r="G887" s="211" t="n"/>
      <c r="H887" s="211" t="n"/>
      <c r="I887" s="211" t="n"/>
      <c r="J887" s="211" t="n"/>
      <c r="K887" s="211" t="n"/>
      <c r="L887" s="213" t="n"/>
    </row>
    <row r="888">
      <c r="A888" s="218" t="n"/>
      <c r="B888" s="215" t="n"/>
      <c r="C888" s="215" t="n"/>
      <c r="D888" s="215" t="n"/>
      <c r="E888" s="219" t="n"/>
      <c r="F888" s="215" t="n"/>
      <c r="G888" s="215" t="n"/>
      <c r="H888" s="215" t="n"/>
      <c r="I888" s="215" t="n"/>
      <c r="J888" s="215" t="n"/>
      <c r="K888" s="215" t="n"/>
      <c r="L888" s="217" t="n"/>
    </row>
    <row r="889">
      <c r="A889" s="220" t="n"/>
      <c r="B889" s="211" t="n"/>
      <c r="C889" s="211" t="n"/>
      <c r="D889" s="211" t="n"/>
      <c r="E889" s="221" t="n"/>
      <c r="F889" s="211" t="n"/>
      <c r="G889" s="211" t="n"/>
      <c r="H889" s="211" t="n"/>
      <c r="I889" s="211" t="n"/>
      <c r="J889" s="211" t="n"/>
      <c r="K889" s="211" t="n"/>
      <c r="L889" s="213" t="n"/>
    </row>
    <row r="890">
      <c r="A890" s="218" t="n"/>
      <c r="B890" s="215" t="n"/>
      <c r="C890" s="215" t="n"/>
      <c r="D890" s="215" t="n"/>
      <c r="E890" s="219" t="n"/>
      <c r="F890" s="215" t="n"/>
      <c r="G890" s="215" t="n"/>
      <c r="H890" s="215" t="n"/>
      <c r="I890" s="215" t="n"/>
      <c r="J890" s="215" t="n"/>
      <c r="K890" s="215" t="n"/>
      <c r="L890" s="217" t="n"/>
    </row>
    <row r="891">
      <c r="A891" s="220" t="n"/>
      <c r="B891" s="211" t="n"/>
      <c r="C891" s="211" t="n"/>
      <c r="D891" s="211" t="n"/>
      <c r="E891" s="221" t="n"/>
      <c r="F891" s="211" t="n"/>
      <c r="G891" s="211" t="n"/>
      <c r="H891" s="211" t="n"/>
      <c r="I891" s="211" t="n"/>
      <c r="J891" s="211" t="n"/>
      <c r="K891" s="211" t="n"/>
      <c r="L891" s="213" t="n"/>
    </row>
    <row r="892">
      <c r="A892" s="218" t="n"/>
      <c r="B892" s="215" t="n"/>
      <c r="C892" s="215" t="n"/>
      <c r="D892" s="215" t="n"/>
      <c r="E892" s="219" t="n"/>
      <c r="F892" s="215" t="n"/>
      <c r="G892" s="215" t="n"/>
      <c r="H892" s="215" t="n"/>
      <c r="I892" s="215" t="n"/>
      <c r="J892" s="215" t="n"/>
      <c r="K892" s="215" t="n"/>
      <c r="L892" s="217" t="n"/>
    </row>
    <row r="893">
      <c r="A893" s="220" t="n"/>
      <c r="B893" s="211" t="n"/>
      <c r="C893" s="211" t="n"/>
      <c r="D893" s="211" t="n"/>
      <c r="E893" s="221" t="n"/>
      <c r="F893" s="211" t="n"/>
      <c r="G893" s="211" t="n"/>
      <c r="H893" s="211" t="n"/>
      <c r="I893" s="211" t="n"/>
      <c r="J893" s="211" t="n"/>
      <c r="K893" s="211" t="n"/>
      <c r="L893" s="213" t="n"/>
    </row>
    <row r="894">
      <c r="A894" s="218" t="n"/>
      <c r="B894" s="215" t="n"/>
      <c r="C894" s="215" t="n"/>
      <c r="D894" s="215" t="n"/>
      <c r="E894" s="219" t="n"/>
      <c r="F894" s="215" t="n"/>
      <c r="G894" s="215" t="n"/>
      <c r="H894" s="215" t="n"/>
      <c r="I894" s="215" t="n"/>
      <c r="J894" s="215" t="n"/>
      <c r="K894" s="215" t="n"/>
      <c r="L894" s="217" t="n"/>
    </row>
    <row r="895">
      <c r="A895" s="220" t="n"/>
      <c r="B895" s="211" t="n"/>
      <c r="C895" s="211" t="n"/>
      <c r="D895" s="211" t="n"/>
      <c r="E895" s="221" t="n"/>
      <c r="F895" s="211" t="n"/>
      <c r="G895" s="211" t="n"/>
      <c r="H895" s="211" t="n"/>
      <c r="I895" s="211" t="n"/>
      <c r="J895" s="211" t="n"/>
      <c r="K895" s="211" t="n"/>
      <c r="L895" s="213" t="n"/>
    </row>
    <row r="896">
      <c r="A896" s="218" t="n"/>
      <c r="B896" s="215" t="n"/>
      <c r="C896" s="215" t="n"/>
      <c r="D896" s="215" t="n"/>
      <c r="E896" s="219" t="n"/>
      <c r="F896" s="215" t="n"/>
      <c r="G896" s="215" t="n"/>
      <c r="H896" s="215" t="n"/>
      <c r="I896" s="215" t="n"/>
      <c r="J896" s="215" t="n"/>
      <c r="K896" s="215" t="n"/>
      <c r="L896" s="217" t="n"/>
    </row>
    <row r="897">
      <c r="A897" s="220" t="n"/>
      <c r="B897" s="211" t="n"/>
      <c r="C897" s="211" t="n"/>
      <c r="D897" s="211" t="n"/>
      <c r="E897" s="221" t="n"/>
      <c r="F897" s="211" t="n"/>
      <c r="G897" s="211" t="n"/>
      <c r="H897" s="211" t="n"/>
      <c r="I897" s="211" t="n"/>
      <c r="J897" s="211" t="n"/>
      <c r="K897" s="211" t="n"/>
      <c r="L897" s="213" t="n"/>
    </row>
    <row r="898">
      <c r="A898" s="218" t="n"/>
      <c r="B898" s="215" t="n"/>
      <c r="C898" s="215" t="n"/>
      <c r="D898" s="215" t="n"/>
      <c r="E898" s="219" t="n"/>
      <c r="F898" s="215" t="n"/>
      <c r="G898" s="215" t="n"/>
      <c r="H898" s="215" t="n"/>
      <c r="I898" s="215" t="n"/>
      <c r="J898" s="215" t="n"/>
      <c r="K898" s="215" t="n"/>
      <c r="L898" s="217" t="n"/>
    </row>
    <row r="899">
      <c r="A899" s="220" t="n"/>
      <c r="B899" s="211" t="n"/>
      <c r="C899" s="211" t="n"/>
      <c r="D899" s="211" t="n"/>
      <c r="E899" s="221" t="n"/>
      <c r="F899" s="211" t="n"/>
      <c r="G899" s="211" t="n"/>
      <c r="H899" s="211" t="n"/>
      <c r="I899" s="211" t="n"/>
      <c r="J899" s="211" t="n"/>
      <c r="K899" s="211" t="n"/>
      <c r="L899" s="213" t="n"/>
    </row>
    <row r="900">
      <c r="A900" s="218" t="n"/>
      <c r="B900" s="215" t="n"/>
      <c r="C900" s="215" t="n"/>
      <c r="D900" s="215" t="n"/>
      <c r="E900" s="219" t="n"/>
      <c r="F900" s="215" t="n"/>
      <c r="G900" s="215" t="n"/>
      <c r="H900" s="215" t="n"/>
      <c r="I900" s="215" t="n"/>
      <c r="J900" s="215" t="n"/>
      <c r="K900" s="215" t="n"/>
      <c r="L900" s="217" t="n"/>
    </row>
    <row r="901">
      <c r="A901" s="220" t="n"/>
      <c r="B901" s="211" t="n"/>
      <c r="C901" s="211" t="n"/>
      <c r="D901" s="211" t="n"/>
      <c r="E901" s="221" t="n"/>
      <c r="F901" s="211" t="n"/>
      <c r="G901" s="211" t="n"/>
      <c r="H901" s="211" t="n"/>
      <c r="I901" s="211" t="n"/>
      <c r="J901" s="211" t="n"/>
      <c r="K901" s="211" t="n"/>
      <c r="L901" s="213" t="n"/>
    </row>
    <row r="902">
      <c r="A902" s="218" t="n"/>
      <c r="B902" s="215" t="n"/>
      <c r="C902" s="215" t="n"/>
      <c r="D902" s="215" t="n"/>
      <c r="E902" s="219" t="n"/>
      <c r="F902" s="215" t="n"/>
      <c r="G902" s="215" t="n"/>
      <c r="H902" s="215" t="n"/>
      <c r="I902" s="215" t="n"/>
      <c r="J902" s="215" t="n"/>
      <c r="K902" s="215" t="n"/>
      <c r="L902" s="217" t="n"/>
    </row>
    <row r="903">
      <c r="A903" s="220" t="n"/>
      <c r="B903" s="211" t="n"/>
      <c r="C903" s="211" t="n"/>
      <c r="D903" s="211" t="n"/>
      <c r="E903" s="221" t="n"/>
      <c r="F903" s="211" t="n"/>
      <c r="G903" s="211" t="n"/>
      <c r="H903" s="211" t="n"/>
      <c r="I903" s="211" t="n"/>
      <c r="J903" s="211" t="n"/>
      <c r="K903" s="211" t="n"/>
      <c r="L903" s="213" t="n"/>
    </row>
    <row r="904">
      <c r="A904" s="218" t="n"/>
      <c r="B904" s="215" t="n"/>
      <c r="C904" s="215" t="n"/>
      <c r="D904" s="215" t="n"/>
      <c r="E904" s="219" t="n"/>
      <c r="F904" s="215" t="n"/>
      <c r="G904" s="215" t="n"/>
      <c r="H904" s="215" t="n"/>
      <c r="I904" s="215" t="n"/>
      <c r="J904" s="215" t="n"/>
      <c r="K904" s="215" t="n"/>
      <c r="L904" s="217" t="n"/>
    </row>
    <row r="905">
      <c r="A905" s="220" t="n"/>
      <c r="B905" s="211" t="n"/>
      <c r="C905" s="211" t="n"/>
      <c r="D905" s="211" t="n"/>
      <c r="E905" s="221" t="n"/>
      <c r="F905" s="211" t="n"/>
      <c r="G905" s="211" t="n"/>
      <c r="H905" s="211" t="n"/>
      <c r="I905" s="211" t="n"/>
      <c r="J905" s="211" t="n"/>
      <c r="K905" s="211" t="n"/>
      <c r="L905" s="213" t="n"/>
    </row>
    <row r="906">
      <c r="A906" s="218" t="n"/>
      <c r="B906" s="215" t="n"/>
      <c r="C906" s="215" t="n"/>
      <c r="D906" s="215" t="n"/>
      <c r="E906" s="219" t="n"/>
      <c r="F906" s="215" t="n"/>
      <c r="G906" s="215" t="n"/>
      <c r="H906" s="215" t="n"/>
      <c r="I906" s="215" t="n"/>
      <c r="J906" s="215" t="n"/>
      <c r="K906" s="215" t="n"/>
      <c r="L906" s="217" t="n"/>
    </row>
    <row r="907">
      <c r="A907" s="220" t="n"/>
      <c r="B907" s="211" t="n"/>
      <c r="C907" s="211" t="n"/>
      <c r="D907" s="211" t="n"/>
      <c r="E907" s="221" t="n"/>
      <c r="F907" s="211" t="n"/>
      <c r="G907" s="211" t="n"/>
      <c r="H907" s="211" t="n"/>
      <c r="I907" s="211" t="n"/>
      <c r="J907" s="211" t="n"/>
      <c r="K907" s="211" t="n"/>
      <c r="L907" s="213" t="n"/>
    </row>
    <row r="908">
      <c r="A908" s="218" t="n"/>
      <c r="B908" s="215" t="n"/>
      <c r="C908" s="215" t="n"/>
      <c r="D908" s="215" t="n"/>
      <c r="E908" s="219" t="n"/>
      <c r="F908" s="215" t="n"/>
      <c r="G908" s="215" t="n"/>
      <c r="H908" s="215" t="n"/>
      <c r="I908" s="215" t="n"/>
      <c r="J908" s="215" t="n"/>
      <c r="K908" s="215" t="n"/>
      <c r="L908" s="217" t="n"/>
    </row>
    <row r="909">
      <c r="A909" s="220" t="n"/>
      <c r="B909" s="211" t="n"/>
      <c r="C909" s="211" t="n"/>
      <c r="D909" s="211" t="n"/>
      <c r="E909" s="221" t="n"/>
      <c r="F909" s="211" t="n"/>
      <c r="G909" s="211" t="n"/>
      <c r="H909" s="211" t="n"/>
      <c r="I909" s="211" t="n"/>
      <c r="J909" s="211" t="n"/>
      <c r="K909" s="211" t="n"/>
      <c r="L909" s="213" t="n"/>
    </row>
    <row r="910">
      <c r="A910" s="218" t="n"/>
      <c r="B910" s="215" t="n"/>
      <c r="C910" s="215" t="n"/>
      <c r="D910" s="215" t="n"/>
      <c r="E910" s="219" t="n"/>
      <c r="F910" s="215" t="n"/>
      <c r="G910" s="215" t="n"/>
      <c r="H910" s="215" t="n"/>
      <c r="I910" s="215" t="n"/>
      <c r="J910" s="215" t="n"/>
      <c r="K910" s="215" t="n"/>
      <c r="L910" s="217" t="n"/>
    </row>
    <row r="911">
      <c r="A911" s="220" t="n"/>
      <c r="B911" s="211" t="n"/>
      <c r="C911" s="211" t="n"/>
      <c r="D911" s="211" t="n"/>
      <c r="E911" s="221" t="n"/>
      <c r="F911" s="211" t="n"/>
      <c r="G911" s="211" t="n"/>
      <c r="H911" s="211" t="n"/>
      <c r="I911" s="211" t="n"/>
      <c r="J911" s="211" t="n"/>
      <c r="K911" s="211" t="n"/>
      <c r="L911" s="213" t="n"/>
    </row>
    <row r="912">
      <c r="A912" s="218" t="n"/>
      <c r="B912" s="215" t="n"/>
      <c r="C912" s="215" t="n"/>
      <c r="D912" s="215" t="n"/>
      <c r="E912" s="219" t="n"/>
      <c r="F912" s="215" t="n"/>
      <c r="G912" s="215" t="n"/>
      <c r="H912" s="215" t="n"/>
      <c r="I912" s="215" t="n"/>
      <c r="J912" s="215" t="n"/>
      <c r="K912" s="215" t="n"/>
      <c r="L912" s="217" t="n"/>
    </row>
    <row r="913">
      <c r="A913" s="220" t="n"/>
      <c r="B913" s="211" t="n"/>
      <c r="C913" s="211" t="n"/>
      <c r="D913" s="211" t="n"/>
      <c r="E913" s="221" t="n"/>
      <c r="F913" s="211" t="n"/>
      <c r="G913" s="211" t="n"/>
      <c r="H913" s="211" t="n"/>
      <c r="I913" s="211" t="n"/>
      <c r="J913" s="211" t="n"/>
      <c r="K913" s="211" t="n"/>
      <c r="L913" s="213" t="n"/>
    </row>
    <row r="914">
      <c r="A914" s="218" t="n"/>
      <c r="B914" s="215" t="n"/>
      <c r="C914" s="215" t="n"/>
      <c r="D914" s="215" t="n"/>
      <c r="E914" s="219" t="n"/>
      <c r="F914" s="215" t="n"/>
      <c r="G914" s="215" t="n"/>
      <c r="H914" s="215" t="n"/>
      <c r="I914" s="215" t="n"/>
      <c r="J914" s="215" t="n"/>
      <c r="K914" s="215" t="n"/>
      <c r="L914" s="217" t="n"/>
    </row>
    <row r="915">
      <c r="A915" s="220" t="n"/>
      <c r="B915" s="211" t="n"/>
      <c r="C915" s="211" t="n"/>
      <c r="D915" s="211" t="n"/>
      <c r="E915" s="221" t="n"/>
      <c r="F915" s="211" t="n"/>
      <c r="G915" s="211" t="n"/>
      <c r="H915" s="211" t="n"/>
      <c r="I915" s="211" t="n"/>
      <c r="J915" s="211" t="n"/>
      <c r="K915" s="211" t="n"/>
      <c r="L915" s="213" t="n"/>
    </row>
    <row r="916">
      <c r="A916" s="218" t="n"/>
      <c r="B916" s="215" t="n"/>
      <c r="C916" s="215" t="n"/>
      <c r="D916" s="215" t="n"/>
      <c r="E916" s="219" t="n"/>
      <c r="F916" s="215" t="n"/>
      <c r="G916" s="215" t="n"/>
      <c r="H916" s="215" t="n"/>
      <c r="I916" s="215" t="n"/>
      <c r="J916" s="215" t="n"/>
      <c r="K916" s="215" t="n"/>
      <c r="L916" s="217" t="n"/>
    </row>
    <row r="917">
      <c r="A917" s="220" t="n"/>
      <c r="B917" s="211" t="n"/>
      <c r="C917" s="211" t="n"/>
      <c r="D917" s="211" t="n"/>
      <c r="E917" s="221" t="n"/>
      <c r="F917" s="211" t="n"/>
      <c r="G917" s="211" t="n"/>
      <c r="H917" s="211" t="n"/>
      <c r="I917" s="211" t="n"/>
      <c r="J917" s="211" t="n"/>
      <c r="K917" s="211" t="n"/>
      <c r="L917" s="213" t="n"/>
    </row>
    <row r="918">
      <c r="A918" s="218" t="n"/>
      <c r="B918" s="215" t="n"/>
      <c r="C918" s="215" t="n"/>
      <c r="D918" s="215" t="n"/>
      <c r="E918" s="219" t="n"/>
      <c r="F918" s="215" t="n"/>
      <c r="G918" s="215" t="n"/>
      <c r="H918" s="215" t="n"/>
      <c r="I918" s="215" t="n"/>
      <c r="J918" s="215" t="n"/>
      <c r="K918" s="215" t="n"/>
      <c r="L918" s="217" t="n"/>
    </row>
    <row r="919">
      <c r="A919" s="220" t="n"/>
      <c r="B919" s="211" t="n"/>
      <c r="C919" s="211" t="n"/>
      <c r="D919" s="211" t="n"/>
      <c r="E919" s="221" t="n"/>
      <c r="F919" s="211" t="n"/>
      <c r="G919" s="211" t="n"/>
      <c r="H919" s="211" t="n"/>
      <c r="I919" s="211" t="n"/>
      <c r="J919" s="211" t="n"/>
      <c r="K919" s="211" t="n"/>
      <c r="L919" s="213" t="n"/>
    </row>
    <row r="920">
      <c r="A920" s="218" t="n"/>
      <c r="B920" s="215" t="n"/>
      <c r="C920" s="215" t="n"/>
      <c r="D920" s="215" t="n"/>
      <c r="E920" s="219" t="n"/>
      <c r="F920" s="215" t="n"/>
      <c r="G920" s="215" t="n"/>
      <c r="H920" s="215" t="n"/>
      <c r="I920" s="215" t="n"/>
      <c r="J920" s="215" t="n"/>
      <c r="K920" s="215" t="n"/>
      <c r="L920" s="217" t="n"/>
    </row>
    <row r="921">
      <c r="A921" s="220" t="n"/>
      <c r="B921" s="211" t="n"/>
      <c r="C921" s="211" t="n"/>
      <c r="D921" s="211" t="n"/>
      <c r="E921" s="221" t="n"/>
      <c r="F921" s="211" t="n"/>
      <c r="G921" s="211" t="n"/>
      <c r="H921" s="211" t="n"/>
      <c r="I921" s="211" t="n"/>
      <c r="J921" s="211" t="n"/>
      <c r="K921" s="211" t="n"/>
      <c r="L921" s="213" t="n"/>
    </row>
    <row r="922">
      <c r="A922" s="218" t="n"/>
      <c r="B922" s="215" t="n"/>
      <c r="C922" s="215" t="n"/>
      <c r="D922" s="215" t="n"/>
      <c r="E922" s="219" t="n"/>
      <c r="F922" s="215" t="n"/>
      <c r="G922" s="215" t="n"/>
      <c r="H922" s="215" t="n"/>
      <c r="I922" s="215" t="n"/>
      <c r="J922" s="215" t="n"/>
      <c r="K922" s="215" t="n"/>
      <c r="L922" s="217" t="n"/>
    </row>
    <row r="923">
      <c r="A923" s="220" t="n"/>
      <c r="B923" s="211" t="n"/>
      <c r="C923" s="211" t="n"/>
      <c r="D923" s="211" t="n"/>
      <c r="E923" s="221" t="n"/>
      <c r="F923" s="211" t="n"/>
      <c r="G923" s="211" t="n"/>
      <c r="H923" s="211" t="n"/>
      <c r="I923" s="211" t="n"/>
      <c r="J923" s="211" t="n"/>
      <c r="K923" s="211" t="n"/>
      <c r="L923" s="213" t="n"/>
    </row>
    <row r="924">
      <c r="A924" s="218" t="n"/>
      <c r="B924" s="215" t="n"/>
      <c r="C924" s="215" t="n"/>
      <c r="D924" s="215" t="n"/>
      <c r="E924" s="219" t="n"/>
      <c r="F924" s="215" t="n"/>
      <c r="G924" s="215" t="n"/>
      <c r="H924" s="215" t="n"/>
      <c r="I924" s="215" t="n"/>
      <c r="J924" s="215" t="n"/>
      <c r="K924" s="215" t="n"/>
      <c r="L924" s="217" t="n"/>
    </row>
    <row r="925">
      <c r="A925" s="220" t="n"/>
      <c r="B925" s="211" t="n"/>
      <c r="C925" s="211" t="n"/>
      <c r="D925" s="211" t="n"/>
      <c r="E925" s="221" t="n"/>
      <c r="F925" s="211" t="n"/>
      <c r="G925" s="211" t="n"/>
      <c r="H925" s="211" t="n"/>
      <c r="I925" s="211" t="n"/>
      <c r="J925" s="211" t="n"/>
      <c r="K925" s="211" t="n"/>
      <c r="L925" s="213" t="n"/>
    </row>
    <row r="926">
      <c r="A926" s="218" t="n"/>
      <c r="B926" s="215" t="n"/>
      <c r="C926" s="215" t="n"/>
      <c r="D926" s="215" t="n"/>
      <c r="E926" s="219" t="n"/>
      <c r="F926" s="215" t="n"/>
      <c r="G926" s="215" t="n"/>
      <c r="H926" s="215" t="n"/>
      <c r="I926" s="215" t="n"/>
      <c r="J926" s="215" t="n"/>
      <c r="K926" s="215" t="n"/>
      <c r="L926" s="217" t="n"/>
    </row>
    <row r="927">
      <c r="A927" s="220" t="n"/>
      <c r="B927" s="211" t="n"/>
      <c r="C927" s="211" t="n"/>
      <c r="D927" s="211" t="n"/>
      <c r="E927" s="221" t="n"/>
      <c r="F927" s="211" t="n"/>
      <c r="G927" s="211" t="n"/>
      <c r="H927" s="211" t="n"/>
      <c r="I927" s="211" t="n"/>
      <c r="J927" s="211" t="n"/>
      <c r="K927" s="211" t="n"/>
      <c r="L927" s="213" t="n"/>
    </row>
    <row r="928">
      <c r="A928" s="218" t="n"/>
      <c r="B928" s="215" t="n"/>
      <c r="C928" s="215" t="n"/>
      <c r="D928" s="215" t="n"/>
      <c r="E928" s="219" t="n"/>
      <c r="F928" s="215" t="n"/>
      <c r="G928" s="215" t="n"/>
      <c r="H928" s="215" t="n"/>
      <c r="I928" s="215" t="n"/>
      <c r="J928" s="215" t="n"/>
      <c r="K928" s="215" t="n"/>
      <c r="L928" s="217" t="n"/>
    </row>
    <row r="929">
      <c r="A929" s="220" t="n"/>
      <c r="B929" s="211" t="n"/>
      <c r="C929" s="211" t="n"/>
      <c r="D929" s="211" t="n"/>
      <c r="E929" s="221" t="n"/>
      <c r="F929" s="211" t="n"/>
      <c r="G929" s="211" t="n"/>
      <c r="H929" s="211" t="n"/>
      <c r="I929" s="211" t="n"/>
      <c r="J929" s="211" t="n"/>
      <c r="K929" s="211" t="n"/>
      <c r="L929" s="213" t="n"/>
    </row>
    <row r="930">
      <c r="A930" s="218" t="n"/>
      <c r="B930" s="215" t="n"/>
      <c r="C930" s="215" t="n"/>
      <c r="D930" s="215" t="n"/>
      <c r="E930" s="219" t="n"/>
      <c r="F930" s="215" t="n"/>
      <c r="G930" s="215" t="n"/>
      <c r="H930" s="215" t="n"/>
      <c r="I930" s="215" t="n"/>
      <c r="J930" s="215" t="n"/>
      <c r="K930" s="215" t="n"/>
      <c r="L930" s="217" t="n"/>
    </row>
    <row r="931">
      <c r="A931" s="220" t="n"/>
      <c r="B931" s="211" t="n"/>
      <c r="C931" s="211" t="n"/>
      <c r="D931" s="211" t="n"/>
      <c r="E931" s="221" t="n"/>
      <c r="F931" s="211" t="n"/>
      <c r="G931" s="211" t="n"/>
      <c r="H931" s="211" t="n"/>
      <c r="I931" s="211" t="n"/>
      <c r="J931" s="211" t="n"/>
      <c r="K931" s="211" t="n"/>
      <c r="L931" s="213" t="n"/>
    </row>
    <row r="932">
      <c r="A932" s="218" t="n"/>
      <c r="B932" s="215" t="n"/>
      <c r="C932" s="215" t="n"/>
      <c r="D932" s="215" t="n"/>
      <c r="E932" s="219" t="n"/>
      <c r="F932" s="215" t="n"/>
      <c r="G932" s="215" t="n"/>
      <c r="H932" s="215" t="n"/>
      <c r="I932" s="215" t="n"/>
      <c r="J932" s="215" t="n"/>
      <c r="K932" s="215" t="n"/>
      <c r="L932" s="217" t="n"/>
    </row>
    <row r="933">
      <c r="A933" s="220" t="n"/>
      <c r="B933" s="211" t="n"/>
      <c r="C933" s="211" t="n"/>
      <c r="D933" s="211" t="n"/>
      <c r="E933" s="221" t="n"/>
      <c r="F933" s="211" t="n"/>
      <c r="G933" s="211" t="n"/>
      <c r="H933" s="211" t="n"/>
      <c r="I933" s="211" t="n"/>
      <c r="J933" s="211" t="n"/>
      <c r="K933" s="211" t="n"/>
      <c r="L933" s="213" t="n"/>
    </row>
    <row r="934">
      <c r="A934" s="218" t="n"/>
      <c r="B934" s="215" t="n"/>
      <c r="C934" s="215" t="n"/>
      <c r="D934" s="215" t="n"/>
      <c r="E934" s="219" t="n"/>
      <c r="F934" s="215" t="n"/>
      <c r="G934" s="215" t="n"/>
      <c r="H934" s="215" t="n"/>
      <c r="I934" s="215" t="n"/>
      <c r="J934" s="215" t="n"/>
      <c r="K934" s="215" t="n"/>
      <c r="L934" s="217" t="n"/>
    </row>
    <row r="935">
      <c r="A935" s="220" t="n"/>
      <c r="B935" s="211" t="n"/>
      <c r="C935" s="211" t="n"/>
      <c r="D935" s="211" t="n"/>
      <c r="E935" s="221" t="n"/>
      <c r="F935" s="211" t="n"/>
      <c r="G935" s="211" t="n"/>
      <c r="H935" s="211" t="n"/>
      <c r="I935" s="211" t="n"/>
      <c r="J935" s="211" t="n"/>
      <c r="K935" s="211" t="n"/>
      <c r="L935" s="213" t="n"/>
    </row>
    <row r="936">
      <c r="A936" s="218" t="n"/>
      <c r="B936" s="215" t="n"/>
      <c r="C936" s="215" t="n"/>
      <c r="D936" s="215" t="n"/>
      <c r="E936" s="219" t="n"/>
      <c r="F936" s="215" t="n"/>
      <c r="G936" s="215" t="n"/>
      <c r="H936" s="215" t="n"/>
      <c r="I936" s="215" t="n"/>
      <c r="J936" s="215" t="n"/>
      <c r="K936" s="215" t="n"/>
      <c r="L936" s="217" t="n"/>
    </row>
    <row r="937">
      <c r="A937" s="220" t="n"/>
      <c r="B937" s="211" t="n"/>
      <c r="C937" s="211" t="n"/>
      <c r="D937" s="211" t="n"/>
      <c r="E937" s="221" t="n"/>
      <c r="F937" s="211" t="n"/>
      <c r="G937" s="211" t="n"/>
      <c r="H937" s="211" t="n"/>
      <c r="I937" s="211" t="n"/>
      <c r="J937" s="211" t="n"/>
      <c r="K937" s="211" t="n"/>
      <c r="L937" s="213" t="n"/>
    </row>
    <row r="938">
      <c r="A938" s="218" t="n"/>
      <c r="B938" s="215" t="n"/>
      <c r="C938" s="215" t="n"/>
      <c r="D938" s="215" t="n"/>
      <c r="E938" s="219" t="n"/>
      <c r="F938" s="215" t="n"/>
      <c r="G938" s="215" t="n"/>
      <c r="H938" s="215" t="n"/>
      <c r="I938" s="215" t="n"/>
      <c r="J938" s="215" t="n"/>
      <c r="K938" s="215" t="n"/>
      <c r="L938" s="217" t="n"/>
    </row>
    <row r="939">
      <c r="A939" s="220" t="n"/>
      <c r="B939" s="211" t="n"/>
      <c r="C939" s="211" t="n"/>
      <c r="D939" s="211" t="n"/>
      <c r="E939" s="221" t="n"/>
      <c r="F939" s="211" t="n"/>
      <c r="G939" s="211" t="n"/>
      <c r="H939" s="211" t="n"/>
      <c r="I939" s="211" t="n"/>
      <c r="J939" s="211" t="n"/>
      <c r="K939" s="211" t="n"/>
      <c r="L939" s="213" t="n"/>
    </row>
    <row r="940">
      <c r="A940" s="218" t="n"/>
      <c r="B940" s="215" t="n"/>
      <c r="C940" s="215" t="n"/>
      <c r="D940" s="215" t="n"/>
      <c r="E940" s="219" t="n"/>
      <c r="F940" s="215" t="n"/>
      <c r="G940" s="215" t="n"/>
      <c r="H940" s="215" t="n"/>
      <c r="I940" s="215" t="n"/>
      <c r="J940" s="215" t="n"/>
      <c r="K940" s="215" t="n"/>
      <c r="L940" s="217" t="n"/>
    </row>
    <row r="941">
      <c r="A941" s="220" t="n"/>
      <c r="B941" s="211" t="n"/>
      <c r="C941" s="211" t="n"/>
      <c r="D941" s="211" t="n"/>
      <c r="E941" s="221" t="n"/>
      <c r="F941" s="211" t="n"/>
      <c r="G941" s="211" t="n"/>
      <c r="H941" s="211" t="n"/>
      <c r="I941" s="211" t="n"/>
      <c r="J941" s="211" t="n"/>
      <c r="K941" s="211" t="n"/>
      <c r="L941" s="213" t="n"/>
    </row>
    <row r="942">
      <c r="A942" s="218" t="n"/>
      <c r="B942" s="215" t="n"/>
      <c r="C942" s="215" t="n"/>
      <c r="D942" s="215" t="n"/>
      <c r="E942" s="219" t="n"/>
      <c r="F942" s="215" t="n"/>
      <c r="G942" s="215" t="n"/>
      <c r="H942" s="215" t="n"/>
      <c r="I942" s="215" t="n"/>
      <c r="J942" s="215" t="n"/>
      <c r="K942" s="215" t="n"/>
      <c r="L942" s="217" t="n"/>
    </row>
    <row r="943">
      <c r="A943" s="220" t="n"/>
      <c r="B943" s="211" t="n"/>
      <c r="C943" s="211" t="n"/>
      <c r="D943" s="211" t="n"/>
      <c r="E943" s="221" t="n"/>
      <c r="F943" s="211" t="n"/>
      <c r="G943" s="211" t="n"/>
      <c r="H943" s="211" t="n"/>
      <c r="I943" s="211" t="n"/>
      <c r="J943" s="211" t="n"/>
      <c r="K943" s="211" t="n"/>
      <c r="L943" s="213" t="n"/>
    </row>
    <row r="944">
      <c r="A944" s="218" t="n"/>
      <c r="B944" s="215" t="n"/>
      <c r="C944" s="215" t="n"/>
      <c r="D944" s="215" t="n"/>
      <c r="E944" s="219" t="n"/>
      <c r="F944" s="215" t="n"/>
      <c r="G944" s="215" t="n"/>
      <c r="H944" s="215" t="n"/>
      <c r="I944" s="215" t="n"/>
      <c r="J944" s="215" t="n"/>
      <c r="K944" s="215" t="n"/>
      <c r="L944" s="217" t="n"/>
    </row>
    <row r="945">
      <c r="A945" s="220" t="n"/>
      <c r="B945" s="211" t="n"/>
      <c r="C945" s="211" t="n"/>
      <c r="D945" s="211" t="n"/>
      <c r="E945" s="221" t="n"/>
      <c r="F945" s="211" t="n"/>
      <c r="G945" s="211" t="n"/>
      <c r="H945" s="211" t="n"/>
      <c r="I945" s="211" t="n"/>
      <c r="J945" s="211" t="n"/>
      <c r="K945" s="211" t="n"/>
      <c r="L945" s="213" t="n"/>
    </row>
    <row r="946">
      <c r="A946" s="218" t="n"/>
      <c r="B946" s="215" t="n"/>
      <c r="C946" s="215" t="n"/>
      <c r="D946" s="215" t="n"/>
      <c r="E946" s="219" t="n"/>
      <c r="F946" s="215" t="n"/>
      <c r="G946" s="215" t="n"/>
      <c r="H946" s="215" t="n"/>
      <c r="I946" s="215" t="n"/>
      <c r="J946" s="215" t="n"/>
      <c r="K946" s="215" t="n"/>
      <c r="L946" s="217" t="n"/>
    </row>
    <row r="947">
      <c r="A947" s="220" t="n"/>
      <c r="B947" s="211" t="n"/>
      <c r="C947" s="211" t="n"/>
      <c r="D947" s="211" t="n"/>
      <c r="E947" s="221" t="n"/>
      <c r="F947" s="211" t="n"/>
      <c r="G947" s="211" t="n"/>
      <c r="H947" s="211" t="n"/>
      <c r="I947" s="211" t="n"/>
      <c r="J947" s="211" t="n"/>
      <c r="K947" s="211" t="n"/>
      <c r="L947" s="213" t="n"/>
    </row>
    <row r="948">
      <c r="A948" s="218" t="n"/>
      <c r="B948" s="215" t="n"/>
      <c r="C948" s="215" t="n"/>
      <c r="D948" s="215" t="n"/>
      <c r="E948" s="219" t="n"/>
      <c r="F948" s="215" t="n"/>
      <c r="G948" s="215" t="n"/>
      <c r="H948" s="215" t="n"/>
      <c r="I948" s="215" t="n"/>
      <c r="J948" s="215" t="n"/>
      <c r="K948" s="215" t="n"/>
      <c r="L948" s="217" t="n"/>
    </row>
    <row r="949">
      <c r="A949" s="220" t="n"/>
      <c r="B949" s="211" t="n"/>
      <c r="C949" s="211" t="n"/>
      <c r="D949" s="211" t="n"/>
      <c r="E949" s="221" t="n"/>
      <c r="F949" s="211" t="n"/>
      <c r="G949" s="211" t="n"/>
      <c r="H949" s="211" t="n"/>
      <c r="I949" s="211" t="n"/>
      <c r="J949" s="211" t="n"/>
      <c r="K949" s="211" t="n"/>
      <c r="L949" s="213" t="n"/>
    </row>
    <row r="950">
      <c r="A950" s="218" t="n"/>
      <c r="B950" s="215" t="n"/>
      <c r="C950" s="215" t="n"/>
      <c r="D950" s="215" t="n"/>
      <c r="E950" s="219" t="n"/>
      <c r="F950" s="215" t="n"/>
      <c r="G950" s="215" t="n"/>
      <c r="H950" s="215" t="n"/>
      <c r="I950" s="215" t="n"/>
      <c r="J950" s="215" t="n"/>
      <c r="K950" s="215" t="n"/>
      <c r="L950" s="217" t="n"/>
    </row>
    <row r="951">
      <c r="A951" s="220" t="n"/>
      <c r="B951" s="211" t="n"/>
      <c r="C951" s="211" t="n"/>
      <c r="D951" s="211" t="n"/>
      <c r="E951" s="221" t="n"/>
      <c r="F951" s="211" t="n"/>
      <c r="G951" s="211" t="n"/>
      <c r="H951" s="211" t="n"/>
      <c r="I951" s="211" t="n"/>
      <c r="J951" s="211" t="n"/>
      <c r="K951" s="211" t="n"/>
      <c r="L951" s="213" t="n"/>
    </row>
    <row r="952">
      <c r="A952" s="218" t="n"/>
      <c r="B952" s="215" t="n"/>
      <c r="C952" s="215" t="n"/>
      <c r="D952" s="215" t="n"/>
      <c r="E952" s="219" t="n"/>
      <c r="F952" s="215" t="n"/>
      <c r="G952" s="215" t="n"/>
      <c r="H952" s="215" t="n"/>
      <c r="I952" s="215" t="n"/>
      <c r="J952" s="215" t="n"/>
      <c r="K952" s="215" t="n"/>
      <c r="L952" s="217" t="n"/>
    </row>
    <row r="953">
      <c r="A953" s="220" t="n"/>
      <c r="B953" s="211" t="n"/>
      <c r="C953" s="211" t="n"/>
      <c r="D953" s="211" t="n"/>
      <c r="E953" s="221" t="n"/>
      <c r="F953" s="211" t="n"/>
      <c r="G953" s="211" t="n"/>
      <c r="H953" s="211" t="n"/>
      <c r="I953" s="211" t="n"/>
      <c r="J953" s="211" t="n"/>
      <c r="K953" s="211" t="n"/>
      <c r="L953" s="213" t="n"/>
    </row>
    <row r="954">
      <c r="A954" s="218" t="n"/>
      <c r="B954" s="215" t="n"/>
      <c r="C954" s="215" t="n"/>
      <c r="D954" s="215" t="n"/>
      <c r="E954" s="219" t="n"/>
      <c r="F954" s="215" t="n"/>
      <c r="G954" s="215" t="n"/>
      <c r="H954" s="215" t="n"/>
      <c r="I954" s="215" t="n"/>
      <c r="J954" s="215" t="n"/>
      <c r="K954" s="215" t="n"/>
      <c r="L954" s="217" t="n"/>
    </row>
    <row r="955">
      <c r="A955" s="220" t="n"/>
      <c r="B955" s="211" t="n"/>
      <c r="C955" s="211" t="n"/>
      <c r="D955" s="211" t="n"/>
      <c r="E955" s="221" t="n"/>
      <c r="F955" s="211" t="n"/>
      <c r="G955" s="211" t="n"/>
      <c r="H955" s="211" t="n"/>
      <c r="I955" s="211" t="n"/>
      <c r="J955" s="211" t="n"/>
      <c r="K955" s="211" t="n"/>
      <c r="L955" s="213" t="n"/>
    </row>
    <row r="956">
      <c r="A956" s="218" t="n"/>
      <c r="B956" s="215" t="n"/>
      <c r="C956" s="215" t="n"/>
      <c r="D956" s="215" t="n"/>
      <c r="E956" s="219" t="n"/>
      <c r="F956" s="215" t="n"/>
      <c r="G956" s="215" t="n"/>
      <c r="H956" s="215" t="n"/>
      <c r="I956" s="215" t="n"/>
      <c r="J956" s="215" t="n"/>
      <c r="K956" s="215" t="n"/>
      <c r="L956" s="217" t="n"/>
    </row>
    <row r="957">
      <c r="A957" s="220" t="n"/>
      <c r="B957" s="211" t="n"/>
      <c r="C957" s="211" t="n"/>
      <c r="D957" s="211" t="n"/>
      <c r="E957" s="221" t="n"/>
      <c r="F957" s="211" t="n"/>
      <c r="G957" s="211" t="n"/>
      <c r="H957" s="211" t="n"/>
      <c r="I957" s="211" t="n"/>
      <c r="J957" s="211" t="n"/>
      <c r="K957" s="211" t="n"/>
      <c r="L957" s="213" t="n"/>
    </row>
    <row r="958">
      <c r="A958" s="218" t="n"/>
      <c r="B958" s="215" t="n"/>
      <c r="C958" s="215" t="n"/>
      <c r="D958" s="215" t="n"/>
      <c r="E958" s="219" t="n"/>
      <c r="F958" s="215" t="n"/>
      <c r="G958" s="215" t="n"/>
      <c r="H958" s="215" t="n"/>
      <c r="I958" s="215" t="n"/>
      <c r="J958" s="215" t="n"/>
      <c r="K958" s="215" t="n"/>
      <c r="L958" s="217" t="n"/>
    </row>
    <row r="959">
      <c r="A959" s="220" t="n"/>
      <c r="B959" s="211" t="n"/>
      <c r="C959" s="211" t="n"/>
      <c r="D959" s="211" t="n"/>
      <c r="E959" s="221" t="n"/>
      <c r="F959" s="211" t="n"/>
      <c r="G959" s="211" t="n"/>
      <c r="H959" s="211" t="n"/>
      <c r="I959" s="211" t="n"/>
      <c r="J959" s="211" t="n"/>
      <c r="K959" s="211" t="n"/>
      <c r="L959" s="213" t="n"/>
    </row>
    <row r="960">
      <c r="A960" s="218" t="n"/>
      <c r="B960" s="215" t="n"/>
      <c r="C960" s="215" t="n"/>
      <c r="D960" s="215" t="n"/>
      <c r="E960" s="219" t="n"/>
      <c r="F960" s="215" t="n"/>
      <c r="G960" s="215" t="n"/>
      <c r="H960" s="215" t="n"/>
      <c r="I960" s="215" t="n"/>
      <c r="J960" s="215" t="n"/>
      <c r="K960" s="215" t="n"/>
      <c r="L960" s="217" t="n"/>
    </row>
    <row r="961">
      <c r="A961" s="220" t="n"/>
      <c r="B961" s="211" t="n"/>
      <c r="C961" s="211" t="n"/>
      <c r="D961" s="211" t="n"/>
      <c r="E961" s="221" t="n"/>
      <c r="F961" s="211" t="n"/>
      <c r="G961" s="211" t="n"/>
      <c r="H961" s="211" t="n"/>
      <c r="I961" s="211" t="n"/>
      <c r="J961" s="211" t="n"/>
      <c r="K961" s="211" t="n"/>
      <c r="L961" s="213" t="n"/>
    </row>
    <row r="962">
      <c r="A962" s="218" t="n"/>
      <c r="B962" s="215" t="n"/>
      <c r="C962" s="215" t="n"/>
      <c r="D962" s="215" t="n"/>
      <c r="E962" s="219" t="n"/>
      <c r="F962" s="215" t="n"/>
      <c r="G962" s="215" t="n"/>
      <c r="H962" s="215" t="n"/>
      <c r="I962" s="215" t="n"/>
      <c r="J962" s="215" t="n"/>
      <c r="K962" s="215" t="n"/>
      <c r="L962" s="217" t="n"/>
    </row>
    <row r="963">
      <c r="A963" s="220" t="n"/>
      <c r="B963" s="211" t="n"/>
      <c r="C963" s="211" t="n"/>
      <c r="D963" s="211" t="n"/>
      <c r="E963" s="221" t="n"/>
      <c r="F963" s="211" t="n"/>
      <c r="G963" s="211" t="n"/>
      <c r="H963" s="211" t="n"/>
      <c r="I963" s="211" t="n"/>
      <c r="J963" s="211" t="n"/>
      <c r="K963" s="211" t="n"/>
      <c r="L963" s="213" t="n"/>
    </row>
    <row r="964">
      <c r="A964" s="218" t="n"/>
      <c r="B964" s="215" t="n"/>
      <c r="C964" s="215" t="n"/>
      <c r="D964" s="215" t="n"/>
      <c r="E964" s="219" t="n"/>
      <c r="F964" s="215" t="n"/>
      <c r="G964" s="215" t="n"/>
      <c r="H964" s="215" t="n"/>
      <c r="I964" s="215" t="n"/>
      <c r="J964" s="215" t="n"/>
      <c r="K964" s="215" t="n"/>
      <c r="L964" s="217" t="n"/>
    </row>
    <row r="965">
      <c r="A965" s="220" t="n"/>
      <c r="B965" s="211" t="n"/>
      <c r="C965" s="211" t="n"/>
      <c r="D965" s="211" t="n"/>
      <c r="E965" s="221" t="n"/>
      <c r="F965" s="211" t="n"/>
      <c r="G965" s="211" t="n"/>
      <c r="H965" s="211" t="n"/>
      <c r="I965" s="211" t="n"/>
      <c r="J965" s="211" t="n"/>
      <c r="K965" s="211" t="n"/>
      <c r="L965" s="213" t="n"/>
    </row>
    <row r="966">
      <c r="A966" s="218" t="n"/>
      <c r="B966" s="215" t="n"/>
      <c r="C966" s="215" t="n"/>
      <c r="D966" s="215" t="n"/>
      <c r="E966" s="219" t="n"/>
      <c r="F966" s="215" t="n"/>
      <c r="G966" s="215" t="n"/>
      <c r="H966" s="215" t="n"/>
      <c r="I966" s="215" t="n"/>
      <c r="J966" s="215" t="n"/>
      <c r="K966" s="215" t="n"/>
      <c r="L966" s="217" t="n"/>
    </row>
    <row r="967">
      <c r="A967" s="220" t="n"/>
      <c r="B967" s="211" t="n"/>
      <c r="C967" s="211" t="n"/>
      <c r="D967" s="211" t="n"/>
      <c r="E967" s="221" t="n"/>
      <c r="F967" s="211" t="n"/>
      <c r="G967" s="211" t="n"/>
      <c r="H967" s="211" t="n"/>
      <c r="I967" s="211" t="n"/>
      <c r="J967" s="211" t="n"/>
      <c r="K967" s="211" t="n"/>
      <c r="L967" s="213" t="n"/>
    </row>
    <row r="968">
      <c r="A968" s="218" t="n"/>
      <c r="B968" s="215" t="n"/>
      <c r="C968" s="215" t="n"/>
      <c r="D968" s="215" t="n"/>
      <c r="E968" s="219" t="n"/>
      <c r="F968" s="215" t="n"/>
      <c r="G968" s="215" t="n"/>
      <c r="H968" s="215" t="n"/>
      <c r="I968" s="215" t="n"/>
      <c r="J968" s="215" t="n"/>
      <c r="K968" s="215" t="n"/>
      <c r="L968" s="217" t="n"/>
    </row>
    <row r="969">
      <c r="A969" s="220" t="n"/>
      <c r="B969" s="211" t="n"/>
      <c r="C969" s="211" t="n"/>
      <c r="D969" s="211" t="n"/>
      <c r="E969" s="221" t="n"/>
      <c r="F969" s="211" t="n"/>
      <c r="G969" s="211" t="n"/>
      <c r="H969" s="211" t="n"/>
      <c r="I969" s="211" t="n"/>
      <c r="J969" s="211" t="n"/>
      <c r="K969" s="211" t="n"/>
      <c r="L969" s="213" t="n"/>
    </row>
    <row r="970">
      <c r="A970" s="218" t="n"/>
      <c r="B970" s="215" t="n"/>
      <c r="C970" s="215" t="n"/>
      <c r="D970" s="215" t="n"/>
      <c r="E970" s="219" t="n"/>
      <c r="F970" s="215" t="n"/>
      <c r="G970" s="215" t="n"/>
      <c r="H970" s="215" t="n"/>
      <c r="I970" s="215" t="n"/>
      <c r="J970" s="215" t="n"/>
      <c r="K970" s="215" t="n"/>
      <c r="L970" s="217" t="n"/>
    </row>
    <row r="971">
      <c r="A971" s="220" t="n"/>
      <c r="B971" s="211" t="n"/>
      <c r="C971" s="211" t="n"/>
      <c r="D971" s="211" t="n"/>
      <c r="E971" s="221" t="n"/>
      <c r="F971" s="211" t="n"/>
      <c r="G971" s="211" t="n"/>
      <c r="H971" s="211" t="n"/>
      <c r="I971" s="211" t="n"/>
      <c r="J971" s="211" t="n"/>
      <c r="K971" s="211" t="n"/>
      <c r="L971" s="213" t="n"/>
    </row>
    <row r="972">
      <c r="A972" s="218" t="n"/>
      <c r="B972" s="215" t="n"/>
      <c r="C972" s="215" t="n"/>
      <c r="D972" s="215" t="n"/>
      <c r="E972" s="219" t="n"/>
      <c r="F972" s="215" t="n"/>
      <c r="G972" s="215" t="n"/>
      <c r="H972" s="215" t="n"/>
      <c r="I972" s="215" t="n"/>
      <c r="J972" s="215" t="n"/>
      <c r="K972" s="215" t="n"/>
      <c r="L972" s="217" t="n"/>
    </row>
    <row r="973">
      <c r="A973" s="220" t="n"/>
      <c r="B973" s="211" t="n"/>
      <c r="C973" s="211" t="n"/>
      <c r="D973" s="211" t="n"/>
      <c r="E973" s="221" t="n"/>
      <c r="F973" s="211" t="n"/>
      <c r="G973" s="211" t="n"/>
      <c r="H973" s="211" t="n"/>
      <c r="I973" s="211" t="n"/>
      <c r="J973" s="211" t="n"/>
      <c r="K973" s="211" t="n"/>
      <c r="L973" s="213" t="n"/>
    </row>
    <row r="974">
      <c r="A974" s="218" t="n"/>
      <c r="B974" s="215" t="n"/>
      <c r="C974" s="215" t="n"/>
      <c r="D974" s="215" t="n"/>
      <c r="E974" s="219" t="n"/>
      <c r="F974" s="215" t="n"/>
      <c r="G974" s="215" t="n"/>
      <c r="H974" s="215" t="n"/>
      <c r="I974" s="215" t="n"/>
      <c r="J974" s="215" t="n"/>
      <c r="K974" s="215" t="n"/>
      <c r="L974" s="217" t="n"/>
    </row>
    <row r="975">
      <c r="A975" s="220" t="n"/>
      <c r="B975" s="211" t="n"/>
      <c r="C975" s="211" t="n"/>
      <c r="D975" s="211" t="n"/>
      <c r="E975" s="221" t="n"/>
      <c r="F975" s="211" t="n"/>
      <c r="G975" s="211" t="n"/>
      <c r="H975" s="211" t="n"/>
      <c r="I975" s="211" t="n"/>
      <c r="J975" s="211" t="n"/>
      <c r="K975" s="211" t="n"/>
      <c r="L975" s="213" t="n"/>
    </row>
    <row r="976">
      <c r="A976" s="218" t="n"/>
      <c r="B976" s="215" t="n"/>
      <c r="C976" s="215" t="n"/>
      <c r="D976" s="215" t="n"/>
      <c r="E976" s="219" t="n"/>
      <c r="F976" s="215" t="n"/>
      <c r="G976" s="215" t="n"/>
      <c r="H976" s="215" t="n"/>
      <c r="I976" s="215" t="n"/>
      <c r="J976" s="215" t="n"/>
      <c r="K976" s="215" t="n"/>
      <c r="L976" s="217" t="n"/>
    </row>
    <row r="977">
      <c r="A977" s="220" t="n"/>
      <c r="B977" s="211" t="n"/>
      <c r="C977" s="211" t="n"/>
      <c r="D977" s="211" t="n"/>
      <c r="E977" s="221" t="n"/>
      <c r="F977" s="211" t="n"/>
      <c r="G977" s="211" t="n"/>
      <c r="H977" s="211" t="n"/>
      <c r="I977" s="211" t="n"/>
      <c r="J977" s="211" t="n"/>
      <c r="K977" s="211" t="n"/>
      <c r="L977" s="213" t="n"/>
    </row>
    <row r="978">
      <c r="A978" s="218" t="n"/>
      <c r="B978" s="215" t="n"/>
      <c r="C978" s="215" t="n"/>
      <c r="D978" s="215" t="n"/>
      <c r="E978" s="219" t="n"/>
      <c r="F978" s="215" t="n"/>
      <c r="G978" s="215" t="n"/>
      <c r="H978" s="215" t="n"/>
      <c r="I978" s="215" t="n"/>
      <c r="J978" s="215" t="n"/>
      <c r="K978" s="215" t="n"/>
      <c r="L978" s="217" t="n"/>
    </row>
    <row r="979">
      <c r="A979" s="220" t="n"/>
      <c r="B979" s="211" t="n"/>
      <c r="C979" s="211" t="n"/>
      <c r="D979" s="211" t="n"/>
      <c r="E979" s="221" t="n"/>
      <c r="F979" s="211" t="n"/>
      <c r="G979" s="211" t="n"/>
      <c r="H979" s="211" t="n"/>
      <c r="I979" s="211" t="n"/>
      <c r="J979" s="211" t="n"/>
      <c r="K979" s="211" t="n"/>
      <c r="L979" s="213" t="n"/>
    </row>
    <row r="980">
      <c r="A980" s="218" t="n"/>
      <c r="B980" s="215" t="n"/>
      <c r="C980" s="215" t="n"/>
      <c r="D980" s="215" t="n"/>
      <c r="E980" s="219" t="n"/>
      <c r="F980" s="215" t="n"/>
      <c r="G980" s="215" t="n"/>
      <c r="H980" s="215" t="n"/>
      <c r="I980" s="215" t="n"/>
      <c r="J980" s="215" t="n"/>
      <c r="K980" s="215" t="n"/>
      <c r="L980" s="217" t="n"/>
    </row>
    <row r="981">
      <c r="A981" s="220" t="n"/>
      <c r="B981" s="211" t="n"/>
      <c r="C981" s="211" t="n"/>
      <c r="D981" s="211" t="n"/>
      <c r="E981" s="221" t="n"/>
      <c r="F981" s="211" t="n"/>
      <c r="G981" s="211" t="n"/>
      <c r="H981" s="211" t="n"/>
      <c r="I981" s="211" t="n"/>
      <c r="J981" s="211" t="n"/>
      <c r="K981" s="211" t="n"/>
      <c r="L981" s="213" t="n"/>
    </row>
    <row r="982">
      <c r="A982" s="218" t="n"/>
      <c r="B982" s="215" t="n"/>
      <c r="C982" s="215" t="n"/>
      <c r="D982" s="215" t="n"/>
      <c r="E982" s="219" t="n"/>
      <c r="F982" s="215" t="n"/>
      <c r="G982" s="215" t="n"/>
      <c r="H982" s="215" t="n"/>
      <c r="I982" s="215" t="n"/>
      <c r="J982" s="215" t="n"/>
      <c r="K982" s="215" t="n"/>
      <c r="L982" s="217" t="n"/>
    </row>
    <row r="983">
      <c r="A983" s="220" t="n"/>
      <c r="B983" s="211" t="n"/>
      <c r="C983" s="211" t="n"/>
      <c r="D983" s="211" t="n"/>
      <c r="E983" s="221" t="n"/>
      <c r="F983" s="211" t="n"/>
      <c r="G983" s="211" t="n"/>
      <c r="H983" s="211" t="n"/>
      <c r="I983" s="211" t="n"/>
      <c r="J983" s="211" t="n"/>
      <c r="K983" s="211" t="n"/>
      <c r="L983" s="213" t="n"/>
    </row>
    <row r="984">
      <c r="A984" s="218" t="n"/>
      <c r="B984" s="215" t="n"/>
      <c r="C984" s="215" t="n"/>
      <c r="D984" s="215" t="n"/>
      <c r="E984" s="219" t="n"/>
      <c r="F984" s="215" t="n"/>
      <c r="G984" s="215" t="n"/>
      <c r="H984" s="215" t="n"/>
      <c r="I984" s="215" t="n"/>
      <c r="J984" s="215" t="n"/>
      <c r="K984" s="215" t="n"/>
      <c r="L984" s="217" t="n"/>
    </row>
    <row r="985">
      <c r="A985" s="220" t="n"/>
      <c r="B985" s="211" t="n"/>
      <c r="C985" s="211" t="n"/>
      <c r="D985" s="211" t="n"/>
      <c r="E985" s="221" t="n"/>
      <c r="F985" s="211" t="n"/>
      <c r="G985" s="211" t="n"/>
      <c r="H985" s="211" t="n"/>
      <c r="I985" s="211" t="n"/>
      <c r="J985" s="211" t="n"/>
      <c r="K985" s="211" t="n"/>
      <c r="L985" s="213" t="n"/>
    </row>
    <row r="986">
      <c r="A986" s="218" t="n"/>
      <c r="B986" s="215" t="n"/>
      <c r="C986" s="215" t="n"/>
      <c r="D986" s="215" t="n"/>
      <c r="E986" s="219" t="n"/>
      <c r="F986" s="215" t="n"/>
      <c r="G986" s="215" t="n"/>
      <c r="H986" s="215" t="n"/>
      <c r="I986" s="215" t="n"/>
      <c r="J986" s="215" t="n"/>
      <c r="K986" s="215" t="n"/>
      <c r="L986" s="217" t="n"/>
    </row>
    <row r="987">
      <c r="A987" s="220" t="n"/>
      <c r="B987" s="211" t="n"/>
      <c r="C987" s="211" t="n"/>
      <c r="D987" s="211" t="n"/>
      <c r="E987" s="221" t="n"/>
      <c r="F987" s="211" t="n"/>
      <c r="G987" s="211" t="n"/>
      <c r="H987" s="211" t="n"/>
      <c r="I987" s="211" t="n"/>
      <c r="J987" s="211" t="n"/>
      <c r="K987" s="211" t="n"/>
      <c r="L987" s="213" t="n"/>
    </row>
    <row r="988">
      <c r="A988" s="218" t="n"/>
      <c r="B988" s="215" t="n"/>
      <c r="C988" s="215" t="n"/>
      <c r="D988" s="215" t="n"/>
      <c r="E988" s="219" t="n"/>
      <c r="F988" s="215" t="n"/>
      <c r="G988" s="215" t="n"/>
      <c r="H988" s="215" t="n"/>
      <c r="I988" s="215" t="n"/>
      <c r="J988" s="215" t="n"/>
      <c r="K988" s="215" t="n"/>
      <c r="L988" s="217" t="n"/>
    </row>
    <row r="989">
      <c r="A989" s="220" t="n"/>
      <c r="B989" s="211" t="n"/>
      <c r="C989" s="211" t="n"/>
      <c r="D989" s="211" t="n"/>
      <c r="E989" s="221" t="n"/>
      <c r="F989" s="211" t="n"/>
      <c r="G989" s="211" t="n"/>
      <c r="H989" s="211" t="n"/>
      <c r="I989" s="211" t="n"/>
      <c r="J989" s="211" t="n"/>
      <c r="K989" s="211" t="n"/>
      <c r="L989" s="213" t="n"/>
    </row>
    <row r="990">
      <c r="A990" s="218" t="n"/>
      <c r="B990" s="215" t="n"/>
      <c r="C990" s="215" t="n"/>
      <c r="D990" s="215" t="n"/>
      <c r="E990" s="219" t="n"/>
      <c r="F990" s="215" t="n"/>
      <c r="G990" s="215" t="n"/>
      <c r="H990" s="215" t="n"/>
      <c r="I990" s="215" t="n"/>
      <c r="J990" s="215" t="n"/>
      <c r="K990" s="215" t="n"/>
      <c r="L990" s="217" t="n"/>
    </row>
    <row r="991">
      <c r="A991" s="220" t="n"/>
      <c r="B991" s="211" t="n"/>
      <c r="C991" s="211" t="n"/>
      <c r="D991" s="211" t="n"/>
      <c r="E991" s="221" t="n"/>
      <c r="F991" s="211" t="n"/>
      <c r="G991" s="211" t="n"/>
      <c r="H991" s="211" t="n"/>
      <c r="I991" s="211" t="n"/>
      <c r="J991" s="211" t="n"/>
      <c r="K991" s="211" t="n"/>
      <c r="L991" s="213" t="n"/>
    </row>
    <row r="992">
      <c r="A992" s="218" t="n"/>
      <c r="B992" s="215" t="n"/>
      <c r="C992" s="215" t="n"/>
      <c r="D992" s="215" t="n"/>
      <c r="E992" s="219" t="n"/>
      <c r="F992" s="215" t="n"/>
      <c r="G992" s="215" t="n"/>
      <c r="H992" s="215" t="n"/>
      <c r="I992" s="215" t="n"/>
      <c r="J992" s="215" t="n"/>
      <c r="K992" s="215" t="n"/>
      <c r="L992" s="217" t="n"/>
    </row>
    <row r="993">
      <c r="A993" s="220" t="n"/>
      <c r="B993" s="211" t="n"/>
      <c r="C993" s="211" t="n"/>
      <c r="D993" s="211" t="n"/>
      <c r="E993" s="221" t="n"/>
      <c r="F993" s="211" t="n"/>
      <c r="G993" s="211" t="n"/>
      <c r="H993" s="211" t="n"/>
      <c r="I993" s="211" t="n"/>
      <c r="J993" s="211" t="n"/>
      <c r="K993" s="211" t="n"/>
      <c r="L993" s="213" t="n"/>
    </row>
    <row r="994">
      <c r="A994" s="218" t="n"/>
      <c r="B994" s="215" t="n"/>
      <c r="C994" s="215" t="n"/>
      <c r="D994" s="215" t="n"/>
      <c r="E994" s="219" t="n"/>
      <c r="F994" s="215" t="n"/>
      <c r="G994" s="215" t="n"/>
      <c r="H994" s="215" t="n"/>
      <c r="I994" s="215" t="n"/>
      <c r="J994" s="215" t="n"/>
      <c r="K994" s="215" t="n"/>
      <c r="L994" s="217" t="n"/>
    </row>
    <row r="995">
      <c r="A995" s="220" t="n"/>
      <c r="B995" s="211" t="n"/>
      <c r="C995" s="211" t="n"/>
      <c r="D995" s="211" t="n"/>
      <c r="E995" s="221" t="n"/>
      <c r="F995" s="211" t="n"/>
      <c r="G995" s="211" t="n"/>
      <c r="H995" s="211" t="n"/>
      <c r="I995" s="211" t="n"/>
      <c r="J995" s="211" t="n"/>
      <c r="K995" s="211" t="n"/>
      <c r="L995" s="213" t="n"/>
    </row>
    <row r="996">
      <c r="A996" s="218" t="n"/>
      <c r="B996" s="215" t="n"/>
      <c r="C996" s="215" t="n"/>
      <c r="D996" s="215" t="n"/>
      <c r="E996" s="219" t="n"/>
      <c r="F996" s="215" t="n"/>
      <c r="G996" s="215" t="n"/>
      <c r="H996" s="215" t="n"/>
      <c r="I996" s="215" t="n"/>
      <c r="J996" s="215" t="n"/>
      <c r="K996" s="215" t="n"/>
      <c r="L996" s="217" t="n"/>
    </row>
    <row r="997">
      <c r="A997" s="220" t="n"/>
      <c r="B997" s="211" t="n"/>
      <c r="C997" s="211" t="n"/>
      <c r="D997" s="211" t="n"/>
      <c r="E997" s="221" t="n"/>
      <c r="F997" s="211" t="n"/>
      <c r="G997" s="211" t="n"/>
      <c r="H997" s="211" t="n"/>
      <c r="I997" s="211" t="n"/>
      <c r="J997" s="211" t="n"/>
      <c r="K997" s="211" t="n"/>
      <c r="L997" s="213" t="n"/>
    </row>
    <row r="998">
      <c r="A998" s="218" t="n"/>
      <c r="B998" s="215" t="n"/>
      <c r="C998" s="215" t="n"/>
      <c r="D998" s="215" t="n"/>
      <c r="E998" s="219" t="n"/>
      <c r="F998" s="215" t="n"/>
      <c r="G998" s="215" t="n"/>
      <c r="H998" s="215" t="n"/>
      <c r="I998" s="215" t="n"/>
      <c r="J998" s="215" t="n"/>
      <c r="K998" s="215" t="n"/>
      <c r="L998" s="217" t="n"/>
    </row>
    <row r="999">
      <c r="A999" s="220" t="n"/>
      <c r="B999" s="211" t="n"/>
      <c r="C999" s="211" t="n"/>
      <c r="D999" s="211" t="n"/>
      <c r="E999" s="221" t="n"/>
      <c r="F999" s="211" t="n"/>
      <c r="G999" s="211" t="n"/>
      <c r="H999" s="211" t="n"/>
      <c r="I999" s="211" t="n"/>
      <c r="J999" s="211" t="n"/>
      <c r="K999" s="211" t="n"/>
      <c r="L999" s="213" t="n"/>
    </row>
    <row r="1000">
      <c r="A1000" s="218" t="n"/>
      <c r="B1000" s="215" t="n"/>
      <c r="C1000" s="215" t="n"/>
      <c r="D1000" s="215" t="n"/>
      <c r="E1000" s="219" t="n"/>
      <c r="F1000" s="215" t="n"/>
      <c r="G1000" s="215" t="n"/>
      <c r="H1000" s="215" t="n"/>
      <c r="I1000" s="215" t="n"/>
      <c r="J1000" s="215" t="n"/>
      <c r="K1000" s="215" t="n"/>
      <c r="L1000" s="217" t="n"/>
    </row>
    <row r="1001">
      <c r="A1001" s="220" t="n"/>
      <c r="B1001" s="211" t="n"/>
      <c r="C1001" s="211" t="n"/>
      <c r="D1001" s="211" t="n"/>
      <c r="E1001" s="221" t="n"/>
      <c r="F1001" s="211" t="n"/>
      <c r="G1001" s="211" t="n"/>
      <c r="H1001" s="211" t="n"/>
      <c r="I1001" s="211" t="n"/>
      <c r="J1001" s="211" t="n"/>
      <c r="K1001" s="211" t="n"/>
      <c r="L1001" s="213" t="n"/>
    </row>
    <row r="1002">
      <c r="A1002" s="218" t="n"/>
      <c r="B1002" s="215" t="n"/>
      <c r="C1002" s="215" t="n"/>
      <c r="D1002" s="215" t="n"/>
      <c r="E1002" s="219" t="n"/>
      <c r="F1002" s="215" t="n"/>
      <c r="G1002" s="215" t="n"/>
      <c r="H1002" s="215" t="n"/>
      <c r="I1002" s="215" t="n"/>
      <c r="J1002" s="215" t="n"/>
      <c r="K1002" s="215" t="n"/>
      <c r="L1002" s="217" t="n"/>
    </row>
    <row r="1003">
      <c r="A1003" s="220" t="n"/>
      <c r="B1003" s="211" t="n"/>
      <c r="C1003" s="211" t="n"/>
      <c r="D1003" s="211" t="n"/>
      <c r="E1003" s="221" t="n"/>
      <c r="F1003" s="211" t="n"/>
      <c r="G1003" s="211" t="n"/>
      <c r="H1003" s="211" t="n"/>
      <c r="I1003" s="211" t="n"/>
      <c r="J1003" s="211" t="n"/>
      <c r="K1003" s="211" t="n"/>
      <c r="L1003" s="213" t="n"/>
    </row>
    <row r="1004">
      <c r="A1004" s="218" t="n"/>
      <c r="B1004" s="215" t="n"/>
      <c r="C1004" s="215" t="n"/>
      <c r="D1004" s="215" t="n"/>
      <c r="E1004" s="219" t="n"/>
      <c r="F1004" s="215" t="n"/>
      <c r="G1004" s="215" t="n"/>
      <c r="H1004" s="215" t="n"/>
      <c r="I1004" s="215" t="n"/>
      <c r="J1004" s="215" t="n"/>
      <c r="K1004" s="215" t="n"/>
      <c r="L1004" s="217" t="n"/>
    </row>
    <row r="1005">
      <c r="A1005" s="220" t="n"/>
      <c r="B1005" s="211" t="n"/>
      <c r="C1005" s="211" t="n"/>
      <c r="D1005" s="211" t="n"/>
      <c r="E1005" s="221" t="n"/>
      <c r="F1005" s="211" t="n"/>
      <c r="G1005" s="211" t="n"/>
      <c r="H1005" s="211" t="n"/>
      <c r="I1005" s="211" t="n"/>
      <c r="J1005" s="211" t="n"/>
      <c r="K1005" s="211" t="n"/>
      <c r="L1005" s="213" t="n"/>
    </row>
    <row r="1006">
      <c r="A1006" s="218" t="n"/>
      <c r="B1006" s="215" t="n"/>
      <c r="C1006" s="215" t="n"/>
      <c r="D1006" s="215" t="n"/>
      <c r="E1006" s="219" t="n"/>
      <c r="F1006" s="215" t="n"/>
      <c r="G1006" s="215" t="n"/>
      <c r="H1006" s="215" t="n"/>
      <c r="I1006" s="215" t="n"/>
      <c r="J1006" s="215" t="n"/>
      <c r="K1006" s="215" t="n"/>
      <c r="L1006" s="217" t="n"/>
    </row>
    <row r="1007">
      <c r="A1007" s="220" t="n"/>
      <c r="B1007" s="211" t="n"/>
      <c r="C1007" s="211" t="n"/>
      <c r="D1007" s="211" t="n"/>
      <c r="E1007" s="221" t="n"/>
      <c r="F1007" s="211" t="n"/>
      <c r="G1007" s="211" t="n"/>
      <c r="H1007" s="211" t="n"/>
      <c r="I1007" s="211" t="n"/>
      <c r="J1007" s="211" t="n"/>
      <c r="K1007" s="211" t="n"/>
      <c r="L1007" s="213" t="n"/>
    </row>
    <row r="1008">
      <c r="A1008" s="218" t="n"/>
      <c r="B1008" s="215" t="n"/>
      <c r="C1008" s="215" t="n"/>
      <c r="D1008" s="215" t="n"/>
      <c r="E1008" s="219" t="n"/>
      <c r="F1008" s="215" t="n"/>
      <c r="G1008" s="215" t="n"/>
      <c r="H1008" s="215" t="n"/>
      <c r="I1008" s="215" t="n"/>
      <c r="J1008" s="215" t="n"/>
      <c r="K1008" s="215" t="n"/>
      <c r="L1008" s="217" t="n"/>
    </row>
    <row r="1009">
      <c r="A1009" s="220" t="n"/>
      <c r="B1009" s="211" t="n"/>
      <c r="C1009" s="211" t="n"/>
      <c r="D1009" s="211" t="n"/>
      <c r="E1009" s="221" t="n"/>
      <c r="F1009" s="211" t="n"/>
      <c r="G1009" s="211" t="n"/>
      <c r="H1009" s="211" t="n"/>
      <c r="I1009" s="211" t="n"/>
      <c r="J1009" s="211" t="n"/>
      <c r="K1009" s="211" t="n"/>
      <c r="L1009" s="213" t="n"/>
    </row>
    <row r="1010">
      <c r="A1010" s="218" t="n"/>
      <c r="B1010" s="215" t="n"/>
      <c r="C1010" s="215" t="n"/>
      <c r="D1010" s="215" t="n"/>
      <c r="E1010" s="219" t="n"/>
      <c r="F1010" s="215" t="n"/>
      <c r="G1010" s="215" t="n"/>
      <c r="H1010" s="215" t="n"/>
      <c r="I1010" s="215" t="n"/>
      <c r="J1010" s="215" t="n"/>
      <c r="K1010" s="215" t="n"/>
      <c r="L1010" s="217" t="n"/>
    </row>
    <row r="1011">
      <c r="A1011" s="220" t="n"/>
      <c r="B1011" s="211" t="n"/>
      <c r="C1011" s="211" t="n"/>
      <c r="D1011" s="211" t="n"/>
      <c r="E1011" s="221" t="n"/>
      <c r="F1011" s="211" t="n"/>
      <c r="G1011" s="211" t="n"/>
      <c r="H1011" s="211" t="n"/>
      <c r="I1011" s="211" t="n"/>
      <c r="J1011" s="211" t="n"/>
      <c r="K1011" s="211" t="n"/>
      <c r="L1011" s="213" t="n"/>
    </row>
    <row r="1012">
      <c r="A1012" s="218" t="n"/>
      <c r="B1012" s="215" t="n"/>
      <c r="C1012" s="215" t="n"/>
      <c r="D1012" s="215" t="n"/>
      <c r="E1012" s="219" t="n"/>
      <c r="F1012" s="215" t="n"/>
      <c r="G1012" s="215" t="n"/>
      <c r="H1012" s="215" t="n"/>
      <c r="I1012" s="215" t="n"/>
      <c r="J1012" s="215" t="n"/>
      <c r="K1012" s="215" t="n"/>
      <c r="L1012" s="217" t="n"/>
    </row>
    <row r="1013">
      <c r="A1013" s="220" t="n"/>
      <c r="B1013" s="211" t="n"/>
      <c r="C1013" s="211" t="n"/>
      <c r="D1013" s="211" t="n"/>
      <c r="E1013" s="221" t="n"/>
      <c r="F1013" s="211" t="n"/>
      <c r="G1013" s="211" t="n"/>
      <c r="H1013" s="211" t="n"/>
      <c r="I1013" s="211" t="n"/>
      <c r="J1013" s="211" t="n"/>
      <c r="K1013" s="211" t="n"/>
      <c r="L1013" s="213" t="n"/>
    </row>
    <row r="1014">
      <c r="A1014" s="218" t="n"/>
      <c r="B1014" s="215" t="n"/>
      <c r="C1014" s="215" t="n"/>
      <c r="D1014" s="215" t="n"/>
      <c r="E1014" s="219" t="n"/>
      <c r="F1014" s="215" t="n"/>
      <c r="G1014" s="215" t="n"/>
      <c r="H1014" s="215" t="n"/>
      <c r="I1014" s="215" t="n"/>
      <c r="J1014" s="215" t="n"/>
      <c r="K1014" s="215" t="n"/>
      <c r="L1014" s="217" t="n"/>
    </row>
    <row r="1015">
      <c r="A1015" s="220" t="n"/>
      <c r="B1015" s="211" t="n"/>
      <c r="C1015" s="211" t="n"/>
      <c r="D1015" s="211" t="n"/>
      <c r="E1015" s="221" t="n"/>
      <c r="F1015" s="211" t="n"/>
      <c r="G1015" s="211" t="n"/>
      <c r="H1015" s="211" t="n"/>
      <c r="I1015" s="211" t="n"/>
      <c r="J1015" s="211" t="n"/>
      <c r="K1015" s="211" t="n"/>
      <c r="L1015" s="213" t="n"/>
    </row>
    <row r="1016">
      <c r="A1016" s="218" t="n"/>
      <c r="B1016" s="215" t="n"/>
      <c r="C1016" s="215" t="n"/>
      <c r="D1016" s="215" t="n"/>
      <c r="E1016" s="219" t="n"/>
      <c r="F1016" s="215" t="n"/>
      <c r="G1016" s="215" t="n"/>
      <c r="H1016" s="215" t="n"/>
      <c r="I1016" s="215" t="n"/>
      <c r="J1016" s="215" t="n"/>
      <c r="K1016" s="215" t="n"/>
      <c r="L1016" s="217" t="n"/>
    </row>
    <row r="1017">
      <c r="A1017" s="220" t="n"/>
      <c r="B1017" s="211" t="n"/>
      <c r="C1017" s="211" t="n"/>
      <c r="D1017" s="211" t="n"/>
      <c r="E1017" s="221" t="n"/>
      <c r="F1017" s="211" t="n"/>
      <c r="G1017" s="211" t="n"/>
      <c r="H1017" s="211" t="n"/>
      <c r="I1017" s="211" t="n"/>
      <c r="J1017" s="211" t="n"/>
      <c r="K1017" s="211" t="n"/>
      <c r="L1017" s="213" t="n"/>
    </row>
    <row r="1018">
      <c r="A1018" s="218" t="n"/>
      <c r="B1018" s="215" t="n"/>
      <c r="C1018" s="215" t="n"/>
      <c r="D1018" s="215" t="n"/>
      <c r="E1018" s="219" t="n"/>
      <c r="F1018" s="215" t="n"/>
      <c r="G1018" s="215" t="n"/>
      <c r="H1018" s="215" t="n"/>
      <c r="I1018" s="215" t="n"/>
      <c r="J1018" s="215" t="n"/>
      <c r="K1018" s="215" t="n"/>
      <c r="L1018" s="217" t="n"/>
    </row>
    <row r="1019">
      <c r="A1019" s="220" t="n"/>
      <c r="B1019" s="211" t="n"/>
      <c r="C1019" s="211" t="n"/>
      <c r="D1019" s="211" t="n"/>
      <c r="E1019" s="221" t="n"/>
      <c r="F1019" s="211" t="n"/>
      <c r="G1019" s="211" t="n"/>
      <c r="H1019" s="211" t="n"/>
      <c r="I1019" s="211" t="n"/>
      <c r="J1019" s="211" t="n"/>
      <c r="K1019" s="211" t="n"/>
      <c r="L1019" s="213" t="n"/>
    </row>
    <row r="1020">
      <c r="A1020" s="218" t="n"/>
      <c r="B1020" s="215" t="n"/>
      <c r="C1020" s="215" t="n"/>
      <c r="D1020" s="215" t="n"/>
      <c r="E1020" s="219" t="n"/>
      <c r="F1020" s="215" t="n"/>
      <c r="G1020" s="215" t="n"/>
      <c r="H1020" s="215" t="n"/>
      <c r="I1020" s="215" t="n"/>
      <c r="J1020" s="215" t="n"/>
      <c r="K1020" s="215" t="n"/>
      <c r="L1020" s="217" t="n"/>
    </row>
    <row r="1021">
      <c r="A1021" s="220" t="n"/>
      <c r="B1021" s="211" t="n"/>
      <c r="C1021" s="211" t="n"/>
      <c r="D1021" s="211" t="n"/>
      <c r="E1021" s="221" t="n"/>
      <c r="F1021" s="211" t="n"/>
      <c r="G1021" s="211" t="n"/>
      <c r="H1021" s="211" t="n"/>
      <c r="I1021" s="211" t="n"/>
      <c r="J1021" s="211" t="n"/>
      <c r="K1021" s="211" t="n"/>
      <c r="L1021" s="213" t="n"/>
    </row>
    <row r="1022">
      <c r="A1022" s="218" t="n"/>
      <c r="B1022" s="215" t="n"/>
      <c r="C1022" s="215" t="n"/>
      <c r="D1022" s="215" t="n"/>
      <c r="E1022" s="219" t="n"/>
      <c r="F1022" s="215" t="n"/>
      <c r="G1022" s="215" t="n"/>
      <c r="H1022" s="215" t="n"/>
      <c r="I1022" s="215" t="n"/>
      <c r="J1022" s="215" t="n"/>
      <c r="K1022" s="215" t="n"/>
      <c r="L1022" s="217" t="n"/>
    </row>
    <row r="1023">
      <c r="A1023" s="220" t="n"/>
      <c r="B1023" s="211" t="n"/>
      <c r="C1023" s="211" t="n"/>
      <c r="D1023" s="211" t="n"/>
      <c r="E1023" s="221" t="n"/>
      <c r="F1023" s="211" t="n"/>
      <c r="G1023" s="211" t="n"/>
      <c r="H1023" s="211" t="n"/>
      <c r="I1023" s="211" t="n"/>
      <c r="J1023" s="211" t="n"/>
      <c r="K1023" s="211" t="n"/>
      <c r="L1023" s="213" t="n"/>
    </row>
    <row r="1024">
      <c r="A1024" s="218" t="n"/>
      <c r="B1024" s="215" t="n"/>
      <c r="C1024" s="215" t="n"/>
      <c r="D1024" s="215" t="n"/>
      <c r="E1024" s="219" t="n"/>
      <c r="F1024" s="215" t="n"/>
      <c r="G1024" s="215" t="n"/>
      <c r="H1024" s="215" t="n"/>
      <c r="I1024" s="215" t="n"/>
      <c r="J1024" s="215" t="n"/>
      <c r="K1024" s="215" t="n"/>
      <c r="L1024" s="217" t="n"/>
    </row>
    <row r="1025">
      <c r="A1025" s="220" t="n"/>
      <c r="B1025" s="211" t="n"/>
      <c r="C1025" s="211" t="n"/>
      <c r="D1025" s="211" t="n"/>
      <c r="E1025" s="221" t="n"/>
      <c r="F1025" s="211" t="n"/>
      <c r="G1025" s="211" t="n"/>
      <c r="H1025" s="211" t="n"/>
      <c r="I1025" s="211" t="n"/>
      <c r="J1025" s="211" t="n"/>
      <c r="K1025" s="211" t="n"/>
      <c r="L1025" s="213" t="n"/>
    </row>
    <row r="1026">
      <c r="A1026" s="218" t="n"/>
      <c r="B1026" s="215" t="n"/>
      <c r="C1026" s="215" t="n"/>
      <c r="D1026" s="215" t="n"/>
      <c r="E1026" s="219" t="n"/>
      <c r="F1026" s="215" t="n"/>
      <c r="G1026" s="215" t="n"/>
      <c r="H1026" s="215" t="n"/>
      <c r="I1026" s="215" t="n"/>
      <c r="J1026" s="215" t="n"/>
      <c r="K1026" s="215" t="n"/>
      <c r="L1026" s="217" t="n"/>
    </row>
    <row r="1027">
      <c r="A1027" s="220" t="n"/>
      <c r="B1027" s="211" t="n"/>
      <c r="C1027" s="211" t="n"/>
      <c r="D1027" s="211" t="n"/>
      <c r="E1027" s="221" t="n"/>
      <c r="F1027" s="211" t="n"/>
      <c r="G1027" s="211" t="n"/>
      <c r="H1027" s="211" t="n"/>
      <c r="I1027" s="211" t="n"/>
      <c r="J1027" s="211" t="n"/>
      <c r="K1027" s="211" t="n"/>
      <c r="L1027" s="213" t="n"/>
    </row>
    <row r="1028">
      <c r="A1028" s="218" t="n"/>
      <c r="B1028" s="215" t="n"/>
      <c r="C1028" s="215" t="n"/>
      <c r="D1028" s="215" t="n"/>
      <c r="E1028" s="219" t="n"/>
      <c r="F1028" s="215" t="n"/>
      <c r="G1028" s="215" t="n"/>
      <c r="H1028" s="215" t="n"/>
      <c r="I1028" s="215" t="n"/>
      <c r="J1028" s="215" t="n"/>
      <c r="K1028" s="215" t="n"/>
      <c r="L1028" s="217" t="n"/>
    </row>
    <row r="1029">
      <c r="A1029" s="220" t="n"/>
      <c r="B1029" s="211" t="n"/>
      <c r="C1029" s="211" t="n"/>
      <c r="D1029" s="211" t="n"/>
      <c r="E1029" s="221" t="n"/>
      <c r="F1029" s="211" t="n"/>
      <c r="G1029" s="211" t="n"/>
      <c r="H1029" s="211" t="n"/>
      <c r="I1029" s="211" t="n"/>
      <c r="J1029" s="211" t="n"/>
      <c r="K1029" s="211" t="n"/>
      <c r="L1029" s="213" t="n"/>
    </row>
    <row r="1030">
      <c r="A1030" s="218" t="n"/>
      <c r="B1030" s="215" t="n"/>
      <c r="C1030" s="215" t="n"/>
      <c r="D1030" s="215" t="n"/>
      <c r="E1030" s="219" t="n"/>
      <c r="F1030" s="215" t="n"/>
      <c r="G1030" s="215" t="n"/>
      <c r="H1030" s="215" t="n"/>
      <c r="I1030" s="215" t="n"/>
      <c r="J1030" s="215" t="n"/>
      <c r="K1030" s="215" t="n"/>
      <c r="L1030" s="217" t="n"/>
    </row>
    <row r="1031">
      <c r="A1031" s="220" t="n"/>
      <c r="B1031" s="211" t="n"/>
      <c r="C1031" s="211" t="n"/>
      <c r="D1031" s="211" t="n"/>
      <c r="E1031" s="221" t="n"/>
      <c r="F1031" s="211" t="n"/>
      <c r="G1031" s="211" t="n"/>
      <c r="H1031" s="211" t="n"/>
      <c r="I1031" s="211" t="n"/>
      <c r="J1031" s="211" t="n"/>
      <c r="K1031" s="211" t="n"/>
      <c r="L1031" s="213" t="n"/>
    </row>
    <row r="1032">
      <c r="A1032" s="218" t="n"/>
      <c r="B1032" s="215" t="n"/>
      <c r="C1032" s="215" t="n"/>
      <c r="D1032" s="215" t="n"/>
      <c r="E1032" s="219" t="n"/>
      <c r="F1032" s="215" t="n"/>
      <c r="G1032" s="215" t="n"/>
      <c r="H1032" s="215" t="n"/>
      <c r="I1032" s="215" t="n"/>
      <c r="J1032" s="215" t="n"/>
      <c r="K1032" s="215" t="n"/>
      <c r="L1032" s="217" t="n"/>
    </row>
    <row r="1033">
      <c r="A1033" s="220" t="n"/>
      <c r="B1033" s="211" t="n"/>
      <c r="C1033" s="211" t="n"/>
      <c r="D1033" s="211" t="n"/>
      <c r="E1033" s="221" t="n"/>
      <c r="F1033" s="211" t="n"/>
      <c r="G1033" s="211" t="n"/>
      <c r="H1033" s="211" t="n"/>
      <c r="I1033" s="211" t="n"/>
      <c r="J1033" s="211" t="n"/>
      <c r="K1033" s="211" t="n"/>
      <c r="L1033" s="213" t="n"/>
    </row>
    <row r="1034">
      <c r="A1034" s="218" t="n"/>
      <c r="B1034" s="215" t="n"/>
      <c r="C1034" s="215" t="n"/>
      <c r="D1034" s="215" t="n"/>
      <c r="E1034" s="219" t="n"/>
      <c r="F1034" s="215" t="n"/>
      <c r="G1034" s="215" t="n"/>
      <c r="H1034" s="215" t="n"/>
      <c r="I1034" s="215" t="n"/>
      <c r="J1034" s="215" t="n"/>
      <c r="K1034" s="215" t="n"/>
      <c r="L1034" s="217" t="n"/>
    </row>
    <row r="1035">
      <c r="A1035" s="220" t="n"/>
      <c r="B1035" s="211" t="n"/>
      <c r="C1035" s="211" t="n"/>
      <c r="D1035" s="211" t="n"/>
      <c r="E1035" s="221" t="n"/>
      <c r="F1035" s="211" t="n"/>
      <c r="G1035" s="211" t="n"/>
      <c r="H1035" s="211" t="n"/>
      <c r="I1035" s="211" t="n"/>
      <c r="J1035" s="211" t="n"/>
      <c r="K1035" s="211" t="n"/>
      <c r="L1035" s="213" t="n"/>
    </row>
    <row r="1036">
      <c r="A1036" s="218" t="n"/>
      <c r="B1036" s="215" t="n"/>
      <c r="C1036" s="215" t="n"/>
      <c r="D1036" s="215" t="n"/>
      <c r="E1036" s="219" t="n"/>
      <c r="F1036" s="215" t="n"/>
      <c r="G1036" s="215" t="n"/>
      <c r="H1036" s="215" t="n"/>
      <c r="I1036" s="215" t="n"/>
      <c r="J1036" s="215" t="n"/>
      <c r="K1036" s="215" t="n"/>
      <c r="L1036" s="217" t="n"/>
    </row>
    <row r="1037">
      <c r="A1037" s="220" t="n"/>
      <c r="B1037" s="211" t="n"/>
      <c r="C1037" s="211" t="n"/>
      <c r="D1037" s="211" t="n"/>
      <c r="E1037" s="221" t="n"/>
      <c r="F1037" s="211" t="n"/>
      <c r="G1037" s="211" t="n"/>
      <c r="H1037" s="211" t="n"/>
      <c r="I1037" s="211" t="n"/>
      <c r="J1037" s="211" t="n"/>
      <c r="K1037" s="211" t="n"/>
      <c r="L1037" s="213" t="n"/>
    </row>
    <row r="1038">
      <c r="A1038" s="218" t="n"/>
      <c r="B1038" s="215" t="n"/>
      <c r="C1038" s="215" t="n"/>
      <c r="D1038" s="215" t="n"/>
      <c r="E1038" s="219" t="n"/>
      <c r="F1038" s="215" t="n"/>
      <c r="G1038" s="215" t="n"/>
      <c r="H1038" s="215" t="n"/>
      <c r="I1038" s="215" t="n"/>
      <c r="J1038" s="215" t="n"/>
      <c r="K1038" s="215" t="n"/>
      <c r="L1038" s="217" t="n"/>
    </row>
    <row r="1039">
      <c r="A1039" s="220" t="n"/>
      <c r="B1039" s="211" t="n"/>
      <c r="C1039" s="211" t="n"/>
      <c r="D1039" s="211" t="n"/>
      <c r="E1039" s="221" t="n"/>
      <c r="F1039" s="211" t="n"/>
      <c r="G1039" s="211" t="n"/>
      <c r="H1039" s="211" t="n"/>
      <c r="I1039" s="211" t="n"/>
      <c r="J1039" s="211" t="n"/>
      <c r="K1039" s="211" t="n"/>
      <c r="L1039" s="213" t="n"/>
    </row>
    <row r="1040">
      <c r="A1040" s="218" t="n"/>
      <c r="B1040" s="215" t="n"/>
      <c r="C1040" s="215" t="n"/>
      <c r="D1040" s="215" t="n"/>
      <c r="E1040" s="219" t="n"/>
      <c r="F1040" s="215" t="n"/>
      <c r="G1040" s="215" t="n"/>
      <c r="H1040" s="215" t="n"/>
      <c r="I1040" s="215" t="n"/>
      <c r="J1040" s="215" t="n"/>
      <c r="K1040" s="215" t="n"/>
      <c r="L1040" s="217" t="n"/>
    </row>
    <row r="1041">
      <c r="A1041" s="220" t="n"/>
      <c r="B1041" s="211" t="n"/>
      <c r="C1041" s="211" t="n"/>
      <c r="D1041" s="211" t="n"/>
      <c r="E1041" s="221" t="n"/>
      <c r="F1041" s="211" t="n"/>
      <c r="G1041" s="211" t="n"/>
      <c r="H1041" s="211" t="n"/>
      <c r="I1041" s="211" t="n"/>
      <c r="J1041" s="211" t="n"/>
      <c r="K1041" s="211" t="n"/>
      <c r="L1041" s="213" t="n"/>
    </row>
    <row r="1042">
      <c r="A1042" s="218" t="n"/>
      <c r="B1042" s="215" t="n"/>
      <c r="C1042" s="215" t="n"/>
      <c r="D1042" s="215" t="n"/>
      <c r="E1042" s="219" t="n"/>
      <c r="F1042" s="215" t="n"/>
      <c r="G1042" s="215" t="n"/>
      <c r="H1042" s="215" t="n"/>
      <c r="I1042" s="215" t="n"/>
      <c r="J1042" s="215" t="n"/>
      <c r="K1042" s="215" t="n"/>
      <c r="L1042" s="217" t="n"/>
    </row>
    <row r="1043">
      <c r="A1043" s="220" t="n"/>
      <c r="B1043" s="211" t="n"/>
      <c r="C1043" s="211" t="n"/>
      <c r="D1043" s="211" t="n"/>
      <c r="E1043" s="221" t="n"/>
      <c r="F1043" s="211" t="n"/>
      <c r="G1043" s="211" t="n"/>
      <c r="H1043" s="211" t="n"/>
      <c r="I1043" s="211" t="n"/>
      <c r="J1043" s="211" t="n"/>
      <c r="K1043" s="211" t="n"/>
      <c r="L1043" s="213" t="n"/>
    </row>
    <row r="1044">
      <c r="A1044" s="218" t="n"/>
      <c r="B1044" s="215" t="n"/>
      <c r="C1044" s="215" t="n"/>
      <c r="D1044" s="215" t="n"/>
      <c r="E1044" s="219" t="n"/>
      <c r="F1044" s="215" t="n"/>
      <c r="G1044" s="215" t="n"/>
      <c r="H1044" s="215" t="n"/>
      <c r="I1044" s="215" t="n"/>
      <c r="J1044" s="215" t="n"/>
      <c r="K1044" s="215" t="n"/>
      <c r="L1044" s="217" t="n"/>
    </row>
    <row r="1045">
      <c r="A1045" s="220" t="n"/>
      <c r="B1045" s="211" t="n"/>
      <c r="C1045" s="211" t="n"/>
      <c r="D1045" s="211" t="n"/>
      <c r="E1045" s="221" t="n"/>
      <c r="F1045" s="211" t="n"/>
      <c r="G1045" s="211" t="n"/>
      <c r="H1045" s="211" t="n"/>
      <c r="I1045" s="211" t="n"/>
      <c r="J1045" s="211" t="n"/>
      <c r="K1045" s="211" t="n"/>
      <c r="L1045" s="213" t="n"/>
    </row>
    <row r="1046">
      <c r="A1046" s="218" t="n"/>
      <c r="B1046" s="215" t="n"/>
      <c r="C1046" s="215" t="n"/>
      <c r="D1046" s="215" t="n"/>
      <c r="E1046" s="219" t="n"/>
      <c r="F1046" s="215" t="n"/>
      <c r="G1046" s="215" t="n"/>
      <c r="H1046" s="215" t="n"/>
      <c r="I1046" s="215" t="n"/>
      <c r="J1046" s="215" t="n"/>
      <c r="K1046" s="215" t="n"/>
      <c r="L1046" s="217" t="n"/>
    </row>
    <row r="1047">
      <c r="A1047" s="220" t="n"/>
      <c r="B1047" s="211" t="n"/>
      <c r="C1047" s="211" t="n"/>
      <c r="D1047" s="211" t="n"/>
      <c r="E1047" s="221" t="n"/>
      <c r="F1047" s="211" t="n"/>
      <c r="G1047" s="211" t="n"/>
      <c r="H1047" s="211" t="n"/>
      <c r="I1047" s="211" t="n"/>
      <c r="J1047" s="211" t="n"/>
      <c r="K1047" s="211" t="n"/>
      <c r="L1047" s="213" t="n"/>
    </row>
    <row r="1048">
      <c r="A1048" s="218" t="n"/>
      <c r="B1048" s="215" t="n"/>
      <c r="C1048" s="215" t="n"/>
      <c r="D1048" s="215" t="n"/>
      <c r="E1048" s="219" t="n"/>
      <c r="F1048" s="215" t="n"/>
      <c r="G1048" s="215" t="n"/>
      <c r="H1048" s="215" t="n"/>
      <c r="I1048" s="215" t="n"/>
      <c r="J1048" s="215" t="n"/>
      <c r="K1048" s="215" t="n"/>
      <c r="L1048" s="217" t="n"/>
    </row>
    <row r="1049">
      <c r="A1049" s="220" t="n"/>
      <c r="B1049" s="211" t="n"/>
      <c r="C1049" s="211" t="n"/>
      <c r="D1049" s="211" t="n"/>
      <c r="E1049" s="221" t="n"/>
      <c r="F1049" s="211" t="n"/>
      <c r="G1049" s="211" t="n"/>
      <c r="H1049" s="211" t="n"/>
      <c r="I1049" s="211" t="n"/>
      <c r="J1049" s="211" t="n"/>
      <c r="K1049" s="211" t="n"/>
      <c r="L1049" s="213" t="n"/>
    </row>
    <row r="1050">
      <c r="A1050" s="218" t="n"/>
      <c r="B1050" s="215" t="n"/>
      <c r="C1050" s="215" t="n"/>
      <c r="D1050" s="215" t="n"/>
      <c r="E1050" s="219" t="n"/>
      <c r="F1050" s="215" t="n"/>
      <c r="G1050" s="215" t="n"/>
      <c r="H1050" s="215" t="n"/>
      <c r="I1050" s="215" t="n"/>
      <c r="J1050" s="215" t="n"/>
      <c r="K1050" s="215" t="n"/>
      <c r="L1050" s="217" t="n"/>
    </row>
    <row r="1051">
      <c r="A1051" s="220" t="n"/>
      <c r="B1051" s="211" t="n"/>
      <c r="C1051" s="211" t="n"/>
      <c r="D1051" s="211" t="n"/>
      <c r="E1051" s="221" t="n"/>
      <c r="F1051" s="211" t="n"/>
      <c r="G1051" s="211" t="n"/>
      <c r="H1051" s="211" t="n"/>
      <c r="I1051" s="211" t="n"/>
      <c r="J1051" s="211" t="n"/>
      <c r="K1051" s="211" t="n"/>
      <c r="L1051" s="213" t="n"/>
    </row>
    <row r="1052">
      <c r="A1052" s="218" t="n"/>
      <c r="B1052" s="215" t="n"/>
      <c r="C1052" s="215" t="n"/>
      <c r="D1052" s="215" t="n"/>
      <c r="E1052" s="219" t="n"/>
      <c r="F1052" s="215" t="n"/>
      <c r="G1052" s="215" t="n"/>
      <c r="H1052" s="215" t="n"/>
      <c r="I1052" s="215" t="n"/>
      <c r="J1052" s="215" t="n"/>
      <c r="K1052" s="215" t="n"/>
      <c r="L1052" s="217" t="n"/>
    </row>
    <row r="1053">
      <c r="A1053" s="220" t="n"/>
      <c r="B1053" s="211" t="n"/>
      <c r="C1053" s="211" t="n"/>
      <c r="D1053" s="211" t="n"/>
      <c r="E1053" s="221" t="n"/>
      <c r="F1053" s="211" t="n"/>
      <c r="G1053" s="211" t="n"/>
      <c r="H1053" s="211" t="n"/>
      <c r="I1053" s="211" t="n"/>
      <c r="J1053" s="211" t="n"/>
      <c r="K1053" s="211" t="n"/>
      <c r="L1053" s="213" t="n"/>
    </row>
    <row r="1054">
      <c r="A1054" s="218" t="n"/>
      <c r="B1054" s="215" t="n"/>
      <c r="C1054" s="215" t="n"/>
      <c r="D1054" s="215" t="n"/>
      <c r="E1054" s="219" t="n"/>
      <c r="F1054" s="215" t="n"/>
      <c r="G1054" s="215" t="n"/>
      <c r="H1054" s="215" t="n"/>
      <c r="I1054" s="215" t="n"/>
      <c r="J1054" s="215" t="n"/>
      <c r="K1054" s="215" t="n"/>
      <c r="L1054" s="217" t="n"/>
    </row>
    <row r="1055">
      <c r="A1055" s="220" t="n"/>
      <c r="B1055" s="211" t="n"/>
      <c r="C1055" s="211" t="n"/>
      <c r="D1055" s="211" t="n"/>
      <c r="E1055" s="221" t="n"/>
      <c r="F1055" s="211" t="n"/>
      <c r="G1055" s="211" t="n"/>
      <c r="H1055" s="211" t="n"/>
      <c r="I1055" s="211" t="n"/>
      <c r="J1055" s="211" t="n"/>
      <c r="K1055" s="211" t="n"/>
      <c r="L1055" s="213" t="n"/>
    </row>
    <row r="1056">
      <c r="A1056" s="218" t="n"/>
      <c r="B1056" s="215" t="n"/>
      <c r="C1056" s="215" t="n"/>
      <c r="D1056" s="215" t="n"/>
      <c r="E1056" s="219" t="n"/>
      <c r="F1056" s="215" t="n"/>
      <c r="G1056" s="215" t="n"/>
      <c r="H1056" s="215" t="n"/>
      <c r="I1056" s="215" t="n"/>
      <c r="J1056" s="215" t="n"/>
      <c r="K1056" s="215" t="n"/>
      <c r="L1056" s="217" t="n"/>
    </row>
    <row r="1057">
      <c r="A1057" s="220" t="n"/>
      <c r="B1057" s="211" t="n"/>
      <c r="C1057" s="211" t="n"/>
      <c r="D1057" s="211" t="n"/>
      <c r="E1057" s="221" t="n"/>
      <c r="F1057" s="211" t="n"/>
      <c r="G1057" s="211" t="n"/>
      <c r="H1057" s="211" t="n"/>
      <c r="I1057" s="211" t="n"/>
      <c r="J1057" s="211" t="n"/>
      <c r="K1057" s="211" t="n"/>
      <c r="L1057" s="213" t="n"/>
    </row>
    <row r="1058">
      <c r="A1058" s="218" t="n"/>
      <c r="B1058" s="215" t="n"/>
      <c r="C1058" s="215" t="n"/>
      <c r="D1058" s="215" t="n"/>
      <c r="E1058" s="219" t="n"/>
      <c r="F1058" s="215" t="n"/>
      <c r="G1058" s="215" t="n"/>
      <c r="H1058" s="215" t="n"/>
      <c r="I1058" s="215" t="n"/>
      <c r="J1058" s="215" t="n"/>
      <c r="K1058" s="215" t="n"/>
      <c r="L1058" s="217" t="n"/>
    </row>
    <row r="1059">
      <c r="A1059" s="220" t="n"/>
      <c r="B1059" s="211" t="n"/>
      <c r="C1059" s="211" t="n"/>
      <c r="D1059" s="211" t="n"/>
      <c r="E1059" s="221" t="n"/>
      <c r="F1059" s="211" t="n"/>
      <c r="G1059" s="211" t="n"/>
      <c r="H1059" s="211" t="n"/>
      <c r="I1059" s="211" t="n"/>
      <c r="J1059" s="211" t="n"/>
      <c r="K1059" s="211" t="n"/>
      <c r="L1059" s="213" t="n"/>
    </row>
    <row r="1060">
      <c r="A1060" s="218" t="n"/>
      <c r="B1060" s="215" t="n"/>
      <c r="C1060" s="215" t="n"/>
      <c r="D1060" s="215" t="n"/>
      <c r="E1060" s="219" t="n"/>
      <c r="F1060" s="215" t="n"/>
      <c r="G1060" s="215" t="n"/>
      <c r="H1060" s="215" t="n"/>
      <c r="I1060" s="215" t="n"/>
      <c r="J1060" s="215" t="n"/>
      <c r="K1060" s="215" t="n"/>
      <c r="L1060" s="217" t="n"/>
    </row>
    <row r="1061">
      <c r="A1061" s="220" t="n"/>
      <c r="B1061" s="211" t="n"/>
      <c r="C1061" s="211" t="n"/>
      <c r="D1061" s="211" t="n"/>
      <c r="E1061" s="221" t="n"/>
      <c r="F1061" s="211" t="n"/>
      <c r="G1061" s="211" t="n"/>
      <c r="H1061" s="211" t="n"/>
      <c r="I1061" s="211" t="n"/>
      <c r="J1061" s="211" t="n"/>
      <c r="K1061" s="211" t="n"/>
      <c r="L1061" s="213" t="n"/>
    </row>
    <row r="1062">
      <c r="A1062" s="218" t="n"/>
      <c r="B1062" s="215" t="n"/>
      <c r="C1062" s="215" t="n"/>
      <c r="D1062" s="215" t="n"/>
      <c r="E1062" s="219" t="n"/>
      <c r="F1062" s="215" t="n"/>
      <c r="G1062" s="215" t="n"/>
      <c r="H1062" s="215" t="n"/>
      <c r="I1062" s="215" t="n"/>
      <c r="J1062" s="215" t="n"/>
      <c r="K1062" s="215" t="n"/>
      <c r="L1062" s="217" t="n"/>
    </row>
    <row r="1063">
      <c r="A1063" s="220" t="n"/>
      <c r="B1063" s="211" t="n"/>
      <c r="C1063" s="211" t="n"/>
      <c r="D1063" s="211" t="n"/>
      <c r="E1063" s="221" t="n"/>
      <c r="F1063" s="211" t="n"/>
      <c r="G1063" s="211" t="n"/>
      <c r="H1063" s="211" t="n"/>
      <c r="I1063" s="211" t="n"/>
      <c r="J1063" s="211" t="n"/>
      <c r="K1063" s="211" t="n"/>
      <c r="L1063" s="213" t="n"/>
    </row>
    <row r="1064">
      <c r="A1064" s="218" t="n"/>
      <c r="B1064" s="215" t="n"/>
      <c r="C1064" s="215" t="n"/>
      <c r="D1064" s="215" t="n"/>
      <c r="E1064" s="219" t="n"/>
      <c r="F1064" s="215" t="n"/>
      <c r="G1064" s="215" t="n"/>
      <c r="H1064" s="215" t="n"/>
      <c r="I1064" s="215" t="n"/>
      <c r="J1064" s="215" t="n"/>
      <c r="K1064" s="215" t="n"/>
      <c r="L1064" s="217" t="n"/>
    </row>
    <row r="1065">
      <c r="A1065" s="220" t="n"/>
      <c r="B1065" s="211" t="n"/>
      <c r="C1065" s="211" t="n"/>
      <c r="D1065" s="211" t="n"/>
      <c r="E1065" s="221" t="n"/>
      <c r="F1065" s="211" t="n"/>
      <c r="G1065" s="211" t="n"/>
      <c r="H1065" s="211" t="n"/>
      <c r="I1065" s="211" t="n"/>
      <c r="J1065" s="211" t="n"/>
      <c r="K1065" s="211" t="n"/>
      <c r="L1065" s="213" t="n"/>
    </row>
    <row r="1066">
      <c r="A1066" s="218" t="n"/>
      <c r="B1066" s="215" t="n"/>
      <c r="C1066" s="215" t="n"/>
      <c r="D1066" s="215" t="n"/>
      <c r="E1066" s="219" t="n"/>
      <c r="F1066" s="215" t="n"/>
      <c r="G1066" s="215" t="n"/>
      <c r="H1066" s="215" t="n"/>
      <c r="I1066" s="215" t="n"/>
      <c r="J1066" s="215" t="n"/>
      <c r="K1066" s="215" t="n"/>
      <c r="L1066" s="217" t="n"/>
    </row>
    <row r="1067">
      <c r="A1067" s="220" t="n"/>
      <c r="B1067" s="211" t="n"/>
      <c r="C1067" s="211" t="n"/>
      <c r="D1067" s="211" t="n"/>
      <c r="E1067" s="221" t="n"/>
      <c r="F1067" s="211" t="n"/>
      <c r="G1067" s="211" t="n"/>
      <c r="H1067" s="211" t="n"/>
      <c r="I1067" s="211" t="n"/>
      <c r="J1067" s="211" t="n"/>
      <c r="K1067" s="211" t="n"/>
      <c r="L1067" s="213" t="n"/>
    </row>
    <row r="1068">
      <c r="A1068" s="218" t="n"/>
      <c r="B1068" s="215" t="n"/>
      <c r="C1068" s="215" t="n"/>
      <c r="D1068" s="215" t="n"/>
      <c r="E1068" s="219" t="n"/>
      <c r="F1068" s="215" t="n"/>
      <c r="G1068" s="215" t="n"/>
      <c r="H1068" s="215" t="n"/>
      <c r="I1068" s="215" t="n"/>
      <c r="J1068" s="215" t="n"/>
      <c r="K1068" s="215" t="n"/>
      <c r="L1068" s="217" t="n"/>
    </row>
    <row r="1069">
      <c r="A1069" s="220" t="n"/>
      <c r="B1069" s="211" t="n"/>
      <c r="C1069" s="211" t="n"/>
      <c r="D1069" s="211" t="n"/>
      <c r="E1069" s="221" t="n"/>
      <c r="F1069" s="211" t="n"/>
      <c r="G1069" s="211" t="n"/>
      <c r="H1069" s="211" t="n"/>
      <c r="I1069" s="211" t="n"/>
      <c r="J1069" s="211" t="n"/>
      <c r="K1069" s="211" t="n"/>
      <c r="L1069" s="213" t="n"/>
    </row>
    <row r="1070">
      <c r="A1070" s="218" t="n"/>
      <c r="B1070" s="215" t="n"/>
      <c r="C1070" s="215" t="n"/>
      <c r="D1070" s="215" t="n"/>
      <c r="E1070" s="219" t="n"/>
      <c r="F1070" s="215" t="n"/>
      <c r="G1070" s="215" t="n"/>
      <c r="H1070" s="215" t="n"/>
      <c r="I1070" s="215" t="n"/>
      <c r="J1070" s="215" t="n"/>
      <c r="K1070" s="215" t="n"/>
      <c r="L1070" s="217" t="n"/>
    </row>
    <row r="1071">
      <c r="A1071" s="220" t="n"/>
      <c r="B1071" s="211" t="n"/>
      <c r="C1071" s="211" t="n"/>
      <c r="D1071" s="211" t="n"/>
      <c r="E1071" s="221" t="n"/>
      <c r="F1071" s="211" t="n"/>
      <c r="G1071" s="211" t="n"/>
      <c r="H1071" s="211" t="n"/>
      <c r="I1071" s="211" t="n"/>
      <c r="J1071" s="211" t="n"/>
      <c r="K1071" s="211" t="n"/>
      <c r="L1071" s="213" t="n"/>
    </row>
    <row r="1072">
      <c r="A1072" s="218" t="n"/>
      <c r="B1072" s="215" t="n"/>
      <c r="C1072" s="215" t="n"/>
      <c r="D1072" s="215" t="n"/>
      <c r="E1072" s="219" t="n"/>
      <c r="F1072" s="215" t="n"/>
      <c r="G1072" s="215" t="n"/>
      <c r="H1072" s="215" t="n"/>
      <c r="I1072" s="215" t="n"/>
      <c r="J1072" s="215" t="n"/>
      <c r="K1072" s="215" t="n"/>
      <c r="L1072" s="217" t="n"/>
    </row>
    <row r="1073">
      <c r="A1073" s="220" t="n"/>
      <c r="B1073" s="211" t="n"/>
      <c r="C1073" s="211" t="n"/>
      <c r="D1073" s="211" t="n"/>
      <c r="E1073" s="221" t="n"/>
      <c r="F1073" s="211" t="n"/>
      <c r="G1073" s="211" t="n"/>
      <c r="H1073" s="211" t="n"/>
      <c r="I1073" s="211" t="n"/>
      <c r="J1073" s="211" t="n"/>
      <c r="K1073" s="211" t="n"/>
      <c r="L1073" s="213" t="n"/>
    </row>
    <row r="1074">
      <c r="A1074" s="218" t="n"/>
      <c r="B1074" s="215" t="n"/>
      <c r="C1074" s="215" t="n"/>
      <c r="D1074" s="215" t="n"/>
      <c r="E1074" s="219" t="n"/>
      <c r="F1074" s="215" t="n"/>
      <c r="G1074" s="215" t="n"/>
      <c r="H1074" s="215" t="n"/>
      <c r="I1074" s="215" t="n"/>
      <c r="J1074" s="215" t="n"/>
      <c r="K1074" s="215" t="n"/>
      <c r="L1074" s="217" t="n"/>
    </row>
    <row r="1075">
      <c r="A1075" s="220" t="n"/>
      <c r="B1075" s="211" t="n"/>
      <c r="C1075" s="211" t="n"/>
      <c r="D1075" s="211" t="n"/>
      <c r="E1075" s="221" t="n"/>
      <c r="F1075" s="211" t="n"/>
      <c r="G1075" s="211" t="n"/>
      <c r="H1075" s="211" t="n"/>
      <c r="I1075" s="211" t="n"/>
      <c r="J1075" s="211" t="n"/>
      <c r="K1075" s="211" t="n"/>
      <c r="L1075" s="213" t="n"/>
    </row>
    <row r="1076">
      <c r="A1076" s="218" t="n"/>
      <c r="B1076" s="215" t="n"/>
      <c r="C1076" s="215" t="n"/>
      <c r="D1076" s="215" t="n"/>
      <c r="E1076" s="219" t="n"/>
      <c r="F1076" s="215" t="n"/>
      <c r="G1076" s="215" t="n"/>
      <c r="H1076" s="215" t="n"/>
      <c r="I1076" s="215" t="n"/>
      <c r="J1076" s="215" t="n"/>
      <c r="K1076" s="215" t="n"/>
      <c r="L1076" s="217" t="n"/>
    </row>
    <row r="1077">
      <c r="A1077" s="220" t="n"/>
      <c r="B1077" s="211" t="n"/>
      <c r="C1077" s="211" t="n"/>
      <c r="D1077" s="211" t="n"/>
      <c r="E1077" s="221" t="n"/>
      <c r="F1077" s="211" t="n"/>
      <c r="G1077" s="211" t="n"/>
      <c r="H1077" s="211" t="n"/>
      <c r="I1077" s="211" t="n"/>
      <c r="J1077" s="211" t="n"/>
      <c r="K1077" s="211" t="n"/>
      <c r="L1077" s="213" t="n"/>
    </row>
    <row r="1078">
      <c r="A1078" s="218" t="n"/>
      <c r="B1078" s="215" t="n"/>
      <c r="C1078" s="215" t="n"/>
      <c r="D1078" s="215" t="n"/>
      <c r="E1078" s="219" t="n"/>
      <c r="F1078" s="215" t="n"/>
      <c r="G1078" s="215" t="n"/>
      <c r="H1078" s="215" t="n"/>
      <c r="I1078" s="215" t="n"/>
      <c r="J1078" s="215" t="n"/>
      <c r="K1078" s="215" t="n"/>
      <c r="L1078" s="217" t="n"/>
    </row>
    <row r="1079">
      <c r="A1079" s="220" t="n"/>
      <c r="B1079" s="211" t="n"/>
      <c r="C1079" s="211" t="n"/>
      <c r="D1079" s="211" t="n"/>
      <c r="E1079" s="221" t="n"/>
      <c r="F1079" s="211" t="n"/>
      <c r="G1079" s="211" t="n"/>
      <c r="H1079" s="211" t="n"/>
      <c r="I1079" s="211" t="n"/>
      <c r="J1079" s="211" t="n"/>
      <c r="K1079" s="211" t="n"/>
      <c r="L1079" s="213" t="n"/>
    </row>
    <row r="1080">
      <c r="A1080" s="218" t="n"/>
      <c r="B1080" s="215" t="n"/>
      <c r="C1080" s="215" t="n"/>
      <c r="D1080" s="215" t="n"/>
      <c r="E1080" s="219" t="n"/>
      <c r="F1080" s="215" t="n"/>
      <c r="G1080" s="215" t="n"/>
      <c r="H1080" s="215" t="n"/>
      <c r="I1080" s="215" t="n"/>
      <c r="J1080" s="215" t="n"/>
      <c r="K1080" s="215" t="n"/>
      <c r="L1080" s="217" t="n"/>
    </row>
    <row r="1081">
      <c r="A1081" s="220" t="n"/>
      <c r="B1081" s="211" t="n"/>
      <c r="C1081" s="211" t="n"/>
      <c r="D1081" s="211" t="n"/>
      <c r="E1081" s="221" t="n"/>
      <c r="F1081" s="211" t="n"/>
      <c r="G1081" s="211" t="n"/>
      <c r="H1081" s="211" t="n"/>
      <c r="I1081" s="211" t="n"/>
      <c r="J1081" s="211" t="n"/>
      <c r="K1081" s="211" t="n"/>
      <c r="L1081" s="213" t="n"/>
    </row>
    <row r="1082">
      <c r="A1082" s="218" t="n"/>
      <c r="B1082" s="215" t="n"/>
      <c r="C1082" s="215" t="n"/>
      <c r="D1082" s="215" t="n"/>
      <c r="E1082" s="219" t="n"/>
      <c r="F1082" s="215" t="n"/>
      <c r="G1082" s="215" t="n"/>
      <c r="H1082" s="215" t="n"/>
      <c r="I1082" s="215" t="n"/>
      <c r="J1082" s="215" t="n"/>
      <c r="K1082" s="215" t="n"/>
      <c r="L1082" s="217" t="n"/>
    </row>
    <row r="1083">
      <c r="A1083" s="220" t="n"/>
      <c r="B1083" s="211" t="n"/>
      <c r="C1083" s="211" t="n"/>
      <c r="D1083" s="211" t="n"/>
      <c r="E1083" s="221" t="n"/>
      <c r="F1083" s="211" t="n"/>
      <c r="G1083" s="211" t="n"/>
      <c r="H1083" s="211" t="n"/>
      <c r="I1083" s="211" t="n"/>
      <c r="J1083" s="211" t="n"/>
      <c r="K1083" s="211" t="n"/>
      <c r="L1083" s="213" t="n"/>
    </row>
    <row r="1084">
      <c r="A1084" s="218" t="n"/>
      <c r="B1084" s="215" t="n"/>
      <c r="C1084" s="215" t="n"/>
      <c r="D1084" s="215" t="n"/>
      <c r="E1084" s="219" t="n"/>
      <c r="F1084" s="215" t="n"/>
      <c r="G1084" s="215" t="n"/>
      <c r="H1084" s="215" t="n"/>
      <c r="I1084" s="215" t="n"/>
      <c r="J1084" s="215" t="n"/>
      <c r="K1084" s="215" t="n"/>
      <c r="L1084" s="217" t="n"/>
    </row>
    <row r="1085">
      <c r="A1085" s="220" t="n"/>
      <c r="B1085" s="211" t="n"/>
      <c r="C1085" s="211" t="n"/>
      <c r="D1085" s="211" t="n"/>
      <c r="E1085" s="221" t="n"/>
      <c r="F1085" s="211" t="n"/>
      <c r="G1085" s="211" t="n"/>
      <c r="H1085" s="211" t="n"/>
      <c r="I1085" s="211" t="n"/>
      <c r="J1085" s="211" t="n"/>
      <c r="K1085" s="211" t="n"/>
      <c r="L1085" s="213" t="n"/>
    </row>
    <row r="1086">
      <c r="A1086" s="218" t="n"/>
      <c r="B1086" s="215" t="n"/>
      <c r="C1086" s="215" t="n"/>
      <c r="D1086" s="215" t="n"/>
      <c r="E1086" s="219" t="n"/>
      <c r="F1086" s="215" t="n"/>
      <c r="G1086" s="215" t="n"/>
      <c r="H1086" s="215" t="n"/>
      <c r="I1086" s="215" t="n"/>
      <c r="J1086" s="215" t="n"/>
      <c r="K1086" s="215" t="n"/>
      <c r="L1086" s="217" t="n"/>
    </row>
    <row r="1087">
      <c r="A1087" s="220" t="n"/>
      <c r="B1087" s="211" t="n"/>
      <c r="C1087" s="211" t="n"/>
      <c r="D1087" s="211" t="n"/>
      <c r="E1087" s="221" t="n"/>
      <c r="F1087" s="211" t="n"/>
      <c r="G1087" s="211" t="n"/>
      <c r="H1087" s="211" t="n"/>
      <c r="I1087" s="211" t="n"/>
      <c r="J1087" s="211" t="n"/>
      <c r="K1087" s="211" t="n"/>
      <c r="L1087" s="213" t="n"/>
    </row>
    <row r="1088">
      <c r="A1088" s="218" t="n"/>
      <c r="B1088" s="215" t="n"/>
      <c r="C1088" s="215" t="n"/>
      <c r="D1088" s="215" t="n"/>
      <c r="E1088" s="219" t="n"/>
      <c r="F1088" s="215" t="n"/>
      <c r="G1088" s="215" t="n"/>
      <c r="H1088" s="215" t="n"/>
      <c r="I1088" s="215" t="n"/>
      <c r="J1088" s="215" t="n"/>
      <c r="K1088" s="215" t="n"/>
      <c r="L1088" s="217" t="n"/>
    </row>
    <row r="1089">
      <c r="A1089" s="220" t="n"/>
      <c r="B1089" s="211" t="n"/>
      <c r="C1089" s="211" t="n"/>
      <c r="D1089" s="211" t="n"/>
      <c r="E1089" s="221" t="n"/>
      <c r="F1089" s="211" t="n"/>
      <c r="G1089" s="211" t="n"/>
      <c r="H1089" s="211" t="n"/>
      <c r="I1089" s="211" t="n"/>
      <c r="J1089" s="211" t="n"/>
      <c r="K1089" s="211" t="n"/>
      <c r="L1089" s="213" t="n"/>
    </row>
    <row r="1090">
      <c r="A1090" s="218" t="n"/>
      <c r="B1090" s="215" t="n"/>
      <c r="C1090" s="215" t="n"/>
      <c r="D1090" s="215" t="n"/>
      <c r="E1090" s="219" t="n"/>
      <c r="F1090" s="215" t="n"/>
      <c r="G1090" s="215" t="n"/>
      <c r="H1090" s="215" t="n"/>
      <c r="I1090" s="215" t="n"/>
      <c r="J1090" s="215" t="n"/>
      <c r="K1090" s="215" t="n"/>
      <c r="L1090" s="217" t="n"/>
    </row>
    <row r="1091">
      <c r="A1091" s="220" t="n"/>
      <c r="B1091" s="211" t="n"/>
      <c r="C1091" s="211" t="n"/>
      <c r="D1091" s="211" t="n"/>
      <c r="E1091" s="221" t="n"/>
      <c r="F1091" s="211" t="n"/>
      <c r="G1091" s="211" t="n"/>
      <c r="H1091" s="211" t="n"/>
      <c r="I1091" s="211" t="n"/>
      <c r="J1091" s="211" t="n"/>
      <c r="K1091" s="211" t="n"/>
      <c r="L1091" s="213" t="n"/>
    </row>
    <row r="1092">
      <c r="A1092" s="218" t="n"/>
      <c r="B1092" s="215" t="n"/>
      <c r="C1092" s="215" t="n"/>
      <c r="D1092" s="215" t="n"/>
      <c r="E1092" s="219" t="n"/>
      <c r="F1092" s="215" t="n"/>
      <c r="G1092" s="215" t="n"/>
      <c r="H1092" s="215" t="n"/>
      <c r="I1092" s="215" t="n"/>
      <c r="J1092" s="215" t="n"/>
      <c r="K1092" s="215" t="n"/>
      <c r="L1092" s="217" t="n"/>
    </row>
    <row r="1093">
      <c r="A1093" s="220" t="n"/>
      <c r="B1093" s="211" t="n"/>
      <c r="C1093" s="211" t="n"/>
      <c r="D1093" s="211" t="n"/>
      <c r="E1093" s="221" t="n"/>
      <c r="F1093" s="211" t="n"/>
      <c r="G1093" s="211" t="n"/>
      <c r="H1093" s="211" t="n"/>
      <c r="I1093" s="211" t="n"/>
      <c r="J1093" s="211" t="n"/>
      <c r="K1093" s="211" t="n"/>
      <c r="L1093" s="213" t="n"/>
    </row>
    <row r="1094">
      <c r="A1094" s="218" t="n"/>
      <c r="B1094" s="215" t="n"/>
      <c r="C1094" s="215" t="n"/>
      <c r="D1094" s="215" t="n"/>
      <c r="E1094" s="219" t="n"/>
      <c r="F1094" s="215" t="n"/>
      <c r="G1094" s="215" t="n"/>
      <c r="H1094" s="215" t="n"/>
      <c r="I1094" s="215" t="n"/>
      <c r="J1094" s="215" t="n"/>
      <c r="K1094" s="215" t="n"/>
      <c r="L1094" s="217" t="n"/>
    </row>
    <row r="1095">
      <c r="A1095" s="220" t="n"/>
      <c r="B1095" s="211" t="n"/>
      <c r="C1095" s="211" t="n"/>
      <c r="D1095" s="211" t="n"/>
      <c r="E1095" s="221" t="n"/>
      <c r="F1095" s="211" t="n"/>
      <c r="G1095" s="211" t="n"/>
      <c r="H1095" s="211" t="n"/>
      <c r="I1095" s="211" t="n"/>
      <c r="J1095" s="211" t="n"/>
      <c r="K1095" s="211" t="n"/>
      <c r="L1095" s="213" t="n"/>
    </row>
    <row r="1096">
      <c r="A1096" s="218" t="n"/>
      <c r="B1096" s="215" t="n"/>
      <c r="C1096" s="215" t="n"/>
      <c r="D1096" s="215" t="n"/>
      <c r="E1096" s="219" t="n"/>
      <c r="F1096" s="215" t="n"/>
      <c r="G1096" s="215" t="n"/>
      <c r="H1096" s="215" t="n"/>
      <c r="I1096" s="215" t="n"/>
      <c r="J1096" s="215" t="n"/>
      <c r="K1096" s="215" t="n"/>
      <c r="L1096" s="217" t="n"/>
    </row>
    <row r="1097">
      <c r="A1097" s="220" t="n"/>
      <c r="B1097" s="211" t="n"/>
      <c r="C1097" s="211" t="n"/>
      <c r="D1097" s="211" t="n"/>
      <c r="E1097" s="221" t="n"/>
      <c r="F1097" s="211" t="n"/>
      <c r="G1097" s="211" t="n"/>
      <c r="H1097" s="211" t="n"/>
      <c r="I1097" s="211" t="n"/>
      <c r="J1097" s="211" t="n"/>
      <c r="K1097" s="211" t="n"/>
      <c r="L1097" s="213" t="n"/>
    </row>
    <row r="1098">
      <c r="A1098" s="218" t="n"/>
      <c r="B1098" s="215" t="n"/>
      <c r="C1098" s="215" t="n"/>
      <c r="D1098" s="215" t="n"/>
      <c r="E1098" s="219" t="n"/>
      <c r="F1098" s="215" t="n"/>
      <c r="G1098" s="215" t="n"/>
      <c r="H1098" s="215" t="n"/>
      <c r="I1098" s="215" t="n"/>
      <c r="J1098" s="215" t="n"/>
      <c r="K1098" s="215" t="n"/>
      <c r="L1098" s="217" t="n"/>
    </row>
    <row r="1099">
      <c r="A1099" s="220" t="n"/>
      <c r="B1099" s="211" t="n"/>
      <c r="C1099" s="211" t="n"/>
      <c r="D1099" s="211" t="n"/>
      <c r="E1099" s="221" t="n"/>
      <c r="F1099" s="211" t="n"/>
      <c r="G1099" s="211" t="n"/>
      <c r="H1099" s="211" t="n"/>
      <c r="I1099" s="211" t="n"/>
      <c r="J1099" s="211" t="n"/>
      <c r="K1099" s="211" t="n"/>
      <c r="L1099" s="213" t="n"/>
    </row>
    <row r="1100">
      <c r="A1100" s="218" t="n"/>
      <c r="B1100" s="215" t="n"/>
      <c r="C1100" s="215" t="n"/>
      <c r="D1100" s="215" t="n"/>
      <c r="E1100" s="219" t="n"/>
      <c r="F1100" s="215" t="n"/>
      <c r="G1100" s="215" t="n"/>
      <c r="H1100" s="215" t="n"/>
      <c r="I1100" s="215" t="n"/>
      <c r="J1100" s="215" t="n"/>
      <c r="K1100" s="215" t="n"/>
      <c r="L1100" s="217" t="n"/>
    </row>
    <row r="1101">
      <c r="A1101" s="220" t="n"/>
      <c r="B1101" s="211" t="n"/>
      <c r="C1101" s="211" t="n"/>
      <c r="D1101" s="211" t="n"/>
      <c r="E1101" s="221" t="n"/>
      <c r="F1101" s="211" t="n"/>
      <c r="G1101" s="211" t="n"/>
      <c r="H1101" s="211" t="n"/>
      <c r="I1101" s="211" t="n"/>
      <c r="J1101" s="211" t="n"/>
      <c r="K1101" s="211" t="n"/>
      <c r="L1101" s="213" t="n"/>
    </row>
    <row r="1102">
      <c r="A1102" s="218" t="n"/>
      <c r="B1102" s="215" t="n"/>
      <c r="C1102" s="215" t="n"/>
      <c r="D1102" s="215" t="n"/>
      <c r="E1102" s="219" t="n"/>
      <c r="F1102" s="215" t="n"/>
      <c r="G1102" s="215" t="n"/>
      <c r="H1102" s="215" t="n"/>
      <c r="I1102" s="215" t="n"/>
      <c r="J1102" s="215" t="n"/>
      <c r="K1102" s="215" t="n"/>
      <c r="L1102" s="217" t="n"/>
    </row>
    <row r="1103">
      <c r="A1103" s="220" t="n"/>
      <c r="B1103" s="211" t="n"/>
      <c r="C1103" s="211" t="n"/>
      <c r="D1103" s="211" t="n"/>
      <c r="E1103" s="221" t="n"/>
      <c r="F1103" s="211" t="n"/>
      <c r="G1103" s="211" t="n"/>
      <c r="H1103" s="211" t="n"/>
      <c r="I1103" s="211" t="n"/>
      <c r="J1103" s="211" t="n"/>
      <c r="K1103" s="211" t="n"/>
      <c r="L1103" s="213" t="n"/>
    </row>
    <row r="1104">
      <c r="A1104" s="218" t="n"/>
      <c r="B1104" s="215" t="n"/>
      <c r="C1104" s="215" t="n"/>
      <c r="D1104" s="215" t="n"/>
      <c r="E1104" s="219" t="n"/>
      <c r="F1104" s="215" t="n"/>
      <c r="G1104" s="215" t="n"/>
      <c r="H1104" s="215" t="n"/>
      <c r="I1104" s="215" t="n"/>
      <c r="J1104" s="215" t="n"/>
      <c r="K1104" s="215" t="n"/>
      <c r="L1104" s="217" t="n"/>
    </row>
    <row r="1105">
      <c r="A1105" s="220" t="n"/>
      <c r="B1105" s="211" t="n"/>
      <c r="C1105" s="211" t="n"/>
      <c r="D1105" s="211" t="n"/>
      <c r="E1105" s="221" t="n"/>
      <c r="F1105" s="211" t="n"/>
      <c r="G1105" s="211" t="n"/>
      <c r="H1105" s="211" t="n"/>
      <c r="I1105" s="211" t="n"/>
      <c r="J1105" s="211" t="n"/>
      <c r="K1105" s="211" t="n"/>
      <c r="L1105" s="213" t="n"/>
    </row>
    <row r="1106">
      <c r="A1106" s="218" t="n"/>
      <c r="B1106" s="215" t="n"/>
      <c r="C1106" s="215" t="n"/>
      <c r="D1106" s="215" t="n"/>
      <c r="E1106" s="219" t="n"/>
      <c r="F1106" s="215" t="n"/>
      <c r="G1106" s="215" t="n"/>
      <c r="H1106" s="215" t="n"/>
      <c r="I1106" s="215" t="n"/>
      <c r="J1106" s="215" t="n"/>
      <c r="K1106" s="215" t="n"/>
      <c r="L1106" s="217" t="n"/>
    </row>
    <row r="1107">
      <c r="A1107" s="220" t="n"/>
      <c r="B1107" s="211" t="n"/>
      <c r="C1107" s="211" t="n"/>
      <c r="D1107" s="211" t="n"/>
      <c r="E1107" s="221" t="n"/>
      <c r="F1107" s="211" t="n"/>
      <c r="G1107" s="211" t="n"/>
      <c r="H1107" s="211" t="n"/>
      <c r="I1107" s="211" t="n"/>
      <c r="J1107" s="211" t="n"/>
      <c r="K1107" s="211" t="n"/>
      <c r="L1107" s="213" t="n"/>
    </row>
    <row r="1108">
      <c r="A1108" s="218" t="n"/>
      <c r="B1108" s="215" t="n"/>
      <c r="C1108" s="215" t="n"/>
      <c r="D1108" s="215" t="n"/>
      <c r="E1108" s="219" t="n"/>
      <c r="F1108" s="215" t="n"/>
      <c r="G1108" s="215" t="n"/>
      <c r="H1108" s="215" t="n"/>
      <c r="I1108" s="215" t="n"/>
      <c r="J1108" s="215" t="n"/>
      <c r="K1108" s="215" t="n"/>
      <c r="L1108" s="217" t="n"/>
    </row>
    <row r="1109">
      <c r="A1109" s="220" t="n"/>
      <c r="B1109" s="211" t="n"/>
      <c r="C1109" s="211" t="n"/>
      <c r="D1109" s="211" t="n"/>
      <c r="E1109" s="221" t="n"/>
      <c r="F1109" s="211" t="n"/>
      <c r="G1109" s="211" t="n"/>
      <c r="H1109" s="211" t="n"/>
      <c r="I1109" s="211" t="n"/>
      <c r="J1109" s="211" t="n"/>
      <c r="K1109" s="211" t="n"/>
      <c r="L1109" s="213" t="n"/>
    </row>
    <row r="1110">
      <c r="A1110" s="218" t="n"/>
      <c r="B1110" s="215" t="n"/>
      <c r="C1110" s="215" t="n"/>
      <c r="D1110" s="215" t="n"/>
      <c r="E1110" s="219" t="n"/>
      <c r="F1110" s="215" t="n"/>
      <c r="G1110" s="215" t="n"/>
      <c r="H1110" s="215" t="n"/>
      <c r="I1110" s="215" t="n"/>
      <c r="J1110" s="215" t="n"/>
      <c r="K1110" s="215" t="n"/>
      <c r="L1110" s="217" t="n"/>
    </row>
    <row r="1111">
      <c r="A1111" s="220" t="n"/>
      <c r="B1111" s="211" t="n"/>
      <c r="C1111" s="211" t="n"/>
      <c r="D1111" s="211" t="n"/>
      <c r="E1111" s="221" t="n"/>
      <c r="F1111" s="211" t="n"/>
      <c r="G1111" s="211" t="n"/>
      <c r="H1111" s="211" t="n"/>
      <c r="I1111" s="211" t="n"/>
      <c r="J1111" s="211" t="n"/>
      <c r="K1111" s="211" t="n"/>
      <c r="L1111" s="213" t="n"/>
    </row>
    <row r="1112">
      <c r="A1112" s="218" t="n"/>
      <c r="B1112" s="215" t="n"/>
      <c r="C1112" s="215" t="n"/>
      <c r="D1112" s="215" t="n"/>
      <c r="E1112" s="219" t="n"/>
      <c r="F1112" s="215" t="n"/>
      <c r="G1112" s="215" t="n"/>
      <c r="H1112" s="215" t="n"/>
      <c r="I1112" s="215" t="n"/>
      <c r="J1112" s="215" t="n"/>
      <c r="K1112" s="215" t="n"/>
      <c r="L1112" s="217" t="n"/>
    </row>
    <row r="1113">
      <c r="A1113" s="220" t="n"/>
      <c r="B1113" s="211" t="n"/>
      <c r="C1113" s="211" t="n"/>
      <c r="D1113" s="211" t="n"/>
      <c r="E1113" s="221" t="n"/>
      <c r="F1113" s="211" t="n"/>
      <c r="G1113" s="211" t="n"/>
      <c r="H1113" s="211" t="n"/>
      <c r="I1113" s="211" t="n"/>
      <c r="J1113" s="211" t="n"/>
      <c r="K1113" s="211" t="n"/>
      <c r="L1113" s="213" t="n"/>
    </row>
    <row r="1114">
      <c r="A1114" s="218" t="n"/>
      <c r="B1114" s="215" t="n"/>
      <c r="C1114" s="215" t="n"/>
      <c r="D1114" s="215" t="n"/>
      <c r="E1114" s="219" t="n"/>
      <c r="F1114" s="215" t="n"/>
      <c r="G1114" s="215" t="n"/>
      <c r="H1114" s="215" t="n"/>
      <c r="I1114" s="215" t="n"/>
      <c r="J1114" s="215" t="n"/>
      <c r="K1114" s="215" t="n"/>
      <c r="L1114" s="217" t="n"/>
    </row>
    <row r="1115">
      <c r="A1115" s="220" t="n"/>
      <c r="B1115" s="211" t="n"/>
      <c r="C1115" s="211" t="n"/>
      <c r="D1115" s="211" t="n"/>
      <c r="E1115" s="221" t="n"/>
      <c r="F1115" s="211" t="n"/>
      <c r="G1115" s="211" t="n"/>
      <c r="H1115" s="211" t="n"/>
      <c r="I1115" s="211" t="n"/>
      <c r="J1115" s="211" t="n"/>
      <c r="K1115" s="211" t="n"/>
      <c r="L1115" s="213" t="n"/>
    </row>
    <row r="1116">
      <c r="A1116" s="218" t="n"/>
      <c r="B1116" s="215" t="n"/>
      <c r="C1116" s="215" t="n"/>
      <c r="D1116" s="215" t="n"/>
      <c r="E1116" s="219" t="n"/>
      <c r="F1116" s="215" t="n"/>
      <c r="G1116" s="215" t="n"/>
      <c r="H1116" s="215" t="n"/>
      <c r="I1116" s="215" t="n"/>
      <c r="J1116" s="215" t="n"/>
      <c r="K1116" s="215" t="n"/>
      <c r="L1116" s="217" t="n"/>
    </row>
    <row r="1117">
      <c r="A1117" s="220" t="n"/>
      <c r="B1117" s="211" t="n"/>
      <c r="C1117" s="211" t="n"/>
      <c r="D1117" s="211" t="n"/>
      <c r="E1117" s="221" t="n"/>
      <c r="F1117" s="211" t="n"/>
      <c r="G1117" s="211" t="n"/>
      <c r="H1117" s="211" t="n"/>
      <c r="I1117" s="211" t="n"/>
      <c r="J1117" s="211" t="n"/>
      <c r="K1117" s="211" t="n"/>
      <c r="L1117" s="213" t="n"/>
    </row>
    <row r="1118">
      <c r="A1118" s="218" t="n"/>
      <c r="B1118" s="215" t="n"/>
      <c r="C1118" s="215" t="n"/>
      <c r="D1118" s="215" t="n"/>
      <c r="E1118" s="219" t="n"/>
      <c r="F1118" s="215" t="n"/>
      <c r="G1118" s="215" t="n"/>
      <c r="H1118" s="215" t="n"/>
      <c r="I1118" s="215" t="n"/>
      <c r="J1118" s="215" t="n"/>
      <c r="K1118" s="215" t="n"/>
      <c r="L1118" s="217" t="n"/>
    </row>
    <row r="1119">
      <c r="A1119" s="220" t="n"/>
      <c r="B1119" s="211" t="n"/>
      <c r="C1119" s="211" t="n"/>
      <c r="D1119" s="211" t="n"/>
      <c r="E1119" s="221" t="n"/>
      <c r="F1119" s="211" t="n"/>
      <c r="G1119" s="211" t="n"/>
      <c r="H1119" s="211" t="n"/>
      <c r="I1119" s="211" t="n"/>
      <c r="J1119" s="211" t="n"/>
      <c r="K1119" s="211" t="n"/>
      <c r="L1119" s="213" t="n"/>
    </row>
    <row r="1120">
      <c r="A1120" s="218" t="n"/>
      <c r="B1120" s="215" t="n"/>
      <c r="C1120" s="215" t="n"/>
      <c r="D1120" s="215" t="n"/>
      <c r="E1120" s="219" t="n"/>
      <c r="F1120" s="215" t="n"/>
      <c r="G1120" s="215" t="n"/>
      <c r="H1120" s="215" t="n"/>
      <c r="I1120" s="215" t="n"/>
      <c r="J1120" s="215" t="n"/>
      <c r="K1120" s="215" t="n"/>
      <c r="L1120" s="217" t="n"/>
    </row>
    <row r="1121">
      <c r="A1121" s="222" t="n"/>
      <c r="B1121" s="755" t="n"/>
      <c r="C1121" s="755" t="n"/>
      <c r="D1121" s="755" t="n"/>
      <c r="E1121" s="224" t="n"/>
      <c r="F1121" s="755" t="n"/>
      <c r="G1121" s="755" t="n"/>
      <c r="H1121" s="755" t="n"/>
      <c r="I1121" s="755" t="n"/>
      <c r="J1121" s="755" t="n"/>
      <c r="K1121" s="755" t="n"/>
      <c r="L1121" s="225" t="n"/>
    </row>
  </sheetData>
  <mergeCells count="2">
    <mergeCell ref="N1:Q2"/>
    <mergeCell ref="N3:Q4"/>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0" summaryRight="0"/>
    <pageSetUpPr fitToPage="1"/>
  </sheetPr>
  <dimension ref="A1:BQ1007"/>
  <sheetViews>
    <sheetView workbookViewId="0">
      <pane ySplit="1" topLeftCell="A2" activePane="bottomLeft" state="frozen"/>
      <selection pane="bottomLeft" activeCell="B3" sqref="B3"/>
    </sheetView>
  </sheetViews>
  <sheetFormatPr baseColWidth="8" defaultColWidth="12.63" defaultRowHeight="15.75" customHeight="1"/>
  <cols>
    <col width="10.13" customWidth="1" style="763" min="2" max="2"/>
    <col width="8.75" customWidth="1" style="763" min="3" max="3"/>
    <col width="11.63" customWidth="1" style="763" min="4" max="4"/>
    <col width="9.5" customWidth="1" style="763" min="5" max="5"/>
    <col width="9.25" customWidth="1" style="763" min="6" max="6"/>
    <col width="9.380000000000001" customWidth="1" style="763" min="7" max="7"/>
    <col width="10.75" customWidth="1" style="763" min="8" max="8"/>
    <col width="24.38" customWidth="1" style="763" min="9" max="9"/>
    <col width="15.88" customWidth="1" style="763" min="10" max="10"/>
    <col width="13" customWidth="1" style="763" min="11" max="11"/>
    <col width="17.38" customWidth="1" style="763" min="12" max="12"/>
    <col width="7.88" customWidth="1" style="763" min="13" max="14"/>
    <col width="8.880000000000001" customWidth="1" style="763" min="15" max="15"/>
    <col width="7.88" customWidth="1" style="763" min="16" max="20"/>
    <col width="6.25" customWidth="1" style="763" min="32" max="49"/>
  </cols>
  <sheetData>
    <row r="1">
      <c r="A1" s="160" t="inlineStr">
        <is>
          <t>Gender</t>
        </is>
      </c>
      <c r="B1" s="163" t="inlineStr">
        <is>
          <t>Event</t>
        </is>
      </c>
      <c r="C1" s="163" t="inlineStr">
        <is>
          <t>Year</t>
        </is>
      </c>
      <c r="D1" s="163" t="inlineStr">
        <is>
          <t>Country</t>
        </is>
      </c>
      <c r="E1" s="164" t="inlineStr">
        <is>
          <t>Rank</t>
        </is>
      </c>
      <c r="F1" s="163" t="inlineStr">
        <is>
          <t>Time</t>
        </is>
      </c>
      <c r="G1" s="163" t="inlineStr">
        <is>
          <t>Birth Year</t>
        </is>
      </c>
      <c r="H1" s="164" t="inlineStr">
        <is>
          <t>Medal Age</t>
        </is>
      </c>
      <c r="I1" s="163" t="inlineStr">
        <is>
          <t>Athlete Name</t>
        </is>
      </c>
      <c r="J1" s="163" t="inlineStr">
        <is>
          <t>University Team</t>
        </is>
      </c>
      <c r="K1" s="163" t="inlineStr">
        <is>
          <t>University Country</t>
        </is>
      </c>
      <c r="L1" s="165" t="inlineStr">
        <is>
          <t>Foregin National?</t>
        </is>
      </c>
      <c r="M1" s="697" t="n"/>
      <c r="P1" s="227" t="n"/>
      <c r="Q1" s="697" t="n"/>
      <c r="R1" s="697" t="n"/>
      <c r="S1" s="697" t="n"/>
      <c r="T1" s="697" t="n"/>
      <c r="U1" s="697" t="n"/>
      <c r="V1" s="697" t="n"/>
      <c r="W1" s="697" t="n"/>
      <c r="X1" s="697" t="n"/>
      <c r="Y1" s="697" t="n"/>
      <c r="Z1" s="697" t="n"/>
      <c r="AA1" s="697" t="n"/>
      <c r="AB1" s="697" t="n"/>
      <c r="AC1" s="697" t="n"/>
      <c r="AD1" s="697" t="n"/>
      <c r="AE1" s="697" t="n"/>
      <c r="AF1" s="697" t="n"/>
      <c r="AG1" s="697" t="n"/>
      <c r="AH1" s="697" t="n"/>
      <c r="AI1" s="697" t="n"/>
      <c r="AJ1" s="697" t="n"/>
      <c r="AK1" s="697" t="n"/>
      <c r="AL1" s="697" t="n"/>
      <c r="AM1" s="697" t="n"/>
      <c r="AN1" s="697" t="n"/>
      <c r="AO1" s="697" t="n"/>
      <c r="AP1" s="697" t="n"/>
      <c r="AQ1" s="697" t="n"/>
      <c r="AR1" s="697" t="n"/>
      <c r="AS1" s="697" t="n"/>
      <c r="AT1" s="697" t="n"/>
      <c r="AU1" s="697" t="n"/>
      <c r="AV1" s="697" t="n"/>
      <c r="AW1" s="697" t="n"/>
      <c r="AX1" s="697" t="n"/>
      <c r="AY1" s="89" t="n"/>
      <c r="AZ1" s="89" t="n"/>
      <c r="BA1" s="89" t="n"/>
      <c r="BB1" s="89" t="n"/>
      <c r="BC1" s="89" t="n"/>
      <c r="BD1" s="89" t="n"/>
      <c r="BE1" s="89" t="n"/>
      <c r="BF1" s="89" t="n"/>
      <c r="BG1" s="89" t="n"/>
      <c r="BH1" s="89" t="n"/>
      <c r="BI1" s="89" t="n"/>
      <c r="BJ1" s="89" t="n"/>
      <c r="BK1" s="89" t="n"/>
      <c r="BL1" s="89" t="n"/>
      <c r="BM1" s="89" t="n"/>
      <c r="BN1" s="89" t="n"/>
      <c r="BO1" s="89" t="n"/>
      <c r="BP1" s="89" t="n"/>
      <c r="BQ1" s="89" t="n"/>
    </row>
    <row r="2">
      <c r="A2" s="218" t="inlineStr">
        <is>
          <t>Female</t>
        </is>
      </c>
      <c r="B2" s="215" t="inlineStr">
        <is>
          <t>100 Back</t>
        </is>
      </c>
      <c r="C2" s="189" t="n">
        <v>2019</v>
      </c>
      <c r="D2" s="215" t="inlineStr">
        <is>
          <t>VIE</t>
        </is>
      </c>
      <c r="E2" s="219" t="n">
        <v>1</v>
      </c>
      <c r="F2" s="215" t="inlineStr">
        <is>
          <t>1:02.97</t>
        </is>
      </c>
      <c r="G2" s="215" t="n">
        <v>1996</v>
      </c>
      <c r="H2" s="215">
        <f>C2-G2</f>
        <v/>
      </c>
      <c r="I2" s="215" t="inlineStr">
        <is>
          <t>Nguyen Thi Anh Vien</t>
        </is>
      </c>
      <c r="J2" s="215" t="n"/>
      <c r="K2" s="215" t="n"/>
      <c r="L2" s="217" t="n"/>
      <c r="M2" s="689" t="n"/>
      <c r="P2" s="227" t="n"/>
      <c r="Q2" s="689" t="n"/>
      <c r="R2" s="689" t="n"/>
      <c r="S2" s="689" t="n"/>
      <c r="T2" s="689" t="n"/>
      <c r="U2" s="689" t="n"/>
      <c r="V2" s="689" t="n"/>
      <c r="W2" s="689" t="n"/>
      <c r="X2" s="689" t="n"/>
      <c r="Y2" s="689" t="n"/>
      <c r="Z2" s="689" t="n"/>
      <c r="AA2" s="689" t="n"/>
      <c r="AB2" s="689" t="n"/>
      <c r="AC2" s="689" t="n"/>
      <c r="AD2" s="689" t="n"/>
      <c r="AY2" s="692" t="n"/>
      <c r="AZ2" s="692" t="n"/>
      <c r="BA2" s="692" t="n"/>
      <c r="BB2" s="692" t="n"/>
      <c r="BC2" s="692" t="n"/>
      <c r="BD2" s="692" t="n"/>
      <c r="BE2" s="692" t="n"/>
      <c r="BF2" s="692" t="n"/>
      <c r="BG2" s="692" t="n"/>
      <c r="BH2" s="692" t="n"/>
      <c r="BI2" s="692" t="n"/>
      <c r="BJ2" s="692" t="n"/>
      <c r="BK2" s="692" t="n"/>
      <c r="BL2" s="692" t="n"/>
      <c r="BM2" s="692" t="n"/>
      <c r="BN2" s="692" t="n"/>
      <c r="BO2" s="692" t="n"/>
      <c r="BP2" s="692" t="n"/>
      <c r="BQ2" s="692" t="n"/>
    </row>
    <row r="3">
      <c r="A3" s="220" t="inlineStr">
        <is>
          <t>Female</t>
        </is>
      </c>
      <c r="B3" s="211" t="inlineStr">
        <is>
          <t>100 Back</t>
        </is>
      </c>
      <c r="C3" s="190" t="n">
        <v>2019</v>
      </c>
      <c r="D3" s="211" t="inlineStr">
        <is>
          <t>PHI</t>
        </is>
      </c>
      <c r="E3" s="221" t="n">
        <v>2</v>
      </c>
      <c r="F3" s="211" t="inlineStr">
        <is>
          <t>1:03.87</t>
        </is>
      </c>
      <c r="G3" s="211" t="n">
        <v>1998</v>
      </c>
      <c r="H3" s="211">
        <f>C3-G3</f>
        <v/>
      </c>
      <c r="I3" s="211" t="inlineStr">
        <is>
          <t>Chloe Kennedy Anne Isleta</t>
        </is>
      </c>
      <c r="J3" s="211" t="inlineStr">
        <is>
          <t>ASU</t>
        </is>
      </c>
      <c r="K3" s="211" t="inlineStr">
        <is>
          <t>USA</t>
        </is>
      </c>
      <c r="L3" s="213" t="inlineStr">
        <is>
          <t>USA</t>
        </is>
      </c>
      <c r="M3" s="689" t="n"/>
      <c r="N3" s="86" t="inlineStr">
        <is>
          <t>Gender</t>
        </is>
      </c>
      <c r="O3" s="87" t="inlineStr">
        <is>
          <t>Event</t>
        </is>
      </c>
      <c r="P3" s="269" t="inlineStr">
        <is>
          <t>Medal Age</t>
        </is>
      </c>
      <c r="Q3" s="689" t="n"/>
      <c r="R3" s="689" t="n"/>
      <c r="S3" s="689" t="n"/>
      <c r="T3" s="689" t="n"/>
      <c r="U3" s="689" t="n"/>
      <c r="V3" s="689" t="n"/>
      <c r="W3" s="689" t="n"/>
      <c r="X3" s="689" t="n"/>
      <c r="Y3" s="689" t="n"/>
      <c r="Z3" s="689" t="n"/>
      <c r="AA3" s="689" t="n"/>
      <c r="AB3" s="689" t="n"/>
      <c r="AC3" s="689" t="n"/>
      <c r="AD3" s="689" t="n"/>
      <c r="AY3" s="692" t="n"/>
      <c r="AZ3" s="692" t="n"/>
      <c r="BA3" s="692" t="n"/>
      <c r="BB3" s="692" t="n"/>
      <c r="BC3" s="692" t="n"/>
      <c r="BD3" s="692" t="n"/>
      <c r="BE3" s="692" t="n"/>
      <c r="BF3" s="692" t="n"/>
      <c r="BG3" s="692" t="n"/>
      <c r="BH3" s="692" t="n"/>
      <c r="BI3" s="692" t="n"/>
      <c r="BJ3" s="692" t="n"/>
      <c r="BK3" s="692" t="n"/>
      <c r="BL3" s="692" t="n"/>
      <c r="BM3" s="692" t="n"/>
      <c r="BN3" s="692" t="n"/>
      <c r="BO3" s="692" t="n"/>
      <c r="BP3" s="692" t="n"/>
      <c r="BQ3" s="692" t="n"/>
    </row>
    <row r="4">
      <c r="A4" s="218" t="inlineStr">
        <is>
          <t>Female</t>
        </is>
      </c>
      <c r="B4" s="215" t="inlineStr">
        <is>
          <t>100 Back</t>
        </is>
      </c>
      <c r="C4" s="189" t="n">
        <v>2019</v>
      </c>
      <c r="D4" s="215" t="inlineStr">
        <is>
          <t>PHI</t>
        </is>
      </c>
      <c r="E4" s="219" t="n">
        <v>3</v>
      </c>
      <c r="F4" s="215" t="inlineStr">
        <is>
          <t>1:04.08</t>
        </is>
      </c>
      <c r="G4" s="215" t="n">
        <v>1993</v>
      </c>
      <c r="H4" s="215">
        <f>C4-G4</f>
        <v/>
      </c>
      <c r="I4" s="215" t="inlineStr">
        <is>
          <t>Jasmine Alkhaldi</t>
        </is>
      </c>
      <c r="J4" s="215" t="inlineStr">
        <is>
          <t>Hawaii</t>
        </is>
      </c>
      <c r="K4" s="215" t="inlineStr">
        <is>
          <t>USA</t>
        </is>
      </c>
      <c r="L4" s="217" t="n"/>
      <c r="M4" s="689" t="n"/>
      <c r="N4" s="273" t="inlineStr">
        <is>
          <t>Female</t>
        </is>
      </c>
      <c r="O4" s="590" t="inlineStr">
        <is>
          <t>800 Free</t>
        </is>
      </c>
      <c r="P4" s="102" t="n">
        <v>18</v>
      </c>
      <c r="Q4" s="689" t="n"/>
      <c r="R4" s="689" t="n"/>
      <c r="S4" s="689" t="n"/>
      <c r="T4" s="689" t="n"/>
      <c r="U4" s="689" t="n"/>
      <c r="V4" s="689" t="n"/>
      <c r="W4" s="689" t="n"/>
      <c r="X4" s="689" t="n"/>
      <c r="Y4" s="689" t="n"/>
      <c r="Z4" s="689" t="n"/>
      <c r="AA4" s="689" t="n"/>
      <c r="AB4" s="689" t="n"/>
      <c r="AC4" s="689" t="n"/>
      <c r="AD4" s="689" t="n"/>
      <c r="AY4" s="692" t="n"/>
      <c r="AZ4" s="692" t="n"/>
      <c r="BA4" s="692" t="n"/>
      <c r="BB4" s="692" t="n"/>
      <c r="BC4" s="692" t="n"/>
      <c r="BD4" s="692" t="n"/>
      <c r="BE4" s="692" t="n"/>
      <c r="BF4" s="692" t="n"/>
      <c r="BG4" s="692" t="n"/>
      <c r="BH4" s="692" t="n"/>
      <c r="BI4" s="692" t="n"/>
      <c r="BJ4" s="692" t="n"/>
      <c r="BK4" s="692" t="n"/>
      <c r="BL4" s="692" t="n"/>
      <c r="BM4" s="692" t="n"/>
      <c r="BN4" s="692" t="n"/>
      <c r="BO4" s="692" t="n"/>
      <c r="BP4" s="692" t="n"/>
      <c r="BQ4" s="692" t="n"/>
    </row>
    <row r="5">
      <c r="A5" s="220" t="inlineStr">
        <is>
          <t>Female</t>
        </is>
      </c>
      <c r="B5" s="211" t="inlineStr">
        <is>
          <t>100 Back</t>
        </is>
      </c>
      <c r="C5" s="190" t="n">
        <v>2022</v>
      </c>
      <c r="D5" s="211" t="inlineStr">
        <is>
          <t>IND</t>
        </is>
      </c>
      <c r="E5" s="221" t="n">
        <v>1</v>
      </c>
      <c r="F5" s="211" t="inlineStr">
        <is>
          <t>1:03.36</t>
        </is>
      </c>
      <c r="G5" s="211" t="n">
        <v>2005</v>
      </c>
      <c r="H5" s="211">
        <f>C5-G5</f>
        <v/>
      </c>
      <c r="I5" s="211" t="inlineStr">
        <is>
          <t>Flairene Candre Wonomiharjo</t>
        </is>
      </c>
      <c r="J5" s="211" t="n"/>
      <c r="K5" s="211" t="n"/>
      <c r="L5" s="213" t="n"/>
      <c r="M5" s="689" t="n"/>
      <c r="N5" s="281" t="inlineStr">
        <is>
          <t>Female</t>
        </is>
      </c>
      <c r="O5" s="613" t="inlineStr">
        <is>
          <t>400 IM</t>
        </is>
      </c>
      <c r="P5" s="111" t="n">
        <v>18.44</v>
      </c>
      <c r="Q5" s="689" t="n"/>
      <c r="R5" s="689" t="n"/>
      <c r="S5" s="689" t="n"/>
      <c r="T5" s="689" t="n"/>
      <c r="U5" s="689" t="n"/>
      <c r="V5" s="689" t="n"/>
      <c r="W5" s="689" t="n"/>
      <c r="X5" s="689" t="n"/>
      <c r="Y5" s="689" t="n"/>
      <c r="Z5" s="689" t="n"/>
      <c r="AA5" s="689" t="n"/>
      <c r="AB5" s="689" t="n"/>
      <c r="AC5" s="689" t="n"/>
      <c r="AD5" s="689" t="n"/>
      <c r="AY5" s="692" t="n"/>
      <c r="AZ5" s="692" t="n"/>
      <c r="BA5" s="692" t="n"/>
      <c r="BB5" s="692" t="n"/>
      <c r="BC5" s="692" t="n"/>
      <c r="BD5" s="692" t="n"/>
      <c r="BE5" s="692" t="n"/>
      <c r="BF5" s="692" t="n"/>
      <c r="BG5" s="692" t="n"/>
      <c r="BH5" s="692" t="n"/>
      <c r="BI5" s="692" t="n"/>
      <c r="BJ5" s="692" t="n"/>
      <c r="BK5" s="692" t="n"/>
      <c r="BL5" s="692" t="n"/>
      <c r="BM5" s="692" t="n"/>
      <c r="BN5" s="692" t="n"/>
      <c r="BO5" s="692" t="n"/>
      <c r="BP5" s="692" t="n"/>
      <c r="BQ5" s="692" t="n"/>
    </row>
    <row r="6">
      <c r="A6" s="218" t="inlineStr">
        <is>
          <t>Female</t>
        </is>
      </c>
      <c r="B6" s="215" t="inlineStr">
        <is>
          <t>100 Back</t>
        </is>
      </c>
      <c r="C6" s="189" t="n">
        <v>2022</v>
      </c>
      <c r="D6" s="215" t="inlineStr">
        <is>
          <t>PHI</t>
        </is>
      </c>
      <c r="E6" s="219" t="n">
        <v>2</v>
      </c>
      <c r="F6" s="215" t="inlineStr">
        <is>
          <t>1:03.78</t>
        </is>
      </c>
      <c r="G6" s="215" t="n">
        <v>1998</v>
      </c>
      <c r="H6" s="215">
        <f>C6-G6</f>
        <v/>
      </c>
      <c r="I6" s="215" t="inlineStr">
        <is>
          <t>Chloe Kennedy Anne Isleta</t>
        </is>
      </c>
      <c r="J6" s="215" t="inlineStr">
        <is>
          <t>ASU</t>
        </is>
      </c>
      <c r="K6" s="215" t="inlineStr">
        <is>
          <t>USA</t>
        </is>
      </c>
      <c r="L6" s="217" t="inlineStr">
        <is>
          <t>USA</t>
        </is>
      </c>
      <c r="M6" s="689" t="n"/>
      <c r="N6" s="273" t="inlineStr">
        <is>
          <t>Male</t>
        </is>
      </c>
      <c r="O6" s="590" t="inlineStr">
        <is>
          <t>400 IM</t>
        </is>
      </c>
      <c r="P6" s="102" t="n">
        <v>19</v>
      </c>
      <c r="Q6" s="689" t="n"/>
      <c r="R6" s="689" t="n"/>
      <c r="S6" s="689" t="n"/>
      <c r="T6" s="689" t="n"/>
      <c r="U6" s="689" t="n"/>
      <c r="V6" s="689" t="n"/>
      <c r="W6" s="689" t="n"/>
      <c r="X6" s="689" t="n"/>
      <c r="Y6" s="689" t="n"/>
      <c r="Z6" s="689" t="n"/>
      <c r="AA6" s="689" t="n"/>
      <c r="AB6" s="689" t="n"/>
      <c r="AC6" s="689" t="n"/>
      <c r="AD6" s="689" t="n"/>
      <c r="AY6" s="692" t="n"/>
      <c r="AZ6" s="692" t="n"/>
      <c r="BA6" s="692" t="n"/>
      <c r="BB6" s="692" t="n"/>
      <c r="BC6" s="692" t="n"/>
      <c r="BD6" s="692" t="n"/>
      <c r="BE6" s="692" t="n"/>
      <c r="BF6" s="692" t="n"/>
      <c r="BG6" s="692" t="n"/>
      <c r="BH6" s="692" t="n"/>
      <c r="BI6" s="692" t="n"/>
      <c r="BJ6" s="692" t="n"/>
      <c r="BK6" s="692" t="n"/>
      <c r="BL6" s="692" t="n"/>
      <c r="BM6" s="692" t="n"/>
      <c r="BN6" s="692" t="n"/>
      <c r="BO6" s="692" t="n"/>
      <c r="BP6" s="692" t="n"/>
      <c r="BQ6" s="692" t="n"/>
    </row>
    <row r="7">
      <c r="A7" s="220" t="inlineStr">
        <is>
          <t>Female</t>
        </is>
      </c>
      <c r="B7" s="211" t="inlineStr">
        <is>
          <t>100 Back</t>
        </is>
      </c>
      <c r="C7" s="190" t="n">
        <v>2022</v>
      </c>
      <c r="D7" s="211" t="inlineStr">
        <is>
          <t>PHI</t>
        </is>
      </c>
      <c r="E7" s="221" t="n">
        <v>3</v>
      </c>
      <c r="F7" s="211" t="inlineStr">
        <is>
          <t>1:03.86</t>
        </is>
      </c>
      <c r="G7" s="211" t="n">
        <v>1998</v>
      </c>
      <c r="H7" s="196">
        <f>C7-G7</f>
        <v/>
      </c>
      <c r="I7" s="211" t="inlineStr">
        <is>
          <t>Geriane Taguba Jessica Joy</t>
        </is>
      </c>
      <c r="J7" s="211" t="inlineStr">
        <is>
          <t>Notre Dame</t>
        </is>
      </c>
      <c r="K7" s="211" t="inlineStr">
        <is>
          <t>USA</t>
        </is>
      </c>
      <c r="L7" s="213" t="inlineStr">
        <is>
          <t>USA</t>
        </is>
      </c>
      <c r="M7" s="689" t="n"/>
      <c r="N7" s="281" t="inlineStr">
        <is>
          <t>Male</t>
        </is>
      </c>
      <c r="O7" s="613" t="inlineStr">
        <is>
          <t>200 Back</t>
        </is>
      </c>
      <c r="P7" s="111" t="n">
        <v>19.67</v>
      </c>
      <c r="Q7" s="689" t="n"/>
      <c r="R7" s="689" t="n"/>
      <c r="S7" s="689" t="n"/>
      <c r="T7" s="689" t="n"/>
      <c r="U7" s="689" t="n"/>
      <c r="V7" s="689" t="n"/>
      <c r="W7" s="689" t="n"/>
      <c r="X7" s="689" t="n"/>
      <c r="Y7" s="689" t="n"/>
      <c r="Z7" s="689" t="n"/>
      <c r="AA7" s="689" t="n"/>
      <c r="AB7" s="689" t="n"/>
      <c r="AC7" s="689" t="n"/>
      <c r="AD7" s="689" t="n"/>
      <c r="AY7" s="692" t="n"/>
      <c r="AZ7" s="692" t="n"/>
      <c r="BA7" s="692" t="n"/>
      <c r="BB7" s="692" t="n"/>
      <c r="BC7" s="692" t="n"/>
      <c r="BD7" s="692" t="n"/>
      <c r="BE7" s="692" t="n"/>
      <c r="BF7" s="692" t="n"/>
      <c r="BG7" s="692" t="n"/>
      <c r="BH7" s="692" t="n"/>
      <c r="BI7" s="692" t="n"/>
      <c r="BJ7" s="692" t="n"/>
      <c r="BK7" s="692" t="n"/>
      <c r="BL7" s="692" t="n"/>
      <c r="BM7" s="692" t="n"/>
      <c r="BN7" s="692" t="n"/>
      <c r="BO7" s="692" t="n"/>
      <c r="BP7" s="692" t="n"/>
      <c r="BQ7" s="692" t="n"/>
    </row>
    <row r="8">
      <c r="A8" s="218" t="inlineStr">
        <is>
          <t>Female</t>
        </is>
      </c>
      <c r="B8" s="215" t="inlineStr">
        <is>
          <t>100 Back</t>
        </is>
      </c>
      <c r="C8" s="189" t="n">
        <v>2023</v>
      </c>
      <c r="D8" s="215" t="inlineStr">
        <is>
          <t>PHI</t>
        </is>
      </c>
      <c r="E8" s="219" t="n">
        <v>1</v>
      </c>
      <c r="F8" s="215" t="inlineStr">
        <is>
          <t>1:01.64</t>
        </is>
      </c>
      <c r="G8" s="215" t="n">
        <v>2005</v>
      </c>
      <c r="H8" s="215">
        <f>C8-G8</f>
        <v/>
      </c>
      <c r="I8" s="215" t="inlineStr">
        <is>
          <t>Teia Isabella Salvino</t>
        </is>
      </c>
      <c r="J8" s="215" t="inlineStr">
        <is>
          <t>SMU</t>
        </is>
      </c>
      <c r="K8" s="215" t="inlineStr">
        <is>
          <t>USA</t>
        </is>
      </c>
      <c r="L8" s="217" t="inlineStr">
        <is>
          <t>USA</t>
        </is>
      </c>
      <c r="M8" s="689" t="n"/>
      <c r="N8" s="273" t="inlineStr">
        <is>
          <t>Male</t>
        </is>
      </c>
      <c r="O8" s="590" t="inlineStr">
        <is>
          <t>1500 Free</t>
        </is>
      </c>
      <c r="P8" s="102" t="n">
        <v>20.22</v>
      </c>
      <c r="Q8" s="689" t="n"/>
      <c r="R8" s="689" t="n"/>
      <c r="S8" s="689" t="n"/>
      <c r="T8" s="689" t="n"/>
      <c r="U8" s="689" t="n"/>
      <c r="V8" s="689" t="n"/>
      <c r="W8" s="689" t="n"/>
      <c r="X8" s="689" t="n"/>
      <c r="Y8" s="689" t="n"/>
      <c r="Z8" s="689" t="n"/>
      <c r="AA8" s="689" t="n"/>
      <c r="AB8" s="689" t="n"/>
      <c r="AC8" s="689" t="n"/>
      <c r="AD8" s="689" t="n"/>
      <c r="AY8" s="692" t="n"/>
      <c r="AZ8" s="692" t="n"/>
      <c r="BA8" s="692" t="n"/>
      <c r="BB8" s="692" t="n"/>
      <c r="BC8" s="692" t="n"/>
      <c r="BD8" s="692" t="n"/>
      <c r="BE8" s="692" t="n"/>
      <c r="BF8" s="692" t="n"/>
      <c r="BG8" s="692" t="n"/>
      <c r="BH8" s="692" t="n"/>
      <c r="BI8" s="692" t="n"/>
      <c r="BJ8" s="692" t="n"/>
      <c r="BK8" s="692" t="n"/>
      <c r="BL8" s="692" t="n"/>
      <c r="BM8" s="692" t="n"/>
      <c r="BN8" s="692" t="n"/>
      <c r="BO8" s="692" t="n"/>
      <c r="BP8" s="692" t="n"/>
      <c r="BQ8" s="692" t="n"/>
    </row>
    <row r="9">
      <c r="A9" s="220" t="inlineStr">
        <is>
          <t>Female</t>
        </is>
      </c>
      <c r="B9" s="211" t="inlineStr">
        <is>
          <t>100 Back</t>
        </is>
      </c>
      <c r="C9" s="190" t="n">
        <v>2023</v>
      </c>
      <c r="D9" s="211" t="inlineStr">
        <is>
          <t>SGP</t>
        </is>
      </c>
      <c r="E9" s="221" t="n">
        <v>2</v>
      </c>
      <c r="F9" s="211" t="inlineStr">
        <is>
          <t>1:03.68</t>
        </is>
      </c>
      <c r="G9" s="211" t="n">
        <v>2003</v>
      </c>
      <c r="H9" s="211">
        <f>C9-G9</f>
        <v/>
      </c>
      <c r="I9" s="211" t="inlineStr">
        <is>
          <t>Faith Elizabeth Khoo</t>
        </is>
      </c>
      <c r="J9" s="211" t="inlineStr">
        <is>
          <t>South Carolina</t>
        </is>
      </c>
      <c r="K9" s="211" t="inlineStr">
        <is>
          <t>USA</t>
        </is>
      </c>
      <c r="L9" s="213" t="n"/>
      <c r="M9" s="689" t="n"/>
      <c r="N9" s="281" t="inlineStr">
        <is>
          <t>Female</t>
        </is>
      </c>
      <c r="O9" s="613" t="inlineStr">
        <is>
          <t>50 Back</t>
        </is>
      </c>
      <c r="P9" s="111" t="n">
        <v>20.33</v>
      </c>
      <c r="Q9" s="689" t="n"/>
      <c r="R9" s="689" t="n"/>
      <c r="S9" s="689" t="n"/>
      <c r="T9" s="689" t="n"/>
      <c r="U9" s="689" t="n"/>
      <c r="V9" s="689" t="n"/>
      <c r="W9" s="689" t="n"/>
      <c r="X9" s="689" t="n"/>
      <c r="Y9" s="689" t="n"/>
      <c r="Z9" s="689" t="n"/>
      <c r="AA9" s="689" t="n"/>
      <c r="AB9" s="689" t="n"/>
      <c r="AC9" s="689" t="n"/>
      <c r="AD9" s="689" t="n"/>
      <c r="AY9" s="692" t="n"/>
      <c r="AZ9" s="692" t="n"/>
      <c r="BA9" s="692" t="n"/>
      <c r="BB9" s="692" t="n"/>
      <c r="BC9" s="692" t="n"/>
      <c r="BD9" s="692" t="n"/>
      <c r="BE9" s="692" t="n"/>
      <c r="BF9" s="692" t="n"/>
      <c r="BG9" s="692" t="n"/>
      <c r="BH9" s="692" t="n"/>
      <c r="BI9" s="692" t="n"/>
      <c r="BJ9" s="692" t="n"/>
      <c r="BK9" s="692" t="n"/>
      <c r="BL9" s="692" t="n"/>
      <c r="BM9" s="692" t="n"/>
      <c r="BN9" s="692" t="n"/>
      <c r="BO9" s="692" t="n"/>
      <c r="BP9" s="692" t="n"/>
      <c r="BQ9" s="692" t="n"/>
    </row>
    <row r="10">
      <c r="A10" s="218" t="inlineStr">
        <is>
          <t>Female</t>
        </is>
      </c>
      <c r="B10" s="215" t="inlineStr">
        <is>
          <t>100 Back</t>
        </is>
      </c>
      <c r="C10" s="189" t="n">
        <v>2023</v>
      </c>
      <c r="D10" s="215" t="inlineStr">
        <is>
          <t>IND</t>
        </is>
      </c>
      <c r="E10" s="219" t="n">
        <v>3</v>
      </c>
      <c r="F10" s="215" t="inlineStr">
        <is>
          <t>1:03.71</t>
        </is>
      </c>
      <c r="G10" s="215" t="n">
        <v>2001</v>
      </c>
      <c r="H10" s="215">
        <f>C10-G10</f>
        <v/>
      </c>
      <c r="I10" s="215" t="inlineStr">
        <is>
          <t>Angel Gabriella Yus</t>
        </is>
      </c>
      <c r="J10" s="215" t="n"/>
      <c r="K10" s="215" t="n"/>
      <c r="L10" s="217" t="n"/>
      <c r="M10" s="689" t="n"/>
      <c r="N10" s="273" t="inlineStr">
        <is>
          <t>Male</t>
        </is>
      </c>
      <c r="O10" s="590" t="inlineStr">
        <is>
          <t>200 IM</t>
        </is>
      </c>
      <c r="P10" s="102" t="n">
        <v>20.44</v>
      </c>
      <c r="Q10" s="689" t="n"/>
      <c r="R10" s="689" t="n"/>
      <c r="S10" s="689" t="n"/>
      <c r="T10" s="689" t="n"/>
      <c r="U10" s="689" t="n"/>
      <c r="V10" s="689" t="n"/>
      <c r="W10" s="689" t="n"/>
      <c r="X10" s="689" t="n"/>
      <c r="Y10" s="689" t="n"/>
      <c r="Z10" s="689" t="n"/>
      <c r="AA10" s="689" t="n"/>
      <c r="AB10" s="689" t="n"/>
      <c r="AC10" s="689" t="n"/>
      <c r="AD10" s="689" t="n"/>
      <c r="AY10" s="692" t="n"/>
      <c r="AZ10" s="692" t="n"/>
      <c r="BA10" s="692" t="n"/>
      <c r="BB10" s="692" t="n"/>
      <c r="BC10" s="692" t="n"/>
      <c r="BD10" s="692" t="n"/>
      <c r="BE10" s="692" t="n"/>
      <c r="BF10" s="692" t="n"/>
      <c r="BG10" s="692" t="n"/>
      <c r="BH10" s="692" t="n"/>
      <c r="BI10" s="692" t="n"/>
      <c r="BJ10" s="692" t="n"/>
      <c r="BK10" s="692" t="n"/>
      <c r="BL10" s="692" t="n"/>
      <c r="BM10" s="692" t="n"/>
      <c r="BN10" s="692" t="n"/>
      <c r="BO10" s="692" t="n"/>
      <c r="BP10" s="692" t="n"/>
      <c r="BQ10" s="692" t="n"/>
    </row>
    <row r="11">
      <c r="A11" s="220" t="inlineStr">
        <is>
          <t>Female</t>
        </is>
      </c>
      <c r="B11" s="211" t="inlineStr">
        <is>
          <t>100 Breast</t>
        </is>
      </c>
      <c r="C11" s="190" t="n">
        <v>2019</v>
      </c>
      <c r="D11" s="211" t="inlineStr">
        <is>
          <t>MAS</t>
        </is>
      </c>
      <c r="E11" s="221" t="n">
        <v>1</v>
      </c>
      <c r="F11" s="211" t="inlineStr">
        <is>
          <t>1:08.50</t>
        </is>
      </c>
      <c r="G11" s="211" t="n">
        <v>1997</v>
      </c>
      <c r="H11" s="211">
        <f>C11-G11</f>
        <v/>
      </c>
      <c r="I11" s="211" t="inlineStr">
        <is>
          <t>Phee Jinq EN</t>
        </is>
      </c>
      <c r="J11" s="211" t="inlineStr">
        <is>
          <t>Purdue</t>
        </is>
      </c>
      <c r="K11" s="211" t="inlineStr">
        <is>
          <t>USA</t>
        </is>
      </c>
      <c r="L11" s="213" t="n"/>
      <c r="M11" s="689" t="n"/>
      <c r="N11" s="281" t="inlineStr">
        <is>
          <t>Female</t>
        </is>
      </c>
      <c r="O11" s="613" t="inlineStr">
        <is>
          <t>200 IM</t>
        </is>
      </c>
      <c r="P11" s="111" t="n">
        <v>20.56</v>
      </c>
      <c r="Q11" s="689" t="n"/>
      <c r="R11" s="689" t="n"/>
      <c r="S11" s="689" t="n"/>
      <c r="T11" s="689" t="n"/>
      <c r="U11" s="689" t="n"/>
      <c r="V11" s="689" t="n"/>
      <c r="W11" s="689" t="n"/>
      <c r="X11" s="689" t="n"/>
      <c r="Y11" s="689" t="n"/>
      <c r="Z11" s="689" t="n"/>
      <c r="AA11" s="689" t="n"/>
      <c r="AB11" s="689" t="n"/>
      <c r="AC11" s="689" t="n"/>
      <c r="AD11" s="689" t="n"/>
      <c r="AY11" s="692" t="n"/>
      <c r="AZ11" s="692" t="n"/>
      <c r="BA11" s="692" t="n"/>
      <c r="BB11" s="692" t="n"/>
      <c r="BC11" s="692" t="n"/>
      <c r="BD11" s="692" t="n"/>
      <c r="BE11" s="692" t="n"/>
      <c r="BF11" s="692" t="n"/>
      <c r="BG11" s="692" t="n"/>
      <c r="BH11" s="692" t="n"/>
      <c r="BI11" s="692" t="n"/>
      <c r="BJ11" s="692" t="n"/>
      <c r="BK11" s="692" t="n"/>
      <c r="BL11" s="692" t="n"/>
      <c r="BM11" s="692" t="n"/>
      <c r="BN11" s="692" t="n"/>
      <c r="BO11" s="692" t="n"/>
      <c r="BP11" s="692" t="n"/>
      <c r="BQ11" s="692" t="n"/>
    </row>
    <row r="12">
      <c r="A12" s="218" t="inlineStr">
        <is>
          <t>Female</t>
        </is>
      </c>
      <c r="B12" s="215" t="inlineStr">
        <is>
          <t>100 Breast</t>
        </is>
      </c>
      <c r="C12" s="189" t="n">
        <v>2019</v>
      </c>
      <c r="D12" s="215" t="inlineStr">
        <is>
          <t>SGP</t>
        </is>
      </c>
      <c r="E12" s="219" t="n">
        <v>2</v>
      </c>
      <c r="F12" s="215" t="inlineStr">
        <is>
          <t>1:09.06</t>
        </is>
      </c>
      <c r="G12" s="215" t="n">
        <v>2000</v>
      </c>
      <c r="H12" s="195">
        <f>C12-G12</f>
        <v/>
      </c>
      <c r="I12" s="590" t="inlineStr">
        <is>
          <t>Christie CHUE</t>
        </is>
      </c>
      <c r="J12" s="215" t="inlineStr">
        <is>
          <t>FIU</t>
        </is>
      </c>
      <c r="K12" s="215" t="inlineStr">
        <is>
          <t>USA</t>
        </is>
      </c>
      <c r="L12" s="217" t="n"/>
      <c r="M12" s="689" t="n"/>
      <c r="N12" s="273" t="inlineStr">
        <is>
          <t>Male</t>
        </is>
      </c>
      <c r="O12" s="590" t="inlineStr">
        <is>
          <t>200 Breast</t>
        </is>
      </c>
      <c r="P12" s="102" t="n">
        <v>21</v>
      </c>
      <c r="Q12" s="689" t="n"/>
      <c r="R12" s="689" t="n"/>
      <c r="S12" s="689" t="n"/>
      <c r="T12" s="689" t="n"/>
      <c r="U12" s="689" t="n"/>
      <c r="V12" s="689" t="n"/>
      <c r="W12" s="689" t="n"/>
      <c r="X12" s="689" t="n"/>
      <c r="Y12" s="689" t="n"/>
      <c r="Z12" s="689" t="n"/>
      <c r="AA12" s="689" t="n"/>
      <c r="AB12" s="689" t="n"/>
      <c r="AC12" s="689" t="n"/>
      <c r="AD12" s="689" t="n"/>
      <c r="AY12" s="692" t="n"/>
      <c r="AZ12" s="692" t="n"/>
      <c r="BA12" s="692" t="n"/>
      <c r="BB12" s="692" t="n"/>
      <c r="BC12" s="692" t="n"/>
      <c r="BD12" s="692" t="n"/>
      <c r="BE12" s="692" t="n"/>
      <c r="BF12" s="692" t="n"/>
      <c r="BG12" s="692" t="n"/>
      <c r="BH12" s="692" t="n"/>
      <c r="BI12" s="692" t="n"/>
      <c r="BJ12" s="692" t="n"/>
      <c r="BK12" s="692" t="n"/>
      <c r="BL12" s="692" t="n"/>
      <c r="BM12" s="692" t="n"/>
      <c r="BN12" s="692" t="n"/>
      <c r="BO12" s="692" t="n"/>
      <c r="BP12" s="692" t="n"/>
      <c r="BQ12" s="692" t="n"/>
    </row>
    <row r="13">
      <c r="A13" s="220" t="inlineStr">
        <is>
          <t>Female</t>
        </is>
      </c>
      <c r="B13" s="211" t="inlineStr">
        <is>
          <t>100 Breast</t>
        </is>
      </c>
      <c r="C13" s="190" t="n">
        <v>2019</v>
      </c>
      <c r="D13" s="211" t="inlineStr">
        <is>
          <t>THA</t>
        </is>
      </c>
      <c r="E13" s="221" t="n">
        <v>3</v>
      </c>
      <c r="F13" s="211" t="inlineStr">
        <is>
          <t>1:10.70</t>
        </is>
      </c>
      <c r="G13" s="211" t="n">
        <v>2003</v>
      </c>
      <c r="H13" s="196">
        <f>C13-G13</f>
        <v/>
      </c>
      <c r="I13" s="211" t="inlineStr">
        <is>
          <t>Nisha Kukanakorn</t>
        </is>
      </c>
      <c r="J13" s="211" t="n"/>
      <c r="K13" s="211" t="n"/>
      <c r="L13" s="213" t="n"/>
      <c r="M13" s="689" t="n"/>
      <c r="N13" s="281" t="inlineStr">
        <is>
          <t>Female</t>
        </is>
      </c>
      <c r="O13" s="613" t="inlineStr">
        <is>
          <t>400 Free</t>
        </is>
      </c>
      <c r="P13" s="111" t="n">
        <v>21.11</v>
      </c>
      <c r="Q13" s="689" t="n"/>
      <c r="R13" s="689" t="n"/>
      <c r="S13" s="689" t="n"/>
      <c r="T13" s="689" t="n"/>
      <c r="U13" s="689" t="n"/>
      <c r="V13" s="689" t="n"/>
      <c r="W13" s="689" t="n"/>
      <c r="X13" s="689" t="n"/>
      <c r="Y13" s="689" t="n"/>
      <c r="Z13" s="689" t="n"/>
      <c r="AA13" s="689" t="n"/>
      <c r="AB13" s="689" t="n"/>
      <c r="AC13" s="689" t="n"/>
      <c r="AD13" s="689" t="n"/>
      <c r="AY13" s="692" t="n"/>
      <c r="AZ13" s="692" t="n"/>
      <c r="BA13" s="692" t="n"/>
      <c r="BB13" s="692" t="n"/>
      <c r="BC13" s="692" t="n"/>
      <c r="BD13" s="692" t="n"/>
      <c r="BE13" s="692" t="n"/>
      <c r="BF13" s="692" t="n"/>
      <c r="BG13" s="692" t="n"/>
      <c r="BH13" s="692" t="n"/>
      <c r="BI13" s="692" t="n"/>
      <c r="BJ13" s="692" t="n"/>
      <c r="BK13" s="692" t="n"/>
      <c r="BL13" s="692" t="n"/>
      <c r="BM13" s="692" t="n"/>
      <c r="BN13" s="692" t="n"/>
      <c r="BO13" s="692" t="n"/>
      <c r="BP13" s="692" t="n"/>
      <c r="BQ13" s="692" t="n"/>
    </row>
    <row r="14">
      <c r="A14" s="218" t="inlineStr">
        <is>
          <t>Female</t>
        </is>
      </c>
      <c r="B14" s="215" t="inlineStr">
        <is>
          <t>100 Breast</t>
        </is>
      </c>
      <c r="C14" s="189" t="n">
        <v>2022</v>
      </c>
      <c r="D14" s="215" t="inlineStr">
        <is>
          <t>SGP</t>
        </is>
      </c>
      <c r="E14" s="219" t="n">
        <v>1</v>
      </c>
      <c r="F14" s="215" t="inlineStr">
        <is>
          <t>1:08.79</t>
        </is>
      </c>
      <c r="G14" s="195" t="n">
        <v>2003</v>
      </c>
      <c r="H14" s="195">
        <f>C14-G14</f>
        <v/>
      </c>
      <c r="I14" s="200" t="inlineStr">
        <is>
          <t>Letitia EN YI Sim</t>
        </is>
      </c>
      <c r="J14" s="200" t="inlineStr">
        <is>
          <t>Michigan</t>
        </is>
      </c>
      <c r="K14" s="200" t="inlineStr">
        <is>
          <t>USA</t>
        </is>
      </c>
      <c r="L14" s="207" t="inlineStr">
        <is>
          <t>USA</t>
        </is>
      </c>
      <c r="M14" s="689" t="n"/>
      <c r="N14" s="273" t="inlineStr">
        <is>
          <t>Male</t>
        </is>
      </c>
      <c r="O14" s="590" t="inlineStr">
        <is>
          <t>400 Free</t>
        </is>
      </c>
      <c r="P14" s="102" t="n">
        <v>21.11</v>
      </c>
      <c r="Q14" s="689" t="n"/>
      <c r="R14" s="689" t="n"/>
      <c r="S14" s="689" t="n"/>
      <c r="T14" s="689" t="n"/>
      <c r="U14" s="689" t="n"/>
      <c r="V14" s="689" t="n"/>
      <c r="W14" s="689" t="n"/>
      <c r="X14" s="689" t="n"/>
      <c r="Y14" s="689" t="n"/>
      <c r="Z14" s="689" t="n"/>
      <c r="AA14" s="689" t="n"/>
      <c r="AB14" s="689" t="n"/>
      <c r="AC14" s="689" t="n"/>
      <c r="AD14" s="689" t="n"/>
      <c r="AY14" s="692" t="n"/>
      <c r="AZ14" s="692" t="n"/>
      <c r="BA14" s="692" t="n"/>
      <c r="BB14" s="692" t="n"/>
      <c r="BC14" s="692" t="n"/>
      <c r="BD14" s="692" t="n"/>
      <c r="BE14" s="692" t="n"/>
      <c r="BF14" s="692" t="n"/>
      <c r="BG14" s="692" t="n"/>
      <c r="BH14" s="692" t="n"/>
      <c r="BI14" s="692" t="n"/>
      <c r="BJ14" s="692" t="n"/>
      <c r="BK14" s="692" t="n"/>
      <c r="BL14" s="692" t="n"/>
      <c r="BM14" s="692" t="n"/>
      <c r="BN14" s="692" t="n"/>
      <c r="BO14" s="692" t="n"/>
      <c r="BP14" s="692" t="n"/>
      <c r="BQ14" s="692" t="n"/>
    </row>
    <row r="15">
      <c r="A15" s="220" t="inlineStr">
        <is>
          <t>Female</t>
        </is>
      </c>
      <c r="B15" s="211" t="inlineStr">
        <is>
          <t>100 Breast</t>
        </is>
      </c>
      <c r="C15" s="190" t="n">
        <v>2022</v>
      </c>
      <c r="D15" s="211" t="inlineStr">
        <is>
          <t>MAS</t>
        </is>
      </c>
      <c r="E15" s="221" t="n">
        <v>2</v>
      </c>
      <c r="F15" s="211" t="inlineStr">
        <is>
          <t>1:09.60</t>
        </is>
      </c>
      <c r="G15" s="211" t="n">
        <v>1997</v>
      </c>
      <c r="H15" s="211">
        <f>C15-G15</f>
        <v/>
      </c>
      <c r="I15" s="211" t="inlineStr">
        <is>
          <t>Phee Jinq EN</t>
        </is>
      </c>
      <c r="J15" s="211" t="inlineStr">
        <is>
          <t>Purdue</t>
        </is>
      </c>
      <c r="K15" s="211" t="inlineStr">
        <is>
          <t>USA</t>
        </is>
      </c>
      <c r="L15" s="213" t="n"/>
      <c r="M15" s="689" t="n"/>
      <c r="N15" s="281" t="inlineStr">
        <is>
          <t>Female</t>
        </is>
      </c>
      <c r="O15" s="613" t="inlineStr">
        <is>
          <t>100 Breast</t>
        </is>
      </c>
      <c r="P15" s="111" t="n">
        <v>21.33</v>
      </c>
      <c r="Q15" s="689" t="n"/>
      <c r="R15" s="689" t="n"/>
      <c r="S15" s="689" t="n"/>
      <c r="T15" s="689" t="n"/>
      <c r="U15" s="689" t="n"/>
      <c r="V15" s="689" t="n"/>
      <c r="W15" s="689" t="n"/>
      <c r="X15" s="689" t="n"/>
      <c r="Y15" s="689" t="n"/>
      <c r="Z15" s="689" t="n"/>
      <c r="AA15" s="689" t="n"/>
      <c r="AB15" s="689" t="n"/>
      <c r="AC15" s="689" t="n"/>
      <c r="AD15" s="689" t="n"/>
      <c r="AY15" s="692" t="n"/>
      <c r="AZ15" s="692" t="n"/>
      <c r="BA15" s="692" t="n"/>
      <c r="BB15" s="692" t="n"/>
      <c r="BC15" s="692" t="n"/>
      <c r="BD15" s="692" t="n"/>
      <c r="BE15" s="692" t="n"/>
      <c r="BF15" s="692" t="n"/>
      <c r="BG15" s="692" t="n"/>
      <c r="BH15" s="692" t="n"/>
      <c r="BI15" s="692" t="n"/>
      <c r="BJ15" s="692" t="n"/>
      <c r="BK15" s="692" t="n"/>
      <c r="BL15" s="692" t="n"/>
      <c r="BM15" s="692" t="n"/>
      <c r="BN15" s="692" t="n"/>
      <c r="BO15" s="692" t="n"/>
      <c r="BP15" s="692" t="n"/>
      <c r="BQ15" s="692" t="n"/>
    </row>
    <row r="16">
      <c r="A16" s="218" t="inlineStr">
        <is>
          <t>Female</t>
        </is>
      </c>
      <c r="B16" s="215" t="inlineStr">
        <is>
          <t>100 Breast</t>
        </is>
      </c>
      <c r="C16" s="189" t="n">
        <v>2022</v>
      </c>
      <c r="D16" s="215" t="inlineStr">
        <is>
          <t>SGP</t>
        </is>
      </c>
      <c r="E16" s="219" t="n">
        <v>3</v>
      </c>
      <c r="F16" s="215" t="inlineStr">
        <is>
          <t>1:10.29</t>
        </is>
      </c>
      <c r="G16" s="215" t="n">
        <v>2000</v>
      </c>
      <c r="H16" s="195">
        <f>C16-G16</f>
        <v/>
      </c>
      <c r="I16" s="590" t="inlineStr">
        <is>
          <t>Christie CHUE</t>
        </is>
      </c>
      <c r="J16" s="215" t="inlineStr">
        <is>
          <t>FIU</t>
        </is>
      </c>
      <c r="K16" s="215" t="inlineStr">
        <is>
          <t>USA</t>
        </is>
      </c>
      <c r="L16" s="217" t="n"/>
      <c r="M16" s="689" t="n"/>
      <c r="N16" s="273" t="inlineStr">
        <is>
          <t>Female</t>
        </is>
      </c>
      <c r="O16" s="590" t="inlineStr">
        <is>
          <t>100 Back</t>
        </is>
      </c>
      <c r="P16" s="102" t="n">
        <v>21.67</v>
      </c>
      <c r="Q16" s="689" t="n"/>
      <c r="R16" s="689" t="n"/>
      <c r="S16" s="689" t="n"/>
      <c r="T16" s="689" t="n"/>
      <c r="U16" s="689" t="n"/>
      <c r="V16" s="689" t="n"/>
      <c r="W16" s="689" t="n"/>
      <c r="X16" s="689" t="n"/>
      <c r="Y16" s="689" t="n"/>
      <c r="Z16" s="689" t="n"/>
      <c r="AA16" s="689" t="n"/>
      <c r="AB16" s="689" t="n"/>
      <c r="AC16" s="689" t="n"/>
      <c r="AD16" s="689" t="n"/>
      <c r="AY16" s="692" t="n"/>
      <c r="AZ16" s="692" t="n"/>
      <c r="BA16" s="692" t="n"/>
      <c r="BB16" s="692" t="n"/>
      <c r="BC16" s="692" t="n"/>
      <c r="BD16" s="692" t="n"/>
      <c r="BE16" s="692" t="n"/>
      <c r="BF16" s="692" t="n"/>
      <c r="BG16" s="692" t="n"/>
      <c r="BH16" s="692" t="n"/>
      <c r="BI16" s="692" t="n"/>
      <c r="BJ16" s="692" t="n"/>
      <c r="BK16" s="692" t="n"/>
      <c r="BL16" s="692" t="n"/>
      <c r="BM16" s="692" t="n"/>
      <c r="BN16" s="692" t="n"/>
      <c r="BO16" s="692" t="n"/>
      <c r="BP16" s="692" t="n"/>
      <c r="BQ16" s="692" t="n"/>
    </row>
    <row r="17">
      <c r="A17" s="220" t="inlineStr">
        <is>
          <t>Female</t>
        </is>
      </c>
      <c r="B17" s="211" t="inlineStr">
        <is>
          <t>100 Breast</t>
        </is>
      </c>
      <c r="C17" s="190" t="n">
        <v>2023</v>
      </c>
      <c r="D17" s="211" t="inlineStr">
        <is>
          <t>SGP</t>
        </is>
      </c>
      <c r="E17" s="221" t="n">
        <v>1</v>
      </c>
      <c r="F17" s="211" t="inlineStr">
        <is>
          <t>1:07.94</t>
        </is>
      </c>
      <c r="G17" s="211" t="n">
        <v>2003</v>
      </c>
      <c r="H17" s="211">
        <f>C17-G17</f>
        <v/>
      </c>
      <c r="I17" s="211" t="inlineStr">
        <is>
          <t>Letitia EN YI Sim</t>
        </is>
      </c>
      <c r="J17" s="211" t="inlineStr">
        <is>
          <t>Michigan</t>
        </is>
      </c>
      <c r="K17" s="211" t="inlineStr">
        <is>
          <t>USA</t>
        </is>
      </c>
      <c r="L17" s="213" t="inlineStr">
        <is>
          <t>USA</t>
        </is>
      </c>
      <c r="M17" s="689" t="n"/>
      <c r="N17" s="281" t="inlineStr">
        <is>
          <t>Female</t>
        </is>
      </c>
      <c r="O17" s="613" t="inlineStr">
        <is>
          <t>200 Free</t>
        </is>
      </c>
      <c r="P17" s="111" t="n">
        <v>21.78</v>
      </c>
      <c r="Q17" s="689" t="n"/>
      <c r="R17" s="689" t="n"/>
      <c r="S17" s="689" t="n"/>
      <c r="T17" s="689" t="n"/>
      <c r="U17" s="689" t="n"/>
      <c r="V17" s="689" t="n"/>
      <c r="W17" s="689" t="n"/>
      <c r="X17" s="689" t="n"/>
      <c r="Y17" s="689" t="n"/>
      <c r="Z17" s="689" t="n"/>
      <c r="AA17" s="689" t="n"/>
      <c r="AB17" s="689" t="n"/>
      <c r="AC17" s="689" t="n"/>
      <c r="AD17" s="689" t="n"/>
      <c r="AY17" s="692" t="n"/>
      <c r="AZ17" s="692" t="n"/>
      <c r="BA17" s="692" t="n"/>
      <c r="BB17" s="692" t="n"/>
      <c r="BC17" s="692" t="n"/>
      <c r="BD17" s="692" t="n"/>
      <c r="BE17" s="692" t="n"/>
      <c r="BF17" s="692" t="n"/>
      <c r="BG17" s="692" t="n"/>
      <c r="BH17" s="692" t="n"/>
      <c r="BI17" s="692" t="n"/>
      <c r="BJ17" s="692" t="n"/>
      <c r="BK17" s="692" t="n"/>
      <c r="BL17" s="692" t="n"/>
      <c r="BM17" s="692" t="n"/>
      <c r="BN17" s="692" t="n"/>
      <c r="BO17" s="692" t="n"/>
      <c r="BP17" s="692" t="n"/>
      <c r="BQ17" s="692" t="n"/>
    </row>
    <row r="18">
      <c r="A18" s="218" t="inlineStr">
        <is>
          <t>Female</t>
        </is>
      </c>
      <c r="B18" s="215" t="inlineStr">
        <is>
          <t>100 Breast</t>
        </is>
      </c>
      <c r="C18" s="189" t="n">
        <v>2023</v>
      </c>
      <c r="D18" s="215" t="inlineStr">
        <is>
          <t>MAS</t>
        </is>
      </c>
      <c r="E18" s="219" t="n">
        <v>2</v>
      </c>
      <c r="F18" s="215" t="inlineStr">
        <is>
          <t>1:09.60</t>
        </is>
      </c>
      <c r="G18" s="215" t="n">
        <v>1997</v>
      </c>
      <c r="H18" s="215">
        <f>C18-G18</f>
        <v/>
      </c>
      <c r="I18" s="215" t="inlineStr">
        <is>
          <t>Phee Jinq EN</t>
        </is>
      </c>
      <c r="J18" s="215" t="inlineStr">
        <is>
          <t>Purdue</t>
        </is>
      </c>
      <c r="K18" s="215" t="inlineStr">
        <is>
          <t>USA</t>
        </is>
      </c>
      <c r="L18" s="217" t="n"/>
      <c r="M18" s="689" t="n"/>
      <c r="N18" s="273" t="inlineStr">
        <is>
          <t>Male</t>
        </is>
      </c>
      <c r="O18" s="590" t="inlineStr">
        <is>
          <t>200 Fly</t>
        </is>
      </c>
      <c r="P18" s="102" t="n">
        <v>21.89</v>
      </c>
      <c r="Q18" s="689" t="n"/>
      <c r="R18" s="689" t="n"/>
      <c r="S18" s="689" t="n"/>
      <c r="T18" s="689" t="n"/>
      <c r="U18" s="689" t="n"/>
      <c r="V18" s="689" t="n"/>
      <c r="W18" s="689" t="n"/>
      <c r="X18" s="689" t="n"/>
      <c r="Y18" s="689" t="n"/>
      <c r="Z18" s="689" t="n"/>
      <c r="AA18" s="689" t="n"/>
      <c r="AB18" s="689" t="n"/>
      <c r="AC18" s="689" t="n"/>
      <c r="AD18" s="689" t="n"/>
      <c r="AY18" s="692" t="n"/>
      <c r="AZ18" s="692" t="n"/>
      <c r="BA18" s="692" t="n"/>
      <c r="BB18" s="692" t="n"/>
      <c r="BC18" s="692" t="n"/>
      <c r="BD18" s="692" t="n"/>
      <c r="BE18" s="692" t="n"/>
      <c r="BF18" s="692" t="n"/>
      <c r="BG18" s="692" t="n"/>
      <c r="BH18" s="692" t="n"/>
      <c r="BI18" s="692" t="n"/>
      <c r="BJ18" s="692" t="n"/>
      <c r="BK18" s="692" t="n"/>
      <c r="BL18" s="692" t="n"/>
      <c r="BM18" s="692" t="n"/>
      <c r="BN18" s="692" t="n"/>
      <c r="BO18" s="692" t="n"/>
      <c r="BP18" s="692" t="n"/>
      <c r="BQ18" s="692" t="n"/>
    </row>
    <row r="19">
      <c r="A19" s="220" t="inlineStr">
        <is>
          <t>Female</t>
        </is>
      </c>
      <c r="B19" s="211" t="inlineStr">
        <is>
          <t>100 Breast</t>
        </is>
      </c>
      <c r="C19" s="190" t="n">
        <v>2023</v>
      </c>
      <c r="D19" s="211" t="inlineStr">
        <is>
          <t>SGP</t>
        </is>
      </c>
      <c r="E19" s="221" t="n">
        <v>3</v>
      </c>
      <c r="F19" s="211" t="inlineStr">
        <is>
          <t>1:10.94</t>
        </is>
      </c>
      <c r="G19" s="211" t="n">
        <v>2000</v>
      </c>
      <c r="H19" s="211">
        <f>C19-G19</f>
        <v/>
      </c>
      <c r="I19" s="211" t="inlineStr">
        <is>
          <t>Christie May Mun EE Chue</t>
        </is>
      </c>
      <c r="J19" s="211" t="inlineStr">
        <is>
          <t>FIU</t>
        </is>
      </c>
      <c r="K19" s="211" t="inlineStr">
        <is>
          <t>USA</t>
        </is>
      </c>
      <c r="L19" s="213" t="n"/>
      <c r="M19" s="689" t="n"/>
      <c r="N19" s="281" t="inlineStr">
        <is>
          <t>Male</t>
        </is>
      </c>
      <c r="O19" s="613" t="inlineStr">
        <is>
          <t>100 Breast</t>
        </is>
      </c>
      <c r="P19" s="111" t="n">
        <v>22.11</v>
      </c>
      <c r="Q19" s="689" t="n"/>
      <c r="R19" s="689" t="n"/>
      <c r="S19" s="689" t="n"/>
      <c r="T19" s="689" t="n"/>
      <c r="U19" s="689" t="n"/>
      <c r="V19" s="689" t="n"/>
      <c r="W19" s="689" t="n"/>
      <c r="X19" s="689" t="n"/>
      <c r="Y19" s="689" t="n"/>
      <c r="Z19" s="689" t="n"/>
      <c r="AA19" s="689" t="n"/>
      <c r="AB19" s="689" t="n"/>
      <c r="AC19" s="689" t="n"/>
      <c r="AD19" s="689" t="n"/>
      <c r="AY19" s="692" t="n"/>
      <c r="AZ19" s="692" t="n"/>
      <c r="BA19" s="692" t="n"/>
      <c r="BB19" s="692" t="n"/>
      <c r="BC19" s="692" t="n"/>
      <c r="BD19" s="692" t="n"/>
      <c r="BE19" s="692" t="n"/>
      <c r="BF19" s="692" t="n"/>
      <c r="BG19" s="692" t="n"/>
      <c r="BH19" s="692" t="n"/>
      <c r="BI19" s="692" t="n"/>
      <c r="BJ19" s="692" t="n"/>
      <c r="BK19" s="692" t="n"/>
      <c r="BL19" s="692" t="n"/>
      <c r="BM19" s="692" t="n"/>
      <c r="BN19" s="692" t="n"/>
      <c r="BO19" s="692" t="n"/>
      <c r="BP19" s="692" t="n"/>
      <c r="BQ19" s="692" t="n"/>
    </row>
    <row r="20">
      <c r="A20" s="218" t="inlineStr">
        <is>
          <t>Female</t>
        </is>
      </c>
      <c r="B20" s="215" t="inlineStr">
        <is>
          <t>100 Fly</t>
        </is>
      </c>
      <c r="C20" s="189" t="n">
        <v>2019</v>
      </c>
      <c r="D20" s="215" t="inlineStr">
        <is>
          <t>PHI</t>
        </is>
      </c>
      <c r="E20" s="219" t="n">
        <v>3</v>
      </c>
      <c r="F20" s="215" t="inlineStr">
        <is>
          <t>1:00.39</t>
        </is>
      </c>
      <c r="G20" s="215" t="n">
        <v>1993</v>
      </c>
      <c r="H20" s="215">
        <f>C20-G20</f>
        <v/>
      </c>
      <c r="I20" s="215" t="inlineStr">
        <is>
          <t>Jasmine Alkhaldi</t>
        </is>
      </c>
      <c r="J20" s="215" t="inlineStr">
        <is>
          <t>Hawaii</t>
        </is>
      </c>
      <c r="K20" s="215" t="inlineStr">
        <is>
          <t>USA</t>
        </is>
      </c>
      <c r="L20" s="217" t="n"/>
      <c r="M20" s="689" t="n"/>
      <c r="N20" s="273" t="inlineStr">
        <is>
          <t>Male</t>
        </is>
      </c>
      <c r="O20" s="590" t="inlineStr">
        <is>
          <t>50 Free</t>
        </is>
      </c>
      <c r="P20" s="102" t="n">
        <v>22.11</v>
      </c>
      <c r="Q20" s="689" t="n"/>
      <c r="R20" s="689" t="n"/>
      <c r="S20" s="689" t="n"/>
      <c r="T20" s="689" t="n"/>
      <c r="U20" s="689" t="n"/>
      <c r="V20" s="689" t="n"/>
      <c r="W20" s="689" t="n"/>
      <c r="X20" s="689" t="n"/>
      <c r="Y20" s="689" t="n"/>
      <c r="Z20" s="689" t="n"/>
      <c r="AA20" s="689" t="n"/>
      <c r="AB20" s="689" t="n"/>
      <c r="AC20" s="689" t="n"/>
      <c r="AD20" s="689" t="n"/>
      <c r="AY20" s="692" t="n"/>
      <c r="AZ20" s="692" t="n"/>
      <c r="BA20" s="692" t="n"/>
      <c r="BB20" s="692" t="n"/>
      <c r="BC20" s="692" t="n"/>
      <c r="BD20" s="692" t="n"/>
      <c r="BE20" s="692" t="n"/>
      <c r="BF20" s="692" t="n"/>
      <c r="BG20" s="692" t="n"/>
      <c r="BH20" s="692" t="n"/>
      <c r="BI20" s="692" t="n"/>
      <c r="BJ20" s="692" t="n"/>
      <c r="BK20" s="692" t="n"/>
      <c r="BL20" s="692" t="n"/>
      <c r="BM20" s="692" t="n"/>
      <c r="BN20" s="692" t="n"/>
      <c r="BO20" s="692" t="n"/>
      <c r="BP20" s="692" t="n"/>
      <c r="BQ20" s="692" t="n"/>
    </row>
    <row r="21">
      <c r="A21" s="220" t="inlineStr">
        <is>
          <t>Female</t>
        </is>
      </c>
      <c r="B21" s="211" t="inlineStr">
        <is>
          <t>100 Fly</t>
        </is>
      </c>
      <c r="C21" s="190" t="n">
        <v>2019</v>
      </c>
      <c r="D21" s="211" t="inlineStr">
        <is>
          <t>SGP</t>
        </is>
      </c>
      <c r="E21" s="221" t="n">
        <v>1</v>
      </c>
      <c r="F21" s="211" t="inlineStr">
        <is>
          <t>59.62</t>
        </is>
      </c>
      <c r="G21" s="211" t="n">
        <v>1992</v>
      </c>
      <c r="H21" s="211">
        <f>C21-G21</f>
        <v/>
      </c>
      <c r="I21" s="211" t="inlineStr">
        <is>
          <t>Ting Wen Quah</t>
        </is>
      </c>
      <c r="J21" s="211" t="inlineStr">
        <is>
          <t>UCLA</t>
        </is>
      </c>
      <c r="K21" s="211" t="inlineStr">
        <is>
          <t>USA</t>
        </is>
      </c>
      <c r="L21" s="213" t="n"/>
      <c r="M21" s="689" t="n"/>
      <c r="N21" s="281" t="inlineStr">
        <is>
          <t>Female</t>
        </is>
      </c>
      <c r="O21" s="613" t="inlineStr">
        <is>
          <t>200 Breast</t>
        </is>
      </c>
      <c r="P21" s="111" t="n">
        <v>22.33</v>
      </c>
      <c r="Q21" s="689" t="n"/>
      <c r="R21" s="689" t="n"/>
      <c r="S21" s="689" t="n"/>
      <c r="T21" s="689" t="n"/>
      <c r="U21" s="689" t="n"/>
      <c r="V21" s="689" t="n"/>
      <c r="W21" s="689" t="n"/>
      <c r="X21" s="689" t="n"/>
      <c r="Y21" s="689" t="n"/>
      <c r="Z21" s="689" t="n"/>
      <c r="AA21" s="689" t="n"/>
      <c r="AB21" s="689" t="n"/>
      <c r="AC21" s="689" t="n"/>
      <c r="AD21" s="689" t="n"/>
      <c r="AY21" s="692" t="n"/>
      <c r="AZ21" s="692" t="n"/>
      <c r="BA21" s="692" t="n"/>
      <c r="BB21" s="692" t="n"/>
      <c r="BC21" s="692" t="n"/>
      <c r="BD21" s="692" t="n"/>
      <c r="BE21" s="692" t="n"/>
      <c r="BF21" s="692" t="n"/>
      <c r="BG21" s="692" t="n"/>
      <c r="BH21" s="692" t="n"/>
      <c r="BI21" s="692" t="n"/>
      <c r="BJ21" s="692" t="n"/>
      <c r="BK21" s="692" t="n"/>
      <c r="BL21" s="692" t="n"/>
      <c r="BM21" s="692" t="n"/>
      <c r="BN21" s="692" t="n"/>
      <c r="BO21" s="692" t="n"/>
      <c r="BP21" s="692" t="n"/>
      <c r="BQ21" s="692" t="n"/>
    </row>
    <row r="22">
      <c r="A22" s="218" t="inlineStr">
        <is>
          <t>Female</t>
        </is>
      </c>
      <c r="B22" s="215" t="inlineStr">
        <is>
          <t>100 Fly</t>
        </is>
      </c>
      <c r="C22" s="189" t="n">
        <v>2019</v>
      </c>
      <c r="D22" s="215" t="inlineStr">
        <is>
          <t>SGP</t>
        </is>
      </c>
      <c r="E22" s="219" t="n">
        <v>2</v>
      </c>
      <c r="F22" s="215" t="inlineStr">
        <is>
          <t>59.73</t>
        </is>
      </c>
      <c r="G22" s="215" t="n">
        <v>1994</v>
      </c>
      <c r="H22" s="215">
        <f>C22-G22</f>
        <v/>
      </c>
      <c r="I22" s="215" t="inlineStr">
        <is>
          <t>Jing Wen Quah</t>
        </is>
      </c>
      <c r="J22" s="215" t="inlineStr">
        <is>
          <t>A&amp;M</t>
        </is>
      </c>
      <c r="K22" s="215" t="inlineStr">
        <is>
          <t>USA</t>
        </is>
      </c>
      <c r="L22" s="217" t="n"/>
      <c r="M22" s="689" t="n"/>
      <c r="N22" s="273" t="inlineStr">
        <is>
          <t>Female</t>
        </is>
      </c>
      <c r="O22" s="590" t="inlineStr">
        <is>
          <t>200 Back</t>
        </is>
      </c>
      <c r="P22" s="102" t="n">
        <v>22.44</v>
      </c>
      <c r="Q22" s="689" t="n"/>
      <c r="R22" s="689" t="n"/>
      <c r="S22" s="689" t="n"/>
      <c r="T22" s="689" t="n"/>
      <c r="U22" s="689" t="n"/>
      <c r="V22" s="689" t="n"/>
      <c r="W22" s="689" t="n"/>
      <c r="X22" s="689" t="n"/>
      <c r="Y22" s="689" t="n"/>
      <c r="Z22" s="689" t="n"/>
      <c r="AA22" s="689" t="n"/>
      <c r="AB22" s="689" t="n"/>
      <c r="AC22" s="689" t="n"/>
      <c r="AD22" s="689" t="n"/>
      <c r="AY22" s="692" t="n"/>
      <c r="AZ22" s="692" t="n"/>
      <c r="BA22" s="692" t="n"/>
      <c r="BB22" s="692" t="n"/>
      <c r="BC22" s="692" t="n"/>
      <c r="BD22" s="692" t="n"/>
      <c r="BE22" s="692" t="n"/>
      <c r="BF22" s="692" t="n"/>
      <c r="BG22" s="692" t="n"/>
      <c r="BH22" s="692" t="n"/>
      <c r="BI22" s="692" t="n"/>
      <c r="BJ22" s="692" t="n"/>
      <c r="BK22" s="692" t="n"/>
      <c r="BL22" s="692" t="n"/>
      <c r="BM22" s="692" t="n"/>
      <c r="BN22" s="692" t="n"/>
      <c r="BO22" s="692" t="n"/>
      <c r="BP22" s="692" t="n"/>
      <c r="BQ22" s="692" t="n"/>
    </row>
    <row r="23">
      <c r="A23" s="220" t="inlineStr">
        <is>
          <t>Female</t>
        </is>
      </c>
      <c r="B23" s="211" t="inlineStr">
        <is>
          <t>100 Fly</t>
        </is>
      </c>
      <c r="C23" s="190" t="n">
        <v>2022</v>
      </c>
      <c r="D23" s="211" t="inlineStr">
        <is>
          <t>THA</t>
        </is>
      </c>
      <c r="E23" s="221" t="n">
        <v>3</v>
      </c>
      <c r="F23" s="211" t="inlineStr">
        <is>
          <t>1:01.15</t>
        </is>
      </c>
      <c r="G23" s="211" t="n">
        <v>1993</v>
      </c>
      <c r="H23" s="211">
        <f>C23-G23</f>
        <v/>
      </c>
      <c r="I23" s="211" t="inlineStr">
        <is>
          <t>Jasmine Alkhaldi</t>
        </is>
      </c>
      <c r="J23" s="211" t="inlineStr">
        <is>
          <t>Hawaii</t>
        </is>
      </c>
      <c r="K23" s="211" t="inlineStr">
        <is>
          <t>USA</t>
        </is>
      </c>
      <c r="L23" s="213" t="n"/>
      <c r="M23" s="689" t="n"/>
      <c r="N23" s="281" t="inlineStr">
        <is>
          <t>Male</t>
        </is>
      </c>
      <c r="O23" s="613" t="inlineStr">
        <is>
          <t>50 Breast</t>
        </is>
      </c>
      <c r="P23" s="111" t="n">
        <v>22.44</v>
      </c>
      <c r="Q23" s="689" t="n"/>
      <c r="R23" s="689" t="n"/>
      <c r="S23" s="689" t="n"/>
      <c r="T23" s="689" t="n"/>
      <c r="U23" s="689" t="n"/>
      <c r="V23" s="689" t="n"/>
      <c r="W23" s="689" t="n"/>
      <c r="X23" s="689" t="n"/>
      <c r="Y23" s="689" t="n"/>
      <c r="Z23" s="689" t="n"/>
      <c r="AA23" s="689" t="n"/>
      <c r="AB23" s="689" t="n"/>
      <c r="AC23" s="689" t="n"/>
      <c r="AD23" s="689" t="n"/>
      <c r="AY23" s="692" t="n"/>
      <c r="AZ23" s="692" t="n"/>
      <c r="BA23" s="692" t="n"/>
      <c r="BB23" s="692" t="n"/>
      <c r="BC23" s="692" t="n"/>
      <c r="BD23" s="692" t="n"/>
      <c r="BE23" s="692" t="n"/>
      <c r="BF23" s="692" t="n"/>
      <c r="BG23" s="692" t="n"/>
      <c r="BH23" s="692" t="n"/>
      <c r="BI23" s="692" t="n"/>
      <c r="BJ23" s="692" t="n"/>
      <c r="BK23" s="692" t="n"/>
      <c r="BL23" s="692" t="n"/>
      <c r="BM23" s="692" t="n"/>
      <c r="BN23" s="692" t="n"/>
      <c r="BO23" s="692" t="n"/>
      <c r="BP23" s="692" t="n"/>
      <c r="BQ23" s="692" t="n"/>
    </row>
    <row r="24">
      <c r="A24" s="218" t="inlineStr">
        <is>
          <t>Female</t>
        </is>
      </c>
      <c r="B24" s="215" t="inlineStr">
        <is>
          <t>100 Fly</t>
        </is>
      </c>
      <c r="C24" s="189" t="n">
        <v>2022</v>
      </c>
      <c r="D24" s="215" t="inlineStr">
        <is>
          <t>SGP</t>
        </is>
      </c>
      <c r="E24" s="219" t="n">
        <v>1</v>
      </c>
      <c r="F24" s="215" t="inlineStr">
        <is>
          <t>59.15</t>
        </is>
      </c>
      <c r="G24" s="202" t="n">
        <v>1994</v>
      </c>
      <c r="H24" s="202">
        <f>C24-G24</f>
        <v/>
      </c>
      <c r="I24" s="206" t="inlineStr">
        <is>
          <t>Jing Wen Quah</t>
        </is>
      </c>
      <c r="J24" s="206" t="inlineStr">
        <is>
          <t>A&amp;M</t>
        </is>
      </c>
      <c r="K24" s="206" t="inlineStr">
        <is>
          <t>USA</t>
        </is>
      </c>
      <c r="L24" s="217" t="n"/>
      <c r="M24" s="689" t="n"/>
      <c r="N24" s="273" t="inlineStr">
        <is>
          <t>Female</t>
        </is>
      </c>
      <c r="O24" s="590" t="inlineStr">
        <is>
          <t>200 Fly</t>
        </is>
      </c>
      <c r="P24" s="102" t="n">
        <v>23</v>
      </c>
      <c r="Q24" s="689" t="n"/>
      <c r="R24" s="689" t="n"/>
      <c r="S24" s="689" t="n"/>
      <c r="T24" s="689" t="n"/>
      <c r="U24" s="689" t="n"/>
      <c r="V24" s="689" t="n"/>
      <c r="W24" s="689" t="n"/>
      <c r="X24" s="689" t="n"/>
      <c r="Y24" s="689" t="n"/>
      <c r="Z24" s="689" t="n"/>
      <c r="AA24" s="689" t="n"/>
      <c r="AB24" s="689" t="n"/>
      <c r="AC24" s="689" t="n"/>
      <c r="AD24" s="689" t="n"/>
      <c r="AY24" s="692" t="n"/>
      <c r="AZ24" s="692" t="n"/>
      <c r="BA24" s="692" t="n"/>
      <c r="BB24" s="692" t="n"/>
      <c r="BC24" s="692" t="n"/>
      <c r="BD24" s="692" t="n"/>
      <c r="BE24" s="692" t="n"/>
      <c r="BF24" s="692" t="n"/>
      <c r="BG24" s="692" t="n"/>
      <c r="BH24" s="692" t="n"/>
      <c r="BI24" s="692" t="n"/>
      <c r="BJ24" s="692" t="n"/>
      <c r="BK24" s="692" t="n"/>
      <c r="BL24" s="692" t="n"/>
      <c r="BM24" s="692" t="n"/>
      <c r="BN24" s="692" t="n"/>
      <c r="BO24" s="692" t="n"/>
      <c r="BP24" s="692" t="n"/>
      <c r="BQ24" s="692" t="n"/>
    </row>
    <row r="25">
      <c r="A25" s="220" t="inlineStr">
        <is>
          <t>Female</t>
        </is>
      </c>
      <c r="B25" s="211" t="inlineStr">
        <is>
          <t>100 Fly</t>
        </is>
      </c>
      <c r="C25" s="190" t="n">
        <v>2022</v>
      </c>
      <c r="D25" s="211" t="inlineStr">
        <is>
          <t>SGP</t>
        </is>
      </c>
      <c r="E25" s="221" t="n">
        <v>2</v>
      </c>
      <c r="F25" s="211" t="inlineStr">
        <is>
          <t>59.34</t>
        </is>
      </c>
      <c r="G25" s="196" t="n">
        <v>1992</v>
      </c>
      <c r="H25" s="196">
        <f>C25-G25</f>
        <v/>
      </c>
      <c r="I25" s="198" t="inlineStr">
        <is>
          <t>Ting Wen Quah</t>
        </is>
      </c>
      <c r="J25" s="198" t="inlineStr">
        <is>
          <t>UCLA</t>
        </is>
      </c>
      <c r="K25" s="198" t="inlineStr">
        <is>
          <t>USA</t>
        </is>
      </c>
      <c r="L25" s="213" t="n"/>
      <c r="M25" s="689" t="n"/>
      <c r="N25" s="281" t="inlineStr">
        <is>
          <t>Female</t>
        </is>
      </c>
      <c r="O25" s="613" t="inlineStr">
        <is>
          <t>50 Breast</t>
        </is>
      </c>
      <c r="P25" s="111" t="n">
        <v>23</v>
      </c>
      <c r="Q25" s="689" t="n"/>
      <c r="R25" s="689" t="n"/>
      <c r="S25" s="689" t="n"/>
      <c r="T25" s="689" t="n"/>
      <c r="U25" s="689" t="n"/>
      <c r="V25" s="689" t="n"/>
      <c r="W25" s="689" t="n"/>
      <c r="X25" s="689" t="n"/>
      <c r="Y25" s="689" t="n"/>
      <c r="Z25" s="689" t="n"/>
      <c r="AA25" s="689" t="n"/>
      <c r="AB25" s="689" t="n"/>
      <c r="AC25" s="689" t="n"/>
      <c r="AD25" s="689" t="n"/>
      <c r="AY25" s="692" t="n"/>
      <c r="AZ25" s="692" t="n"/>
      <c r="BA25" s="692" t="n"/>
      <c r="BB25" s="692" t="n"/>
      <c r="BC25" s="692" t="n"/>
      <c r="BD25" s="692" t="n"/>
      <c r="BE25" s="692" t="n"/>
      <c r="BF25" s="692" t="n"/>
      <c r="BG25" s="692" t="n"/>
      <c r="BH25" s="692" t="n"/>
      <c r="BI25" s="692" t="n"/>
      <c r="BJ25" s="692" t="n"/>
      <c r="BK25" s="692" t="n"/>
      <c r="BL25" s="692" t="n"/>
      <c r="BM25" s="692" t="n"/>
      <c r="BN25" s="692" t="n"/>
      <c r="BO25" s="692" t="n"/>
      <c r="BP25" s="692" t="n"/>
      <c r="BQ25" s="692" t="n"/>
    </row>
    <row r="26">
      <c r="A26" s="218" t="inlineStr">
        <is>
          <t>Female</t>
        </is>
      </c>
      <c r="B26" s="215" t="inlineStr">
        <is>
          <t>100 Fly</t>
        </is>
      </c>
      <c r="C26" s="189" t="n">
        <v>2023</v>
      </c>
      <c r="D26" s="215" t="inlineStr">
        <is>
          <t>PHI</t>
        </is>
      </c>
      <c r="E26" s="219" t="n">
        <v>3</v>
      </c>
      <c r="F26" s="215" t="inlineStr">
        <is>
          <t>1:00.45</t>
        </is>
      </c>
      <c r="G26" s="215" t="n">
        <v>1993</v>
      </c>
      <c r="H26" s="215">
        <f>C26-G26</f>
        <v/>
      </c>
      <c r="I26" s="215" t="inlineStr">
        <is>
          <t>Jasmine Alkhaldi</t>
        </is>
      </c>
      <c r="J26" s="215" t="inlineStr">
        <is>
          <t>Hawaii</t>
        </is>
      </c>
      <c r="K26" s="215" t="inlineStr">
        <is>
          <t>USA</t>
        </is>
      </c>
      <c r="L26" s="217" t="n"/>
      <c r="M26" s="689" t="n"/>
      <c r="N26" s="273" t="inlineStr">
        <is>
          <t>Male</t>
        </is>
      </c>
      <c r="O26" s="590" t="inlineStr">
        <is>
          <t>200 Free</t>
        </is>
      </c>
      <c r="P26" s="102" t="n">
        <v>23</v>
      </c>
      <c r="Q26" s="689" t="n"/>
      <c r="R26" s="689" t="n"/>
      <c r="S26" s="689" t="n"/>
      <c r="T26" s="689" t="n"/>
      <c r="U26" s="689" t="n"/>
      <c r="V26" s="689" t="n"/>
      <c r="W26" s="689" t="n"/>
      <c r="X26" s="689" t="n"/>
      <c r="Y26" s="689" t="n"/>
      <c r="Z26" s="689" t="n"/>
      <c r="AA26" s="689" t="n"/>
      <c r="AB26" s="689" t="n"/>
      <c r="AC26" s="689" t="n"/>
      <c r="AD26" s="689" t="n"/>
      <c r="AY26" s="692" t="n"/>
      <c r="AZ26" s="692" t="n"/>
      <c r="BA26" s="692" t="n"/>
      <c r="BB26" s="692" t="n"/>
      <c r="BC26" s="692" t="n"/>
      <c r="BD26" s="692" t="n"/>
      <c r="BE26" s="692" t="n"/>
      <c r="BF26" s="692" t="n"/>
      <c r="BG26" s="692" t="n"/>
      <c r="BH26" s="692" t="n"/>
      <c r="BI26" s="692" t="n"/>
      <c r="BJ26" s="692" t="n"/>
      <c r="BK26" s="692" t="n"/>
      <c r="BL26" s="692" t="n"/>
      <c r="BM26" s="692" t="n"/>
      <c r="BN26" s="692" t="n"/>
      <c r="BO26" s="692" t="n"/>
      <c r="BP26" s="692" t="n"/>
      <c r="BQ26" s="692" t="n"/>
    </row>
    <row r="27">
      <c r="A27" s="220" t="inlineStr">
        <is>
          <t>Female</t>
        </is>
      </c>
      <c r="B27" s="211" t="inlineStr">
        <is>
          <t>100 Fly</t>
        </is>
      </c>
      <c r="C27" s="190" t="n">
        <v>2023</v>
      </c>
      <c r="D27" s="211" t="inlineStr">
        <is>
          <t>SGP</t>
        </is>
      </c>
      <c r="E27" s="221" t="n">
        <v>1</v>
      </c>
      <c r="F27" s="211" t="inlineStr">
        <is>
          <t>59.02</t>
        </is>
      </c>
      <c r="G27" s="211" t="n">
        <v>1994</v>
      </c>
      <c r="H27" s="211">
        <f>C27-G27</f>
        <v/>
      </c>
      <c r="I27" s="211" t="inlineStr">
        <is>
          <t>Jing Wen Quah</t>
        </is>
      </c>
      <c r="J27" s="211" t="inlineStr">
        <is>
          <t>A&amp;M</t>
        </is>
      </c>
      <c r="K27" s="211" t="inlineStr">
        <is>
          <t>USA</t>
        </is>
      </c>
      <c r="L27" s="213" t="n"/>
      <c r="M27" s="689" t="n"/>
      <c r="N27" s="281" t="inlineStr">
        <is>
          <t>Male</t>
        </is>
      </c>
      <c r="O27" s="613" t="inlineStr">
        <is>
          <t>100 Free</t>
        </is>
      </c>
      <c r="P27" s="111" t="n">
        <v>23.11</v>
      </c>
      <c r="Q27" s="689" t="n"/>
      <c r="R27" s="689" t="n"/>
      <c r="S27" s="689" t="n"/>
      <c r="T27" s="689" t="n"/>
      <c r="U27" s="689" t="n"/>
      <c r="V27" s="689" t="n"/>
      <c r="W27" s="689" t="n"/>
      <c r="X27" s="689" t="n"/>
      <c r="Y27" s="689" t="n"/>
      <c r="Z27" s="689" t="n"/>
      <c r="AA27" s="689" t="n"/>
      <c r="AB27" s="689" t="n"/>
      <c r="AC27" s="689" t="n"/>
      <c r="AD27" s="689" t="n"/>
      <c r="AY27" s="692" t="n"/>
      <c r="AZ27" s="692" t="n"/>
      <c r="BA27" s="692" t="n"/>
      <c r="BB27" s="692" t="n"/>
      <c r="BC27" s="692" t="n"/>
      <c r="BD27" s="692" t="n"/>
      <c r="BE27" s="692" t="n"/>
      <c r="BF27" s="692" t="n"/>
      <c r="BG27" s="692" t="n"/>
      <c r="BH27" s="692" t="n"/>
      <c r="BI27" s="692" t="n"/>
      <c r="BJ27" s="692" t="n"/>
      <c r="BK27" s="692" t="n"/>
      <c r="BL27" s="692" t="n"/>
      <c r="BM27" s="692" t="n"/>
      <c r="BN27" s="692" t="n"/>
      <c r="BO27" s="692" t="n"/>
      <c r="BP27" s="692" t="n"/>
      <c r="BQ27" s="692" t="n"/>
    </row>
    <row r="28">
      <c r="A28" s="218" t="inlineStr">
        <is>
          <t>Female</t>
        </is>
      </c>
      <c r="B28" s="215" t="inlineStr">
        <is>
          <t>100 Fly</t>
        </is>
      </c>
      <c r="C28" s="189" t="n">
        <v>2023</v>
      </c>
      <c r="D28" s="215" t="inlineStr">
        <is>
          <t>SGP</t>
        </is>
      </c>
      <c r="E28" s="219" t="n">
        <v>2</v>
      </c>
      <c r="F28" s="215" t="inlineStr">
        <is>
          <t>59.51</t>
        </is>
      </c>
      <c r="G28" s="215" t="n">
        <v>1992</v>
      </c>
      <c r="H28" s="215">
        <f>C28-G28</f>
        <v/>
      </c>
      <c r="I28" s="215" t="inlineStr">
        <is>
          <t>Ting Wen Quah</t>
        </is>
      </c>
      <c r="J28" s="215" t="inlineStr">
        <is>
          <t>UCLA</t>
        </is>
      </c>
      <c r="K28" s="215" t="inlineStr">
        <is>
          <t>USA</t>
        </is>
      </c>
      <c r="L28" s="217" t="n"/>
      <c r="M28" s="689" t="n"/>
      <c r="N28" s="273" t="inlineStr">
        <is>
          <t>Male</t>
        </is>
      </c>
      <c r="O28" s="590" t="inlineStr">
        <is>
          <t>100 Back</t>
        </is>
      </c>
      <c r="P28" s="102" t="n">
        <v>24.78</v>
      </c>
      <c r="Q28" s="689" t="n"/>
      <c r="R28" s="689" t="n"/>
      <c r="S28" s="689" t="n"/>
      <c r="T28" s="689" t="n"/>
      <c r="U28" s="689" t="n"/>
      <c r="V28" s="689" t="n"/>
      <c r="W28" s="689" t="n"/>
      <c r="X28" s="689" t="n"/>
      <c r="Y28" s="689" t="n"/>
      <c r="Z28" s="689" t="n"/>
      <c r="AA28" s="689" t="n"/>
      <c r="AB28" s="689" t="n"/>
      <c r="AC28" s="689" t="n"/>
      <c r="AD28" s="689" t="n"/>
      <c r="AY28" s="692" t="n"/>
      <c r="AZ28" s="692" t="n"/>
      <c r="BA28" s="692" t="n"/>
      <c r="BB28" s="692" t="n"/>
      <c r="BC28" s="692" t="n"/>
      <c r="BD28" s="692" t="n"/>
      <c r="BE28" s="692" t="n"/>
      <c r="BF28" s="692" t="n"/>
      <c r="BG28" s="692" t="n"/>
      <c r="BH28" s="692" t="n"/>
      <c r="BI28" s="692" t="n"/>
      <c r="BJ28" s="692" t="n"/>
      <c r="BK28" s="692" t="n"/>
      <c r="BL28" s="692" t="n"/>
      <c r="BM28" s="692" t="n"/>
      <c r="BN28" s="692" t="n"/>
      <c r="BO28" s="692" t="n"/>
      <c r="BP28" s="692" t="n"/>
      <c r="BQ28" s="692" t="n"/>
    </row>
    <row r="29">
      <c r="A29" s="220" t="inlineStr">
        <is>
          <t>Female</t>
        </is>
      </c>
      <c r="B29" s="211" t="inlineStr">
        <is>
          <t>100 Free</t>
        </is>
      </c>
      <c r="C29" s="190" t="n">
        <v>2019</v>
      </c>
      <c r="D29" s="211" t="inlineStr">
        <is>
          <t>SGP</t>
        </is>
      </c>
      <c r="E29" s="221" t="n">
        <v>1</v>
      </c>
      <c r="F29" s="211" t="inlineStr">
        <is>
          <t>54.74</t>
        </is>
      </c>
      <c r="G29" s="196" t="n">
        <v>1992</v>
      </c>
      <c r="H29" s="196">
        <f>C29-G29</f>
        <v/>
      </c>
      <c r="I29" s="198" t="inlineStr">
        <is>
          <t>Ting Wen Quah</t>
        </is>
      </c>
      <c r="J29" s="198" t="inlineStr">
        <is>
          <t>UCLA</t>
        </is>
      </c>
      <c r="K29" s="198" t="inlineStr">
        <is>
          <t>USA</t>
        </is>
      </c>
      <c r="L29" s="213" t="n"/>
      <c r="M29" s="689" t="n"/>
      <c r="N29" s="281" t="inlineStr">
        <is>
          <t>Female</t>
        </is>
      </c>
      <c r="O29" s="613" t="inlineStr">
        <is>
          <t>100 Free</t>
        </is>
      </c>
      <c r="P29" s="111" t="n">
        <v>24.89</v>
      </c>
      <c r="Q29" s="689" t="n"/>
      <c r="R29" s="689" t="n"/>
      <c r="S29" s="689" t="n"/>
      <c r="T29" s="689" t="n"/>
      <c r="U29" s="689" t="n"/>
      <c r="V29" s="689" t="n"/>
      <c r="W29" s="689" t="n"/>
      <c r="X29" s="689" t="n"/>
      <c r="Y29" s="689" t="n"/>
      <c r="Z29" s="689" t="n"/>
      <c r="AA29" s="689" t="n"/>
      <c r="AB29" s="689" t="n"/>
      <c r="AC29" s="689" t="n"/>
      <c r="AD29" s="689" t="n"/>
      <c r="AY29" s="692" t="n"/>
      <c r="AZ29" s="692" t="n"/>
      <c r="BA29" s="692" t="n"/>
      <c r="BB29" s="692" t="n"/>
      <c r="BC29" s="692" t="n"/>
      <c r="BD29" s="692" t="n"/>
      <c r="BE29" s="692" t="n"/>
      <c r="BF29" s="692" t="n"/>
      <c r="BG29" s="692" t="n"/>
      <c r="BH29" s="692" t="n"/>
      <c r="BI29" s="692" t="n"/>
      <c r="BJ29" s="692" t="n"/>
      <c r="BK29" s="692" t="n"/>
      <c r="BL29" s="692" t="n"/>
      <c r="BM29" s="692" t="n"/>
      <c r="BN29" s="692" t="n"/>
      <c r="BO29" s="692" t="n"/>
      <c r="BP29" s="692" t="n"/>
      <c r="BQ29" s="692" t="n"/>
    </row>
    <row r="30">
      <c r="A30" s="218" t="inlineStr">
        <is>
          <t>Female</t>
        </is>
      </c>
      <c r="B30" s="215" t="inlineStr">
        <is>
          <t>100 Free</t>
        </is>
      </c>
      <c r="C30" s="189" t="n">
        <v>2019</v>
      </c>
      <c r="D30" s="215" t="inlineStr">
        <is>
          <t>SGP</t>
        </is>
      </c>
      <c r="E30" s="219" t="n">
        <v>2</v>
      </c>
      <c r="F30" s="215" t="inlineStr">
        <is>
          <t>55.55</t>
        </is>
      </c>
      <c r="G30" s="215" t="n">
        <v>2001</v>
      </c>
      <c r="H30" s="195">
        <f>C30-G30</f>
        <v/>
      </c>
      <c r="I30" s="215" t="inlineStr">
        <is>
          <t>Cherlyn Yeoh</t>
        </is>
      </c>
      <c r="J30" s="215" t="inlineStr">
        <is>
          <t>Warwick</t>
        </is>
      </c>
      <c r="K30" s="215" t="inlineStr">
        <is>
          <t>UK</t>
        </is>
      </c>
      <c r="L30" s="217" t="n"/>
      <c r="M30" s="689" t="n"/>
      <c r="N30" s="273" t="inlineStr">
        <is>
          <t>Male</t>
        </is>
      </c>
      <c r="O30" s="590" t="inlineStr">
        <is>
          <t>50 Fly</t>
        </is>
      </c>
      <c r="P30" s="102" t="n">
        <v>25.11</v>
      </c>
      <c r="Q30" s="689" t="n"/>
      <c r="R30" s="689" t="n"/>
      <c r="S30" s="689" t="n"/>
      <c r="T30" s="689" t="n"/>
      <c r="U30" s="689" t="n"/>
      <c r="V30" s="689" t="n"/>
      <c r="W30" s="689" t="n"/>
      <c r="X30" s="689" t="n"/>
      <c r="Y30" s="689" t="n"/>
      <c r="Z30" s="689" t="n"/>
      <c r="AA30" s="689" t="n"/>
      <c r="AB30" s="689" t="n"/>
      <c r="AC30" s="689" t="n"/>
      <c r="AD30" s="689" t="n"/>
      <c r="AY30" s="692" t="n"/>
      <c r="AZ30" s="692" t="n"/>
      <c r="BA30" s="692" t="n"/>
      <c r="BB30" s="692" t="n"/>
      <c r="BC30" s="692" t="n"/>
      <c r="BD30" s="692" t="n"/>
      <c r="BE30" s="692" t="n"/>
      <c r="BF30" s="692" t="n"/>
      <c r="BG30" s="692" t="n"/>
      <c r="BH30" s="692" t="n"/>
      <c r="BI30" s="692" t="n"/>
      <c r="BJ30" s="692" t="n"/>
      <c r="BK30" s="692" t="n"/>
      <c r="BL30" s="692" t="n"/>
      <c r="BM30" s="692" t="n"/>
      <c r="BN30" s="692" t="n"/>
      <c r="BO30" s="692" t="n"/>
      <c r="BP30" s="692" t="n"/>
      <c r="BQ30" s="692" t="n"/>
    </row>
    <row r="31">
      <c r="A31" s="220" t="inlineStr">
        <is>
          <t>Female</t>
        </is>
      </c>
      <c r="B31" s="211" t="inlineStr">
        <is>
          <t>100 Free</t>
        </is>
      </c>
      <c r="C31" s="190" t="n">
        <v>2019</v>
      </c>
      <c r="D31" s="211" t="inlineStr">
        <is>
          <t>PHI</t>
        </is>
      </c>
      <c r="E31" s="221" t="n">
        <v>3</v>
      </c>
      <c r="F31" s="211" t="inlineStr">
        <is>
          <t>55.76</t>
        </is>
      </c>
      <c r="G31" s="211" t="n">
        <v>1993</v>
      </c>
      <c r="H31" s="211">
        <f>C31-G31</f>
        <v/>
      </c>
      <c r="I31" s="211" t="inlineStr">
        <is>
          <t>Jasmine Alkhaldi</t>
        </is>
      </c>
      <c r="J31" s="211" t="inlineStr">
        <is>
          <t>Hawaii</t>
        </is>
      </c>
      <c r="K31" s="211" t="inlineStr">
        <is>
          <t>USA</t>
        </is>
      </c>
      <c r="L31" s="213" t="n"/>
      <c r="M31" s="689" t="n"/>
      <c r="N31" s="281" t="inlineStr">
        <is>
          <t>Male</t>
        </is>
      </c>
      <c r="O31" s="613" t="inlineStr">
        <is>
          <t>100 Fly</t>
        </is>
      </c>
      <c r="P31" s="111" t="n">
        <v>25.56</v>
      </c>
      <c r="Q31" s="689" t="n"/>
      <c r="R31" s="689" t="n"/>
      <c r="S31" s="689" t="n"/>
      <c r="T31" s="689" t="n"/>
      <c r="U31" s="689" t="n"/>
      <c r="V31" s="689" t="n"/>
      <c r="W31" s="689" t="n"/>
      <c r="X31" s="689" t="n"/>
      <c r="Y31" s="689" t="n"/>
      <c r="Z31" s="689" t="n"/>
      <c r="AA31" s="689" t="n"/>
      <c r="AB31" s="689" t="n"/>
      <c r="AC31" s="689" t="n"/>
      <c r="AD31" s="689" t="n"/>
      <c r="AY31" s="692" t="n"/>
      <c r="AZ31" s="692" t="n"/>
      <c r="BA31" s="692" t="n"/>
      <c r="BB31" s="692" t="n"/>
      <c r="BC31" s="692" t="n"/>
      <c r="BD31" s="692" t="n"/>
      <c r="BE31" s="692" t="n"/>
      <c r="BF31" s="692" t="n"/>
      <c r="BG31" s="692" t="n"/>
      <c r="BH31" s="692" t="n"/>
      <c r="BI31" s="692" t="n"/>
      <c r="BJ31" s="692" t="n"/>
      <c r="BK31" s="692" t="n"/>
      <c r="BL31" s="692" t="n"/>
      <c r="BM31" s="692" t="n"/>
      <c r="BN31" s="692" t="n"/>
      <c r="BO31" s="692" t="n"/>
      <c r="BP31" s="692" t="n"/>
      <c r="BQ31" s="692" t="n"/>
    </row>
    <row r="32">
      <c r="A32" s="218" t="inlineStr">
        <is>
          <t>Female</t>
        </is>
      </c>
      <c r="B32" s="215" t="inlineStr">
        <is>
          <t>100 Free</t>
        </is>
      </c>
      <c r="C32" s="189" t="n">
        <v>2022</v>
      </c>
      <c r="D32" s="215" t="inlineStr">
        <is>
          <t>SGP</t>
        </is>
      </c>
      <c r="E32" s="219" t="n">
        <v>1</v>
      </c>
      <c r="F32" s="215" t="inlineStr">
        <is>
          <t>55.6</t>
        </is>
      </c>
      <c r="G32" s="195" t="n">
        <v>1992</v>
      </c>
      <c r="H32" s="195">
        <f>C32-G32</f>
        <v/>
      </c>
      <c r="I32" s="200" t="inlineStr">
        <is>
          <t>Ting Wen Quah</t>
        </is>
      </c>
      <c r="J32" s="200" t="inlineStr">
        <is>
          <t>UCLA</t>
        </is>
      </c>
      <c r="K32" s="200" t="inlineStr">
        <is>
          <t>USA</t>
        </is>
      </c>
      <c r="L32" s="217" t="n"/>
      <c r="M32" s="689" t="n"/>
      <c r="N32" s="273" t="inlineStr">
        <is>
          <t>Male</t>
        </is>
      </c>
      <c r="O32" s="590" t="inlineStr">
        <is>
          <t>50 Back</t>
        </is>
      </c>
      <c r="P32" s="102" t="n">
        <v>26.33</v>
      </c>
      <c r="Q32" s="689" t="n"/>
      <c r="R32" s="689" t="n"/>
      <c r="S32" s="689" t="n"/>
      <c r="T32" s="689" t="n"/>
      <c r="U32" s="689" t="n"/>
      <c r="V32" s="689" t="n"/>
      <c r="W32" s="689" t="n"/>
      <c r="X32" s="689" t="n"/>
      <c r="Y32" s="689" t="n"/>
      <c r="Z32" s="689" t="n"/>
      <c r="AA32" s="689" t="n"/>
      <c r="AB32" s="689" t="n"/>
      <c r="AC32" s="689" t="n"/>
      <c r="AD32" s="689" t="n"/>
      <c r="AY32" s="692" t="n"/>
      <c r="AZ32" s="692" t="n"/>
      <c r="BA32" s="692" t="n"/>
      <c r="BB32" s="692" t="n"/>
      <c r="BC32" s="692" t="n"/>
      <c r="BD32" s="692" t="n"/>
      <c r="BE32" s="692" t="n"/>
      <c r="BF32" s="692" t="n"/>
      <c r="BG32" s="692" t="n"/>
      <c r="BH32" s="692" t="n"/>
      <c r="BI32" s="692" t="n"/>
      <c r="BJ32" s="692" t="n"/>
      <c r="BK32" s="692" t="n"/>
      <c r="BL32" s="692" t="n"/>
      <c r="BM32" s="692" t="n"/>
      <c r="BN32" s="692" t="n"/>
      <c r="BO32" s="692" t="n"/>
      <c r="BP32" s="692" t="n"/>
      <c r="BQ32" s="692" t="n"/>
    </row>
    <row r="33">
      <c r="A33" s="220" t="inlineStr">
        <is>
          <t>Female</t>
        </is>
      </c>
      <c r="B33" s="211" t="inlineStr">
        <is>
          <t>100 Free</t>
        </is>
      </c>
      <c r="C33" s="190" t="n">
        <v>2022</v>
      </c>
      <c r="D33" s="211" t="inlineStr">
        <is>
          <t>THA</t>
        </is>
      </c>
      <c r="E33" s="221" t="n">
        <v>2</v>
      </c>
      <c r="F33" s="211" t="inlineStr">
        <is>
          <t>56.62</t>
        </is>
      </c>
      <c r="G33" s="197" t="n">
        <v>1995</v>
      </c>
      <c r="H33" s="197">
        <f>C33-G33</f>
        <v/>
      </c>
      <c r="I33" s="201" t="inlineStr">
        <is>
          <t>Jenjira Srisa-Ard</t>
        </is>
      </c>
      <c r="J33" s="211" t="n"/>
      <c r="K33" s="211" t="n"/>
      <c r="L33" s="213" t="n"/>
      <c r="M33" s="689" t="n"/>
      <c r="N33" s="281" t="inlineStr">
        <is>
          <t>Female</t>
        </is>
      </c>
      <c r="O33" s="613" t="inlineStr">
        <is>
          <t>50 Fly</t>
        </is>
      </c>
      <c r="P33" s="111" t="n">
        <v>27.89</v>
      </c>
      <c r="Q33" s="689" t="n"/>
      <c r="R33" s="689" t="n"/>
      <c r="S33" s="689" t="n"/>
      <c r="T33" s="689" t="n"/>
      <c r="U33" s="689" t="n"/>
      <c r="V33" s="689" t="n"/>
      <c r="W33" s="689" t="n"/>
      <c r="X33" s="689" t="n"/>
      <c r="Y33" s="689" t="n"/>
      <c r="Z33" s="689" t="n"/>
      <c r="AA33" s="689" t="n"/>
      <c r="AB33" s="689" t="n"/>
      <c r="AC33" s="689" t="n"/>
      <c r="AD33" s="689" t="n"/>
      <c r="AY33" s="692" t="n"/>
      <c r="AZ33" s="692" t="n"/>
      <c r="BA33" s="692" t="n"/>
      <c r="BB33" s="692" t="n"/>
      <c r="BC33" s="692" t="n"/>
      <c r="BD33" s="692" t="n"/>
      <c r="BE33" s="692" t="n"/>
      <c r="BF33" s="692" t="n"/>
      <c r="BG33" s="692" t="n"/>
      <c r="BH33" s="692" t="n"/>
      <c r="BI33" s="692" t="n"/>
      <c r="BJ33" s="692" t="n"/>
      <c r="BK33" s="692" t="n"/>
      <c r="BL33" s="692" t="n"/>
      <c r="BM33" s="692" t="n"/>
      <c r="BN33" s="692" t="n"/>
      <c r="BO33" s="692" t="n"/>
      <c r="BP33" s="692" t="n"/>
      <c r="BQ33" s="692" t="n"/>
    </row>
    <row r="34">
      <c r="A34" s="218" t="inlineStr">
        <is>
          <t>Female</t>
        </is>
      </c>
      <c r="B34" s="215" t="inlineStr">
        <is>
          <t>100 Free</t>
        </is>
      </c>
      <c r="C34" s="189" t="n">
        <v>2022</v>
      </c>
      <c r="D34" s="215" t="inlineStr">
        <is>
          <t>PHI</t>
        </is>
      </c>
      <c r="E34" s="219" t="n">
        <v>3</v>
      </c>
      <c r="F34" s="215" t="inlineStr">
        <is>
          <t>56.95</t>
        </is>
      </c>
      <c r="G34" s="215" t="n">
        <v>2001</v>
      </c>
      <c r="H34" s="202">
        <f>C34-G34</f>
        <v/>
      </c>
      <c r="I34" s="215" t="inlineStr">
        <is>
          <t>Renner Toc Miranda Cristina</t>
        </is>
      </c>
      <c r="J34" s="215" t="inlineStr">
        <is>
          <t>UCSD</t>
        </is>
      </c>
      <c r="K34" s="215" t="inlineStr">
        <is>
          <t>USA</t>
        </is>
      </c>
      <c r="L34" s="217" t="inlineStr">
        <is>
          <t>USA</t>
        </is>
      </c>
      <c r="M34" s="689" t="n"/>
      <c r="N34" s="273" t="inlineStr">
        <is>
          <t>Female</t>
        </is>
      </c>
      <c r="O34" s="590" t="inlineStr">
        <is>
          <t>50 Free</t>
        </is>
      </c>
      <c r="P34" s="102" t="n">
        <v>27.89</v>
      </c>
      <c r="Q34" s="689" t="n"/>
      <c r="R34" s="689" t="n"/>
      <c r="S34" s="689" t="n"/>
      <c r="T34" s="689" t="n"/>
      <c r="U34" s="689" t="n"/>
      <c r="V34" s="689" t="n"/>
      <c r="W34" s="689" t="n"/>
      <c r="X34" s="689" t="n"/>
      <c r="Y34" s="689" t="n"/>
      <c r="Z34" s="689" t="n"/>
      <c r="AA34" s="689" t="n"/>
      <c r="AB34" s="689" t="n"/>
      <c r="AC34" s="689" t="n"/>
      <c r="AD34" s="689" t="n"/>
      <c r="AY34" s="692" t="n"/>
      <c r="AZ34" s="692" t="n"/>
      <c r="BA34" s="692" t="n"/>
      <c r="BB34" s="692" t="n"/>
      <c r="BC34" s="692" t="n"/>
      <c r="BD34" s="692" t="n"/>
      <c r="BE34" s="692" t="n"/>
      <c r="BF34" s="692" t="n"/>
      <c r="BG34" s="692" t="n"/>
      <c r="BH34" s="692" t="n"/>
      <c r="BI34" s="692" t="n"/>
      <c r="BJ34" s="692" t="n"/>
      <c r="BK34" s="692" t="n"/>
      <c r="BL34" s="692" t="n"/>
      <c r="BM34" s="692" t="n"/>
      <c r="BN34" s="692" t="n"/>
      <c r="BO34" s="692" t="n"/>
      <c r="BP34" s="692" t="n"/>
      <c r="BQ34" s="692" t="n"/>
    </row>
    <row r="35">
      <c r="A35" s="220" t="inlineStr">
        <is>
          <t>Female</t>
        </is>
      </c>
      <c r="B35" s="211" t="inlineStr">
        <is>
          <t>100 Free</t>
        </is>
      </c>
      <c r="C35" s="190" t="n">
        <v>2023</v>
      </c>
      <c r="D35" s="211" t="inlineStr">
        <is>
          <t>SGP</t>
        </is>
      </c>
      <c r="E35" s="221" t="n">
        <v>1</v>
      </c>
      <c r="F35" s="211" t="inlineStr">
        <is>
          <t>55.83</t>
        </is>
      </c>
      <c r="G35" s="211" t="n">
        <v>1992</v>
      </c>
      <c r="H35" s="211">
        <f>C35-G35</f>
        <v/>
      </c>
      <c r="I35" s="211" t="inlineStr">
        <is>
          <t>Ting Wen Quah</t>
        </is>
      </c>
      <c r="J35" s="211" t="inlineStr">
        <is>
          <t>UCLA</t>
        </is>
      </c>
      <c r="K35" s="211" t="inlineStr">
        <is>
          <t>USA</t>
        </is>
      </c>
      <c r="L35" s="213" t="n"/>
      <c r="M35" s="689" t="n"/>
      <c r="N35" s="232" t="inlineStr">
        <is>
          <t>Female</t>
        </is>
      </c>
      <c r="O35" s="122" t="inlineStr">
        <is>
          <t>100 Fly</t>
        </is>
      </c>
      <c r="P35" s="123" t="n">
        <v>28.33</v>
      </c>
      <c r="Q35" s="689" t="n"/>
      <c r="R35" s="689" t="n"/>
      <c r="S35" s="689" t="n"/>
      <c r="T35" s="689" t="n"/>
      <c r="U35" s="689" t="n"/>
      <c r="V35" s="689" t="n"/>
      <c r="W35" s="689" t="n"/>
      <c r="X35" s="689" t="n"/>
      <c r="Y35" s="689" t="n"/>
      <c r="Z35" s="689" t="n"/>
      <c r="AA35" s="689" t="n"/>
      <c r="AB35" s="689" t="n"/>
      <c r="AC35" s="689" t="n"/>
      <c r="AD35" s="689" t="n"/>
      <c r="AY35" s="692" t="n"/>
      <c r="AZ35" s="692" t="n"/>
      <c r="BA35" s="692" t="n"/>
      <c r="BB35" s="692" t="n"/>
      <c r="BC35" s="692" t="n"/>
      <c r="BD35" s="692" t="n"/>
      <c r="BE35" s="692" t="n"/>
      <c r="BF35" s="692" t="n"/>
      <c r="BG35" s="692" t="n"/>
      <c r="BH35" s="692" t="n"/>
      <c r="BI35" s="692" t="n"/>
      <c r="BJ35" s="692" t="n"/>
      <c r="BK35" s="692" t="n"/>
      <c r="BL35" s="692" t="n"/>
      <c r="BM35" s="692" t="n"/>
      <c r="BN35" s="692" t="n"/>
      <c r="BO35" s="692" t="n"/>
      <c r="BP35" s="692" t="n"/>
      <c r="BQ35" s="692" t="n"/>
    </row>
    <row r="36">
      <c r="A36" s="218" t="inlineStr">
        <is>
          <t>Female</t>
        </is>
      </c>
      <c r="B36" s="215" t="inlineStr">
        <is>
          <t>100 Free</t>
        </is>
      </c>
      <c r="C36" s="189" t="n">
        <v>2023</v>
      </c>
      <c r="D36" s="215" t="inlineStr">
        <is>
          <t>PHI</t>
        </is>
      </c>
      <c r="E36" s="219" t="n">
        <v>2</v>
      </c>
      <c r="F36" s="215" t="inlineStr">
        <is>
          <t>56.12</t>
        </is>
      </c>
      <c r="G36" s="215" t="n">
        <v>1993</v>
      </c>
      <c r="H36" s="215">
        <f>C36-G36</f>
        <v/>
      </c>
      <c r="I36" s="215" t="inlineStr">
        <is>
          <t>Jasmine Alkhaldi</t>
        </is>
      </c>
      <c r="J36" s="215" t="inlineStr">
        <is>
          <t>Hawaii</t>
        </is>
      </c>
      <c r="K36" s="215" t="inlineStr">
        <is>
          <t>USA</t>
        </is>
      </c>
      <c r="L36" s="217" t="n"/>
      <c r="M36" s="689" t="n"/>
      <c r="P36" s="227" t="n"/>
      <c r="Q36" s="689" t="n"/>
      <c r="R36" s="689" t="n"/>
      <c r="S36" s="689" t="n"/>
      <c r="T36" s="689" t="n"/>
      <c r="U36" s="689" t="n"/>
      <c r="V36" s="689" t="n"/>
      <c r="W36" s="689" t="n"/>
      <c r="X36" s="689" t="n"/>
      <c r="Y36" s="689" t="n"/>
      <c r="Z36" s="689" t="n"/>
      <c r="AA36" s="689" t="n"/>
      <c r="AB36" s="689" t="n"/>
      <c r="AC36" s="689" t="n"/>
      <c r="AD36" s="689" t="n"/>
      <c r="AY36" s="692" t="n"/>
      <c r="AZ36" s="692" t="n"/>
      <c r="BA36" s="692" t="n"/>
      <c r="BB36" s="692" t="n"/>
      <c r="BC36" s="692" t="n"/>
      <c r="BD36" s="692" t="n"/>
      <c r="BE36" s="692" t="n"/>
      <c r="BF36" s="692" t="n"/>
      <c r="BG36" s="692" t="n"/>
      <c r="BH36" s="692" t="n"/>
      <c r="BI36" s="692" t="n"/>
      <c r="BJ36" s="692" t="n"/>
      <c r="BK36" s="692" t="n"/>
      <c r="BL36" s="692" t="n"/>
      <c r="BM36" s="692" t="n"/>
      <c r="BN36" s="692" t="n"/>
      <c r="BO36" s="692" t="n"/>
      <c r="BP36" s="692" t="n"/>
      <c r="BQ36" s="692" t="n"/>
    </row>
    <row r="37">
      <c r="A37" s="220" t="inlineStr">
        <is>
          <t>Female</t>
        </is>
      </c>
      <c r="B37" s="211" t="inlineStr">
        <is>
          <t>100 Free</t>
        </is>
      </c>
      <c r="C37" s="190" t="n">
        <v>2023</v>
      </c>
      <c r="D37" s="211" t="inlineStr">
        <is>
          <t>VIE</t>
        </is>
      </c>
      <c r="E37" s="221" t="n">
        <v>3</v>
      </c>
      <c r="F37" s="211" t="inlineStr">
        <is>
          <t>56.42</t>
        </is>
      </c>
      <c r="G37" s="211" t="n">
        <v>2009</v>
      </c>
      <c r="H37" s="211">
        <f>C37-G37</f>
        <v/>
      </c>
      <c r="I37" s="211" t="inlineStr">
        <is>
          <t>Thuy Hien Nguyen</t>
        </is>
      </c>
      <c r="J37" s="211" t="n"/>
      <c r="K37" s="211" t="n"/>
      <c r="L37" s="213" t="n"/>
      <c r="M37" s="689" t="n"/>
      <c r="P37" s="227" t="n"/>
      <c r="Q37" s="689" t="n"/>
      <c r="R37" s="689" t="n"/>
      <c r="S37" s="689" t="n"/>
      <c r="T37" s="689" t="n"/>
      <c r="U37" s="689" t="n"/>
      <c r="V37" s="689" t="n"/>
      <c r="W37" s="689" t="n"/>
      <c r="X37" s="689" t="n"/>
      <c r="Y37" s="689" t="n"/>
      <c r="Z37" s="689" t="n"/>
      <c r="AA37" s="689" t="n"/>
      <c r="AB37" s="689" t="n"/>
      <c r="AC37" s="689" t="n"/>
      <c r="AD37" s="689" t="n"/>
      <c r="AY37" s="692" t="n"/>
      <c r="AZ37" s="692" t="n"/>
      <c r="BA37" s="692" t="n"/>
      <c r="BB37" s="692" t="n"/>
      <c r="BC37" s="692" t="n"/>
      <c r="BD37" s="692" t="n"/>
      <c r="BE37" s="692" t="n"/>
      <c r="BF37" s="692" t="n"/>
      <c r="BG37" s="692" t="n"/>
      <c r="BH37" s="692" t="n"/>
      <c r="BI37" s="692" t="n"/>
      <c r="BJ37" s="692" t="n"/>
      <c r="BK37" s="692" t="n"/>
      <c r="BL37" s="692" t="n"/>
      <c r="BM37" s="692" t="n"/>
      <c r="BN37" s="692" t="n"/>
      <c r="BO37" s="692" t="n"/>
      <c r="BP37" s="692" t="n"/>
      <c r="BQ37" s="692" t="n"/>
    </row>
    <row r="38">
      <c r="A38" s="218" t="inlineStr">
        <is>
          <t>Female</t>
        </is>
      </c>
      <c r="B38" s="215" t="inlineStr">
        <is>
          <t>200 Back</t>
        </is>
      </c>
      <c r="C38" s="189" t="n">
        <v>2019</v>
      </c>
      <c r="D38" s="215" t="inlineStr">
        <is>
          <t>VIE</t>
        </is>
      </c>
      <c r="E38" s="219" t="n">
        <v>1</v>
      </c>
      <c r="F38" s="215" t="inlineStr">
        <is>
          <t>2:15.32</t>
        </is>
      </c>
      <c r="G38" s="215" t="n">
        <v>1996</v>
      </c>
      <c r="H38" s="215">
        <f>C38-G38</f>
        <v/>
      </c>
      <c r="I38" s="215" t="inlineStr">
        <is>
          <t>Nguyen Thi Anh Vien</t>
        </is>
      </c>
      <c r="J38" s="215" t="n"/>
      <c r="K38" s="215" t="n"/>
      <c r="L38" s="217" t="n"/>
      <c r="M38" s="689" t="n"/>
      <c r="P38" s="227" t="n"/>
      <c r="Q38" s="689" t="n"/>
      <c r="R38" s="689" t="n"/>
      <c r="S38" s="689" t="n"/>
      <c r="T38" s="689" t="n"/>
      <c r="U38" s="689" t="n"/>
      <c r="V38" s="689" t="n"/>
      <c r="W38" s="689" t="n"/>
      <c r="X38" s="689" t="n"/>
      <c r="Y38" s="689" t="n"/>
      <c r="Z38" s="689" t="n"/>
      <c r="AA38" s="689" t="n"/>
      <c r="AB38" s="689" t="n"/>
      <c r="AC38" s="689" t="n"/>
      <c r="AD38" s="689" t="n"/>
      <c r="AY38" s="692" t="n"/>
      <c r="AZ38" s="692" t="n"/>
      <c r="BA38" s="692" t="n"/>
      <c r="BB38" s="692" t="n"/>
      <c r="BC38" s="692" t="n"/>
      <c r="BD38" s="692" t="n"/>
      <c r="BE38" s="692" t="n"/>
      <c r="BF38" s="692" t="n"/>
      <c r="BG38" s="692" t="n"/>
      <c r="BH38" s="692" t="n"/>
      <c r="BI38" s="692" t="n"/>
      <c r="BJ38" s="692" t="n"/>
      <c r="BK38" s="692" t="n"/>
      <c r="BL38" s="692" t="n"/>
      <c r="BM38" s="692" t="n"/>
      <c r="BN38" s="692" t="n"/>
      <c r="BO38" s="692" t="n"/>
      <c r="BP38" s="692" t="n"/>
      <c r="BQ38" s="692" t="n"/>
    </row>
    <row r="39">
      <c r="A39" s="220" t="inlineStr">
        <is>
          <t>Female</t>
        </is>
      </c>
      <c r="B39" s="211" t="inlineStr">
        <is>
          <t>200 Back</t>
        </is>
      </c>
      <c r="C39" s="190" t="n">
        <v>2019</v>
      </c>
      <c r="D39" s="211" t="inlineStr">
        <is>
          <t>IND</t>
        </is>
      </c>
      <c r="E39" s="221" t="n">
        <v>2</v>
      </c>
      <c r="F39" s="211" t="inlineStr">
        <is>
          <t>2:17.84</t>
        </is>
      </c>
      <c r="G39" s="215" t="n">
        <v>1996</v>
      </c>
      <c r="H39" s="215">
        <f>C39-G39</f>
        <v/>
      </c>
      <c r="I39" s="215" t="inlineStr">
        <is>
          <t>Nurul Fajar Fitriati</t>
        </is>
      </c>
      <c r="J39" s="215" t="n"/>
      <c r="K39" s="215" t="n"/>
      <c r="L39" s="217" t="n"/>
      <c r="M39" s="689" t="n"/>
      <c r="P39" s="227" t="n"/>
      <c r="Q39" s="689" t="n"/>
      <c r="R39" s="689" t="n"/>
      <c r="S39" s="689" t="n"/>
      <c r="T39" s="689" t="n"/>
      <c r="U39" s="689" t="n"/>
      <c r="V39" s="689" t="n"/>
      <c r="W39" s="689" t="n"/>
      <c r="X39" s="689" t="n"/>
      <c r="Y39" s="689" t="n"/>
      <c r="Z39" s="689" t="n"/>
      <c r="AA39" s="689" t="n"/>
      <c r="AB39" s="689" t="n"/>
      <c r="AC39" s="689" t="n"/>
      <c r="AD39" s="689" t="n"/>
      <c r="AY39" s="692" t="n"/>
      <c r="AZ39" s="692" t="n"/>
      <c r="BA39" s="692" t="n"/>
      <c r="BB39" s="692" t="n"/>
      <c r="BC39" s="692" t="n"/>
      <c r="BD39" s="692" t="n"/>
      <c r="BE39" s="692" t="n"/>
      <c r="BF39" s="692" t="n"/>
      <c r="BG39" s="692" t="n"/>
      <c r="BH39" s="692" t="n"/>
      <c r="BI39" s="692" t="n"/>
      <c r="BJ39" s="692" t="n"/>
      <c r="BK39" s="692" t="n"/>
      <c r="BL39" s="692" t="n"/>
      <c r="BM39" s="692" t="n"/>
      <c r="BN39" s="692" t="n"/>
      <c r="BO39" s="692" t="n"/>
      <c r="BP39" s="692" t="n"/>
      <c r="BQ39" s="692" t="n"/>
    </row>
    <row r="40">
      <c r="A40" s="218" t="inlineStr">
        <is>
          <t>Female</t>
        </is>
      </c>
      <c r="B40" s="215" t="inlineStr">
        <is>
          <t>200 Back</t>
        </is>
      </c>
      <c r="C40" s="189" t="n">
        <v>2019</v>
      </c>
      <c r="D40" s="215" t="inlineStr">
        <is>
          <t>PHI</t>
        </is>
      </c>
      <c r="E40" s="219" t="n">
        <v>3</v>
      </c>
      <c r="F40" s="215" t="inlineStr">
        <is>
          <t>2:18.48</t>
        </is>
      </c>
      <c r="G40" s="215" t="n">
        <v>1998</v>
      </c>
      <c r="H40" s="215">
        <f>C40-G40</f>
        <v/>
      </c>
      <c r="I40" s="215" t="inlineStr">
        <is>
          <t>Chloe Kennedy Anne Isleta</t>
        </is>
      </c>
      <c r="J40" s="215" t="inlineStr">
        <is>
          <t>ASU</t>
        </is>
      </c>
      <c r="K40" s="215" t="inlineStr">
        <is>
          <t>USA</t>
        </is>
      </c>
      <c r="L40" s="217" t="inlineStr">
        <is>
          <t>USA</t>
        </is>
      </c>
      <c r="M40" s="689" t="n"/>
      <c r="P40" s="227" t="n"/>
      <c r="Q40" s="689" t="n"/>
      <c r="R40" s="689" t="n"/>
      <c r="S40" s="689" t="n"/>
      <c r="T40" s="689" t="n"/>
      <c r="U40" s="689" t="n"/>
      <c r="V40" s="689" t="n"/>
      <c r="W40" s="689" t="n"/>
      <c r="X40" s="689" t="n"/>
      <c r="Y40" s="689" t="n"/>
      <c r="Z40" s="689" t="n"/>
      <c r="AA40" s="689" t="n"/>
      <c r="AB40" s="689" t="n"/>
      <c r="AC40" s="689" t="n"/>
      <c r="AD40" s="689" t="n"/>
      <c r="AY40" s="692" t="n"/>
      <c r="AZ40" s="692" t="n"/>
      <c r="BA40" s="692" t="n"/>
      <c r="BB40" s="692" t="n"/>
      <c r="BC40" s="692" t="n"/>
      <c r="BD40" s="692" t="n"/>
      <c r="BE40" s="692" t="n"/>
      <c r="BF40" s="692" t="n"/>
      <c r="BG40" s="692" t="n"/>
      <c r="BH40" s="692" t="n"/>
      <c r="BI40" s="692" t="n"/>
      <c r="BJ40" s="692" t="n"/>
      <c r="BK40" s="692" t="n"/>
      <c r="BL40" s="692" t="n"/>
      <c r="BM40" s="692" t="n"/>
      <c r="BN40" s="692" t="n"/>
      <c r="BO40" s="692" t="n"/>
      <c r="BP40" s="692" t="n"/>
      <c r="BQ40" s="692" t="n"/>
    </row>
    <row r="41">
      <c r="A41" s="220" t="inlineStr">
        <is>
          <t>Female</t>
        </is>
      </c>
      <c r="B41" s="211" t="inlineStr">
        <is>
          <t>200 Back</t>
        </is>
      </c>
      <c r="C41" s="190" t="n">
        <v>2022</v>
      </c>
      <c r="D41" s="211" t="inlineStr">
        <is>
          <t>PHI</t>
        </is>
      </c>
      <c r="E41" s="221" t="n">
        <v>1</v>
      </c>
      <c r="F41" s="211" t="inlineStr">
        <is>
          <t>2:18.60</t>
        </is>
      </c>
      <c r="G41" s="211" t="n">
        <v>1998</v>
      </c>
      <c r="H41" s="211">
        <f>C41-G41</f>
        <v/>
      </c>
      <c r="I41" s="211" t="inlineStr">
        <is>
          <t>Chloe Kennedy Anne Isleta</t>
        </is>
      </c>
      <c r="J41" s="211" t="inlineStr">
        <is>
          <t>ASU</t>
        </is>
      </c>
      <c r="K41" s="211" t="inlineStr">
        <is>
          <t>USA</t>
        </is>
      </c>
      <c r="L41" s="213" t="inlineStr">
        <is>
          <t>USA</t>
        </is>
      </c>
      <c r="M41" s="689" t="n"/>
      <c r="P41" s="227" t="n"/>
      <c r="Q41" s="689" t="n"/>
      <c r="R41" s="689" t="n"/>
      <c r="S41" s="689" t="n"/>
      <c r="T41" s="689" t="n"/>
      <c r="U41" s="689" t="n"/>
      <c r="V41" s="689" t="n"/>
      <c r="W41" s="689" t="n"/>
      <c r="X41" s="689" t="n"/>
      <c r="Y41" s="689" t="n"/>
      <c r="Z41" s="689" t="n"/>
      <c r="AA41" s="689" t="n"/>
      <c r="AB41" s="689" t="n"/>
      <c r="AC41" s="689" t="n"/>
      <c r="AD41" s="689" t="n"/>
      <c r="AY41" s="692" t="n"/>
      <c r="AZ41" s="692" t="n"/>
      <c r="BA41" s="692" t="n"/>
      <c r="BB41" s="692" t="n"/>
      <c r="BC41" s="692" t="n"/>
      <c r="BD41" s="692" t="n"/>
      <c r="BE41" s="692" t="n"/>
      <c r="BF41" s="692" t="n"/>
      <c r="BG41" s="692" t="n"/>
      <c r="BH41" s="692" t="n"/>
      <c r="BI41" s="692" t="n"/>
      <c r="BJ41" s="692" t="n"/>
      <c r="BK41" s="692" t="n"/>
      <c r="BL41" s="692" t="n"/>
      <c r="BM41" s="692" t="n"/>
      <c r="BN41" s="692" t="n"/>
      <c r="BO41" s="692" t="n"/>
      <c r="BP41" s="692" t="n"/>
      <c r="BQ41" s="692" t="n"/>
    </row>
    <row r="42">
      <c r="A42" s="218" t="inlineStr">
        <is>
          <t>Female</t>
        </is>
      </c>
      <c r="B42" s="215" t="inlineStr">
        <is>
          <t>200 Back</t>
        </is>
      </c>
      <c r="C42" s="189" t="n">
        <v>2022</v>
      </c>
      <c r="D42" s="215" t="inlineStr">
        <is>
          <t>IND</t>
        </is>
      </c>
      <c r="E42" s="219" t="n">
        <v>2</v>
      </c>
      <c r="F42" s="215" t="inlineStr">
        <is>
          <t>2:19.79</t>
        </is>
      </c>
      <c r="G42" s="215" t="n">
        <v>1996</v>
      </c>
      <c r="H42" s="215">
        <f>C42-G42</f>
        <v/>
      </c>
      <c r="I42" s="215" t="inlineStr">
        <is>
          <t>Nurul Fajar Fitriati</t>
        </is>
      </c>
      <c r="J42" s="215" t="n"/>
      <c r="K42" s="215" t="n"/>
      <c r="L42" s="217" t="n"/>
      <c r="M42" s="689" t="n"/>
      <c r="P42" s="227" t="n"/>
      <c r="Q42" s="689" t="n"/>
      <c r="R42" s="689" t="n"/>
      <c r="S42" s="689" t="n"/>
      <c r="T42" s="689" t="n"/>
      <c r="U42" s="689" t="n"/>
      <c r="V42" s="689" t="n"/>
      <c r="W42" s="689" t="n"/>
      <c r="X42" s="689" t="n"/>
      <c r="Y42" s="689" t="n"/>
      <c r="Z42" s="689" t="n"/>
      <c r="AA42" s="689" t="n"/>
      <c r="AB42" s="689" t="n"/>
      <c r="AC42" s="689" t="n"/>
      <c r="AD42" s="689" t="n"/>
      <c r="AY42" s="692" t="n"/>
      <c r="AZ42" s="692" t="n"/>
      <c r="BA42" s="692" t="n"/>
      <c r="BB42" s="692" t="n"/>
      <c r="BC42" s="692" t="n"/>
      <c r="BD42" s="692" t="n"/>
      <c r="BE42" s="692" t="n"/>
      <c r="BF42" s="692" t="n"/>
      <c r="BG42" s="692" t="n"/>
      <c r="BH42" s="692" t="n"/>
      <c r="BI42" s="692" t="n"/>
      <c r="BJ42" s="692" t="n"/>
      <c r="BK42" s="692" t="n"/>
      <c r="BL42" s="692" t="n"/>
      <c r="BM42" s="692" t="n"/>
      <c r="BN42" s="692" t="n"/>
      <c r="BO42" s="692" t="n"/>
      <c r="BP42" s="692" t="n"/>
      <c r="BQ42" s="692" t="n"/>
    </row>
    <row r="43">
      <c r="A43" s="220" t="inlineStr">
        <is>
          <t>Female</t>
        </is>
      </c>
      <c r="B43" s="211" t="inlineStr">
        <is>
          <t>200 Back</t>
        </is>
      </c>
      <c r="C43" s="190" t="n">
        <v>2022</v>
      </c>
      <c r="D43" s="211" t="inlineStr">
        <is>
          <t>THA</t>
        </is>
      </c>
      <c r="E43" s="221" t="n">
        <v>3</v>
      </c>
      <c r="F43" s="211" t="inlineStr">
        <is>
          <t>2:19.90</t>
        </is>
      </c>
      <c r="G43" s="211" t="n">
        <v>2007</v>
      </c>
      <c r="H43" s="211">
        <f>C43-G43</f>
        <v/>
      </c>
      <c r="I43" s="211" t="inlineStr">
        <is>
          <t>Millar Mia</t>
        </is>
      </c>
      <c r="J43" s="211" t="n"/>
      <c r="K43" s="211" t="n"/>
      <c r="L43" s="213" t="n"/>
      <c r="M43" s="689" t="n"/>
      <c r="P43" s="227" t="n"/>
      <c r="Q43" s="689" t="n"/>
      <c r="R43" s="689" t="n"/>
      <c r="S43" s="689" t="n"/>
      <c r="T43" s="689" t="n"/>
      <c r="U43" s="689" t="n"/>
      <c r="V43" s="689" t="n"/>
      <c r="W43" s="689" t="n"/>
      <c r="X43" s="689" t="n"/>
      <c r="Y43" s="689" t="n"/>
      <c r="Z43" s="689" t="n"/>
      <c r="AA43" s="689" t="n"/>
      <c r="AB43" s="689" t="n"/>
      <c r="AC43" s="689" t="n"/>
      <c r="AD43" s="689" t="n"/>
      <c r="AY43" s="692" t="n"/>
      <c r="AZ43" s="692" t="n"/>
      <c r="BA43" s="692" t="n"/>
      <c r="BB43" s="692" t="n"/>
      <c r="BC43" s="692" t="n"/>
      <c r="BD43" s="692" t="n"/>
      <c r="BE43" s="692" t="n"/>
      <c r="BF43" s="692" t="n"/>
      <c r="BG43" s="692" t="n"/>
      <c r="BH43" s="692" t="n"/>
      <c r="BI43" s="692" t="n"/>
      <c r="BJ43" s="692" t="n"/>
      <c r="BK43" s="692" t="n"/>
      <c r="BL43" s="692" t="n"/>
      <c r="BM43" s="692" t="n"/>
      <c r="BN43" s="692" t="n"/>
      <c r="BO43" s="692" t="n"/>
      <c r="BP43" s="692" t="n"/>
      <c r="BQ43" s="692" t="n"/>
    </row>
    <row r="44">
      <c r="A44" s="218" t="inlineStr">
        <is>
          <t>Female</t>
        </is>
      </c>
      <c r="B44" s="215" t="inlineStr">
        <is>
          <t>200 Back</t>
        </is>
      </c>
      <c r="C44" s="189" t="n">
        <v>2023</v>
      </c>
      <c r="D44" s="215" t="inlineStr">
        <is>
          <t>PHI</t>
        </is>
      </c>
      <c r="E44" s="219" t="n">
        <v>1</v>
      </c>
      <c r="F44" s="215" t="inlineStr">
        <is>
          <t>2:13.20</t>
        </is>
      </c>
      <c r="G44" s="215" t="n">
        <v>2001</v>
      </c>
      <c r="H44" s="215">
        <f>C44-G44</f>
        <v/>
      </c>
      <c r="I44" s="215" t="inlineStr">
        <is>
          <t>Xiandi Chua</t>
        </is>
      </c>
      <c r="J44" s="215" t="n"/>
      <c r="K44" s="215" t="n"/>
      <c r="L44" s="217" t="n"/>
      <c r="M44" s="689" t="n"/>
      <c r="P44" s="227" t="n"/>
      <c r="Q44" s="689" t="n"/>
      <c r="R44" s="689" t="n"/>
      <c r="S44" s="689" t="n"/>
      <c r="T44" s="689" t="n"/>
      <c r="U44" s="689" t="n"/>
      <c r="V44" s="689" t="n"/>
      <c r="W44" s="689" t="n"/>
      <c r="X44" s="689" t="n"/>
      <c r="Y44" s="689" t="n"/>
      <c r="Z44" s="689" t="n"/>
      <c r="AA44" s="689" t="n"/>
      <c r="AB44" s="689" t="n"/>
      <c r="AC44" s="689" t="n"/>
      <c r="AD44" s="689" t="n"/>
      <c r="AY44" s="692" t="n"/>
      <c r="AZ44" s="692" t="n"/>
      <c r="BA44" s="692" t="n"/>
      <c r="BB44" s="692" t="n"/>
      <c r="BC44" s="692" t="n"/>
      <c r="BD44" s="692" t="n"/>
      <c r="BE44" s="692" t="n"/>
      <c r="BF44" s="692" t="n"/>
      <c r="BG44" s="692" t="n"/>
      <c r="BH44" s="692" t="n"/>
      <c r="BI44" s="692" t="n"/>
      <c r="BJ44" s="692" t="n"/>
      <c r="BK44" s="692" t="n"/>
      <c r="BL44" s="692" t="n"/>
      <c r="BM44" s="692" t="n"/>
      <c r="BN44" s="692" t="n"/>
      <c r="BO44" s="692" t="n"/>
      <c r="BP44" s="692" t="n"/>
      <c r="BQ44" s="692" t="n"/>
    </row>
    <row r="45">
      <c r="A45" s="220" t="inlineStr">
        <is>
          <t>Female</t>
        </is>
      </c>
      <c r="B45" s="211" t="inlineStr">
        <is>
          <t>200 Back</t>
        </is>
      </c>
      <c r="C45" s="190" t="n">
        <v>2023</v>
      </c>
      <c r="D45" s="211" t="inlineStr">
        <is>
          <t>PHI</t>
        </is>
      </c>
      <c r="E45" s="221" t="n">
        <v>2</v>
      </c>
      <c r="F45" s="211" t="inlineStr">
        <is>
          <t>2:16.19</t>
        </is>
      </c>
      <c r="G45" s="211" t="n">
        <v>1998</v>
      </c>
      <c r="H45" s="211">
        <f>C45-G45</f>
        <v/>
      </c>
      <c r="I45" s="211" t="inlineStr">
        <is>
          <t>Chloe Kennedy Anne Isleta</t>
        </is>
      </c>
      <c r="J45" s="211" t="inlineStr">
        <is>
          <t>ASU</t>
        </is>
      </c>
      <c r="K45" s="211" t="inlineStr">
        <is>
          <t>USA</t>
        </is>
      </c>
      <c r="L45" s="213" t="inlineStr">
        <is>
          <t>USA</t>
        </is>
      </c>
      <c r="M45" s="689" t="n"/>
      <c r="P45" s="227" t="n"/>
      <c r="Q45" s="689" t="n"/>
      <c r="R45" s="689" t="n"/>
      <c r="S45" s="689" t="n"/>
      <c r="T45" s="689" t="n"/>
      <c r="U45" s="689" t="n"/>
      <c r="V45" s="689" t="n"/>
      <c r="W45" s="689" t="n"/>
      <c r="X45" s="689" t="n"/>
      <c r="Y45" s="689" t="n"/>
      <c r="Z45" s="689" t="n"/>
      <c r="AA45" s="689" t="n"/>
      <c r="AB45" s="689" t="n"/>
      <c r="AC45" s="689" t="n"/>
      <c r="AD45" s="689" t="n"/>
      <c r="AY45" s="692" t="n"/>
      <c r="AZ45" s="692" t="n"/>
      <c r="BA45" s="692" t="n"/>
      <c r="BB45" s="692" t="n"/>
      <c r="BC45" s="692" t="n"/>
      <c r="BD45" s="692" t="n"/>
      <c r="BE45" s="692" t="n"/>
      <c r="BF45" s="692" t="n"/>
      <c r="BG45" s="692" t="n"/>
      <c r="BH45" s="692" t="n"/>
      <c r="BI45" s="692" t="n"/>
      <c r="BJ45" s="692" t="n"/>
      <c r="BK45" s="692" t="n"/>
      <c r="BL45" s="692" t="n"/>
      <c r="BM45" s="692" t="n"/>
      <c r="BN45" s="692" t="n"/>
      <c r="BO45" s="692" t="n"/>
      <c r="BP45" s="692" t="n"/>
      <c r="BQ45" s="692" t="n"/>
    </row>
    <row r="46">
      <c r="A46" s="218" t="inlineStr">
        <is>
          <t>Female</t>
        </is>
      </c>
      <c r="B46" s="215" t="inlineStr">
        <is>
          <t>200 Back</t>
        </is>
      </c>
      <c r="C46" s="189" t="n">
        <v>2023</v>
      </c>
      <c r="D46" s="215" t="inlineStr">
        <is>
          <t>THA</t>
        </is>
      </c>
      <c r="E46" s="219" t="n">
        <v>3</v>
      </c>
      <c r="F46" s="215" t="inlineStr">
        <is>
          <t>2:17.95</t>
        </is>
      </c>
      <c r="G46" s="215" t="n">
        <v>2000</v>
      </c>
      <c r="H46" s="215">
        <f>C46-G46</f>
        <v/>
      </c>
      <c r="I46" s="215" t="inlineStr">
        <is>
          <t>Fonpray Yamsuan</t>
        </is>
      </c>
      <c r="J46" s="215" t="n"/>
      <c r="K46" s="215" t="n"/>
      <c r="L46" s="217" t="n"/>
      <c r="M46" s="689" t="n"/>
      <c r="P46" s="227" t="n"/>
      <c r="Q46" s="689" t="n"/>
      <c r="R46" s="689" t="n"/>
      <c r="S46" s="689" t="n"/>
      <c r="T46" s="689" t="n"/>
      <c r="U46" s="689" t="n"/>
      <c r="V46" s="689" t="n"/>
      <c r="W46" s="689" t="n"/>
      <c r="X46" s="689" t="n"/>
      <c r="Y46" s="689" t="n"/>
      <c r="Z46" s="689" t="n"/>
      <c r="AA46" s="689" t="n"/>
      <c r="AB46" s="689" t="n"/>
      <c r="AC46" s="689" t="n"/>
      <c r="AD46" s="689" t="n"/>
      <c r="AY46" s="692" t="n"/>
      <c r="AZ46" s="692" t="n"/>
      <c r="BA46" s="692" t="n"/>
      <c r="BB46" s="692" t="n"/>
      <c r="BC46" s="692" t="n"/>
      <c r="BD46" s="692" t="n"/>
      <c r="BE46" s="692" t="n"/>
      <c r="BF46" s="692" t="n"/>
      <c r="BG46" s="692" t="n"/>
      <c r="BH46" s="692" t="n"/>
      <c r="BI46" s="692" t="n"/>
      <c r="BJ46" s="692" t="n"/>
      <c r="BK46" s="692" t="n"/>
      <c r="BL46" s="692" t="n"/>
      <c r="BM46" s="692" t="n"/>
      <c r="BN46" s="692" t="n"/>
      <c r="BO46" s="692" t="n"/>
      <c r="BP46" s="692" t="n"/>
      <c r="BQ46" s="692" t="n"/>
    </row>
    <row r="47">
      <c r="A47" s="220" t="inlineStr">
        <is>
          <t>Female</t>
        </is>
      </c>
      <c r="B47" s="211" t="inlineStr">
        <is>
          <t>200 Breast</t>
        </is>
      </c>
      <c r="C47" s="190" t="n">
        <v>2019</v>
      </c>
      <c r="D47" s="211" t="inlineStr">
        <is>
          <t>SGP</t>
        </is>
      </c>
      <c r="E47" s="221" t="n">
        <v>1</v>
      </c>
      <c r="F47" s="211" t="inlineStr">
        <is>
          <t>2:28.71</t>
        </is>
      </c>
      <c r="G47" s="211" t="n">
        <v>2000</v>
      </c>
      <c r="H47" s="211">
        <f>C47-G47</f>
        <v/>
      </c>
      <c r="I47" s="211" t="inlineStr">
        <is>
          <t>Christie May Mun EE Chue</t>
        </is>
      </c>
      <c r="J47" s="211" t="inlineStr">
        <is>
          <t>FIU</t>
        </is>
      </c>
      <c r="K47" s="211" t="inlineStr">
        <is>
          <t>USA</t>
        </is>
      </c>
      <c r="L47" s="213" t="n"/>
      <c r="M47" s="689" t="n"/>
      <c r="P47" s="227" t="n"/>
      <c r="Q47" s="689" t="n"/>
      <c r="R47" s="689" t="n"/>
      <c r="S47" s="689" t="n"/>
      <c r="T47" s="689" t="n"/>
      <c r="U47" s="689" t="n"/>
      <c r="V47" s="689" t="n"/>
      <c r="W47" s="689" t="n"/>
      <c r="X47" s="689" t="n"/>
      <c r="Y47" s="689" t="n"/>
      <c r="Z47" s="689" t="n"/>
      <c r="AA47" s="689" t="n"/>
      <c r="AB47" s="689" t="n"/>
      <c r="AC47" s="689" t="n"/>
      <c r="AD47" s="689" t="n"/>
      <c r="AY47" s="692" t="n"/>
      <c r="AZ47" s="692" t="n"/>
      <c r="BA47" s="692" t="n"/>
      <c r="BB47" s="692" t="n"/>
      <c r="BC47" s="692" t="n"/>
      <c r="BD47" s="692" t="n"/>
      <c r="BE47" s="692" t="n"/>
      <c r="BF47" s="692" t="n"/>
      <c r="BG47" s="692" t="n"/>
      <c r="BH47" s="692" t="n"/>
      <c r="BI47" s="692" t="n"/>
      <c r="BJ47" s="692" t="n"/>
      <c r="BK47" s="692" t="n"/>
      <c r="BL47" s="692" t="n"/>
      <c r="BM47" s="692" t="n"/>
      <c r="BN47" s="692" t="n"/>
      <c r="BO47" s="692" t="n"/>
      <c r="BP47" s="692" t="n"/>
      <c r="BQ47" s="692" t="n"/>
    </row>
    <row r="48">
      <c r="A48" s="218" t="inlineStr">
        <is>
          <t>Female</t>
        </is>
      </c>
      <c r="B48" s="215" t="inlineStr">
        <is>
          <t>200 Breast</t>
        </is>
      </c>
      <c r="C48" s="189" t="n">
        <v>2019</v>
      </c>
      <c r="D48" s="215" t="inlineStr">
        <is>
          <t>THA</t>
        </is>
      </c>
      <c r="E48" s="219" t="n">
        <v>2</v>
      </c>
      <c r="F48" s="215" t="inlineStr">
        <is>
          <t>2:31.47</t>
        </is>
      </c>
      <c r="G48" s="215" t="n">
        <v>1996</v>
      </c>
      <c r="H48" s="215">
        <f>C48-G48</f>
        <v/>
      </c>
      <c r="I48" s="215" t="inlineStr">
        <is>
          <t>Phiangkhwan Pawapotako</t>
        </is>
      </c>
      <c r="J48" s="215" t="n"/>
      <c r="K48" s="215" t="n"/>
      <c r="L48" s="217" t="n"/>
      <c r="M48" s="689" t="n"/>
      <c r="P48" s="227" t="n"/>
      <c r="Q48" s="689" t="n"/>
      <c r="R48" s="689" t="n"/>
      <c r="S48" s="689" t="n"/>
      <c r="T48" s="689" t="n"/>
      <c r="U48" s="689" t="n"/>
      <c r="V48" s="689" t="n"/>
      <c r="W48" s="689" t="n"/>
      <c r="X48" s="689" t="n"/>
      <c r="Y48" s="689" t="n"/>
      <c r="Z48" s="689" t="n"/>
      <c r="AA48" s="689" t="n"/>
      <c r="AB48" s="689" t="n"/>
      <c r="AC48" s="689" t="n"/>
      <c r="AD48" s="689" t="n"/>
      <c r="AF48" s="233" t="n"/>
      <c r="AG48" s="233" t="n"/>
      <c r="AH48" s="233" t="n"/>
      <c r="AI48" s="233" t="n"/>
      <c r="AJ48" s="233" t="n"/>
      <c r="AK48" s="233" t="n"/>
      <c r="AL48" s="233" t="n"/>
      <c r="AM48" s="233" t="n"/>
      <c r="AN48" s="233" t="n"/>
      <c r="AO48" s="233" t="n"/>
      <c r="AP48" s="233" t="n"/>
      <c r="AQ48" s="233" t="n"/>
      <c r="AR48" s="233" t="n"/>
      <c r="AS48" s="233" t="n"/>
      <c r="AT48" s="233" t="n"/>
      <c r="AU48" s="233" t="n"/>
      <c r="AV48" s="233" t="n"/>
      <c r="AW48" s="233" t="n"/>
      <c r="AX48" s="233" t="n"/>
      <c r="AY48" s="692" t="n"/>
      <c r="AZ48" s="692" t="n"/>
      <c r="BA48" s="692" t="n"/>
      <c r="BB48" s="692" t="n"/>
      <c r="BC48" s="692" t="n"/>
      <c r="BD48" s="692" t="n"/>
      <c r="BE48" s="692" t="n"/>
      <c r="BF48" s="692" t="n"/>
      <c r="BG48" s="692" t="n"/>
      <c r="BH48" s="692" t="n"/>
      <c r="BI48" s="692" t="n"/>
      <c r="BJ48" s="692" t="n"/>
      <c r="BK48" s="692" t="n"/>
      <c r="BL48" s="692" t="n"/>
      <c r="BM48" s="692" t="n"/>
      <c r="BN48" s="692" t="n"/>
      <c r="BO48" s="692" t="n"/>
      <c r="BP48" s="692" t="n"/>
      <c r="BQ48" s="692" t="n"/>
    </row>
    <row r="49">
      <c r="A49" s="220" t="inlineStr">
        <is>
          <t>Female</t>
        </is>
      </c>
      <c r="B49" s="211" t="inlineStr">
        <is>
          <t>200 Breast</t>
        </is>
      </c>
      <c r="C49" s="190" t="n">
        <v>2019</v>
      </c>
      <c r="D49" s="211" t="inlineStr">
        <is>
          <t>MAS</t>
        </is>
      </c>
      <c r="E49" s="221" t="n">
        <v>3</v>
      </c>
      <c r="F49" s="211" t="inlineStr">
        <is>
          <t>2:32.38</t>
        </is>
      </c>
      <c r="G49" s="211" t="n">
        <v>1997</v>
      </c>
      <c r="H49" s="211">
        <f>C49-G49</f>
        <v/>
      </c>
      <c r="I49" s="211" t="inlineStr">
        <is>
          <t>Phee Jinq EN</t>
        </is>
      </c>
      <c r="J49" s="211" t="inlineStr">
        <is>
          <t>Purdue</t>
        </is>
      </c>
      <c r="K49" s="211" t="inlineStr">
        <is>
          <t>USA</t>
        </is>
      </c>
      <c r="L49" s="213" t="n"/>
      <c r="M49" s="689" t="n"/>
      <c r="P49" s="227" t="n"/>
      <c r="Q49" s="689" t="n"/>
      <c r="R49" s="689" t="n"/>
      <c r="S49" s="689" t="n"/>
      <c r="T49" s="689" t="n"/>
      <c r="U49" s="689" t="n"/>
      <c r="V49" s="689" t="n"/>
      <c r="W49" s="689" t="n"/>
      <c r="X49" s="689" t="n"/>
      <c r="Y49" s="689" t="n"/>
      <c r="Z49" s="689" t="n"/>
      <c r="AA49" s="689" t="n"/>
      <c r="AB49" s="689" t="n"/>
      <c r="AC49" s="689" t="n"/>
      <c r="AD49" s="689" t="n"/>
      <c r="AF49" s="233" t="n"/>
      <c r="AG49" s="233" t="n"/>
      <c r="AH49" s="233" t="n"/>
      <c r="AI49" s="233" t="n"/>
      <c r="AJ49" s="233" t="n"/>
      <c r="AK49" s="233" t="n"/>
      <c r="AL49" s="233" t="n"/>
      <c r="AM49" s="233" t="n"/>
      <c r="AN49" s="233" t="n"/>
      <c r="AO49" s="233" t="n"/>
      <c r="AP49" s="233" t="n"/>
      <c r="AQ49" s="233" t="n"/>
      <c r="AR49" s="233" t="n"/>
      <c r="AS49" s="233" t="n"/>
      <c r="AT49" s="233" t="n"/>
      <c r="AU49" s="233" t="n"/>
      <c r="AV49" s="233" t="n"/>
      <c r="AW49" s="233" t="n"/>
      <c r="AX49" s="233" t="n"/>
      <c r="AY49" s="692" t="n"/>
      <c r="AZ49" s="692" t="n"/>
      <c r="BA49" s="692" t="n"/>
      <c r="BB49" s="692" t="n"/>
      <c r="BC49" s="692" t="n"/>
      <c r="BD49" s="692" t="n"/>
      <c r="BE49" s="692" t="n"/>
      <c r="BF49" s="692" t="n"/>
      <c r="BG49" s="692" t="n"/>
      <c r="BH49" s="692" t="n"/>
      <c r="BI49" s="692" t="n"/>
      <c r="BJ49" s="692" t="n"/>
      <c r="BK49" s="692" t="n"/>
      <c r="BL49" s="692" t="n"/>
      <c r="BM49" s="692" t="n"/>
      <c r="BN49" s="692" t="n"/>
      <c r="BO49" s="692" t="n"/>
      <c r="BP49" s="692" t="n"/>
      <c r="BQ49" s="692" t="n"/>
    </row>
    <row r="50">
      <c r="A50" s="218" t="inlineStr">
        <is>
          <t>Female</t>
        </is>
      </c>
      <c r="B50" s="215" t="inlineStr">
        <is>
          <t>200 Breast</t>
        </is>
      </c>
      <c r="C50" s="189" t="n">
        <v>2022</v>
      </c>
      <c r="D50" s="215" t="inlineStr">
        <is>
          <t>THA</t>
        </is>
      </c>
      <c r="E50" s="219" t="n">
        <v>1</v>
      </c>
      <c r="F50" s="215" t="inlineStr">
        <is>
          <t>2:30.24</t>
        </is>
      </c>
      <c r="G50" s="215" t="n">
        <v>1996</v>
      </c>
      <c r="H50" s="195">
        <f>C50-G50</f>
        <v/>
      </c>
      <c r="I50" s="215" t="inlineStr">
        <is>
          <t>Phiangkhwan PAWAPOTAKO</t>
        </is>
      </c>
      <c r="J50" s="215" t="n"/>
      <c r="K50" s="215" t="n"/>
      <c r="L50" s="217" t="n"/>
      <c r="M50" s="689" t="n"/>
      <c r="P50" s="227" t="n"/>
      <c r="Q50" s="689" t="n"/>
      <c r="R50" s="689" t="n"/>
      <c r="S50" s="689" t="n"/>
      <c r="T50" s="689" t="n"/>
      <c r="U50" s="689" t="n"/>
      <c r="V50" s="689" t="n"/>
      <c r="W50" s="689" t="n"/>
      <c r="X50" s="689" t="n"/>
      <c r="Y50" s="689" t="n"/>
      <c r="Z50" s="689" t="n"/>
      <c r="AA50" s="689" t="n"/>
      <c r="AB50" s="689" t="n"/>
      <c r="AC50" s="689" t="n"/>
      <c r="AD50" s="689" t="n"/>
      <c r="AF50" s="233" t="n"/>
      <c r="AG50" s="233" t="n"/>
      <c r="AH50" s="233" t="n"/>
      <c r="AI50" s="233" t="n"/>
      <c r="AJ50" s="233" t="n"/>
      <c r="AK50" s="233" t="n"/>
      <c r="AL50" s="233" t="n"/>
      <c r="AM50" s="233" t="n"/>
      <c r="AN50" s="233" t="n"/>
      <c r="AO50" s="233" t="n"/>
      <c r="AP50" s="233" t="n"/>
      <c r="AQ50" s="233" t="n"/>
      <c r="AR50" s="233" t="n"/>
      <c r="AS50" s="233" t="n"/>
      <c r="AT50" s="233" t="n"/>
      <c r="AU50" s="233" t="n"/>
      <c r="AV50" s="233" t="n"/>
      <c r="AW50" s="233" t="n"/>
      <c r="AX50" s="233" t="n"/>
      <c r="AY50" s="692" t="n"/>
      <c r="AZ50" s="692" t="n"/>
      <c r="BA50" s="692" t="n"/>
      <c r="BB50" s="692" t="n"/>
      <c r="BC50" s="692" t="n"/>
      <c r="BD50" s="692" t="n"/>
      <c r="BE50" s="692" t="n"/>
      <c r="BF50" s="692" t="n"/>
      <c r="BG50" s="692" t="n"/>
      <c r="BH50" s="692" t="n"/>
      <c r="BI50" s="692" t="n"/>
      <c r="BJ50" s="692" t="n"/>
      <c r="BK50" s="692" t="n"/>
      <c r="BL50" s="692" t="n"/>
      <c r="BM50" s="692" t="n"/>
      <c r="BN50" s="692" t="n"/>
      <c r="BO50" s="692" t="n"/>
      <c r="BP50" s="692" t="n"/>
      <c r="BQ50" s="692" t="n"/>
    </row>
    <row r="51">
      <c r="A51" s="220" t="inlineStr">
        <is>
          <t>Female</t>
        </is>
      </c>
      <c r="B51" s="211" t="inlineStr">
        <is>
          <t>200 Breast</t>
        </is>
      </c>
      <c r="C51" s="190" t="n">
        <v>2022</v>
      </c>
      <c r="D51" s="211" t="inlineStr">
        <is>
          <t>SGP</t>
        </is>
      </c>
      <c r="E51" s="221" t="n">
        <v>2</v>
      </c>
      <c r="F51" s="211" t="inlineStr">
        <is>
          <t>2:31.89</t>
        </is>
      </c>
      <c r="G51" s="211" t="n">
        <v>2000</v>
      </c>
      <c r="H51" s="211">
        <f>C51-G51</f>
        <v/>
      </c>
      <c r="I51" s="211" t="inlineStr">
        <is>
          <t>Christie May Mun EE Chue</t>
        </is>
      </c>
      <c r="J51" s="211" t="inlineStr">
        <is>
          <t>FIU</t>
        </is>
      </c>
      <c r="K51" s="211" t="inlineStr">
        <is>
          <t>USA</t>
        </is>
      </c>
      <c r="L51" s="213" t="n"/>
      <c r="M51" s="689" t="n"/>
      <c r="P51" s="227" t="n"/>
      <c r="Q51" s="689" t="n"/>
      <c r="R51" s="689" t="n"/>
      <c r="S51" s="689" t="n"/>
      <c r="T51" s="689" t="n"/>
      <c r="U51" s="689" t="n"/>
      <c r="V51" s="689" t="n"/>
      <c r="W51" s="689" t="n"/>
      <c r="X51" s="689" t="n"/>
      <c r="Y51" s="689" t="n"/>
      <c r="Z51" s="689" t="n"/>
      <c r="AA51" s="689" t="n"/>
      <c r="AB51" s="689" t="n"/>
      <c r="AC51" s="689" t="n"/>
      <c r="AD51" s="689" t="n"/>
      <c r="AF51" s="233" t="n"/>
      <c r="AG51" s="233" t="n"/>
      <c r="AH51" s="233" t="n"/>
      <c r="AI51" s="233" t="n"/>
      <c r="AJ51" s="233" t="n"/>
      <c r="AK51" s="233" t="n"/>
      <c r="AL51" s="233" t="n"/>
      <c r="AM51" s="233" t="n"/>
      <c r="AN51" s="233" t="n"/>
      <c r="AO51" s="233" t="n"/>
      <c r="AP51" s="233" t="n"/>
      <c r="AQ51" s="233" t="n"/>
      <c r="AR51" s="233" t="n"/>
      <c r="AS51" s="233" t="n"/>
      <c r="AT51" s="233" t="n"/>
      <c r="AU51" s="233" t="n"/>
      <c r="AV51" s="233" t="n"/>
      <c r="AW51" s="233" t="n"/>
      <c r="AX51" s="233" t="n"/>
      <c r="AY51" s="692" t="n"/>
      <c r="AZ51" s="692" t="n"/>
      <c r="BA51" s="692" t="n"/>
      <c r="BB51" s="692" t="n"/>
      <c r="BC51" s="692" t="n"/>
      <c r="BD51" s="692" t="n"/>
      <c r="BE51" s="692" t="n"/>
      <c r="BF51" s="692" t="n"/>
      <c r="BG51" s="692" t="n"/>
      <c r="BH51" s="692" t="n"/>
      <c r="BI51" s="692" t="n"/>
      <c r="BJ51" s="692" t="n"/>
      <c r="BK51" s="692" t="n"/>
      <c r="BL51" s="692" t="n"/>
      <c r="BM51" s="692" t="n"/>
      <c r="BN51" s="692" t="n"/>
      <c r="BO51" s="692" t="n"/>
      <c r="BP51" s="692" t="n"/>
      <c r="BQ51" s="692" t="n"/>
    </row>
    <row r="52">
      <c r="A52" s="218" t="inlineStr">
        <is>
          <t>Female</t>
        </is>
      </c>
      <c r="B52" s="215" t="inlineStr">
        <is>
          <t>200 Breast</t>
        </is>
      </c>
      <c r="C52" s="189" t="n">
        <v>2022</v>
      </c>
      <c r="D52" s="215" t="inlineStr">
        <is>
          <t>SGP</t>
        </is>
      </c>
      <c r="E52" s="219" t="n">
        <v>3</v>
      </c>
      <c r="F52" s="215" t="inlineStr">
        <is>
          <t>2:31.97</t>
        </is>
      </c>
      <c r="G52" s="195" t="n">
        <v>2003</v>
      </c>
      <c r="H52" s="195">
        <f>C52-G52</f>
        <v/>
      </c>
      <c r="I52" s="200" t="inlineStr">
        <is>
          <t>Letitia EN YI Sim</t>
        </is>
      </c>
      <c r="J52" s="200" t="inlineStr">
        <is>
          <t>Michigan</t>
        </is>
      </c>
      <c r="K52" s="200" t="inlineStr">
        <is>
          <t>USA</t>
        </is>
      </c>
      <c r="L52" s="207" t="inlineStr">
        <is>
          <t>USA</t>
        </is>
      </c>
      <c r="M52" s="689" t="n"/>
      <c r="P52" s="227" t="n"/>
      <c r="Q52" s="689" t="n"/>
      <c r="R52" s="689" t="n"/>
      <c r="S52" s="689" t="n"/>
      <c r="T52" s="689" t="n"/>
      <c r="U52" s="689" t="n"/>
      <c r="V52" s="689" t="n"/>
      <c r="W52" s="689" t="n"/>
      <c r="X52" s="689" t="n"/>
      <c r="Y52" s="689" t="n"/>
      <c r="Z52" s="689" t="n"/>
      <c r="AA52" s="689" t="n"/>
      <c r="AB52" s="689" t="n"/>
      <c r="AC52" s="689" t="n"/>
      <c r="AD52" s="689" t="n"/>
      <c r="AF52" s="233" t="n"/>
      <c r="AG52" s="233" t="n"/>
      <c r="AH52" s="233" t="n"/>
      <c r="AI52" s="233" t="n"/>
      <c r="AJ52" s="233" t="n"/>
      <c r="AK52" s="233" t="n"/>
      <c r="AL52" s="233" t="n"/>
      <c r="AM52" s="233" t="n"/>
      <c r="AN52" s="233" t="n"/>
      <c r="AO52" s="233" t="n"/>
      <c r="AP52" s="233" t="n"/>
      <c r="AQ52" s="233" t="n"/>
      <c r="AR52" s="233" t="n"/>
      <c r="AS52" s="233" t="n"/>
      <c r="AT52" s="233" t="n"/>
      <c r="AU52" s="233" t="n"/>
      <c r="AV52" s="233" t="n"/>
      <c r="AW52" s="233" t="n"/>
      <c r="AX52" s="233" t="n"/>
      <c r="AY52" s="692" t="n"/>
      <c r="AZ52" s="692" t="n"/>
      <c r="BA52" s="692" t="n"/>
      <c r="BB52" s="692" t="n"/>
      <c r="BC52" s="692" t="n"/>
      <c r="BD52" s="692" t="n"/>
      <c r="BE52" s="692" t="n"/>
      <c r="BF52" s="692" t="n"/>
      <c r="BG52" s="692" t="n"/>
      <c r="BH52" s="692" t="n"/>
      <c r="BI52" s="692" t="n"/>
      <c r="BJ52" s="692" t="n"/>
      <c r="BK52" s="692" t="n"/>
      <c r="BL52" s="692" t="n"/>
      <c r="BM52" s="692" t="n"/>
      <c r="BN52" s="692" t="n"/>
      <c r="BO52" s="692" t="n"/>
      <c r="BP52" s="692" t="n"/>
      <c r="BQ52" s="692" t="n"/>
    </row>
    <row r="53">
      <c r="A53" s="220" t="inlineStr">
        <is>
          <t>Female</t>
        </is>
      </c>
      <c r="B53" s="211" t="inlineStr">
        <is>
          <t>200 Breast</t>
        </is>
      </c>
      <c r="C53" s="190" t="n">
        <v>2023</v>
      </c>
      <c r="D53" s="211" t="inlineStr">
        <is>
          <t>SGP</t>
        </is>
      </c>
      <c r="E53" s="221" t="n">
        <v>1</v>
      </c>
      <c r="F53" s="211" t="inlineStr">
        <is>
          <t>2:28.49</t>
        </is>
      </c>
      <c r="G53" s="211" t="n">
        <v>2003</v>
      </c>
      <c r="H53" s="211">
        <f>C53-G53</f>
        <v/>
      </c>
      <c r="I53" s="211" t="inlineStr">
        <is>
          <t>Letitia EN YI Sim</t>
        </is>
      </c>
      <c r="J53" s="211" t="inlineStr">
        <is>
          <t>Michigan</t>
        </is>
      </c>
      <c r="K53" s="211" t="inlineStr">
        <is>
          <t>USA</t>
        </is>
      </c>
      <c r="L53" s="213" t="inlineStr">
        <is>
          <t>USA</t>
        </is>
      </c>
      <c r="M53" s="689" t="n"/>
      <c r="P53" s="227" t="n"/>
      <c r="Q53" s="689" t="n"/>
      <c r="R53" s="689" t="n"/>
      <c r="S53" s="689" t="n"/>
      <c r="T53" s="689" t="n"/>
      <c r="U53" s="689" t="n"/>
      <c r="V53" s="689" t="n"/>
      <c r="W53" s="689" t="n"/>
      <c r="X53" s="689" t="n"/>
      <c r="Y53" s="689" t="n"/>
      <c r="Z53" s="689" t="n"/>
      <c r="AA53" s="689" t="n"/>
      <c r="AB53" s="689" t="n"/>
      <c r="AC53" s="689" t="n"/>
      <c r="AD53" s="689" t="n"/>
      <c r="AF53" s="233" t="n"/>
      <c r="AG53" s="233" t="n"/>
      <c r="AH53" s="233" t="n"/>
      <c r="AI53" s="233" t="n"/>
      <c r="AJ53" s="233" t="n"/>
      <c r="AK53" s="233" t="n"/>
      <c r="AL53" s="233" t="n"/>
      <c r="AM53" s="233" t="n"/>
      <c r="AN53" s="233" t="n"/>
      <c r="AO53" s="233" t="n"/>
      <c r="AP53" s="233" t="n"/>
      <c r="AQ53" s="233" t="n"/>
      <c r="AR53" s="233" t="n"/>
      <c r="AS53" s="233" t="n"/>
      <c r="AT53" s="233" t="n"/>
      <c r="AU53" s="233" t="n"/>
      <c r="AV53" s="233" t="n"/>
      <c r="AW53" s="233" t="n"/>
      <c r="AX53" s="233" t="n"/>
      <c r="AY53" s="158" t="n"/>
      <c r="AZ53" s="158" t="n"/>
      <c r="BA53" s="158" t="n"/>
      <c r="BB53" s="692" t="n"/>
      <c r="BC53" s="692" t="n"/>
      <c r="BD53" s="692" t="n"/>
      <c r="BE53" s="692" t="n"/>
      <c r="BF53" s="692" t="n"/>
      <c r="BG53" s="692" t="n"/>
      <c r="BH53" s="692" t="n"/>
      <c r="BI53" s="692" t="n"/>
      <c r="BJ53" s="692" t="n"/>
      <c r="BK53" s="692" t="n"/>
      <c r="BL53" s="692" t="n"/>
      <c r="BM53" s="692" t="n"/>
      <c r="BN53" s="692" t="n"/>
      <c r="BO53" s="692" t="n"/>
      <c r="BP53" s="692" t="n"/>
      <c r="BQ53" s="692" t="n"/>
    </row>
    <row r="54">
      <c r="A54" s="218" t="inlineStr">
        <is>
          <t>Female</t>
        </is>
      </c>
      <c r="B54" s="215" t="inlineStr">
        <is>
          <t>200 Breast</t>
        </is>
      </c>
      <c r="C54" s="189" t="n">
        <v>2023</v>
      </c>
      <c r="D54" s="215" t="inlineStr">
        <is>
          <t>THA</t>
        </is>
      </c>
      <c r="E54" s="219" t="n">
        <v>2</v>
      </c>
      <c r="F54" s="215" t="inlineStr">
        <is>
          <t>2:32.44</t>
        </is>
      </c>
      <c r="G54" s="215" t="n">
        <v>1996</v>
      </c>
      <c r="H54" s="215">
        <f>C54-G54</f>
        <v/>
      </c>
      <c r="I54" s="215" t="inlineStr">
        <is>
          <t>Phiangkhwan Pawapotako</t>
        </is>
      </c>
      <c r="J54" s="215" t="n"/>
      <c r="K54" s="215" t="n"/>
      <c r="L54" s="217" t="n"/>
      <c r="M54" s="689" t="n"/>
      <c r="P54" s="227" t="n"/>
      <c r="Q54" s="689" t="n"/>
      <c r="R54" s="689" t="n"/>
      <c r="S54" s="689" t="n"/>
      <c r="T54" s="689" t="n"/>
      <c r="U54" s="689" t="n"/>
      <c r="V54" s="689" t="n"/>
      <c r="W54" s="689" t="n"/>
      <c r="X54" s="689" t="n"/>
      <c r="Y54" s="689" t="n"/>
      <c r="Z54" s="689" t="n"/>
      <c r="AA54" s="689" t="n"/>
      <c r="AB54" s="689" t="n"/>
      <c r="AC54" s="689" t="n"/>
      <c r="AD54" s="689" t="n"/>
      <c r="AF54" s="233" t="n"/>
      <c r="AG54" s="233" t="n"/>
      <c r="AH54" s="233" t="n"/>
      <c r="AI54" s="233" t="n"/>
      <c r="AJ54" s="233" t="n"/>
      <c r="AK54" s="233" t="n"/>
      <c r="AL54" s="233" t="n"/>
      <c r="AM54" s="233" t="n"/>
      <c r="AN54" s="233" t="n"/>
      <c r="AO54" s="233" t="n"/>
      <c r="AP54" s="233" t="n"/>
      <c r="AQ54" s="233" t="n"/>
      <c r="AR54" s="233" t="n"/>
      <c r="AS54" s="233" t="n"/>
      <c r="AT54" s="233" t="n"/>
      <c r="AU54" s="233" t="n"/>
      <c r="AV54" s="233" t="n"/>
      <c r="AW54" s="233" t="n"/>
      <c r="AX54" s="233" t="n"/>
      <c r="AY54" s="692" t="n"/>
      <c r="AZ54" s="692" t="n"/>
      <c r="BA54" s="692" t="n"/>
      <c r="BB54" s="692" t="n"/>
      <c r="BC54" s="692" t="n"/>
      <c r="BD54" s="692" t="n"/>
      <c r="BE54" s="692" t="n"/>
      <c r="BF54" s="692" t="n"/>
      <c r="BG54" s="692" t="n"/>
      <c r="BH54" s="692" t="n"/>
      <c r="BI54" s="692" t="n"/>
      <c r="BJ54" s="692" t="n"/>
      <c r="BK54" s="692" t="n"/>
      <c r="BL54" s="692" t="n"/>
      <c r="BM54" s="692" t="n"/>
      <c r="BN54" s="692" t="n"/>
      <c r="BO54" s="692" t="n"/>
      <c r="BP54" s="692" t="n"/>
      <c r="BQ54" s="692" t="n"/>
    </row>
    <row r="55">
      <c r="A55" s="220" t="inlineStr">
        <is>
          <t>Female</t>
        </is>
      </c>
      <c r="B55" s="211" t="inlineStr">
        <is>
          <t>200 Breast</t>
        </is>
      </c>
      <c r="C55" s="190" t="n">
        <v>2023</v>
      </c>
      <c r="D55" s="211" t="inlineStr">
        <is>
          <t>SGP</t>
        </is>
      </c>
      <c r="E55" s="221" t="n">
        <v>3</v>
      </c>
      <c r="F55" s="211" t="inlineStr">
        <is>
          <t>2:32.60</t>
        </is>
      </c>
      <c r="G55" s="211" t="n">
        <v>2000</v>
      </c>
      <c r="H55" s="211">
        <f>C55-G55</f>
        <v/>
      </c>
      <c r="I55" s="211" t="inlineStr">
        <is>
          <t>Christie May Mun EE Chue</t>
        </is>
      </c>
      <c r="J55" s="211" t="inlineStr">
        <is>
          <t>FIU</t>
        </is>
      </c>
      <c r="K55" s="211" t="inlineStr">
        <is>
          <t>USA</t>
        </is>
      </c>
      <c r="L55" s="213" t="n"/>
      <c r="M55" s="689" t="n"/>
      <c r="P55" s="227" t="n"/>
      <c r="Q55" s="689" t="n"/>
      <c r="R55" s="689" t="n"/>
      <c r="S55" s="689" t="n"/>
      <c r="T55" s="689" t="n"/>
      <c r="U55" s="689" t="n"/>
      <c r="V55" s="689" t="n"/>
      <c r="W55" s="689" t="n"/>
      <c r="X55" s="689" t="n"/>
      <c r="Y55" s="689" t="n"/>
      <c r="Z55" s="689" t="n"/>
      <c r="AA55" s="689" t="n"/>
      <c r="AB55" s="689" t="n"/>
      <c r="AC55" s="689" t="n"/>
      <c r="AD55" s="689" t="n"/>
      <c r="AF55" s="233" t="n"/>
      <c r="AG55" s="233" t="n"/>
      <c r="AH55" s="233" t="n"/>
      <c r="AI55" s="233" t="n"/>
      <c r="AJ55" s="233" t="n"/>
      <c r="AK55" s="233" t="n"/>
      <c r="AL55" s="233" t="n"/>
      <c r="AM55" s="233" t="n"/>
      <c r="AN55" s="233" t="n"/>
      <c r="AO55" s="233" t="n"/>
      <c r="AP55" s="233" t="n"/>
      <c r="AQ55" s="233" t="n"/>
      <c r="AR55" s="233" t="n"/>
      <c r="AS55" s="233" t="n"/>
      <c r="AT55" s="233" t="n"/>
      <c r="AU55" s="233" t="n"/>
      <c r="AV55" s="233" t="n"/>
      <c r="AW55" s="233" t="n"/>
      <c r="AX55" s="233" t="n"/>
      <c r="AY55" s="158" t="n"/>
      <c r="AZ55" s="158" t="n"/>
      <c r="BA55" s="158" t="n"/>
      <c r="BB55" s="158" t="n"/>
      <c r="BC55" s="158" t="n"/>
      <c r="BD55" s="158" t="n"/>
      <c r="BE55" s="158" t="n"/>
      <c r="BF55" s="158" t="n"/>
      <c r="BG55" s="158" t="n"/>
      <c r="BH55" s="158" t="n"/>
      <c r="BI55" s="158" t="n"/>
      <c r="BJ55" s="158" t="n"/>
      <c r="BK55" s="158" t="n"/>
      <c r="BL55" s="158" t="n"/>
      <c r="BM55" s="158" t="n"/>
      <c r="BN55" s="158" t="n"/>
      <c r="BO55" s="158" t="n"/>
      <c r="BP55" s="158" t="n"/>
      <c r="BQ55" s="158" t="n"/>
    </row>
    <row r="56">
      <c r="A56" s="218" t="inlineStr">
        <is>
          <t>Female</t>
        </is>
      </c>
      <c r="B56" s="215" t="inlineStr">
        <is>
          <t>200 Fly</t>
        </is>
      </c>
      <c r="C56" s="189" t="n">
        <v>2019</v>
      </c>
      <c r="D56" s="215" t="inlineStr">
        <is>
          <t>SGP</t>
        </is>
      </c>
      <c r="E56" s="219" t="n">
        <v>1</v>
      </c>
      <c r="F56" s="215" t="inlineStr">
        <is>
          <t>2:10.97</t>
        </is>
      </c>
      <c r="G56" s="202" t="n">
        <v>1994</v>
      </c>
      <c r="H56" s="202">
        <f>C56-G56</f>
        <v/>
      </c>
      <c r="I56" s="206" t="inlineStr">
        <is>
          <t>Jing Wen Quah</t>
        </is>
      </c>
      <c r="J56" s="206" t="inlineStr">
        <is>
          <t>A&amp;M</t>
        </is>
      </c>
      <c r="K56" s="206" t="inlineStr">
        <is>
          <t>USA</t>
        </is>
      </c>
      <c r="L56" s="217" t="n"/>
      <c r="M56" s="689" t="n"/>
      <c r="P56" s="227" t="n"/>
      <c r="Q56" s="689" t="n"/>
      <c r="R56" s="689" t="n"/>
      <c r="S56" s="689" t="n"/>
      <c r="T56" s="689" t="n"/>
      <c r="U56" s="689" t="n"/>
      <c r="V56" s="689" t="n"/>
      <c r="W56" s="689" t="n"/>
      <c r="X56" s="689" t="n"/>
      <c r="Y56" s="689" t="n"/>
      <c r="Z56" s="689" t="n"/>
      <c r="AA56" s="689" t="n"/>
      <c r="AB56" s="689" t="n"/>
      <c r="AC56" s="689" t="n"/>
      <c r="AD56" s="689" t="n"/>
      <c r="AF56" s="233" t="n"/>
      <c r="AG56" s="233" t="n"/>
      <c r="AH56" s="233" t="n"/>
      <c r="AI56" s="233" t="n"/>
      <c r="AJ56" s="233" t="n"/>
      <c r="AK56" s="233" t="n"/>
      <c r="AL56" s="233" t="n"/>
      <c r="AM56" s="233" t="n"/>
      <c r="AN56" s="233" t="n"/>
      <c r="AO56" s="233" t="n"/>
      <c r="AP56" s="233" t="n"/>
      <c r="AQ56" s="233" t="n"/>
      <c r="AR56" s="233" t="n"/>
      <c r="AS56" s="233" t="n"/>
      <c r="AT56" s="233" t="n"/>
      <c r="AU56" s="233" t="n"/>
      <c r="AV56" s="233" t="n"/>
      <c r="AW56" s="233" t="n"/>
      <c r="AX56" s="233" t="n"/>
      <c r="AY56" s="158" t="n"/>
      <c r="AZ56" s="158" t="n"/>
      <c r="BA56" s="158" t="n"/>
      <c r="BB56" s="158" t="n"/>
      <c r="BC56" s="158" t="n"/>
      <c r="BD56" s="158" t="n"/>
      <c r="BE56" s="158" t="n"/>
      <c r="BF56" s="158" t="n"/>
      <c r="BG56" s="158" t="n"/>
      <c r="BH56" s="158" t="n"/>
      <c r="BI56" s="158" t="n"/>
      <c r="BJ56" s="158" t="n"/>
      <c r="BK56" s="158" t="n"/>
      <c r="BL56" s="158" t="n"/>
      <c r="BM56" s="158" t="n"/>
      <c r="BN56" s="158" t="n"/>
      <c r="BO56" s="158" t="n"/>
      <c r="BP56" s="158" t="n"/>
      <c r="BQ56" s="158" t="n"/>
    </row>
    <row r="57">
      <c r="A57" s="220" t="inlineStr">
        <is>
          <t>Female</t>
        </is>
      </c>
      <c r="B57" s="211" t="inlineStr">
        <is>
          <t>200 Fly</t>
        </is>
      </c>
      <c r="C57" s="190" t="n">
        <v>2019</v>
      </c>
      <c r="D57" s="211" t="inlineStr">
        <is>
          <t>PHI</t>
        </is>
      </c>
      <c r="E57" s="221" t="n">
        <v>2</v>
      </c>
      <c r="F57" s="211" t="inlineStr">
        <is>
          <t>2:10.99</t>
        </is>
      </c>
      <c r="G57" s="211" t="n">
        <v>1996</v>
      </c>
      <c r="H57" s="211">
        <f>C57-G57</f>
        <v/>
      </c>
      <c r="I57" s="211" t="inlineStr">
        <is>
          <t>Remedy Rule</t>
        </is>
      </c>
      <c r="J57" s="211" t="inlineStr">
        <is>
          <t>Texas</t>
        </is>
      </c>
      <c r="K57" s="211" t="inlineStr">
        <is>
          <t>USA</t>
        </is>
      </c>
      <c r="L57" s="213" t="inlineStr">
        <is>
          <t>USA</t>
        </is>
      </c>
      <c r="M57" s="689" t="n"/>
      <c r="P57" s="227" t="n"/>
      <c r="Q57" s="689" t="n"/>
      <c r="R57" s="689" t="n"/>
      <c r="S57" s="689" t="n"/>
      <c r="T57" s="689" t="n"/>
      <c r="U57" s="689" t="n"/>
      <c r="V57" s="689" t="n"/>
      <c r="W57" s="689" t="n"/>
      <c r="X57" s="689" t="n"/>
      <c r="Y57" s="689" t="n"/>
      <c r="Z57" s="689" t="n"/>
      <c r="AA57" s="689" t="n"/>
      <c r="AB57" s="689" t="n"/>
      <c r="AC57" s="689" t="n"/>
      <c r="AD57" s="689" t="n"/>
      <c r="AF57" s="233" t="n"/>
      <c r="AG57" s="233" t="n"/>
      <c r="AH57" s="233" t="n"/>
      <c r="AI57" s="233" t="n"/>
      <c r="AJ57" s="233" t="n"/>
      <c r="AK57" s="233" t="n"/>
      <c r="AL57" s="233" t="n"/>
      <c r="AM57" s="233" t="n"/>
      <c r="AN57" s="233" t="n"/>
      <c r="AO57" s="233" t="n"/>
      <c r="AP57" s="233" t="n"/>
      <c r="AQ57" s="233" t="n"/>
      <c r="AR57" s="233" t="n"/>
      <c r="AS57" s="233" t="n"/>
      <c r="AT57" s="233" t="n"/>
      <c r="AU57" s="233" t="n"/>
      <c r="AV57" s="233" t="n"/>
      <c r="AW57" s="233" t="n"/>
      <c r="AX57" s="233" t="n"/>
      <c r="AY57" s="692" t="n"/>
      <c r="AZ57" s="692" t="n"/>
      <c r="BA57" s="692" t="n"/>
      <c r="BB57" s="692" t="n"/>
      <c r="BC57" s="692" t="n"/>
      <c r="BD57" s="692" t="n"/>
      <c r="BE57" s="692" t="n"/>
      <c r="BF57" s="692" t="n"/>
      <c r="BG57" s="692" t="n"/>
      <c r="BH57" s="692" t="n"/>
      <c r="BI57" s="692" t="n"/>
      <c r="BJ57" s="692" t="n"/>
      <c r="BK57" s="692" t="n"/>
      <c r="BL57" s="692" t="n"/>
      <c r="BM57" s="692" t="n"/>
      <c r="BN57" s="692" t="n"/>
      <c r="BO57" s="692" t="n"/>
      <c r="BP57" s="692" t="n"/>
      <c r="BQ57" s="692" t="n"/>
    </row>
    <row r="58">
      <c r="A58" s="218" t="inlineStr">
        <is>
          <t>Female</t>
        </is>
      </c>
      <c r="B58" s="215" t="inlineStr">
        <is>
          <t>200 Fly</t>
        </is>
      </c>
      <c r="C58" s="189" t="n">
        <v>2019</v>
      </c>
      <c r="D58" s="215" t="inlineStr">
        <is>
          <t>VIE</t>
        </is>
      </c>
      <c r="E58" s="219" t="n">
        <v>3</v>
      </c>
      <c r="F58" s="215" t="inlineStr">
        <is>
          <t>2:12.70</t>
        </is>
      </c>
      <c r="G58" s="215" t="n">
        <v>1996</v>
      </c>
      <c r="H58" s="202">
        <f>C58-G58</f>
        <v/>
      </c>
      <c r="I58" s="590" t="inlineStr">
        <is>
          <t>MY Thao LE Thi</t>
        </is>
      </c>
      <c r="J58" s="215" t="n"/>
      <c r="K58" s="215" t="n"/>
      <c r="L58" s="217" t="n"/>
      <c r="M58" s="689" t="n"/>
      <c r="P58" s="227" t="n"/>
      <c r="Q58" s="689" t="n"/>
      <c r="R58" s="689" t="n"/>
      <c r="S58" s="689" t="n"/>
      <c r="T58" s="689" t="n"/>
      <c r="U58" s="689" t="n"/>
      <c r="V58" s="689" t="n"/>
      <c r="W58" s="689" t="n"/>
      <c r="X58" s="689" t="n"/>
      <c r="Y58" s="689" t="n"/>
      <c r="Z58" s="689" t="n"/>
      <c r="AA58" s="689" t="n"/>
      <c r="AB58" s="689" t="n"/>
      <c r="AC58" s="689" t="n"/>
      <c r="AD58" s="689" t="n"/>
      <c r="AF58" s="233" t="n"/>
      <c r="AG58" s="233" t="n"/>
      <c r="AH58" s="233" t="n"/>
      <c r="AI58" s="233" t="n"/>
      <c r="AJ58" s="233" t="n"/>
      <c r="AK58" s="233" t="n"/>
      <c r="AL58" s="233" t="n"/>
      <c r="AM58" s="233" t="n"/>
      <c r="AN58" s="233" t="n"/>
      <c r="AO58" s="233" t="n"/>
      <c r="AP58" s="233" t="n"/>
      <c r="AQ58" s="233" t="n"/>
      <c r="AR58" s="233" t="n"/>
      <c r="AS58" s="233" t="n"/>
      <c r="AT58" s="233" t="n"/>
      <c r="AU58" s="233" t="n"/>
      <c r="AV58" s="233" t="n"/>
      <c r="AW58" s="233" t="n"/>
      <c r="AX58" s="233" t="n"/>
      <c r="AY58" s="692" t="n"/>
      <c r="AZ58" s="692" t="n"/>
      <c r="BA58" s="692" t="n"/>
      <c r="BB58" s="692" t="n"/>
      <c r="BC58" s="692" t="n"/>
      <c r="BD58" s="692" t="n"/>
      <c r="BE58" s="692" t="n"/>
      <c r="BF58" s="692" t="n"/>
      <c r="BG58" s="692" t="n"/>
      <c r="BH58" s="692" t="n"/>
      <c r="BI58" s="692" t="n"/>
      <c r="BJ58" s="692" t="n"/>
      <c r="BK58" s="692" t="n"/>
      <c r="BL58" s="692" t="n"/>
      <c r="BM58" s="692" t="n"/>
      <c r="BN58" s="692" t="n"/>
      <c r="BO58" s="692" t="n"/>
      <c r="BP58" s="692" t="n"/>
      <c r="BQ58" s="692" t="n"/>
    </row>
    <row r="59">
      <c r="A59" s="220" t="inlineStr">
        <is>
          <t>Female</t>
        </is>
      </c>
      <c r="B59" s="211" t="inlineStr">
        <is>
          <t>200 Fly</t>
        </is>
      </c>
      <c r="C59" s="190" t="n">
        <v>2022</v>
      </c>
      <c r="D59" s="211" t="inlineStr">
        <is>
          <t>SGP</t>
        </is>
      </c>
      <c r="E59" s="221" t="n">
        <v>1</v>
      </c>
      <c r="F59" s="211" t="inlineStr">
        <is>
          <t>2:09.52</t>
        </is>
      </c>
      <c r="G59" s="197" t="n">
        <v>1994</v>
      </c>
      <c r="H59" s="197">
        <f>C59-G59</f>
        <v/>
      </c>
      <c r="I59" s="201" t="inlineStr">
        <is>
          <t>Jing Wen Quah</t>
        </is>
      </c>
      <c r="J59" s="201" t="inlineStr">
        <is>
          <t>A&amp;M</t>
        </is>
      </c>
      <c r="K59" s="201" t="inlineStr">
        <is>
          <t>USA</t>
        </is>
      </c>
      <c r="L59" s="213" t="n"/>
      <c r="M59" s="689" t="n"/>
      <c r="P59" s="227" t="n"/>
      <c r="Q59" s="689" t="n"/>
      <c r="R59" s="689" t="n"/>
      <c r="S59" s="689" t="n"/>
      <c r="T59" s="689" t="n"/>
      <c r="U59" s="689" t="n"/>
      <c r="V59" s="689" t="n"/>
      <c r="W59" s="689" t="n"/>
      <c r="X59" s="689" t="n"/>
      <c r="Y59" s="689" t="n"/>
      <c r="Z59" s="689" t="n"/>
      <c r="AA59" s="689" t="n"/>
      <c r="AB59" s="689" t="n"/>
      <c r="AC59" s="689" t="n"/>
      <c r="AD59" s="689" t="n"/>
      <c r="AF59" s="233" t="n"/>
      <c r="AG59" s="233" t="n"/>
      <c r="AH59" s="233" t="n"/>
      <c r="AI59" s="233" t="n"/>
      <c r="AJ59" s="233" t="n"/>
      <c r="AK59" s="233" t="n"/>
      <c r="AL59" s="233" t="n"/>
      <c r="AM59" s="233" t="n"/>
      <c r="AN59" s="233" t="n"/>
      <c r="AO59" s="233" t="n"/>
      <c r="AP59" s="233" t="n"/>
      <c r="AQ59" s="233" t="n"/>
      <c r="AR59" s="233" t="n"/>
      <c r="AS59" s="233" t="n"/>
      <c r="AT59" s="233" t="n"/>
      <c r="AU59" s="233" t="n"/>
      <c r="AV59" s="233" t="n"/>
      <c r="AW59" s="233" t="n"/>
      <c r="AX59" s="233" t="n"/>
      <c r="BD59" s="692" t="n"/>
      <c r="BE59" s="692" t="n"/>
      <c r="BF59" s="692" t="n"/>
      <c r="BG59" s="692" t="n"/>
      <c r="BH59" s="692" t="n"/>
      <c r="BI59" s="692" t="n"/>
      <c r="BJ59" s="692" t="n"/>
      <c r="BK59" s="692" t="n"/>
      <c r="BL59" s="692" t="n"/>
      <c r="BM59" s="692" t="n"/>
      <c r="BN59" s="692" t="n"/>
      <c r="BO59" s="692" t="n"/>
      <c r="BP59" s="692" t="n"/>
      <c r="BQ59" s="692" t="n"/>
    </row>
    <row r="60">
      <c r="A60" s="218" t="inlineStr">
        <is>
          <t>Female</t>
        </is>
      </c>
      <c r="B60" s="215" t="inlineStr">
        <is>
          <t>200 Fly</t>
        </is>
      </c>
      <c r="C60" s="189" t="n">
        <v>2022</v>
      </c>
      <c r="D60" s="215" t="inlineStr">
        <is>
          <t>VIE</t>
        </is>
      </c>
      <c r="E60" s="219" t="n">
        <v>2</v>
      </c>
      <c r="F60" s="215" t="inlineStr">
        <is>
          <t>2:14.20</t>
        </is>
      </c>
      <c r="G60" s="215" t="n">
        <v>1996</v>
      </c>
      <c r="H60" s="202">
        <f>C60-G60</f>
        <v/>
      </c>
      <c r="I60" s="590" t="inlineStr">
        <is>
          <t>MY Thao LE Thi</t>
        </is>
      </c>
      <c r="J60" s="215" t="n"/>
      <c r="K60" s="215" t="n"/>
      <c r="L60" s="217" t="n"/>
      <c r="M60" s="689" t="n"/>
      <c r="P60" s="227" t="n"/>
      <c r="Q60" s="689" t="n"/>
      <c r="R60" s="689" t="n"/>
      <c r="S60" s="689" t="n"/>
      <c r="T60" s="689" t="n"/>
      <c r="U60" s="689" t="n"/>
      <c r="V60" s="689" t="n"/>
      <c r="W60" s="689" t="n"/>
      <c r="X60" s="689" t="n"/>
      <c r="Y60" s="689" t="n"/>
      <c r="Z60" s="689" t="n"/>
      <c r="AA60" s="689" t="n"/>
      <c r="AB60" s="689" t="n"/>
      <c r="AC60" s="689" t="n"/>
      <c r="AD60" s="689" t="n"/>
      <c r="AF60" s="233" t="n"/>
      <c r="AG60" s="233" t="n"/>
      <c r="AH60" s="233" t="n"/>
      <c r="AI60" s="233" t="n"/>
      <c r="AJ60" s="233" t="n"/>
      <c r="AK60" s="233" t="n"/>
      <c r="AL60" s="233" t="n"/>
      <c r="AM60" s="233" t="n"/>
      <c r="AN60" s="233" t="n"/>
      <c r="AO60" s="233" t="n"/>
      <c r="AP60" s="233" t="n"/>
      <c r="AQ60" s="233" t="n"/>
      <c r="AR60" s="233" t="n"/>
      <c r="AS60" s="233" t="n"/>
      <c r="AT60" s="233" t="n"/>
      <c r="AU60" s="233" t="n"/>
      <c r="AV60" s="233" t="n"/>
      <c r="AW60" s="233" t="n"/>
      <c r="AX60" s="233" t="n"/>
      <c r="BD60" s="692" t="n"/>
      <c r="BE60" s="692" t="n"/>
      <c r="BF60" s="692" t="n"/>
      <c r="BG60" s="692" t="n"/>
      <c r="BH60" s="692" t="n"/>
      <c r="BI60" s="692" t="n"/>
      <c r="BJ60" s="692" t="n"/>
      <c r="BK60" s="692" t="n"/>
      <c r="BL60" s="692" t="n"/>
      <c r="BM60" s="692" t="n"/>
      <c r="BN60" s="692" t="n"/>
      <c r="BO60" s="692" t="n"/>
      <c r="BP60" s="692" t="n"/>
      <c r="BQ60" s="692" t="n"/>
    </row>
    <row r="61">
      <c r="A61" s="220" t="inlineStr">
        <is>
          <t>Female</t>
        </is>
      </c>
      <c r="B61" s="211" t="inlineStr">
        <is>
          <t>200 Fly</t>
        </is>
      </c>
      <c r="C61" s="190" t="n">
        <v>2022</v>
      </c>
      <c r="D61" s="211" t="inlineStr">
        <is>
          <t>THA</t>
        </is>
      </c>
      <c r="E61" s="221" t="n">
        <v>3</v>
      </c>
      <c r="F61" s="211" t="inlineStr">
        <is>
          <t>2:14.35</t>
        </is>
      </c>
      <c r="G61" s="196" t="n">
        <v>2005</v>
      </c>
      <c r="H61" s="196">
        <f>C61-G61</f>
        <v/>
      </c>
      <c r="I61" s="198" t="inlineStr">
        <is>
          <t>Kamonchanok Kwanmuang</t>
        </is>
      </c>
      <c r="J61" s="211" t="n"/>
      <c r="K61" s="211" t="n"/>
      <c r="L61" s="213" t="n"/>
      <c r="M61" s="689" t="n"/>
      <c r="P61" s="227" t="n"/>
      <c r="Q61" s="689" t="n"/>
      <c r="R61" s="689" t="n"/>
      <c r="S61" s="689" t="n"/>
      <c r="T61" s="689" t="n"/>
      <c r="U61" s="689" t="n"/>
      <c r="V61" s="689" t="n"/>
      <c r="W61" s="689" t="n"/>
      <c r="X61" s="689" t="n"/>
      <c r="Y61" s="689" t="n"/>
      <c r="Z61" s="689" t="n"/>
      <c r="AA61" s="689" t="n"/>
      <c r="AB61" s="689" t="n"/>
      <c r="AC61" s="689" t="n"/>
      <c r="AD61" s="689" t="n"/>
      <c r="AF61" s="233" t="n"/>
      <c r="AG61" s="233" t="n"/>
      <c r="AH61" s="233" t="n"/>
      <c r="AI61" s="233" t="n"/>
      <c r="AJ61" s="233" t="n"/>
      <c r="AK61" s="233" t="n"/>
      <c r="AL61" s="233" t="n"/>
      <c r="AM61" s="233" t="n"/>
      <c r="AN61" s="233" t="n"/>
      <c r="AO61" s="233" t="n"/>
      <c r="AP61" s="233" t="n"/>
      <c r="AQ61" s="233" t="n"/>
      <c r="AR61" s="233" t="n"/>
      <c r="AS61" s="233" t="n"/>
      <c r="AT61" s="233" t="n"/>
      <c r="AU61" s="233" t="n"/>
      <c r="AV61" s="233" t="n"/>
      <c r="AW61" s="233" t="n"/>
      <c r="AX61" s="233" t="n"/>
      <c r="BD61" s="692" t="n"/>
      <c r="BE61" s="692" t="n"/>
      <c r="BF61" s="692" t="n"/>
      <c r="BG61" s="692" t="n"/>
      <c r="BH61" s="692" t="n"/>
      <c r="BI61" s="692" t="n"/>
      <c r="BJ61" s="692" t="n"/>
      <c r="BK61" s="692" t="n"/>
      <c r="BL61" s="692" t="n"/>
      <c r="BM61" s="692" t="n"/>
      <c r="BN61" s="692" t="n"/>
      <c r="BO61" s="692" t="n"/>
      <c r="BP61" s="692" t="n"/>
      <c r="BQ61" s="692" t="n"/>
    </row>
    <row r="62">
      <c r="A62" s="218" t="inlineStr">
        <is>
          <t>Female</t>
        </is>
      </c>
      <c r="B62" s="215" t="inlineStr">
        <is>
          <t>200 Fly</t>
        </is>
      </c>
      <c r="C62" s="189" t="n">
        <v>2023</v>
      </c>
      <c r="D62" s="215" t="inlineStr">
        <is>
          <t>SGP</t>
        </is>
      </c>
      <c r="E62" s="219" t="n">
        <v>1</v>
      </c>
      <c r="F62" s="215" t="inlineStr">
        <is>
          <t>2:10.63</t>
        </is>
      </c>
      <c r="G62" s="215" t="n">
        <v>1994</v>
      </c>
      <c r="H62" s="215">
        <f>C62-G62</f>
        <v/>
      </c>
      <c r="I62" s="215" t="inlineStr">
        <is>
          <t>Jing Wen Quah</t>
        </is>
      </c>
      <c r="J62" s="215" t="inlineStr">
        <is>
          <t>A&amp;M</t>
        </is>
      </c>
      <c r="K62" s="215" t="inlineStr">
        <is>
          <t>USA</t>
        </is>
      </c>
      <c r="L62" s="217" t="n"/>
      <c r="M62" s="689" t="n"/>
      <c r="P62" s="227" t="n"/>
      <c r="Q62" s="689" t="n"/>
      <c r="R62" s="689" t="n"/>
      <c r="S62" s="689" t="n"/>
      <c r="T62" s="689" t="n"/>
      <c r="U62" s="689" t="n"/>
      <c r="V62" s="689" t="n"/>
      <c r="W62" s="689" t="n"/>
      <c r="X62" s="689" t="n"/>
      <c r="Y62" s="689" t="n"/>
      <c r="Z62" s="689" t="n"/>
      <c r="AA62" s="689" t="n"/>
      <c r="AB62" s="689" t="n"/>
      <c r="AC62" s="689" t="n"/>
      <c r="AD62" s="689" t="n"/>
      <c r="AF62" s="233" t="n"/>
      <c r="AG62" s="233" t="n"/>
      <c r="AH62" s="233" t="n"/>
      <c r="AI62" s="233" t="n"/>
      <c r="AJ62" s="233" t="n"/>
      <c r="AK62" s="233" t="n"/>
      <c r="AL62" s="233" t="n"/>
      <c r="AM62" s="233" t="n"/>
      <c r="AN62" s="233" t="n"/>
      <c r="AO62" s="233" t="n"/>
      <c r="AP62" s="233" t="n"/>
      <c r="AQ62" s="233" t="n"/>
      <c r="AR62" s="233" t="n"/>
      <c r="AS62" s="233" t="n"/>
      <c r="AT62" s="233" t="n"/>
      <c r="AU62" s="233" t="n"/>
      <c r="AV62" s="233" t="n"/>
      <c r="AW62" s="233" t="n"/>
      <c r="AX62" s="233" t="n"/>
      <c r="BD62" s="692" t="n"/>
      <c r="BE62" s="692" t="n"/>
      <c r="BF62" s="692" t="n"/>
      <c r="BG62" s="692" t="n"/>
      <c r="BH62" s="692" t="n"/>
      <c r="BI62" s="692" t="n"/>
      <c r="BJ62" s="692" t="n"/>
      <c r="BK62" s="692" t="n"/>
      <c r="BL62" s="692" t="n"/>
      <c r="BM62" s="692" t="n"/>
      <c r="BN62" s="692" t="n"/>
      <c r="BO62" s="692" t="n"/>
      <c r="BP62" s="692" t="n"/>
      <c r="BQ62" s="692" t="n"/>
    </row>
    <row r="63">
      <c r="A63" s="220" t="inlineStr">
        <is>
          <t>Female</t>
        </is>
      </c>
      <c r="B63" s="211" t="inlineStr">
        <is>
          <t>200 Fly</t>
        </is>
      </c>
      <c r="C63" s="190" t="n">
        <v>2023</v>
      </c>
      <c r="D63" s="211" t="inlineStr">
        <is>
          <t>THA</t>
        </is>
      </c>
      <c r="E63" s="221" t="n">
        <v>2</v>
      </c>
      <c r="F63" s="211" t="inlineStr">
        <is>
          <t>2:11.56</t>
        </is>
      </c>
      <c r="G63" s="211" t="n">
        <v>2005</v>
      </c>
      <c r="H63" s="211">
        <f>C63-G63</f>
        <v/>
      </c>
      <c r="I63" s="211" t="inlineStr">
        <is>
          <t>Kamonchanok Kwanmuang</t>
        </is>
      </c>
      <c r="J63" s="211" t="n"/>
      <c r="K63" s="211" t="n"/>
      <c r="L63" s="213" t="n"/>
      <c r="M63" s="689" t="n"/>
      <c r="P63" s="227" t="n"/>
      <c r="Q63" s="689" t="n"/>
      <c r="R63" s="689" t="n"/>
      <c r="S63" s="689" t="n"/>
      <c r="T63" s="689" t="n"/>
      <c r="U63" s="689" t="n"/>
      <c r="V63" s="689" t="n"/>
      <c r="W63" s="689" t="n"/>
      <c r="X63" s="689" t="n"/>
      <c r="Y63" s="689" t="n"/>
      <c r="Z63" s="689" t="n"/>
      <c r="AA63" s="689" t="n"/>
      <c r="AB63" s="689" t="n"/>
      <c r="AC63" s="689" t="n"/>
      <c r="AD63" s="689" t="n"/>
      <c r="AF63" s="233" t="n"/>
      <c r="AG63" s="233" t="n"/>
      <c r="AH63" s="233" t="n"/>
      <c r="AI63" s="233" t="n"/>
      <c r="AJ63" s="233" t="n"/>
      <c r="AK63" s="233" t="n"/>
      <c r="AL63" s="233" t="n"/>
      <c r="AM63" s="233" t="n"/>
      <c r="AN63" s="233" t="n"/>
      <c r="AO63" s="233" t="n"/>
      <c r="AP63" s="233" t="n"/>
      <c r="AQ63" s="233" t="n"/>
      <c r="AR63" s="233" t="n"/>
      <c r="AS63" s="233" t="n"/>
      <c r="AT63" s="233" t="n"/>
      <c r="AU63" s="233" t="n"/>
      <c r="AV63" s="233" t="n"/>
      <c r="AW63" s="233" t="n"/>
      <c r="BD63" s="692" t="n"/>
      <c r="BE63" s="692" t="n"/>
      <c r="BF63" s="692" t="n"/>
      <c r="BG63" s="692" t="n"/>
      <c r="BH63" s="692" t="n"/>
      <c r="BI63" s="692" t="n"/>
      <c r="BJ63" s="692" t="n"/>
      <c r="BK63" s="692" t="n"/>
      <c r="BL63" s="692" t="n"/>
      <c r="BM63" s="692" t="n"/>
      <c r="BN63" s="692" t="n"/>
      <c r="BO63" s="692" t="n"/>
      <c r="BP63" s="692" t="n"/>
      <c r="BQ63" s="692" t="n"/>
    </row>
    <row r="64">
      <c r="A64" s="218" t="inlineStr">
        <is>
          <t>Female</t>
        </is>
      </c>
      <c r="B64" s="215" t="inlineStr">
        <is>
          <t>200 Fly</t>
        </is>
      </c>
      <c r="C64" s="189" t="n">
        <v>2023</v>
      </c>
      <c r="D64" s="215" t="inlineStr">
        <is>
          <t>THA</t>
        </is>
      </c>
      <c r="E64" s="219" t="n">
        <v>3</v>
      </c>
      <c r="F64" s="215" t="inlineStr">
        <is>
          <t>2:14.37</t>
        </is>
      </c>
      <c r="G64" s="215" t="n">
        <v>2005</v>
      </c>
      <c r="H64" s="215">
        <f>C64-G64</f>
        <v/>
      </c>
      <c r="I64" s="215" t="inlineStr">
        <is>
          <t>Jinjutha Pholjamjumrus</t>
        </is>
      </c>
      <c r="J64" s="215" t="n"/>
      <c r="K64" s="215" t="n"/>
      <c r="L64" s="217" t="n"/>
      <c r="M64" s="689" t="n"/>
      <c r="P64" s="227" t="n"/>
      <c r="Q64" s="689" t="n"/>
      <c r="R64" s="689" t="n"/>
      <c r="S64" s="689" t="n"/>
      <c r="T64" s="689" t="n"/>
      <c r="U64" s="689" t="n"/>
      <c r="V64" s="689" t="n"/>
      <c r="W64" s="689" t="n"/>
      <c r="X64" s="689" t="n"/>
      <c r="Y64" s="689" t="n"/>
      <c r="Z64" s="689" t="n"/>
      <c r="AA64" s="689" t="n"/>
      <c r="AB64" s="689" t="n"/>
      <c r="AC64" s="689" t="n"/>
      <c r="AD64" s="689" t="n"/>
      <c r="AF64" s="233" t="n"/>
      <c r="AG64" s="233" t="n"/>
      <c r="AH64" s="233" t="n"/>
      <c r="AI64" s="233" t="n"/>
      <c r="AJ64" s="233" t="n"/>
      <c r="AK64" s="233" t="n"/>
      <c r="AL64" s="233" t="n"/>
      <c r="AM64" s="233" t="n"/>
      <c r="AN64" s="233" t="n"/>
      <c r="AO64" s="233" t="n"/>
      <c r="AP64" s="233" t="n"/>
      <c r="AQ64" s="233" t="n"/>
      <c r="AR64" s="233" t="n"/>
      <c r="AS64" s="233" t="n"/>
      <c r="AT64" s="233" t="n"/>
      <c r="AU64" s="233" t="n"/>
      <c r="AV64" s="233" t="n"/>
      <c r="AW64" s="233" t="n"/>
      <c r="BD64" s="692" t="n"/>
      <c r="BE64" s="692" t="n"/>
      <c r="BF64" s="692" t="n"/>
      <c r="BG64" s="692" t="n"/>
      <c r="BH64" s="692" t="n"/>
      <c r="BI64" s="692" t="n"/>
      <c r="BJ64" s="692" t="n"/>
      <c r="BK64" s="692" t="n"/>
      <c r="BL64" s="692" t="n"/>
      <c r="BM64" s="692" t="n"/>
      <c r="BN64" s="692" t="n"/>
      <c r="BO64" s="692" t="n"/>
      <c r="BP64" s="692" t="n"/>
      <c r="BQ64" s="692" t="n"/>
    </row>
    <row r="65">
      <c r="A65" s="220" t="inlineStr">
        <is>
          <t>Female</t>
        </is>
      </c>
      <c r="B65" s="211" t="inlineStr">
        <is>
          <t>200 Free</t>
        </is>
      </c>
      <c r="C65" s="190" t="n">
        <v>2019</v>
      </c>
      <c r="D65" s="211" t="inlineStr">
        <is>
          <t>VIE</t>
        </is>
      </c>
      <c r="E65" s="221" t="n">
        <v>1</v>
      </c>
      <c r="F65" s="211" t="inlineStr">
        <is>
          <t>2:00.75</t>
        </is>
      </c>
      <c r="G65" s="211" t="n">
        <v>1996</v>
      </c>
      <c r="H65" s="211">
        <f>C65-G65</f>
        <v/>
      </c>
      <c r="I65" s="211" t="inlineStr">
        <is>
          <t>Nguyen Thi Anh Vien</t>
        </is>
      </c>
      <c r="J65" s="211" t="n"/>
      <c r="K65" s="211" t="n"/>
      <c r="L65" s="213" t="n"/>
      <c r="M65" s="689" t="n"/>
      <c r="P65" s="227" t="n"/>
      <c r="Q65" s="689" t="n"/>
      <c r="R65" s="689" t="n"/>
      <c r="S65" s="689" t="n"/>
      <c r="T65" s="689" t="n"/>
      <c r="U65" s="689" t="n"/>
      <c r="V65" s="689" t="n"/>
      <c r="W65" s="689" t="n"/>
      <c r="X65" s="689" t="n"/>
      <c r="Y65" s="689" t="n"/>
      <c r="Z65" s="689" t="n"/>
      <c r="AA65" s="689" t="n"/>
      <c r="AB65" s="689" t="n"/>
      <c r="AC65" s="689" t="n"/>
      <c r="AD65" s="689" t="n"/>
      <c r="AF65" s="233" t="n"/>
      <c r="AG65" s="233" t="n"/>
      <c r="AH65" s="233" t="n"/>
      <c r="AI65" s="233" t="n"/>
      <c r="AJ65" s="233" t="n"/>
      <c r="AK65" s="233" t="n"/>
      <c r="AL65" s="233" t="n"/>
      <c r="AM65" s="233" t="n"/>
      <c r="AN65" s="233" t="n"/>
      <c r="AO65" s="233" t="n"/>
      <c r="AP65" s="233" t="n"/>
      <c r="AQ65" s="233" t="n"/>
      <c r="AR65" s="233" t="n"/>
      <c r="AS65" s="233" t="n"/>
      <c r="AT65" s="233" t="n"/>
      <c r="AU65" s="233" t="n"/>
      <c r="AV65" s="233" t="n"/>
      <c r="AW65" s="233" t="n"/>
      <c r="BD65" s="692" t="n"/>
      <c r="BE65" s="692" t="n"/>
      <c r="BF65" s="692" t="n"/>
      <c r="BG65" s="692" t="n"/>
      <c r="BH65" s="692" t="n"/>
      <c r="BI65" s="692" t="n"/>
      <c r="BJ65" s="692" t="n"/>
      <c r="BK65" s="692" t="n"/>
      <c r="BL65" s="692" t="n"/>
      <c r="BM65" s="692" t="n"/>
      <c r="BN65" s="692" t="n"/>
      <c r="BO65" s="692" t="n"/>
      <c r="BP65" s="692" t="n"/>
      <c r="BQ65" s="692" t="n"/>
    </row>
    <row r="66">
      <c r="A66" s="218" t="inlineStr">
        <is>
          <t>Female</t>
        </is>
      </c>
      <c r="B66" s="215" t="inlineStr">
        <is>
          <t>200 Free</t>
        </is>
      </c>
      <c r="C66" s="189" t="n">
        <v>2019</v>
      </c>
      <c r="D66" s="215" t="inlineStr">
        <is>
          <t>THA</t>
        </is>
      </c>
      <c r="E66" s="219" t="n">
        <v>2</v>
      </c>
      <c r="F66" s="215" t="inlineStr">
        <is>
          <t>2:00.93</t>
        </is>
      </c>
      <c r="G66" s="215" t="n">
        <v>1986</v>
      </c>
      <c r="H66" s="215">
        <f>C66-G66</f>
        <v/>
      </c>
      <c r="I66" s="215" t="inlineStr">
        <is>
          <t>Natthanan Junkrajang</t>
        </is>
      </c>
      <c r="J66" s="215" t="n"/>
      <c r="K66" s="215" t="n"/>
      <c r="L66" s="217" t="n"/>
      <c r="M66" s="689" t="n"/>
      <c r="P66" s="227" t="n"/>
      <c r="Q66" s="689" t="n"/>
      <c r="R66" s="689" t="n"/>
      <c r="S66" s="689" t="n"/>
      <c r="T66" s="689" t="n"/>
      <c r="U66" s="689" t="n"/>
      <c r="V66" s="689" t="n"/>
      <c r="W66" s="689" t="n"/>
      <c r="X66" s="689" t="n"/>
      <c r="Y66" s="689" t="n"/>
      <c r="Z66" s="689" t="n"/>
      <c r="AA66" s="689" t="n"/>
      <c r="AB66" s="689" t="n"/>
      <c r="AC66" s="689" t="n"/>
      <c r="AD66" s="689" t="n"/>
      <c r="AF66" s="233" t="n"/>
      <c r="AG66" s="233" t="n"/>
      <c r="AH66" s="233" t="n"/>
      <c r="AI66" s="233" t="n"/>
      <c r="AJ66" s="233" t="n"/>
      <c r="AK66" s="233" t="n"/>
      <c r="AL66" s="233" t="n"/>
      <c r="AM66" s="233" t="n"/>
      <c r="AN66" s="233" t="n"/>
      <c r="AO66" s="233" t="n"/>
      <c r="AP66" s="233" t="n"/>
      <c r="AQ66" s="233" t="n"/>
      <c r="AR66" s="233" t="n"/>
      <c r="AS66" s="233" t="n"/>
      <c r="AT66" s="233" t="n"/>
      <c r="AU66" s="233" t="n"/>
      <c r="AV66" s="233" t="n"/>
      <c r="AW66" s="233" t="n"/>
      <c r="BD66" s="692" t="n"/>
      <c r="BE66" s="692" t="n"/>
      <c r="BF66" s="692" t="n"/>
      <c r="BG66" s="692" t="n"/>
      <c r="BH66" s="692" t="n"/>
      <c r="BI66" s="692" t="n"/>
      <c r="BJ66" s="692" t="n"/>
      <c r="BK66" s="692" t="n"/>
      <c r="BL66" s="692" t="n"/>
      <c r="BM66" s="692" t="n"/>
      <c r="BN66" s="692" t="n"/>
      <c r="BO66" s="692" t="n"/>
      <c r="BP66" s="692" t="n"/>
      <c r="BQ66" s="692" t="n"/>
    </row>
    <row r="67">
      <c r="A67" s="220" t="inlineStr">
        <is>
          <t>Female</t>
        </is>
      </c>
      <c r="B67" s="211" t="inlineStr">
        <is>
          <t>200 Free</t>
        </is>
      </c>
      <c r="C67" s="190" t="n">
        <v>2019</v>
      </c>
      <c r="D67" s="211" t="inlineStr">
        <is>
          <t>PHI</t>
        </is>
      </c>
      <c r="E67" s="221" t="n">
        <v>3</v>
      </c>
      <c r="F67" s="211" t="inlineStr">
        <is>
          <t>2:01.64</t>
        </is>
      </c>
      <c r="G67" s="211" t="n">
        <v>1996</v>
      </c>
      <c r="H67" s="211">
        <f>C67-G67</f>
        <v/>
      </c>
      <c r="I67" s="211" t="inlineStr">
        <is>
          <t>Remedy Rule</t>
        </is>
      </c>
      <c r="J67" s="211" t="inlineStr">
        <is>
          <t>Texas</t>
        </is>
      </c>
      <c r="K67" s="211" t="inlineStr">
        <is>
          <t>USA</t>
        </is>
      </c>
      <c r="L67" s="213" t="inlineStr">
        <is>
          <t>USA</t>
        </is>
      </c>
      <c r="M67" s="689" t="n"/>
      <c r="P67" s="227" t="n"/>
      <c r="Q67" s="689" t="n"/>
      <c r="R67" s="689" t="n"/>
      <c r="S67" s="689" t="n"/>
      <c r="T67" s="689" t="n"/>
      <c r="U67" s="689" t="n"/>
      <c r="V67" s="689" t="n"/>
      <c r="W67" s="689" t="n"/>
      <c r="X67" s="689" t="n"/>
      <c r="Y67" s="689" t="n"/>
      <c r="Z67" s="689" t="n"/>
      <c r="AA67" s="689" t="n"/>
      <c r="AB67" s="689" t="n"/>
      <c r="AC67" s="689" t="n"/>
      <c r="AD67" s="689" t="n"/>
      <c r="AF67" s="233" t="n"/>
      <c r="AG67" s="233" t="n"/>
      <c r="AH67" s="233" t="n"/>
      <c r="AI67" s="233" t="n"/>
      <c r="AJ67" s="233" t="n"/>
      <c r="AK67" s="233" t="n"/>
      <c r="AL67" s="233" t="n"/>
      <c r="AM67" s="233" t="n"/>
      <c r="AN67" s="233" t="n"/>
      <c r="AO67" s="233" t="n"/>
      <c r="AP67" s="233" t="n"/>
      <c r="AQ67" s="233" t="n"/>
      <c r="AR67" s="233" t="n"/>
      <c r="AS67" s="233" t="n"/>
      <c r="AT67" s="233" t="n"/>
      <c r="AU67" s="233" t="n"/>
      <c r="AV67" s="233" t="n"/>
      <c r="AW67" s="233" t="n"/>
      <c r="BD67" s="692" t="n"/>
      <c r="BE67" s="692" t="n"/>
      <c r="BF67" s="692" t="n"/>
      <c r="BG67" s="692" t="n"/>
      <c r="BH67" s="692" t="n"/>
      <c r="BI67" s="692" t="n"/>
      <c r="BJ67" s="692" t="n"/>
      <c r="BK67" s="692" t="n"/>
      <c r="BL67" s="692" t="n"/>
      <c r="BM67" s="692" t="n"/>
      <c r="BN67" s="692" t="n"/>
      <c r="BO67" s="692" t="n"/>
      <c r="BP67" s="692" t="n"/>
      <c r="BQ67" s="692" t="n"/>
    </row>
    <row r="68">
      <c r="A68" s="218" t="inlineStr">
        <is>
          <t>Female</t>
        </is>
      </c>
      <c r="B68" s="215" t="inlineStr">
        <is>
          <t>200 Free</t>
        </is>
      </c>
      <c r="C68" s="189" t="n">
        <v>2022</v>
      </c>
      <c r="D68" s="215" t="inlineStr">
        <is>
          <t>SGP</t>
        </is>
      </c>
      <c r="E68" s="219" t="n">
        <v>1</v>
      </c>
      <c r="F68" s="215" t="inlineStr">
        <is>
          <t>2:02.06</t>
        </is>
      </c>
      <c r="G68" s="195" t="n">
        <v>2003</v>
      </c>
      <c r="H68" s="195">
        <f>C68-G68</f>
        <v/>
      </c>
      <c r="I68" s="200" t="inlineStr">
        <is>
          <t>Ching Hwee Gan</t>
        </is>
      </c>
      <c r="J68" s="200" t="inlineStr">
        <is>
          <t>Indiana</t>
        </is>
      </c>
      <c r="K68" s="200" t="inlineStr">
        <is>
          <t>USA</t>
        </is>
      </c>
      <c r="L68" s="217" t="n"/>
      <c r="M68" s="689" t="n"/>
      <c r="P68" s="227" t="n"/>
      <c r="Q68" s="689" t="n"/>
      <c r="R68" s="689" t="n"/>
      <c r="S68" s="689" t="n"/>
      <c r="T68" s="689" t="n"/>
      <c r="U68" s="689" t="n"/>
      <c r="V68" s="689" t="n"/>
      <c r="W68" s="689" t="n"/>
      <c r="X68" s="689" t="n"/>
      <c r="Y68" s="689" t="n"/>
      <c r="Z68" s="689" t="n"/>
      <c r="AA68" s="689" t="n"/>
      <c r="AB68" s="689" t="n"/>
      <c r="AC68" s="689" t="n"/>
      <c r="AD68" s="689" t="n"/>
      <c r="AF68" s="233" t="n"/>
      <c r="AG68" s="233" t="n"/>
      <c r="AH68" s="233" t="n"/>
      <c r="AI68" s="233" t="n"/>
      <c r="AJ68" s="233" t="n"/>
      <c r="AK68" s="233" t="n"/>
      <c r="AL68" s="233" t="n"/>
      <c r="AM68" s="233" t="n"/>
      <c r="AN68" s="233" t="n"/>
      <c r="AO68" s="233" t="n"/>
      <c r="AP68" s="233" t="n"/>
      <c r="AQ68" s="233" t="n"/>
      <c r="AR68" s="233" t="n"/>
      <c r="AS68" s="233" t="n"/>
      <c r="AT68" s="233" t="n"/>
      <c r="AU68" s="233" t="n"/>
      <c r="AV68" s="233" t="n"/>
      <c r="AW68" s="233" t="n"/>
      <c r="BD68" s="692" t="n"/>
      <c r="BE68" s="692" t="n"/>
      <c r="BF68" s="692" t="n"/>
      <c r="BG68" s="692" t="n"/>
      <c r="BH68" s="692" t="n"/>
      <c r="BI68" s="692" t="n"/>
      <c r="BJ68" s="692" t="n"/>
      <c r="BK68" s="692" t="n"/>
      <c r="BL68" s="692" t="n"/>
      <c r="BM68" s="692" t="n"/>
      <c r="BN68" s="692" t="n"/>
      <c r="BO68" s="692" t="n"/>
      <c r="BP68" s="692" t="n"/>
      <c r="BQ68" s="692" t="n"/>
    </row>
    <row r="69">
      <c r="A69" s="220" t="inlineStr">
        <is>
          <t>Female</t>
        </is>
      </c>
      <c r="B69" s="211" t="inlineStr">
        <is>
          <t>200 Free</t>
        </is>
      </c>
      <c r="C69" s="190" t="n">
        <v>2022</v>
      </c>
      <c r="D69" s="211" t="inlineStr">
        <is>
          <t>THA</t>
        </is>
      </c>
      <c r="E69" s="221" t="n">
        <v>2</v>
      </c>
      <c r="F69" s="211" t="inlineStr">
        <is>
          <t>2:02.63</t>
        </is>
      </c>
      <c r="G69" s="196" t="n">
        <v>2005</v>
      </c>
      <c r="H69" s="196">
        <f>C69-G69</f>
        <v/>
      </c>
      <c r="I69" s="198" t="inlineStr">
        <is>
          <t>Kamonchanok Kwanmuang</t>
        </is>
      </c>
      <c r="J69" s="211" t="n"/>
      <c r="K69" s="211" t="n"/>
      <c r="L69" s="213" t="n"/>
      <c r="M69" s="689" t="n"/>
      <c r="P69" s="227" t="n"/>
      <c r="Q69" s="689" t="n"/>
      <c r="R69" s="689" t="n"/>
      <c r="S69" s="689" t="n"/>
      <c r="T69" s="689" t="n"/>
      <c r="U69" s="689" t="n"/>
      <c r="V69" s="689" t="n"/>
      <c r="W69" s="689" t="n"/>
      <c r="X69" s="689" t="n"/>
      <c r="Y69" s="689" t="n"/>
      <c r="Z69" s="689" t="n"/>
      <c r="AA69" s="689" t="n"/>
      <c r="AB69" s="689" t="n"/>
      <c r="AC69" s="689" t="n"/>
      <c r="AD69" s="689" t="n"/>
      <c r="AF69" s="233" t="n"/>
      <c r="AG69" s="233" t="n"/>
      <c r="AH69" s="233" t="n"/>
      <c r="AI69" s="233" t="n"/>
      <c r="AJ69" s="233" t="n"/>
      <c r="AK69" s="233" t="n"/>
      <c r="AL69" s="233" t="n"/>
      <c r="AM69" s="233" t="n"/>
      <c r="AN69" s="233" t="n"/>
      <c r="AO69" s="233" t="n"/>
      <c r="AP69" s="233" t="n"/>
      <c r="AQ69" s="233" t="n"/>
      <c r="AR69" s="233" t="n"/>
      <c r="AS69" s="233" t="n"/>
      <c r="AT69" s="233" t="n"/>
      <c r="AU69" s="233" t="n"/>
      <c r="AV69" s="233" t="n"/>
      <c r="AW69" s="233" t="n"/>
      <c r="BD69" s="692" t="n"/>
      <c r="BE69" s="692" t="n"/>
      <c r="BF69" s="692" t="n"/>
      <c r="BG69" s="692" t="n"/>
      <c r="BH69" s="692" t="n"/>
      <c r="BI69" s="692" t="n"/>
      <c r="BJ69" s="692" t="n"/>
      <c r="BK69" s="692" t="n"/>
      <c r="BL69" s="692" t="n"/>
      <c r="BM69" s="692" t="n"/>
      <c r="BN69" s="692" t="n"/>
      <c r="BO69" s="692" t="n"/>
      <c r="BP69" s="692" t="n"/>
      <c r="BQ69" s="692" t="n"/>
    </row>
    <row r="70">
      <c r="A70" s="218" t="inlineStr">
        <is>
          <t>Female</t>
        </is>
      </c>
      <c r="B70" s="215" t="inlineStr">
        <is>
          <t>200 Free</t>
        </is>
      </c>
      <c r="C70" s="189" t="n">
        <v>2022</v>
      </c>
      <c r="D70" s="215" t="inlineStr">
        <is>
          <t>SGP</t>
        </is>
      </c>
      <c r="E70" s="219" t="n">
        <v>3</v>
      </c>
      <c r="F70" s="215" t="inlineStr">
        <is>
          <t>2:03.21</t>
        </is>
      </c>
      <c r="G70" s="215" t="n">
        <v>2001</v>
      </c>
      <c r="H70" s="195">
        <f>C70-G70</f>
        <v/>
      </c>
      <c r="I70" s="215" t="inlineStr">
        <is>
          <t>Zi Yi CHAN</t>
        </is>
      </c>
      <c r="J70" s="215" t="n"/>
      <c r="K70" s="215" t="n"/>
      <c r="L70" s="217" t="n"/>
      <c r="M70" s="689" t="n"/>
      <c r="P70" s="227" t="n"/>
      <c r="Q70" s="689" t="n"/>
      <c r="R70" s="689" t="n"/>
      <c r="S70" s="689" t="n"/>
      <c r="T70" s="689" t="n"/>
      <c r="U70" s="689" t="n"/>
      <c r="V70" s="689" t="n"/>
      <c r="W70" s="689" t="n"/>
      <c r="X70" s="689" t="n"/>
      <c r="Y70" s="689" t="n"/>
      <c r="Z70" s="689" t="n"/>
      <c r="AA70" s="689" t="n"/>
      <c r="AB70" s="689" t="n"/>
      <c r="AC70" s="689" t="n"/>
      <c r="AD70" s="689" t="n"/>
      <c r="AF70" s="233" t="n"/>
      <c r="AG70" s="233" t="n"/>
      <c r="AH70" s="233" t="n"/>
      <c r="AI70" s="233" t="n"/>
      <c r="AJ70" s="233" t="n"/>
      <c r="AK70" s="233" t="n"/>
      <c r="AL70" s="233" t="n"/>
      <c r="AM70" s="233" t="n"/>
      <c r="AN70" s="233" t="n"/>
      <c r="AO70" s="233" t="n"/>
      <c r="AP70" s="233" t="n"/>
      <c r="AQ70" s="233" t="n"/>
      <c r="AR70" s="233" t="n"/>
      <c r="AS70" s="233" t="n"/>
      <c r="AT70" s="233" t="n"/>
      <c r="AU70" s="233" t="n"/>
      <c r="AV70" s="233" t="n"/>
      <c r="AW70" s="233" t="n"/>
      <c r="BD70" s="692" t="n"/>
      <c r="BE70" s="692" t="n"/>
      <c r="BF70" s="692" t="n"/>
      <c r="BG70" s="692" t="n"/>
      <c r="BH70" s="692" t="n"/>
      <c r="BI70" s="692" t="n"/>
      <c r="BJ70" s="692" t="n"/>
      <c r="BK70" s="692" t="n"/>
      <c r="BL70" s="692" t="n"/>
      <c r="BM70" s="692" t="n"/>
      <c r="BN70" s="692" t="n"/>
      <c r="BO70" s="692" t="n"/>
      <c r="BP70" s="692" t="n"/>
      <c r="BQ70" s="692" t="n"/>
    </row>
    <row r="71">
      <c r="A71" s="220" t="inlineStr">
        <is>
          <t>Female</t>
        </is>
      </c>
      <c r="B71" s="211" t="inlineStr">
        <is>
          <t>200 Free</t>
        </is>
      </c>
      <c r="C71" s="190" t="n">
        <v>2023</v>
      </c>
      <c r="D71" s="211" t="inlineStr">
        <is>
          <t>SGP</t>
        </is>
      </c>
      <c r="E71" s="221" t="n">
        <v>1</v>
      </c>
      <c r="F71" s="211" t="inlineStr">
        <is>
          <t>2:01.76</t>
        </is>
      </c>
      <c r="G71" s="211" t="n">
        <v>2003</v>
      </c>
      <c r="H71" s="211">
        <f>C71-G71</f>
        <v/>
      </c>
      <c r="I71" s="211" t="inlineStr">
        <is>
          <t>Ching Hwee Gan</t>
        </is>
      </c>
      <c r="J71" s="211" t="inlineStr">
        <is>
          <t>Indiana</t>
        </is>
      </c>
      <c r="K71" s="211" t="inlineStr">
        <is>
          <t>USA</t>
        </is>
      </c>
      <c r="L71" s="213" t="n"/>
      <c r="M71" s="689" t="n"/>
      <c r="N71" s="689" t="n"/>
      <c r="O71" s="689" t="n"/>
      <c r="P71" s="227" t="n"/>
      <c r="Q71" s="689" t="n"/>
      <c r="R71" s="689" t="n"/>
      <c r="S71" s="689" t="n"/>
      <c r="T71" s="689" t="n"/>
      <c r="U71" s="689" t="n"/>
      <c r="V71" s="689" t="n"/>
      <c r="W71" s="689" t="n"/>
      <c r="X71" s="689" t="n"/>
      <c r="Y71" s="689" t="n"/>
      <c r="Z71" s="689" t="n"/>
      <c r="AA71" s="689" t="n"/>
      <c r="AB71" s="689" t="n"/>
      <c r="AC71" s="689" t="n"/>
      <c r="AD71" s="689" t="n"/>
      <c r="AF71" s="233" t="n"/>
      <c r="AG71" s="233" t="n"/>
      <c r="AH71" s="233" t="n"/>
      <c r="AI71" s="233" t="n"/>
      <c r="AJ71" s="233" t="n"/>
      <c r="AK71" s="233" t="n"/>
      <c r="AL71" s="233" t="n"/>
      <c r="AM71" s="233" t="n"/>
      <c r="AN71" s="233" t="n"/>
      <c r="AO71" s="233" t="n"/>
      <c r="AP71" s="233" t="n"/>
      <c r="AQ71" s="233" t="n"/>
      <c r="AR71" s="233" t="n"/>
      <c r="AS71" s="233" t="n"/>
      <c r="AT71" s="233" t="n"/>
      <c r="AU71" s="233" t="n"/>
      <c r="AV71" s="233" t="n"/>
      <c r="AW71" s="233" t="n"/>
      <c r="BD71" s="692" t="n"/>
      <c r="BE71" s="692" t="n"/>
      <c r="BF71" s="692" t="n"/>
      <c r="BG71" s="692" t="n"/>
      <c r="BH71" s="692" t="n"/>
      <c r="BI71" s="692" t="n"/>
      <c r="BJ71" s="692" t="n"/>
      <c r="BK71" s="692" t="n"/>
      <c r="BL71" s="692" t="n"/>
      <c r="BM71" s="692" t="n"/>
      <c r="BN71" s="692" t="n"/>
      <c r="BO71" s="692" t="n"/>
      <c r="BP71" s="692" t="n"/>
      <c r="BQ71" s="692" t="n"/>
    </row>
    <row r="72">
      <c r="A72" s="218" t="inlineStr">
        <is>
          <t>Female</t>
        </is>
      </c>
      <c r="B72" s="215" t="inlineStr">
        <is>
          <t>200 Free</t>
        </is>
      </c>
      <c r="C72" s="189" t="n">
        <v>2023</v>
      </c>
      <c r="D72" s="215" t="inlineStr">
        <is>
          <t>THA</t>
        </is>
      </c>
      <c r="E72" s="219" t="n">
        <v>2</v>
      </c>
      <c r="F72" s="215" t="inlineStr">
        <is>
          <t>2:02.21</t>
        </is>
      </c>
      <c r="G72" s="215" t="n">
        <v>2005</v>
      </c>
      <c r="H72" s="215">
        <f>C72-G72</f>
        <v/>
      </c>
      <c r="I72" s="215" t="inlineStr">
        <is>
          <t>Kamonchanok Kwanmuang</t>
        </is>
      </c>
      <c r="J72" s="215" t="n"/>
      <c r="K72" s="215" t="n"/>
      <c r="L72" s="217" t="n"/>
      <c r="M72" s="689" t="n"/>
      <c r="N72" s="689" t="n"/>
      <c r="O72" s="689" t="n"/>
      <c r="P72" s="227" t="n"/>
      <c r="Q72" s="689" t="n"/>
      <c r="R72" s="689" t="n"/>
      <c r="S72" s="689" t="n"/>
      <c r="T72" s="689" t="n"/>
      <c r="U72" s="689" t="n"/>
      <c r="V72" s="689" t="n"/>
      <c r="W72" s="689" t="n"/>
      <c r="X72" s="689" t="n"/>
      <c r="Y72" s="689" t="n"/>
      <c r="Z72" s="689" t="n"/>
      <c r="AA72" s="689" t="n"/>
      <c r="AB72" s="689" t="n"/>
      <c r="AC72" s="689" t="n"/>
      <c r="AD72" s="689" t="n"/>
      <c r="AF72" s="233" t="n"/>
      <c r="AG72" s="233" t="n"/>
      <c r="AH72" s="233" t="n"/>
      <c r="AI72" s="233" t="n"/>
      <c r="AJ72" s="233" t="n"/>
      <c r="AK72" s="233" t="n"/>
      <c r="AL72" s="233" t="n"/>
      <c r="AM72" s="233" t="n"/>
      <c r="AN72" s="233" t="n"/>
      <c r="AO72" s="233" t="n"/>
      <c r="AP72" s="233" t="n"/>
      <c r="AQ72" s="233" t="n"/>
      <c r="AR72" s="233" t="n"/>
      <c r="AS72" s="233" t="n"/>
      <c r="AT72" s="233" t="n"/>
      <c r="AU72" s="233" t="n"/>
      <c r="AV72" s="233" t="n"/>
      <c r="AW72" s="233" t="n"/>
      <c r="BD72" s="692" t="n"/>
      <c r="BE72" s="692" t="n"/>
      <c r="BF72" s="692" t="n"/>
      <c r="BG72" s="692" t="n"/>
      <c r="BH72" s="692" t="n"/>
      <c r="BI72" s="692" t="n"/>
      <c r="BJ72" s="692" t="n"/>
      <c r="BK72" s="692" t="n"/>
      <c r="BL72" s="692" t="n"/>
      <c r="BM72" s="692" t="n"/>
      <c r="BN72" s="692" t="n"/>
      <c r="BO72" s="692" t="n"/>
      <c r="BP72" s="692" t="n"/>
      <c r="BQ72" s="692" t="n"/>
    </row>
    <row r="73">
      <c r="A73" s="220" t="inlineStr">
        <is>
          <t>Female</t>
        </is>
      </c>
      <c r="B73" s="211" t="inlineStr">
        <is>
          <t>200 Free</t>
        </is>
      </c>
      <c r="C73" s="190" t="n">
        <v>2023</v>
      </c>
      <c r="D73" s="211" t="inlineStr">
        <is>
          <t>SGP</t>
        </is>
      </c>
      <c r="E73" s="221" t="n">
        <v>3</v>
      </c>
      <c r="F73" s="211" t="inlineStr">
        <is>
          <t>2:02.94</t>
        </is>
      </c>
      <c r="G73" s="211" t="n">
        <v>2001</v>
      </c>
      <c r="H73" s="211">
        <f>C73-G73</f>
        <v/>
      </c>
      <c r="I73" s="211" t="inlineStr">
        <is>
          <t>ZI YI Chan</t>
        </is>
      </c>
      <c r="J73" s="613" t="inlineStr">
        <is>
          <t>Loughborough</t>
        </is>
      </c>
      <c r="K73" s="613" t="inlineStr">
        <is>
          <t>UK</t>
        </is>
      </c>
      <c r="L73" s="513" t="n"/>
      <c r="M73" s="689" t="n"/>
      <c r="N73" s="689" t="n"/>
      <c r="O73" s="689" t="n"/>
      <c r="P73" s="227" t="n"/>
      <c r="Q73" s="689" t="n"/>
      <c r="R73" s="689" t="n"/>
      <c r="S73" s="689" t="n"/>
      <c r="T73" s="689" t="n"/>
      <c r="U73" s="689" t="n"/>
      <c r="V73" s="689" t="n"/>
      <c r="W73" s="689" t="n"/>
      <c r="X73" s="689" t="n"/>
      <c r="Y73" s="689" t="n"/>
      <c r="Z73" s="689" t="n"/>
      <c r="AA73" s="689" t="n"/>
      <c r="AB73" s="689" t="n"/>
      <c r="AC73" s="689" t="n"/>
      <c r="AD73" s="689" t="n"/>
      <c r="AF73" s="233" t="n"/>
      <c r="AG73" s="233" t="n"/>
      <c r="AH73" s="233" t="n"/>
      <c r="AI73" s="233" t="n"/>
      <c r="AJ73" s="233" t="n"/>
      <c r="AK73" s="233" t="n"/>
      <c r="AL73" s="233" t="n"/>
      <c r="AM73" s="233" t="n"/>
      <c r="AN73" s="233" t="n"/>
      <c r="AO73" s="233" t="n"/>
      <c r="AP73" s="233" t="n"/>
      <c r="AQ73" s="233" t="n"/>
      <c r="AR73" s="233" t="n"/>
      <c r="AS73" s="233" t="n"/>
      <c r="AT73" s="233" t="n"/>
      <c r="AU73" s="233" t="n"/>
      <c r="AV73" s="233" t="n"/>
      <c r="AW73" s="233" t="n"/>
      <c r="BD73" s="692" t="n"/>
      <c r="BE73" s="692" t="n"/>
      <c r="BF73" s="692" t="n"/>
      <c r="BG73" s="692" t="n"/>
      <c r="BH73" s="692" t="n"/>
      <c r="BI73" s="692" t="n"/>
      <c r="BJ73" s="692" t="n"/>
      <c r="BK73" s="692" t="n"/>
      <c r="BL73" s="692" t="n"/>
      <c r="BM73" s="692" t="n"/>
      <c r="BN73" s="692" t="n"/>
      <c r="BO73" s="692" t="n"/>
      <c r="BP73" s="692" t="n"/>
      <c r="BQ73" s="692" t="n"/>
    </row>
    <row r="74">
      <c r="A74" s="218" t="inlineStr">
        <is>
          <t>Female</t>
        </is>
      </c>
      <c r="B74" s="215" t="inlineStr">
        <is>
          <t>200 IM</t>
        </is>
      </c>
      <c r="C74" s="189" t="n">
        <v>2019</v>
      </c>
      <c r="D74" s="215" t="inlineStr">
        <is>
          <t>VIE</t>
        </is>
      </c>
      <c r="E74" s="219" t="n">
        <v>1</v>
      </c>
      <c r="F74" s="215" t="inlineStr">
        <is>
          <t>2:15.51</t>
        </is>
      </c>
      <c r="G74" s="211" t="n">
        <v>1996</v>
      </c>
      <c r="H74" s="211">
        <f>C74-G74</f>
        <v/>
      </c>
      <c r="I74" s="211" t="inlineStr">
        <is>
          <t>Nguyen Thi Anh Vien</t>
        </is>
      </c>
      <c r="J74" s="215" t="n"/>
      <c r="K74" s="215" t="n"/>
      <c r="L74" s="217" t="n"/>
      <c r="M74" s="689" t="n"/>
      <c r="N74" s="689" t="n"/>
      <c r="O74" s="689" t="n"/>
      <c r="P74" s="227" t="n"/>
      <c r="Q74" s="689" t="n"/>
      <c r="R74" s="689" t="n"/>
      <c r="S74" s="689" t="n"/>
      <c r="T74" s="689" t="n"/>
      <c r="U74" s="689" t="n"/>
      <c r="V74" s="689" t="n"/>
      <c r="W74" s="689" t="n"/>
      <c r="X74" s="689" t="n"/>
      <c r="Y74" s="689" t="n"/>
      <c r="Z74" s="689" t="n"/>
      <c r="AA74" s="689" t="n"/>
      <c r="AB74" s="689" t="n"/>
      <c r="AC74" s="689" t="n"/>
      <c r="AD74" s="689" t="n"/>
      <c r="AF74" s="233" t="n"/>
      <c r="AG74" s="233" t="n"/>
      <c r="AH74" s="233" t="n"/>
      <c r="AI74" s="233" t="n"/>
      <c r="AJ74" s="233" t="n"/>
      <c r="AK74" s="233" t="n"/>
      <c r="AL74" s="233" t="n"/>
      <c r="AM74" s="233" t="n"/>
      <c r="AN74" s="233" t="n"/>
      <c r="AO74" s="233" t="n"/>
      <c r="AP74" s="233" t="n"/>
      <c r="AQ74" s="233" t="n"/>
      <c r="AR74" s="233" t="n"/>
      <c r="AS74" s="233" t="n"/>
      <c r="AT74" s="233" t="n"/>
      <c r="AU74" s="233" t="n"/>
      <c r="AV74" s="233" t="n"/>
      <c r="AW74" s="233" t="n"/>
      <c r="BD74" s="692" t="n"/>
      <c r="BE74" s="692" t="n"/>
      <c r="BF74" s="692" t="n"/>
      <c r="BG74" s="692" t="n"/>
      <c r="BH74" s="692" t="n"/>
      <c r="BI74" s="692" t="n"/>
      <c r="BJ74" s="692" t="n"/>
      <c r="BK74" s="692" t="n"/>
      <c r="BL74" s="692" t="n"/>
      <c r="BM74" s="692" t="n"/>
      <c r="BN74" s="692" t="n"/>
      <c r="BO74" s="692" t="n"/>
      <c r="BP74" s="692" t="n"/>
      <c r="BQ74" s="692" t="n"/>
    </row>
    <row r="75">
      <c r="A75" s="220" t="inlineStr">
        <is>
          <t>Female</t>
        </is>
      </c>
      <c r="B75" s="211" t="inlineStr">
        <is>
          <t>200 IM</t>
        </is>
      </c>
      <c r="C75" s="190" t="n">
        <v>2019</v>
      </c>
      <c r="D75" s="211" t="inlineStr">
        <is>
          <t>IND</t>
        </is>
      </c>
      <c r="E75" s="221" t="n">
        <v>2</v>
      </c>
      <c r="F75" s="211" t="inlineStr">
        <is>
          <t>2:16.84</t>
        </is>
      </c>
      <c r="G75" s="211" t="n">
        <v>2002</v>
      </c>
      <c r="H75" s="211">
        <f>C75-G75</f>
        <v/>
      </c>
      <c r="I75" s="211" t="inlineStr">
        <is>
          <t>Azzahra Permatahani</t>
        </is>
      </c>
      <c r="J75" s="211" t="n"/>
      <c r="K75" s="211" t="n"/>
      <c r="L75" s="213" t="n"/>
      <c r="M75" s="689" t="n"/>
      <c r="N75" s="689" t="n"/>
      <c r="O75" s="689" t="n"/>
      <c r="P75" s="227" t="n"/>
      <c r="Q75" s="689" t="n"/>
      <c r="R75" s="689" t="n"/>
      <c r="S75" s="689" t="n"/>
      <c r="T75" s="689" t="n"/>
      <c r="U75" s="689" t="n"/>
      <c r="V75" s="689" t="n"/>
      <c r="W75" s="689" t="n"/>
      <c r="X75" s="689" t="n"/>
      <c r="Y75" s="689" t="n"/>
      <c r="Z75" s="689" t="n"/>
      <c r="AA75" s="689" t="n"/>
      <c r="AB75" s="689" t="n"/>
      <c r="AC75" s="689" t="n"/>
      <c r="AD75" s="689" t="n"/>
      <c r="AF75" s="233" t="n"/>
      <c r="AG75" s="233" t="n"/>
      <c r="AH75" s="233" t="n"/>
      <c r="AI75" s="233" t="n"/>
      <c r="AJ75" s="233" t="n"/>
      <c r="AK75" s="233" t="n"/>
      <c r="AL75" s="233" t="n"/>
      <c r="AM75" s="233" t="n"/>
      <c r="AN75" s="233" t="n"/>
      <c r="AO75" s="233" t="n"/>
      <c r="AP75" s="233" t="n"/>
      <c r="AQ75" s="233" t="n"/>
      <c r="AR75" s="233" t="n"/>
      <c r="AS75" s="233" t="n"/>
      <c r="AT75" s="233" t="n"/>
      <c r="AU75" s="233" t="n"/>
      <c r="AV75" s="233" t="n"/>
      <c r="AW75" s="233" t="n"/>
      <c r="BD75" s="692" t="n"/>
      <c r="BE75" s="692" t="n"/>
      <c r="BF75" s="692" t="n"/>
      <c r="BG75" s="692" t="n"/>
      <c r="BH75" s="692" t="n"/>
      <c r="BI75" s="692" t="n"/>
      <c r="BJ75" s="692" t="n"/>
      <c r="BK75" s="692" t="n"/>
      <c r="BL75" s="692" t="n"/>
      <c r="BM75" s="692" t="n"/>
      <c r="BN75" s="692" t="n"/>
      <c r="BO75" s="692" t="n"/>
      <c r="BP75" s="692" t="n"/>
      <c r="BQ75" s="692" t="n"/>
    </row>
    <row r="76">
      <c r="A76" s="218" t="inlineStr">
        <is>
          <t>Female</t>
        </is>
      </c>
      <c r="B76" s="215" t="inlineStr">
        <is>
          <t>200 IM</t>
        </is>
      </c>
      <c r="C76" s="189" t="n">
        <v>2019</v>
      </c>
      <c r="D76" s="215" t="inlineStr">
        <is>
          <t>THA</t>
        </is>
      </c>
      <c r="E76" s="219" t="n">
        <v>3</v>
      </c>
      <c r="F76" s="215" t="inlineStr">
        <is>
          <t>2:18.01</t>
        </is>
      </c>
      <c r="G76" s="215" t="n">
        <v>2005</v>
      </c>
      <c r="H76" s="215">
        <f>C76-G76</f>
        <v/>
      </c>
      <c r="I76" s="215" t="inlineStr">
        <is>
          <t>Jinjutha Pholjamjumrus</t>
        </is>
      </c>
      <c r="J76" s="215" t="n"/>
      <c r="K76" s="215" t="n"/>
      <c r="L76" s="217" t="n"/>
      <c r="M76" s="689" t="n"/>
      <c r="N76" s="689" t="n"/>
      <c r="O76" s="689" t="n"/>
      <c r="P76" s="227" t="n"/>
      <c r="Q76" s="689" t="n"/>
      <c r="R76" s="689" t="n"/>
      <c r="S76" s="689" t="n"/>
      <c r="T76" s="689" t="n"/>
      <c r="U76" s="689" t="n"/>
      <c r="V76" s="689" t="n"/>
      <c r="W76" s="689" t="n"/>
      <c r="X76" s="689" t="n"/>
      <c r="Y76" s="689" t="n"/>
      <c r="Z76" s="689" t="n"/>
      <c r="AA76" s="689" t="n"/>
      <c r="AB76" s="689" t="n"/>
      <c r="AC76" s="689" t="n"/>
      <c r="AD76" s="689" t="n"/>
      <c r="AF76" s="233" t="n"/>
      <c r="AG76" s="233" t="n"/>
      <c r="AH76" s="233" t="n"/>
      <c r="AI76" s="233" t="n"/>
      <c r="AJ76" s="233" t="n"/>
      <c r="AK76" s="233" t="n"/>
      <c r="AL76" s="233" t="n"/>
      <c r="AM76" s="233" t="n"/>
      <c r="AN76" s="233" t="n"/>
      <c r="AO76" s="233" t="n"/>
      <c r="AP76" s="233" t="n"/>
      <c r="AQ76" s="233" t="n"/>
      <c r="AR76" s="233" t="n"/>
      <c r="AS76" s="233" t="n"/>
      <c r="AT76" s="233" t="n"/>
      <c r="AU76" s="233" t="n"/>
      <c r="AV76" s="233" t="n"/>
      <c r="AW76" s="233" t="n"/>
      <c r="BD76" s="692" t="n"/>
      <c r="BE76" s="692" t="n"/>
      <c r="BF76" s="692" t="n"/>
      <c r="BG76" s="692" t="n"/>
      <c r="BH76" s="692" t="n"/>
      <c r="BI76" s="692" t="n"/>
      <c r="BJ76" s="692" t="n"/>
      <c r="BK76" s="692" t="n"/>
      <c r="BL76" s="692" t="n"/>
      <c r="BM76" s="692" t="n"/>
      <c r="BN76" s="692" t="n"/>
      <c r="BO76" s="692" t="n"/>
      <c r="BP76" s="692" t="n"/>
      <c r="BQ76" s="692" t="n"/>
    </row>
    <row r="77">
      <c r="A77" s="220" t="inlineStr">
        <is>
          <t>Female</t>
        </is>
      </c>
      <c r="B77" s="211" t="inlineStr">
        <is>
          <t>200 IM</t>
        </is>
      </c>
      <c r="C77" s="190" t="n">
        <v>2022</v>
      </c>
      <c r="D77" s="211" t="inlineStr">
        <is>
          <t>SGP</t>
        </is>
      </c>
      <c r="E77" s="221" t="n">
        <v>1</v>
      </c>
      <c r="F77" s="211" t="inlineStr">
        <is>
          <t>2:15.98</t>
        </is>
      </c>
      <c r="G77" s="197" t="n">
        <v>1994</v>
      </c>
      <c r="H77" s="197">
        <f>C77-G77</f>
        <v/>
      </c>
      <c r="I77" s="201" t="inlineStr">
        <is>
          <t>Jing Wen Quah</t>
        </is>
      </c>
      <c r="J77" s="201" t="inlineStr">
        <is>
          <t>A&amp;M</t>
        </is>
      </c>
      <c r="K77" s="201" t="inlineStr">
        <is>
          <t>USA</t>
        </is>
      </c>
      <c r="L77" s="213" t="n"/>
      <c r="M77" s="689" t="n"/>
      <c r="N77" s="689" t="n"/>
      <c r="O77" s="689" t="n"/>
      <c r="P77" s="227" t="n"/>
      <c r="Q77" s="689" t="n"/>
      <c r="R77" s="689" t="n"/>
      <c r="S77" s="689" t="n"/>
      <c r="T77" s="689" t="n"/>
      <c r="U77" s="689" t="n"/>
      <c r="V77" s="689" t="n"/>
      <c r="W77" s="689" t="n"/>
      <c r="X77" s="689" t="n"/>
      <c r="Y77" s="689" t="n"/>
      <c r="Z77" s="689" t="n"/>
      <c r="AA77" s="689" t="n"/>
      <c r="AB77" s="689" t="n"/>
      <c r="AC77" s="689" t="n"/>
      <c r="AD77" s="689" t="n"/>
      <c r="AF77" s="233" t="n"/>
      <c r="AG77" s="233" t="n"/>
      <c r="AH77" s="233" t="n"/>
      <c r="AI77" s="233" t="n"/>
      <c r="AJ77" s="233" t="n"/>
      <c r="AK77" s="233" t="n"/>
      <c r="AL77" s="233" t="n"/>
      <c r="AM77" s="233" t="n"/>
      <c r="AN77" s="233" t="n"/>
      <c r="AO77" s="233" t="n"/>
      <c r="AP77" s="233" t="n"/>
      <c r="AQ77" s="233" t="n"/>
      <c r="AR77" s="233" t="n"/>
      <c r="AS77" s="233" t="n"/>
      <c r="AT77" s="233" t="n"/>
      <c r="AU77" s="233" t="n"/>
      <c r="AV77" s="233" t="n"/>
      <c r="AW77" s="233" t="n"/>
      <c r="BD77" s="692" t="n"/>
      <c r="BE77" s="692" t="n"/>
      <c r="BF77" s="692" t="n"/>
      <c r="BG77" s="692" t="n"/>
      <c r="BH77" s="692" t="n"/>
      <c r="BI77" s="692" t="n"/>
      <c r="BJ77" s="692" t="n"/>
      <c r="BK77" s="692" t="n"/>
      <c r="BL77" s="692" t="n"/>
      <c r="BM77" s="692" t="n"/>
      <c r="BN77" s="692" t="n"/>
      <c r="BO77" s="692" t="n"/>
      <c r="BP77" s="692" t="n"/>
      <c r="BQ77" s="692" t="n"/>
    </row>
    <row r="78">
      <c r="A78" s="218" t="inlineStr">
        <is>
          <t>Female</t>
        </is>
      </c>
      <c r="B78" s="215" t="inlineStr">
        <is>
          <t>200 IM</t>
        </is>
      </c>
      <c r="C78" s="189" t="n">
        <v>2022</v>
      </c>
      <c r="D78" s="215" t="inlineStr">
        <is>
          <t>SGP</t>
        </is>
      </c>
      <c r="E78" s="219" t="n">
        <v>2</v>
      </c>
      <c r="F78" s="215" t="inlineStr">
        <is>
          <t>2:16.61</t>
        </is>
      </c>
      <c r="G78" s="195" t="n">
        <v>2003</v>
      </c>
      <c r="H78" s="195">
        <f>C78-G78</f>
        <v/>
      </c>
      <c r="I78" s="200" t="inlineStr">
        <is>
          <t>Letitia EN YI Sim</t>
        </is>
      </c>
      <c r="J78" s="200" t="inlineStr">
        <is>
          <t>Michigan</t>
        </is>
      </c>
      <c r="K78" s="200" t="inlineStr">
        <is>
          <t>USA</t>
        </is>
      </c>
      <c r="L78" s="207" t="inlineStr">
        <is>
          <t>USA</t>
        </is>
      </c>
      <c r="M78" s="689" t="n"/>
      <c r="N78" s="689" t="n"/>
      <c r="O78" s="689" t="n"/>
      <c r="P78" s="227" t="n"/>
      <c r="Q78" s="689" t="n"/>
      <c r="R78" s="689" t="n"/>
      <c r="S78" s="689" t="n"/>
      <c r="T78" s="689" t="n"/>
      <c r="U78" s="689" t="n"/>
      <c r="V78" s="689" t="n"/>
      <c r="W78" s="689" t="n"/>
      <c r="X78" s="689" t="n"/>
      <c r="Y78" s="689" t="n"/>
      <c r="Z78" s="689" t="n"/>
      <c r="AA78" s="689" t="n"/>
      <c r="AB78" s="689" t="n"/>
      <c r="AC78" s="689" t="n"/>
      <c r="AD78" s="689" t="n"/>
      <c r="AF78" s="233" t="n"/>
      <c r="AG78" s="233" t="n"/>
      <c r="AH78" s="233" t="n"/>
      <c r="AI78" s="233" t="n"/>
      <c r="AJ78" s="233" t="n"/>
      <c r="AK78" s="233" t="n"/>
      <c r="AL78" s="233" t="n"/>
      <c r="AM78" s="233" t="n"/>
      <c r="AN78" s="233" t="n"/>
      <c r="AO78" s="233" t="n"/>
      <c r="AP78" s="233" t="n"/>
      <c r="AQ78" s="233" t="n"/>
      <c r="AR78" s="233" t="n"/>
      <c r="AS78" s="233" t="n"/>
      <c r="AT78" s="233" t="n"/>
      <c r="AU78" s="233" t="n"/>
      <c r="AV78" s="233" t="n"/>
      <c r="AW78" s="233" t="n"/>
      <c r="BD78" s="692" t="n"/>
      <c r="BE78" s="692" t="n"/>
      <c r="BF78" s="692" t="n"/>
      <c r="BG78" s="692" t="n"/>
      <c r="BH78" s="692" t="n"/>
      <c r="BI78" s="692" t="n"/>
      <c r="BJ78" s="692" t="n"/>
      <c r="BK78" s="692" t="n"/>
      <c r="BL78" s="692" t="n"/>
      <c r="BM78" s="692" t="n"/>
      <c r="BN78" s="692" t="n"/>
      <c r="BO78" s="692" t="n"/>
      <c r="BP78" s="692" t="n"/>
      <c r="BQ78" s="692" t="n"/>
    </row>
    <row r="79">
      <c r="A79" s="220" t="inlineStr">
        <is>
          <t>Female</t>
        </is>
      </c>
      <c r="B79" s="211" t="inlineStr">
        <is>
          <t>200 IM</t>
        </is>
      </c>
      <c r="C79" s="190" t="n">
        <v>2022</v>
      </c>
      <c r="D79" s="211" t="inlineStr">
        <is>
          <t>THA</t>
        </is>
      </c>
      <c r="E79" s="221" t="n">
        <v>3</v>
      </c>
      <c r="F79" s="211" t="inlineStr">
        <is>
          <t>2:16.75</t>
        </is>
      </c>
      <c r="G79" s="211" t="n">
        <v>2005</v>
      </c>
      <c r="H79" s="196">
        <f>C79-G79</f>
        <v/>
      </c>
      <c r="I79" s="211" t="inlineStr">
        <is>
          <t>Moji Pholjamjumrus</t>
        </is>
      </c>
      <c r="J79" s="211" t="n"/>
      <c r="K79" s="211" t="n"/>
      <c r="L79" s="213" t="n"/>
      <c r="M79" s="689" t="n"/>
      <c r="N79" s="689" t="n"/>
      <c r="O79" s="689" t="n"/>
      <c r="P79" s="227" t="n"/>
      <c r="Q79" s="689" t="n"/>
      <c r="R79" s="689" t="n"/>
      <c r="S79" s="689" t="n"/>
      <c r="T79" s="689" t="n"/>
      <c r="U79" s="689" t="n"/>
      <c r="V79" s="689" t="n"/>
      <c r="W79" s="689" t="n"/>
      <c r="X79" s="689" t="n"/>
      <c r="Y79" s="689" t="n"/>
      <c r="Z79" s="689" t="n"/>
      <c r="AA79" s="689" t="n"/>
      <c r="AB79" s="689" t="n"/>
      <c r="AC79" s="689" t="n"/>
      <c r="AD79" s="689" t="n"/>
      <c r="AF79" s="233" t="n"/>
      <c r="AG79" s="233" t="n"/>
      <c r="AH79" s="233" t="n"/>
      <c r="AI79" s="233" t="n"/>
      <c r="AJ79" s="233" t="n"/>
      <c r="AK79" s="233" t="n"/>
      <c r="AL79" s="233" t="n"/>
      <c r="AM79" s="233" t="n"/>
      <c r="AN79" s="233" t="n"/>
      <c r="AO79" s="233" t="n"/>
      <c r="AP79" s="233" t="n"/>
      <c r="AQ79" s="233" t="n"/>
      <c r="AR79" s="233" t="n"/>
      <c r="AS79" s="233" t="n"/>
      <c r="AT79" s="233" t="n"/>
      <c r="AU79" s="233" t="n"/>
      <c r="AV79" s="233" t="n"/>
      <c r="AW79" s="233" t="n"/>
      <c r="AX79" s="158" t="n"/>
      <c r="BD79" s="158" t="n"/>
      <c r="BE79" s="158" t="n"/>
      <c r="BF79" s="158" t="n"/>
      <c r="BG79" s="158" t="n"/>
      <c r="BH79" s="158" t="n"/>
      <c r="BI79" s="158" t="n"/>
      <c r="BJ79" s="692" t="n"/>
      <c r="BK79" s="692" t="n"/>
      <c r="BL79" s="692" t="n"/>
      <c r="BM79" s="692" t="n"/>
      <c r="BN79" s="692" t="n"/>
      <c r="BO79" s="692" t="n"/>
      <c r="BP79" s="692" t="n"/>
      <c r="BQ79" s="692" t="n"/>
    </row>
    <row r="80">
      <c r="A80" s="218" t="inlineStr">
        <is>
          <t>Female</t>
        </is>
      </c>
      <c r="B80" s="215" t="inlineStr">
        <is>
          <t>200 IM</t>
        </is>
      </c>
      <c r="C80" s="189" t="n">
        <v>2023</v>
      </c>
      <c r="D80" s="215" t="inlineStr">
        <is>
          <t>SGP</t>
        </is>
      </c>
      <c r="E80" s="219" t="n">
        <v>1</v>
      </c>
      <c r="F80" s="215" t="inlineStr">
        <is>
          <t>2:14.49</t>
        </is>
      </c>
      <c r="G80" s="215" t="n">
        <v>2003</v>
      </c>
      <c r="H80" s="215">
        <f>C80-G80</f>
        <v/>
      </c>
      <c r="I80" s="215" t="inlineStr">
        <is>
          <t>Letitia EN YI Sim</t>
        </is>
      </c>
      <c r="J80" s="215" t="inlineStr">
        <is>
          <t>Michigan</t>
        </is>
      </c>
      <c r="K80" s="215" t="inlineStr">
        <is>
          <t>USA</t>
        </is>
      </c>
      <c r="L80" s="217" t="inlineStr">
        <is>
          <t>USA</t>
        </is>
      </c>
      <c r="M80" s="689" t="n"/>
      <c r="N80" s="689" t="n"/>
      <c r="O80" s="689" t="n"/>
      <c r="P80" s="227" t="n"/>
      <c r="Q80" s="689" t="n"/>
      <c r="R80" s="689" t="n"/>
      <c r="S80" s="689" t="n"/>
      <c r="T80" s="689" t="n"/>
      <c r="U80" s="689" t="n"/>
      <c r="V80" s="689" t="n"/>
      <c r="W80" s="689" t="n"/>
      <c r="X80" s="689" t="n"/>
      <c r="Y80" s="689" t="n"/>
      <c r="Z80" s="689" t="n"/>
      <c r="AA80" s="689" t="n"/>
      <c r="AB80" s="689" t="n"/>
      <c r="AC80" s="689" t="n"/>
      <c r="AD80" s="689" t="n"/>
      <c r="AF80" s="233" t="n"/>
      <c r="AG80" s="233" t="n"/>
      <c r="AH80" s="233" t="n"/>
      <c r="AI80" s="233" t="n"/>
      <c r="AJ80" s="233" t="n"/>
      <c r="AK80" s="233" t="n"/>
      <c r="AL80" s="233" t="n"/>
      <c r="AM80" s="233" t="n"/>
      <c r="AN80" s="233" t="n"/>
      <c r="AO80" s="233" t="n"/>
      <c r="AP80" s="233" t="n"/>
      <c r="AQ80" s="233" t="n"/>
      <c r="AR80" s="234" t="n"/>
      <c r="AS80" s="234" t="n"/>
      <c r="AT80" s="234" t="n"/>
      <c r="AU80" s="234" t="n"/>
      <c r="AV80" s="234" t="n"/>
      <c r="AW80" s="234" t="n"/>
      <c r="AX80" s="692" t="n"/>
      <c r="BD80" s="692" t="n"/>
      <c r="BE80" s="692" t="n"/>
      <c r="BF80" s="692" t="n"/>
      <c r="BG80" s="692" t="n"/>
      <c r="BH80" s="158" t="n"/>
      <c r="BI80" s="158" t="n"/>
      <c r="BJ80" s="692" t="n"/>
      <c r="BK80" s="692" t="n"/>
      <c r="BL80" s="692" t="n"/>
      <c r="BM80" s="692" t="n"/>
      <c r="BN80" s="692" t="n"/>
      <c r="BO80" s="692" t="n"/>
      <c r="BP80" s="692" t="n"/>
      <c r="BQ80" s="692" t="n"/>
    </row>
    <row r="81">
      <c r="A81" s="220" t="inlineStr">
        <is>
          <t>Female</t>
        </is>
      </c>
      <c r="B81" s="211" t="inlineStr">
        <is>
          <t>200 IM</t>
        </is>
      </c>
      <c r="C81" s="190" t="n">
        <v>2023</v>
      </c>
      <c r="D81" s="211" t="inlineStr">
        <is>
          <t>THA</t>
        </is>
      </c>
      <c r="E81" s="221" t="n">
        <v>2</v>
      </c>
      <c r="F81" s="211" t="inlineStr">
        <is>
          <t>2:16.16</t>
        </is>
      </c>
      <c r="G81" s="211" t="n">
        <v>2005</v>
      </c>
      <c r="H81" s="211">
        <f>C81-G81</f>
        <v/>
      </c>
      <c r="I81" s="211" t="inlineStr">
        <is>
          <t>Kamonchanok Kwanmuang</t>
        </is>
      </c>
      <c r="J81" s="211" t="n"/>
      <c r="K81" s="211" t="n"/>
      <c r="L81" s="213" t="n"/>
      <c r="M81" s="689" t="n"/>
      <c r="N81" s="689" t="n"/>
      <c r="O81" s="689" t="n"/>
      <c r="P81" s="227" t="n"/>
      <c r="Q81" s="689" t="n"/>
      <c r="R81" s="689" t="n"/>
      <c r="S81" s="689" t="n"/>
      <c r="T81" s="689" t="n"/>
      <c r="U81" s="689" t="n"/>
      <c r="V81" s="689" t="n"/>
      <c r="W81" s="689" t="n"/>
      <c r="X81" s="689" t="n"/>
      <c r="Y81" s="689" t="n"/>
      <c r="Z81" s="689" t="n"/>
      <c r="AA81" s="689" t="n"/>
      <c r="AB81" s="689" t="n"/>
      <c r="AC81" s="689" t="n"/>
      <c r="AD81" s="689" t="n"/>
      <c r="AF81" s="233" t="n"/>
      <c r="AG81" s="233" t="n"/>
      <c r="AH81" s="233" t="n"/>
      <c r="AI81" s="233" t="n"/>
      <c r="AJ81" s="233" t="n"/>
      <c r="AK81" s="233" t="n"/>
      <c r="AL81" s="233" t="n"/>
      <c r="AM81" s="233" t="n"/>
      <c r="AN81" s="233" t="n"/>
      <c r="AO81" s="233" t="n"/>
      <c r="AP81" s="233" t="n"/>
      <c r="AQ81" s="233" t="n"/>
      <c r="AR81" s="236" t="n"/>
      <c r="AS81" s="236" t="n"/>
      <c r="AT81" s="236" t="n"/>
      <c r="AU81" s="236" t="n"/>
      <c r="AV81" s="236" t="n"/>
      <c r="AW81" s="236" t="n"/>
      <c r="AX81" s="692" t="n"/>
      <c r="BD81" s="692" t="n"/>
      <c r="BE81" s="692" t="n"/>
      <c r="BF81" s="692" t="n"/>
      <c r="BG81" s="692" t="n"/>
      <c r="BH81" s="692" t="n"/>
      <c r="BI81" s="158" t="n"/>
      <c r="BJ81" s="692" t="n"/>
      <c r="BK81" s="692" t="n"/>
      <c r="BL81" s="692" t="n"/>
      <c r="BM81" s="692" t="n"/>
      <c r="BN81" s="692" t="n"/>
      <c r="BO81" s="692" t="n"/>
      <c r="BP81" s="692" t="n"/>
      <c r="BQ81" s="692" t="n"/>
    </row>
    <row r="82">
      <c r="A82" s="218" t="inlineStr">
        <is>
          <t>Female</t>
        </is>
      </c>
      <c r="B82" s="215" t="inlineStr">
        <is>
          <t>200 IM</t>
        </is>
      </c>
      <c r="C82" s="189" t="n">
        <v>2023</v>
      </c>
      <c r="D82" s="215" t="inlineStr">
        <is>
          <t>SGP</t>
        </is>
      </c>
      <c r="E82" s="219" t="n">
        <v>3</v>
      </c>
      <c r="F82" s="215" t="inlineStr">
        <is>
          <t>2:16.39</t>
        </is>
      </c>
      <c r="G82" s="215" t="n">
        <v>1994</v>
      </c>
      <c r="H82" s="215">
        <f>C82-G82</f>
        <v/>
      </c>
      <c r="I82" s="215" t="inlineStr">
        <is>
          <t>Jing Wen Quah</t>
        </is>
      </c>
      <c r="J82" s="215" t="inlineStr">
        <is>
          <t>A&amp;M</t>
        </is>
      </c>
      <c r="K82" s="215" t="inlineStr">
        <is>
          <t>USA</t>
        </is>
      </c>
      <c r="L82" s="217" t="n"/>
      <c r="M82" s="689" t="n"/>
      <c r="N82" s="689" t="n"/>
      <c r="O82" s="689" t="n"/>
      <c r="P82" s="227" t="n"/>
      <c r="Q82" s="689" t="n"/>
      <c r="R82" s="689" t="n"/>
      <c r="S82" s="689" t="n"/>
      <c r="T82" s="689" t="n"/>
      <c r="U82" s="689" t="n"/>
      <c r="V82" s="689" t="n"/>
      <c r="W82" s="689" t="n"/>
      <c r="X82" s="689" t="n"/>
      <c r="Y82" s="689" t="n"/>
      <c r="Z82" s="689" t="n"/>
      <c r="AA82" s="689" t="n"/>
      <c r="AB82" s="689" t="n"/>
      <c r="AC82" s="689" t="n"/>
      <c r="AD82" s="689" t="n"/>
      <c r="AF82" s="233" t="n"/>
      <c r="AG82" s="233" t="n"/>
      <c r="AH82" s="233" t="n"/>
      <c r="AI82" s="233" t="n"/>
      <c r="AJ82" s="233" t="n"/>
      <c r="AK82" s="233" t="n"/>
      <c r="AL82" s="233" t="n"/>
      <c r="AM82" s="233" t="n"/>
      <c r="AN82" s="233" t="n"/>
      <c r="AO82" s="233" t="n"/>
      <c r="AP82" s="233" t="n"/>
      <c r="AQ82" s="233" t="n"/>
      <c r="AR82" s="236" t="n"/>
      <c r="AS82" s="236" t="n"/>
      <c r="AT82" s="236" t="n"/>
      <c r="AU82" s="236" t="n"/>
      <c r="AV82" s="236" t="n"/>
      <c r="AW82" s="236" t="n"/>
      <c r="AX82" s="692" t="n"/>
      <c r="BD82" s="692" t="n"/>
      <c r="BE82" s="692" t="n"/>
      <c r="BF82" s="692" t="n"/>
      <c r="BG82" s="692" t="n"/>
      <c r="BH82" s="692" t="n"/>
      <c r="BI82" s="692" t="n"/>
      <c r="BJ82" s="692" t="n"/>
      <c r="BK82" s="692" t="n"/>
      <c r="BL82" s="692" t="n"/>
      <c r="BM82" s="692" t="n"/>
      <c r="BN82" s="692" t="n"/>
      <c r="BO82" s="692" t="n"/>
      <c r="BP82" s="692" t="n"/>
      <c r="BQ82" s="692" t="n"/>
    </row>
    <row r="83">
      <c r="A83" s="220" t="inlineStr">
        <is>
          <t>Female</t>
        </is>
      </c>
      <c r="B83" s="211" t="inlineStr">
        <is>
          <t>400 Free</t>
        </is>
      </c>
      <c r="C83" s="190" t="n">
        <v>2019</v>
      </c>
      <c r="D83" s="211" t="inlineStr">
        <is>
          <t>VIE</t>
        </is>
      </c>
      <c r="E83" s="221" t="n">
        <v>1</v>
      </c>
      <c r="F83" s="211" t="inlineStr">
        <is>
          <t>4:13.20</t>
        </is>
      </c>
      <c r="G83" s="211" t="n">
        <v>1996</v>
      </c>
      <c r="H83" s="211">
        <f>C83-G83</f>
        <v/>
      </c>
      <c r="I83" s="211" t="inlineStr">
        <is>
          <t>Nguyen Thi Anh Vien</t>
        </is>
      </c>
      <c r="J83" s="211" t="n"/>
      <c r="K83" s="211" t="n"/>
      <c r="L83" s="213" t="n"/>
      <c r="M83" s="689" t="n"/>
      <c r="N83" s="689" t="n"/>
      <c r="O83" s="689" t="n"/>
      <c r="P83" s="227" t="n"/>
      <c r="Q83" s="689" t="n"/>
      <c r="R83" s="689" t="n"/>
      <c r="S83" s="689" t="n"/>
      <c r="T83" s="689" t="n"/>
      <c r="U83" s="689" t="n"/>
      <c r="V83" s="689" t="n"/>
      <c r="W83" s="689" t="n"/>
      <c r="X83" s="689" t="n"/>
      <c r="Y83" s="689" t="n"/>
      <c r="Z83" s="689" t="n"/>
      <c r="AA83" s="689" t="n"/>
      <c r="AB83" s="689" t="n"/>
      <c r="AC83" s="689" t="n"/>
      <c r="AD83" s="689" t="n"/>
      <c r="AF83" s="233" t="n"/>
      <c r="AG83" s="233" t="n"/>
      <c r="AH83" s="233" t="n"/>
      <c r="AI83" s="233" t="n"/>
      <c r="AJ83" s="233" t="n"/>
      <c r="AK83" s="233" t="n"/>
      <c r="AL83" s="233" t="n"/>
      <c r="AM83" s="233" t="n"/>
      <c r="AN83" s="233" t="n"/>
      <c r="AO83" s="233" t="n"/>
      <c r="AP83" s="233" t="n"/>
      <c r="AQ83" s="233" t="n"/>
      <c r="AR83" s="236" t="n"/>
      <c r="AS83" s="236" t="n"/>
      <c r="AT83" s="236" t="n"/>
      <c r="AU83" s="236" t="n"/>
      <c r="AV83" s="236" t="n"/>
      <c r="AW83" s="236" t="n"/>
      <c r="AX83" s="692" t="n"/>
      <c r="BD83" s="692" t="n"/>
      <c r="BE83" s="692" t="n"/>
      <c r="BF83" s="158" t="n"/>
      <c r="BG83" s="158" t="n"/>
      <c r="BH83" s="158" t="n"/>
      <c r="BI83" s="158" t="n"/>
      <c r="BJ83" s="692" t="n"/>
      <c r="BK83" s="692" t="n"/>
      <c r="BL83" s="692" t="n"/>
      <c r="BM83" s="692" t="n"/>
      <c r="BN83" s="692" t="n"/>
      <c r="BO83" s="692" t="n"/>
      <c r="BP83" s="692" t="n"/>
      <c r="BQ83" s="692" t="n"/>
    </row>
    <row r="84">
      <c r="A84" s="218" t="inlineStr">
        <is>
          <t>Female</t>
        </is>
      </c>
      <c r="B84" s="215" t="inlineStr">
        <is>
          <t>400 Free</t>
        </is>
      </c>
      <c r="C84" s="189" t="n">
        <v>2019</v>
      </c>
      <c r="D84" s="215" t="inlineStr">
        <is>
          <t>SGP</t>
        </is>
      </c>
      <c r="E84" s="219" t="n">
        <v>2</v>
      </c>
      <c r="F84" s="215" t="inlineStr">
        <is>
          <t>4:14.56</t>
        </is>
      </c>
      <c r="G84" s="215" t="n">
        <v>2003</v>
      </c>
      <c r="H84" s="215">
        <f>C84-G84</f>
        <v/>
      </c>
      <c r="I84" s="215" t="inlineStr">
        <is>
          <t>Ching Hwee Gan</t>
        </is>
      </c>
      <c r="J84" s="215" t="inlineStr">
        <is>
          <t>Indiana</t>
        </is>
      </c>
      <c r="K84" s="215" t="inlineStr">
        <is>
          <t>USA</t>
        </is>
      </c>
      <c r="L84" s="217" t="n"/>
      <c r="M84" s="689" t="n"/>
      <c r="N84" s="689" t="n"/>
      <c r="O84" s="689" t="n"/>
      <c r="P84" s="227" t="n"/>
      <c r="Q84" s="689" t="n"/>
      <c r="R84" s="689" t="n"/>
      <c r="S84" s="689" t="n"/>
      <c r="T84" s="689" t="n"/>
      <c r="U84" s="689" t="n"/>
      <c r="V84" s="689" t="n"/>
      <c r="W84" s="689" t="n"/>
      <c r="X84" s="689" t="n"/>
      <c r="Y84" s="689" t="n"/>
      <c r="Z84" s="689" t="n"/>
      <c r="AA84" s="689" t="n"/>
      <c r="AB84" s="689" t="n"/>
      <c r="AC84" s="689" t="n"/>
      <c r="AD84" s="689" t="n"/>
      <c r="AF84" s="233" t="n"/>
      <c r="AG84" s="233" t="n"/>
      <c r="AH84" s="233" t="n"/>
      <c r="AI84" s="233" t="n"/>
      <c r="AJ84" s="233" t="n"/>
      <c r="AK84" s="233" t="n"/>
      <c r="AL84" s="233" t="n"/>
      <c r="AM84" s="233" t="n"/>
      <c r="AN84" s="233" t="n"/>
      <c r="AO84" s="233" t="n"/>
      <c r="AP84" s="233" t="n"/>
      <c r="AQ84" s="233" t="n"/>
      <c r="AR84" s="236" t="n"/>
      <c r="AS84" s="236" t="n"/>
      <c r="AT84" s="236" t="n"/>
      <c r="AU84" s="236" t="n"/>
      <c r="AV84" s="236" t="n"/>
      <c r="AW84" s="236" t="n"/>
      <c r="AX84" s="692" t="n"/>
      <c r="BD84" s="692" t="n"/>
      <c r="BE84" s="692" t="n"/>
      <c r="BF84" s="692" t="n"/>
      <c r="BG84" s="692" t="n"/>
      <c r="BH84" s="158" t="n"/>
      <c r="BI84" s="158" t="n"/>
      <c r="BJ84" s="158" t="n"/>
      <c r="BK84" s="158" t="n"/>
      <c r="BL84" s="158" t="n"/>
      <c r="BM84" s="692" t="n"/>
      <c r="BN84" s="692" t="n"/>
      <c r="BO84" s="692" t="n"/>
      <c r="BP84" s="692" t="n"/>
      <c r="BQ84" s="692" t="n"/>
    </row>
    <row r="85">
      <c r="A85" s="220" t="inlineStr">
        <is>
          <t>Female</t>
        </is>
      </c>
      <c r="B85" s="211" t="inlineStr">
        <is>
          <t>400 Free</t>
        </is>
      </c>
      <c r="C85" s="190" t="n">
        <v>2019</v>
      </c>
      <c r="D85" s="211" t="inlineStr">
        <is>
          <t>THA</t>
        </is>
      </c>
      <c r="E85" s="221" t="n">
        <v>3</v>
      </c>
      <c r="F85" s="211" t="inlineStr">
        <is>
          <t>4:17.59</t>
        </is>
      </c>
      <c r="G85" s="211" t="n">
        <v>1986</v>
      </c>
      <c r="H85" s="211">
        <f>C85-G85</f>
        <v/>
      </c>
      <c r="I85" s="211" t="inlineStr">
        <is>
          <t>Natthanan Junkrajang</t>
        </is>
      </c>
      <c r="J85" s="211" t="n"/>
      <c r="K85" s="211" t="n"/>
      <c r="L85" s="213" t="n"/>
      <c r="M85" s="689" t="n"/>
      <c r="N85" s="689" t="n"/>
      <c r="O85" s="689" t="n"/>
      <c r="P85" s="227" t="n"/>
      <c r="Q85" s="689" t="n"/>
      <c r="R85" s="689" t="n"/>
      <c r="S85" s="689" t="n"/>
      <c r="T85" s="689" t="n"/>
      <c r="U85" s="689" t="n"/>
      <c r="V85" s="689" t="n"/>
      <c r="W85" s="689" t="n"/>
      <c r="X85" s="689" t="n"/>
      <c r="Y85" s="689" t="n"/>
      <c r="Z85" s="689" t="n"/>
      <c r="AA85" s="689" t="n"/>
      <c r="AB85" s="689" t="n"/>
      <c r="AC85" s="689" t="n"/>
      <c r="AD85" s="689" t="n"/>
      <c r="AF85" s="233" t="n"/>
      <c r="AG85" s="233" t="n"/>
      <c r="AH85" s="233" t="n"/>
      <c r="AI85" s="233" t="n"/>
      <c r="AJ85" s="233" t="n"/>
      <c r="AK85" s="233" t="n"/>
      <c r="AL85" s="233" t="n"/>
      <c r="AM85" s="233" t="n"/>
      <c r="AN85" s="233" t="n"/>
      <c r="AO85" s="233" t="n"/>
      <c r="AP85" s="233" t="n"/>
      <c r="AQ85" s="233" t="n"/>
      <c r="AR85" s="236" t="n"/>
      <c r="AS85" s="236" t="n"/>
      <c r="AT85" s="236" t="n"/>
      <c r="AU85" s="236" t="n"/>
      <c r="AV85" s="236" t="n"/>
      <c r="AW85" s="236" t="n"/>
      <c r="AX85" s="692" t="n"/>
      <c r="BD85" s="158" t="n"/>
      <c r="BE85" s="158" t="n"/>
      <c r="BF85" s="158" t="n"/>
      <c r="BG85" s="158" t="n"/>
      <c r="BH85" s="158" t="n"/>
      <c r="BI85" s="158" t="n"/>
      <c r="BJ85" s="158" t="n"/>
      <c r="BK85" s="158" t="n"/>
      <c r="BL85" s="158" t="n"/>
      <c r="BM85" s="158" t="n"/>
      <c r="BN85" s="158" t="n"/>
      <c r="BO85" s="158" t="n"/>
      <c r="BP85" s="158" t="n"/>
      <c r="BQ85" s="158" t="n"/>
    </row>
    <row r="86">
      <c r="A86" s="218" t="inlineStr">
        <is>
          <t>Female</t>
        </is>
      </c>
      <c r="B86" s="215" t="inlineStr">
        <is>
          <t>400 Free</t>
        </is>
      </c>
      <c r="C86" s="189" t="n">
        <v>2022</v>
      </c>
      <c r="D86" s="215" t="inlineStr">
        <is>
          <t>SGP</t>
        </is>
      </c>
      <c r="E86" s="219" t="n">
        <v>1</v>
      </c>
      <c r="F86" s="215" t="inlineStr">
        <is>
          <t>4:14.16</t>
        </is>
      </c>
      <c r="G86" s="195" t="n">
        <v>2003</v>
      </c>
      <c r="H86" s="195">
        <f>C86-G86</f>
        <v/>
      </c>
      <c r="I86" s="200" t="inlineStr">
        <is>
          <t>Ching Hwee Gan</t>
        </is>
      </c>
      <c r="J86" s="200" t="inlineStr">
        <is>
          <t>Indiana</t>
        </is>
      </c>
      <c r="K86" s="200" t="inlineStr">
        <is>
          <t>USA</t>
        </is>
      </c>
      <c r="L86" s="217" t="n"/>
      <c r="M86" s="689" t="n"/>
      <c r="N86" s="689" t="n"/>
      <c r="O86" s="689" t="n"/>
      <c r="P86" s="227" t="n"/>
      <c r="Q86" s="689" t="n"/>
      <c r="R86" s="689" t="n"/>
      <c r="S86" s="689" t="n"/>
      <c r="T86" s="689" t="n"/>
      <c r="U86" s="689" t="n"/>
      <c r="V86" s="689" t="n"/>
      <c r="W86" s="689" t="n"/>
      <c r="X86" s="689" t="n"/>
      <c r="Y86" s="689" t="n"/>
      <c r="Z86" s="689" t="n"/>
      <c r="AA86" s="689" t="n"/>
      <c r="AB86" s="689" t="n"/>
      <c r="AC86" s="689" t="n"/>
      <c r="AD86" s="689" t="n"/>
      <c r="AF86" s="233" t="n"/>
      <c r="AG86" s="233" t="n"/>
      <c r="AH86" s="233" t="n"/>
      <c r="AI86" s="233" t="n"/>
      <c r="AJ86" s="233" t="n"/>
      <c r="AK86" s="233" t="n"/>
      <c r="AL86" s="233" t="n"/>
      <c r="AM86" s="233" t="n"/>
      <c r="AN86" s="233" t="n"/>
      <c r="AO86" s="233" t="n"/>
      <c r="AP86" s="233" t="n"/>
      <c r="AQ86" s="233" t="n"/>
      <c r="AR86" s="236" t="n"/>
      <c r="AS86" s="236" t="n"/>
      <c r="AT86" s="236" t="n"/>
      <c r="AU86" s="236" t="n"/>
      <c r="AV86" s="236" t="n"/>
      <c r="AW86" s="236" t="n"/>
      <c r="AX86" s="692" t="n"/>
      <c r="BD86" s="158" t="n"/>
      <c r="BE86" s="158" t="n"/>
      <c r="BF86" s="158" t="n"/>
      <c r="BG86" s="158" t="n"/>
      <c r="BH86" s="158" t="n"/>
      <c r="BI86" s="158" t="n"/>
      <c r="BJ86" s="692" t="n"/>
      <c r="BK86" s="692" t="n"/>
      <c r="BL86" s="692" t="n"/>
      <c r="BM86" s="692" t="n"/>
      <c r="BN86" s="692" t="n"/>
      <c r="BO86" s="692" t="n"/>
      <c r="BP86" s="692" t="n"/>
      <c r="BQ86" s="692" t="n"/>
    </row>
    <row r="87">
      <c r="A87" s="220" t="inlineStr">
        <is>
          <t>Female</t>
        </is>
      </c>
      <c r="B87" s="211" t="inlineStr">
        <is>
          <t>400 Free</t>
        </is>
      </c>
      <c r="C87" s="190" t="n">
        <v>2022</v>
      </c>
      <c r="D87" s="211" t="inlineStr">
        <is>
          <t>THA</t>
        </is>
      </c>
      <c r="E87" s="221" t="n">
        <v>2</v>
      </c>
      <c r="F87" s="211" t="inlineStr">
        <is>
          <t>4:17.13</t>
        </is>
      </c>
      <c r="G87" s="196" t="n">
        <v>2005</v>
      </c>
      <c r="H87" s="196">
        <f>C87-G87</f>
        <v/>
      </c>
      <c r="I87" s="198" t="inlineStr">
        <is>
          <t>Kamonchanok Kwanmuang</t>
        </is>
      </c>
      <c r="J87" s="211" t="n"/>
      <c r="K87" s="211" t="n"/>
      <c r="L87" s="213" t="n"/>
      <c r="M87" s="689" t="n"/>
      <c r="N87" s="689" t="n"/>
      <c r="O87" s="689" t="n"/>
      <c r="P87" s="227" t="n"/>
      <c r="Q87" s="689" t="n"/>
      <c r="R87" s="689" t="n"/>
      <c r="S87" s="689" t="n"/>
      <c r="T87" s="689" t="n"/>
      <c r="U87" s="689" t="n"/>
      <c r="V87" s="689" t="n"/>
      <c r="W87" s="689" t="n"/>
      <c r="X87" s="689" t="n"/>
      <c r="Y87" s="689" t="n"/>
      <c r="Z87" s="689" t="n"/>
      <c r="AA87" s="689" t="n"/>
      <c r="AB87" s="689" t="n"/>
      <c r="AC87" s="689" t="n"/>
      <c r="AD87" s="689" t="n"/>
      <c r="AF87" s="233" t="n"/>
      <c r="AG87" s="233" t="n"/>
      <c r="AH87" s="233" t="n"/>
      <c r="AI87" s="233" t="n"/>
      <c r="AJ87" s="233" t="n"/>
      <c r="AK87" s="233" t="n"/>
      <c r="AL87" s="233" t="n"/>
      <c r="AM87" s="233" t="n"/>
      <c r="AN87" s="233" t="n"/>
      <c r="AO87" s="233" t="n"/>
      <c r="AP87" s="233" t="n"/>
      <c r="AQ87" s="233" t="n"/>
      <c r="AR87" s="236" t="n"/>
      <c r="AS87" s="236" t="n"/>
      <c r="AT87" s="236" t="n"/>
      <c r="AU87" s="236" t="n"/>
      <c r="AV87" s="236" t="n"/>
      <c r="AW87" s="236" t="n"/>
      <c r="AX87" s="692" t="n"/>
      <c r="BD87" s="158" t="n"/>
      <c r="BE87" s="158" t="n"/>
      <c r="BF87" s="158" t="n"/>
      <c r="BG87" s="158" t="n"/>
      <c r="BH87" s="158" t="n"/>
      <c r="BI87" s="158" t="n"/>
      <c r="BJ87" s="692" t="n"/>
      <c r="BK87" s="692" t="n"/>
      <c r="BL87" s="692" t="n"/>
      <c r="BM87" s="692" t="n"/>
      <c r="BN87" s="692" t="n"/>
      <c r="BO87" s="692" t="n"/>
      <c r="BP87" s="692" t="n"/>
      <c r="BQ87" s="692" t="n"/>
    </row>
    <row r="88">
      <c r="A88" s="218" t="inlineStr">
        <is>
          <t>Female</t>
        </is>
      </c>
      <c r="B88" s="215" t="inlineStr">
        <is>
          <t>400 Free</t>
        </is>
      </c>
      <c r="C88" s="189" t="n">
        <v>2022</v>
      </c>
      <c r="D88" s="215" t="inlineStr">
        <is>
          <t>VIE</t>
        </is>
      </c>
      <c r="E88" s="219" t="n">
        <v>3</v>
      </c>
      <c r="F88" s="215" t="inlineStr">
        <is>
          <t>4:17.52</t>
        </is>
      </c>
      <c r="G88" s="215" t="n">
        <v>1996</v>
      </c>
      <c r="H88" s="202">
        <f>C88-G88</f>
        <v/>
      </c>
      <c r="I88" s="590" t="inlineStr">
        <is>
          <t>MY Thao LE Thi</t>
        </is>
      </c>
      <c r="J88" s="215" t="n"/>
      <c r="K88" s="215" t="n"/>
      <c r="L88" s="217" t="n"/>
      <c r="M88" s="689" t="n"/>
      <c r="N88" s="689" t="n"/>
      <c r="O88" s="689" t="n"/>
      <c r="P88" s="227" t="n"/>
      <c r="Q88" s="689" t="n"/>
      <c r="R88" s="689" t="n"/>
      <c r="S88" s="689" t="n"/>
      <c r="T88" s="689" t="n"/>
      <c r="U88" s="689" t="n"/>
      <c r="V88" s="689" t="n"/>
      <c r="W88" s="689" t="n"/>
      <c r="X88" s="689" t="n"/>
      <c r="Y88" s="689" t="n"/>
      <c r="Z88" s="689" t="n"/>
      <c r="AA88" s="689" t="n"/>
      <c r="AB88" s="689" t="n"/>
      <c r="AC88" s="689" t="n"/>
      <c r="AD88" s="689" t="n"/>
      <c r="AF88" s="233" t="n"/>
      <c r="AG88" s="233" t="n"/>
      <c r="AH88" s="233" t="n"/>
      <c r="AI88" s="233" t="n"/>
      <c r="AJ88" s="233" t="n"/>
      <c r="AK88" s="233" t="n"/>
      <c r="AL88" s="233" t="n"/>
      <c r="AM88" s="233" t="n"/>
      <c r="AN88" s="233" t="n"/>
      <c r="AO88" s="233" t="n"/>
      <c r="AP88" s="233" t="n"/>
      <c r="AQ88" s="233" t="n"/>
      <c r="AR88" s="236" t="n"/>
      <c r="AS88" s="236" t="n"/>
      <c r="AT88" s="236" t="n"/>
      <c r="AU88" s="236" t="n"/>
      <c r="AV88" s="236" t="n"/>
      <c r="AW88" s="236" t="n"/>
      <c r="AX88" s="692" t="n"/>
      <c r="BD88" s="158" t="n"/>
      <c r="BE88" s="158" t="n"/>
      <c r="BF88" s="158" t="n"/>
      <c r="BG88" s="158" t="n"/>
      <c r="BH88" s="158" t="n"/>
      <c r="BI88" s="158" t="n"/>
      <c r="BJ88" s="692" t="n"/>
      <c r="BK88" s="692" t="n"/>
      <c r="BL88" s="692" t="n"/>
      <c r="BM88" s="692" t="n"/>
      <c r="BN88" s="692" t="n"/>
      <c r="BO88" s="692" t="n"/>
      <c r="BP88" s="692" t="n"/>
      <c r="BQ88" s="692" t="n"/>
    </row>
    <row r="89">
      <c r="A89" s="220" t="inlineStr">
        <is>
          <t>Female</t>
        </is>
      </c>
      <c r="B89" s="211" t="inlineStr">
        <is>
          <t>400 Free</t>
        </is>
      </c>
      <c r="C89" s="190" t="n">
        <v>2023</v>
      </c>
      <c r="D89" s="211" t="inlineStr">
        <is>
          <t>SGP</t>
        </is>
      </c>
      <c r="E89" s="221" t="n">
        <v>1</v>
      </c>
      <c r="F89" s="211" t="inlineStr">
        <is>
          <t>4:15.17</t>
        </is>
      </c>
      <c r="G89" s="211" t="n">
        <v>2003</v>
      </c>
      <c r="H89" s="211">
        <f>C89-G89</f>
        <v/>
      </c>
      <c r="I89" s="211" t="inlineStr">
        <is>
          <t>Ching Hwee Gan</t>
        </is>
      </c>
      <c r="J89" s="211" t="inlineStr">
        <is>
          <t>Indiana</t>
        </is>
      </c>
      <c r="K89" s="211" t="inlineStr">
        <is>
          <t>USA</t>
        </is>
      </c>
      <c r="L89" s="213" t="n"/>
      <c r="M89" s="689" t="n"/>
      <c r="N89" s="689" t="n"/>
      <c r="O89" s="689" t="n"/>
      <c r="P89" s="227" t="n"/>
      <c r="Q89" s="689" t="n"/>
      <c r="R89" s="689" t="n"/>
      <c r="S89" s="689" t="n"/>
      <c r="T89" s="689" t="n"/>
      <c r="U89" s="689" t="n"/>
      <c r="V89" s="689" t="n"/>
      <c r="W89" s="689" t="n"/>
      <c r="X89" s="689" t="n"/>
      <c r="Y89" s="689" t="n"/>
      <c r="Z89" s="689" t="n"/>
      <c r="AA89" s="689" t="n"/>
      <c r="AB89" s="689" t="n"/>
      <c r="AC89" s="689" t="n"/>
      <c r="AD89" s="689" t="n"/>
      <c r="AF89" s="233" t="n"/>
      <c r="AG89" s="233" t="n"/>
      <c r="AH89" s="233" t="n"/>
      <c r="AI89" s="233" t="n"/>
      <c r="AJ89" s="233" t="n"/>
      <c r="AK89" s="233" t="n"/>
      <c r="AL89" s="233" t="n"/>
      <c r="AM89" s="233" t="n"/>
      <c r="AN89" s="233" t="n"/>
      <c r="AO89" s="233" t="n"/>
      <c r="AP89" s="233" t="n"/>
      <c r="AQ89" s="233" t="n"/>
      <c r="AR89" s="236" t="n"/>
      <c r="AS89" s="236" t="n"/>
      <c r="AT89" s="236" t="n"/>
      <c r="AU89" s="236" t="n"/>
      <c r="AV89" s="236" t="n"/>
      <c r="AW89" s="236" t="n"/>
      <c r="AX89" s="692" t="n"/>
      <c r="BD89" s="158" t="n"/>
      <c r="BE89" s="158" t="n"/>
      <c r="BF89" s="158" t="n"/>
      <c r="BG89" s="158" t="n"/>
      <c r="BH89" s="158" t="n"/>
      <c r="BI89" s="158" t="n"/>
      <c r="BJ89" s="692" t="n"/>
      <c r="BK89" s="692" t="n"/>
      <c r="BL89" s="692" t="n"/>
      <c r="BM89" s="692" t="n"/>
      <c r="BN89" s="692" t="n"/>
      <c r="BO89" s="692" t="n"/>
      <c r="BP89" s="692" t="n"/>
      <c r="BQ89" s="692" t="n"/>
    </row>
    <row r="90">
      <c r="A90" s="218" t="inlineStr">
        <is>
          <t>Female</t>
        </is>
      </c>
      <c r="B90" s="215" t="inlineStr">
        <is>
          <t>400 Free</t>
        </is>
      </c>
      <c r="C90" s="189" t="n">
        <v>2023</v>
      </c>
      <c r="D90" s="215" t="inlineStr">
        <is>
          <t>SGP</t>
        </is>
      </c>
      <c r="E90" s="219" t="n">
        <v>2</v>
      </c>
      <c r="F90" s="215" t="inlineStr">
        <is>
          <t>4:17.16</t>
        </is>
      </c>
      <c r="G90" s="215" t="n">
        <v>2005</v>
      </c>
      <c r="H90" s="215">
        <f>C90-G90</f>
        <v/>
      </c>
      <c r="I90" s="215" t="inlineStr">
        <is>
          <t>Ashley Yi-Xuan Lim</t>
        </is>
      </c>
      <c r="J90" s="215" t="n"/>
      <c r="K90" s="215" t="n"/>
      <c r="L90" s="217" t="n"/>
      <c r="M90" s="689" t="n"/>
      <c r="N90" s="689" t="n"/>
      <c r="O90" s="689" t="n"/>
      <c r="P90" s="227" t="n"/>
      <c r="Q90" s="689" t="n"/>
      <c r="R90" s="689" t="n"/>
      <c r="S90" s="689" t="n"/>
      <c r="T90" s="689" t="n"/>
      <c r="U90" s="689" t="n"/>
      <c r="V90" s="689" t="n"/>
      <c r="W90" s="689" t="n"/>
      <c r="X90" s="689" t="n"/>
      <c r="Y90" s="689" t="n"/>
      <c r="Z90" s="689" t="n"/>
      <c r="AA90" s="689" t="n"/>
      <c r="AB90" s="689" t="n"/>
      <c r="AC90" s="689" t="n"/>
      <c r="AD90" s="689" t="n"/>
      <c r="AF90" s="233" t="n"/>
      <c r="AG90" s="233" t="n"/>
      <c r="AH90" s="233" t="n"/>
      <c r="AI90" s="233" t="n"/>
      <c r="AJ90" s="233" t="n"/>
      <c r="AK90" s="233" t="n"/>
      <c r="AL90" s="233" t="n"/>
      <c r="AM90" s="233" t="n"/>
      <c r="AN90" s="233" t="n"/>
      <c r="AO90" s="233" t="n"/>
      <c r="AP90" s="233" t="n"/>
      <c r="AQ90" s="233" t="n"/>
      <c r="AR90" s="236" t="n"/>
      <c r="AS90" s="236" t="n"/>
      <c r="AT90" s="236" t="n"/>
      <c r="AU90" s="236" t="n"/>
      <c r="AV90" s="236" t="n"/>
      <c r="AW90" s="236" t="n"/>
      <c r="AX90" s="692" t="n"/>
      <c r="BD90" s="158" t="n"/>
      <c r="BE90" s="158" t="n"/>
      <c r="BF90" s="158" t="n"/>
      <c r="BG90" s="158" t="n"/>
      <c r="BH90" s="158" t="n"/>
      <c r="BI90" s="158" t="n"/>
      <c r="BJ90" s="158" t="n"/>
      <c r="BK90" s="158" t="n"/>
      <c r="BL90" s="158" t="n"/>
      <c r="BM90" s="158" t="n"/>
      <c r="BN90" s="158" t="n"/>
      <c r="BO90" s="158" t="n"/>
      <c r="BP90" s="158" t="n"/>
      <c r="BQ90" s="158" t="n"/>
    </row>
    <row r="91">
      <c r="A91" s="220" t="inlineStr">
        <is>
          <t>Female</t>
        </is>
      </c>
      <c r="B91" s="211" t="inlineStr">
        <is>
          <t>400 Free</t>
        </is>
      </c>
      <c r="C91" s="190" t="n">
        <v>2023</v>
      </c>
      <c r="D91" s="211" t="inlineStr">
        <is>
          <t>THA</t>
        </is>
      </c>
      <c r="E91" s="221" t="n">
        <v>3</v>
      </c>
      <c r="F91" s="211" t="inlineStr">
        <is>
          <t>4:17.55</t>
        </is>
      </c>
      <c r="G91" s="211" t="n">
        <v>2005</v>
      </c>
      <c r="H91" s="211">
        <f>C91-G91</f>
        <v/>
      </c>
      <c r="I91" s="211" t="inlineStr">
        <is>
          <t>Kamonchanok Kwanmuang</t>
        </is>
      </c>
      <c r="J91" s="211" t="n"/>
      <c r="K91" s="211" t="n"/>
      <c r="L91" s="213" t="n"/>
      <c r="M91" s="689" t="n"/>
      <c r="N91" s="689" t="n"/>
      <c r="O91" s="689" t="n"/>
      <c r="P91" s="227" t="n"/>
      <c r="Q91" s="689" t="n"/>
      <c r="R91" s="689" t="n"/>
      <c r="S91" s="689" t="n"/>
      <c r="T91" s="689" t="n"/>
      <c r="U91" s="689" t="n"/>
      <c r="V91" s="689" t="n"/>
      <c r="W91" s="689" t="n"/>
      <c r="X91" s="689" t="n"/>
      <c r="Y91" s="689" t="n"/>
      <c r="Z91" s="689" t="n"/>
      <c r="AA91" s="689" t="n"/>
      <c r="AB91" s="689" t="n"/>
      <c r="AC91" s="689" t="n"/>
      <c r="AD91" s="689" t="n"/>
      <c r="AF91" s="233" t="n"/>
      <c r="AG91" s="233" t="n"/>
      <c r="AH91" s="233" t="n"/>
      <c r="AI91" s="233" t="n"/>
      <c r="AJ91" s="233" t="n"/>
      <c r="AK91" s="233" t="n"/>
      <c r="AL91" s="233" t="n"/>
      <c r="AM91" s="233" t="n"/>
      <c r="AN91" s="233" t="n"/>
      <c r="AO91" s="233" t="n"/>
      <c r="AP91" s="233" t="n"/>
      <c r="AQ91" s="233" t="n"/>
      <c r="AR91" s="236" t="n"/>
      <c r="AS91" s="236" t="n"/>
      <c r="AT91" s="236" t="n"/>
      <c r="AU91" s="236" t="n"/>
      <c r="AV91" s="236" t="n"/>
      <c r="AW91" s="236" t="n"/>
      <c r="AX91" s="692" t="n"/>
      <c r="BD91" s="692" t="n"/>
      <c r="BE91" s="692" t="n"/>
      <c r="BF91" s="692" t="n"/>
      <c r="BG91" s="692" t="n"/>
      <c r="BH91" s="692" t="n"/>
      <c r="BI91" s="692" t="n"/>
      <c r="BJ91" s="692" t="n"/>
      <c r="BK91" s="692" t="n"/>
      <c r="BL91" s="692" t="n"/>
      <c r="BM91" s="692" t="n"/>
      <c r="BN91" s="692" t="n"/>
      <c r="BO91" s="692" t="n"/>
      <c r="BP91" s="692" t="n"/>
      <c r="BQ91" s="692" t="n"/>
    </row>
    <row r="92">
      <c r="A92" s="218" t="inlineStr">
        <is>
          <t>Female</t>
        </is>
      </c>
      <c r="B92" s="215" t="inlineStr">
        <is>
          <t>400 Free Relay</t>
        </is>
      </c>
      <c r="C92" s="189" t="n">
        <v>2019</v>
      </c>
      <c r="D92" s="215" t="inlineStr">
        <is>
          <t>SGP</t>
        </is>
      </c>
      <c r="E92" s="219" t="n">
        <v>1</v>
      </c>
      <c r="F92" s="215" t="inlineStr">
        <is>
          <t>3:40.92</t>
        </is>
      </c>
      <c r="G92" s="215" t="n"/>
      <c r="H92" s="215" t="n"/>
      <c r="I92" s="215" t="n"/>
      <c r="J92" s="215" t="n"/>
      <c r="K92" s="215" t="n"/>
      <c r="L92" s="217" t="n"/>
      <c r="M92" s="689" t="n"/>
      <c r="N92" s="689" t="n"/>
      <c r="O92" s="689" t="n"/>
      <c r="P92" s="227" t="n"/>
      <c r="Q92" s="689" t="n"/>
      <c r="R92" s="689" t="n"/>
      <c r="S92" s="689" t="n"/>
      <c r="T92" s="689" t="n"/>
      <c r="U92" s="689" t="n"/>
      <c r="V92" s="689" t="n"/>
      <c r="W92" s="689" t="n"/>
      <c r="X92" s="689" t="n"/>
      <c r="Y92" s="689" t="n"/>
      <c r="Z92" s="689" t="n"/>
      <c r="AA92" s="689" t="n"/>
      <c r="AB92" s="689" t="n"/>
      <c r="AC92" s="689" t="n"/>
      <c r="AD92" s="689" t="n"/>
      <c r="AF92" s="233" t="n"/>
      <c r="AG92" s="233" t="n"/>
      <c r="AH92" s="233" t="n"/>
      <c r="AI92" s="233" t="n"/>
      <c r="AJ92" s="233" t="n"/>
      <c r="AK92" s="233" t="n"/>
      <c r="AL92" s="233" t="n"/>
      <c r="AM92" s="233" t="n"/>
      <c r="AN92" s="233" t="n"/>
      <c r="AO92" s="233" t="n"/>
      <c r="AP92" s="233" t="n"/>
      <c r="AQ92" s="233" t="n"/>
      <c r="AR92" s="236" t="n"/>
      <c r="AS92" s="236" t="n"/>
      <c r="AT92" s="236" t="n"/>
      <c r="AU92" s="236" t="n"/>
      <c r="AV92" s="236" t="n"/>
      <c r="AW92" s="236" t="n"/>
      <c r="AX92" s="692" t="n"/>
      <c r="BD92" s="692" t="n"/>
      <c r="BE92" s="692" t="n"/>
      <c r="BF92" s="692" t="n"/>
      <c r="BG92" s="692" t="n"/>
      <c r="BH92" s="692" t="n"/>
      <c r="BI92" s="692" t="n"/>
      <c r="BJ92" s="692" t="n"/>
      <c r="BK92" s="692" t="n"/>
      <c r="BL92" s="692" t="n"/>
      <c r="BM92" s="692" t="n"/>
      <c r="BN92" s="692" t="n"/>
      <c r="BO92" s="692" t="n"/>
      <c r="BP92" s="692" t="n"/>
      <c r="BQ92" s="692" t="n"/>
    </row>
    <row r="93">
      <c r="A93" s="220" t="inlineStr">
        <is>
          <t>Female</t>
        </is>
      </c>
      <c r="B93" s="211" t="inlineStr">
        <is>
          <t>400 Free Relay</t>
        </is>
      </c>
      <c r="C93" s="190" t="n">
        <v>2019</v>
      </c>
      <c r="D93" s="211" t="inlineStr">
        <is>
          <t>PHI</t>
        </is>
      </c>
      <c r="E93" s="221" t="n">
        <v>2</v>
      </c>
      <c r="F93" s="211" t="inlineStr">
        <is>
          <t>3:47.05</t>
        </is>
      </c>
      <c r="G93" s="211" t="n"/>
      <c r="H93" s="211" t="n"/>
      <c r="I93" s="211" t="n"/>
      <c r="J93" s="211" t="n"/>
      <c r="K93" s="211" t="n"/>
      <c r="L93" s="213" t="n"/>
      <c r="M93" s="689" t="n"/>
      <c r="N93" s="689" t="n"/>
      <c r="O93" s="689" t="n"/>
      <c r="P93" s="227" t="n"/>
      <c r="Q93" s="689" t="n"/>
      <c r="R93" s="689" t="n"/>
      <c r="S93" s="689" t="n"/>
      <c r="T93" s="689" t="n"/>
      <c r="U93" s="689" t="n"/>
      <c r="V93" s="689" t="n"/>
      <c r="W93" s="689" t="n"/>
      <c r="X93" s="689" t="n"/>
      <c r="Y93" s="689" t="n"/>
      <c r="Z93" s="689" t="n"/>
      <c r="AA93" s="689" t="n"/>
      <c r="AB93" s="689" t="n"/>
      <c r="AC93" s="689" t="n"/>
      <c r="AD93" s="689" t="n"/>
      <c r="AF93" s="233" t="n"/>
      <c r="AG93" s="233" t="n"/>
      <c r="AH93" s="233" t="n"/>
      <c r="AI93" s="233" t="n"/>
      <c r="AJ93" s="233" t="n"/>
      <c r="AK93" s="233" t="n"/>
      <c r="AL93" s="233" t="n"/>
      <c r="AM93" s="233" t="n"/>
      <c r="AN93" s="233" t="n"/>
      <c r="AO93" s="233" t="n"/>
      <c r="AP93" s="233" t="n"/>
      <c r="AQ93" s="233" t="n"/>
      <c r="AR93" s="236" t="n"/>
      <c r="AS93" s="236" t="n"/>
      <c r="AT93" s="236" t="n"/>
      <c r="AU93" s="236" t="n"/>
      <c r="AV93" s="236" t="n"/>
      <c r="AW93" s="236" t="n"/>
      <c r="AX93" s="692" t="n"/>
      <c r="BD93" s="692" t="n"/>
      <c r="BE93" s="692" t="n"/>
      <c r="BF93" s="692" t="n"/>
      <c r="BG93" s="692" t="n"/>
      <c r="BH93" s="692" t="n"/>
      <c r="BI93" s="692" t="n"/>
      <c r="BJ93" s="692" t="n"/>
      <c r="BK93" s="692" t="n"/>
      <c r="BL93" s="692" t="n"/>
      <c r="BM93" s="692" t="n"/>
      <c r="BN93" s="692" t="n"/>
      <c r="BO93" s="692" t="n"/>
      <c r="BP93" s="692" t="n"/>
      <c r="BQ93" s="692" t="n"/>
    </row>
    <row r="94">
      <c r="A94" s="218" t="inlineStr">
        <is>
          <t>Female</t>
        </is>
      </c>
      <c r="B94" s="215" t="inlineStr">
        <is>
          <t>400 Free Relay</t>
        </is>
      </c>
      <c r="C94" s="189" t="n">
        <v>2019</v>
      </c>
      <c r="D94" s="215" t="inlineStr">
        <is>
          <t>THA</t>
        </is>
      </c>
      <c r="E94" s="219" t="n">
        <v>3</v>
      </c>
      <c r="F94" s="215" t="inlineStr">
        <is>
          <t>3:48.30</t>
        </is>
      </c>
      <c r="G94" s="215" t="n"/>
      <c r="H94" s="215" t="n"/>
      <c r="I94" s="215" t="n"/>
      <c r="J94" s="215" t="n"/>
      <c r="K94" s="215" t="n"/>
      <c r="L94" s="217" t="n"/>
      <c r="M94" s="689" t="n"/>
      <c r="N94" s="689" t="n"/>
      <c r="O94" s="689" t="n"/>
      <c r="P94" s="227" t="n"/>
      <c r="Q94" s="689" t="n"/>
      <c r="R94" s="689" t="n"/>
      <c r="S94" s="689" t="n"/>
      <c r="T94" s="689" t="n"/>
      <c r="U94" s="689" t="n"/>
      <c r="V94" s="689" t="n"/>
      <c r="W94" s="689" t="n"/>
      <c r="X94" s="689" t="n"/>
      <c r="Y94" s="689" t="n"/>
      <c r="Z94" s="689" t="n"/>
      <c r="AA94" s="689" t="n"/>
      <c r="AB94" s="689" t="n"/>
      <c r="AC94" s="689" t="n"/>
      <c r="AD94" s="689" t="n"/>
      <c r="AF94" s="236" t="n"/>
      <c r="AG94" s="236" t="n"/>
      <c r="AH94" s="236" t="n"/>
      <c r="AI94" s="236" t="n"/>
      <c r="AJ94" s="236" t="n"/>
      <c r="AK94" s="236" t="n"/>
      <c r="AL94" s="236" t="n"/>
      <c r="AM94" s="236" t="n"/>
      <c r="AN94" s="236" t="n"/>
      <c r="AO94" s="236" t="n"/>
      <c r="AP94" s="236" t="n"/>
      <c r="AQ94" s="236" t="n"/>
      <c r="AR94" s="236" t="n"/>
      <c r="AS94" s="236" t="n"/>
      <c r="AT94" s="236" t="n"/>
      <c r="AU94" s="236" t="n"/>
      <c r="AV94" s="236" t="n"/>
      <c r="AW94" s="236" t="n"/>
      <c r="AX94" s="692" t="n"/>
      <c r="BD94" s="692" t="n"/>
      <c r="BE94" s="692" t="n"/>
      <c r="BF94" s="692" t="n"/>
      <c r="BG94" s="692" t="n"/>
      <c r="BH94" s="692" t="n"/>
      <c r="BI94" s="692" t="n"/>
      <c r="BJ94" s="692" t="n"/>
      <c r="BK94" s="692" t="n"/>
      <c r="BL94" s="692" t="n"/>
      <c r="BM94" s="692" t="n"/>
      <c r="BN94" s="692" t="n"/>
      <c r="BO94" s="692" t="n"/>
      <c r="BP94" s="692" t="n"/>
      <c r="BQ94" s="692" t="n"/>
    </row>
    <row r="95">
      <c r="A95" s="220" t="inlineStr">
        <is>
          <t>Female</t>
        </is>
      </c>
      <c r="B95" s="211" t="inlineStr">
        <is>
          <t>400 Free Relay</t>
        </is>
      </c>
      <c r="C95" s="190" t="n">
        <v>2022</v>
      </c>
      <c r="D95" s="211" t="inlineStr">
        <is>
          <t>SGP</t>
        </is>
      </c>
      <c r="E95" s="221" t="n">
        <v>1</v>
      </c>
      <c r="F95" s="211" t="inlineStr">
        <is>
          <t>3:45.71</t>
        </is>
      </c>
      <c r="G95" s="211" t="n"/>
      <c r="H95" s="211" t="n"/>
      <c r="I95" s="211" t="n"/>
      <c r="J95" s="211" t="n"/>
      <c r="K95" s="211" t="n"/>
      <c r="L95" s="213" t="n"/>
      <c r="M95" s="689" t="n"/>
      <c r="N95" s="689" t="n"/>
      <c r="O95" s="689" t="n"/>
      <c r="P95" s="227" t="n"/>
      <c r="Q95" s="689" t="n"/>
      <c r="R95" s="689" t="n"/>
      <c r="S95" s="689" t="n"/>
      <c r="T95" s="689" t="n"/>
      <c r="U95" s="689" t="n"/>
      <c r="V95" s="689" t="n"/>
      <c r="W95" s="689" t="n"/>
      <c r="X95" s="689" t="n"/>
      <c r="Y95" s="689" t="n"/>
      <c r="Z95" s="689" t="n"/>
      <c r="AA95" s="689" t="n"/>
      <c r="AB95" s="689" t="n"/>
      <c r="AC95" s="689" t="n"/>
      <c r="AD95" s="689" t="n"/>
      <c r="AF95" s="236" t="n"/>
      <c r="AG95" s="236" t="n"/>
      <c r="AH95" s="236" t="n"/>
      <c r="AI95" s="236" t="n"/>
      <c r="AJ95" s="236" t="n"/>
      <c r="AK95" s="236" t="n"/>
      <c r="AL95" s="236" t="n"/>
      <c r="AM95" s="236" t="n"/>
      <c r="AN95" s="236" t="n"/>
      <c r="AO95" s="236" t="n"/>
      <c r="AP95" s="236" t="n"/>
      <c r="AQ95" s="236" t="n"/>
      <c r="AR95" s="236" t="n"/>
      <c r="AS95" s="236" t="n"/>
      <c r="AT95" s="236" t="n"/>
      <c r="AU95" s="236" t="n"/>
      <c r="AV95" s="236" t="n"/>
      <c r="AW95" s="236" t="n"/>
      <c r="AX95" s="692" t="n"/>
      <c r="BD95" s="692" t="n"/>
      <c r="BE95" s="692" t="n"/>
      <c r="BF95" s="692" t="n"/>
      <c r="BG95" s="692" t="n"/>
      <c r="BH95" s="692" t="n"/>
      <c r="BI95" s="692" t="n"/>
      <c r="BJ95" s="692" t="n"/>
      <c r="BK95" s="692" t="n"/>
      <c r="BL95" s="692" t="n"/>
      <c r="BM95" s="692" t="n"/>
      <c r="BN95" s="692" t="n"/>
      <c r="BO95" s="692" t="n"/>
      <c r="BP95" s="692" t="n"/>
      <c r="BQ95" s="692" t="n"/>
    </row>
    <row r="96">
      <c r="A96" s="218" t="inlineStr">
        <is>
          <t>Female</t>
        </is>
      </c>
      <c r="B96" s="215" t="inlineStr">
        <is>
          <t>400 Free Relay</t>
        </is>
      </c>
      <c r="C96" s="189" t="n">
        <v>2022</v>
      </c>
      <c r="D96" s="215" t="inlineStr">
        <is>
          <t>THA</t>
        </is>
      </c>
      <c r="E96" s="219" t="n">
        <v>2</v>
      </c>
      <c r="F96" s="215" t="inlineStr">
        <is>
          <t>3:48.63</t>
        </is>
      </c>
      <c r="G96" s="215" t="n"/>
      <c r="H96" s="215" t="n"/>
      <c r="I96" s="215" t="n"/>
      <c r="J96" s="215" t="n"/>
      <c r="K96" s="215" t="n"/>
      <c r="L96" s="217" t="n"/>
      <c r="M96" s="689" t="n"/>
      <c r="N96" s="689" t="n"/>
      <c r="O96" s="689" t="n"/>
      <c r="P96" s="227" t="n"/>
      <c r="Q96" s="689" t="n"/>
      <c r="R96" s="689" t="n"/>
      <c r="S96" s="689" t="n"/>
      <c r="T96" s="689" t="n"/>
      <c r="U96" s="689" t="n"/>
      <c r="V96" s="689" t="n"/>
      <c r="W96" s="689" t="n"/>
      <c r="X96" s="689" t="n"/>
      <c r="Y96" s="689" t="n"/>
      <c r="Z96" s="689" t="n"/>
      <c r="AA96" s="689" t="n"/>
      <c r="AB96" s="689" t="n"/>
      <c r="AC96" s="689" t="n"/>
      <c r="AD96" s="689" t="n"/>
      <c r="AF96" s="236" t="n"/>
      <c r="AG96" s="236" t="n"/>
      <c r="AH96" s="236" t="n"/>
      <c r="AI96" s="236" t="n"/>
      <c r="AJ96" s="236" t="n"/>
      <c r="AK96" s="236" t="n"/>
      <c r="AL96" s="236" t="n"/>
      <c r="AM96" s="236" t="n"/>
      <c r="AN96" s="236" t="n"/>
      <c r="AO96" s="236" t="n"/>
      <c r="AP96" s="236" t="n"/>
      <c r="AQ96" s="236" t="n"/>
      <c r="AR96" s="236" t="n"/>
      <c r="AS96" s="236" t="n"/>
      <c r="AT96" s="236" t="n"/>
      <c r="AU96" s="236" t="n"/>
      <c r="AV96" s="236" t="n"/>
      <c r="AW96" s="236" t="n"/>
      <c r="AX96" s="692" t="n"/>
      <c r="BD96" s="692" t="n"/>
      <c r="BE96" s="692" t="n"/>
      <c r="BF96" s="692" t="n"/>
      <c r="BG96" s="692" t="n"/>
      <c r="BH96" s="692" t="n"/>
      <c r="BI96" s="692" t="n"/>
      <c r="BJ96" s="692" t="n"/>
      <c r="BK96" s="692" t="n"/>
      <c r="BL96" s="692" t="n"/>
      <c r="BM96" s="692" t="n"/>
      <c r="BN96" s="692" t="n"/>
      <c r="BO96" s="692" t="n"/>
      <c r="BP96" s="692" t="n"/>
      <c r="BQ96" s="692" t="n"/>
    </row>
    <row r="97">
      <c r="A97" s="220" t="inlineStr">
        <is>
          <t>Female</t>
        </is>
      </c>
      <c r="B97" s="211" t="inlineStr">
        <is>
          <t>400 Free Relay</t>
        </is>
      </c>
      <c r="C97" s="190" t="n">
        <v>2022</v>
      </c>
      <c r="D97" s="211" t="inlineStr">
        <is>
          <t>IND</t>
        </is>
      </c>
      <c r="E97" s="221" t="n">
        <v>3</v>
      </c>
      <c r="F97" s="211" t="inlineStr">
        <is>
          <t>3:51.57</t>
        </is>
      </c>
      <c r="G97" s="211" t="n"/>
      <c r="H97" s="211" t="n"/>
      <c r="I97" s="211" t="n"/>
      <c r="J97" s="211" t="n"/>
      <c r="K97" s="211" t="n"/>
      <c r="L97" s="213" t="n"/>
      <c r="M97" s="689" t="n"/>
      <c r="N97" s="689" t="n"/>
      <c r="O97" s="689" t="n"/>
      <c r="P97" s="227" t="n"/>
      <c r="Q97" s="689" t="n"/>
      <c r="R97" s="689" t="n"/>
      <c r="S97" s="689" t="n"/>
      <c r="T97" s="689" t="n"/>
      <c r="U97" s="689" t="n"/>
      <c r="V97" s="689" t="n"/>
      <c r="W97" s="689" t="n"/>
      <c r="X97" s="689" t="n"/>
      <c r="Y97" s="689" t="n"/>
      <c r="Z97" s="689" t="n"/>
      <c r="AA97" s="689" t="n"/>
      <c r="AB97" s="689" t="n"/>
      <c r="AC97" s="689" t="n"/>
      <c r="AD97" s="689" t="n"/>
      <c r="AF97" s="236" t="n"/>
      <c r="AG97" s="236" t="n"/>
      <c r="AH97" s="236" t="n"/>
      <c r="AI97" s="236" t="n"/>
      <c r="AJ97" s="236" t="n"/>
      <c r="AK97" s="236" t="n"/>
      <c r="AL97" s="236" t="n"/>
      <c r="AM97" s="236" t="n"/>
      <c r="AN97" s="236" t="n"/>
      <c r="AO97" s="236" t="n"/>
      <c r="AP97" s="236" t="n"/>
      <c r="AQ97" s="236" t="n"/>
      <c r="AR97" s="236" t="n"/>
      <c r="AS97" s="236" t="n"/>
      <c r="AT97" s="236" t="n"/>
      <c r="AU97" s="236" t="n"/>
      <c r="AV97" s="236" t="n"/>
      <c r="AW97" s="236" t="n"/>
      <c r="AX97" s="692" t="n"/>
      <c r="BD97" s="692" t="n"/>
      <c r="BE97" s="692" t="n"/>
      <c r="BF97" s="692" t="n"/>
      <c r="BG97" s="692" t="n"/>
      <c r="BH97" s="692" t="n"/>
      <c r="BI97" s="692" t="n"/>
      <c r="BJ97" s="692" t="n"/>
      <c r="BK97" s="692" t="n"/>
      <c r="BL97" s="692" t="n"/>
      <c r="BM97" s="692" t="n"/>
      <c r="BN97" s="692" t="n"/>
      <c r="BO97" s="692" t="n"/>
      <c r="BP97" s="692" t="n"/>
      <c r="BQ97" s="692" t="n"/>
    </row>
    <row r="98">
      <c r="A98" s="218" t="inlineStr">
        <is>
          <t>Female</t>
        </is>
      </c>
      <c r="B98" s="215" t="inlineStr">
        <is>
          <t>400 Free Relay</t>
        </is>
      </c>
      <c r="C98" s="189" t="n">
        <v>2023</v>
      </c>
      <c r="D98" s="215" t="inlineStr">
        <is>
          <t>SGP</t>
        </is>
      </c>
      <c r="E98" s="219" t="n">
        <v>1</v>
      </c>
      <c r="F98" s="215" t="inlineStr">
        <is>
          <t>3:44.29</t>
        </is>
      </c>
      <c r="G98" s="215" t="n"/>
      <c r="H98" s="215" t="n"/>
      <c r="I98" s="215" t="n"/>
      <c r="J98" s="215" t="n"/>
      <c r="K98" s="215" t="n"/>
      <c r="L98" s="217" t="n"/>
      <c r="M98" s="689" t="n"/>
      <c r="N98" s="689" t="n"/>
      <c r="O98" s="689" t="n"/>
      <c r="P98" s="227" t="n"/>
      <c r="Q98" s="689" t="n"/>
      <c r="R98" s="689" t="n"/>
      <c r="S98" s="689" t="n"/>
      <c r="T98" s="689" t="n"/>
      <c r="U98" s="689" t="n"/>
      <c r="V98" s="689" t="n"/>
      <c r="W98" s="689" t="n"/>
      <c r="X98" s="689" t="n"/>
      <c r="Y98" s="689" t="n"/>
      <c r="Z98" s="689" t="n"/>
      <c r="AA98" s="689" t="n"/>
      <c r="AB98" s="689" t="n"/>
      <c r="AC98" s="689" t="n"/>
      <c r="AD98" s="689" t="n"/>
      <c r="AF98" s="236" t="n"/>
      <c r="AG98" s="236" t="n"/>
      <c r="AH98" s="236" t="n"/>
      <c r="AI98" s="236" t="n"/>
      <c r="AJ98" s="236" t="n"/>
      <c r="AK98" s="236" t="n"/>
      <c r="AL98" s="236" t="n"/>
      <c r="AM98" s="236" t="n"/>
      <c r="AN98" s="236" t="n"/>
      <c r="AO98" s="236" t="n"/>
      <c r="AP98" s="236" t="n"/>
      <c r="AQ98" s="236" t="n"/>
      <c r="AR98" s="236" t="n"/>
      <c r="AS98" s="236" t="n"/>
      <c r="AT98" s="236" t="n"/>
      <c r="AU98" s="236" t="n"/>
      <c r="AV98" s="236" t="n"/>
      <c r="AW98" s="236" t="n"/>
      <c r="AX98" s="692" t="n"/>
      <c r="BD98" s="692" t="n"/>
      <c r="BE98" s="692" t="n"/>
      <c r="BF98" s="692" t="n"/>
      <c r="BG98" s="692" t="n"/>
      <c r="BH98" s="692" t="n"/>
      <c r="BI98" s="692" t="n"/>
      <c r="BJ98" s="692" t="n"/>
      <c r="BK98" s="692" t="n"/>
      <c r="BL98" s="692" t="n"/>
      <c r="BM98" s="692" t="n"/>
      <c r="BN98" s="692" t="n"/>
      <c r="BO98" s="692" t="n"/>
      <c r="BP98" s="692" t="n"/>
      <c r="BQ98" s="692" t="n"/>
    </row>
    <row r="99">
      <c r="A99" s="220" t="inlineStr">
        <is>
          <t>Female</t>
        </is>
      </c>
      <c r="B99" s="211" t="inlineStr">
        <is>
          <t>400 Free Relay</t>
        </is>
      </c>
      <c r="C99" s="190" t="n">
        <v>2023</v>
      </c>
      <c r="D99" s="211" t="inlineStr">
        <is>
          <t>PHI</t>
        </is>
      </c>
      <c r="E99" s="221" t="n">
        <v>2</v>
      </c>
      <c r="F99" s="211" t="inlineStr">
        <is>
          <t>3:47.96</t>
        </is>
      </c>
      <c r="G99" s="211" t="n"/>
      <c r="H99" s="211" t="n"/>
      <c r="I99" s="211" t="n"/>
      <c r="J99" s="211" t="n"/>
      <c r="K99" s="211" t="n"/>
      <c r="L99" s="213" t="n"/>
      <c r="M99" s="689" t="n"/>
      <c r="N99" s="689" t="n"/>
      <c r="O99" s="689" t="n"/>
      <c r="P99" s="227" t="n"/>
      <c r="Q99" s="689" t="n"/>
      <c r="R99" s="689" t="n"/>
      <c r="S99" s="689" t="n"/>
      <c r="T99" s="689" t="n"/>
      <c r="U99" s="689" t="n"/>
      <c r="V99" s="689" t="n"/>
      <c r="W99" s="689" t="n"/>
      <c r="X99" s="689" t="n"/>
      <c r="Y99" s="689" t="n"/>
      <c r="Z99" s="689" t="n"/>
      <c r="AA99" s="689" t="n"/>
      <c r="AB99" s="689" t="n"/>
      <c r="AC99" s="689" t="n"/>
      <c r="AD99" s="689" t="n"/>
      <c r="AF99" s="236" t="n"/>
      <c r="AG99" s="236" t="n"/>
      <c r="AH99" s="236" t="n"/>
      <c r="AI99" s="236" t="n"/>
      <c r="AJ99" s="236" t="n"/>
      <c r="AK99" s="236" t="n"/>
      <c r="AL99" s="236" t="n"/>
      <c r="AM99" s="236" t="n"/>
      <c r="AN99" s="236" t="n"/>
      <c r="AO99" s="236" t="n"/>
      <c r="AP99" s="236" t="n"/>
      <c r="AQ99" s="236" t="n"/>
      <c r="AR99" s="236" t="n"/>
      <c r="AS99" s="236" t="n"/>
      <c r="AT99" s="236" t="n"/>
      <c r="AU99" s="236" t="n"/>
      <c r="AV99" s="236" t="n"/>
      <c r="AW99" s="236" t="n"/>
      <c r="AX99" s="692" t="n"/>
      <c r="BD99" s="692" t="n"/>
      <c r="BE99" s="692" t="n"/>
      <c r="BF99" s="692" t="n"/>
      <c r="BG99" s="692" t="n"/>
      <c r="BH99" s="692" t="n"/>
      <c r="BI99" s="692" t="n"/>
      <c r="BJ99" s="692" t="n"/>
      <c r="BK99" s="692" t="n"/>
      <c r="BL99" s="692" t="n"/>
      <c r="BM99" s="692" t="n"/>
      <c r="BN99" s="692" t="n"/>
      <c r="BO99" s="158" t="n"/>
      <c r="BP99" s="158" t="n"/>
      <c r="BQ99" s="158" t="n"/>
    </row>
    <row r="100">
      <c r="A100" s="218" t="inlineStr">
        <is>
          <t>Female</t>
        </is>
      </c>
      <c r="B100" s="215" t="inlineStr">
        <is>
          <t>400 Free Relay</t>
        </is>
      </c>
      <c r="C100" s="189" t="n">
        <v>2023</v>
      </c>
      <c r="D100" s="215" t="inlineStr">
        <is>
          <t>THA</t>
        </is>
      </c>
      <c r="E100" s="219" t="n">
        <v>3</v>
      </c>
      <c r="F100" s="215" t="inlineStr">
        <is>
          <t>3:50.01</t>
        </is>
      </c>
      <c r="G100" s="215" t="n"/>
      <c r="H100" s="215" t="n"/>
      <c r="I100" s="215" t="n"/>
      <c r="J100" s="215" t="n"/>
      <c r="K100" s="215" t="n"/>
      <c r="L100" s="217" t="n"/>
      <c r="M100" s="689" t="n"/>
      <c r="N100" s="689" t="n"/>
      <c r="O100" s="689" t="n"/>
      <c r="P100" s="227" t="n"/>
      <c r="Q100" s="689" t="n"/>
      <c r="R100" s="689" t="n"/>
      <c r="S100" s="689" t="n"/>
      <c r="T100" s="689" t="n"/>
      <c r="U100" s="689" t="n"/>
      <c r="V100" s="689" t="n"/>
      <c r="W100" s="689" t="n"/>
      <c r="X100" s="689" t="n"/>
      <c r="Y100" s="689" t="n"/>
      <c r="Z100" s="689" t="n"/>
      <c r="AA100" s="689" t="n"/>
      <c r="AB100" s="689" t="n"/>
      <c r="AC100" s="689" t="n"/>
      <c r="AD100" s="689" t="n"/>
      <c r="AF100" s="236" t="n"/>
      <c r="AG100" s="236" t="n"/>
      <c r="AH100" s="236" t="n"/>
      <c r="AI100" s="236" t="n"/>
      <c r="AJ100" s="236" t="n"/>
      <c r="AK100" s="236" t="n"/>
      <c r="AL100" s="236" t="n"/>
      <c r="AM100" s="236" t="n"/>
      <c r="AN100" s="236" t="n"/>
      <c r="AO100" s="236" t="n"/>
      <c r="AP100" s="236" t="n"/>
      <c r="AQ100" s="236" t="n"/>
      <c r="AR100" s="236" t="n"/>
      <c r="AS100" s="236" t="n"/>
      <c r="AT100" s="236" t="n"/>
      <c r="AU100" s="236" t="n"/>
      <c r="AV100" s="236" t="n"/>
      <c r="AW100" s="236" t="n"/>
      <c r="AX100" s="692" t="n"/>
      <c r="BD100" s="158" t="n"/>
      <c r="BE100" s="158" t="n"/>
      <c r="BF100" s="158" t="n"/>
      <c r="BG100" s="158" t="n"/>
      <c r="BH100" s="158" t="n"/>
      <c r="BI100" s="158" t="n"/>
      <c r="BJ100" s="158" t="n"/>
      <c r="BK100" s="158" t="n"/>
      <c r="BL100" s="158" t="n"/>
      <c r="BM100" s="158" t="n"/>
      <c r="BN100" s="158" t="n"/>
      <c r="BO100" s="158" t="n"/>
      <c r="BP100" s="158" t="n"/>
      <c r="BQ100" s="158" t="n"/>
    </row>
    <row r="101">
      <c r="A101" s="220" t="inlineStr">
        <is>
          <t>Female</t>
        </is>
      </c>
      <c r="B101" s="211" t="inlineStr">
        <is>
          <t>400 IM</t>
        </is>
      </c>
      <c r="C101" s="190" t="n">
        <v>2019</v>
      </c>
      <c r="D101" s="211" t="inlineStr">
        <is>
          <t>VIE</t>
        </is>
      </c>
      <c r="E101" s="221" t="n">
        <v>1</v>
      </c>
      <c r="F101" s="211" t="inlineStr">
        <is>
          <t>4:47.85</t>
        </is>
      </c>
      <c r="G101" s="211" t="n">
        <v>1996</v>
      </c>
      <c r="H101" s="211">
        <f>C101-G101</f>
        <v/>
      </c>
      <c r="I101" s="211" t="inlineStr">
        <is>
          <t>Nguyen Thi Anh Vien</t>
        </is>
      </c>
      <c r="J101" s="211" t="n"/>
      <c r="K101" s="211" t="n"/>
      <c r="L101" s="213" t="n"/>
      <c r="M101" s="689" t="n"/>
      <c r="N101" s="689" t="n"/>
      <c r="O101" s="689" t="n"/>
      <c r="P101" s="227" t="n"/>
      <c r="Q101" s="689" t="n"/>
      <c r="R101" s="689" t="n"/>
      <c r="S101" s="689" t="n"/>
      <c r="T101" s="689" t="n"/>
      <c r="U101" s="689" t="n"/>
      <c r="V101" s="689" t="n"/>
      <c r="W101" s="689" t="n"/>
      <c r="X101" s="689" t="n"/>
      <c r="Y101" s="689" t="n"/>
      <c r="Z101" s="689" t="n"/>
      <c r="AA101" s="689" t="n"/>
      <c r="AB101" s="689" t="n"/>
      <c r="AC101" s="689" t="n"/>
      <c r="AD101" s="689" t="n"/>
      <c r="AF101" s="236" t="n"/>
      <c r="AG101" s="236" t="n"/>
      <c r="AH101" s="236" t="n"/>
      <c r="AI101" s="236" t="n"/>
      <c r="AJ101" s="236" t="n"/>
      <c r="AK101" s="236" t="n"/>
      <c r="AL101" s="236" t="n"/>
      <c r="AM101" s="236" t="n"/>
      <c r="AN101" s="236" t="n"/>
      <c r="AO101" s="236" t="n"/>
      <c r="AP101" s="236" t="n"/>
      <c r="AQ101" s="236" t="n"/>
      <c r="AR101" s="236" t="n"/>
      <c r="AS101" s="236" t="n"/>
      <c r="AT101" s="236" t="n"/>
      <c r="AU101" s="236" t="n"/>
      <c r="AV101" s="236" t="n"/>
      <c r="AW101" s="236" t="n"/>
      <c r="AX101" s="692" t="n"/>
      <c r="BD101" s="692" t="n"/>
      <c r="BE101" s="692" t="n"/>
      <c r="BF101" s="692" t="n"/>
      <c r="BG101" s="692" t="n"/>
      <c r="BH101" s="692" t="n"/>
      <c r="BI101" s="692" t="n"/>
      <c r="BJ101" s="692" t="n"/>
      <c r="BK101" s="692" t="n"/>
      <c r="BL101" s="158" t="n"/>
      <c r="BM101" s="158" t="n"/>
      <c r="BN101" s="692" t="n"/>
      <c r="BO101" s="692" t="n"/>
      <c r="BP101" s="692" t="n"/>
      <c r="BQ101" s="692" t="n"/>
    </row>
    <row r="102">
      <c r="A102" s="218" t="inlineStr">
        <is>
          <t>Female</t>
        </is>
      </c>
      <c r="B102" s="215" t="inlineStr">
        <is>
          <t>400 IM</t>
        </is>
      </c>
      <c r="C102" s="189" t="n">
        <v>2019</v>
      </c>
      <c r="D102" s="215" t="inlineStr">
        <is>
          <t>THA</t>
        </is>
      </c>
      <c r="E102" s="219" t="n">
        <v>2</v>
      </c>
      <c r="F102" s="215" t="inlineStr">
        <is>
          <t>4:48.43</t>
        </is>
      </c>
      <c r="G102" s="215" t="n">
        <v>2005</v>
      </c>
      <c r="H102" s="215">
        <f>C102-G102</f>
        <v/>
      </c>
      <c r="I102" s="215" t="inlineStr">
        <is>
          <t>Jinjutha Pholjamjumrus</t>
        </is>
      </c>
      <c r="J102" s="215" t="n"/>
      <c r="K102" s="215" t="n"/>
      <c r="L102" s="217" t="n"/>
      <c r="M102" s="689" t="n"/>
      <c r="N102" s="689" t="n"/>
      <c r="O102" s="689" t="n"/>
      <c r="P102" s="227" t="n"/>
      <c r="Q102" s="689" t="n"/>
      <c r="R102" s="689" t="n"/>
      <c r="S102" s="689" t="n"/>
      <c r="T102" s="689" t="n"/>
      <c r="U102" s="689" t="n"/>
      <c r="V102" s="689" t="n"/>
      <c r="W102" s="689" t="n"/>
      <c r="X102" s="689" t="n"/>
      <c r="Y102" s="689" t="n"/>
      <c r="Z102" s="689" t="n"/>
      <c r="AA102" s="689" t="n"/>
      <c r="AB102" s="689" t="n"/>
      <c r="AC102" s="689" t="n"/>
      <c r="AD102" s="689" t="n"/>
      <c r="AF102" s="236" t="n"/>
      <c r="AG102" s="236" t="n"/>
      <c r="AH102" s="236" t="n"/>
      <c r="AI102" s="236" t="n"/>
      <c r="AJ102" s="236" t="n"/>
      <c r="AK102" s="236" t="n"/>
      <c r="AL102" s="236" t="n"/>
      <c r="AM102" s="236" t="n"/>
      <c r="AN102" s="236" t="n"/>
      <c r="AO102" s="236" t="n"/>
      <c r="AP102" s="236" t="n"/>
      <c r="AQ102" s="236" t="n"/>
      <c r="AR102" s="236" t="n"/>
      <c r="AS102" s="236" t="n"/>
      <c r="AT102" s="236" t="n"/>
      <c r="AU102" s="236" t="n"/>
      <c r="AV102" s="236" t="n"/>
      <c r="AW102" s="236" t="n"/>
      <c r="AX102" s="692" t="n"/>
      <c r="BD102" s="158" t="n"/>
      <c r="BE102" s="158" t="n"/>
      <c r="BF102" s="158" t="n"/>
      <c r="BG102" s="158" t="n"/>
      <c r="BH102" s="158" t="n"/>
      <c r="BI102" s="158" t="n"/>
      <c r="BJ102" s="158" t="n"/>
      <c r="BK102" s="158" t="n"/>
      <c r="BL102" s="158" t="n"/>
      <c r="BM102" s="158" t="n"/>
      <c r="BN102" s="158" t="n"/>
      <c r="BO102" s="158" t="n"/>
      <c r="BP102" s="158" t="n"/>
      <c r="BQ102" s="692" t="n"/>
    </row>
    <row r="103">
      <c r="A103" s="220" t="inlineStr">
        <is>
          <t>Female</t>
        </is>
      </c>
      <c r="B103" s="211" t="inlineStr">
        <is>
          <t>400 IM</t>
        </is>
      </c>
      <c r="C103" s="190" t="n">
        <v>2019</v>
      </c>
      <c r="D103" s="211" t="inlineStr">
        <is>
          <t>IND</t>
        </is>
      </c>
      <c r="E103" s="221" t="n">
        <v>3</v>
      </c>
      <c r="F103" s="211" t="inlineStr">
        <is>
          <t>4:49.55</t>
        </is>
      </c>
      <c r="G103" s="211" t="n">
        <v>2002</v>
      </c>
      <c r="H103" s="211">
        <f>C103-G103</f>
        <v/>
      </c>
      <c r="I103" s="211" t="inlineStr">
        <is>
          <t>Azzahra Permatahani</t>
        </is>
      </c>
      <c r="J103" s="211" t="n"/>
      <c r="K103" s="211" t="n"/>
      <c r="L103" s="213" t="n"/>
      <c r="M103" s="689" t="n"/>
      <c r="N103" s="689" t="n"/>
      <c r="O103" s="689" t="n"/>
      <c r="P103" s="227" t="n"/>
      <c r="Q103" s="689" t="n"/>
      <c r="R103" s="689" t="n"/>
      <c r="S103" s="689" t="n"/>
      <c r="T103" s="689" t="n"/>
      <c r="U103" s="689" t="n"/>
      <c r="V103" s="689" t="n"/>
      <c r="W103" s="689" t="n"/>
      <c r="X103" s="689" t="n"/>
      <c r="Y103" s="689" t="n"/>
      <c r="Z103" s="689" t="n"/>
      <c r="AA103" s="689" t="n"/>
      <c r="AB103" s="689" t="n"/>
      <c r="AC103" s="689" t="n"/>
      <c r="AD103" s="689" t="n"/>
      <c r="AF103" s="236" t="n"/>
      <c r="AG103" s="236" t="n"/>
      <c r="AH103" s="236" t="n"/>
      <c r="AI103" s="236" t="n"/>
      <c r="AJ103" s="236" t="n"/>
      <c r="AK103" s="236" t="n"/>
      <c r="AL103" s="236" t="n"/>
      <c r="AM103" s="236" t="n"/>
      <c r="AN103" s="236" t="n"/>
      <c r="AO103" s="236" t="n"/>
      <c r="AP103" s="236" t="n"/>
      <c r="AQ103" s="236" t="n"/>
      <c r="AR103" s="236" t="n"/>
      <c r="AS103" s="236" t="n"/>
      <c r="AT103" s="236" t="n"/>
      <c r="AU103" s="236" t="n"/>
      <c r="AV103" s="236" t="n"/>
      <c r="AW103" s="236" t="n"/>
      <c r="AX103" s="692" t="n"/>
      <c r="BD103" s="692" t="n"/>
      <c r="BE103" s="692" t="n"/>
      <c r="BF103" s="692" t="n"/>
      <c r="BG103" s="692" t="n"/>
      <c r="BH103" s="692" t="n"/>
      <c r="BI103" s="692" t="n"/>
      <c r="BJ103" s="158" t="n"/>
      <c r="BK103" s="158" t="n"/>
      <c r="BL103" s="692" t="n"/>
      <c r="BM103" s="692" t="n"/>
      <c r="BN103" s="692" t="n"/>
      <c r="BO103" s="692" t="n"/>
      <c r="BP103" s="692" t="n"/>
      <c r="BQ103" s="692" t="n"/>
    </row>
    <row r="104">
      <c r="A104" s="218" t="inlineStr">
        <is>
          <t>Female</t>
        </is>
      </c>
      <c r="B104" s="215" t="inlineStr">
        <is>
          <t>400 IM</t>
        </is>
      </c>
      <c r="C104" s="189" t="n">
        <v>2022</v>
      </c>
      <c r="D104" s="215" t="inlineStr">
        <is>
          <t>THA</t>
        </is>
      </c>
      <c r="E104" s="219" t="n">
        <v>1</v>
      </c>
      <c r="F104" s="215" t="inlineStr">
        <is>
          <t>4:49.98</t>
        </is>
      </c>
      <c r="G104" s="195" t="n">
        <v>2005</v>
      </c>
      <c r="H104" s="195">
        <f>C104-G104</f>
        <v/>
      </c>
      <c r="I104" s="200" t="inlineStr">
        <is>
          <t>Kamonchanok Kwanmuang</t>
        </is>
      </c>
      <c r="J104" s="215" t="n"/>
      <c r="K104" s="215" t="n"/>
      <c r="L104" s="217" t="n"/>
      <c r="M104" s="689" t="n"/>
      <c r="N104" s="689" t="n"/>
      <c r="O104" s="689" t="n"/>
      <c r="P104" s="227" t="n"/>
      <c r="Q104" s="689" t="n"/>
      <c r="R104" s="689" t="n"/>
      <c r="S104" s="689" t="n"/>
      <c r="T104" s="689" t="n"/>
      <c r="U104" s="689" t="n"/>
      <c r="V104" s="689" t="n"/>
      <c r="W104" s="689" t="n"/>
      <c r="X104" s="689" t="n"/>
      <c r="Y104" s="689" t="n"/>
      <c r="Z104" s="689" t="n"/>
      <c r="AA104" s="689" t="n"/>
      <c r="AB104" s="689" t="n"/>
      <c r="AC104" s="689" t="n"/>
      <c r="AD104" s="689" t="n"/>
      <c r="AF104" s="236" t="n"/>
      <c r="AG104" s="236" t="n"/>
      <c r="AH104" s="236" t="n"/>
      <c r="AI104" s="236" t="n"/>
      <c r="AJ104" s="236" t="n"/>
      <c r="AK104" s="236" t="n"/>
      <c r="AL104" s="236" t="n"/>
      <c r="AM104" s="236" t="n"/>
      <c r="AN104" s="236" t="n"/>
      <c r="AO104" s="236" t="n"/>
      <c r="AP104" s="236" t="n"/>
      <c r="AQ104" s="236" t="n"/>
      <c r="AR104" s="236" t="n"/>
      <c r="AS104" s="236" t="n"/>
      <c r="AT104" s="236" t="n"/>
      <c r="AU104" s="236" t="n"/>
      <c r="AV104" s="236" t="n"/>
      <c r="AW104" s="236" t="n"/>
      <c r="AX104" s="692" t="n"/>
    </row>
    <row r="105">
      <c r="A105" s="220" t="inlineStr">
        <is>
          <t>Female</t>
        </is>
      </c>
      <c r="B105" s="211" t="inlineStr">
        <is>
          <t>400 IM</t>
        </is>
      </c>
      <c r="C105" s="190" t="n">
        <v>2022</v>
      </c>
      <c r="D105" s="211" t="inlineStr">
        <is>
          <t>THA</t>
        </is>
      </c>
      <c r="E105" s="221" t="n">
        <v>2</v>
      </c>
      <c r="F105" s="211" t="inlineStr">
        <is>
          <t>4:52.32</t>
        </is>
      </c>
      <c r="G105" s="211" t="n">
        <v>2005</v>
      </c>
      <c r="H105" s="196">
        <f>C105-G105</f>
        <v/>
      </c>
      <c r="I105" s="211" t="inlineStr">
        <is>
          <t>Moji Pholjamjumrus</t>
        </is>
      </c>
      <c r="J105" s="211" t="n"/>
      <c r="K105" s="211" t="n"/>
      <c r="L105" s="213" t="n"/>
      <c r="M105" s="689" t="n"/>
      <c r="N105" s="689" t="n"/>
      <c r="O105" s="689" t="n"/>
      <c r="P105" s="227" t="n"/>
      <c r="Q105" s="689" t="n"/>
      <c r="R105" s="689" t="n"/>
      <c r="S105" s="689" t="n"/>
      <c r="T105" s="689" t="n"/>
      <c r="U105" s="689" t="n"/>
      <c r="V105" s="689" t="n"/>
      <c r="W105" s="689" t="n"/>
      <c r="X105" s="689" t="n"/>
      <c r="Y105" s="689" t="n"/>
      <c r="Z105" s="689" t="n"/>
      <c r="AA105" s="689" t="n"/>
      <c r="AB105" s="689" t="n"/>
      <c r="AC105" s="689" t="n"/>
      <c r="AD105" s="689" t="n"/>
      <c r="AF105" s="236" t="n"/>
      <c r="AG105" s="236" t="n"/>
      <c r="AH105" s="236" t="n"/>
      <c r="AI105" s="236" t="n"/>
      <c r="AJ105" s="236" t="n"/>
      <c r="AK105" s="236" t="n"/>
      <c r="AL105" s="236" t="n"/>
      <c r="AM105" s="236" t="n"/>
      <c r="AN105" s="236" t="n"/>
      <c r="AO105" s="236" t="n"/>
      <c r="AP105" s="236" t="n"/>
      <c r="AQ105" s="236" t="n"/>
      <c r="AR105" s="236" t="n"/>
      <c r="AS105" s="236" t="n"/>
      <c r="AT105" s="236" t="n"/>
      <c r="AU105" s="236" t="n"/>
      <c r="AV105" s="236" t="n"/>
      <c r="AW105" s="236" t="n"/>
      <c r="AX105" s="692" t="n"/>
    </row>
    <row r="106">
      <c r="A106" s="218" t="inlineStr">
        <is>
          <t>Female</t>
        </is>
      </c>
      <c r="B106" s="215" t="inlineStr">
        <is>
          <t>400 IM</t>
        </is>
      </c>
      <c r="C106" s="189" t="n">
        <v>2022</v>
      </c>
      <c r="D106" s="215" t="inlineStr">
        <is>
          <t>IND</t>
        </is>
      </c>
      <c r="E106" s="219" t="n">
        <v>3</v>
      </c>
      <c r="F106" s="215" t="inlineStr">
        <is>
          <t>4:56.42</t>
        </is>
      </c>
      <c r="G106" s="215" t="n">
        <v>2002</v>
      </c>
      <c r="H106" s="195">
        <f>C106-G106</f>
        <v/>
      </c>
      <c r="I106" s="215" t="inlineStr">
        <is>
          <t>Azzahra PERMATAHANI</t>
        </is>
      </c>
      <c r="J106" s="215" t="n"/>
      <c r="K106" s="215" t="n"/>
      <c r="L106" s="217" t="n"/>
      <c r="M106" s="689" t="n"/>
      <c r="N106" s="689" t="n"/>
      <c r="O106" s="689" t="n"/>
      <c r="P106" s="227" t="n"/>
      <c r="Q106" s="689" t="n"/>
      <c r="R106" s="689" t="n"/>
      <c r="S106" s="689" t="n"/>
      <c r="T106" s="689" t="n"/>
      <c r="U106" s="689" t="n"/>
      <c r="V106" s="689" t="n"/>
      <c r="W106" s="689" t="n"/>
      <c r="X106" s="689" t="n"/>
      <c r="Y106" s="689" t="n"/>
      <c r="Z106" s="689" t="n"/>
      <c r="AA106" s="689" t="n"/>
      <c r="AB106" s="689" t="n"/>
      <c r="AC106" s="689" t="n"/>
      <c r="AD106" s="689" t="n"/>
      <c r="AF106" s="236" t="n"/>
      <c r="AG106" s="236" t="n"/>
      <c r="AH106" s="236" t="n"/>
      <c r="AI106" s="236" t="n"/>
      <c r="AJ106" s="236" t="n"/>
      <c r="AK106" s="236" t="n"/>
      <c r="AL106" s="236" t="n"/>
      <c r="AM106" s="236" t="n"/>
      <c r="AN106" s="236" t="n"/>
      <c r="AO106" s="236" t="n"/>
      <c r="AP106" s="236" t="n"/>
      <c r="AQ106" s="236" t="n"/>
      <c r="AR106" s="236" t="n"/>
      <c r="AS106" s="236" t="n"/>
      <c r="AT106" s="236" t="n"/>
      <c r="AU106" s="236" t="n"/>
      <c r="AV106" s="236" t="n"/>
      <c r="AW106" s="236" t="n"/>
      <c r="AX106" s="692" t="n"/>
    </row>
    <row r="107">
      <c r="A107" s="220" t="inlineStr">
        <is>
          <t>Female</t>
        </is>
      </c>
      <c r="B107" s="211" t="inlineStr">
        <is>
          <t>400 IM</t>
        </is>
      </c>
      <c r="C107" s="190" t="n">
        <v>2023</v>
      </c>
      <c r="D107" s="211" t="inlineStr">
        <is>
          <t>THA</t>
        </is>
      </c>
      <c r="E107" s="221" t="n">
        <v>1</v>
      </c>
      <c r="F107" s="211" t="inlineStr">
        <is>
          <t>4:47.25</t>
        </is>
      </c>
      <c r="G107" s="211" t="n">
        <v>2005</v>
      </c>
      <c r="H107" s="211">
        <f>C107-G107</f>
        <v/>
      </c>
      <c r="I107" s="211" t="inlineStr">
        <is>
          <t>Kamonchanok Kwanmuang</t>
        </is>
      </c>
      <c r="J107" s="211" t="n"/>
      <c r="K107" s="211" t="n"/>
      <c r="L107" s="213" t="n"/>
      <c r="M107" s="689" t="n"/>
      <c r="N107" s="689" t="n"/>
      <c r="O107" s="689" t="n"/>
      <c r="P107" s="227" t="n"/>
      <c r="Q107" s="689" t="n"/>
      <c r="R107" s="689" t="n"/>
      <c r="S107" s="689" t="n"/>
      <c r="T107" s="689" t="n"/>
      <c r="U107" s="689" t="n"/>
      <c r="V107" s="689" t="n"/>
      <c r="W107" s="689" t="n"/>
      <c r="X107" s="689" t="n"/>
      <c r="Y107" s="689" t="n"/>
      <c r="Z107" s="689" t="n"/>
      <c r="AA107" s="689" t="n"/>
      <c r="AB107" s="689" t="n"/>
      <c r="AC107" s="689" t="n"/>
      <c r="AD107" s="689" t="n"/>
      <c r="AF107" s="236" t="n"/>
      <c r="AG107" s="236" t="n"/>
      <c r="AH107" s="236" t="n"/>
      <c r="AI107" s="236" t="n"/>
      <c r="AJ107" s="236" t="n"/>
      <c r="AK107" s="236" t="n"/>
      <c r="AL107" s="236" t="n"/>
      <c r="AM107" s="236" t="n"/>
      <c r="AN107" s="236" t="n"/>
      <c r="AO107" s="236" t="n"/>
      <c r="AP107" s="236" t="n"/>
      <c r="AQ107" s="236" t="n"/>
      <c r="AR107" s="236" t="n"/>
      <c r="AS107" s="236" t="n"/>
      <c r="AT107" s="236" t="n"/>
      <c r="AU107" s="236" t="n"/>
      <c r="AV107" s="236" t="n"/>
      <c r="AW107" s="236" t="n"/>
      <c r="AX107" s="692" t="n"/>
    </row>
    <row r="108">
      <c r="A108" s="218" t="inlineStr">
        <is>
          <t>Female</t>
        </is>
      </c>
      <c r="B108" s="215" t="inlineStr">
        <is>
          <t>400 IM</t>
        </is>
      </c>
      <c r="C108" s="189" t="n">
        <v>2023</v>
      </c>
      <c r="D108" s="215" t="inlineStr">
        <is>
          <t>THA</t>
        </is>
      </c>
      <c r="E108" s="219" t="n">
        <v>2</v>
      </c>
      <c r="F108" s="215" t="inlineStr">
        <is>
          <t>4:49.33</t>
        </is>
      </c>
      <c r="G108" s="215" t="n">
        <v>2005</v>
      </c>
      <c r="H108" s="215">
        <f>C108-G108</f>
        <v/>
      </c>
      <c r="I108" s="215" t="inlineStr">
        <is>
          <t>Jinjutha Pholjamjumrus</t>
        </is>
      </c>
      <c r="J108" s="215" t="n"/>
      <c r="K108" s="215" t="n"/>
      <c r="L108" s="217" t="n"/>
      <c r="M108" s="689" t="n"/>
      <c r="N108" s="689" t="n"/>
      <c r="O108" s="689" t="n"/>
      <c r="P108" s="227" t="n"/>
      <c r="Q108" s="689" t="n"/>
      <c r="R108" s="689" t="n"/>
      <c r="S108" s="689" t="n"/>
      <c r="T108" s="689" t="n"/>
      <c r="U108" s="689" t="n"/>
      <c r="V108" s="689" t="n"/>
      <c r="W108" s="689" t="n"/>
      <c r="X108" s="689" t="n"/>
      <c r="Y108" s="689" t="n"/>
      <c r="Z108" s="689" t="n"/>
      <c r="AA108" s="689" t="n"/>
      <c r="AB108" s="689" t="n"/>
      <c r="AC108" s="689" t="n"/>
      <c r="AD108" s="689" t="n"/>
      <c r="AF108" s="236" t="n"/>
      <c r="AG108" s="236" t="n"/>
      <c r="AH108" s="236" t="n"/>
      <c r="AI108" s="236" t="n"/>
      <c r="AJ108" s="236" t="n"/>
      <c r="AK108" s="236" t="n"/>
      <c r="AL108" s="236" t="n"/>
      <c r="AM108" s="236" t="n"/>
      <c r="AN108" s="236" t="n"/>
      <c r="AO108" s="236" t="n"/>
      <c r="AP108" s="236" t="n"/>
      <c r="AQ108" s="236" t="n"/>
      <c r="AR108" s="236" t="n"/>
      <c r="AS108" s="236" t="n"/>
      <c r="AT108" s="236" t="n"/>
      <c r="AU108" s="236" t="n"/>
      <c r="AV108" s="236" t="n"/>
      <c r="AW108" s="236" t="n"/>
      <c r="AX108" s="692" t="n"/>
    </row>
    <row r="109">
      <c r="A109" s="220" t="inlineStr">
        <is>
          <t>Female</t>
        </is>
      </c>
      <c r="B109" s="211" t="inlineStr">
        <is>
          <t>400 IM</t>
        </is>
      </c>
      <c r="C109" s="190" t="n">
        <v>2023</v>
      </c>
      <c r="D109" s="211" t="inlineStr">
        <is>
          <t>PHI</t>
        </is>
      </c>
      <c r="E109" s="221" t="n">
        <v>3</v>
      </c>
      <c r="F109" s="211" t="inlineStr">
        <is>
          <t>4:52.08</t>
        </is>
      </c>
      <c r="G109" s="211" t="n">
        <v>2001</v>
      </c>
      <c r="H109" s="211">
        <f>C109-G109</f>
        <v/>
      </c>
      <c r="I109" s="211" t="inlineStr">
        <is>
          <t>Xiandi Chua</t>
        </is>
      </c>
      <c r="J109" s="211" t="n"/>
      <c r="K109" s="211" t="n"/>
      <c r="L109" s="213" t="n"/>
      <c r="M109" s="689" t="n"/>
      <c r="N109" s="689" t="n"/>
      <c r="O109" s="689" t="n"/>
      <c r="P109" s="227" t="n"/>
      <c r="Q109" s="689" t="n"/>
      <c r="R109" s="689" t="n"/>
      <c r="S109" s="689" t="n"/>
      <c r="T109" s="689" t="n"/>
      <c r="U109" s="689" t="n"/>
      <c r="V109" s="689" t="n"/>
      <c r="W109" s="689" t="n"/>
      <c r="X109" s="689" t="n"/>
      <c r="Y109" s="689" t="n"/>
      <c r="Z109" s="689" t="n"/>
      <c r="AA109" s="689" t="n"/>
      <c r="AB109" s="689" t="n"/>
      <c r="AC109" s="689" t="n"/>
      <c r="AD109" s="689" t="n"/>
      <c r="AF109" s="236" t="n"/>
      <c r="AG109" s="236" t="n"/>
      <c r="AH109" s="236" t="n"/>
      <c r="AI109" s="236" t="n"/>
      <c r="AJ109" s="236" t="n"/>
      <c r="AK109" s="236" t="n"/>
      <c r="AL109" s="236" t="n"/>
      <c r="AM109" s="236" t="n"/>
      <c r="AN109" s="236" t="n"/>
      <c r="AO109" s="236" t="n"/>
      <c r="AP109" s="236" t="n"/>
      <c r="AQ109" s="236" t="n"/>
      <c r="AR109" s="236" t="n"/>
      <c r="AS109" s="236" t="n"/>
      <c r="AT109" s="236" t="n"/>
      <c r="AU109" s="236" t="n"/>
      <c r="AV109" s="236" t="n"/>
      <c r="AW109" s="236" t="n"/>
      <c r="AX109" s="692" t="n"/>
    </row>
    <row r="110">
      <c r="A110" s="218" t="inlineStr">
        <is>
          <t>Female</t>
        </is>
      </c>
      <c r="B110" s="215" t="inlineStr">
        <is>
          <t>400 Medley Relay</t>
        </is>
      </c>
      <c r="C110" s="189" t="n">
        <v>2019</v>
      </c>
      <c r="D110" s="215" t="inlineStr">
        <is>
          <t>SGP</t>
        </is>
      </c>
      <c r="E110" s="219" t="n">
        <v>1</v>
      </c>
      <c r="F110" s="215" t="inlineStr">
        <is>
          <t>4:07.05</t>
        </is>
      </c>
      <c r="G110" s="215" t="n"/>
      <c r="H110" s="215" t="n"/>
      <c r="I110" s="215" t="n"/>
      <c r="J110" s="215" t="n"/>
      <c r="K110" s="215" t="n"/>
      <c r="L110" s="217" t="n"/>
      <c r="M110" s="689" t="n"/>
      <c r="N110" s="689" t="n"/>
      <c r="O110" s="689" t="n"/>
      <c r="P110" s="227" t="n"/>
      <c r="Q110" s="689" t="n"/>
      <c r="R110" s="689" t="n"/>
      <c r="S110" s="689" t="n"/>
      <c r="T110" s="689" t="n"/>
      <c r="U110" s="689" t="n"/>
      <c r="V110" s="689" t="n"/>
      <c r="W110" s="689" t="n"/>
      <c r="X110" s="689" t="n"/>
      <c r="Y110" s="689" t="n"/>
      <c r="Z110" s="689" t="n"/>
      <c r="AA110" s="689" t="n"/>
      <c r="AB110" s="689" t="n"/>
      <c r="AC110" s="689" t="n"/>
      <c r="AD110" s="689" t="n"/>
      <c r="AF110" s="236" t="n"/>
      <c r="AG110" s="236" t="n"/>
      <c r="AH110" s="236" t="n"/>
      <c r="AI110" s="236" t="n"/>
      <c r="AJ110" s="236" t="n"/>
      <c r="AK110" s="236" t="n"/>
      <c r="AL110" s="236" t="n"/>
      <c r="AM110" s="236" t="n"/>
      <c r="AN110" s="236" t="n"/>
      <c r="AO110" s="236" t="n"/>
      <c r="AP110" s="236" t="n"/>
      <c r="AQ110" s="236" t="n"/>
      <c r="AR110" s="236" t="n"/>
      <c r="AS110" s="236" t="n"/>
      <c r="AT110" s="236" t="n"/>
      <c r="AU110" s="236" t="n"/>
      <c r="AV110" s="236" t="n"/>
      <c r="AW110" s="236" t="n"/>
      <c r="AX110" s="692" t="n"/>
    </row>
    <row r="111">
      <c r="A111" s="220" t="inlineStr">
        <is>
          <t>Female</t>
        </is>
      </c>
      <c r="B111" s="211" t="inlineStr">
        <is>
          <t>400 Medley Relay</t>
        </is>
      </c>
      <c r="C111" s="190" t="n">
        <v>2019</v>
      </c>
      <c r="D111" s="211" t="inlineStr">
        <is>
          <t>PHI</t>
        </is>
      </c>
      <c r="E111" s="221" t="n">
        <v>2</v>
      </c>
      <c r="F111" s="211" t="inlineStr">
        <is>
          <t>4:11.10</t>
        </is>
      </c>
      <c r="G111" s="211" t="n"/>
      <c r="H111" s="211" t="n"/>
      <c r="I111" s="211" t="n"/>
      <c r="J111" s="211" t="n"/>
      <c r="K111" s="211" t="n"/>
      <c r="L111" s="213" t="n"/>
      <c r="M111" s="689" t="n"/>
      <c r="N111" s="689" t="n"/>
      <c r="O111" s="689" t="n"/>
      <c r="P111" s="227" t="n"/>
      <c r="Q111" s="689" t="n"/>
      <c r="R111" s="689" t="n"/>
      <c r="S111" s="689" t="n"/>
      <c r="T111" s="689" t="n"/>
      <c r="U111" s="689" t="n"/>
      <c r="V111" s="689" t="n"/>
      <c r="W111" s="689" t="n"/>
      <c r="X111" s="689" t="n"/>
      <c r="Y111" s="689" t="n"/>
      <c r="Z111" s="689" t="n"/>
      <c r="AA111" s="689" t="n"/>
      <c r="AB111" s="689" t="n"/>
      <c r="AC111" s="689" t="n"/>
      <c r="AD111" s="689" t="n"/>
      <c r="AF111" s="236" t="n"/>
      <c r="AG111" s="236" t="n"/>
      <c r="AH111" s="236" t="n"/>
      <c r="AI111" s="236" t="n"/>
      <c r="AJ111" s="236" t="n"/>
      <c r="AK111" s="236" t="n"/>
      <c r="AL111" s="236" t="n"/>
      <c r="AM111" s="236" t="n"/>
      <c r="AN111" s="236" t="n"/>
      <c r="AO111" s="236" t="n"/>
      <c r="AP111" s="236" t="n"/>
      <c r="AQ111" s="236" t="n"/>
      <c r="AR111" s="236" t="n"/>
      <c r="AS111" s="236" t="n"/>
      <c r="AT111" s="236" t="n"/>
      <c r="AU111" s="236" t="n"/>
      <c r="AV111" s="236" t="n"/>
      <c r="AW111" s="236" t="n"/>
      <c r="AX111" s="692" t="n"/>
    </row>
    <row r="112">
      <c r="A112" s="218" t="inlineStr">
        <is>
          <t>Female</t>
        </is>
      </c>
      <c r="B112" s="215" t="inlineStr">
        <is>
          <t>400 Medley Relay</t>
        </is>
      </c>
      <c r="C112" s="189" t="n">
        <v>2019</v>
      </c>
      <c r="D112" s="215" t="inlineStr">
        <is>
          <t>THA</t>
        </is>
      </c>
      <c r="E112" s="219" t="n">
        <v>3</v>
      </c>
      <c r="F112" s="215" t="inlineStr">
        <is>
          <t>4:14.35</t>
        </is>
      </c>
      <c r="G112" s="215" t="n"/>
      <c r="H112" s="215" t="n"/>
      <c r="I112" s="215" t="n"/>
      <c r="J112" s="215" t="n"/>
      <c r="K112" s="215" t="n"/>
      <c r="L112" s="217" t="n"/>
      <c r="M112" s="689" t="n"/>
      <c r="N112" s="689" t="n"/>
      <c r="O112" s="689" t="n"/>
      <c r="P112" s="227" t="n"/>
      <c r="Q112" s="689" t="n"/>
      <c r="R112" s="689" t="n"/>
      <c r="S112" s="689" t="n"/>
      <c r="T112" s="689" t="n"/>
      <c r="U112" s="689" t="n"/>
      <c r="V112" s="689" t="n"/>
      <c r="W112" s="689" t="n"/>
      <c r="X112" s="689" t="n"/>
      <c r="Y112" s="689" t="n"/>
      <c r="Z112" s="689" t="n"/>
      <c r="AA112" s="689" t="n"/>
      <c r="AB112" s="689" t="n"/>
      <c r="AC112" s="689" t="n"/>
      <c r="AD112" s="689" t="n"/>
      <c r="AF112" s="236" t="n"/>
      <c r="AG112" s="236" t="n"/>
      <c r="AH112" s="236" t="n"/>
      <c r="AI112" s="236" t="n"/>
      <c r="AJ112" s="236" t="n"/>
      <c r="AK112" s="236" t="n"/>
      <c r="AL112" s="236" t="n"/>
      <c r="AM112" s="236" t="n"/>
      <c r="AN112" s="236" t="n"/>
      <c r="AO112" s="236" t="n"/>
      <c r="AP112" s="236" t="n"/>
      <c r="AQ112" s="236" t="n"/>
      <c r="AR112" s="236" t="n"/>
      <c r="AS112" s="236" t="n"/>
      <c r="AT112" s="236" t="n"/>
      <c r="AU112" s="236" t="n"/>
      <c r="AV112" s="236" t="n"/>
      <c r="AW112" s="236" t="n"/>
      <c r="AX112" s="692" t="n"/>
    </row>
    <row r="113">
      <c r="A113" s="220" t="inlineStr">
        <is>
          <t>Female</t>
        </is>
      </c>
      <c r="B113" s="211" t="inlineStr">
        <is>
          <t>400 Medley Relay</t>
        </is>
      </c>
      <c r="C113" s="190" t="n">
        <v>2022</v>
      </c>
      <c r="D113" s="211" t="inlineStr">
        <is>
          <t>SGP</t>
        </is>
      </c>
      <c r="E113" s="221" t="n">
        <v>1</v>
      </c>
      <c r="F113" s="211" t="inlineStr">
        <is>
          <t>4:07.62</t>
        </is>
      </c>
      <c r="G113" s="211" t="n"/>
      <c r="H113" s="211" t="n"/>
      <c r="I113" s="211" t="n"/>
      <c r="J113" s="211" t="n"/>
      <c r="K113" s="211" t="n"/>
      <c r="L113" s="213" t="n"/>
      <c r="M113" s="689" t="n"/>
      <c r="N113" s="689" t="n"/>
      <c r="O113" s="689" t="n"/>
      <c r="P113" s="227" t="n"/>
      <c r="Q113" s="689" t="n"/>
      <c r="R113" s="689" t="n"/>
      <c r="S113" s="689" t="n"/>
      <c r="T113" s="689" t="n"/>
      <c r="U113" s="689" t="n"/>
      <c r="V113" s="689" t="n"/>
      <c r="W113" s="689" t="n"/>
      <c r="X113" s="689" t="n"/>
      <c r="Y113" s="689" t="n"/>
      <c r="Z113" s="689" t="n"/>
      <c r="AA113" s="689" t="n"/>
      <c r="AB113" s="689" t="n"/>
      <c r="AC113" s="689" t="n"/>
      <c r="AD113" s="689" t="n"/>
      <c r="AF113" s="236" t="n"/>
      <c r="AG113" s="236" t="n"/>
      <c r="AH113" s="236" t="n"/>
      <c r="AI113" s="236" t="n"/>
      <c r="AJ113" s="236" t="n"/>
      <c r="AK113" s="236" t="n"/>
      <c r="AL113" s="236" t="n"/>
      <c r="AM113" s="236" t="n"/>
      <c r="AN113" s="236" t="n"/>
      <c r="AO113" s="236" t="n"/>
      <c r="AP113" s="236" t="n"/>
      <c r="AQ113" s="236" t="n"/>
      <c r="AR113" s="236" t="n"/>
      <c r="AS113" s="236" t="n"/>
      <c r="AT113" s="236" t="n"/>
      <c r="AU113" s="236" t="n"/>
      <c r="AV113" s="236" t="n"/>
      <c r="AW113" s="236" t="n"/>
      <c r="AX113" s="692" t="n"/>
    </row>
    <row r="114">
      <c r="A114" s="218" t="inlineStr">
        <is>
          <t>Female</t>
        </is>
      </c>
      <c r="B114" s="215" t="inlineStr">
        <is>
          <t>400 Medley Relay</t>
        </is>
      </c>
      <c r="C114" s="189" t="n">
        <v>2022</v>
      </c>
      <c r="D114" s="215" t="inlineStr">
        <is>
          <t>PHI</t>
        </is>
      </c>
      <c r="E114" s="219" t="n">
        <v>2</v>
      </c>
      <c r="F114" s="215" t="inlineStr">
        <is>
          <t>4:12.36</t>
        </is>
      </c>
      <c r="G114" s="215" t="n"/>
      <c r="H114" s="215" t="n"/>
      <c r="I114" s="215" t="n"/>
      <c r="J114" s="215" t="n"/>
      <c r="K114" s="215" t="n"/>
      <c r="L114" s="217" t="n"/>
      <c r="M114" s="689" t="n"/>
      <c r="N114" s="689" t="n"/>
      <c r="O114" s="689" t="n"/>
      <c r="P114" s="227" t="n"/>
      <c r="Q114" s="689" t="n"/>
      <c r="R114" s="689" t="n"/>
      <c r="S114" s="689" t="n"/>
      <c r="T114" s="689" t="n"/>
      <c r="U114" s="689" t="n"/>
      <c r="V114" s="689" t="n"/>
      <c r="W114" s="689" t="n"/>
      <c r="X114" s="689" t="n"/>
      <c r="Y114" s="689" t="n"/>
      <c r="Z114" s="689" t="n"/>
      <c r="AA114" s="689" t="n"/>
      <c r="AB114" s="689" t="n"/>
      <c r="AC114" s="689" t="n"/>
      <c r="AD114" s="689" t="n"/>
      <c r="AF114" s="236" t="n"/>
      <c r="AG114" s="236" t="n"/>
      <c r="AH114" s="236" t="n"/>
      <c r="AI114" s="236" t="n"/>
      <c r="AJ114" s="236" t="n"/>
      <c r="AK114" s="236" t="n"/>
      <c r="AL114" s="236" t="n"/>
      <c r="AM114" s="236" t="n"/>
      <c r="AN114" s="236" t="n"/>
      <c r="AO114" s="236" t="n"/>
      <c r="AP114" s="236" t="n"/>
      <c r="AQ114" s="236" t="n"/>
      <c r="AR114" s="236" t="n"/>
      <c r="AS114" s="236" t="n"/>
      <c r="AT114" s="236" t="n"/>
      <c r="AU114" s="236" t="n"/>
      <c r="AV114" s="236" t="n"/>
      <c r="AW114" s="236" t="n"/>
      <c r="AX114" s="692" t="n"/>
    </row>
    <row r="115">
      <c r="A115" s="220" t="inlineStr">
        <is>
          <t>Female</t>
        </is>
      </c>
      <c r="B115" s="211" t="inlineStr">
        <is>
          <t>400 Medley Relay</t>
        </is>
      </c>
      <c r="C115" s="190" t="n">
        <v>2022</v>
      </c>
      <c r="D115" s="211" t="inlineStr">
        <is>
          <t>THA</t>
        </is>
      </c>
      <c r="E115" s="221" t="n">
        <v>3</v>
      </c>
      <c r="F115" s="211" t="inlineStr">
        <is>
          <t>4:15.33</t>
        </is>
      </c>
      <c r="G115" s="211" t="n"/>
      <c r="H115" s="211" t="n"/>
      <c r="I115" s="211" t="n"/>
      <c r="J115" s="211" t="n"/>
      <c r="K115" s="211" t="n"/>
      <c r="L115" s="213" t="n"/>
      <c r="M115" s="689" t="n"/>
      <c r="N115" s="689" t="n"/>
      <c r="O115" s="689" t="n"/>
      <c r="P115" s="227" t="n"/>
      <c r="Q115" s="689" t="n"/>
      <c r="R115" s="689" t="n"/>
      <c r="S115" s="689" t="n"/>
      <c r="T115" s="689" t="n"/>
      <c r="U115" s="689" t="n"/>
      <c r="V115" s="689" t="n"/>
      <c r="W115" s="689" t="n"/>
      <c r="X115" s="689" t="n"/>
      <c r="Y115" s="689" t="n"/>
      <c r="Z115" s="689" t="n"/>
      <c r="AA115" s="689" t="n"/>
      <c r="AB115" s="689" t="n"/>
      <c r="AC115" s="689" t="n"/>
      <c r="AD115" s="689" t="n"/>
      <c r="AF115" s="236" t="n"/>
      <c r="AG115" s="236" t="n"/>
      <c r="AH115" s="236" t="n"/>
      <c r="AI115" s="236" t="n"/>
      <c r="AJ115" s="236" t="n"/>
      <c r="AK115" s="236" t="n"/>
      <c r="AL115" s="236" t="n"/>
      <c r="AM115" s="236" t="n"/>
      <c r="AN115" s="236" t="n"/>
      <c r="AO115" s="236" t="n"/>
      <c r="AP115" s="236" t="n"/>
      <c r="AQ115" s="236" t="n"/>
      <c r="AR115" s="236" t="n"/>
      <c r="AS115" s="236" t="n"/>
      <c r="AT115" s="236" t="n"/>
      <c r="AU115" s="236" t="n"/>
      <c r="AV115" s="236" t="n"/>
      <c r="AW115" s="236" t="n"/>
      <c r="AX115" s="692" t="n"/>
    </row>
    <row r="116">
      <c r="A116" s="218" t="inlineStr">
        <is>
          <t>Female</t>
        </is>
      </c>
      <c r="B116" s="215" t="inlineStr">
        <is>
          <t>400 Medley Relay</t>
        </is>
      </c>
      <c r="C116" s="189" t="n">
        <v>2023</v>
      </c>
      <c r="D116" s="215" t="inlineStr">
        <is>
          <t>SGP</t>
        </is>
      </c>
      <c r="E116" s="219" t="n">
        <v>1</v>
      </c>
      <c r="F116" s="215" t="inlineStr">
        <is>
          <t>4:06.97</t>
        </is>
      </c>
      <c r="G116" s="215" t="n"/>
      <c r="H116" s="215" t="n"/>
      <c r="I116" s="215" t="n"/>
      <c r="J116" s="215" t="n"/>
      <c r="K116" s="215" t="n"/>
      <c r="L116" s="217" t="n"/>
      <c r="M116" s="689" t="n"/>
      <c r="N116" s="689" t="n"/>
      <c r="O116" s="689" t="n"/>
      <c r="P116" s="227" t="n"/>
      <c r="Q116" s="689" t="n"/>
      <c r="R116" s="689" t="n"/>
      <c r="S116" s="689" t="n"/>
      <c r="T116" s="689" t="n"/>
      <c r="U116" s="689" t="n"/>
      <c r="V116" s="689" t="n"/>
      <c r="W116" s="689" t="n"/>
      <c r="X116" s="689" t="n"/>
      <c r="Y116" s="689" t="n"/>
      <c r="Z116" s="689" t="n"/>
      <c r="AA116" s="689" t="n"/>
      <c r="AB116" s="689" t="n"/>
      <c r="AC116" s="689" t="n"/>
      <c r="AD116" s="689" t="n"/>
      <c r="AF116" s="236" t="n"/>
      <c r="AG116" s="236" t="n"/>
      <c r="AH116" s="236" t="n"/>
      <c r="AI116" s="236" t="n"/>
      <c r="AJ116" s="236" t="n"/>
      <c r="AK116" s="236" t="n"/>
      <c r="AL116" s="236" t="n"/>
      <c r="AM116" s="236" t="n"/>
      <c r="AN116" s="236" t="n"/>
      <c r="AO116" s="236" t="n"/>
      <c r="AP116" s="236" t="n"/>
      <c r="AQ116" s="236" t="n"/>
      <c r="AR116" s="236" t="n"/>
      <c r="AS116" s="236" t="n"/>
      <c r="AT116" s="236" t="n"/>
      <c r="AU116" s="236" t="n"/>
      <c r="AV116" s="236" t="n"/>
      <c r="AW116" s="236" t="n"/>
      <c r="AX116" s="692" t="n"/>
    </row>
    <row r="117">
      <c r="A117" s="220" t="inlineStr">
        <is>
          <t>Female</t>
        </is>
      </c>
      <c r="B117" s="211" t="inlineStr">
        <is>
          <t>400 Medley Relay</t>
        </is>
      </c>
      <c r="C117" s="190" t="n">
        <v>2023</v>
      </c>
      <c r="D117" s="211" t="inlineStr">
        <is>
          <t>PHI</t>
        </is>
      </c>
      <c r="E117" s="221" t="n">
        <v>2</v>
      </c>
      <c r="F117" s="211" t="inlineStr">
        <is>
          <t>4:11.81</t>
        </is>
      </c>
      <c r="G117" s="211" t="n"/>
      <c r="H117" s="211" t="n"/>
      <c r="I117" s="211" t="n"/>
      <c r="J117" s="211" t="n"/>
      <c r="K117" s="211" t="n"/>
      <c r="L117" s="213" t="n"/>
      <c r="M117" s="689" t="n"/>
      <c r="N117" s="689" t="n"/>
      <c r="O117" s="689" t="n"/>
      <c r="P117" s="227" t="n"/>
      <c r="Q117" s="689" t="n"/>
      <c r="R117" s="689" t="n"/>
      <c r="S117" s="689" t="n"/>
      <c r="T117" s="689" t="n"/>
      <c r="U117" s="689" t="n"/>
      <c r="V117" s="689" t="n"/>
      <c r="W117" s="689" t="n"/>
      <c r="X117" s="689" t="n"/>
      <c r="Y117" s="689" t="n"/>
      <c r="Z117" s="689" t="n"/>
      <c r="AA117" s="689" t="n"/>
      <c r="AB117" s="689" t="n"/>
      <c r="AC117" s="689" t="n"/>
      <c r="AD117" s="689" t="n"/>
      <c r="AF117" s="236" t="n"/>
      <c r="AG117" s="236" t="n"/>
      <c r="AH117" s="236" t="n"/>
      <c r="AI117" s="236" t="n"/>
      <c r="AJ117" s="236" t="n"/>
      <c r="AK117" s="236" t="n"/>
      <c r="AL117" s="236" t="n"/>
      <c r="AM117" s="236" t="n"/>
      <c r="AN117" s="236" t="n"/>
      <c r="AO117" s="236" t="n"/>
      <c r="AP117" s="236" t="n"/>
      <c r="AQ117" s="236" t="n"/>
      <c r="AR117" s="236" t="n"/>
      <c r="AS117" s="236" t="n"/>
      <c r="AT117" s="236" t="n"/>
      <c r="AU117" s="236" t="n"/>
      <c r="AV117" s="236" t="n"/>
      <c r="AW117" s="236" t="n"/>
      <c r="AX117" s="692" t="n"/>
    </row>
    <row r="118">
      <c r="A118" s="218" t="inlineStr">
        <is>
          <t>Female</t>
        </is>
      </c>
      <c r="B118" s="215" t="inlineStr">
        <is>
          <t>400 Medley Relay</t>
        </is>
      </c>
      <c r="C118" s="189" t="n">
        <v>2023</v>
      </c>
      <c r="D118" s="215" t="inlineStr">
        <is>
          <t>THA</t>
        </is>
      </c>
      <c r="E118" s="219" t="n">
        <v>3</v>
      </c>
      <c r="F118" s="215" t="inlineStr">
        <is>
          <t>4:14.06</t>
        </is>
      </c>
      <c r="G118" s="215" t="n"/>
      <c r="H118" s="211" t="n"/>
      <c r="I118" s="215" t="n"/>
      <c r="J118" s="215" t="n"/>
      <c r="K118" s="215" t="n"/>
      <c r="L118" s="217" t="n"/>
      <c r="M118" s="689" t="n"/>
      <c r="N118" s="689" t="n"/>
      <c r="O118" s="689" t="n"/>
      <c r="P118" s="227" t="n"/>
      <c r="Q118" s="689" t="n"/>
      <c r="R118" s="689" t="n"/>
      <c r="S118" s="689" t="n"/>
      <c r="T118" s="689" t="n"/>
      <c r="U118" s="689" t="n"/>
      <c r="V118" s="689" t="n"/>
      <c r="W118" s="689" t="n"/>
      <c r="X118" s="689" t="n"/>
      <c r="Y118" s="689" t="n"/>
      <c r="Z118" s="689" t="n"/>
      <c r="AA118" s="689" t="n"/>
      <c r="AB118" s="689" t="n"/>
      <c r="AC118" s="689" t="n"/>
      <c r="AD118" s="689" t="n"/>
      <c r="AF118" s="236" t="n"/>
      <c r="AG118" s="236" t="n"/>
      <c r="AH118" s="236" t="n"/>
      <c r="AI118" s="236" t="n"/>
      <c r="AJ118" s="236" t="n"/>
      <c r="AK118" s="236" t="n"/>
      <c r="AL118" s="236" t="n"/>
      <c r="AM118" s="236" t="n"/>
      <c r="AN118" s="236" t="n"/>
      <c r="AO118" s="236" t="n"/>
      <c r="AP118" s="236" t="n"/>
      <c r="AQ118" s="236" t="n"/>
      <c r="AR118" s="236" t="n"/>
      <c r="AS118" s="236" t="n"/>
      <c r="AT118" s="236" t="n"/>
      <c r="AU118" s="236" t="n"/>
      <c r="AV118" s="236" t="n"/>
      <c r="AW118" s="236" t="n"/>
      <c r="AX118" s="692" t="n"/>
    </row>
    <row r="119">
      <c r="A119" s="220" t="inlineStr">
        <is>
          <t>Female</t>
        </is>
      </c>
      <c r="B119" s="211" t="inlineStr">
        <is>
          <t>50 Back</t>
        </is>
      </c>
      <c r="C119" s="190" t="n">
        <v>2019</v>
      </c>
      <c r="D119" s="211" t="inlineStr">
        <is>
          <t>SGP</t>
        </is>
      </c>
      <c r="E119" s="221" t="n">
        <v>1</v>
      </c>
      <c r="F119" s="211" t="inlineStr">
        <is>
          <t>29.4</t>
        </is>
      </c>
      <c r="G119" s="211" t="n">
        <v>2004</v>
      </c>
      <c r="H119" s="197">
        <f>C119-G119</f>
        <v/>
      </c>
      <c r="I119" s="211" t="inlineStr">
        <is>
          <t>Elena Lee</t>
        </is>
      </c>
      <c r="J119" s="211" t="n"/>
      <c r="K119" s="211" t="n"/>
      <c r="L119" s="213" t="n"/>
      <c r="M119" s="689" t="n"/>
      <c r="N119" s="689" t="n"/>
      <c r="O119" s="689" t="n"/>
      <c r="P119" s="227" t="n"/>
      <c r="Q119" s="689" t="n"/>
      <c r="R119" s="689" t="n"/>
      <c r="S119" s="689" t="n"/>
      <c r="T119" s="689" t="n"/>
      <c r="U119" s="689" t="n"/>
      <c r="V119" s="689" t="n"/>
      <c r="W119" s="689" t="n"/>
      <c r="X119" s="689" t="n"/>
      <c r="Y119" s="689" t="n"/>
      <c r="Z119" s="689" t="n"/>
      <c r="AA119" s="689" t="n"/>
      <c r="AB119" s="689" t="n"/>
      <c r="AC119" s="689" t="n"/>
      <c r="AD119" s="689" t="n"/>
      <c r="AF119" s="236" t="n"/>
      <c r="AG119" s="236" t="n"/>
      <c r="AH119" s="236" t="n"/>
      <c r="AI119" s="236" t="n"/>
      <c r="AJ119" s="236" t="n"/>
      <c r="AK119" s="236" t="n"/>
      <c r="AL119" s="236" t="n"/>
      <c r="AM119" s="236" t="n"/>
      <c r="AN119" s="236" t="n"/>
      <c r="AO119" s="236" t="n"/>
      <c r="AP119" s="236" t="n"/>
      <c r="AQ119" s="236" t="n"/>
      <c r="AR119" s="236" t="n"/>
      <c r="AS119" s="236" t="n"/>
      <c r="AT119" s="236" t="n"/>
      <c r="AU119" s="236" t="n"/>
      <c r="AV119" s="236" t="n"/>
      <c r="AW119" s="236" t="n"/>
      <c r="AX119" s="692" t="n"/>
    </row>
    <row r="120">
      <c r="A120" s="218" t="inlineStr">
        <is>
          <t>Female</t>
        </is>
      </c>
      <c r="B120" s="215" t="inlineStr">
        <is>
          <t>50 Back</t>
        </is>
      </c>
      <c r="C120" s="189" t="n">
        <v>2019</v>
      </c>
      <c r="D120" s="215" t="inlineStr">
        <is>
          <t>VIE</t>
        </is>
      </c>
      <c r="E120" s="219" t="n">
        <v>2</v>
      </c>
      <c r="F120" s="215" t="inlineStr">
        <is>
          <t>29.64</t>
        </is>
      </c>
      <c r="G120" s="215" t="n">
        <v>1996</v>
      </c>
      <c r="H120" s="215">
        <f>C120-G120</f>
        <v/>
      </c>
      <c r="I120" s="215" t="inlineStr">
        <is>
          <t>Nguyen Thi Anh Vien</t>
        </is>
      </c>
      <c r="J120" s="215" t="n"/>
      <c r="K120" s="215" t="n"/>
      <c r="L120" s="217" t="n"/>
      <c r="M120" s="689" t="n"/>
      <c r="N120" s="689" t="n"/>
      <c r="O120" s="689" t="n"/>
      <c r="P120" s="227" t="n"/>
      <c r="Q120" s="689" t="n"/>
      <c r="R120" s="689" t="n"/>
      <c r="S120" s="689" t="n"/>
      <c r="T120" s="689" t="n"/>
      <c r="U120" s="689" t="n"/>
      <c r="V120" s="689" t="n"/>
      <c r="W120" s="689" t="n"/>
      <c r="X120" s="689" t="n"/>
      <c r="Y120" s="689" t="n"/>
      <c r="Z120" s="689" t="n"/>
      <c r="AA120" s="689" t="n"/>
      <c r="AB120" s="689" t="n"/>
      <c r="AC120" s="689" t="n"/>
      <c r="AD120" s="689" t="n"/>
      <c r="AF120" s="236" t="n"/>
      <c r="AG120" s="236" t="n"/>
      <c r="AH120" s="236" t="n"/>
      <c r="AI120" s="236" t="n"/>
      <c r="AJ120" s="236" t="n"/>
      <c r="AK120" s="236" t="n"/>
      <c r="AL120" s="236" t="n"/>
      <c r="AM120" s="236" t="n"/>
      <c r="AN120" s="236" t="n"/>
      <c r="AO120" s="236" t="n"/>
      <c r="AP120" s="236" t="n"/>
      <c r="AQ120" s="236" t="n"/>
      <c r="AR120" s="236" t="n"/>
      <c r="AS120" s="236" t="n"/>
      <c r="AT120" s="236" t="n"/>
      <c r="AU120" s="236" t="n"/>
      <c r="AV120" s="236" t="n"/>
      <c r="AW120" s="236" t="n"/>
      <c r="AX120" s="692" t="n"/>
    </row>
    <row r="121">
      <c r="A121" s="220" t="inlineStr">
        <is>
          <t>Female</t>
        </is>
      </c>
      <c r="B121" s="211" t="inlineStr">
        <is>
          <t>50 Back</t>
        </is>
      </c>
      <c r="C121" s="190" t="n">
        <v>2019</v>
      </c>
      <c r="D121" s="211" t="inlineStr">
        <is>
          <t>IND</t>
        </is>
      </c>
      <c r="E121" s="221" t="n">
        <v>3</v>
      </c>
      <c r="F121" s="211" t="inlineStr">
        <is>
          <t>29.77</t>
        </is>
      </c>
      <c r="G121" s="211" t="n">
        <v>1998</v>
      </c>
      <c r="H121" s="215">
        <f>C121-G121</f>
        <v/>
      </c>
      <c r="I121" s="211" t="inlineStr">
        <is>
          <t>Anak Agung Istri Kania Ratih Atmaja</t>
        </is>
      </c>
      <c r="J121" s="211" t="n"/>
      <c r="K121" s="211" t="n"/>
      <c r="L121" s="213" t="n"/>
      <c r="M121" s="689" t="n"/>
      <c r="N121" s="689" t="n"/>
      <c r="O121" s="689" t="n"/>
      <c r="P121" s="227" t="n"/>
      <c r="Q121" s="689" t="n"/>
      <c r="R121" s="689" t="n"/>
      <c r="S121" s="689" t="n"/>
      <c r="T121" s="689" t="n"/>
      <c r="U121" s="689" t="n"/>
      <c r="V121" s="689" t="n"/>
      <c r="W121" s="689" t="n"/>
      <c r="X121" s="689" t="n"/>
      <c r="Y121" s="689" t="n"/>
      <c r="Z121" s="689" t="n"/>
      <c r="AA121" s="689" t="n"/>
      <c r="AB121" s="689" t="n"/>
      <c r="AC121" s="689" t="n"/>
      <c r="AD121" s="689" t="n"/>
      <c r="AF121" s="236" t="n"/>
      <c r="AG121" s="236" t="n"/>
      <c r="AH121" s="236" t="n"/>
      <c r="AI121" s="236" t="n"/>
      <c r="AJ121" s="236" t="n"/>
      <c r="AK121" s="236" t="n"/>
      <c r="AL121" s="236" t="n"/>
      <c r="AM121" s="236" t="n"/>
      <c r="AN121" s="236" t="n"/>
      <c r="AO121" s="236" t="n"/>
      <c r="AP121" s="236" t="n"/>
      <c r="AQ121" s="236" t="n"/>
      <c r="AR121" s="236" t="n"/>
      <c r="AS121" s="236" t="n"/>
      <c r="AT121" s="236" t="n"/>
      <c r="AU121" s="236" t="n"/>
      <c r="AV121" s="236" t="n"/>
      <c r="AW121" s="236" t="n"/>
      <c r="AX121" s="692" t="n"/>
    </row>
    <row r="122">
      <c r="A122" s="218" t="inlineStr">
        <is>
          <t>Female</t>
        </is>
      </c>
      <c r="B122" s="215" t="inlineStr">
        <is>
          <t>50 Back</t>
        </is>
      </c>
      <c r="C122" s="189" t="n">
        <v>2022</v>
      </c>
      <c r="D122" s="215" t="inlineStr">
        <is>
          <t>IND</t>
        </is>
      </c>
      <c r="E122" s="219" t="n">
        <v>1</v>
      </c>
      <c r="F122" s="215" t="inlineStr">
        <is>
          <t>29.21</t>
        </is>
      </c>
      <c r="G122" s="195" t="n">
        <v>2005</v>
      </c>
      <c r="H122" s="195">
        <f>C122-G122</f>
        <v/>
      </c>
      <c r="I122" s="200" t="inlineStr">
        <is>
          <t>Masniari Wolf</t>
        </is>
      </c>
      <c r="J122" s="215" t="n"/>
      <c r="K122" s="215" t="n"/>
      <c r="L122" s="217" t="n"/>
      <c r="M122" s="689" t="n"/>
      <c r="N122" s="689" t="n"/>
      <c r="O122" s="689" t="n"/>
      <c r="P122" s="227" t="n"/>
      <c r="Q122" s="689" t="n"/>
      <c r="R122" s="689" t="n"/>
      <c r="S122" s="689" t="n"/>
      <c r="T122" s="689" t="n"/>
      <c r="U122" s="689" t="n"/>
      <c r="V122" s="689" t="n"/>
      <c r="W122" s="689" t="n"/>
      <c r="X122" s="689" t="n"/>
      <c r="Y122" s="689" t="n"/>
      <c r="Z122" s="689" t="n"/>
      <c r="AA122" s="689" t="n"/>
      <c r="AB122" s="689" t="n"/>
      <c r="AC122" s="689" t="n"/>
      <c r="AD122" s="689" t="n"/>
      <c r="AF122" s="236" t="n"/>
      <c r="AG122" s="236" t="n"/>
      <c r="AH122" s="236" t="n"/>
      <c r="AI122" s="236" t="n"/>
      <c r="AJ122" s="236" t="n"/>
      <c r="AK122" s="236" t="n"/>
      <c r="AL122" s="236" t="n"/>
      <c r="AM122" s="236" t="n"/>
      <c r="AN122" s="236" t="n"/>
      <c r="AO122" s="236" t="n"/>
      <c r="AP122" s="236" t="n"/>
      <c r="AQ122" s="236" t="n"/>
      <c r="AR122" s="236" t="n"/>
      <c r="AS122" s="236" t="n"/>
      <c r="AT122" s="236" t="n"/>
      <c r="AU122" s="236" t="n"/>
      <c r="AV122" s="236" t="n"/>
      <c r="AW122" s="236" t="n"/>
      <c r="AX122" s="692" t="n"/>
      <c r="BB122" s="692" t="n"/>
      <c r="BC122" s="692" t="n"/>
      <c r="BD122" s="692" t="n"/>
    </row>
    <row r="123">
      <c r="A123" s="220" t="inlineStr">
        <is>
          <t>Female</t>
        </is>
      </c>
      <c r="B123" s="211" t="inlineStr">
        <is>
          <t>50 Back</t>
        </is>
      </c>
      <c r="C123" s="190" t="n">
        <v>2022</v>
      </c>
      <c r="D123" s="211" t="inlineStr">
        <is>
          <t>IND</t>
        </is>
      </c>
      <c r="E123" s="221" t="n">
        <v>3</v>
      </c>
      <c r="F123" s="211" t="inlineStr">
        <is>
          <t>29.21</t>
        </is>
      </c>
      <c r="G123" s="211" t="n">
        <v>1998</v>
      </c>
      <c r="H123" s="196">
        <f>C123-G123</f>
        <v/>
      </c>
      <c r="I123" s="211" t="inlineStr">
        <is>
          <t>Anak Agung Istri Kania RATIH</t>
        </is>
      </c>
      <c r="J123" s="211" t="n"/>
      <c r="K123" s="211" t="n"/>
      <c r="L123" s="213" t="n"/>
      <c r="M123" s="689" t="n"/>
      <c r="N123" s="689" t="n"/>
      <c r="O123" s="689" t="n"/>
      <c r="P123" s="227" t="n"/>
      <c r="Q123" s="689" t="n"/>
      <c r="R123" s="689" t="n"/>
      <c r="S123" s="689" t="n"/>
      <c r="T123" s="689" t="n"/>
      <c r="U123" s="689" t="n"/>
      <c r="V123" s="689" t="n"/>
      <c r="W123" s="689" t="n"/>
      <c r="X123" s="689" t="n"/>
      <c r="Y123" s="689" t="n"/>
      <c r="Z123" s="689" t="n"/>
      <c r="AA123" s="689" t="n"/>
      <c r="AB123" s="689" t="n"/>
      <c r="AC123" s="689" t="n"/>
      <c r="AD123" s="689" t="n"/>
      <c r="AF123" s="236" t="n"/>
      <c r="AG123" s="236" t="n"/>
      <c r="AH123" s="236" t="n"/>
      <c r="AI123" s="236" t="n"/>
      <c r="AJ123" s="236" t="n"/>
      <c r="AK123" s="236" t="n"/>
      <c r="AL123" s="236" t="n"/>
      <c r="AM123" s="236" t="n"/>
      <c r="AN123" s="236" t="n"/>
      <c r="AO123" s="236" t="n"/>
      <c r="AP123" s="236" t="n"/>
      <c r="AQ123" s="236" t="n"/>
      <c r="AR123" s="236" t="n"/>
      <c r="AS123" s="236" t="n"/>
      <c r="AT123" s="236" t="n"/>
      <c r="AU123" s="236" t="n"/>
      <c r="AV123" s="236" t="n"/>
      <c r="AW123" s="236" t="n"/>
      <c r="AX123" s="692" t="n"/>
      <c r="AY123" s="692" t="n"/>
      <c r="AZ123" s="692" t="n"/>
      <c r="BA123" s="692" t="n"/>
      <c r="BB123" s="692" t="n"/>
      <c r="BC123" s="692" t="n"/>
      <c r="BD123" s="692" t="n"/>
      <c r="BE123" s="692" t="n"/>
      <c r="BF123" s="692" t="n"/>
    </row>
    <row r="124">
      <c r="A124" s="218" t="inlineStr">
        <is>
          <t>Female</t>
        </is>
      </c>
      <c r="B124" s="215" t="inlineStr">
        <is>
          <t>50 Back</t>
        </is>
      </c>
      <c r="C124" s="189" t="n">
        <v>2022</v>
      </c>
      <c r="D124" s="215" t="inlineStr">
        <is>
          <t>PHI</t>
        </is>
      </c>
      <c r="E124" s="219" t="n">
        <v>2</v>
      </c>
      <c r="F124" s="215" t="inlineStr">
        <is>
          <t>29.35</t>
        </is>
      </c>
      <c r="G124" s="215" t="n">
        <v>1998</v>
      </c>
      <c r="H124" s="195">
        <f>C124-G124</f>
        <v/>
      </c>
      <c r="I124" s="215" t="inlineStr">
        <is>
          <t>Geriane Taguba Jessica Joy</t>
        </is>
      </c>
      <c r="J124" s="215" t="inlineStr">
        <is>
          <t>Notre Dame</t>
        </is>
      </c>
      <c r="K124" s="215" t="inlineStr">
        <is>
          <t>USA</t>
        </is>
      </c>
      <c r="L124" s="217" t="inlineStr">
        <is>
          <t>USA</t>
        </is>
      </c>
      <c r="M124" s="689" t="n"/>
      <c r="N124" s="689" t="n"/>
      <c r="O124" s="689" t="n"/>
      <c r="P124" s="227" t="n"/>
      <c r="Q124" s="689" t="n"/>
      <c r="R124" s="689" t="n"/>
      <c r="S124" s="689" t="n"/>
      <c r="T124" s="689" t="n"/>
      <c r="U124" s="689" t="n"/>
      <c r="V124" s="689" t="n"/>
      <c r="W124" s="689" t="n"/>
      <c r="X124" s="689" t="n"/>
      <c r="Y124" s="689" t="n"/>
      <c r="Z124" s="689" t="n"/>
      <c r="AA124" s="689" t="n"/>
      <c r="AB124" s="689" t="n"/>
      <c r="AC124" s="689" t="n"/>
      <c r="AD124" s="689" t="n"/>
      <c r="AF124" s="236" t="n"/>
      <c r="AG124" s="236" t="n"/>
      <c r="AH124" s="236" t="n"/>
      <c r="AI124" s="236" t="n"/>
      <c r="AJ124" s="236" t="n"/>
      <c r="AK124" s="236" t="n"/>
      <c r="AL124" s="236" t="n"/>
      <c r="AM124" s="236" t="n"/>
      <c r="AN124" s="236" t="n"/>
      <c r="AO124" s="236" t="n"/>
      <c r="AP124" s="236" t="n"/>
      <c r="AQ124" s="236" t="n"/>
      <c r="AR124" s="236" t="n"/>
      <c r="AS124" s="236" t="n"/>
      <c r="AT124" s="236" t="n"/>
      <c r="AU124" s="236" t="n"/>
      <c r="AV124" s="236" t="n"/>
      <c r="AW124" s="236" t="n"/>
      <c r="AX124" s="692" t="n"/>
      <c r="AY124" s="692" t="n"/>
      <c r="AZ124" s="692" t="n"/>
      <c r="BA124" s="692" t="n"/>
      <c r="BB124" s="692" t="n"/>
      <c r="BC124" s="692" t="n"/>
      <c r="BD124" s="692" t="n"/>
      <c r="BE124" s="692" t="n"/>
      <c r="BF124" s="692" t="n"/>
    </row>
    <row r="125">
      <c r="A125" s="220" t="inlineStr">
        <is>
          <t>Female</t>
        </is>
      </c>
      <c r="B125" s="211" t="inlineStr">
        <is>
          <t>50 Back</t>
        </is>
      </c>
      <c r="C125" s="190" t="n">
        <v>2023</v>
      </c>
      <c r="D125" s="211" t="inlineStr">
        <is>
          <t>IND</t>
        </is>
      </c>
      <c r="E125" s="221" t="n">
        <v>1</v>
      </c>
      <c r="F125" s="211" t="inlineStr">
        <is>
          <t>28.89</t>
        </is>
      </c>
      <c r="G125" s="211" t="n">
        <v>2005</v>
      </c>
      <c r="H125" s="211">
        <f>C125-G125</f>
        <v/>
      </c>
      <c r="I125" s="211" t="inlineStr">
        <is>
          <t>Masniari Wolf</t>
        </is>
      </c>
      <c r="J125" s="211" t="n"/>
      <c r="K125" s="211" t="n"/>
      <c r="L125" s="213" t="n"/>
      <c r="M125" s="689" t="n"/>
      <c r="N125" s="689" t="n"/>
      <c r="O125" s="689" t="n"/>
      <c r="P125" s="227" t="n"/>
      <c r="Q125" s="689" t="n"/>
      <c r="R125" s="689" t="n"/>
      <c r="S125" s="689" t="n"/>
      <c r="T125" s="689" t="n"/>
      <c r="U125" s="689" t="n"/>
      <c r="V125" s="689" t="n"/>
      <c r="W125" s="689" t="n"/>
      <c r="X125" s="689" t="n"/>
      <c r="Y125" s="689" t="n"/>
      <c r="Z125" s="689" t="n"/>
      <c r="AA125" s="689" t="n"/>
      <c r="AB125" s="689" t="n"/>
      <c r="AC125" s="689" t="n"/>
      <c r="AD125" s="689" t="n"/>
      <c r="AF125" s="236" t="n"/>
      <c r="AG125" s="236" t="n"/>
      <c r="AH125" s="236" t="n"/>
      <c r="AI125" s="236" t="n"/>
      <c r="AJ125" s="236" t="n"/>
      <c r="AK125" s="236" t="n"/>
      <c r="AL125" s="236" t="n"/>
      <c r="AM125" s="236" t="n"/>
      <c r="AN125" s="236" t="n"/>
      <c r="AO125" s="236" t="n"/>
      <c r="AP125" s="236" t="n"/>
      <c r="AQ125" s="236" t="n"/>
      <c r="AR125" s="236" t="n"/>
      <c r="AS125" s="236" t="n"/>
      <c r="AT125" s="236" t="n"/>
      <c r="AU125" s="236" t="n"/>
      <c r="AV125" s="236" t="n"/>
      <c r="AW125" s="236" t="n"/>
      <c r="AX125" s="692" t="n"/>
      <c r="AY125" s="692" t="n"/>
      <c r="AZ125" s="692" t="n"/>
      <c r="BA125" s="692" t="n"/>
      <c r="BB125" s="692" t="n"/>
      <c r="BC125" s="692" t="n"/>
      <c r="BD125" s="692" t="n"/>
      <c r="BE125" s="692" t="n"/>
      <c r="BF125" s="692" t="n"/>
    </row>
    <row r="126">
      <c r="A126" s="218" t="inlineStr">
        <is>
          <t>Female</t>
        </is>
      </c>
      <c r="B126" s="215" t="inlineStr">
        <is>
          <t>50 Back</t>
        </is>
      </c>
      <c r="C126" s="189" t="n">
        <v>2023</v>
      </c>
      <c r="D126" s="215" t="inlineStr">
        <is>
          <t>THA</t>
        </is>
      </c>
      <c r="E126" s="219" t="n">
        <v>2</v>
      </c>
      <c r="F126" s="215" t="inlineStr">
        <is>
          <t>28.97</t>
        </is>
      </c>
      <c r="G126" s="215" t="n">
        <v>2000</v>
      </c>
      <c r="H126" s="215">
        <f>C126-G126</f>
        <v/>
      </c>
      <c r="I126" s="215" t="inlineStr">
        <is>
          <t>Saovanee Boonamphai</t>
        </is>
      </c>
      <c r="J126" s="215" t="n"/>
      <c r="K126" s="215" t="n"/>
      <c r="L126" s="217" t="n"/>
      <c r="M126" s="689" t="n"/>
      <c r="N126" s="689" t="n"/>
      <c r="O126" s="689" t="n"/>
      <c r="P126" s="227" t="n"/>
      <c r="Q126" s="689" t="n"/>
      <c r="R126" s="689" t="n"/>
      <c r="S126" s="689" t="n"/>
      <c r="T126" s="689" t="n"/>
      <c r="U126" s="689" t="n"/>
      <c r="V126" s="689" t="n"/>
      <c r="W126" s="689" t="n"/>
      <c r="X126" s="689" t="n"/>
      <c r="Y126" s="689" t="n"/>
      <c r="Z126" s="689" t="n"/>
      <c r="AA126" s="689" t="n"/>
      <c r="AB126" s="689" t="n"/>
      <c r="AC126" s="689" t="n"/>
      <c r="AD126" s="689" t="n"/>
      <c r="AF126" s="236" t="n"/>
      <c r="AG126" s="236" t="n"/>
      <c r="AH126" s="236" t="n"/>
      <c r="AI126" s="236" t="n"/>
      <c r="AJ126" s="236" t="n"/>
      <c r="AK126" s="236" t="n"/>
      <c r="AL126" s="236" t="n"/>
      <c r="AM126" s="236" t="n"/>
      <c r="AN126" s="236" t="n"/>
      <c r="AO126" s="236" t="n"/>
      <c r="AP126" s="236" t="n"/>
      <c r="AQ126" s="236" t="n"/>
      <c r="AR126" s="236" t="n"/>
      <c r="AS126" s="236" t="n"/>
      <c r="AT126" s="236" t="n"/>
      <c r="AU126" s="236" t="n"/>
      <c r="AV126" s="236" t="n"/>
      <c r="AW126" s="236" t="n"/>
      <c r="AX126" s="692" t="n"/>
      <c r="AY126" s="692" t="n"/>
      <c r="AZ126" s="692" t="n"/>
      <c r="BA126" s="692" t="n"/>
      <c r="BB126" s="692" t="n"/>
      <c r="BC126" s="692" t="n"/>
      <c r="BD126" s="692" t="n"/>
      <c r="BE126" s="692" t="n"/>
      <c r="BF126" s="692" t="n"/>
    </row>
    <row r="127">
      <c r="A127" s="220" t="inlineStr">
        <is>
          <t>Female</t>
        </is>
      </c>
      <c r="B127" s="211" t="inlineStr">
        <is>
          <t>50 Back</t>
        </is>
      </c>
      <c r="C127" s="190" t="n">
        <v>2023</v>
      </c>
      <c r="D127" s="211" t="inlineStr">
        <is>
          <t>PHI</t>
        </is>
      </c>
      <c r="E127" s="221" t="n">
        <v>3</v>
      </c>
      <c r="F127" s="211" t="inlineStr">
        <is>
          <t>28.99</t>
        </is>
      </c>
      <c r="G127" s="211" t="n">
        <v>2005</v>
      </c>
      <c r="H127" s="215">
        <f>C127-G127</f>
        <v/>
      </c>
      <c r="I127" s="211" t="inlineStr">
        <is>
          <t>Teia Isabella Salvino</t>
        </is>
      </c>
      <c r="J127" s="211" t="inlineStr">
        <is>
          <t>SMU</t>
        </is>
      </c>
      <c r="K127" s="211" t="inlineStr">
        <is>
          <t>USA</t>
        </is>
      </c>
      <c r="L127" s="213" t="inlineStr">
        <is>
          <t>USA</t>
        </is>
      </c>
      <c r="M127" s="689" t="n"/>
      <c r="N127" s="689" t="n"/>
      <c r="O127" s="689" t="n"/>
      <c r="P127" s="227" t="n"/>
      <c r="Q127" s="689" t="n"/>
      <c r="R127" s="689" t="n"/>
      <c r="S127" s="689" t="n"/>
      <c r="T127" s="689" t="n"/>
      <c r="U127" s="689" t="n"/>
      <c r="V127" s="689" t="n"/>
      <c r="W127" s="689" t="n"/>
      <c r="X127" s="689" t="n"/>
      <c r="Y127" s="689" t="n"/>
      <c r="Z127" s="689" t="n"/>
      <c r="AA127" s="689" t="n"/>
      <c r="AB127" s="689" t="n"/>
      <c r="AC127" s="689" t="n"/>
      <c r="AD127" s="689" t="n"/>
      <c r="AF127" s="236" t="n"/>
      <c r="AG127" s="236" t="n"/>
      <c r="AH127" s="236" t="n"/>
      <c r="AI127" s="236" t="n"/>
      <c r="AJ127" s="236" t="n"/>
      <c r="AK127" s="236" t="n"/>
      <c r="AL127" s="236" t="n"/>
      <c r="AM127" s="236" t="n"/>
      <c r="AN127" s="236" t="n"/>
      <c r="AO127" s="236" t="n"/>
      <c r="AP127" s="236" t="n"/>
      <c r="AQ127" s="236" t="n"/>
      <c r="AR127" s="236" t="n"/>
      <c r="AS127" s="236" t="n"/>
      <c r="AT127" s="236" t="n"/>
      <c r="AU127" s="236" t="n"/>
      <c r="AV127" s="236" t="n"/>
      <c r="AW127" s="236" t="n"/>
      <c r="AX127" s="692" t="n"/>
      <c r="AY127" s="692" t="n"/>
      <c r="AZ127" s="692" t="n"/>
      <c r="BA127" s="692" t="n"/>
      <c r="BB127" s="692" t="n"/>
      <c r="BC127" s="692" t="n"/>
      <c r="BD127" s="692" t="n"/>
      <c r="BE127" s="692" t="n"/>
      <c r="BF127" s="692" t="n"/>
    </row>
    <row r="128">
      <c r="A128" s="218" t="inlineStr">
        <is>
          <t>Female</t>
        </is>
      </c>
      <c r="B128" s="215" t="inlineStr">
        <is>
          <t>50 Breast</t>
        </is>
      </c>
      <c r="C128" s="189" t="n">
        <v>2019</v>
      </c>
      <c r="D128" s="215" t="inlineStr">
        <is>
          <t>MAS</t>
        </is>
      </c>
      <c r="E128" s="219" t="n">
        <v>1</v>
      </c>
      <c r="F128" s="215" t="inlineStr">
        <is>
          <t>31.4</t>
        </is>
      </c>
      <c r="G128" s="215" t="n">
        <v>1997</v>
      </c>
      <c r="H128" s="215">
        <f>C128-G128</f>
        <v/>
      </c>
      <c r="I128" s="215" t="inlineStr">
        <is>
          <t>Phee Jinq EN</t>
        </is>
      </c>
      <c r="J128" s="215" t="inlineStr">
        <is>
          <t>Purdue</t>
        </is>
      </c>
      <c r="K128" s="215" t="inlineStr">
        <is>
          <t>USA</t>
        </is>
      </c>
      <c r="L128" s="217" t="n"/>
      <c r="M128" s="689" t="n"/>
      <c r="N128" s="689" t="n"/>
      <c r="O128" s="689" t="n"/>
      <c r="P128" s="227" t="n"/>
      <c r="Q128" s="689" t="n"/>
      <c r="R128" s="689" t="n"/>
      <c r="S128" s="689" t="n"/>
      <c r="T128" s="689" t="n"/>
      <c r="U128" s="689" t="n"/>
      <c r="V128" s="689" t="n"/>
      <c r="W128" s="689" t="n"/>
      <c r="X128" s="689" t="n"/>
      <c r="Y128" s="689" t="n"/>
      <c r="Z128" s="689" t="n"/>
      <c r="AA128" s="689" t="n"/>
      <c r="AB128" s="689" t="n"/>
      <c r="AC128" s="689" t="n"/>
      <c r="AD128" s="689" t="n"/>
      <c r="AF128" s="236" t="n"/>
      <c r="AG128" s="236" t="n"/>
      <c r="AH128" s="236" t="n"/>
      <c r="AI128" s="236" t="n"/>
      <c r="AJ128" s="236" t="n"/>
      <c r="AK128" s="236" t="n"/>
      <c r="AL128" s="236" t="n"/>
      <c r="AM128" s="236" t="n"/>
      <c r="AN128" s="236" t="n"/>
      <c r="AO128" s="236" t="n"/>
      <c r="AP128" s="236" t="n"/>
      <c r="AQ128" s="236" t="n"/>
      <c r="AR128" s="236" t="n"/>
      <c r="AS128" s="236" t="n"/>
      <c r="AT128" s="236" t="n"/>
      <c r="AU128" s="236" t="n"/>
      <c r="AV128" s="236" t="n"/>
      <c r="AW128" s="236" t="n"/>
      <c r="AX128" s="692" t="n"/>
      <c r="AY128" s="692" t="n"/>
      <c r="AZ128" s="692" t="n"/>
      <c r="BA128" s="692" t="n"/>
      <c r="BB128" s="692" t="n"/>
      <c r="BC128" s="692" t="n"/>
      <c r="BD128" s="692" t="n"/>
      <c r="BE128" s="692" t="n"/>
      <c r="BF128" s="692" t="n"/>
    </row>
    <row r="129">
      <c r="A129" s="220" t="inlineStr">
        <is>
          <t>Female</t>
        </is>
      </c>
      <c r="B129" s="211" t="inlineStr">
        <is>
          <t>50 Breast</t>
        </is>
      </c>
      <c r="C129" s="190" t="n">
        <v>2019</v>
      </c>
      <c r="D129" s="211" t="inlineStr">
        <is>
          <t>THA</t>
        </is>
      </c>
      <c r="E129" s="221" t="n">
        <v>2</v>
      </c>
      <c r="F129" s="211" t="inlineStr">
        <is>
          <t>31.41</t>
        </is>
      </c>
      <c r="G129" s="211" t="n">
        <v>1995</v>
      </c>
      <c r="H129" s="211">
        <f>C129-G129</f>
        <v/>
      </c>
      <c r="I129" s="211" t="inlineStr">
        <is>
          <t>Jenjira Srisa-Ard</t>
        </is>
      </c>
      <c r="J129" s="211" t="n"/>
      <c r="K129" s="211" t="n"/>
      <c r="L129" s="213" t="n"/>
      <c r="M129" s="689" t="n"/>
      <c r="N129" s="689" t="n"/>
      <c r="O129" s="689" t="n"/>
      <c r="P129" s="227" t="n"/>
      <c r="Q129" s="689" t="n"/>
      <c r="R129" s="689" t="n"/>
      <c r="S129" s="689" t="n"/>
      <c r="T129" s="689" t="n"/>
      <c r="U129" s="689" t="n"/>
      <c r="V129" s="689" t="n"/>
      <c r="W129" s="689" t="n"/>
      <c r="X129" s="689" t="n"/>
      <c r="Y129" s="689" t="n"/>
      <c r="Z129" s="689" t="n"/>
      <c r="AA129" s="689" t="n"/>
      <c r="AB129" s="689" t="n"/>
      <c r="AC129" s="689" t="n"/>
      <c r="AD129" s="689" t="n"/>
      <c r="AF129" s="236" t="n"/>
      <c r="AG129" s="236" t="n"/>
      <c r="AH129" s="236" t="n"/>
      <c r="AI129" s="236" t="n"/>
      <c r="AJ129" s="236" t="n"/>
      <c r="AK129" s="236" t="n"/>
      <c r="AL129" s="236" t="n"/>
      <c r="AM129" s="236" t="n"/>
      <c r="AN129" s="236" t="n"/>
      <c r="AO129" s="236" t="n"/>
      <c r="AP129" s="236" t="n"/>
      <c r="AQ129" s="236" t="n"/>
      <c r="AR129" s="236" t="n"/>
      <c r="AS129" s="236" t="n"/>
      <c r="AT129" s="236" t="n"/>
      <c r="AU129" s="236" t="n"/>
      <c r="AV129" s="236" t="n"/>
      <c r="AW129" s="236" t="n"/>
      <c r="AX129" s="692" t="n"/>
      <c r="AY129" s="692" t="n"/>
      <c r="AZ129" s="692" t="n"/>
      <c r="BA129" s="692" t="n"/>
      <c r="BB129" s="692" t="n"/>
      <c r="BC129" s="692" t="n"/>
      <c r="BD129" s="692" t="n"/>
      <c r="BE129" s="692" t="n"/>
      <c r="BF129" s="692" t="n"/>
    </row>
    <row r="130">
      <c r="A130" s="218" t="inlineStr">
        <is>
          <t>Female</t>
        </is>
      </c>
      <c r="B130" s="215" t="inlineStr">
        <is>
          <t>50 Breast</t>
        </is>
      </c>
      <c r="C130" s="189" t="n">
        <v>2019</v>
      </c>
      <c r="D130" s="215" t="inlineStr">
        <is>
          <t>SGP</t>
        </is>
      </c>
      <c r="E130" s="219" t="n">
        <v>3</v>
      </c>
      <c r="F130" s="215" t="inlineStr">
        <is>
          <t>31.43</t>
        </is>
      </c>
      <c r="G130" s="215" t="n">
        <v>2000</v>
      </c>
      <c r="H130" s="215">
        <f>C130-G130</f>
        <v/>
      </c>
      <c r="I130" s="215" t="inlineStr">
        <is>
          <t>Christie May Mun EE Chue</t>
        </is>
      </c>
      <c r="J130" s="215" t="inlineStr">
        <is>
          <t>FIU</t>
        </is>
      </c>
      <c r="K130" s="215" t="inlineStr">
        <is>
          <t>USA</t>
        </is>
      </c>
      <c r="L130" s="217" t="n"/>
      <c r="M130" s="689" t="n"/>
      <c r="N130" s="689" t="n"/>
      <c r="O130" s="689" t="n"/>
      <c r="P130" s="227" t="n"/>
      <c r="Q130" s="689" t="n"/>
      <c r="R130" s="689" t="n"/>
      <c r="S130" s="689" t="n"/>
      <c r="T130" s="689" t="n"/>
      <c r="U130" s="689" t="n"/>
      <c r="V130" s="689" t="n"/>
      <c r="W130" s="689" t="n"/>
      <c r="X130" s="689" t="n"/>
      <c r="Y130" s="689" t="n"/>
      <c r="Z130" s="689" t="n"/>
      <c r="AA130" s="689" t="n"/>
      <c r="AB130" s="689" t="n"/>
      <c r="AC130" s="689" t="n"/>
      <c r="AD130" s="689" t="n"/>
      <c r="AF130" s="236" t="n"/>
      <c r="AG130" s="236" t="n"/>
      <c r="AH130" s="236" t="n"/>
      <c r="AI130" s="236" t="n"/>
      <c r="AJ130" s="236" t="n"/>
      <c r="AK130" s="236" t="n"/>
      <c r="AL130" s="236" t="n"/>
      <c r="AM130" s="236" t="n"/>
      <c r="AN130" s="236" t="n"/>
      <c r="AO130" s="236" t="n"/>
      <c r="AP130" s="236" t="n"/>
      <c r="AQ130" s="236" t="n"/>
      <c r="AR130" s="236" t="n"/>
      <c r="AS130" s="236" t="n"/>
      <c r="AT130" s="236" t="n"/>
      <c r="AU130" s="236" t="n"/>
      <c r="AV130" s="236" t="n"/>
      <c r="AW130" s="236" t="n"/>
      <c r="AX130" s="692" t="n"/>
      <c r="AY130" s="692" t="n"/>
      <c r="AZ130" s="692" t="n"/>
      <c r="BA130" s="692" t="n"/>
      <c r="BB130" s="692" t="n"/>
      <c r="BC130" s="692" t="n"/>
      <c r="BD130" s="692" t="n"/>
      <c r="BE130" s="692" t="n"/>
      <c r="BF130" s="692" t="n"/>
    </row>
    <row r="131">
      <c r="A131" s="220" t="inlineStr">
        <is>
          <t>Female</t>
        </is>
      </c>
      <c r="B131" s="211" t="inlineStr">
        <is>
          <t>50 Breast</t>
        </is>
      </c>
      <c r="C131" s="190" t="n">
        <v>2022</v>
      </c>
      <c r="D131" s="211" t="inlineStr">
        <is>
          <t>SGP</t>
        </is>
      </c>
      <c r="E131" s="221" t="n">
        <v>1</v>
      </c>
      <c r="F131" s="211" t="inlineStr">
        <is>
          <t>31.34</t>
        </is>
      </c>
      <c r="G131" s="196" t="n">
        <v>2003</v>
      </c>
      <c r="H131" s="196">
        <f>C131-G131</f>
        <v/>
      </c>
      <c r="I131" s="198" t="inlineStr">
        <is>
          <t>Letitia EN YI Sim</t>
        </is>
      </c>
      <c r="J131" s="198" t="inlineStr">
        <is>
          <t>Michigan</t>
        </is>
      </c>
      <c r="K131" s="198" t="inlineStr">
        <is>
          <t>USA</t>
        </is>
      </c>
      <c r="L131" s="199" t="inlineStr">
        <is>
          <t>USA</t>
        </is>
      </c>
      <c r="M131" s="689" t="n"/>
      <c r="N131" s="689" t="n"/>
      <c r="O131" s="689" t="n"/>
      <c r="P131" s="227" t="n"/>
      <c r="Q131" s="689" t="n"/>
      <c r="R131" s="689" t="n"/>
      <c r="S131" s="689" t="n"/>
      <c r="T131" s="689" t="n"/>
      <c r="U131" s="689" t="n"/>
      <c r="V131" s="689" t="n"/>
      <c r="W131" s="689" t="n"/>
      <c r="X131" s="689" t="n"/>
      <c r="Y131" s="689" t="n"/>
      <c r="Z131" s="689" t="n"/>
      <c r="AA131" s="689" t="n"/>
      <c r="AB131" s="689" t="n"/>
      <c r="AC131" s="689" t="n"/>
      <c r="AD131" s="689" t="n"/>
      <c r="AF131" s="236" t="n"/>
      <c r="AG131" s="236" t="n"/>
      <c r="AH131" s="236" t="n"/>
      <c r="AI131" s="236" t="n"/>
      <c r="AJ131" s="236" t="n"/>
      <c r="AK131" s="236" t="n"/>
      <c r="AL131" s="236" t="n"/>
      <c r="AM131" s="236" t="n"/>
      <c r="AN131" s="236" t="n"/>
      <c r="AO131" s="236" t="n"/>
      <c r="AP131" s="236" t="n"/>
      <c r="AQ131" s="236" t="n"/>
      <c r="AR131" s="236" t="n"/>
      <c r="AS131" s="236" t="n"/>
      <c r="AT131" s="236" t="n"/>
      <c r="AU131" s="236" t="n"/>
      <c r="AV131" s="236" t="n"/>
      <c r="AW131" s="236" t="n"/>
      <c r="AX131" s="692" t="n"/>
      <c r="AY131" s="692" t="n"/>
      <c r="AZ131" s="692" t="n"/>
      <c r="BA131" s="692" t="n"/>
      <c r="BB131" s="692" t="n"/>
      <c r="BC131" s="692" t="n"/>
      <c r="BD131" s="692" t="n"/>
      <c r="BE131" s="692" t="n"/>
      <c r="BF131" s="692" t="n"/>
    </row>
    <row r="132">
      <c r="A132" s="218" t="inlineStr">
        <is>
          <t>Female</t>
        </is>
      </c>
      <c r="B132" s="215" t="inlineStr">
        <is>
          <t>50 Breast</t>
        </is>
      </c>
      <c r="C132" s="189" t="n">
        <v>2022</v>
      </c>
      <c r="D132" s="215" t="inlineStr">
        <is>
          <t>THA</t>
        </is>
      </c>
      <c r="E132" s="219" t="n">
        <v>2</v>
      </c>
      <c r="F132" s="215" t="inlineStr">
        <is>
          <t>31.63</t>
        </is>
      </c>
      <c r="G132" s="202" t="n">
        <v>1995</v>
      </c>
      <c r="H132" s="202">
        <f>C132-G132</f>
        <v/>
      </c>
      <c r="I132" s="206" t="inlineStr">
        <is>
          <t>Jenjira Srisa-Ard</t>
        </is>
      </c>
      <c r="J132" s="215" t="n"/>
      <c r="K132" s="215" t="n"/>
      <c r="L132" s="217" t="n"/>
      <c r="M132" s="689" t="n"/>
      <c r="N132" s="689" t="n"/>
      <c r="O132" s="689" t="n"/>
      <c r="P132" s="227" t="n"/>
      <c r="Q132" s="689" t="n"/>
      <c r="R132" s="689" t="n"/>
      <c r="S132" s="689" t="n"/>
      <c r="T132" s="689" t="n"/>
      <c r="U132" s="689" t="n"/>
      <c r="V132" s="689" t="n"/>
      <c r="W132" s="689" t="n"/>
      <c r="X132" s="689" t="n"/>
      <c r="Y132" s="689" t="n"/>
      <c r="Z132" s="689" t="n"/>
      <c r="AA132" s="689" t="n"/>
      <c r="AB132" s="689" t="n"/>
      <c r="AC132" s="689" t="n"/>
      <c r="AD132" s="689" t="n"/>
      <c r="AF132" s="236" t="n"/>
      <c r="AG132" s="236" t="n"/>
      <c r="AH132" s="236" t="n"/>
      <c r="AI132" s="236" t="n"/>
      <c r="AJ132" s="236" t="n"/>
      <c r="AK132" s="236" t="n"/>
      <c r="AL132" s="236" t="n"/>
      <c r="AM132" s="236" t="n"/>
      <c r="AN132" s="236" t="n"/>
      <c r="AO132" s="236" t="n"/>
      <c r="AP132" s="236" t="n"/>
      <c r="AQ132" s="236" t="n"/>
      <c r="AR132" s="236" t="n"/>
      <c r="AS132" s="236" t="n"/>
      <c r="AT132" s="236" t="n"/>
      <c r="AU132" s="236" t="n"/>
      <c r="AV132" s="236" t="n"/>
      <c r="AW132" s="236" t="n"/>
      <c r="AX132" s="692" t="n"/>
      <c r="AY132" s="692" t="n"/>
      <c r="AZ132" s="692" t="n"/>
      <c r="BA132" s="692" t="n"/>
      <c r="BB132" s="692" t="n"/>
      <c r="BC132" s="692" t="n"/>
      <c r="BD132" s="692" t="n"/>
      <c r="BE132" s="692" t="n"/>
      <c r="BF132" s="692" t="n"/>
    </row>
    <row r="133">
      <c r="A133" s="220" t="inlineStr">
        <is>
          <t>Female</t>
        </is>
      </c>
      <c r="B133" s="211" t="inlineStr">
        <is>
          <t>50 Breast</t>
        </is>
      </c>
      <c r="C133" s="190" t="n">
        <v>2022</v>
      </c>
      <c r="D133" s="211" t="inlineStr">
        <is>
          <t>SGP</t>
        </is>
      </c>
      <c r="E133" s="221" t="n">
        <v>3</v>
      </c>
      <c r="F133" s="211" t="inlineStr">
        <is>
          <t>32.1</t>
        </is>
      </c>
      <c r="G133" s="211" t="n">
        <v>2000</v>
      </c>
      <c r="H133" s="211">
        <f>C133-G133</f>
        <v/>
      </c>
      <c r="I133" s="211" t="inlineStr">
        <is>
          <t>Christie May Mun EE Chue</t>
        </is>
      </c>
      <c r="J133" s="211" t="inlineStr">
        <is>
          <t>FIU</t>
        </is>
      </c>
      <c r="K133" s="211" t="inlineStr">
        <is>
          <t>USA</t>
        </is>
      </c>
      <c r="L133" s="213" t="n"/>
      <c r="M133" s="689" t="n"/>
      <c r="N133" s="689" t="n"/>
      <c r="O133" s="689" t="n"/>
      <c r="P133" s="227" t="n"/>
      <c r="Q133" s="689" t="n"/>
      <c r="R133" s="689" t="n"/>
      <c r="S133" s="689" t="n"/>
      <c r="T133" s="689" t="n"/>
      <c r="U133" s="689" t="n"/>
      <c r="V133" s="689" t="n"/>
      <c r="W133" s="689" t="n"/>
      <c r="X133" s="689" t="n"/>
      <c r="Y133" s="689" t="n"/>
      <c r="Z133" s="689" t="n"/>
      <c r="AA133" s="689" t="n"/>
      <c r="AB133" s="689" t="n"/>
      <c r="AC133" s="689" t="n"/>
      <c r="AD133" s="689" t="n"/>
      <c r="AF133" s="236" t="n"/>
      <c r="AG133" s="236" t="n"/>
      <c r="AH133" s="236" t="n"/>
      <c r="AI133" s="236" t="n"/>
      <c r="AJ133" s="236" t="n"/>
      <c r="AK133" s="236" t="n"/>
      <c r="AL133" s="236" t="n"/>
      <c r="AM133" s="236" t="n"/>
      <c r="AN133" s="236" t="n"/>
      <c r="AO133" s="236" t="n"/>
      <c r="AP133" s="236" t="n"/>
      <c r="AQ133" s="236" t="n"/>
      <c r="AR133" s="236" t="n"/>
      <c r="AS133" s="236" t="n"/>
      <c r="AT133" s="236" t="n"/>
      <c r="AU133" s="236" t="n"/>
      <c r="AV133" s="236" t="n"/>
      <c r="AW133" s="236" t="n"/>
      <c r="AX133" s="692" t="n"/>
      <c r="AY133" s="692" t="n"/>
      <c r="AZ133" s="692" t="n"/>
      <c r="BA133" s="692" t="n"/>
      <c r="BB133" s="692" t="n"/>
      <c r="BC133" s="692" t="n"/>
      <c r="BD133" s="692" t="n"/>
      <c r="BE133" s="692" t="n"/>
      <c r="BF133" s="692" t="n"/>
    </row>
    <row r="134">
      <c r="A134" s="218" t="inlineStr">
        <is>
          <t>Female</t>
        </is>
      </c>
      <c r="B134" s="215" t="inlineStr">
        <is>
          <t>50 Breast</t>
        </is>
      </c>
      <c r="C134" s="189" t="n">
        <v>2023</v>
      </c>
      <c r="D134" s="215" t="inlineStr">
        <is>
          <t>THA</t>
        </is>
      </c>
      <c r="E134" s="219" t="n">
        <v>1</v>
      </c>
      <c r="F134" s="215" t="inlineStr">
        <is>
          <t>31.22</t>
        </is>
      </c>
      <c r="G134" s="215" t="n">
        <v>1995</v>
      </c>
      <c r="H134" s="215">
        <f>C134-G134</f>
        <v/>
      </c>
      <c r="I134" s="215" t="inlineStr">
        <is>
          <t>Jenjira Srisa-Ard</t>
        </is>
      </c>
      <c r="J134" s="215" t="n"/>
      <c r="K134" s="215" t="n"/>
      <c r="L134" s="217" t="n"/>
      <c r="M134" s="689" t="n"/>
      <c r="N134" s="689" t="n"/>
      <c r="O134" s="689" t="n"/>
      <c r="P134" s="227" t="n"/>
      <c r="Q134" s="689" t="n"/>
      <c r="R134" s="689" t="n"/>
      <c r="S134" s="689" t="n"/>
      <c r="T134" s="689" t="n"/>
      <c r="U134" s="689" t="n"/>
      <c r="V134" s="689" t="n"/>
      <c r="W134" s="689" t="n"/>
      <c r="X134" s="689" t="n"/>
      <c r="Y134" s="689" t="n"/>
      <c r="Z134" s="689" t="n"/>
      <c r="AA134" s="689" t="n"/>
      <c r="AB134" s="689" t="n"/>
      <c r="AC134" s="689" t="n"/>
      <c r="AD134" s="689" t="n"/>
      <c r="AF134" s="236" t="n"/>
      <c r="AG134" s="236" t="n"/>
      <c r="AH134" s="236" t="n"/>
      <c r="AI134" s="236" t="n"/>
      <c r="AJ134" s="236" t="n"/>
      <c r="AK134" s="236" t="n"/>
      <c r="AL134" s="236" t="n"/>
      <c r="AM134" s="236" t="n"/>
      <c r="AN134" s="236" t="n"/>
      <c r="AO134" s="236" t="n"/>
      <c r="AP134" s="236" t="n"/>
      <c r="AQ134" s="236" t="n"/>
      <c r="AR134" s="236" t="n"/>
      <c r="AS134" s="236" t="n"/>
      <c r="AT134" s="236" t="n"/>
      <c r="AU134" s="236" t="n"/>
      <c r="AV134" s="236" t="n"/>
      <c r="AW134" s="236" t="n"/>
      <c r="AX134" s="692" t="n"/>
      <c r="AY134" s="692" t="n"/>
      <c r="AZ134" s="692" t="n"/>
      <c r="BA134" s="692" t="n"/>
      <c r="BB134" s="692" t="n"/>
      <c r="BC134" s="692" t="n"/>
      <c r="BD134" s="692" t="n"/>
      <c r="BE134" s="692" t="n"/>
      <c r="BF134" s="692" t="n"/>
    </row>
    <row r="135">
      <c r="A135" s="220" t="inlineStr">
        <is>
          <t>Female</t>
        </is>
      </c>
      <c r="B135" s="211" t="inlineStr">
        <is>
          <t>50 Breast</t>
        </is>
      </c>
      <c r="C135" s="190" t="n">
        <v>2023</v>
      </c>
      <c r="D135" s="211" t="inlineStr">
        <is>
          <t>SGP</t>
        </is>
      </c>
      <c r="E135" s="221" t="n">
        <v>2</v>
      </c>
      <c r="F135" s="211" t="inlineStr">
        <is>
          <t>31.62</t>
        </is>
      </c>
      <c r="G135" s="211" t="n">
        <v>2003</v>
      </c>
      <c r="H135" s="215">
        <f>C135-G135</f>
        <v/>
      </c>
      <c r="I135" s="211" t="inlineStr">
        <is>
          <t>Letitia EN YI Sim</t>
        </is>
      </c>
      <c r="J135" s="211" t="inlineStr">
        <is>
          <t>Michigan</t>
        </is>
      </c>
      <c r="K135" s="211" t="inlineStr">
        <is>
          <t>USA</t>
        </is>
      </c>
      <c r="L135" s="213" t="inlineStr">
        <is>
          <t>USA</t>
        </is>
      </c>
      <c r="M135" s="689" t="n"/>
      <c r="N135" s="689" t="n"/>
      <c r="O135" s="689" t="n"/>
      <c r="P135" s="227" t="n"/>
      <c r="Q135" s="689" t="n"/>
      <c r="R135" s="689" t="n"/>
      <c r="S135" s="689" t="n"/>
      <c r="T135" s="689" t="n"/>
      <c r="U135" s="689" t="n"/>
      <c r="V135" s="689" t="n"/>
      <c r="W135" s="689" t="n"/>
      <c r="X135" s="689" t="n"/>
      <c r="Y135" s="689" t="n"/>
      <c r="Z135" s="689" t="n"/>
      <c r="AA135" s="689" t="n"/>
      <c r="AB135" s="689" t="n"/>
      <c r="AC135" s="689" t="n"/>
      <c r="AD135" s="689" t="n"/>
      <c r="AF135" s="236" t="n"/>
      <c r="AG135" s="236" t="n"/>
      <c r="AH135" s="236" t="n"/>
      <c r="AI135" s="236" t="n"/>
      <c r="AJ135" s="236" t="n"/>
      <c r="AK135" s="236" t="n"/>
      <c r="AL135" s="236" t="n"/>
      <c r="AM135" s="236" t="n"/>
      <c r="AN135" s="236" t="n"/>
      <c r="AO135" s="236" t="n"/>
      <c r="AP135" s="236" t="n"/>
      <c r="AQ135" s="236" t="n"/>
      <c r="AR135" s="236" t="n"/>
      <c r="AS135" s="236" t="n"/>
      <c r="AT135" s="236" t="n"/>
      <c r="AU135" s="236" t="n"/>
      <c r="AV135" s="236" t="n"/>
      <c r="AW135" s="236" t="n"/>
      <c r="AX135" s="692" t="n"/>
      <c r="AY135" s="692" t="n"/>
      <c r="AZ135" s="692" t="n"/>
      <c r="BA135" s="692" t="n"/>
      <c r="BB135" s="692" t="n"/>
      <c r="BC135" s="692" t="n"/>
      <c r="BD135" s="692" t="n"/>
      <c r="BE135" s="692" t="n"/>
      <c r="BF135" s="692" t="n"/>
    </row>
    <row r="136">
      <c r="A136" s="218" t="inlineStr">
        <is>
          <t>Female</t>
        </is>
      </c>
      <c r="B136" s="215" t="inlineStr">
        <is>
          <t>50 Breast</t>
        </is>
      </c>
      <c r="C136" s="189" t="n">
        <v>2023</v>
      </c>
      <c r="D136" s="215" t="inlineStr">
        <is>
          <t>MAS</t>
        </is>
      </c>
      <c r="E136" s="219" t="n">
        <v>3</v>
      </c>
      <c r="F136" s="215" t="inlineStr">
        <is>
          <t>31.94</t>
        </is>
      </c>
      <c r="G136" s="211" t="n">
        <v>1997</v>
      </c>
      <c r="H136" s="211">
        <f>C136-G136</f>
        <v/>
      </c>
      <c r="I136" s="211" t="inlineStr">
        <is>
          <t>Phee Jinq EN</t>
        </is>
      </c>
      <c r="J136" s="215" t="inlineStr">
        <is>
          <t>Purdue</t>
        </is>
      </c>
      <c r="K136" s="215" t="inlineStr">
        <is>
          <t>USA</t>
        </is>
      </c>
      <c r="L136" s="217" t="n"/>
      <c r="M136" s="689" t="n"/>
      <c r="N136" s="689" t="n"/>
      <c r="O136" s="689" t="n"/>
      <c r="P136" s="227" t="n"/>
      <c r="Q136" s="689" t="n"/>
      <c r="R136" s="689" t="n"/>
      <c r="S136" s="689" t="n"/>
      <c r="T136" s="689" t="n"/>
      <c r="U136" s="689" t="n"/>
      <c r="V136" s="689" t="n"/>
      <c r="W136" s="689" t="n"/>
      <c r="X136" s="689" t="n"/>
      <c r="Y136" s="689" t="n"/>
      <c r="Z136" s="689" t="n"/>
      <c r="AA136" s="689" t="n"/>
      <c r="AB136" s="689" t="n"/>
      <c r="AC136" s="689" t="n"/>
      <c r="AD136" s="689" t="n"/>
      <c r="AF136" s="236" t="n"/>
      <c r="AG136" s="236" t="n"/>
      <c r="AH136" s="236" t="n"/>
      <c r="AI136" s="236" t="n"/>
      <c r="AJ136" s="236" t="n"/>
      <c r="AK136" s="236" t="n"/>
      <c r="AL136" s="236" t="n"/>
      <c r="AM136" s="236" t="n"/>
      <c r="AN136" s="236" t="n"/>
      <c r="AO136" s="236" t="n"/>
      <c r="AP136" s="236" t="n"/>
      <c r="AQ136" s="236" t="n"/>
      <c r="AR136" s="236" t="n"/>
      <c r="AS136" s="236" t="n"/>
      <c r="AT136" s="236" t="n"/>
      <c r="AU136" s="236" t="n"/>
      <c r="AV136" s="236" t="n"/>
      <c r="AW136" s="236" t="n"/>
      <c r="AX136" s="692" t="n"/>
      <c r="AY136" s="692" t="n"/>
      <c r="AZ136" s="692" t="n"/>
      <c r="BA136" s="692" t="n"/>
      <c r="BB136" s="692" t="n"/>
      <c r="BC136" s="692" t="n"/>
      <c r="BD136" s="692" t="n"/>
      <c r="BE136" s="692" t="n"/>
      <c r="BF136" s="692" t="n"/>
    </row>
    <row r="137">
      <c r="A137" s="220" t="inlineStr">
        <is>
          <t>Female</t>
        </is>
      </c>
      <c r="B137" s="211" t="inlineStr">
        <is>
          <t>50 Fly</t>
        </is>
      </c>
      <c r="C137" s="190" t="n">
        <v>2019</v>
      </c>
      <c r="D137" s="211" t="inlineStr">
        <is>
          <t>SGP</t>
        </is>
      </c>
      <c r="E137" s="221" t="n">
        <v>1</v>
      </c>
      <c r="F137" s="211" t="inlineStr">
        <is>
          <t>26.50</t>
        </is>
      </c>
      <c r="G137" s="211" t="n">
        <v>1992</v>
      </c>
      <c r="H137" s="211">
        <f>C137-G137</f>
        <v/>
      </c>
      <c r="I137" s="211" t="inlineStr">
        <is>
          <t>Ting Wen Quah</t>
        </is>
      </c>
      <c r="J137" s="211" t="inlineStr">
        <is>
          <t>UCLA</t>
        </is>
      </c>
      <c r="K137" s="211" t="inlineStr">
        <is>
          <t>USA</t>
        </is>
      </c>
      <c r="L137" s="213" t="n"/>
      <c r="M137" s="689" t="n"/>
      <c r="N137" s="689" t="n"/>
      <c r="O137" s="689" t="n"/>
      <c r="P137" s="227" t="n"/>
      <c r="Q137" s="689" t="n"/>
      <c r="R137" s="689" t="n"/>
      <c r="S137" s="689" t="n"/>
      <c r="T137" s="689" t="n"/>
      <c r="U137" s="689" t="n"/>
      <c r="V137" s="689" t="n"/>
      <c r="W137" s="689" t="n"/>
      <c r="X137" s="689" t="n"/>
      <c r="Y137" s="689" t="n"/>
      <c r="Z137" s="689" t="n"/>
      <c r="AA137" s="689" t="n"/>
      <c r="AB137" s="689" t="n"/>
      <c r="AC137" s="689" t="n"/>
      <c r="AD137" s="689" t="n"/>
      <c r="AF137" s="236" t="n"/>
      <c r="AG137" s="236" t="n"/>
      <c r="AH137" s="236" t="n"/>
      <c r="AI137" s="236" t="n"/>
      <c r="AJ137" s="236" t="n"/>
      <c r="AK137" s="236" t="n"/>
      <c r="AL137" s="236" t="n"/>
      <c r="AM137" s="236" t="n"/>
      <c r="AN137" s="236" t="n"/>
      <c r="AO137" s="236" t="n"/>
      <c r="AP137" s="236" t="n"/>
      <c r="AQ137" s="236" t="n"/>
      <c r="AR137" s="236" t="n"/>
      <c r="AS137" s="236" t="n"/>
      <c r="AT137" s="236" t="n"/>
      <c r="AU137" s="236" t="n"/>
      <c r="AV137" s="236" t="n"/>
      <c r="AW137" s="236" t="n"/>
      <c r="AX137" s="692" t="n"/>
      <c r="AY137" s="692" t="n"/>
      <c r="AZ137" s="692" t="n"/>
      <c r="BA137" s="692" t="n"/>
      <c r="BB137" s="692" t="n"/>
      <c r="BC137" s="692" t="n"/>
      <c r="BD137" s="692" t="n"/>
      <c r="BE137" s="692" t="n"/>
      <c r="BF137" s="692" t="n"/>
      <c r="BG137" s="692" t="n"/>
      <c r="BH137" s="692" t="n"/>
      <c r="BI137" s="692" t="n"/>
      <c r="BJ137" s="692" t="n"/>
      <c r="BK137" s="692" t="n"/>
      <c r="BL137" s="692" t="n"/>
      <c r="BM137" s="692" t="n"/>
      <c r="BN137" s="692" t="n"/>
      <c r="BO137" s="692" t="n"/>
      <c r="BP137" s="692" t="n"/>
      <c r="BQ137" s="692" t="n"/>
    </row>
    <row r="138">
      <c r="A138" s="218" t="inlineStr">
        <is>
          <t>Female</t>
        </is>
      </c>
      <c r="B138" s="215" t="inlineStr">
        <is>
          <t>50 Fly</t>
        </is>
      </c>
      <c r="C138" s="189" t="n">
        <v>2019</v>
      </c>
      <c r="D138" s="215" t="inlineStr">
        <is>
          <t>THA</t>
        </is>
      </c>
      <c r="E138" s="219" t="n">
        <v>2</v>
      </c>
      <c r="F138" s="215" t="inlineStr">
        <is>
          <t>26.64</t>
        </is>
      </c>
      <c r="G138" s="197" t="n">
        <v>1995</v>
      </c>
      <c r="H138" s="202">
        <f>C138-G138</f>
        <v/>
      </c>
      <c r="I138" s="201" t="inlineStr">
        <is>
          <t>Jenjira Srisa-Ard</t>
        </is>
      </c>
      <c r="J138" s="215" t="n"/>
      <c r="K138" s="215" t="n"/>
      <c r="L138" s="217" t="n"/>
      <c r="M138" s="689" t="n"/>
      <c r="N138" s="689" t="n"/>
      <c r="O138" s="689" t="n"/>
      <c r="P138" s="227" t="n"/>
      <c r="Q138" s="689" t="n"/>
      <c r="R138" s="689" t="n"/>
      <c r="S138" s="689" t="n"/>
      <c r="T138" s="689" t="n"/>
      <c r="U138" s="689" t="n"/>
      <c r="V138" s="689" t="n"/>
      <c r="W138" s="689" t="n"/>
      <c r="X138" s="689" t="n"/>
      <c r="Y138" s="689" t="n"/>
      <c r="Z138" s="689" t="n"/>
      <c r="AA138" s="689" t="n"/>
      <c r="AB138" s="689" t="n"/>
      <c r="AC138" s="689" t="n"/>
      <c r="AD138" s="689" t="n"/>
      <c r="AF138" s="236" t="n"/>
      <c r="AG138" s="236" t="n"/>
      <c r="AH138" s="236" t="n"/>
      <c r="AI138" s="236" t="n"/>
      <c r="AJ138" s="236" t="n"/>
      <c r="AK138" s="236" t="n"/>
      <c r="AL138" s="236" t="n"/>
      <c r="AM138" s="236" t="n"/>
      <c r="AN138" s="236" t="n"/>
      <c r="AO138" s="236" t="n"/>
      <c r="AP138" s="236" t="n"/>
      <c r="AQ138" s="236" t="n"/>
      <c r="AR138" s="236" t="n"/>
      <c r="AS138" s="236" t="n"/>
      <c r="AT138" s="236" t="n"/>
      <c r="AU138" s="236" t="n"/>
      <c r="AV138" s="236" t="n"/>
      <c r="AW138" s="236" t="n"/>
      <c r="AX138" s="692" t="n"/>
      <c r="AY138" s="692" t="n"/>
      <c r="AZ138" s="692" t="n"/>
      <c r="BA138" s="692" t="n"/>
      <c r="BB138" s="692" t="n"/>
      <c r="BC138" s="692" t="n"/>
      <c r="BD138" s="692" t="n"/>
      <c r="BE138" s="692" t="n"/>
      <c r="BF138" s="692" t="n"/>
      <c r="BG138" s="692" t="n"/>
      <c r="BH138" s="692" t="n"/>
      <c r="BI138" s="692" t="n"/>
      <c r="BJ138" s="692" t="n"/>
      <c r="BK138" s="692" t="n"/>
      <c r="BL138" s="692" t="n"/>
      <c r="BM138" s="692" t="n"/>
      <c r="BN138" s="692" t="n"/>
      <c r="BO138" s="692" t="n"/>
      <c r="BP138" s="692" t="n"/>
      <c r="BQ138" s="692" t="n"/>
    </row>
    <row r="139">
      <c r="A139" s="220" t="inlineStr">
        <is>
          <t>Female</t>
        </is>
      </c>
      <c r="B139" s="211" t="inlineStr">
        <is>
          <t>50 Fly</t>
        </is>
      </c>
      <c r="C139" s="190" t="n">
        <v>2019</v>
      </c>
      <c r="D139" s="211" t="inlineStr">
        <is>
          <t>PHI</t>
        </is>
      </c>
      <c r="E139" s="221" t="n">
        <v>3</v>
      </c>
      <c r="F139" s="211" t="inlineStr">
        <is>
          <t>27.09</t>
        </is>
      </c>
      <c r="G139" s="211" t="n">
        <v>1993</v>
      </c>
      <c r="H139" s="215">
        <f>C139-G139</f>
        <v/>
      </c>
      <c r="I139" s="211" t="inlineStr">
        <is>
          <t>Jasmine Alkhaldi</t>
        </is>
      </c>
      <c r="J139" s="211" t="inlineStr">
        <is>
          <t>Hawaii</t>
        </is>
      </c>
      <c r="K139" s="211" t="inlineStr">
        <is>
          <t>USA</t>
        </is>
      </c>
      <c r="L139" s="213" t="n"/>
      <c r="M139" s="689" t="n"/>
      <c r="N139" s="689" t="n"/>
      <c r="O139" s="689" t="n"/>
      <c r="P139" s="227" t="n"/>
      <c r="Q139" s="689" t="n"/>
      <c r="R139" s="689" t="n"/>
      <c r="S139" s="689" t="n"/>
      <c r="T139" s="689" t="n"/>
      <c r="U139" s="689" t="n"/>
      <c r="V139" s="689" t="n"/>
      <c r="W139" s="689" t="n"/>
      <c r="X139" s="689" t="n"/>
      <c r="Y139" s="689" t="n"/>
      <c r="Z139" s="689" t="n"/>
      <c r="AA139" s="689" t="n"/>
      <c r="AB139" s="689" t="n"/>
      <c r="AC139" s="689" t="n"/>
      <c r="AD139" s="689" t="n"/>
      <c r="AF139" s="236" t="n"/>
      <c r="AG139" s="236" t="n"/>
      <c r="AH139" s="236" t="n"/>
      <c r="AI139" s="236" t="n"/>
      <c r="AJ139" s="236" t="n"/>
      <c r="AK139" s="236" t="n"/>
      <c r="AL139" s="236" t="n"/>
      <c r="AM139" s="236" t="n"/>
      <c r="AN139" s="236" t="n"/>
      <c r="AO139" s="236" t="n"/>
      <c r="AP139" s="236" t="n"/>
      <c r="AQ139" s="236" t="n"/>
      <c r="AR139" s="236" t="n"/>
      <c r="AS139" s="236" t="n"/>
      <c r="AT139" s="236" t="n"/>
      <c r="AU139" s="236" t="n"/>
      <c r="AV139" s="236" t="n"/>
      <c r="AW139" s="236" t="n"/>
      <c r="AX139" s="692" t="n"/>
      <c r="AY139" s="692" t="n"/>
      <c r="AZ139" s="692" t="n"/>
      <c r="BA139" s="692" t="n"/>
      <c r="BB139" s="692" t="n"/>
      <c r="BC139" s="692" t="n"/>
      <c r="BD139" s="692" t="n"/>
      <c r="BE139" s="692" t="n"/>
      <c r="BF139" s="692" t="n"/>
      <c r="BG139" s="692" t="n"/>
      <c r="BH139" s="692" t="n"/>
      <c r="BI139" s="692" t="n"/>
      <c r="BJ139" s="692" t="n"/>
      <c r="BK139" s="692" t="n"/>
      <c r="BL139" s="692" t="n"/>
      <c r="BM139" s="692" t="n"/>
      <c r="BN139" s="692" t="n"/>
      <c r="BO139" s="692" t="n"/>
      <c r="BP139" s="692" t="n"/>
      <c r="BQ139" s="692" t="n"/>
    </row>
    <row r="140">
      <c r="A140" s="218" t="inlineStr">
        <is>
          <t>Female</t>
        </is>
      </c>
      <c r="B140" s="215" t="inlineStr">
        <is>
          <t>50 Fly</t>
        </is>
      </c>
      <c r="C140" s="189" t="n">
        <v>2022</v>
      </c>
      <c r="D140" s="215" t="inlineStr">
        <is>
          <t>THA</t>
        </is>
      </c>
      <c r="E140" s="219" t="n">
        <v>1</v>
      </c>
      <c r="F140" s="215" t="inlineStr">
        <is>
          <t>26.53</t>
        </is>
      </c>
      <c r="G140" s="202" t="n">
        <v>1995</v>
      </c>
      <c r="H140" s="202">
        <f>C140-G140</f>
        <v/>
      </c>
      <c r="I140" s="206" t="inlineStr">
        <is>
          <t>Jenjira Srisa-Ard</t>
        </is>
      </c>
      <c r="J140" s="215" t="n"/>
      <c r="K140" s="215" t="n"/>
      <c r="L140" s="217" t="n"/>
      <c r="M140" s="689" t="n"/>
      <c r="N140" s="689" t="n"/>
      <c r="O140" s="689" t="n"/>
      <c r="P140" s="227" t="n"/>
      <c r="Q140" s="689" t="n"/>
      <c r="R140" s="689" t="n"/>
      <c r="S140" s="689" t="n"/>
      <c r="T140" s="689" t="n"/>
      <c r="U140" s="689" t="n"/>
      <c r="V140" s="689" t="n"/>
      <c r="W140" s="689" t="n"/>
      <c r="X140" s="689" t="n"/>
      <c r="Y140" s="689" t="n"/>
      <c r="Z140" s="689" t="n"/>
      <c r="AA140" s="689" t="n"/>
      <c r="AB140" s="689" t="n"/>
      <c r="AC140" s="689" t="n"/>
      <c r="AD140" s="689" t="n"/>
      <c r="AF140" s="236" t="n"/>
      <c r="AG140" s="236" t="n"/>
      <c r="AH140" s="236" t="n"/>
      <c r="AI140" s="236" t="n"/>
      <c r="AJ140" s="236" t="n"/>
      <c r="AK140" s="236" t="n"/>
      <c r="AL140" s="236" t="n"/>
      <c r="AM140" s="236" t="n"/>
      <c r="AN140" s="236" t="n"/>
      <c r="AO140" s="236" t="n"/>
      <c r="AP140" s="236" t="n"/>
      <c r="AQ140" s="236" t="n"/>
      <c r="AR140" s="236" t="n"/>
      <c r="AS140" s="236" t="n"/>
      <c r="AT140" s="236" t="n"/>
      <c r="AU140" s="236" t="n"/>
      <c r="AV140" s="236" t="n"/>
      <c r="AW140" s="236" t="n"/>
      <c r="AX140" s="692" t="n"/>
      <c r="AY140" s="692" t="n"/>
      <c r="AZ140" s="692" t="n"/>
      <c r="BA140" s="692" t="n"/>
      <c r="BB140" s="692" t="n"/>
      <c r="BC140" s="692" t="n"/>
      <c r="BD140" s="692" t="n"/>
      <c r="BE140" s="692" t="n"/>
      <c r="BF140" s="692" t="n"/>
      <c r="BG140" s="692" t="n"/>
      <c r="BH140" s="692" t="n"/>
      <c r="BI140" s="692" t="n"/>
      <c r="BJ140" s="692" t="n"/>
      <c r="BK140" s="692" t="n"/>
      <c r="BL140" s="692" t="n"/>
      <c r="BM140" s="692" t="n"/>
      <c r="BN140" s="692" t="n"/>
      <c r="BO140" s="692" t="n"/>
      <c r="BP140" s="692" t="n"/>
      <c r="BQ140" s="692" t="n"/>
    </row>
    <row r="141">
      <c r="A141" s="220" t="inlineStr">
        <is>
          <t>Female</t>
        </is>
      </c>
      <c r="B141" s="211" t="inlineStr">
        <is>
          <t>50 Fly</t>
        </is>
      </c>
      <c r="C141" s="190" t="n">
        <v>2022</v>
      </c>
      <c r="D141" s="211" t="inlineStr">
        <is>
          <t>SGP</t>
        </is>
      </c>
      <c r="E141" s="221" t="n">
        <v>2</v>
      </c>
      <c r="F141" s="211" t="inlineStr">
        <is>
          <t>26.88</t>
        </is>
      </c>
      <c r="G141" s="196" t="n">
        <v>1992</v>
      </c>
      <c r="H141" s="196">
        <f>C141-G141</f>
        <v/>
      </c>
      <c r="I141" s="198" t="inlineStr">
        <is>
          <t>Ting Wen Quah</t>
        </is>
      </c>
      <c r="J141" s="198" t="inlineStr">
        <is>
          <t>UCLA</t>
        </is>
      </c>
      <c r="K141" s="198" t="inlineStr">
        <is>
          <t>USA</t>
        </is>
      </c>
      <c r="L141" s="213" t="n"/>
      <c r="M141" s="689" t="n"/>
      <c r="N141" s="689" t="n"/>
      <c r="O141" s="689" t="n"/>
      <c r="P141" s="227" t="n"/>
      <c r="Q141" s="689" t="n"/>
      <c r="R141" s="689" t="n"/>
      <c r="S141" s="689" t="n"/>
      <c r="T141" s="689" t="n"/>
      <c r="U141" s="689" t="n"/>
      <c r="V141" s="689" t="n"/>
      <c r="W141" s="689" t="n"/>
      <c r="X141" s="689" t="n"/>
      <c r="Y141" s="689" t="n"/>
      <c r="Z141" s="689" t="n"/>
      <c r="AA141" s="689" t="n"/>
      <c r="AB141" s="689" t="n"/>
      <c r="AC141" s="689" t="n"/>
      <c r="AD141" s="689" t="n"/>
      <c r="AF141" s="236" t="n"/>
      <c r="AG141" s="236" t="n"/>
      <c r="AH141" s="236" t="n"/>
      <c r="AI141" s="236" t="n"/>
      <c r="AJ141" s="236" t="n"/>
      <c r="AK141" s="236" t="n"/>
      <c r="AL141" s="236" t="n"/>
      <c r="AM141" s="236" t="n"/>
      <c r="AN141" s="236" t="n"/>
      <c r="AO141" s="236" t="n"/>
      <c r="AP141" s="236" t="n"/>
      <c r="AQ141" s="236" t="n"/>
      <c r="AR141" s="236" t="n"/>
      <c r="AS141" s="236" t="n"/>
      <c r="AT141" s="236" t="n"/>
      <c r="AU141" s="236" t="n"/>
      <c r="AV141" s="236" t="n"/>
      <c r="AW141" s="236" t="n"/>
      <c r="AX141" s="692" t="n"/>
      <c r="AY141" s="692" t="n"/>
      <c r="AZ141" s="692" t="n"/>
      <c r="BA141" s="692" t="n"/>
      <c r="BB141" s="692" t="n"/>
      <c r="BC141" s="692" t="n"/>
      <c r="BD141" s="692" t="n"/>
      <c r="BE141" s="692" t="n"/>
      <c r="BF141" s="692" t="n"/>
      <c r="BG141" s="692" t="n"/>
      <c r="BH141" s="692" t="n"/>
      <c r="BI141" s="692" t="n"/>
      <c r="BJ141" s="692" t="n"/>
      <c r="BK141" s="692" t="n"/>
      <c r="BL141" s="692" t="n"/>
      <c r="BM141" s="692" t="n"/>
      <c r="BN141" s="692" t="n"/>
      <c r="BO141" s="692" t="n"/>
      <c r="BP141" s="692" t="n"/>
      <c r="BQ141" s="692" t="n"/>
    </row>
    <row r="142">
      <c r="A142" s="218" t="inlineStr">
        <is>
          <t>Female</t>
        </is>
      </c>
      <c r="B142" s="215" t="inlineStr">
        <is>
          <t>50 Fly</t>
        </is>
      </c>
      <c r="C142" s="189" t="n">
        <v>2022</v>
      </c>
      <c r="D142" s="215" t="inlineStr">
        <is>
          <t>SGP</t>
        </is>
      </c>
      <c r="E142" s="219" t="n">
        <v>3</v>
      </c>
      <c r="F142" s="215" t="inlineStr">
        <is>
          <t>26.98</t>
        </is>
      </c>
      <c r="G142" s="202" t="n">
        <v>1994</v>
      </c>
      <c r="H142" s="202">
        <f>C142-G142</f>
        <v/>
      </c>
      <c r="I142" s="206" t="inlineStr">
        <is>
          <t>Jing Wen Quah</t>
        </is>
      </c>
      <c r="J142" s="206" t="inlineStr">
        <is>
          <t>A&amp;M</t>
        </is>
      </c>
      <c r="K142" s="206" t="inlineStr">
        <is>
          <t>USA</t>
        </is>
      </c>
      <c r="L142" s="217" t="n"/>
      <c r="M142" s="689" t="n"/>
      <c r="N142" s="689" t="n"/>
      <c r="O142" s="689" t="n"/>
      <c r="P142" s="227" t="n"/>
      <c r="Q142" s="689" t="n"/>
      <c r="R142" s="689" t="n"/>
      <c r="S142" s="689" t="n"/>
      <c r="T142" s="689" t="n"/>
      <c r="U142" s="689" t="n"/>
      <c r="V142" s="689" t="n"/>
      <c r="W142" s="689" t="n"/>
      <c r="X142" s="689" t="n"/>
      <c r="Y142" s="689" t="n"/>
      <c r="Z142" s="689" t="n"/>
      <c r="AA142" s="689" t="n"/>
      <c r="AB142" s="689" t="n"/>
      <c r="AC142" s="689" t="n"/>
      <c r="AD142" s="689" t="n"/>
      <c r="AF142" s="236" t="n"/>
      <c r="AG142" s="236" t="n"/>
      <c r="AH142" s="236" t="n"/>
      <c r="AI142" s="236" t="n"/>
      <c r="AJ142" s="236" t="n"/>
      <c r="AK142" s="236" t="n"/>
      <c r="AL142" s="236" t="n"/>
      <c r="AM142" s="236" t="n"/>
      <c r="AN142" s="236" t="n"/>
      <c r="AO142" s="236" t="n"/>
      <c r="AP142" s="236" t="n"/>
      <c r="AQ142" s="236" t="n"/>
      <c r="AR142" s="236" t="n"/>
      <c r="AS142" s="236" t="n"/>
      <c r="AT142" s="236" t="n"/>
      <c r="AU142" s="236" t="n"/>
      <c r="AV142" s="236" t="n"/>
      <c r="AW142" s="236" t="n"/>
      <c r="AX142" s="692" t="n"/>
      <c r="AY142" s="692" t="n"/>
      <c r="AZ142" s="692" t="n"/>
      <c r="BA142" s="692" t="n"/>
      <c r="BB142" s="692" t="n"/>
      <c r="BC142" s="692" t="n"/>
      <c r="BD142" s="692" t="n"/>
      <c r="BE142" s="692" t="n"/>
      <c r="BF142" s="692" t="n"/>
      <c r="BG142" s="692" t="n"/>
      <c r="BH142" s="692" t="n"/>
      <c r="BI142" s="692" t="n"/>
      <c r="BJ142" s="692" t="n"/>
      <c r="BK142" s="692" t="n"/>
      <c r="BL142" s="692" t="n"/>
      <c r="BM142" s="692" t="n"/>
      <c r="BN142" s="692" t="n"/>
      <c r="BO142" s="692" t="n"/>
      <c r="BP142" s="692" t="n"/>
      <c r="BQ142" s="692" t="n"/>
    </row>
    <row r="143">
      <c r="A143" s="220" t="inlineStr">
        <is>
          <t>Female</t>
        </is>
      </c>
      <c r="B143" s="211" t="inlineStr">
        <is>
          <t>50 Fly</t>
        </is>
      </c>
      <c r="C143" s="190" t="n">
        <v>2023</v>
      </c>
      <c r="D143" s="211" t="inlineStr">
        <is>
          <t>THA</t>
        </is>
      </c>
      <c r="E143" s="221" t="n">
        <v>1</v>
      </c>
      <c r="F143" s="211" t="inlineStr">
        <is>
          <t>26.65</t>
        </is>
      </c>
      <c r="G143" s="211" t="n">
        <v>1995</v>
      </c>
      <c r="H143" s="211">
        <f>C143-G143</f>
        <v/>
      </c>
      <c r="I143" s="211" t="inlineStr">
        <is>
          <t>Jenjira Srisa-Ard</t>
        </is>
      </c>
      <c r="J143" s="211" t="n"/>
      <c r="K143" s="211" t="n"/>
      <c r="L143" s="213" t="n"/>
      <c r="M143" s="689" t="n"/>
      <c r="N143" s="689" t="n"/>
      <c r="O143" s="689" t="n"/>
      <c r="P143" s="227" t="n"/>
      <c r="Q143" s="689" t="n"/>
      <c r="R143" s="689" t="n"/>
      <c r="S143" s="689" t="n"/>
      <c r="T143" s="689" t="n"/>
      <c r="U143" s="689" t="n"/>
      <c r="V143" s="689" t="n"/>
      <c r="W143" s="689" t="n"/>
      <c r="X143" s="689" t="n"/>
      <c r="Y143" s="689" t="n"/>
      <c r="Z143" s="689" t="n"/>
      <c r="AA143" s="689" t="n"/>
      <c r="AB143" s="689" t="n"/>
      <c r="AC143" s="689" t="n"/>
      <c r="AD143" s="689" t="n"/>
      <c r="AF143" s="236" t="n"/>
      <c r="AG143" s="236" t="n"/>
      <c r="AH143" s="236" t="n"/>
      <c r="AI143" s="236" t="n"/>
      <c r="AJ143" s="236" t="n"/>
      <c r="AK143" s="236" t="n"/>
      <c r="AL143" s="236" t="n"/>
      <c r="AM143" s="236" t="n"/>
      <c r="AN143" s="236" t="n"/>
      <c r="AO143" s="236" t="n"/>
      <c r="AP143" s="236" t="n"/>
      <c r="AQ143" s="236" t="n"/>
      <c r="AR143" s="236" t="n"/>
      <c r="AS143" s="236" t="n"/>
      <c r="AT143" s="236" t="n"/>
      <c r="AU143" s="236" t="n"/>
      <c r="AV143" s="236" t="n"/>
      <c r="AW143" s="236" t="n"/>
      <c r="AX143" s="692" t="n"/>
      <c r="AY143" s="692" t="n"/>
      <c r="AZ143" s="692" t="n"/>
      <c r="BA143" s="692" t="n"/>
      <c r="BB143" s="692" t="n"/>
      <c r="BC143" s="692" t="n"/>
      <c r="BD143" s="692" t="n"/>
      <c r="BE143" s="692" t="n"/>
      <c r="BF143" s="692" t="n"/>
      <c r="BG143" s="692" t="n"/>
      <c r="BH143" s="692" t="n"/>
      <c r="BI143" s="692" t="n"/>
      <c r="BJ143" s="692" t="n"/>
      <c r="BK143" s="692" t="n"/>
      <c r="BL143" s="692" t="n"/>
      <c r="BM143" s="692" t="n"/>
      <c r="BN143" s="692" t="n"/>
      <c r="BO143" s="692" t="n"/>
      <c r="BP143" s="692" t="n"/>
      <c r="BQ143" s="692" t="n"/>
    </row>
    <row r="144">
      <c r="A144" s="218" t="inlineStr">
        <is>
          <t>Female</t>
        </is>
      </c>
      <c r="B144" s="215" t="inlineStr">
        <is>
          <t>50 Fly</t>
        </is>
      </c>
      <c r="C144" s="189" t="n">
        <v>2023</v>
      </c>
      <c r="D144" s="215" t="inlineStr">
        <is>
          <t>SGP</t>
        </is>
      </c>
      <c r="E144" s="219" t="n">
        <v>2</v>
      </c>
      <c r="F144" s="215" t="inlineStr">
        <is>
          <t>26.66</t>
        </is>
      </c>
      <c r="G144" s="211" t="n">
        <v>1992</v>
      </c>
      <c r="H144" s="211">
        <f>C144-G144</f>
        <v/>
      </c>
      <c r="I144" s="211" t="inlineStr">
        <is>
          <t>Ting Wen Quah</t>
        </is>
      </c>
      <c r="J144" s="215" t="inlineStr">
        <is>
          <t>UCLA</t>
        </is>
      </c>
      <c r="K144" s="215" t="inlineStr">
        <is>
          <t>USA</t>
        </is>
      </c>
      <c r="L144" s="217" t="n"/>
      <c r="M144" s="689" t="n"/>
      <c r="N144" s="689" t="n"/>
      <c r="O144" s="689" t="n"/>
      <c r="P144" s="227" t="n"/>
      <c r="Q144" s="689" t="n"/>
      <c r="R144" s="689" t="n"/>
      <c r="S144" s="689" t="n"/>
      <c r="T144" s="689" t="n"/>
      <c r="U144" s="689" t="n"/>
      <c r="V144" s="689" t="n"/>
      <c r="W144" s="689" t="n"/>
      <c r="X144" s="689" t="n"/>
      <c r="Y144" s="689" t="n"/>
      <c r="Z144" s="689" t="n"/>
      <c r="AA144" s="689" t="n"/>
      <c r="AB144" s="689" t="n"/>
      <c r="AC144" s="689" t="n"/>
      <c r="AD144" s="689" t="n"/>
      <c r="AF144" s="236" t="n"/>
      <c r="AG144" s="236" t="n"/>
      <c r="AH144" s="236" t="n"/>
      <c r="AI144" s="236" t="n"/>
      <c r="AJ144" s="236" t="n"/>
      <c r="AK144" s="236" t="n"/>
      <c r="AL144" s="236" t="n"/>
      <c r="AM144" s="236" t="n"/>
      <c r="AN144" s="236" t="n"/>
      <c r="AO144" s="236" t="n"/>
      <c r="AP144" s="236" t="n"/>
      <c r="AQ144" s="236" t="n"/>
      <c r="AR144" s="236" t="n"/>
      <c r="AS144" s="236" t="n"/>
      <c r="AT144" s="236" t="n"/>
      <c r="AU144" s="236" t="n"/>
      <c r="AV144" s="236" t="n"/>
      <c r="AW144" s="236" t="n"/>
      <c r="AX144" s="692" t="n"/>
      <c r="AY144" s="692" t="n"/>
      <c r="AZ144" s="692" t="n"/>
      <c r="BA144" s="692" t="n"/>
      <c r="BB144" s="692" t="n"/>
      <c r="BC144" s="692" t="n"/>
      <c r="BD144" s="692" t="n"/>
      <c r="BE144" s="692" t="n"/>
      <c r="BF144" s="692" t="n"/>
      <c r="BG144" s="692" t="n"/>
      <c r="BH144" s="692" t="n"/>
      <c r="BI144" s="692" t="n"/>
      <c r="BJ144" s="692" t="n"/>
      <c r="BK144" s="692" t="n"/>
      <c r="BL144" s="692" t="n"/>
      <c r="BM144" s="692" t="n"/>
      <c r="BN144" s="692" t="n"/>
      <c r="BO144" s="692" t="n"/>
      <c r="BP144" s="692" t="n"/>
      <c r="BQ144" s="692" t="n"/>
    </row>
    <row r="145">
      <c r="A145" s="220" t="inlineStr">
        <is>
          <t>Female</t>
        </is>
      </c>
      <c r="B145" s="211" t="inlineStr">
        <is>
          <t>50 Fly</t>
        </is>
      </c>
      <c r="C145" s="190" t="n">
        <v>2023</v>
      </c>
      <c r="D145" s="211" t="inlineStr">
        <is>
          <t>PHI</t>
        </is>
      </c>
      <c r="E145" s="221" t="n">
        <v>3</v>
      </c>
      <c r="F145" s="211" t="inlineStr">
        <is>
          <t>27.02</t>
        </is>
      </c>
      <c r="G145" s="211" t="n">
        <v>1993</v>
      </c>
      <c r="H145" s="215">
        <f>C145-G145</f>
        <v/>
      </c>
      <c r="I145" s="211" t="inlineStr">
        <is>
          <t>Jasmine Alkhaldi</t>
        </is>
      </c>
      <c r="J145" s="211" t="inlineStr">
        <is>
          <t>Hawaii</t>
        </is>
      </c>
      <c r="K145" s="211" t="inlineStr">
        <is>
          <t>USA</t>
        </is>
      </c>
      <c r="L145" s="213" t="n"/>
      <c r="M145" s="689" t="n"/>
      <c r="N145" s="689" t="n"/>
      <c r="O145" s="689" t="n"/>
      <c r="P145" s="227" t="n"/>
      <c r="Q145" s="689" t="n"/>
      <c r="R145" s="689" t="n"/>
      <c r="S145" s="689" t="n"/>
      <c r="T145" s="689" t="n"/>
      <c r="U145" s="689" t="n"/>
      <c r="V145" s="689" t="n"/>
      <c r="W145" s="689" t="n"/>
      <c r="X145" s="689" t="n"/>
      <c r="Y145" s="689" t="n"/>
      <c r="Z145" s="689" t="n"/>
      <c r="AA145" s="689" t="n"/>
      <c r="AB145" s="689" t="n"/>
      <c r="AC145" s="689" t="n"/>
      <c r="AD145" s="689" t="n"/>
      <c r="AF145" s="236" t="n"/>
      <c r="AG145" s="236" t="n"/>
      <c r="AH145" s="236" t="n"/>
      <c r="AI145" s="236" t="n"/>
      <c r="AJ145" s="236" t="n"/>
      <c r="AK145" s="236" t="n"/>
      <c r="AL145" s="236" t="n"/>
      <c r="AM145" s="236" t="n"/>
      <c r="AN145" s="236" t="n"/>
      <c r="AO145" s="236" t="n"/>
      <c r="AP145" s="236" t="n"/>
      <c r="AQ145" s="236" t="n"/>
      <c r="AR145" s="236" t="n"/>
      <c r="AS145" s="236" t="n"/>
      <c r="AT145" s="236" t="n"/>
      <c r="AU145" s="236" t="n"/>
      <c r="AV145" s="236" t="n"/>
      <c r="AW145" s="236" t="n"/>
      <c r="AX145" s="692" t="n"/>
      <c r="AY145" s="692" t="n"/>
      <c r="AZ145" s="692" t="n"/>
      <c r="BA145" s="692" t="n"/>
      <c r="BB145" s="692" t="n"/>
      <c r="BC145" s="692" t="n"/>
      <c r="BD145" s="692" t="n"/>
      <c r="BE145" s="692" t="n"/>
      <c r="BF145" s="692" t="n"/>
      <c r="BG145" s="692" t="n"/>
      <c r="BH145" s="692" t="n"/>
      <c r="BI145" s="692" t="n"/>
      <c r="BJ145" s="692" t="n"/>
      <c r="BK145" s="692" t="n"/>
      <c r="BL145" s="692" t="n"/>
      <c r="BM145" s="692" t="n"/>
      <c r="BN145" s="692" t="n"/>
      <c r="BO145" s="692" t="n"/>
      <c r="BP145" s="692" t="n"/>
      <c r="BQ145" s="692" t="n"/>
    </row>
    <row r="146">
      <c r="A146" s="218" t="inlineStr">
        <is>
          <t>Female</t>
        </is>
      </c>
      <c r="B146" s="215" t="inlineStr">
        <is>
          <t>50 Free</t>
        </is>
      </c>
      <c r="C146" s="189" t="n">
        <v>2019</v>
      </c>
      <c r="D146" s="215" t="inlineStr">
        <is>
          <t>SGP</t>
        </is>
      </c>
      <c r="E146" s="219" t="n">
        <v>1</v>
      </c>
      <c r="F146" s="215" t="inlineStr">
        <is>
          <t>25.06</t>
        </is>
      </c>
      <c r="G146" s="215" t="n">
        <v>1993</v>
      </c>
      <c r="H146" s="215">
        <f>C146-G146</f>
        <v/>
      </c>
      <c r="I146" s="215" t="inlineStr">
        <is>
          <t>Amanda Xiang QI Lim</t>
        </is>
      </c>
      <c r="J146" s="215" t="n"/>
      <c r="K146" s="215" t="n"/>
      <c r="L146" s="217" t="n"/>
      <c r="M146" s="689" t="n"/>
      <c r="N146" s="689" t="n"/>
      <c r="O146" s="689" t="n"/>
      <c r="P146" s="227" t="n"/>
      <c r="Q146" s="689" t="n"/>
      <c r="R146" s="689" t="n"/>
      <c r="S146" s="689" t="n"/>
      <c r="T146" s="689" t="n"/>
      <c r="U146" s="689" t="n"/>
      <c r="V146" s="689" t="n"/>
      <c r="W146" s="689" t="n"/>
      <c r="X146" s="689" t="n"/>
      <c r="Y146" s="689" t="n"/>
      <c r="Z146" s="689" t="n"/>
      <c r="AA146" s="689" t="n"/>
      <c r="AB146" s="689" t="n"/>
      <c r="AC146" s="689" t="n"/>
      <c r="AD146" s="689" t="n"/>
      <c r="AF146" s="236" t="n"/>
      <c r="AG146" s="236" t="n"/>
      <c r="AH146" s="236" t="n"/>
      <c r="AI146" s="236" t="n"/>
      <c r="AJ146" s="236" t="n"/>
      <c r="AK146" s="236" t="n"/>
      <c r="AL146" s="236" t="n"/>
      <c r="AM146" s="236" t="n"/>
      <c r="AN146" s="236" t="n"/>
      <c r="AO146" s="236" t="n"/>
      <c r="AP146" s="236" t="n"/>
      <c r="AQ146" s="236" t="n"/>
      <c r="AR146" s="236" t="n"/>
      <c r="AS146" s="236" t="n"/>
      <c r="AT146" s="236" t="n"/>
      <c r="AU146" s="236" t="n"/>
      <c r="AV146" s="236" t="n"/>
      <c r="AW146" s="236" t="n"/>
      <c r="AX146" s="692" t="n"/>
      <c r="AY146" s="692" t="n"/>
      <c r="AZ146" s="692" t="n"/>
      <c r="BA146" s="692" t="n"/>
      <c r="BB146" s="692" t="n"/>
      <c r="BC146" s="692" t="n"/>
      <c r="BD146" s="692" t="n"/>
      <c r="BE146" s="692" t="n"/>
      <c r="BF146" s="692" t="n"/>
      <c r="BG146" s="692" t="n"/>
      <c r="BH146" s="692" t="n"/>
      <c r="BI146" s="692" t="n"/>
      <c r="BJ146" s="692" t="n"/>
      <c r="BK146" s="692" t="n"/>
      <c r="BL146" s="692" t="n"/>
      <c r="BM146" s="692" t="n"/>
      <c r="BN146" s="692" t="n"/>
      <c r="BO146" s="692" t="n"/>
      <c r="BP146" s="692" t="n"/>
      <c r="BQ146" s="692" t="n"/>
    </row>
    <row r="147">
      <c r="A147" s="220" t="inlineStr">
        <is>
          <t>Female</t>
        </is>
      </c>
      <c r="B147" s="211" t="inlineStr">
        <is>
          <t>50 Free</t>
        </is>
      </c>
      <c r="C147" s="190" t="n">
        <v>2019</v>
      </c>
      <c r="D147" s="211" t="inlineStr">
        <is>
          <t>THA</t>
        </is>
      </c>
      <c r="E147" s="221" t="n">
        <v>2</v>
      </c>
      <c r="F147" s="211" t="inlineStr">
        <is>
          <t>25.32</t>
        </is>
      </c>
      <c r="G147" s="197" t="n">
        <v>1995</v>
      </c>
      <c r="H147" s="197">
        <f>C147-G147</f>
        <v/>
      </c>
      <c r="I147" s="201" t="inlineStr">
        <is>
          <t>Jenjira Srisa-Ard</t>
        </is>
      </c>
      <c r="J147" s="211" t="n"/>
      <c r="K147" s="211" t="n"/>
      <c r="L147" s="213" t="n"/>
      <c r="M147" s="689" t="n"/>
      <c r="N147" s="689" t="n"/>
      <c r="O147" s="689" t="n"/>
      <c r="P147" s="227" t="n"/>
      <c r="Q147" s="689" t="n"/>
      <c r="R147" s="689" t="n"/>
      <c r="S147" s="689" t="n"/>
      <c r="T147" s="689" t="n"/>
      <c r="U147" s="689" t="n"/>
      <c r="V147" s="689" t="n"/>
      <c r="W147" s="689" t="n"/>
      <c r="X147" s="689" t="n"/>
      <c r="Y147" s="689" t="n"/>
      <c r="Z147" s="689" t="n"/>
      <c r="AA147" s="689" t="n"/>
      <c r="AB147" s="689" t="n"/>
      <c r="AC147" s="689" t="n"/>
      <c r="AD147" s="689" t="n"/>
      <c r="AF147" s="236" t="n"/>
      <c r="AG147" s="236" t="n"/>
      <c r="AH147" s="236" t="n"/>
      <c r="AI147" s="236" t="n"/>
      <c r="AJ147" s="236" t="n"/>
      <c r="AK147" s="236" t="n"/>
      <c r="AL147" s="236" t="n"/>
      <c r="AM147" s="236" t="n"/>
      <c r="AN147" s="236" t="n"/>
      <c r="AO147" s="236" t="n"/>
      <c r="AP147" s="236" t="n"/>
      <c r="AQ147" s="236" t="n"/>
      <c r="AR147" s="236" t="n"/>
      <c r="AS147" s="236" t="n"/>
      <c r="AT147" s="236" t="n"/>
      <c r="AU147" s="236" t="n"/>
      <c r="AV147" s="236" t="n"/>
      <c r="AW147" s="236" t="n"/>
      <c r="AX147" s="692" t="n"/>
      <c r="AY147" s="692" t="n"/>
      <c r="AZ147" s="692" t="n"/>
      <c r="BA147" s="692" t="n"/>
      <c r="BB147" s="692" t="n"/>
      <c r="BC147" s="692" t="n"/>
      <c r="BD147" s="692" t="n"/>
      <c r="BE147" s="692" t="n"/>
      <c r="BF147" s="692" t="n"/>
      <c r="BG147" s="692" t="n"/>
      <c r="BH147" s="692" t="n"/>
      <c r="BI147" s="692" t="n"/>
      <c r="BJ147" s="692" t="n"/>
      <c r="BK147" s="692" t="n"/>
      <c r="BL147" s="692" t="n"/>
      <c r="BM147" s="692" t="n"/>
      <c r="BN147" s="692" t="n"/>
      <c r="BO147" s="692" t="n"/>
      <c r="BP147" s="692" t="n"/>
      <c r="BQ147" s="692" t="n"/>
    </row>
    <row r="148">
      <c r="A148" s="218" t="inlineStr">
        <is>
          <t>Female</t>
        </is>
      </c>
      <c r="B148" s="215" t="inlineStr">
        <is>
          <t>50 Free</t>
        </is>
      </c>
      <c r="C148" s="189" t="n">
        <v>2019</v>
      </c>
      <c r="D148" s="215" t="inlineStr">
        <is>
          <t>PHI</t>
        </is>
      </c>
      <c r="E148" s="219" t="n">
        <v>3</v>
      </c>
      <c r="F148" s="215" t="inlineStr">
        <is>
          <t>25.48</t>
        </is>
      </c>
      <c r="G148" s="215" t="n">
        <v>1993</v>
      </c>
      <c r="H148" s="215">
        <f>C148-G148</f>
        <v/>
      </c>
      <c r="I148" s="215" t="inlineStr">
        <is>
          <t>Jasmine Alkhaldi</t>
        </is>
      </c>
      <c r="J148" s="215" t="inlineStr">
        <is>
          <t>Hawaii</t>
        </is>
      </c>
      <c r="K148" s="215" t="inlineStr">
        <is>
          <t>USA</t>
        </is>
      </c>
      <c r="L148" s="217" t="n"/>
      <c r="M148" s="689" t="n"/>
      <c r="N148" s="689" t="n"/>
      <c r="O148" s="689" t="n"/>
      <c r="P148" s="227" t="n"/>
      <c r="Q148" s="689" t="n"/>
      <c r="R148" s="689" t="n"/>
      <c r="S148" s="689" t="n"/>
      <c r="T148" s="689" t="n"/>
      <c r="U148" s="689" t="n"/>
      <c r="V148" s="689" t="n"/>
      <c r="W148" s="689" t="n"/>
      <c r="X148" s="689" t="n"/>
      <c r="Y148" s="689" t="n"/>
      <c r="Z148" s="689" t="n"/>
      <c r="AA148" s="689" t="n"/>
      <c r="AB148" s="689" t="n"/>
      <c r="AC148" s="689" t="n"/>
      <c r="AD148" s="689" t="n"/>
      <c r="AF148" s="236" t="n"/>
      <c r="AG148" s="236" t="n"/>
      <c r="AH148" s="236" t="n"/>
      <c r="AI148" s="236" t="n"/>
      <c r="AJ148" s="236" t="n"/>
      <c r="AK148" s="236" t="n"/>
      <c r="AL148" s="236" t="n"/>
      <c r="AM148" s="236" t="n"/>
      <c r="AN148" s="236" t="n"/>
      <c r="AO148" s="236" t="n"/>
      <c r="AP148" s="236" t="n"/>
      <c r="AQ148" s="236" t="n"/>
      <c r="AR148" s="236" t="n"/>
      <c r="AS148" s="236" t="n"/>
      <c r="AT148" s="236" t="n"/>
      <c r="AU148" s="236" t="n"/>
      <c r="AV148" s="236" t="n"/>
      <c r="AW148" s="236" t="n"/>
      <c r="AX148" s="692" t="n"/>
      <c r="AY148" s="692" t="n"/>
      <c r="AZ148" s="692" t="n"/>
      <c r="BA148" s="692" t="n"/>
      <c r="BB148" s="692" t="n"/>
      <c r="BC148" s="692" t="n"/>
      <c r="BD148" s="692" t="n"/>
      <c r="BE148" s="692" t="n"/>
      <c r="BF148" s="692" t="n"/>
      <c r="BG148" s="692" t="n"/>
      <c r="BH148" s="692" t="n"/>
      <c r="BI148" s="692" t="n"/>
      <c r="BJ148" s="692" t="n"/>
      <c r="BK148" s="692" t="n"/>
      <c r="BL148" s="692" t="n"/>
      <c r="BM148" s="692" t="n"/>
      <c r="BN148" s="692" t="n"/>
      <c r="BO148" s="692" t="n"/>
      <c r="BP148" s="692" t="n"/>
      <c r="BQ148" s="692" t="n"/>
    </row>
    <row r="149">
      <c r="A149" s="220" t="inlineStr">
        <is>
          <t>Female</t>
        </is>
      </c>
      <c r="B149" s="211" t="inlineStr">
        <is>
          <t>50 Free</t>
        </is>
      </c>
      <c r="C149" s="190" t="n">
        <v>2022</v>
      </c>
      <c r="D149" s="211" t="inlineStr">
        <is>
          <t>THA</t>
        </is>
      </c>
      <c r="E149" s="221" t="n">
        <v>1</v>
      </c>
      <c r="F149" s="211" t="inlineStr">
        <is>
          <t>25.12</t>
        </is>
      </c>
      <c r="G149" s="197" t="n">
        <v>1995</v>
      </c>
      <c r="H149" s="197">
        <f>C149-G149</f>
        <v/>
      </c>
      <c r="I149" s="201" t="inlineStr">
        <is>
          <t>Jenjira Srisa-Ard</t>
        </is>
      </c>
      <c r="J149" s="211" t="n"/>
      <c r="K149" s="211" t="n"/>
      <c r="L149" s="213" t="n"/>
      <c r="M149" s="689" t="n"/>
      <c r="N149" s="689" t="n"/>
      <c r="O149" s="689" t="n"/>
      <c r="P149" s="227" t="n"/>
      <c r="Q149" s="689" t="n"/>
      <c r="R149" s="689" t="n"/>
      <c r="S149" s="689" t="n"/>
      <c r="T149" s="689" t="n"/>
      <c r="U149" s="689" t="n"/>
      <c r="V149" s="689" t="n"/>
      <c r="W149" s="689" t="n"/>
      <c r="X149" s="689" t="n"/>
      <c r="Y149" s="689" t="n"/>
      <c r="Z149" s="689" t="n"/>
      <c r="AA149" s="689" t="n"/>
      <c r="AB149" s="689" t="n"/>
      <c r="AC149" s="689" t="n"/>
      <c r="AD149" s="689" t="n"/>
      <c r="AF149" s="236" t="n"/>
      <c r="AG149" s="236" t="n"/>
      <c r="AH149" s="236" t="n"/>
      <c r="AI149" s="236" t="n"/>
      <c r="AJ149" s="236" t="n"/>
      <c r="AK149" s="236" t="n"/>
      <c r="AL149" s="236" t="n"/>
      <c r="AM149" s="236" t="n"/>
      <c r="AN149" s="236" t="n"/>
      <c r="AO149" s="236" t="n"/>
      <c r="AP149" s="236" t="n"/>
      <c r="AQ149" s="236" t="n"/>
      <c r="AR149" s="236" t="n"/>
      <c r="AS149" s="236" t="n"/>
      <c r="AT149" s="236" t="n"/>
      <c r="AU149" s="236" t="n"/>
      <c r="AV149" s="236" t="n"/>
      <c r="AW149" s="236" t="n"/>
      <c r="AX149" s="692" t="n"/>
      <c r="AY149" s="692" t="n"/>
      <c r="AZ149" s="692" t="n"/>
      <c r="BA149" s="692" t="n"/>
      <c r="BB149" s="692" t="n"/>
      <c r="BC149" s="692" t="n"/>
      <c r="BD149" s="692" t="n"/>
      <c r="BE149" s="692" t="n"/>
      <c r="BF149" s="692" t="n"/>
      <c r="BG149" s="692" t="n"/>
      <c r="BH149" s="692" t="n"/>
      <c r="BI149" s="692" t="n"/>
      <c r="BJ149" s="692" t="n"/>
      <c r="BK149" s="692" t="n"/>
      <c r="BL149" s="692" t="n"/>
      <c r="BM149" s="692" t="n"/>
      <c r="BN149" s="692" t="n"/>
      <c r="BO149" s="692" t="n"/>
      <c r="BP149" s="692" t="n"/>
      <c r="BQ149" s="692" t="n"/>
    </row>
    <row r="150">
      <c r="A150" s="218" t="inlineStr">
        <is>
          <t>Female</t>
        </is>
      </c>
      <c r="B150" s="215" t="inlineStr">
        <is>
          <t>50 Free</t>
        </is>
      </c>
      <c r="C150" s="189" t="n">
        <v>2022</v>
      </c>
      <c r="D150" s="215" t="inlineStr">
        <is>
          <t>SGP</t>
        </is>
      </c>
      <c r="E150" s="219" t="n">
        <v>2</v>
      </c>
      <c r="F150" s="215" t="inlineStr">
        <is>
          <t>25.39</t>
        </is>
      </c>
      <c r="G150" s="215" t="n">
        <v>1993</v>
      </c>
      <c r="H150" s="211">
        <f>C150-G150</f>
        <v/>
      </c>
      <c r="I150" s="215" t="inlineStr">
        <is>
          <t>Amanda Xiang QI Lim</t>
        </is>
      </c>
      <c r="J150" s="215" t="n"/>
      <c r="K150" s="215" t="n"/>
      <c r="L150" s="217" t="n"/>
      <c r="M150" s="689" t="n"/>
      <c r="N150" s="689" t="n"/>
      <c r="O150" s="689" t="n"/>
      <c r="P150" s="227" t="n"/>
      <c r="Q150" s="689" t="n"/>
      <c r="R150" s="689" t="n"/>
      <c r="S150" s="689" t="n"/>
      <c r="T150" s="689" t="n"/>
      <c r="U150" s="689" t="n"/>
      <c r="V150" s="689" t="n"/>
      <c r="W150" s="689" t="n"/>
      <c r="X150" s="689" t="n"/>
      <c r="Y150" s="689" t="n"/>
      <c r="Z150" s="689" t="n"/>
      <c r="AA150" s="689" t="n"/>
      <c r="AB150" s="689" t="n"/>
      <c r="AC150" s="689" t="n"/>
      <c r="AD150" s="689" t="n"/>
      <c r="AF150" s="236" t="n"/>
      <c r="AG150" s="236" t="n"/>
      <c r="AH150" s="236" t="n"/>
      <c r="AI150" s="236" t="n"/>
      <c r="AJ150" s="236" t="n"/>
      <c r="AK150" s="236" t="n"/>
      <c r="AL150" s="236" t="n"/>
      <c r="AM150" s="236" t="n"/>
      <c r="AN150" s="236" t="n"/>
      <c r="AO150" s="236" t="n"/>
      <c r="AP150" s="236" t="n"/>
      <c r="AQ150" s="236" t="n"/>
      <c r="AR150" s="236" t="n"/>
      <c r="AS150" s="236" t="n"/>
      <c r="AT150" s="236" t="n"/>
      <c r="AU150" s="236" t="n"/>
      <c r="AV150" s="236" t="n"/>
      <c r="AW150" s="236" t="n"/>
      <c r="AX150" s="692" t="n"/>
      <c r="AY150" s="692" t="n"/>
      <c r="AZ150" s="692" t="n"/>
      <c r="BA150" s="692" t="n"/>
      <c r="BB150" s="692" t="n"/>
      <c r="BC150" s="692" t="n"/>
      <c r="BD150" s="692" t="n"/>
      <c r="BE150" s="692" t="n"/>
      <c r="BF150" s="692" t="n"/>
      <c r="BG150" s="692" t="n"/>
      <c r="BH150" s="692" t="n"/>
      <c r="BI150" s="692" t="n"/>
      <c r="BJ150" s="692" t="n"/>
      <c r="BK150" s="692" t="n"/>
      <c r="BL150" s="692" t="n"/>
      <c r="BM150" s="692" t="n"/>
      <c r="BN150" s="692" t="n"/>
      <c r="BO150" s="692" t="n"/>
      <c r="BP150" s="692" t="n"/>
      <c r="BQ150" s="692" t="n"/>
    </row>
    <row r="151">
      <c r="A151" s="220" t="inlineStr">
        <is>
          <t>Female</t>
        </is>
      </c>
      <c r="B151" s="211" t="inlineStr">
        <is>
          <t>50 Free</t>
        </is>
      </c>
      <c r="C151" s="190" t="n">
        <v>2022</v>
      </c>
      <c r="D151" s="211" t="inlineStr">
        <is>
          <t>SGP</t>
        </is>
      </c>
      <c r="E151" s="221" t="n">
        <v>3</v>
      </c>
      <c r="F151" s="211" t="inlineStr">
        <is>
          <t>25.49</t>
        </is>
      </c>
      <c r="G151" s="196" t="n">
        <v>1992</v>
      </c>
      <c r="H151" s="196">
        <f>C151-G151</f>
        <v/>
      </c>
      <c r="I151" s="198" t="inlineStr">
        <is>
          <t>Ting Wen Quah</t>
        </is>
      </c>
      <c r="J151" s="198" t="inlineStr">
        <is>
          <t>UCLA</t>
        </is>
      </c>
      <c r="K151" s="198" t="inlineStr">
        <is>
          <t>USA</t>
        </is>
      </c>
      <c r="L151" s="213" t="n"/>
      <c r="M151" s="689" t="n"/>
      <c r="N151" s="689" t="n"/>
      <c r="O151" s="689" t="n"/>
      <c r="P151" s="227" t="n"/>
      <c r="Q151" s="689" t="n"/>
      <c r="R151" s="689" t="n"/>
      <c r="S151" s="689" t="n"/>
      <c r="T151" s="689" t="n"/>
      <c r="U151" s="689" t="n"/>
      <c r="V151" s="689" t="n"/>
      <c r="W151" s="689" t="n"/>
      <c r="X151" s="689" t="n"/>
      <c r="Y151" s="689" t="n"/>
      <c r="Z151" s="689" t="n"/>
      <c r="AA151" s="689" t="n"/>
      <c r="AB151" s="689" t="n"/>
      <c r="AC151" s="689" t="n"/>
      <c r="AD151" s="689" t="n"/>
      <c r="AF151" s="236" t="n"/>
      <c r="AG151" s="236" t="n"/>
      <c r="AH151" s="236" t="n"/>
      <c r="AI151" s="236" t="n"/>
      <c r="AJ151" s="236" t="n"/>
      <c r="AK151" s="236" t="n"/>
      <c r="AL151" s="236" t="n"/>
      <c r="AM151" s="236" t="n"/>
      <c r="AN151" s="236" t="n"/>
      <c r="AO151" s="236" t="n"/>
      <c r="AP151" s="236" t="n"/>
      <c r="AQ151" s="236" t="n"/>
      <c r="AR151" s="236" t="n"/>
      <c r="AS151" s="236" t="n"/>
      <c r="AT151" s="236" t="n"/>
      <c r="AU151" s="236" t="n"/>
      <c r="AV151" s="236" t="n"/>
      <c r="AW151" s="236" t="n"/>
      <c r="AX151" s="692" t="n"/>
      <c r="AY151" s="692" t="n"/>
      <c r="AZ151" s="692" t="n"/>
      <c r="BA151" s="692" t="n"/>
      <c r="BB151" s="692" t="n"/>
      <c r="BC151" s="692" t="n"/>
      <c r="BD151" s="692" t="n"/>
      <c r="BE151" s="692" t="n"/>
      <c r="BF151" s="692" t="n"/>
      <c r="BG151" s="692" t="n"/>
      <c r="BH151" s="692" t="n"/>
      <c r="BI151" s="692" t="n"/>
      <c r="BJ151" s="692" t="n"/>
      <c r="BK151" s="692" t="n"/>
      <c r="BL151" s="692" t="n"/>
      <c r="BM151" s="692" t="n"/>
      <c r="BN151" s="692" t="n"/>
      <c r="BO151" s="692" t="n"/>
      <c r="BP151" s="692" t="n"/>
      <c r="BQ151" s="692" t="n"/>
    </row>
    <row r="152">
      <c r="A152" s="218" t="inlineStr">
        <is>
          <t>Female</t>
        </is>
      </c>
      <c r="B152" s="215" t="inlineStr">
        <is>
          <t>50 Free</t>
        </is>
      </c>
      <c r="C152" s="189" t="n">
        <v>2023</v>
      </c>
      <c r="D152" s="215" t="inlineStr">
        <is>
          <t>SGP</t>
        </is>
      </c>
      <c r="E152" s="219" t="n">
        <v>1</v>
      </c>
      <c r="F152" s="215" t="inlineStr">
        <is>
          <t>25.04</t>
        </is>
      </c>
      <c r="G152" s="215" t="n">
        <v>1992</v>
      </c>
      <c r="H152" s="215">
        <f>C152-G152</f>
        <v/>
      </c>
      <c r="I152" s="215" t="inlineStr">
        <is>
          <t>Ting Wen Quah</t>
        </is>
      </c>
      <c r="J152" s="215" t="inlineStr">
        <is>
          <t>UCLA</t>
        </is>
      </c>
      <c r="K152" s="215" t="inlineStr">
        <is>
          <t>USA</t>
        </is>
      </c>
      <c r="L152" s="217" t="n"/>
      <c r="M152" s="689" t="n"/>
      <c r="N152" s="689" t="n"/>
      <c r="O152" s="689" t="n"/>
      <c r="P152" s="227" t="n"/>
      <c r="Q152" s="689" t="n"/>
      <c r="R152" s="689" t="n"/>
      <c r="S152" s="689" t="n"/>
      <c r="T152" s="689" t="n"/>
      <c r="U152" s="689" t="n"/>
      <c r="V152" s="689" t="n"/>
      <c r="W152" s="689" t="n"/>
      <c r="X152" s="689" t="n"/>
      <c r="Y152" s="689" t="n"/>
      <c r="Z152" s="689" t="n"/>
      <c r="AA152" s="689" t="n"/>
      <c r="AB152" s="689" t="n"/>
      <c r="AC152" s="689" t="n"/>
      <c r="AD152" s="689" t="n"/>
      <c r="AF152" s="236" t="n"/>
      <c r="AG152" s="236" t="n"/>
      <c r="AH152" s="236" t="n"/>
      <c r="AI152" s="236" t="n"/>
      <c r="AJ152" s="236" t="n"/>
      <c r="AK152" s="236" t="n"/>
      <c r="AL152" s="236" t="n"/>
      <c r="AM152" s="236" t="n"/>
      <c r="AN152" s="236" t="n"/>
      <c r="AO152" s="236" t="n"/>
      <c r="AP152" s="236" t="n"/>
      <c r="AQ152" s="236" t="n"/>
      <c r="AR152" s="236" t="n"/>
      <c r="AS152" s="236" t="n"/>
      <c r="AT152" s="236" t="n"/>
      <c r="AU152" s="236" t="n"/>
      <c r="AV152" s="236" t="n"/>
      <c r="AW152" s="236" t="n"/>
      <c r="AX152" s="692" t="n"/>
      <c r="AY152" s="692" t="n"/>
      <c r="AZ152" s="692" t="n"/>
      <c r="BA152" s="692" t="n"/>
      <c r="BB152" s="692" t="n"/>
      <c r="BC152" s="692" t="n"/>
      <c r="BD152" s="692" t="n"/>
      <c r="BE152" s="692" t="n"/>
      <c r="BF152" s="692" t="n"/>
      <c r="BG152" s="692" t="n"/>
      <c r="BH152" s="692" t="n"/>
      <c r="BI152" s="692" t="n"/>
      <c r="BJ152" s="692" t="n"/>
      <c r="BK152" s="692" t="n"/>
      <c r="BL152" s="692" t="n"/>
      <c r="BM152" s="692" t="n"/>
      <c r="BN152" s="692" t="n"/>
      <c r="BO152" s="692" t="n"/>
      <c r="BP152" s="692" t="n"/>
      <c r="BQ152" s="692" t="n"/>
    </row>
    <row r="153">
      <c r="A153" s="220" t="inlineStr">
        <is>
          <t>Female</t>
        </is>
      </c>
      <c r="B153" s="211" t="inlineStr">
        <is>
          <t>50 Free</t>
        </is>
      </c>
      <c r="C153" s="190" t="n">
        <v>2023</v>
      </c>
      <c r="D153" s="211" t="inlineStr">
        <is>
          <t>SGP</t>
        </is>
      </c>
      <c r="E153" s="221" t="n">
        <v>2</v>
      </c>
      <c r="F153" s="211" t="inlineStr">
        <is>
          <t>25.16</t>
        </is>
      </c>
      <c r="G153" s="211" t="n">
        <v>1993</v>
      </c>
      <c r="H153" s="211">
        <f>C153-G153</f>
        <v/>
      </c>
      <c r="I153" s="211" t="inlineStr">
        <is>
          <t>Amanda Xiang QI Lim</t>
        </is>
      </c>
      <c r="J153" s="211" t="n"/>
      <c r="K153" s="211" t="n"/>
      <c r="L153" s="213" t="n"/>
      <c r="M153" s="689" t="n"/>
      <c r="N153" s="689" t="n"/>
      <c r="O153" s="689" t="n"/>
      <c r="P153" s="227" t="n"/>
      <c r="Q153" s="689" t="n"/>
      <c r="R153" s="689" t="n"/>
      <c r="S153" s="689" t="n"/>
      <c r="T153" s="689" t="n"/>
      <c r="U153" s="689" t="n"/>
      <c r="V153" s="689" t="n"/>
      <c r="W153" s="689" t="n"/>
      <c r="X153" s="689" t="n"/>
      <c r="Y153" s="689" t="n"/>
      <c r="Z153" s="689" t="n"/>
      <c r="AA153" s="689" t="n"/>
      <c r="AB153" s="689" t="n"/>
      <c r="AC153" s="689" t="n"/>
      <c r="AD153" s="689" t="n"/>
      <c r="AF153" s="236" t="n"/>
      <c r="AG153" s="236" t="n"/>
      <c r="AH153" s="236" t="n"/>
      <c r="AI153" s="236" t="n"/>
      <c r="AJ153" s="236" t="n"/>
      <c r="AK153" s="236" t="n"/>
      <c r="AL153" s="236" t="n"/>
      <c r="AM153" s="236" t="n"/>
      <c r="AN153" s="236" t="n"/>
      <c r="AO153" s="236" t="n"/>
      <c r="AP153" s="236" t="n"/>
      <c r="AQ153" s="236" t="n"/>
      <c r="AR153" s="236" t="n"/>
      <c r="AS153" s="236" t="n"/>
      <c r="AT153" s="236" t="n"/>
      <c r="AU153" s="236" t="n"/>
      <c r="AV153" s="236" t="n"/>
      <c r="AW153" s="236" t="n"/>
      <c r="AX153" s="692" t="n"/>
      <c r="AY153" s="692" t="n"/>
      <c r="AZ153" s="692" t="n"/>
      <c r="BA153" s="692" t="n"/>
      <c r="BB153" s="692" t="n"/>
      <c r="BC153" s="692" t="n"/>
      <c r="BD153" s="692" t="n"/>
      <c r="BE153" s="692" t="n"/>
      <c r="BF153" s="692" t="n"/>
      <c r="BG153" s="692" t="n"/>
      <c r="BH153" s="692" t="n"/>
      <c r="BI153" s="692" t="n"/>
      <c r="BJ153" s="692" t="n"/>
      <c r="BK153" s="692" t="n"/>
      <c r="BL153" s="692" t="n"/>
      <c r="BM153" s="692" t="n"/>
      <c r="BN153" s="692" t="n"/>
      <c r="BO153" s="692" t="n"/>
      <c r="BP153" s="692" t="n"/>
      <c r="BQ153" s="692" t="n"/>
    </row>
    <row r="154">
      <c r="A154" s="218" t="inlineStr">
        <is>
          <t>Female</t>
        </is>
      </c>
      <c r="B154" s="215" t="inlineStr">
        <is>
          <t>50 Free</t>
        </is>
      </c>
      <c r="C154" s="189" t="n">
        <v>2023</v>
      </c>
      <c r="D154" s="215" t="inlineStr">
        <is>
          <t>THA</t>
        </is>
      </c>
      <c r="E154" s="219" t="n">
        <v>3</v>
      </c>
      <c r="F154" s="215" t="inlineStr">
        <is>
          <t>25.32</t>
        </is>
      </c>
      <c r="G154" s="215" t="n">
        <v>1995</v>
      </c>
      <c r="H154" s="215">
        <f>C154-G154</f>
        <v/>
      </c>
      <c r="I154" s="215" t="inlineStr">
        <is>
          <t>Jenjira Srisa-Ard</t>
        </is>
      </c>
      <c r="J154" s="215" t="n"/>
      <c r="K154" s="215" t="n"/>
      <c r="L154" s="217" t="n"/>
      <c r="M154" s="689" t="n"/>
      <c r="N154" s="689" t="n"/>
      <c r="O154" s="689" t="n"/>
      <c r="P154" s="227" t="n"/>
      <c r="Q154" s="689" t="n"/>
      <c r="R154" s="689" t="n"/>
      <c r="S154" s="689" t="n"/>
      <c r="T154" s="689" t="n"/>
      <c r="U154" s="689" t="n"/>
      <c r="V154" s="689" t="n"/>
      <c r="W154" s="689" t="n"/>
      <c r="X154" s="689" t="n"/>
      <c r="Y154" s="689" t="n"/>
      <c r="Z154" s="689" t="n"/>
      <c r="AA154" s="689" t="n"/>
      <c r="AB154" s="689" t="n"/>
      <c r="AC154" s="689" t="n"/>
      <c r="AD154" s="689" t="n"/>
      <c r="AF154" s="236" t="n"/>
      <c r="AG154" s="236" t="n"/>
      <c r="AH154" s="236" t="n"/>
      <c r="AI154" s="236" t="n"/>
      <c r="AJ154" s="236" t="n"/>
      <c r="AK154" s="236" t="n"/>
      <c r="AL154" s="236" t="n"/>
      <c r="AM154" s="236" t="n"/>
      <c r="AN154" s="236" t="n"/>
      <c r="AO154" s="236" t="n"/>
      <c r="AP154" s="236" t="n"/>
      <c r="AQ154" s="236" t="n"/>
      <c r="AR154" s="236" t="n"/>
      <c r="AS154" s="236" t="n"/>
      <c r="AT154" s="236" t="n"/>
      <c r="AU154" s="236" t="n"/>
      <c r="AV154" s="236" t="n"/>
      <c r="AW154" s="236" t="n"/>
      <c r="AX154" s="692" t="n"/>
      <c r="AY154" s="692" t="n"/>
      <c r="AZ154" s="692" t="n"/>
      <c r="BA154" s="692" t="n"/>
      <c r="BB154" s="692" t="n"/>
      <c r="BC154" s="692" t="n"/>
      <c r="BD154" s="692" t="n"/>
      <c r="BE154" s="692" t="n"/>
      <c r="BF154" s="692" t="n"/>
      <c r="BG154" s="692" t="n"/>
      <c r="BH154" s="692" t="n"/>
      <c r="BI154" s="692" t="n"/>
      <c r="BJ154" s="692" t="n"/>
      <c r="BK154" s="692" t="n"/>
      <c r="BL154" s="692" t="n"/>
      <c r="BM154" s="692" t="n"/>
      <c r="BN154" s="692" t="n"/>
      <c r="BO154" s="692" t="n"/>
      <c r="BP154" s="692" t="n"/>
      <c r="BQ154" s="692" t="n"/>
    </row>
    <row r="155">
      <c r="A155" s="220" t="inlineStr">
        <is>
          <t>Female</t>
        </is>
      </c>
      <c r="B155" s="211" t="inlineStr">
        <is>
          <t>800 Free</t>
        </is>
      </c>
      <c r="C155" s="190" t="n">
        <v>2019</v>
      </c>
      <c r="D155" s="211" t="inlineStr">
        <is>
          <t>SGP</t>
        </is>
      </c>
      <c r="E155" s="221" t="n">
        <v>1</v>
      </c>
      <c r="F155" s="211" t="inlineStr">
        <is>
          <t>8:41.48</t>
        </is>
      </c>
      <c r="G155" s="195" t="n">
        <v>2003</v>
      </c>
      <c r="H155" s="195">
        <f>C155-G155</f>
        <v/>
      </c>
      <c r="I155" s="200" t="inlineStr">
        <is>
          <t>Ching Hwee Gan</t>
        </is>
      </c>
      <c r="J155" s="198" t="inlineStr">
        <is>
          <t>Indiana</t>
        </is>
      </c>
      <c r="K155" s="198" t="inlineStr">
        <is>
          <t>USA</t>
        </is>
      </c>
      <c r="L155" s="213" t="n"/>
      <c r="M155" s="689" t="n"/>
      <c r="N155" s="689" t="n"/>
      <c r="O155" s="689" t="n"/>
      <c r="P155" s="227" t="n"/>
      <c r="Q155" s="689" t="n"/>
      <c r="R155" s="689" t="n"/>
      <c r="S155" s="689" t="n"/>
      <c r="T155" s="689" t="n"/>
      <c r="U155" s="689" t="n"/>
      <c r="V155" s="689" t="n"/>
      <c r="W155" s="689" t="n"/>
      <c r="X155" s="689" t="n"/>
      <c r="Y155" s="689" t="n"/>
      <c r="Z155" s="689" t="n"/>
      <c r="AA155" s="689" t="n"/>
      <c r="AB155" s="689" t="n"/>
      <c r="AC155" s="689" t="n"/>
      <c r="AD155" s="689" t="n"/>
      <c r="AF155" s="236" t="n"/>
      <c r="AG155" s="236" t="n"/>
      <c r="AH155" s="236" t="n"/>
      <c r="AI155" s="236" t="n"/>
      <c r="AJ155" s="236" t="n"/>
      <c r="AK155" s="236" t="n"/>
      <c r="AL155" s="236" t="n"/>
      <c r="AM155" s="236" t="n"/>
      <c r="AN155" s="236" t="n"/>
      <c r="AO155" s="236" t="n"/>
      <c r="AP155" s="236" t="n"/>
      <c r="AQ155" s="236" t="n"/>
      <c r="AR155" s="236" t="n"/>
      <c r="AS155" s="236" t="n"/>
      <c r="AT155" s="236" t="n"/>
      <c r="AU155" s="236" t="n"/>
      <c r="AV155" s="236" t="n"/>
      <c r="AW155" s="236" t="n"/>
      <c r="AX155" s="692" t="n"/>
      <c r="AY155" s="692" t="n"/>
      <c r="AZ155" s="692" t="n"/>
      <c r="BA155" s="692" t="n"/>
      <c r="BB155" s="692" t="n"/>
      <c r="BC155" s="692" t="n"/>
      <c r="BD155" s="692" t="n"/>
      <c r="BE155" s="692" t="n"/>
      <c r="BF155" s="692" t="n"/>
      <c r="BG155" s="692" t="n"/>
      <c r="BH155" s="692" t="n"/>
      <c r="BI155" s="692" t="n"/>
      <c r="BJ155" s="692" t="n"/>
      <c r="BK155" s="692" t="n"/>
      <c r="BL155" s="692" t="n"/>
      <c r="BM155" s="692" t="n"/>
      <c r="BN155" s="692" t="n"/>
      <c r="BO155" s="692" t="n"/>
      <c r="BP155" s="692" t="n"/>
      <c r="BQ155" s="692" t="n"/>
    </row>
    <row r="156">
      <c r="A156" s="218" t="inlineStr">
        <is>
          <t>Female</t>
        </is>
      </c>
      <c r="B156" s="215" t="inlineStr">
        <is>
          <t>800 Free</t>
        </is>
      </c>
      <c r="C156" s="189" t="n">
        <v>2019</v>
      </c>
      <c r="D156" s="215" t="inlineStr">
        <is>
          <t>VIE</t>
        </is>
      </c>
      <c r="E156" s="219" t="n">
        <v>2</v>
      </c>
      <c r="F156" s="215" t="inlineStr">
        <is>
          <t>8:48.65</t>
        </is>
      </c>
      <c r="G156" s="215" t="n">
        <v>1996</v>
      </c>
      <c r="H156" s="215">
        <f>C156-G156</f>
        <v/>
      </c>
      <c r="I156" s="215" t="inlineStr">
        <is>
          <t>Nguyen Thi Anh Vien</t>
        </is>
      </c>
      <c r="J156" s="215" t="n"/>
      <c r="K156" s="215" t="n"/>
      <c r="L156" s="217" t="n"/>
      <c r="M156" s="689" t="n"/>
      <c r="N156" s="689" t="n"/>
      <c r="O156" s="689" t="n"/>
      <c r="P156" s="227" t="n"/>
      <c r="Q156" s="689" t="n"/>
      <c r="R156" s="689" t="n"/>
      <c r="S156" s="689" t="n"/>
      <c r="T156" s="689" t="n"/>
      <c r="U156" s="689" t="n"/>
      <c r="V156" s="689" t="n"/>
      <c r="W156" s="689" t="n"/>
      <c r="X156" s="689" t="n"/>
      <c r="Y156" s="689" t="n"/>
      <c r="Z156" s="689" t="n"/>
      <c r="AA156" s="689" t="n"/>
      <c r="AB156" s="689" t="n"/>
      <c r="AC156" s="689" t="n"/>
      <c r="AD156" s="689" t="n"/>
      <c r="AF156" s="236" t="n"/>
      <c r="AG156" s="236" t="n"/>
      <c r="AH156" s="236" t="n"/>
      <c r="AI156" s="236" t="n"/>
      <c r="AJ156" s="236" t="n"/>
      <c r="AK156" s="236" t="n"/>
      <c r="AL156" s="236" t="n"/>
      <c r="AM156" s="236" t="n"/>
      <c r="AN156" s="236" t="n"/>
      <c r="AO156" s="236" t="n"/>
      <c r="AP156" s="236" t="n"/>
      <c r="AQ156" s="236" t="n"/>
      <c r="AR156" s="236" t="n"/>
      <c r="AS156" s="236" t="n"/>
      <c r="AT156" s="236" t="n"/>
      <c r="AU156" s="236" t="n"/>
      <c r="AV156" s="236" t="n"/>
      <c r="AW156" s="236" t="n"/>
      <c r="AX156" s="692" t="n"/>
      <c r="AY156" s="692" t="n"/>
      <c r="AZ156" s="692" t="n"/>
      <c r="BA156" s="692" t="n"/>
      <c r="BB156" s="692" t="n"/>
      <c r="BC156" s="692" t="n"/>
      <c r="BD156" s="692" t="n"/>
      <c r="BE156" s="692" t="n"/>
      <c r="BF156" s="692" t="n"/>
      <c r="BG156" s="692" t="n"/>
      <c r="BH156" s="692" t="n"/>
      <c r="BI156" s="692" t="n"/>
      <c r="BJ156" s="692" t="n"/>
      <c r="BK156" s="692" t="n"/>
      <c r="BL156" s="692" t="n"/>
      <c r="BM156" s="692" t="n"/>
      <c r="BN156" s="692" t="n"/>
      <c r="BO156" s="692" t="n"/>
      <c r="BP156" s="692" t="n"/>
      <c r="BQ156" s="692" t="n"/>
    </row>
    <row r="157">
      <c r="A157" s="220" t="inlineStr">
        <is>
          <t>Female</t>
        </is>
      </c>
      <c r="B157" s="211" t="inlineStr">
        <is>
          <t>800 Free</t>
        </is>
      </c>
      <c r="C157" s="190" t="n">
        <v>2019</v>
      </c>
      <c r="D157" s="211" t="inlineStr">
        <is>
          <t>THA</t>
        </is>
      </c>
      <c r="E157" s="221" t="n">
        <v>3</v>
      </c>
      <c r="F157" s="211" t="inlineStr">
        <is>
          <t>8:50.23</t>
        </is>
      </c>
      <c r="G157" s="196" t="n">
        <v>2005</v>
      </c>
      <c r="H157" s="195">
        <f>C157-G157</f>
        <v/>
      </c>
      <c r="I157" s="198" t="inlineStr">
        <is>
          <t>Kamonchanok Kwanmuang</t>
        </is>
      </c>
      <c r="J157" s="211" t="n"/>
      <c r="K157" s="211" t="n"/>
      <c r="L157" s="213" t="n"/>
      <c r="M157" s="689" t="n"/>
      <c r="N157" s="689" t="n"/>
      <c r="O157" s="689" t="n"/>
      <c r="P157" s="227" t="n"/>
      <c r="Q157" s="689" t="n"/>
      <c r="R157" s="689" t="n"/>
      <c r="S157" s="689" t="n"/>
      <c r="T157" s="689" t="n"/>
      <c r="U157" s="689" t="n"/>
      <c r="V157" s="689" t="n"/>
      <c r="W157" s="689" t="n"/>
      <c r="X157" s="689" t="n"/>
      <c r="Y157" s="689" t="n"/>
      <c r="Z157" s="689" t="n"/>
      <c r="AA157" s="689" t="n"/>
      <c r="AB157" s="689" t="n"/>
      <c r="AC157" s="689" t="n"/>
      <c r="AD157" s="689" t="n"/>
      <c r="AF157" s="236" t="n"/>
      <c r="AG157" s="236" t="n"/>
      <c r="AH157" s="236" t="n"/>
      <c r="AI157" s="236" t="n"/>
      <c r="AJ157" s="236" t="n"/>
      <c r="AK157" s="236" t="n"/>
      <c r="AL157" s="236" t="n"/>
      <c r="AM157" s="236" t="n"/>
      <c r="AN157" s="236" t="n"/>
      <c r="AO157" s="236" t="n"/>
      <c r="AP157" s="236" t="n"/>
      <c r="AQ157" s="236" t="n"/>
      <c r="AR157" s="236" t="n"/>
      <c r="AS157" s="236" t="n"/>
      <c r="AT157" s="236" t="n"/>
      <c r="AU157" s="236" t="n"/>
      <c r="AV157" s="236" t="n"/>
      <c r="AW157" s="236" t="n"/>
      <c r="AX157" s="692" t="n"/>
      <c r="AY157" s="692" t="n"/>
      <c r="AZ157" s="692" t="n"/>
      <c r="BA157" s="692" t="n"/>
      <c r="BB157" s="692" t="n"/>
      <c r="BC157" s="692" t="n"/>
      <c r="BD157" s="692" t="n"/>
      <c r="BE157" s="692" t="n"/>
      <c r="BF157" s="692" t="n"/>
      <c r="BG157" s="692" t="n"/>
      <c r="BH157" s="692" t="n"/>
      <c r="BI157" s="692" t="n"/>
      <c r="BJ157" s="692" t="n"/>
      <c r="BK157" s="692" t="n"/>
      <c r="BL157" s="692" t="n"/>
      <c r="BM157" s="692" t="n"/>
      <c r="BN157" s="692" t="n"/>
      <c r="BO157" s="692" t="n"/>
      <c r="BP157" s="692" t="n"/>
      <c r="BQ157" s="692" t="n"/>
    </row>
    <row r="158">
      <c r="A158" s="218" t="inlineStr">
        <is>
          <t>Female</t>
        </is>
      </c>
      <c r="B158" s="215" t="inlineStr">
        <is>
          <t>800 Free</t>
        </is>
      </c>
      <c r="C158" s="189" t="n">
        <v>2022</v>
      </c>
      <c r="D158" s="215" t="inlineStr">
        <is>
          <t>SGP</t>
        </is>
      </c>
      <c r="E158" s="219" t="n">
        <v>1</v>
      </c>
      <c r="F158" s="215" t="inlineStr">
        <is>
          <t>8:42.60</t>
        </is>
      </c>
      <c r="G158" s="195" t="n">
        <v>2003</v>
      </c>
      <c r="H158" s="195">
        <f>C158-G158</f>
        <v/>
      </c>
      <c r="I158" s="200" t="inlineStr">
        <is>
          <t>Ching Hwee Gan</t>
        </is>
      </c>
      <c r="J158" s="198" t="inlineStr">
        <is>
          <t>Indiana</t>
        </is>
      </c>
      <c r="K158" s="198" t="inlineStr">
        <is>
          <t>USA</t>
        </is>
      </c>
      <c r="L158" s="213" t="n"/>
      <c r="M158" s="689" t="n"/>
      <c r="N158" s="689" t="n"/>
      <c r="O158" s="689" t="n"/>
      <c r="P158" s="227" t="n"/>
      <c r="Q158" s="689" t="n"/>
      <c r="R158" s="689" t="n"/>
      <c r="S158" s="689" t="n"/>
      <c r="T158" s="689" t="n"/>
      <c r="U158" s="689" t="n"/>
      <c r="V158" s="689" t="n"/>
      <c r="W158" s="689" t="n"/>
      <c r="X158" s="689" t="n"/>
      <c r="Y158" s="689" t="n"/>
      <c r="Z158" s="689" t="n"/>
      <c r="AA158" s="689" t="n"/>
      <c r="AB158" s="689" t="n"/>
      <c r="AC158" s="689" t="n"/>
      <c r="AD158" s="689" t="n"/>
      <c r="AF158" s="236" t="n"/>
      <c r="AG158" s="236" t="n"/>
      <c r="AH158" s="236" t="n"/>
      <c r="AI158" s="236" t="n"/>
      <c r="AJ158" s="236" t="n"/>
      <c r="AK158" s="236" t="n"/>
      <c r="AL158" s="236" t="n"/>
      <c r="AM158" s="236" t="n"/>
      <c r="AN158" s="236" t="n"/>
      <c r="AO158" s="236" t="n"/>
      <c r="AP158" s="236" t="n"/>
      <c r="AQ158" s="236" t="n"/>
      <c r="AR158" s="236" t="n"/>
      <c r="AS158" s="236" t="n"/>
      <c r="AT158" s="236" t="n"/>
      <c r="AU158" s="236" t="n"/>
      <c r="AV158" s="236" t="n"/>
      <c r="AW158" s="236" t="n"/>
      <c r="AX158" s="692" t="n"/>
      <c r="AY158" s="692" t="n"/>
      <c r="AZ158" s="692" t="n"/>
      <c r="BA158" s="692" t="n"/>
      <c r="BB158" s="692" t="n"/>
      <c r="BC158" s="692" t="n"/>
      <c r="BD158" s="692" t="n"/>
      <c r="BE158" s="692" t="n"/>
      <c r="BF158" s="692" t="n"/>
      <c r="BG158" s="692" t="n"/>
      <c r="BH158" s="692" t="n"/>
      <c r="BI158" s="692" t="n"/>
      <c r="BJ158" s="692" t="n"/>
      <c r="BK158" s="692" t="n"/>
      <c r="BL158" s="692" t="n"/>
      <c r="BM158" s="692" t="n"/>
      <c r="BN158" s="692" t="n"/>
      <c r="BO158" s="692" t="n"/>
      <c r="BP158" s="692" t="n"/>
      <c r="BQ158" s="692" t="n"/>
    </row>
    <row r="159">
      <c r="A159" s="220" t="inlineStr">
        <is>
          <t>Female</t>
        </is>
      </c>
      <c r="B159" s="211" t="inlineStr">
        <is>
          <t>800 Free</t>
        </is>
      </c>
      <c r="C159" s="190" t="n">
        <v>2022</v>
      </c>
      <c r="D159" s="211" t="inlineStr">
        <is>
          <t>VIE</t>
        </is>
      </c>
      <c r="E159" s="221" t="n">
        <v>2</v>
      </c>
      <c r="F159" s="211" t="inlineStr">
        <is>
          <t>8:51.73</t>
        </is>
      </c>
      <c r="G159" s="196" t="n">
        <v>2005</v>
      </c>
      <c r="H159" s="195">
        <f>C159-G159</f>
        <v/>
      </c>
      <c r="I159" s="198" t="inlineStr">
        <is>
          <t>Thi MY Tien VO</t>
        </is>
      </c>
      <c r="J159" s="211" t="n"/>
      <c r="K159" s="211" t="n"/>
      <c r="L159" s="213" t="n"/>
      <c r="M159" s="689" t="n"/>
      <c r="N159" s="689" t="n"/>
      <c r="O159" s="689" t="n"/>
      <c r="P159" s="227" t="n"/>
      <c r="Q159" s="689" t="n"/>
      <c r="R159" s="689" t="n"/>
      <c r="S159" s="689" t="n"/>
      <c r="T159" s="689" t="n"/>
      <c r="U159" s="689" t="n"/>
      <c r="V159" s="689" t="n"/>
      <c r="W159" s="689" t="n"/>
      <c r="X159" s="689" t="n"/>
      <c r="Y159" s="689" t="n"/>
      <c r="Z159" s="689" t="n"/>
      <c r="AA159" s="689" t="n"/>
      <c r="AB159" s="689" t="n"/>
      <c r="AC159" s="689" t="n"/>
      <c r="AD159" s="689" t="n"/>
      <c r="AF159" s="236" t="n"/>
      <c r="AG159" s="236" t="n"/>
      <c r="AH159" s="236" t="n"/>
      <c r="AI159" s="236" t="n"/>
      <c r="AJ159" s="236" t="n"/>
      <c r="AK159" s="236" t="n"/>
      <c r="AL159" s="236" t="n"/>
      <c r="AM159" s="236" t="n"/>
      <c r="AN159" s="236" t="n"/>
      <c r="AO159" s="236" t="n"/>
      <c r="AP159" s="236" t="n"/>
      <c r="AQ159" s="236" t="n"/>
      <c r="AR159" s="236" t="n"/>
      <c r="AS159" s="236" t="n"/>
      <c r="AT159" s="236" t="n"/>
      <c r="AU159" s="236" t="n"/>
      <c r="AV159" s="236" t="n"/>
      <c r="AW159" s="236" t="n"/>
      <c r="AX159" s="692" t="n"/>
      <c r="AY159" s="692" t="n"/>
      <c r="AZ159" s="692" t="n"/>
      <c r="BA159" s="692" t="n"/>
      <c r="BB159" s="692" t="n"/>
      <c r="BC159" s="692" t="n"/>
      <c r="BD159" s="692" t="n"/>
      <c r="BE159" s="692" t="n"/>
      <c r="BF159" s="692" t="n"/>
      <c r="BG159" s="692" t="n"/>
      <c r="BH159" s="692" t="n"/>
      <c r="BI159" s="692" t="n"/>
      <c r="BJ159" s="692" t="n"/>
      <c r="BK159" s="692" t="n"/>
      <c r="BL159" s="692" t="n"/>
      <c r="BM159" s="692" t="n"/>
      <c r="BN159" s="692" t="n"/>
      <c r="BO159" s="692" t="n"/>
      <c r="BP159" s="692" t="n"/>
      <c r="BQ159" s="692" t="n"/>
    </row>
    <row r="160">
      <c r="A160" s="218" t="inlineStr">
        <is>
          <t>Female</t>
        </is>
      </c>
      <c r="B160" s="215" t="inlineStr">
        <is>
          <t>800 Free</t>
        </is>
      </c>
      <c r="C160" s="189" t="n">
        <v>2022</v>
      </c>
      <c r="D160" s="215" t="inlineStr">
        <is>
          <t>SGP</t>
        </is>
      </c>
      <c r="E160" s="219" t="n">
        <v>3</v>
      </c>
      <c r="F160" s="215" t="inlineStr">
        <is>
          <t>8:58.98</t>
        </is>
      </c>
      <c r="G160" s="197" t="n">
        <v>2005</v>
      </c>
      <c r="H160" s="197">
        <f>C160-G160</f>
        <v/>
      </c>
      <c r="I160" s="201" t="inlineStr">
        <is>
          <t>Ashley Yi-Xuan Lim</t>
        </is>
      </c>
      <c r="J160" s="215" t="n"/>
      <c r="K160" s="215" t="n"/>
      <c r="L160" s="217" t="n"/>
      <c r="M160" s="689" t="n"/>
      <c r="N160" s="689" t="n"/>
      <c r="O160" s="689" t="n"/>
      <c r="P160" s="227" t="n"/>
      <c r="Q160" s="689" t="n"/>
      <c r="R160" s="689" t="n"/>
      <c r="S160" s="689" t="n"/>
      <c r="T160" s="689" t="n"/>
      <c r="U160" s="689" t="n"/>
      <c r="V160" s="689" t="n"/>
      <c r="W160" s="689" t="n"/>
      <c r="X160" s="689" t="n"/>
      <c r="Y160" s="689" t="n"/>
      <c r="Z160" s="689" t="n"/>
      <c r="AA160" s="689" t="n"/>
      <c r="AB160" s="689" t="n"/>
      <c r="AC160" s="689" t="n"/>
      <c r="AD160" s="689" t="n"/>
      <c r="AF160" s="236" t="n"/>
      <c r="AG160" s="236" t="n"/>
      <c r="AH160" s="236" t="n"/>
      <c r="AI160" s="236" t="n"/>
      <c r="AJ160" s="236" t="n"/>
      <c r="AK160" s="236" t="n"/>
      <c r="AL160" s="236" t="n"/>
      <c r="AM160" s="236" t="n"/>
      <c r="AN160" s="236" t="n"/>
      <c r="AO160" s="236" t="n"/>
      <c r="AP160" s="236" t="n"/>
      <c r="AQ160" s="236" t="n"/>
      <c r="AR160" s="236" t="n"/>
      <c r="AS160" s="236" t="n"/>
      <c r="AT160" s="236" t="n"/>
      <c r="AU160" s="236" t="n"/>
      <c r="AV160" s="236" t="n"/>
      <c r="AW160" s="236" t="n"/>
      <c r="AX160" s="692" t="n"/>
      <c r="AY160" s="692" t="n"/>
      <c r="AZ160" s="692" t="n"/>
      <c r="BA160" s="692" t="n"/>
      <c r="BB160" s="692" t="n"/>
      <c r="BC160" s="692" t="n"/>
      <c r="BD160" s="692" t="n"/>
      <c r="BE160" s="692" t="n"/>
      <c r="BF160" s="692" t="n"/>
      <c r="BG160" s="692" t="n"/>
      <c r="BH160" s="692" t="n"/>
      <c r="BI160" s="692" t="n"/>
      <c r="BJ160" s="692" t="n"/>
      <c r="BK160" s="692" t="n"/>
      <c r="BL160" s="692" t="n"/>
      <c r="BM160" s="692" t="n"/>
      <c r="BN160" s="692" t="n"/>
      <c r="BO160" s="692" t="n"/>
      <c r="BP160" s="692" t="n"/>
      <c r="BQ160" s="692" t="n"/>
    </row>
    <row r="161">
      <c r="A161" s="220" t="inlineStr">
        <is>
          <t>Female</t>
        </is>
      </c>
      <c r="B161" s="211" t="inlineStr">
        <is>
          <t>800 Free</t>
        </is>
      </c>
      <c r="C161" s="190" t="n">
        <v>2023</v>
      </c>
      <c r="D161" s="211" t="inlineStr">
        <is>
          <t>SGP</t>
        </is>
      </c>
      <c r="E161" s="221" t="n">
        <v>1</v>
      </c>
      <c r="F161" s="211" t="inlineStr">
        <is>
          <t>8:41.05</t>
        </is>
      </c>
      <c r="G161" s="215" t="n">
        <v>2003</v>
      </c>
      <c r="H161" s="215">
        <f>C161-G161</f>
        <v/>
      </c>
      <c r="I161" s="215" t="inlineStr">
        <is>
          <t>Ching Hwee Gan</t>
        </is>
      </c>
      <c r="J161" s="211" t="inlineStr">
        <is>
          <t>Indiana</t>
        </is>
      </c>
      <c r="K161" s="211" t="inlineStr">
        <is>
          <t>USA</t>
        </is>
      </c>
      <c r="L161" s="213" t="n"/>
      <c r="M161" s="689" t="n"/>
      <c r="N161" s="689" t="n"/>
      <c r="O161" s="689" t="n"/>
      <c r="P161" s="227" t="n"/>
      <c r="Q161" s="689" t="n"/>
      <c r="R161" s="689" t="n"/>
      <c r="S161" s="689" t="n"/>
      <c r="T161" s="689" t="n"/>
      <c r="U161" s="689" t="n"/>
      <c r="V161" s="689" t="n"/>
      <c r="W161" s="689" t="n"/>
      <c r="X161" s="689" t="n"/>
      <c r="Y161" s="689" t="n"/>
      <c r="Z161" s="689" t="n"/>
      <c r="AA161" s="689" t="n"/>
      <c r="AB161" s="689" t="n"/>
      <c r="AC161" s="689" t="n"/>
      <c r="AD161" s="689" t="n"/>
      <c r="AF161" s="236" t="n"/>
      <c r="AG161" s="236" t="n"/>
      <c r="AH161" s="236" t="n"/>
      <c r="AI161" s="236" t="n"/>
      <c r="AJ161" s="236" t="n"/>
      <c r="AK161" s="236" t="n"/>
      <c r="AL161" s="236" t="n"/>
      <c r="AM161" s="236" t="n"/>
      <c r="AN161" s="236" t="n"/>
      <c r="AO161" s="236" t="n"/>
      <c r="AP161" s="236" t="n"/>
      <c r="AQ161" s="236" t="n"/>
      <c r="AR161" s="236" t="n"/>
      <c r="AS161" s="236" t="n"/>
      <c r="AT161" s="236" t="n"/>
      <c r="AU161" s="236" t="n"/>
      <c r="AV161" s="236" t="n"/>
      <c r="AW161" s="236" t="n"/>
      <c r="AX161" s="692" t="n"/>
      <c r="AY161" s="692" t="n"/>
      <c r="AZ161" s="692" t="n"/>
      <c r="BA161" s="692" t="n"/>
      <c r="BB161" s="692" t="n"/>
      <c r="BC161" s="692" t="n"/>
      <c r="BD161" s="692" t="n"/>
      <c r="BE161" s="692" t="n"/>
      <c r="BF161" s="692" t="n"/>
      <c r="BG161" s="692" t="n"/>
      <c r="BH161" s="692" t="n"/>
      <c r="BI161" s="692" t="n"/>
      <c r="BJ161" s="692" t="n"/>
      <c r="BK161" s="692" t="n"/>
      <c r="BL161" s="692" t="n"/>
      <c r="BM161" s="692" t="n"/>
      <c r="BN161" s="692" t="n"/>
      <c r="BO161" s="692" t="n"/>
      <c r="BP161" s="692" t="n"/>
      <c r="BQ161" s="692" t="n"/>
    </row>
    <row r="162">
      <c r="A162" s="218" t="inlineStr">
        <is>
          <t>Female</t>
        </is>
      </c>
      <c r="B162" s="215" t="inlineStr">
        <is>
          <t>800 Free</t>
        </is>
      </c>
      <c r="C162" s="189" t="n">
        <v>2023</v>
      </c>
      <c r="D162" s="215" t="inlineStr">
        <is>
          <t>SGP</t>
        </is>
      </c>
      <c r="E162" s="219" t="n">
        <v>2</v>
      </c>
      <c r="F162" s="215" t="inlineStr">
        <is>
          <t>8:46.88</t>
        </is>
      </c>
      <c r="G162" s="211" t="n">
        <v>2005</v>
      </c>
      <c r="H162" s="211">
        <f>C162-G162</f>
        <v/>
      </c>
      <c r="I162" s="211" t="inlineStr">
        <is>
          <t>Ashley Yi-Xuan Lim</t>
        </is>
      </c>
      <c r="J162" s="211" t="n"/>
      <c r="K162" s="211" t="n"/>
      <c r="L162" s="217" t="n"/>
      <c r="M162" s="689" t="n"/>
      <c r="N162" s="689" t="n"/>
      <c r="O162" s="689" t="n"/>
      <c r="P162" s="227" t="n"/>
      <c r="Q162" s="689" t="n"/>
      <c r="R162" s="689" t="n"/>
      <c r="S162" s="689" t="n"/>
      <c r="T162" s="689" t="n"/>
      <c r="U162" s="689" t="n"/>
      <c r="V162" s="689" t="n"/>
      <c r="W162" s="689" t="n"/>
      <c r="X162" s="689" t="n"/>
      <c r="Y162" s="689" t="n"/>
      <c r="Z162" s="689" t="n"/>
      <c r="AA162" s="689" t="n"/>
      <c r="AB162" s="689" t="n"/>
      <c r="AC162" s="689" t="n"/>
      <c r="AD162" s="689" t="n"/>
      <c r="AF162" s="236" t="n"/>
      <c r="AG162" s="236" t="n"/>
      <c r="AH162" s="236" t="n"/>
      <c r="AI162" s="236" t="n"/>
      <c r="AJ162" s="236" t="n"/>
      <c r="AK162" s="236" t="n"/>
      <c r="AL162" s="236" t="n"/>
      <c r="AM162" s="236" t="n"/>
      <c r="AN162" s="236" t="n"/>
      <c r="AO162" s="236" t="n"/>
      <c r="AP162" s="236" t="n"/>
      <c r="AQ162" s="236" t="n"/>
      <c r="AR162" s="236" t="n"/>
      <c r="AS162" s="236" t="n"/>
      <c r="AT162" s="236" t="n"/>
      <c r="AU162" s="236" t="n"/>
      <c r="AV162" s="236" t="n"/>
      <c r="AW162" s="236" t="n"/>
      <c r="AX162" s="692" t="n"/>
      <c r="AY162" s="692" t="n"/>
      <c r="AZ162" s="692" t="n"/>
      <c r="BA162" s="692" t="n"/>
      <c r="BB162" s="692" t="n"/>
      <c r="BC162" s="692" t="n"/>
      <c r="BD162" s="692" t="n"/>
      <c r="BE162" s="692" t="n"/>
      <c r="BF162" s="692" t="n"/>
      <c r="BG162" s="692" t="n"/>
      <c r="BH162" s="692" t="n"/>
      <c r="BI162" s="692" t="n"/>
      <c r="BJ162" s="692" t="n"/>
      <c r="BK162" s="692" t="n"/>
      <c r="BL162" s="692" t="n"/>
      <c r="BM162" s="692" t="n"/>
      <c r="BN162" s="692" t="n"/>
      <c r="BO162" s="692" t="n"/>
      <c r="BP162" s="692" t="n"/>
      <c r="BQ162" s="692" t="n"/>
    </row>
    <row r="163">
      <c r="A163" s="220" t="inlineStr">
        <is>
          <t>Female</t>
        </is>
      </c>
      <c r="B163" s="211" t="inlineStr">
        <is>
          <t>800 Free</t>
        </is>
      </c>
      <c r="C163" s="190" t="n">
        <v>2023</v>
      </c>
      <c r="D163" s="211" t="inlineStr">
        <is>
          <t>VIE</t>
        </is>
      </c>
      <c r="E163" s="221" t="n">
        <v>3</v>
      </c>
      <c r="F163" s="211" t="inlineStr">
        <is>
          <t>8:56.07</t>
        </is>
      </c>
      <c r="G163" s="215" t="n">
        <v>2005</v>
      </c>
      <c r="H163" s="215">
        <f>C163-G163</f>
        <v/>
      </c>
      <c r="I163" s="215" t="inlineStr">
        <is>
          <t>Thi MY Tien VO</t>
        </is>
      </c>
      <c r="J163" s="215" t="n"/>
      <c r="K163" s="215" t="n"/>
      <c r="L163" s="213" t="n"/>
      <c r="M163" s="689" t="n"/>
      <c r="N163" s="689" t="n"/>
      <c r="O163" s="689" t="n"/>
      <c r="P163" s="227" t="n"/>
      <c r="Q163" s="689" t="n"/>
      <c r="R163" s="689" t="n"/>
      <c r="S163" s="689" t="n"/>
      <c r="T163" s="689" t="n"/>
      <c r="U163" s="689" t="n"/>
      <c r="V163" s="689" t="n"/>
      <c r="W163" s="689" t="n"/>
      <c r="X163" s="689" t="n"/>
      <c r="Y163" s="689" t="n"/>
      <c r="Z163" s="689" t="n"/>
      <c r="AA163" s="689" t="n"/>
      <c r="AB163" s="689" t="n"/>
      <c r="AC163" s="689" t="n"/>
      <c r="AD163" s="689" t="n"/>
      <c r="AF163" s="236" t="n"/>
      <c r="AG163" s="236" t="n"/>
      <c r="AH163" s="236" t="n"/>
      <c r="AI163" s="236" t="n"/>
      <c r="AJ163" s="236" t="n"/>
      <c r="AK163" s="236" t="n"/>
      <c r="AL163" s="236" t="n"/>
      <c r="AM163" s="236" t="n"/>
      <c r="AN163" s="236" t="n"/>
      <c r="AO163" s="236" t="n"/>
      <c r="AP163" s="236" t="n"/>
      <c r="AQ163" s="236" t="n"/>
      <c r="AR163" s="236" t="n"/>
      <c r="AS163" s="236" t="n"/>
      <c r="AT163" s="236" t="n"/>
      <c r="AU163" s="236" t="n"/>
      <c r="AV163" s="236" t="n"/>
      <c r="AW163" s="236" t="n"/>
      <c r="AX163" s="692" t="n"/>
      <c r="AY163" s="692" t="n"/>
      <c r="AZ163" s="692" t="n"/>
      <c r="BA163" s="692" t="n"/>
      <c r="BB163" s="692" t="n"/>
      <c r="BC163" s="692" t="n"/>
      <c r="BD163" s="692" t="n"/>
      <c r="BE163" s="692" t="n"/>
      <c r="BF163" s="692" t="n"/>
      <c r="BG163" s="692" t="n"/>
      <c r="BH163" s="692" t="n"/>
      <c r="BI163" s="692" t="n"/>
      <c r="BJ163" s="692" t="n"/>
      <c r="BK163" s="692" t="n"/>
      <c r="BL163" s="692" t="n"/>
      <c r="BM163" s="692" t="n"/>
      <c r="BN163" s="692" t="n"/>
      <c r="BO163" s="692" t="n"/>
      <c r="BP163" s="692" t="n"/>
      <c r="BQ163" s="692" t="n"/>
    </row>
    <row r="164">
      <c r="A164" s="218" t="inlineStr">
        <is>
          <t>Female</t>
        </is>
      </c>
      <c r="B164" s="215" t="inlineStr">
        <is>
          <t>800 Free Relay</t>
        </is>
      </c>
      <c r="C164" s="189" t="n">
        <v>2019</v>
      </c>
      <c r="D164" s="215" t="inlineStr">
        <is>
          <t>SGP</t>
        </is>
      </c>
      <c r="E164" s="219" t="n">
        <v>1</v>
      </c>
      <c r="F164" s="215" t="inlineStr">
        <is>
          <t>8:07.00</t>
        </is>
      </c>
      <c r="G164" s="215" t="n"/>
      <c r="H164" s="215" t="n"/>
      <c r="I164" s="215" t="n"/>
      <c r="J164" s="215" t="n"/>
      <c r="K164" s="215" t="n"/>
      <c r="L164" s="217" t="n"/>
      <c r="M164" s="689" t="n"/>
      <c r="N164" s="689" t="n"/>
      <c r="O164" s="689" t="n"/>
      <c r="P164" s="227" t="n"/>
      <c r="Q164" s="689" t="n"/>
      <c r="R164" s="689" t="n"/>
      <c r="S164" s="689" t="n"/>
      <c r="T164" s="689" t="n"/>
      <c r="U164" s="689" t="n"/>
      <c r="V164" s="689" t="n"/>
      <c r="W164" s="689" t="n"/>
      <c r="X164" s="689" t="n"/>
      <c r="Y164" s="689" t="n"/>
      <c r="Z164" s="689" t="n"/>
      <c r="AA164" s="689" t="n"/>
      <c r="AB164" s="689" t="n"/>
      <c r="AC164" s="689" t="n"/>
      <c r="AD164" s="689" t="n"/>
      <c r="AF164" s="236" t="n"/>
      <c r="AG164" s="236" t="n"/>
      <c r="AH164" s="236" t="n"/>
      <c r="AI164" s="236" t="n"/>
      <c r="AJ164" s="236" t="n"/>
      <c r="AK164" s="236" t="n"/>
      <c r="AL164" s="236" t="n"/>
      <c r="AM164" s="236" t="n"/>
      <c r="AN164" s="236" t="n"/>
      <c r="AO164" s="236" t="n"/>
      <c r="AP164" s="236" t="n"/>
      <c r="AQ164" s="236" t="n"/>
      <c r="AR164" s="236" t="n"/>
      <c r="AS164" s="236" t="n"/>
      <c r="AT164" s="236" t="n"/>
      <c r="AU164" s="236" t="n"/>
      <c r="AV164" s="236" t="n"/>
      <c r="AW164" s="236" t="n"/>
      <c r="AX164" s="692" t="n"/>
      <c r="AY164" s="692" t="n"/>
      <c r="AZ164" s="692" t="n"/>
      <c r="BA164" s="692" t="n"/>
      <c r="BB164" s="692" t="n"/>
      <c r="BC164" s="692" t="n"/>
      <c r="BD164" s="692" t="n"/>
      <c r="BE164" s="692" t="n"/>
      <c r="BF164" s="692" t="n"/>
      <c r="BG164" s="692" t="n"/>
      <c r="BH164" s="692" t="n"/>
      <c r="BI164" s="692" t="n"/>
      <c r="BJ164" s="692" t="n"/>
      <c r="BK164" s="692" t="n"/>
      <c r="BL164" s="692" t="n"/>
      <c r="BM164" s="692" t="n"/>
      <c r="BN164" s="692" t="n"/>
      <c r="BO164" s="692" t="n"/>
      <c r="BP164" s="692" t="n"/>
      <c r="BQ164" s="692" t="n"/>
    </row>
    <row r="165">
      <c r="A165" s="220" t="inlineStr">
        <is>
          <t>Female</t>
        </is>
      </c>
      <c r="B165" s="211" t="inlineStr">
        <is>
          <t>800 Free Relay</t>
        </is>
      </c>
      <c r="C165" s="190" t="n">
        <v>2019</v>
      </c>
      <c r="D165" s="211" t="inlineStr">
        <is>
          <t>THA</t>
        </is>
      </c>
      <c r="E165" s="221" t="n">
        <v>2</v>
      </c>
      <c r="F165" s="211" t="inlineStr">
        <is>
          <t>8:11.88</t>
        </is>
      </c>
      <c r="G165" s="211" t="n"/>
      <c r="H165" s="211" t="n"/>
      <c r="I165" s="211" t="n"/>
      <c r="J165" s="211" t="n"/>
      <c r="K165" s="211" t="n"/>
      <c r="L165" s="213" t="n"/>
      <c r="M165" s="689" t="n"/>
      <c r="N165" s="689" t="n"/>
      <c r="O165" s="689" t="n"/>
      <c r="P165" s="227" t="n"/>
      <c r="Q165" s="689" t="n"/>
      <c r="R165" s="689" t="n"/>
      <c r="S165" s="689" t="n"/>
      <c r="T165" s="689" t="n"/>
      <c r="U165" s="689" t="n"/>
      <c r="V165" s="689" t="n"/>
      <c r="W165" s="689" t="n"/>
      <c r="X165" s="689" t="n"/>
      <c r="Y165" s="689" t="n"/>
      <c r="Z165" s="689" t="n"/>
      <c r="AA165" s="689" t="n"/>
      <c r="AB165" s="689" t="n"/>
      <c r="AC165" s="689" t="n"/>
      <c r="AD165" s="689" t="n"/>
      <c r="AF165" s="236" t="n"/>
      <c r="AG165" s="236" t="n"/>
      <c r="AH165" s="236" t="n"/>
      <c r="AI165" s="236" t="n"/>
      <c r="AJ165" s="236" t="n"/>
      <c r="AK165" s="236" t="n"/>
      <c r="AL165" s="236" t="n"/>
      <c r="AM165" s="236" t="n"/>
      <c r="AN165" s="236" t="n"/>
      <c r="AO165" s="236" t="n"/>
      <c r="AP165" s="236" t="n"/>
      <c r="AQ165" s="236" t="n"/>
      <c r="AR165" s="236" t="n"/>
      <c r="AS165" s="236" t="n"/>
      <c r="AT165" s="236" t="n"/>
      <c r="AU165" s="236" t="n"/>
      <c r="AV165" s="236" t="n"/>
      <c r="AW165" s="236" t="n"/>
      <c r="AX165" s="692" t="n"/>
      <c r="AY165" s="692" t="n"/>
      <c r="AZ165" s="692" t="n"/>
      <c r="BA165" s="692" t="n"/>
      <c r="BB165" s="692" t="n"/>
      <c r="BC165" s="692" t="n"/>
      <c r="BD165" s="692" t="n"/>
      <c r="BE165" s="692" t="n"/>
      <c r="BF165" s="692" t="n"/>
      <c r="BG165" s="692" t="n"/>
      <c r="BH165" s="692" t="n"/>
      <c r="BI165" s="692" t="n"/>
      <c r="BJ165" s="692" t="n"/>
      <c r="BK165" s="692" t="n"/>
      <c r="BL165" s="692" t="n"/>
      <c r="BM165" s="692" t="n"/>
      <c r="BN165" s="692" t="n"/>
      <c r="BO165" s="692" t="n"/>
      <c r="BP165" s="692" t="n"/>
      <c r="BQ165" s="692" t="n"/>
    </row>
    <row r="166">
      <c r="A166" s="218" t="inlineStr">
        <is>
          <t>Female</t>
        </is>
      </c>
      <c r="B166" s="215" t="inlineStr">
        <is>
          <t>800 Free Relay</t>
        </is>
      </c>
      <c r="C166" s="189" t="n">
        <v>2019</v>
      </c>
      <c r="D166" s="215" t="inlineStr">
        <is>
          <t>PHI</t>
        </is>
      </c>
      <c r="E166" s="219" t="n">
        <v>3</v>
      </c>
      <c r="F166" s="215" t="inlineStr">
        <is>
          <t>8:15.46</t>
        </is>
      </c>
      <c r="G166" s="211" t="n"/>
      <c r="H166" s="211" t="n"/>
      <c r="I166" s="211" t="n"/>
      <c r="J166" s="211" t="n"/>
      <c r="K166" s="211" t="n"/>
      <c r="L166" s="217" t="n"/>
      <c r="M166" s="689" t="n"/>
      <c r="N166" s="689" t="n"/>
      <c r="O166" s="689" t="n"/>
      <c r="P166" s="227" t="n"/>
      <c r="Q166" s="689" t="n"/>
      <c r="R166" s="689" t="n"/>
      <c r="S166" s="689" t="n"/>
      <c r="T166" s="689" t="n"/>
      <c r="U166" s="689" t="n"/>
      <c r="V166" s="689" t="n"/>
      <c r="W166" s="689" t="n"/>
      <c r="X166" s="689" t="n"/>
      <c r="Y166" s="689" t="n"/>
      <c r="Z166" s="689" t="n"/>
      <c r="AA166" s="689" t="n"/>
      <c r="AB166" s="689" t="n"/>
      <c r="AC166" s="689" t="n"/>
      <c r="AD166" s="689" t="n"/>
      <c r="AF166" s="236" t="n"/>
      <c r="AG166" s="236" t="n"/>
      <c r="AH166" s="236" t="n"/>
      <c r="AI166" s="236" t="n"/>
      <c r="AJ166" s="236" t="n"/>
      <c r="AK166" s="236" t="n"/>
      <c r="AL166" s="236" t="n"/>
      <c r="AM166" s="236" t="n"/>
      <c r="AN166" s="236" t="n"/>
      <c r="AO166" s="236" t="n"/>
      <c r="AP166" s="236" t="n"/>
      <c r="AQ166" s="236" t="n"/>
      <c r="AR166" s="236" t="n"/>
      <c r="AS166" s="236" t="n"/>
      <c r="AT166" s="236" t="n"/>
      <c r="AU166" s="236" t="n"/>
      <c r="AV166" s="236" t="n"/>
      <c r="AW166" s="236" t="n"/>
      <c r="AX166" s="692" t="n"/>
      <c r="AY166" s="692" t="n"/>
      <c r="AZ166" s="692" t="n"/>
      <c r="BA166" s="692" t="n"/>
      <c r="BB166" s="692" t="n"/>
      <c r="BC166" s="692" t="n"/>
      <c r="BD166" s="692" t="n"/>
      <c r="BE166" s="692" t="n"/>
      <c r="BF166" s="692" t="n"/>
      <c r="BG166" s="692" t="n"/>
      <c r="BH166" s="692" t="n"/>
      <c r="BI166" s="692" t="n"/>
      <c r="BJ166" s="692" t="n"/>
      <c r="BK166" s="692" t="n"/>
      <c r="BL166" s="692" t="n"/>
      <c r="BM166" s="692" t="n"/>
      <c r="BN166" s="692" t="n"/>
      <c r="BO166" s="692" t="n"/>
      <c r="BP166" s="692" t="n"/>
      <c r="BQ166" s="692" t="n"/>
    </row>
    <row r="167">
      <c r="A167" s="220" t="inlineStr">
        <is>
          <t>Female</t>
        </is>
      </c>
      <c r="B167" s="211" t="inlineStr">
        <is>
          <t>800 Free Relay</t>
        </is>
      </c>
      <c r="C167" s="190" t="n">
        <v>2022</v>
      </c>
      <c r="D167" s="211" t="inlineStr">
        <is>
          <t>SGP</t>
        </is>
      </c>
      <c r="E167" s="221" t="n">
        <v>1</v>
      </c>
      <c r="F167" s="211" t="inlineStr">
        <is>
          <t>8:10.75</t>
        </is>
      </c>
      <c r="G167" s="211" t="n"/>
      <c r="H167" s="211" t="n"/>
      <c r="I167" s="211" t="n"/>
      <c r="J167" s="211" t="n"/>
      <c r="K167" s="211" t="n"/>
      <c r="L167" s="213" t="n"/>
      <c r="M167" s="689" t="n"/>
      <c r="N167" s="689" t="n"/>
      <c r="O167" s="689" t="n"/>
      <c r="P167" s="227" t="n"/>
      <c r="Q167" s="689" t="n"/>
      <c r="R167" s="689" t="n"/>
      <c r="S167" s="689" t="n"/>
      <c r="T167" s="689" t="n"/>
      <c r="U167" s="689" t="n"/>
      <c r="V167" s="689" t="n"/>
      <c r="W167" s="689" t="n"/>
      <c r="X167" s="689" t="n"/>
      <c r="Y167" s="689" t="n"/>
      <c r="Z167" s="689" t="n"/>
      <c r="AA167" s="689" t="n"/>
      <c r="AB167" s="689" t="n"/>
      <c r="AC167" s="689" t="n"/>
      <c r="AD167" s="689" t="n"/>
      <c r="AF167" s="236" t="n"/>
      <c r="AG167" s="236" t="n"/>
      <c r="AH167" s="236" t="n"/>
      <c r="AI167" s="236" t="n"/>
      <c r="AJ167" s="236" t="n"/>
      <c r="AK167" s="236" t="n"/>
      <c r="AL167" s="236" t="n"/>
      <c r="AM167" s="236" t="n"/>
      <c r="AN167" s="236" t="n"/>
      <c r="AO167" s="236" t="n"/>
      <c r="AP167" s="236" t="n"/>
      <c r="AQ167" s="236" t="n"/>
      <c r="AR167" s="236" t="n"/>
      <c r="AS167" s="236" t="n"/>
      <c r="AT167" s="236" t="n"/>
      <c r="AU167" s="236" t="n"/>
      <c r="AV167" s="236" t="n"/>
      <c r="AW167" s="236" t="n"/>
      <c r="AX167" s="692" t="n"/>
      <c r="AY167" s="692" t="n"/>
      <c r="AZ167" s="692" t="n"/>
      <c r="BA167" s="692" t="n"/>
      <c r="BB167" s="692" t="n"/>
      <c r="BC167" s="692" t="n"/>
      <c r="BD167" s="692" t="n"/>
      <c r="BE167" s="692" t="n"/>
      <c r="BF167" s="692" t="n"/>
      <c r="BG167" s="692" t="n"/>
      <c r="BH167" s="692" t="n"/>
      <c r="BI167" s="692" t="n"/>
      <c r="BJ167" s="692" t="n"/>
      <c r="BK167" s="692" t="n"/>
      <c r="BL167" s="692" t="n"/>
      <c r="BM167" s="692" t="n"/>
      <c r="BN167" s="692" t="n"/>
      <c r="BO167" s="692" t="n"/>
      <c r="BP167" s="692" t="n"/>
      <c r="BQ167" s="692" t="n"/>
    </row>
    <row r="168">
      <c r="A168" s="218" t="inlineStr">
        <is>
          <t>Female</t>
        </is>
      </c>
      <c r="B168" s="215" t="inlineStr">
        <is>
          <t>800 Free Relay</t>
        </is>
      </c>
      <c r="C168" s="189" t="n">
        <v>2022</v>
      </c>
      <c r="D168" s="215" t="inlineStr">
        <is>
          <t>THA</t>
        </is>
      </c>
      <c r="E168" s="219" t="n">
        <v>2</v>
      </c>
      <c r="F168" s="215" t="inlineStr">
        <is>
          <t>8:18.67</t>
        </is>
      </c>
      <c r="G168" s="211" t="n"/>
      <c r="H168" s="211" t="n"/>
      <c r="I168" s="211" t="n"/>
      <c r="J168" s="215" t="n"/>
      <c r="K168" s="215" t="n"/>
      <c r="L168" s="217" t="n"/>
      <c r="M168" s="689" t="n"/>
      <c r="N168" s="689" t="n"/>
      <c r="O168" s="689" t="n"/>
      <c r="P168" s="227" t="n"/>
      <c r="Q168" s="689" t="n"/>
      <c r="R168" s="689" t="n"/>
      <c r="S168" s="689" t="n"/>
      <c r="T168" s="689" t="n"/>
      <c r="U168" s="689" t="n"/>
      <c r="V168" s="689" t="n"/>
      <c r="W168" s="689" t="n"/>
      <c r="X168" s="689" t="n"/>
      <c r="Y168" s="689" t="n"/>
      <c r="Z168" s="689" t="n"/>
      <c r="AA168" s="689" t="n"/>
      <c r="AB168" s="689" t="n"/>
      <c r="AC168" s="689" t="n"/>
      <c r="AD168" s="689" t="n"/>
      <c r="AF168" s="236" t="n"/>
      <c r="AG168" s="236" t="n"/>
      <c r="AH168" s="236" t="n"/>
      <c r="AI168" s="236" t="n"/>
      <c r="AJ168" s="236" t="n"/>
      <c r="AK168" s="236" t="n"/>
      <c r="AL168" s="236" t="n"/>
      <c r="AM168" s="236" t="n"/>
      <c r="AN168" s="236" t="n"/>
      <c r="AO168" s="236" t="n"/>
      <c r="AP168" s="236" t="n"/>
      <c r="AQ168" s="236" t="n"/>
      <c r="AR168" s="236" t="n"/>
      <c r="AS168" s="236" t="n"/>
      <c r="AT168" s="236" t="n"/>
      <c r="AU168" s="236" t="n"/>
      <c r="AV168" s="236" t="n"/>
      <c r="AW168" s="236" t="n"/>
      <c r="AX168" s="692" t="n"/>
      <c r="AY168" s="692" t="n"/>
      <c r="AZ168" s="692" t="n"/>
      <c r="BA168" s="692" t="n"/>
      <c r="BB168" s="692" t="n"/>
      <c r="BC168" s="692" t="n"/>
      <c r="BD168" s="692" t="n"/>
      <c r="BE168" s="692" t="n"/>
      <c r="BF168" s="692" t="n"/>
      <c r="BG168" s="692" t="n"/>
      <c r="BH168" s="692" t="n"/>
      <c r="BI168" s="692" t="n"/>
      <c r="BJ168" s="692" t="n"/>
      <c r="BK168" s="692" t="n"/>
      <c r="BL168" s="692" t="n"/>
      <c r="BM168" s="692" t="n"/>
      <c r="BN168" s="692" t="n"/>
      <c r="BO168" s="692" t="n"/>
      <c r="BP168" s="692" t="n"/>
      <c r="BQ168" s="692" t="n"/>
    </row>
    <row r="169">
      <c r="A169" s="220" t="inlineStr">
        <is>
          <t>Female</t>
        </is>
      </c>
      <c r="B169" s="211" t="inlineStr">
        <is>
          <t>800 Free Relay</t>
        </is>
      </c>
      <c r="C169" s="190" t="n">
        <v>2022</v>
      </c>
      <c r="D169" s="211" t="inlineStr">
        <is>
          <t>IND</t>
        </is>
      </c>
      <c r="E169" s="221" t="n">
        <v>3</v>
      </c>
      <c r="F169" s="211" t="inlineStr">
        <is>
          <t>8:26.24</t>
        </is>
      </c>
      <c r="G169" s="215" t="n"/>
      <c r="H169" s="215" t="n"/>
      <c r="I169" s="215" t="n"/>
      <c r="J169" s="211" t="n"/>
      <c r="K169" s="211" t="n"/>
      <c r="L169" s="213" t="n"/>
      <c r="M169" s="689" t="n"/>
      <c r="N169" s="689" t="n"/>
      <c r="O169" s="689" t="n"/>
      <c r="P169" s="227" t="n"/>
      <c r="Q169" s="689" t="n"/>
      <c r="R169" s="689" t="n"/>
      <c r="S169" s="689" t="n"/>
      <c r="T169" s="689" t="n"/>
      <c r="U169" s="689" t="n"/>
      <c r="V169" s="689" t="n"/>
      <c r="W169" s="689" t="n"/>
      <c r="X169" s="689" t="n"/>
      <c r="Y169" s="689" t="n"/>
      <c r="Z169" s="689" t="n"/>
      <c r="AA169" s="689" t="n"/>
      <c r="AB169" s="689" t="n"/>
      <c r="AC169" s="689" t="n"/>
      <c r="AD169" s="689" t="n"/>
      <c r="AF169" s="236" t="n"/>
      <c r="AG169" s="236" t="n"/>
      <c r="AH169" s="236" t="n"/>
      <c r="AI169" s="236" t="n"/>
      <c r="AJ169" s="236" t="n"/>
      <c r="AK169" s="236" t="n"/>
      <c r="AL169" s="236" t="n"/>
      <c r="AM169" s="236" t="n"/>
      <c r="AN169" s="236" t="n"/>
      <c r="AO169" s="236" t="n"/>
      <c r="AP169" s="236" t="n"/>
      <c r="AQ169" s="236" t="n"/>
      <c r="AR169" s="236" t="n"/>
      <c r="AS169" s="236" t="n"/>
      <c r="AT169" s="236" t="n"/>
      <c r="AU169" s="236" t="n"/>
      <c r="AV169" s="236" t="n"/>
      <c r="AW169" s="236" t="n"/>
      <c r="AX169" s="692" t="n"/>
      <c r="AY169" s="692" t="n"/>
      <c r="AZ169" s="692" t="n"/>
      <c r="BA169" s="692" t="n"/>
      <c r="BB169" s="692" t="n"/>
      <c r="BC169" s="692" t="n"/>
      <c r="BD169" s="692" t="n"/>
      <c r="BE169" s="692" t="n"/>
      <c r="BF169" s="692" t="n"/>
      <c r="BG169" s="692" t="n"/>
      <c r="BH169" s="692" t="n"/>
      <c r="BI169" s="692" t="n"/>
      <c r="BJ169" s="692" t="n"/>
      <c r="BK169" s="692" t="n"/>
      <c r="BL169" s="692" t="n"/>
      <c r="BM169" s="692" t="n"/>
      <c r="BN169" s="692" t="n"/>
      <c r="BO169" s="692" t="n"/>
      <c r="BP169" s="692" t="n"/>
      <c r="BQ169" s="692" t="n"/>
    </row>
    <row r="170">
      <c r="A170" s="218" t="inlineStr">
        <is>
          <t>Female</t>
        </is>
      </c>
      <c r="B170" s="215" t="inlineStr">
        <is>
          <t>800 Free Relay</t>
        </is>
      </c>
      <c r="C170" s="189" t="n">
        <v>2023</v>
      </c>
      <c r="D170" s="215" t="inlineStr">
        <is>
          <t>SGP</t>
        </is>
      </c>
      <c r="E170" s="219" t="n">
        <v>1</v>
      </c>
      <c r="F170" s="215" t="inlineStr">
        <is>
          <t>8:12.80</t>
        </is>
      </c>
      <c r="G170" s="215" t="n"/>
      <c r="H170" s="215" t="n"/>
      <c r="I170" s="215" t="n"/>
      <c r="J170" s="215" t="n"/>
      <c r="K170" s="215" t="n"/>
      <c r="L170" s="217" t="n"/>
      <c r="M170" s="689" t="n"/>
      <c r="N170" s="689" t="n"/>
      <c r="O170" s="689" t="n"/>
      <c r="P170" s="227" t="n"/>
      <c r="Q170" s="689" t="n"/>
      <c r="R170" s="689" t="n"/>
      <c r="S170" s="689" t="n"/>
      <c r="T170" s="689" t="n"/>
      <c r="U170" s="689" t="n"/>
      <c r="V170" s="689" t="n"/>
      <c r="W170" s="689" t="n"/>
      <c r="X170" s="689" t="n"/>
      <c r="Y170" s="689" t="n"/>
      <c r="Z170" s="689" t="n"/>
      <c r="AA170" s="689" t="n"/>
      <c r="AB170" s="689" t="n"/>
      <c r="AC170" s="689" t="n"/>
      <c r="AD170" s="689" t="n"/>
      <c r="AF170" s="236" t="n"/>
      <c r="AG170" s="236" t="n"/>
      <c r="AH170" s="236" t="n"/>
      <c r="AI170" s="236" t="n"/>
      <c r="AJ170" s="236" t="n"/>
      <c r="AK170" s="236" t="n"/>
      <c r="AL170" s="236" t="n"/>
      <c r="AM170" s="236" t="n"/>
      <c r="AN170" s="236" t="n"/>
      <c r="AO170" s="236" t="n"/>
      <c r="AP170" s="236" t="n"/>
      <c r="AQ170" s="236" t="n"/>
      <c r="AR170" s="236" t="n"/>
      <c r="AS170" s="236" t="n"/>
      <c r="AT170" s="236" t="n"/>
      <c r="AU170" s="236" t="n"/>
      <c r="AV170" s="236" t="n"/>
      <c r="AW170" s="236" t="n"/>
      <c r="AX170" s="692" t="n"/>
      <c r="AY170" s="692" t="n"/>
      <c r="AZ170" s="692" t="n"/>
      <c r="BA170" s="692" t="n"/>
      <c r="BB170" s="692" t="n"/>
      <c r="BC170" s="692" t="n"/>
      <c r="BD170" s="692" t="n"/>
      <c r="BE170" s="692" t="n"/>
      <c r="BF170" s="692" t="n"/>
      <c r="BG170" s="692" t="n"/>
      <c r="BH170" s="692" t="n"/>
      <c r="BI170" s="692" t="n"/>
      <c r="BJ170" s="692" t="n"/>
      <c r="BK170" s="692" t="n"/>
      <c r="BL170" s="692" t="n"/>
      <c r="BM170" s="692" t="n"/>
      <c r="BN170" s="692" t="n"/>
      <c r="BO170" s="692" t="n"/>
      <c r="BP170" s="692" t="n"/>
      <c r="BQ170" s="692" t="n"/>
    </row>
    <row r="171">
      <c r="A171" s="220" t="inlineStr">
        <is>
          <t>Female</t>
        </is>
      </c>
      <c r="B171" s="211" t="inlineStr">
        <is>
          <t>800 Free Relay</t>
        </is>
      </c>
      <c r="C171" s="190" t="n">
        <v>2023</v>
      </c>
      <c r="D171" s="211" t="inlineStr">
        <is>
          <t>THA</t>
        </is>
      </c>
      <c r="E171" s="221" t="n">
        <v>2</v>
      </c>
      <c r="F171" s="211" t="inlineStr">
        <is>
          <t>8:17.95</t>
        </is>
      </c>
      <c r="G171" s="211" t="n"/>
      <c r="H171" s="211" t="n"/>
      <c r="I171" s="211" t="n"/>
      <c r="J171" s="211" t="n"/>
      <c r="K171" s="211" t="n"/>
      <c r="L171" s="213" t="n"/>
      <c r="M171" s="689" t="n"/>
      <c r="N171" s="689" t="n"/>
      <c r="O171" s="689" t="n"/>
      <c r="P171" s="227" t="n"/>
      <c r="Q171" s="689" t="n"/>
      <c r="R171" s="689" t="n"/>
      <c r="S171" s="689" t="n"/>
      <c r="T171" s="689" t="n"/>
      <c r="U171" s="689" t="n"/>
      <c r="V171" s="689" t="n"/>
      <c r="W171" s="689" t="n"/>
      <c r="X171" s="689" t="n"/>
      <c r="Y171" s="689" t="n"/>
      <c r="Z171" s="689" t="n"/>
      <c r="AA171" s="689" t="n"/>
      <c r="AB171" s="689" t="n"/>
      <c r="AC171" s="689" t="n"/>
      <c r="AD171" s="689" t="n"/>
      <c r="AF171" s="236" t="n"/>
      <c r="AG171" s="236" t="n"/>
      <c r="AH171" s="236" t="n"/>
      <c r="AI171" s="236" t="n"/>
      <c r="AJ171" s="236" t="n"/>
      <c r="AK171" s="236" t="n"/>
      <c r="AL171" s="236" t="n"/>
      <c r="AM171" s="236" t="n"/>
      <c r="AN171" s="236" t="n"/>
      <c r="AO171" s="236" t="n"/>
      <c r="AP171" s="236" t="n"/>
      <c r="AQ171" s="236" t="n"/>
      <c r="AR171" s="236" t="n"/>
      <c r="AS171" s="236" t="n"/>
      <c r="AT171" s="236" t="n"/>
      <c r="AU171" s="236" t="n"/>
      <c r="AV171" s="236" t="n"/>
      <c r="AW171" s="236" t="n"/>
      <c r="AX171" s="692" t="n"/>
      <c r="AY171" s="692" t="n"/>
      <c r="AZ171" s="692" t="n"/>
      <c r="BA171" s="692" t="n"/>
      <c r="BB171" s="692" t="n"/>
      <c r="BC171" s="692" t="n"/>
      <c r="BD171" s="692" t="n"/>
      <c r="BE171" s="692" t="n"/>
      <c r="BF171" s="692" t="n"/>
      <c r="BG171" s="692" t="n"/>
      <c r="BH171" s="692" t="n"/>
      <c r="BI171" s="692" t="n"/>
      <c r="BJ171" s="692" t="n"/>
      <c r="BK171" s="692" t="n"/>
      <c r="BL171" s="692" t="n"/>
      <c r="BM171" s="692" t="n"/>
      <c r="BN171" s="692" t="n"/>
      <c r="BO171" s="692" t="n"/>
      <c r="BP171" s="692" t="n"/>
      <c r="BQ171" s="692" t="n"/>
    </row>
    <row r="172">
      <c r="A172" s="218" t="inlineStr">
        <is>
          <t>Female</t>
        </is>
      </c>
      <c r="B172" s="215" t="inlineStr">
        <is>
          <t>800 Free Relay</t>
        </is>
      </c>
      <c r="C172" s="189" t="n">
        <v>2023</v>
      </c>
      <c r="D172" s="215" t="inlineStr">
        <is>
          <t>PHI</t>
        </is>
      </c>
      <c r="E172" s="219" t="n">
        <v>3</v>
      </c>
      <c r="F172" s="215" t="inlineStr">
        <is>
          <t>8:19.94</t>
        </is>
      </c>
      <c r="G172" s="215" t="n"/>
      <c r="H172" s="215" t="n"/>
      <c r="I172" s="215" t="n"/>
      <c r="J172" s="215" t="n"/>
      <c r="K172" s="215" t="n"/>
      <c r="L172" s="217" t="n"/>
      <c r="M172" s="689" t="n"/>
      <c r="N172" s="689" t="n"/>
      <c r="O172" s="689" t="n"/>
      <c r="P172" s="227" t="n"/>
      <c r="Q172" s="689" t="n"/>
      <c r="R172" s="689" t="n"/>
      <c r="S172" s="689" t="n"/>
      <c r="T172" s="689" t="n"/>
      <c r="U172" s="689" t="n"/>
      <c r="V172" s="689" t="n"/>
      <c r="W172" s="689" t="n"/>
      <c r="X172" s="689" t="n"/>
      <c r="Y172" s="689" t="n"/>
      <c r="Z172" s="689" t="n"/>
      <c r="AA172" s="689" t="n"/>
      <c r="AB172" s="689" t="n"/>
      <c r="AC172" s="689" t="n"/>
      <c r="AD172" s="689" t="n"/>
      <c r="AF172" s="236" t="n"/>
      <c r="AG172" s="236" t="n"/>
      <c r="AH172" s="236" t="n"/>
      <c r="AI172" s="236" t="n"/>
      <c r="AJ172" s="236" t="n"/>
      <c r="AK172" s="236" t="n"/>
      <c r="AL172" s="236" t="n"/>
      <c r="AM172" s="236" t="n"/>
      <c r="AN172" s="236" t="n"/>
      <c r="AO172" s="236" t="n"/>
      <c r="AP172" s="236" t="n"/>
      <c r="AQ172" s="236" t="n"/>
      <c r="AR172" s="236" t="n"/>
      <c r="AS172" s="236" t="n"/>
      <c r="AT172" s="236" t="n"/>
      <c r="AU172" s="236" t="n"/>
      <c r="AV172" s="236" t="n"/>
      <c r="AW172" s="236" t="n"/>
      <c r="AX172" s="692" t="n"/>
      <c r="AY172" s="692" t="n"/>
      <c r="AZ172" s="692" t="n"/>
      <c r="BA172" s="692" t="n"/>
      <c r="BB172" s="692" t="n"/>
      <c r="BC172" s="692" t="n"/>
      <c r="BD172" s="692" t="n"/>
      <c r="BE172" s="692" t="n"/>
      <c r="BF172" s="692" t="n"/>
      <c r="BG172" s="692" t="n"/>
      <c r="BH172" s="692" t="n"/>
      <c r="BI172" s="692" t="n"/>
      <c r="BJ172" s="692" t="n"/>
      <c r="BK172" s="692" t="n"/>
      <c r="BL172" s="692" t="n"/>
      <c r="BM172" s="692" t="n"/>
      <c r="BN172" s="692" t="n"/>
      <c r="BO172" s="692" t="n"/>
      <c r="BP172" s="692" t="n"/>
      <c r="BQ172" s="692" t="n"/>
    </row>
    <row r="173">
      <c r="A173" s="220" t="inlineStr">
        <is>
          <t>Male</t>
        </is>
      </c>
      <c r="B173" s="211" t="inlineStr">
        <is>
          <t>100 Back</t>
        </is>
      </c>
      <c r="C173" s="190" t="n">
        <v>2019</v>
      </c>
      <c r="D173" s="211" t="inlineStr">
        <is>
          <t>SGP</t>
        </is>
      </c>
      <c r="E173" s="221" t="n">
        <v>1</v>
      </c>
      <c r="F173" s="211" t="inlineStr">
        <is>
          <t>53.79</t>
        </is>
      </c>
      <c r="G173" s="196" t="n">
        <v>1996</v>
      </c>
      <c r="H173" s="195">
        <f>C173-G173</f>
        <v/>
      </c>
      <c r="I173" s="198" t="inlineStr">
        <is>
          <t>Zheng Wen Quah</t>
        </is>
      </c>
      <c r="J173" s="198" t="inlineStr">
        <is>
          <t>California Berkeley</t>
        </is>
      </c>
      <c r="K173" s="198" t="inlineStr">
        <is>
          <t>USA</t>
        </is>
      </c>
      <c r="L173" s="213" t="n"/>
      <c r="M173" s="689" t="n"/>
      <c r="N173" s="689" t="n"/>
      <c r="O173" s="689" t="n"/>
      <c r="P173" s="227" t="n"/>
      <c r="Q173" s="689" t="n"/>
      <c r="R173" s="689" t="n"/>
      <c r="S173" s="689" t="n"/>
      <c r="T173" s="689" t="n"/>
      <c r="U173" s="689" t="n"/>
      <c r="V173" s="689" t="n"/>
      <c r="W173" s="689" t="n"/>
      <c r="X173" s="689" t="n"/>
      <c r="Y173" s="689" t="n"/>
      <c r="Z173" s="689" t="n"/>
      <c r="AA173" s="689" t="n"/>
      <c r="AB173" s="689" t="n"/>
      <c r="AC173" s="689" t="n"/>
      <c r="AD173" s="689" t="n"/>
      <c r="AF173" s="236" t="n"/>
      <c r="AG173" s="236" t="n"/>
      <c r="AH173" s="236" t="n"/>
      <c r="AI173" s="236" t="n"/>
      <c r="AJ173" s="236" t="n"/>
      <c r="AK173" s="236" t="n"/>
      <c r="AL173" s="236" t="n"/>
      <c r="AM173" s="236" t="n"/>
      <c r="AN173" s="236" t="n"/>
      <c r="AO173" s="236" t="n"/>
      <c r="AP173" s="236" t="n"/>
      <c r="AQ173" s="236" t="n"/>
      <c r="AR173" s="236" t="n"/>
      <c r="AS173" s="236" t="n"/>
      <c r="AT173" s="236" t="n"/>
      <c r="AU173" s="236" t="n"/>
      <c r="AV173" s="236" t="n"/>
      <c r="AW173" s="236" t="n"/>
      <c r="AX173" s="692" t="n"/>
      <c r="AY173" s="692" t="n"/>
      <c r="AZ173" s="692" t="n"/>
      <c r="BA173" s="692" t="n"/>
      <c r="BB173" s="692" t="n"/>
      <c r="BC173" s="692" t="n"/>
      <c r="BD173" s="692" t="n"/>
      <c r="BE173" s="692" t="n"/>
      <c r="BF173" s="692" t="n"/>
      <c r="BG173" s="692" t="n"/>
      <c r="BH173" s="692" t="n"/>
      <c r="BI173" s="692" t="n"/>
      <c r="BJ173" s="692" t="n"/>
      <c r="BK173" s="692" t="n"/>
      <c r="BL173" s="692" t="n"/>
      <c r="BM173" s="692" t="n"/>
      <c r="BN173" s="692" t="n"/>
      <c r="BO173" s="692" t="n"/>
      <c r="BP173" s="692" t="n"/>
      <c r="BQ173" s="692" t="n"/>
    </row>
    <row r="174">
      <c r="A174" s="218" t="inlineStr">
        <is>
          <t>Male</t>
        </is>
      </c>
      <c r="B174" s="215" t="inlineStr">
        <is>
          <t>100 Back</t>
        </is>
      </c>
      <c r="C174" s="189" t="n">
        <v>2019</v>
      </c>
      <c r="D174" s="215" t="inlineStr">
        <is>
          <t>VIE</t>
        </is>
      </c>
      <c r="E174" s="219" t="n">
        <v>2</v>
      </c>
      <c r="F174" s="215" t="inlineStr">
        <is>
          <t>54.98</t>
        </is>
      </c>
      <c r="G174" s="211" t="n">
        <v>1992</v>
      </c>
      <c r="H174" s="195">
        <f>C174-G174</f>
        <v/>
      </c>
      <c r="I174" s="211" t="inlineStr">
        <is>
          <t>Paul LE Nguyen</t>
        </is>
      </c>
      <c r="J174" s="215" t="inlineStr">
        <is>
          <t>Missouri State</t>
        </is>
      </c>
      <c r="K174" s="215" t="inlineStr">
        <is>
          <t>USA</t>
        </is>
      </c>
      <c r="L174" s="217" t="inlineStr">
        <is>
          <t>USA</t>
        </is>
      </c>
      <c r="M174" s="689" t="n"/>
      <c r="N174" s="689" t="n"/>
      <c r="O174" s="689" t="n"/>
      <c r="P174" s="227" t="n"/>
      <c r="Q174" s="689" t="n"/>
      <c r="R174" s="689" t="n"/>
      <c r="S174" s="689" t="n"/>
      <c r="T174" s="689" t="n"/>
      <c r="U174" s="689" t="n"/>
      <c r="V174" s="689" t="n"/>
      <c r="W174" s="689" t="n"/>
      <c r="X174" s="689" t="n"/>
      <c r="Y174" s="689" t="n"/>
      <c r="Z174" s="689" t="n"/>
      <c r="AA174" s="689" t="n"/>
      <c r="AB174" s="689" t="n"/>
      <c r="AC174" s="689" t="n"/>
      <c r="AD174" s="689" t="n"/>
      <c r="AF174" s="236" t="n"/>
      <c r="AG174" s="236" t="n"/>
      <c r="AH174" s="236" t="n"/>
      <c r="AI174" s="236" t="n"/>
      <c r="AJ174" s="236" t="n"/>
      <c r="AK174" s="236" t="n"/>
      <c r="AL174" s="236" t="n"/>
      <c r="AM174" s="236" t="n"/>
      <c r="AN174" s="236" t="n"/>
      <c r="AO174" s="236" t="n"/>
      <c r="AP174" s="236" t="n"/>
      <c r="AQ174" s="236" t="n"/>
      <c r="AR174" s="236" t="n"/>
      <c r="AS174" s="236" t="n"/>
      <c r="AT174" s="236" t="n"/>
      <c r="AU174" s="236" t="n"/>
      <c r="AV174" s="236" t="n"/>
      <c r="AW174" s="236" t="n"/>
      <c r="AX174" s="692" t="n"/>
      <c r="AY174" s="692" t="n"/>
      <c r="AZ174" s="692" t="n"/>
      <c r="BA174" s="692" t="n"/>
      <c r="BB174" s="692" t="n"/>
      <c r="BC174" s="692" t="n"/>
      <c r="BD174" s="692" t="n"/>
      <c r="BE174" s="692" t="n"/>
      <c r="BF174" s="692" t="n"/>
      <c r="BG174" s="692" t="n"/>
      <c r="BH174" s="692" t="n"/>
      <c r="BI174" s="692" t="n"/>
      <c r="BJ174" s="692" t="n"/>
      <c r="BK174" s="692" t="n"/>
      <c r="BL174" s="692" t="n"/>
      <c r="BM174" s="692" t="n"/>
      <c r="BN174" s="692" t="n"/>
      <c r="BO174" s="692" t="n"/>
      <c r="BP174" s="692" t="n"/>
      <c r="BQ174" s="692" t="n"/>
    </row>
    <row r="175">
      <c r="A175" s="220" t="inlineStr">
        <is>
          <t>Male</t>
        </is>
      </c>
      <c r="B175" s="211" t="inlineStr">
        <is>
          <t>100 Back</t>
        </is>
      </c>
      <c r="C175" s="190" t="n">
        <v>2019</v>
      </c>
      <c r="D175" s="211" t="inlineStr">
        <is>
          <t>IND</t>
        </is>
      </c>
      <c r="E175" s="221" t="n">
        <v>3</v>
      </c>
      <c r="F175" s="211" t="inlineStr">
        <is>
          <t>55.68</t>
        </is>
      </c>
      <c r="G175" s="211" t="n">
        <v>1994</v>
      </c>
      <c r="H175" s="211">
        <f>C175-G175</f>
        <v/>
      </c>
      <c r="I175" s="211" t="inlineStr">
        <is>
          <t>I Gede Siman Sudartawa</t>
        </is>
      </c>
      <c r="J175" s="211" t="n"/>
      <c r="K175" s="211" t="n"/>
      <c r="L175" s="213" t="n"/>
      <c r="M175" s="689" t="n"/>
      <c r="N175" s="689" t="n"/>
      <c r="O175" s="689" t="n"/>
      <c r="P175" s="227" t="n"/>
      <c r="Q175" s="689" t="n"/>
      <c r="R175" s="689" t="n"/>
      <c r="S175" s="689" t="n"/>
      <c r="T175" s="689" t="n"/>
      <c r="U175" s="689" t="n"/>
      <c r="V175" s="689" t="n"/>
      <c r="W175" s="689" t="n"/>
      <c r="X175" s="689" t="n"/>
      <c r="Y175" s="689" t="n"/>
      <c r="Z175" s="689" t="n"/>
      <c r="AA175" s="689" t="n"/>
      <c r="AB175" s="689" t="n"/>
      <c r="AC175" s="689" t="n"/>
      <c r="AD175" s="689" t="n"/>
      <c r="AF175" s="236" t="n"/>
      <c r="AG175" s="236" t="n"/>
      <c r="AH175" s="236" t="n"/>
      <c r="AI175" s="236" t="n"/>
      <c r="AJ175" s="236" t="n"/>
      <c r="AK175" s="236" t="n"/>
      <c r="AL175" s="236" t="n"/>
      <c r="AM175" s="236" t="n"/>
      <c r="AN175" s="236" t="n"/>
      <c r="AO175" s="236" t="n"/>
      <c r="AP175" s="236" t="n"/>
      <c r="AQ175" s="236" t="n"/>
      <c r="AR175" s="236" t="n"/>
      <c r="AS175" s="236" t="n"/>
      <c r="AT175" s="236" t="n"/>
      <c r="AU175" s="236" t="n"/>
      <c r="AV175" s="236" t="n"/>
      <c r="AW175" s="236" t="n"/>
      <c r="AX175" s="692" t="n"/>
      <c r="AY175" s="692" t="n"/>
      <c r="AZ175" s="692" t="n"/>
      <c r="BA175" s="692" t="n"/>
      <c r="BB175" s="692" t="n"/>
      <c r="BC175" s="692" t="n"/>
      <c r="BD175" s="692" t="n"/>
      <c r="BE175" s="692" t="n"/>
      <c r="BF175" s="692" t="n"/>
      <c r="BG175" s="692" t="n"/>
      <c r="BH175" s="692" t="n"/>
      <c r="BI175" s="692" t="n"/>
      <c r="BJ175" s="692" t="n"/>
      <c r="BK175" s="692" t="n"/>
      <c r="BL175" s="692" t="n"/>
      <c r="BM175" s="692" t="n"/>
      <c r="BN175" s="692" t="n"/>
      <c r="BO175" s="692" t="n"/>
      <c r="BP175" s="692" t="n"/>
      <c r="BQ175" s="692" t="n"/>
    </row>
    <row r="176">
      <c r="A176" s="218" t="inlineStr">
        <is>
          <t>Male</t>
        </is>
      </c>
      <c r="B176" s="215" t="inlineStr">
        <is>
          <t>100 Back</t>
        </is>
      </c>
      <c r="C176" s="189" t="n">
        <v>2022</v>
      </c>
      <c r="D176" s="215" t="inlineStr">
        <is>
          <t>SGP</t>
        </is>
      </c>
      <c r="E176" s="219" t="n">
        <v>1</v>
      </c>
      <c r="F176" s="215" t="inlineStr">
        <is>
          <t>54.83</t>
        </is>
      </c>
      <c r="G176" s="195" t="n">
        <v>1996</v>
      </c>
      <c r="H176" s="195">
        <f>C176-G176</f>
        <v/>
      </c>
      <c r="I176" s="200" t="inlineStr">
        <is>
          <t>Zheng Wen Quah</t>
        </is>
      </c>
      <c r="J176" s="200" t="inlineStr">
        <is>
          <t>California Berkeley</t>
        </is>
      </c>
      <c r="K176" s="200" t="inlineStr">
        <is>
          <t>USA</t>
        </is>
      </c>
      <c r="L176" s="217" t="n"/>
      <c r="M176" s="689" t="n"/>
      <c r="N176" s="689" t="n"/>
      <c r="O176" s="689" t="n"/>
      <c r="P176" s="227" t="n"/>
      <c r="Q176" s="689" t="n"/>
      <c r="R176" s="689" t="n"/>
      <c r="S176" s="689" t="n"/>
      <c r="T176" s="689" t="n"/>
      <c r="U176" s="689" t="n"/>
      <c r="V176" s="689" t="n"/>
      <c r="W176" s="689" t="n"/>
      <c r="X176" s="689" t="n"/>
      <c r="Y176" s="689" t="n"/>
      <c r="Z176" s="689" t="n"/>
      <c r="AA176" s="689" t="n"/>
      <c r="AB176" s="689" t="n"/>
      <c r="AC176" s="689" t="n"/>
      <c r="AD176" s="689" t="n"/>
      <c r="AF176" s="236" t="n"/>
      <c r="AG176" s="236" t="n"/>
      <c r="AH176" s="236" t="n"/>
      <c r="AI176" s="236" t="n"/>
      <c r="AJ176" s="236" t="n"/>
      <c r="AK176" s="236" t="n"/>
      <c r="AL176" s="236" t="n"/>
      <c r="AM176" s="236" t="n"/>
      <c r="AN176" s="236" t="n"/>
      <c r="AO176" s="236" t="n"/>
      <c r="AP176" s="236" t="n"/>
      <c r="AQ176" s="236" t="n"/>
      <c r="AR176" s="236" t="n"/>
      <c r="AS176" s="236" t="n"/>
      <c r="AT176" s="236" t="n"/>
      <c r="AU176" s="236" t="n"/>
      <c r="AV176" s="236" t="n"/>
      <c r="AW176" s="236" t="n"/>
      <c r="AX176" s="692" t="n"/>
      <c r="AY176" s="692" t="n"/>
      <c r="AZ176" s="692" t="n"/>
      <c r="BA176" s="692" t="n"/>
      <c r="BB176" s="692" t="n"/>
      <c r="BC176" s="692" t="n"/>
      <c r="BD176" s="692" t="n"/>
      <c r="BE176" s="692" t="n"/>
      <c r="BF176" s="692" t="n"/>
      <c r="BG176" s="692" t="n"/>
      <c r="BH176" s="692" t="n"/>
      <c r="BI176" s="692" t="n"/>
      <c r="BJ176" s="692" t="n"/>
      <c r="BK176" s="692" t="n"/>
      <c r="BL176" s="692" t="n"/>
      <c r="BM176" s="692" t="n"/>
      <c r="BN176" s="692" t="n"/>
      <c r="BO176" s="692" t="n"/>
      <c r="BP176" s="692" t="n"/>
      <c r="BQ176" s="692" t="n"/>
    </row>
    <row r="177">
      <c r="A177" s="220" t="inlineStr">
        <is>
          <t>Male</t>
        </is>
      </c>
      <c r="B177" s="211" t="inlineStr">
        <is>
          <t>100 Back</t>
        </is>
      </c>
      <c r="C177" s="190" t="n">
        <v>2022</v>
      </c>
      <c r="D177" s="211" t="inlineStr">
        <is>
          <t>VIE</t>
        </is>
      </c>
      <c r="E177" s="221" t="n">
        <v>2</v>
      </c>
      <c r="F177" s="211" t="inlineStr">
        <is>
          <t>56.08</t>
        </is>
      </c>
      <c r="G177" s="215" t="n">
        <v>1992</v>
      </c>
      <c r="H177" s="195">
        <f>C177-G177</f>
        <v/>
      </c>
      <c r="I177" s="215" t="inlineStr">
        <is>
          <t>Paul LE Nguyen</t>
        </is>
      </c>
      <c r="J177" s="211" t="inlineStr">
        <is>
          <t>Missouri State</t>
        </is>
      </c>
      <c r="K177" s="211" t="inlineStr">
        <is>
          <t>USA</t>
        </is>
      </c>
      <c r="L177" s="213" t="inlineStr">
        <is>
          <t>USA</t>
        </is>
      </c>
      <c r="M177" s="689" t="n"/>
      <c r="N177" s="689" t="n"/>
      <c r="O177" s="689" t="n"/>
      <c r="P177" s="227" t="n"/>
      <c r="Q177" s="689" t="n"/>
      <c r="R177" s="689" t="n"/>
      <c r="S177" s="689" t="n"/>
      <c r="T177" s="689" t="n"/>
      <c r="U177" s="689" t="n"/>
      <c r="V177" s="689" t="n"/>
      <c r="W177" s="689" t="n"/>
      <c r="X177" s="689" t="n"/>
      <c r="Y177" s="689" t="n"/>
      <c r="Z177" s="689" t="n"/>
      <c r="AA177" s="689" t="n"/>
      <c r="AB177" s="689" t="n"/>
      <c r="AC177" s="689" t="n"/>
      <c r="AD177" s="689" t="n"/>
      <c r="AF177" s="236" t="n"/>
      <c r="AG177" s="236" t="n"/>
      <c r="AH177" s="236" t="n"/>
      <c r="AI177" s="236" t="n"/>
      <c r="AJ177" s="236" t="n"/>
      <c r="AK177" s="236" t="n"/>
      <c r="AL177" s="236" t="n"/>
      <c r="AM177" s="236" t="n"/>
      <c r="AN177" s="236" t="n"/>
      <c r="AO177" s="236" t="n"/>
      <c r="AP177" s="236" t="n"/>
      <c r="AQ177" s="236" t="n"/>
      <c r="AR177" s="236" t="n"/>
      <c r="AS177" s="236" t="n"/>
      <c r="AT177" s="236" t="n"/>
      <c r="AU177" s="236" t="n"/>
      <c r="AV177" s="236" t="n"/>
      <c r="AW177" s="236" t="n"/>
      <c r="AX177" s="692" t="n"/>
      <c r="AY177" s="692" t="n"/>
      <c r="AZ177" s="692" t="n"/>
      <c r="BA177" s="692" t="n"/>
      <c r="BB177" s="692" t="n"/>
      <c r="BC177" s="692" t="n"/>
      <c r="BD177" s="692" t="n"/>
      <c r="BE177" s="692" t="n"/>
      <c r="BF177" s="692" t="n"/>
      <c r="BG177" s="692" t="n"/>
      <c r="BH177" s="692" t="n"/>
      <c r="BI177" s="692" t="n"/>
      <c r="BJ177" s="692" t="n"/>
      <c r="BK177" s="692" t="n"/>
      <c r="BL177" s="692" t="n"/>
      <c r="BM177" s="692" t="n"/>
      <c r="BN177" s="692" t="n"/>
      <c r="BO177" s="692" t="n"/>
      <c r="BP177" s="692" t="n"/>
      <c r="BQ177" s="692" t="n"/>
    </row>
    <row r="178">
      <c r="A178" s="218" t="inlineStr">
        <is>
          <t>Male</t>
        </is>
      </c>
      <c r="B178" s="215" t="inlineStr">
        <is>
          <t>100 Back</t>
        </is>
      </c>
      <c r="C178" s="189" t="n">
        <v>2022</v>
      </c>
      <c r="D178" s="215" t="inlineStr">
        <is>
          <t>IND</t>
        </is>
      </c>
      <c r="E178" s="219" t="n">
        <v>3</v>
      </c>
      <c r="F178" s="215" t="inlineStr">
        <is>
          <t>56.21</t>
        </is>
      </c>
      <c r="G178" s="197" t="n">
        <v>2001</v>
      </c>
      <c r="H178" s="202">
        <f>C178-G178</f>
        <v/>
      </c>
      <c r="I178" s="201" t="inlineStr">
        <is>
          <t>Farrel Armandio Tangkas</t>
        </is>
      </c>
      <c r="J178" s="215" t="n"/>
      <c r="K178" s="215" t="n"/>
      <c r="L178" s="217" t="n"/>
      <c r="M178" s="689" t="n"/>
      <c r="N178" s="689" t="n"/>
      <c r="O178" s="689" t="n"/>
      <c r="P178" s="227" t="n"/>
      <c r="Q178" s="689" t="n"/>
      <c r="R178" s="689" t="n"/>
      <c r="S178" s="689" t="n"/>
      <c r="T178" s="689" t="n"/>
      <c r="U178" s="689" t="n"/>
      <c r="V178" s="689" t="n"/>
      <c r="W178" s="689" t="n"/>
      <c r="X178" s="689" t="n"/>
      <c r="Y178" s="689" t="n"/>
      <c r="Z178" s="689" t="n"/>
      <c r="AA178" s="689" t="n"/>
      <c r="AB178" s="689" t="n"/>
      <c r="AC178" s="689" t="n"/>
      <c r="AD178" s="689" t="n"/>
      <c r="AF178" s="233" t="n"/>
      <c r="AG178" s="233" t="n"/>
      <c r="AH178" s="233" t="n"/>
      <c r="AI178" s="233" t="n"/>
      <c r="AJ178" s="233" t="n"/>
      <c r="AK178" s="233" t="n"/>
      <c r="AL178" s="233" t="n"/>
      <c r="AM178" s="233" t="n"/>
      <c r="AN178" s="233" t="n"/>
      <c r="AO178" s="233" t="n"/>
      <c r="AP178" s="233" t="n"/>
      <c r="AQ178" s="233" t="n"/>
      <c r="AR178" s="233" t="n"/>
      <c r="AS178" s="233" t="n"/>
      <c r="AT178" s="233" t="n"/>
      <c r="AU178" s="233" t="n"/>
      <c r="AV178" s="236" t="n"/>
      <c r="AW178" s="236" t="n"/>
      <c r="AX178" s="692" t="n"/>
      <c r="AY178" s="692" t="n"/>
      <c r="AZ178" s="692" t="n"/>
      <c r="BA178" s="692" t="n"/>
      <c r="BB178" s="692" t="n"/>
      <c r="BC178" s="692" t="n"/>
      <c r="BD178" s="692" t="n"/>
      <c r="BE178" s="692" t="n"/>
      <c r="BF178" s="692" t="n"/>
      <c r="BG178" s="692" t="n"/>
      <c r="BH178" s="692" t="n"/>
      <c r="BI178" s="692" t="n"/>
      <c r="BJ178" s="692" t="n"/>
      <c r="BK178" s="692" t="n"/>
      <c r="BL178" s="692" t="n"/>
      <c r="BM178" s="692" t="n"/>
      <c r="BN178" s="692" t="n"/>
      <c r="BO178" s="692" t="n"/>
      <c r="BP178" s="692" t="n"/>
      <c r="BQ178" s="692" t="n"/>
    </row>
    <row r="179">
      <c r="A179" s="220" t="inlineStr">
        <is>
          <t>Male</t>
        </is>
      </c>
      <c r="B179" s="211" t="inlineStr">
        <is>
          <t>100 Back</t>
        </is>
      </c>
      <c r="C179" s="190" t="n">
        <v>2023</v>
      </c>
      <c r="D179" s="211" t="inlineStr">
        <is>
          <t>SGP</t>
        </is>
      </c>
      <c r="E179" s="221" t="n">
        <v>1</v>
      </c>
      <c r="F179" s="211" t="inlineStr">
        <is>
          <t>55.22</t>
        </is>
      </c>
      <c r="G179" s="211" t="n">
        <v>1996</v>
      </c>
      <c r="H179" s="215">
        <f>C179-G179</f>
        <v/>
      </c>
      <c r="I179" s="211" t="inlineStr">
        <is>
          <t>Zheng Wen Quah</t>
        </is>
      </c>
      <c r="J179" s="211" t="inlineStr">
        <is>
          <t>California Berkeley</t>
        </is>
      </c>
      <c r="K179" s="211" t="inlineStr">
        <is>
          <t>USA</t>
        </is>
      </c>
      <c r="L179" s="213" t="n"/>
      <c r="M179" s="689" t="n"/>
      <c r="N179" s="689" t="n"/>
      <c r="O179" s="689" t="n"/>
      <c r="P179" s="227" t="n"/>
      <c r="Q179" s="689" t="n"/>
      <c r="R179" s="689" t="n"/>
      <c r="S179" s="689" t="n"/>
      <c r="T179" s="689" t="n"/>
      <c r="U179" s="689" t="n"/>
      <c r="V179" s="689" t="n"/>
      <c r="W179" s="689" t="n"/>
      <c r="X179" s="689" t="n"/>
      <c r="Y179" s="689" t="n"/>
      <c r="Z179" s="689" t="n"/>
      <c r="AA179" s="689" t="n"/>
      <c r="AB179" s="689" t="n"/>
      <c r="AC179" s="689" t="n"/>
      <c r="AD179" s="689" t="n"/>
      <c r="AF179" s="233" t="n"/>
      <c r="AG179" s="233" t="n"/>
      <c r="AH179" s="233" t="n"/>
      <c r="AI179" s="233" t="n"/>
      <c r="AJ179" s="233" t="n"/>
      <c r="AK179" s="233" t="n"/>
      <c r="AL179" s="233" t="n"/>
      <c r="AM179" s="233" t="n"/>
      <c r="AN179" s="233" t="n"/>
      <c r="AO179" s="233" t="n"/>
      <c r="AP179" s="233" t="n"/>
      <c r="AQ179" s="233" t="n"/>
      <c r="AR179" s="233" t="n"/>
      <c r="AS179" s="233" t="n"/>
      <c r="AT179" s="233" t="n"/>
      <c r="AU179" s="233" t="n"/>
      <c r="AV179" s="236" t="n"/>
      <c r="AW179" s="236" t="n"/>
      <c r="AX179" s="692" t="n"/>
      <c r="AY179" s="692" t="n"/>
      <c r="AZ179" s="692" t="n"/>
      <c r="BA179" s="692" t="n"/>
      <c r="BB179" s="692" t="n"/>
      <c r="BC179" s="692" t="n"/>
      <c r="BD179" s="692" t="n"/>
      <c r="BE179" s="692" t="n"/>
      <c r="BF179" s="692" t="n"/>
      <c r="BG179" s="692" t="n"/>
      <c r="BH179" s="692" t="n"/>
      <c r="BI179" s="692" t="n"/>
      <c r="BJ179" s="692" t="n"/>
      <c r="BK179" s="692" t="n"/>
      <c r="BL179" s="692" t="n"/>
      <c r="BM179" s="692" t="n"/>
      <c r="BN179" s="692" t="n"/>
      <c r="BO179" s="692" t="n"/>
      <c r="BP179" s="692" t="n"/>
      <c r="BQ179" s="692" t="n"/>
    </row>
    <row r="180">
      <c r="A180" s="218" t="inlineStr">
        <is>
          <t>Male</t>
        </is>
      </c>
      <c r="B180" s="215" t="inlineStr">
        <is>
          <t>100 Back</t>
        </is>
      </c>
      <c r="C180" s="189" t="n">
        <v>2023</v>
      </c>
      <c r="D180" s="215" t="inlineStr">
        <is>
          <t>IND</t>
        </is>
      </c>
      <c r="E180" s="219" t="n">
        <v>2</v>
      </c>
      <c r="F180" s="215" t="inlineStr">
        <is>
          <t>55.80</t>
        </is>
      </c>
      <c r="G180" s="211" t="n">
        <v>2001</v>
      </c>
      <c r="H180" s="211">
        <f>C180-G180</f>
        <v/>
      </c>
      <c r="I180" s="211" t="inlineStr">
        <is>
          <t>Farrel Armandio Tangkas</t>
        </is>
      </c>
      <c r="J180" s="211" t="n"/>
      <c r="K180" s="211" t="n"/>
      <c r="L180" s="217" t="n"/>
      <c r="M180" s="689" t="n"/>
      <c r="N180" s="689" t="n"/>
      <c r="O180" s="689" t="n"/>
      <c r="P180" s="227" t="n"/>
      <c r="Q180" s="689" t="n"/>
      <c r="R180" s="689" t="n"/>
      <c r="S180" s="689" t="n"/>
      <c r="T180" s="689" t="n"/>
      <c r="U180" s="689" t="n"/>
      <c r="V180" s="689" t="n"/>
      <c r="W180" s="689" t="n"/>
      <c r="X180" s="689" t="n"/>
      <c r="Y180" s="689" t="n"/>
      <c r="Z180" s="689" t="n"/>
      <c r="AA180" s="689" t="n"/>
      <c r="AB180" s="689" t="n"/>
      <c r="AC180" s="689" t="n"/>
      <c r="AD180" s="689" t="n"/>
      <c r="AF180" s="233" t="n"/>
      <c r="AG180" s="233" t="n"/>
      <c r="AH180" s="233" t="n"/>
      <c r="AI180" s="233" t="n"/>
      <c r="AJ180" s="233" t="n"/>
      <c r="AK180" s="233" t="n"/>
      <c r="AL180" s="233" t="n"/>
      <c r="AM180" s="233" t="n"/>
      <c r="AN180" s="233" t="n"/>
      <c r="AO180" s="233" t="n"/>
      <c r="AP180" s="233" t="n"/>
      <c r="AQ180" s="233" t="n"/>
      <c r="AR180" s="233" t="n"/>
      <c r="AS180" s="233" t="n"/>
      <c r="AT180" s="233" t="n"/>
      <c r="AU180" s="233" t="n"/>
      <c r="AV180" s="236" t="n"/>
      <c r="AW180" s="236" t="n"/>
      <c r="AX180" s="692" t="n"/>
      <c r="AY180" s="692" t="n"/>
      <c r="AZ180" s="692" t="n"/>
      <c r="BA180" s="692" t="n"/>
      <c r="BB180" s="692" t="n"/>
      <c r="BC180" s="692" t="n"/>
      <c r="BD180" s="692" t="n"/>
      <c r="BE180" s="692" t="n"/>
      <c r="BF180" s="692" t="n"/>
      <c r="BG180" s="692" t="n"/>
      <c r="BH180" s="692" t="n"/>
      <c r="BI180" s="692" t="n"/>
      <c r="BJ180" s="692" t="n"/>
      <c r="BK180" s="692" t="n"/>
      <c r="BL180" s="692" t="n"/>
      <c r="BM180" s="692" t="n"/>
      <c r="BN180" s="692" t="n"/>
      <c r="BO180" s="692" t="n"/>
      <c r="BP180" s="692" t="n"/>
      <c r="BQ180" s="692" t="n"/>
    </row>
    <row r="181">
      <c r="A181" s="220" t="inlineStr">
        <is>
          <t>Male</t>
        </is>
      </c>
      <c r="B181" s="211" t="inlineStr">
        <is>
          <t>100 Back</t>
        </is>
      </c>
      <c r="C181" s="190" t="n">
        <v>2023</v>
      </c>
      <c r="D181" s="211" t="inlineStr">
        <is>
          <t>PHI</t>
        </is>
      </c>
      <c r="E181" s="221" t="n">
        <v>3</v>
      </c>
      <c r="F181" s="211" t="inlineStr">
        <is>
          <t>55.99</t>
        </is>
      </c>
      <c r="G181" s="211" t="n">
        <v>2001</v>
      </c>
      <c r="H181" s="211">
        <f>C181-G181</f>
        <v/>
      </c>
      <c r="I181" s="211" t="inlineStr">
        <is>
          <t>Jerard Dominic Jacinto</t>
        </is>
      </c>
      <c r="J181" s="211" t="n"/>
      <c r="K181" s="211" t="n"/>
      <c r="L181" s="213" t="n"/>
      <c r="M181" s="689" t="n"/>
      <c r="N181" s="689" t="n"/>
      <c r="O181" s="689" t="n"/>
      <c r="P181" s="227" t="n"/>
      <c r="Q181" s="689" t="n"/>
      <c r="R181" s="689" t="n"/>
      <c r="S181" s="689" t="n"/>
      <c r="T181" s="689" t="n"/>
      <c r="U181" s="689" t="n"/>
      <c r="V181" s="689" t="n"/>
      <c r="W181" s="689" t="n"/>
      <c r="X181" s="689" t="n"/>
      <c r="Y181" s="689" t="n"/>
      <c r="Z181" s="689" t="n"/>
      <c r="AA181" s="689" t="n"/>
      <c r="AB181" s="689" t="n"/>
      <c r="AC181" s="689" t="n"/>
      <c r="AD181" s="689" t="n"/>
      <c r="AF181" s="233" t="n"/>
      <c r="AG181" s="233" t="n"/>
      <c r="AH181" s="233" t="n"/>
      <c r="AI181" s="233" t="n"/>
      <c r="AJ181" s="233" t="n"/>
      <c r="AK181" s="233" t="n"/>
      <c r="AL181" s="233" t="n"/>
      <c r="AM181" s="233" t="n"/>
      <c r="AN181" s="233" t="n"/>
      <c r="AO181" s="233" t="n"/>
      <c r="AP181" s="233" t="n"/>
      <c r="AQ181" s="233" t="n"/>
      <c r="AR181" s="233" t="n"/>
      <c r="AS181" s="233" t="n"/>
      <c r="AT181" s="233" t="n"/>
      <c r="AU181" s="233" t="n"/>
      <c r="AV181" s="234" t="n"/>
      <c r="AW181" s="234" t="n"/>
      <c r="AX181" s="692" t="n"/>
      <c r="AY181" s="692" t="n"/>
      <c r="AZ181" s="692" t="n"/>
      <c r="BA181" s="692" t="n"/>
      <c r="BB181" s="692" t="n"/>
      <c r="BC181" s="692" t="n"/>
      <c r="BD181" s="692" t="n"/>
      <c r="BE181" s="692" t="n"/>
      <c r="BF181" s="692" t="n"/>
      <c r="BG181" s="692" t="n"/>
      <c r="BH181" s="692" t="n"/>
      <c r="BI181" s="692" t="n"/>
      <c r="BJ181" s="692" t="n"/>
      <c r="BK181" s="692" t="n"/>
      <c r="BL181" s="692" t="n"/>
      <c r="BM181" s="692" t="n"/>
      <c r="BN181" s="692" t="n"/>
      <c r="BO181" s="692" t="n"/>
      <c r="BP181" s="692" t="n"/>
      <c r="BQ181" s="692" t="n"/>
    </row>
    <row r="182">
      <c r="A182" s="218" t="inlineStr">
        <is>
          <t>Male</t>
        </is>
      </c>
      <c r="B182" s="215" t="inlineStr">
        <is>
          <t>100 Breast</t>
        </is>
      </c>
      <c r="C182" s="189" t="n">
        <v>2019</v>
      </c>
      <c r="D182" s="215" t="inlineStr">
        <is>
          <t>PHI</t>
        </is>
      </c>
      <c r="E182" s="219" t="n">
        <v>1</v>
      </c>
      <c r="F182" s="215" t="inlineStr">
        <is>
          <t>1:01.46</t>
        </is>
      </c>
      <c r="G182" s="211" t="n">
        <v>1993</v>
      </c>
      <c r="H182" s="211">
        <f>C182-G182</f>
        <v/>
      </c>
      <c r="I182" s="211" t="inlineStr">
        <is>
          <t>James Deiparine</t>
        </is>
      </c>
      <c r="J182" s="211" t="inlineStr">
        <is>
          <t>Cal Poy</t>
        </is>
      </c>
      <c r="K182" s="211" t="inlineStr">
        <is>
          <t>USA</t>
        </is>
      </c>
      <c r="L182" s="217" t="inlineStr">
        <is>
          <t>USA</t>
        </is>
      </c>
      <c r="M182" s="689" t="n"/>
      <c r="N182" s="689" t="n"/>
      <c r="O182" s="689" t="n"/>
      <c r="P182" s="227" t="n"/>
      <c r="Q182" s="689" t="n"/>
      <c r="R182" s="689" t="n"/>
      <c r="S182" s="689" t="n"/>
      <c r="T182" s="689" t="n"/>
      <c r="U182" s="689" t="n"/>
      <c r="V182" s="689" t="n"/>
      <c r="W182" s="689" t="n"/>
      <c r="X182" s="689" t="n"/>
      <c r="Y182" s="689" t="n"/>
      <c r="Z182" s="689" t="n"/>
      <c r="AA182" s="689" t="n"/>
      <c r="AB182" s="689" t="n"/>
      <c r="AC182" s="689" t="n"/>
      <c r="AD182" s="689" t="n"/>
      <c r="AF182" s="233" t="n"/>
      <c r="AG182" s="233" t="n"/>
      <c r="AH182" s="233" t="n"/>
      <c r="AI182" s="233" t="n"/>
      <c r="AJ182" s="233" t="n"/>
      <c r="AK182" s="233" t="n"/>
      <c r="AL182" s="233" t="n"/>
      <c r="AM182" s="233" t="n"/>
      <c r="AN182" s="233" t="n"/>
      <c r="AO182" s="233" t="n"/>
      <c r="AP182" s="233" t="n"/>
      <c r="AQ182" s="233" t="n"/>
      <c r="AR182" s="233" t="n"/>
      <c r="AS182" s="233" t="n"/>
      <c r="AT182" s="233" t="n"/>
      <c r="AU182" s="233" t="n"/>
      <c r="AV182" s="234" t="n"/>
      <c r="AW182" s="234" t="n"/>
      <c r="AX182" s="692" t="n"/>
      <c r="AY182" s="692" t="n"/>
      <c r="AZ182" s="692" t="n"/>
      <c r="BA182" s="692" t="n"/>
      <c r="BB182" s="692" t="n"/>
      <c r="BC182" s="692" t="n"/>
      <c r="BD182" s="692" t="n"/>
      <c r="BE182" s="692" t="n"/>
      <c r="BF182" s="692" t="n"/>
      <c r="BG182" s="692" t="n"/>
      <c r="BH182" s="692" t="n"/>
      <c r="BI182" s="692" t="n"/>
      <c r="BJ182" s="692" t="n"/>
      <c r="BK182" s="692" t="n"/>
      <c r="BL182" s="692" t="n"/>
      <c r="BM182" s="692" t="n"/>
      <c r="BN182" s="692" t="n"/>
      <c r="BO182" s="692" t="n"/>
      <c r="BP182" s="692" t="n"/>
      <c r="BQ182" s="692" t="n"/>
    </row>
    <row r="183">
      <c r="A183" s="220" t="inlineStr">
        <is>
          <t>Male</t>
        </is>
      </c>
      <c r="B183" s="211" t="inlineStr">
        <is>
          <t>100 Breast</t>
        </is>
      </c>
      <c r="C183" s="190" t="n">
        <v>2019</v>
      </c>
      <c r="D183" s="211" t="inlineStr">
        <is>
          <t>VIE</t>
        </is>
      </c>
      <c r="E183" s="221" t="n">
        <v>2</v>
      </c>
      <c r="F183" s="211" t="inlineStr">
        <is>
          <t>1:01.92</t>
        </is>
      </c>
      <c r="G183" s="202" t="n">
        <v>2001</v>
      </c>
      <c r="H183" s="202">
        <f>C183-G183</f>
        <v/>
      </c>
      <c r="I183" s="206" t="inlineStr">
        <is>
          <t>Thanh Bao Pham</t>
        </is>
      </c>
      <c r="J183" s="215" t="n"/>
      <c r="K183" s="215" t="n"/>
      <c r="L183" s="213" t="n"/>
      <c r="M183" s="689" t="n"/>
      <c r="N183" s="689" t="n"/>
      <c r="O183" s="689" t="n"/>
      <c r="P183" s="227" t="n"/>
      <c r="Q183" s="689" t="n"/>
      <c r="R183" s="689" t="n"/>
      <c r="S183" s="689" t="n"/>
      <c r="T183" s="689" t="n"/>
      <c r="U183" s="689" t="n"/>
      <c r="V183" s="689" t="n"/>
      <c r="W183" s="689" t="n"/>
      <c r="X183" s="689" t="n"/>
      <c r="Y183" s="689" t="n"/>
      <c r="Z183" s="689" t="n"/>
      <c r="AA183" s="689" t="n"/>
      <c r="AB183" s="689" t="n"/>
      <c r="AC183" s="689" t="n"/>
      <c r="AD183" s="689" t="n"/>
      <c r="AF183" s="233" t="n"/>
      <c r="AG183" s="233" t="n"/>
      <c r="AH183" s="233" t="n"/>
      <c r="AI183" s="233" t="n"/>
      <c r="AJ183" s="233" t="n"/>
      <c r="AK183" s="233" t="n"/>
      <c r="AL183" s="233" t="n"/>
      <c r="AM183" s="233" t="n"/>
      <c r="AN183" s="233" t="n"/>
      <c r="AO183" s="233" t="n"/>
      <c r="AP183" s="233" t="n"/>
      <c r="AQ183" s="233" t="n"/>
      <c r="AR183" s="233" t="n"/>
      <c r="AS183" s="233" t="n"/>
      <c r="AT183" s="233" t="n"/>
      <c r="AU183" s="233" t="n"/>
      <c r="AV183" s="236" t="n"/>
      <c r="AW183" s="236" t="n"/>
      <c r="AX183" s="692" t="n"/>
      <c r="AY183" s="692" t="n"/>
      <c r="AZ183" s="692" t="n"/>
      <c r="BA183" s="692" t="n"/>
      <c r="BB183" s="692" t="n"/>
      <c r="BC183" s="692" t="n"/>
      <c r="BD183" s="692" t="n"/>
      <c r="BE183" s="692" t="n"/>
      <c r="BF183" s="692" t="n"/>
      <c r="BG183" s="692" t="n"/>
      <c r="BH183" s="692" t="n"/>
      <c r="BI183" s="692" t="n"/>
      <c r="BJ183" s="692" t="n"/>
      <c r="BK183" s="692" t="n"/>
      <c r="BL183" s="692" t="n"/>
      <c r="BM183" s="692" t="n"/>
      <c r="BN183" s="692" t="n"/>
      <c r="BO183" s="692" t="n"/>
      <c r="BP183" s="692" t="n"/>
      <c r="BQ183" s="692" t="n"/>
    </row>
    <row r="184">
      <c r="A184" s="218" t="inlineStr">
        <is>
          <t>Male</t>
        </is>
      </c>
      <c r="B184" s="215" t="inlineStr">
        <is>
          <t>100 Breast</t>
        </is>
      </c>
      <c r="C184" s="189" t="n">
        <v>2019</v>
      </c>
      <c r="D184" s="215" t="inlineStr">
        <is>
          <t>SGP</t>
        </is>
      </c>
      <c r="E184" s="219" t="n">
        <v>3</v>
      </c>
      <c r="F184" s="215" t="inlineStr">
        <is>
          <t>1:01.98</t>
        </is>
      </c>
      <c r="G184" s="215" t="n">
        <v>1995</v>
      </c>
      <c r="H184" s="202">
        <f>C184-G184</f>
        <v/>
      </c>
      <c r="I184" s="215" t="inlineStr">
        <is>
          <t>Lionel Khoo</t>
        </is>
      </c>
      <c r="J184" s="215" t="inlineStr">
        <is>
          <t>South Carolina</t>
        </is>
      </c>
      <c r="K184" s="215" t="inlineStr">
        <is>
          <t>USA</t>
        </is>
      </c>
      <c r="L184" s="217" t="n"/>
      <c r="M184" s="689" t="n"/>
      <c r="N184" s="689" t="n"/>
      <c r="O184" s="689" t="n"/>
      <c r="P184" s="227" t="n"/>
      <c r="Q184" s="689" t="n"/>
      <c r="R184" s="689" t="n"/>
      <c r="S184" s="689" t="n"/>
      <c r="T184" s="689" t="n"/>
      <c r="U184" s="689" t="n"/>
      <c r="V184" s="689" t="n"/>
      <c r="W184" s="689" t="n"/>
      <c r="X184" s="689" t="n"/>
      <c r="Y184" s="689" t="n"/>
      <c r="Z184" s="689" t="n"/>
      <c r="AA184" s="689" t="n"/>
      <c r="AB184" s="689" t="n"/>
      <c r="AC184" s="689" t="n"/>
      <c r="AD184" s="689" t="n"/>
      <c r="AF184" s="233" t="n"/>
      <c r="AG184" s="233" t="n"/>
      <c r="AH184" s="233" t="n"/>
      <c r="AI184" s="233" t="n"/>
      <c r="AJ184" s="233" t="n"/>
      <c r="AK184" s="233" t="n"/>
      <c r="AL184" s="233" t="n"/>
      <c r="AM184" s="233" t="n"/>
      <c r="AN184" s="233" t="n"/>
      <c r="AO184" s="233" t="n"/>
      <c r="AP184" s="233" t="n"/>
      <c r="AQ184" s="233" t="n"/>
      <c r="AR184" s="233" t="n"/>
      <c r="AS184" s="233" t="n"/>
      <c r="AT184" s="233" t="n"/>
      <c r="AU184" s="233" t="n"/>
      <c r="AV184" s="236" t="n"/>
      <c r="AW184" s="236" t="n"/>
      <c r="AX184" s="692" t="n"/>
      <c r="AY184" s="692" t="n"/>
      <c r="AZ184" s="692" t="n"/>
      <c r="BA184" s="692" t="n"/>
      <c r="BB184" s="692" t="n"/>
      <c r="BC184" s="692" t="n"/>
      <c r="BD184" s="692" t="n"/>
      <c r="BE184" s="692" t="n"/>
      <c r="BF184" s="692" t="n"/>
      <c r="BG184" s="692" t="n"/>
      <c r="BH184" s="692" t="n"/>
      <c r="BI184" s="692" t="n"/>
      <c r="BJ184" s="692" t="n"/>
      <c r="BK184" s="692" t="n"/>
      <c r="BL184" s="692" t="n"/>
      <c r="BM184" s="692" t="n"/>
      <c r="BN184" s="692" t="n"/>
      <c r="BO184" s="692" t="n"/>
      <c r="BP184" s="692" t="n"/>
      <c r="BQ184" s="692" t="n"/>
    </row>
    <row r="185">
      <c r="A185" s="220" t="inlineStr">
        <is>
          <t>Male</t>
        </is>
      </c>
      <c r="B185" s="211" t="inlineStr">
        <is>
          <t>100 Breast</t>
        </is>
      </c>
      <c r="C185" s="190" t="n">
        <v>2022</v>
      </c>
      <c r="D185" s="211" t="inlineStr">
        <is>
          <t>VIE</t>
        </is>
      </c>
      <c r="E185" s="221" t="n">
        <v>1</v>
      </c>
      <c r="F185" s="211" t="inlineStr">
        <is>
          <t>1:01.17</t>
        </is>
      </c>
      <c r="G185" s="197" t="n">
        <v>2001</v>
      </c>
      <c r="H185" s="197">
        <f>C185-G185</f>
        <v/>
      </c>
      <c r="I185" s="201" t="inlineStr">
        <is>
          <t>Thanh Bao Pham</t>
        </is>
      </c>
      <c r="J185" s="211" t="n"/>
      <c r="K185" s="211" t="n"/>
      <c r="L185" s="213" t="n"/>
      <c r="M185" s="689" t="n"/>
      <c r="N185" s="689" t="n"/>
      <c r="O185" s="689" t="n"/>
      <c r="P185" s="227" t="n"/>
      <c r="Q185" s="689" t="n"/>
      <c r="R185" s="689" t="n"/>
      <c r="S185" s="689" t="n"/>
      <c r="T185" s="689" t="n"/>
      <c r="U185" s="689" t="n"/>
      <c r="V185" s="689" t="n"/>
      <c r="W185" s="689" t="n"/>
      <c r="X185" s="689" t="n"/>
      <c r="Y185" s="689" t="n"/>
      <c r="Z185" s="689" t="n"/>
      <c r="AA185" s="689" t="n"/>
      <c r="AB185" s="689" t="n"/>
      <c r="AC185" s="689" t="n"/>
      <c r="AD185" s="689" t="n"/>
      <c r="AF185" s="233" t="n"/>
      <c r="AG185" s="233" t="n"/>
      <c r="AH185" s="233" t="n"/>
      <c r="AI185" s="233" t="n"/>
      <c r="AJ185" s="233" t="n"/>
      <c r="AK185" s="233" t="n"/>
      <c r="AL185" s="233" t="n"/>
      <c r="AM185" s="233" t="n"/>
      <c r="AN185" s="233" t="n"/>
      <c r="AO185" s="233" t="n"/>
      <c r="AP185" s="233" t="n"/>
      <c r="AQ185" s="233" t="n"/>
      <c r="AR185" s="233" t="n"/>
      <c r="AS185" s="233" t="n"/>
      <c r="AT185" s="233" t="n"/>
      <c r="AU185" s="233" t="n"/>
      <c r="AV185" s="236" t="n"/>
      <c r="AW185" s="236" t="n"/>
      <c r="AX185" s="692" t="n"/>
      <c r="AY185" s="692" t="n"/>
      <c r="AZ185" s="692" t="n"/>
      <c r="BA185" s="692" t="n"/>
      <c r="BB185" s="692" t="n"/>
      <c r="BC185" s="692" t="n"/>
      <c r="BD185" s="692" t="n"/>
      <c r="BE185" s="692" t="n"/>
      <c r="BF185" s="692" t="n"/>
      <c r="BG185" s="692" t="n"/>
      <c r="BH185" s="692" t="n"/>
      <c r="BI185" s="692" t="n"/>
      <c r="BJ185" s="692" t="n"/>
      <c r="BK185" s="692" t="n"/>
      <c r="BL185" s="692" t="n"/>
      <c r="BM185" s="692" t="n"/>
      <c r="BN185" s="692" t="n"/>
      <c r="BO185" s="692" t="n"/>
      <c r="BP185" s="692" t="n"/>
      <c r="BQ185" s="692" t="n"/>
    </row>
    <row r="186">
      <c r="A186" s="218" t="inlineStr">
        <is>
          <t>Male</t>
        </is>
      </c>
      <c r="B186" s="215" t="inlineStr">
        <is>
          <t>100 Breast</t>
        </is>
      </c>
      <c r="C186" s="189" t="n">
        <v>2022</v>
      </c>
      <c r="D186" s="215" t="inlineStr">
        <is>
          <t>SGP</t>
        </is>
      </c>
      <c r="E186" s="219" t="n">
        <v>2</v>
      </c>
      <c r="F186" s="215" t="inlineStr">
        <is>
          <t>1:01.58</t>
        </is>
      </c>
      <c r="G186" s="202" t="n">
        <v>2001</v>
      </c>
      <c r="H186" s="202">
        <f>C186-G186</f>
        <v/>
      </c>
      <c r="I186" s="206" t="inlineStr">
        <is>
          <t>Maximillan Wei Ang</t>
        </is>
      </c>
      <c r="J186" s="215" t="n"/>
      <c r="K186" s="215" t="n"/>
      <c r="L186" s="217" t="n"/>
      <c r="M186" s="689" t="n"/>
      <c r="N186" s="689" t="n"/>
      <c r="O186" s="689" t="n"/>
      <c r="P186" s="227" t="n"/>
      <c r="Q186" s="689" t="n"/>
      <c r="R186" s="689" t="n"/>
      <c r="S186" s="689" t="n"/>
      <c r="T186" s="689" t="n"/>
      <c r="U186" s="689" t="n"/>
      <c r="V186" s="689" t="n"/>
      <c r="W186" s="689" t="n"/>
      <c r="X186" s="689" t="n"/>
      <c r="Y186" s="689" t="n"/>
      <c r="Z186" s="689" t="n"/>
      <c r="AA186" s="689" t="n"/>
      <c r="AB186" s="689" t="n"/>
      <c r="AC186" s="689" t="n"/>
      <c r="AD186" s="689" t="n"/>
      <c r="AF186" s="233" t="n"/>
      <c r="AG186" s="233" t="n"/>
      <c r="AH186" s="233" t="n"/>
      <c r="AI186" s="233" t="n"/>
      <c r="AJ186" s="233" t="n"/>
      <c r="AK186" s="233" t="n"/>
      <c r="AL186" s="233" t="n"/>
      <c r="AM186" s="233" t="n"/>
      <c r="AN186" s="233" t="n"/>
      <c r="AO186" s="233" t="n"/>
      <c r="AP186" s="233" t="n"/>
      <c r="AQ186" s="233" t="n"/>
      <c r="AR186" s="233" t="n"/>
      <c r="AS186" s="233" t="n"/>
      <c r="AT186" s="233" t="n"/>
      <c r="AU186" s="233" t="n"/>
      <c r="AV186" s="234" t="n"/>
      <c r="AW186" s="234" t="n"/>
      <c r="AX186" s="692" t="n"/>
      <c r="AY186" s="692" t="n"/>
      <c r="AZ186" s="692" t="n"/>
      <c r="BA186" s="692" t="n"/>
      <c r="BB186" s="692" t="n"/>
      <c r="BC186" s="692" t="n"/>
      <c r="BD186" s="692" t="n"/>
      <c r="BE186" s="692" t="n"/>
      <c r="BF186" s="692" t="n"/>
      <c r="BG186" s="692" t="n"/>
      <c r="BH186" s="692" t="n"/>
      <c r="BI186" s="692" t="n"/>
      <c r="BJ186" s="692" t="n"/>
      <c r="BK186" s="692" t="n"/>
      <c r="BL186" s="692" t="n"/>
      <c r="BM186" s="692" t="n"/>
      <c r="BN186" s="692" t="n"/>
      <c r="BO186" s="692" t="n"/>
      <c r="BP186" s="692" t="n"/>
      <c r="BQ186" s="692" t="n"/>
    </row>
    <row r="187">
      <c r="A187" s="220" t="inlineStr">
        <is>
          <t>Male</t>
        </is>
      </c>
      <c r="B187" s="211" t="inlineStr">
        <is>
          <t>100 Breast</t>
        </is>
      </c>
      <c r="C187" s="190" t="n">
        <v>2022</v>
      </c>
      <c r="D187" s="211" t="inlineStr">
        <is>
          <t>IND</t>
        </is>
      </c>
      <c r="E187" s="221" t="n">
        <v>3</v>
      </c>
      <c r="F187" s="211" t="inlineStr">
        <is>
          <t>1:02.74</t>
        </is>
      </c>
      <c r="G187" s="215" t="n">
        <v>1995</v>
      </c>
      <c r="H187" s="202">
        <f>C187-G187</f>
        <v/>
      </c>
      <c r="I187" s="215" t="inlineStr">
        <is>
          <t>Gagarin Nathaniel</t>
        </is>
      </c>
      <c r="J187" s="211" t="n"/>
      <c r="K187" s="211" t="n"/>
      <c r="L187" s="213" t="n"/>
      <c r="M187" s="689" t="n"/>
      <c r="N187" s="689" t="n"/>
      <c r="O187" s="689" t="n"/>
      <c r="P187" s="227" t="n"/>
      <c r="Q187" s="689" t="n"/>
      <c r="R187" s="689" t="n"/>
      <c r="S187" s="689" t="n"/>
      <c r="T187" s="689" t="n"/>
      <c r="U187" s="689" t="n"/>
      <c r="V187" s="689" t="n"/>
      <c r="W187" s="689" t="n"/>
      <c r="X187" s="689" t="n"/>
      <c r="Y187" s="689" t="n"/>
      <c r="Z187" s="689" t="n"/>
      <c r="AA187" s="689" t="n"/>
      <c r="AB187" s="689" t="n"/>
      <c r="AC187" s="689" t="n"/>
      <c r="AD187" s="689" t="n"/>
      <c r="AF187" s="233" t="n"/>
      <c r="AG187" s="233" t="n"/>
      <c r="AH187" s="233" t="n"/>
      <c r="AI187" s="233" t="n"/>
      <c r="AJ187" s="233" t="n"/>
      <c r="AK187" s="233" t="n"/>
      <c r="AL187" s="233" t="n"/>
      <c r="AM187" s="233" t="n"/>
      <c r="AN187" s="233" t="n"/>
      <c r="AO187" s="233" t="n"/>
      <c r="AP187" s="233" t="n"/>
      <c r="AQ187" s="233" t="n"/>
      <c r="AR187" s="233" t="n"/>
      <c r="AS187" s="233" t="n"/>
      <c r="AT187" s="233" t="n"/>
      <c r="AU187" s="233" t="n"/>
      <c r="AV187" s="234" t="n"/>
      <c r="AW187" s="234" t="n"/>
      <c r="AX187" s="692" t="n"/>
      <c r="AY187" s="692" t="n"/>
      <c r="AZ187" s="692" t="n"/>
      <c r="BA187" s="692" t="n"/>
      <c r="BB187" s="692" t="n"/>
      <c r="BC187" s="692" t="n"/>
      <c r="BD187" s="692" t="n"/>
      <c r="BE187" s="692" t="n"/>
      <c r="BF187" s="692" t="n"/>
      <c r="BG187" s="692" t="n"/>
      <c r="BH187" s="692" t="n"/>
      <c r="BI187" s="692" t="n"/>
      <c r="BJ187" s="692" t="n"/>
      <c r="BK187" s="692" t="n"/>
      <c r="BL187" s="692" t="n"/>
      <c r="BM187" s="692" t="n"/>
      <c r="BN187" s="692" t="n"/>
      <c r="BO187" s="692" t="n"/>
      <c r="BP187" s="692" t="n"/>
      <c r="BQ187" s="692" t="n"/>
    </row>
    <row r="188">
      <c r="A188" s="218" t="inlineStr">
        <is>
          <t>Male</t>
        </is>
      </c>
      <c r="B188" s="215" t="inlineStr">
        <is>
          <t>100 Breast</t>
        </is>
      </c>
      <c r="C188" s="189" t="n">
        <v>2023</v>
      </c>
      <c r="D188" s="215" t="inlineStr">
        <is>
          <t>VIE</t>
        </is>
      </c>
      <c r="E188" s="219" t="n">
        <v>1</v>
      </c>
      <c r="F188" s="215" t="inlineStr">
        <is>
          <t>1:00.97</t>
        </is>
      </c>
      <c r="G188" s="215" t="n">
        <v>2001</v>
      </c>
      <c r="H188" s="215">
        <f>C188-G188</f>
        <v/>
      </c>
      <c r="I188" s="215" t="inlineStr">
        <is>
          <t>Thanh Bao Pham</t>
        </is>
      </c>
      <c r="J188" s="215" t="n"/>
      <c r="K188" s="215" t="n"/>
      <c r="L188" s="217" t="n"/>
      <c r="M188" s="689" t="n"/>
      <c r="N188" s="689" t="n"/>
      <c r="O188" s="689" t="n"/>
      <c r="P188" s="227" t="n"/>
      <c r="Q188" s="689" t="n"/>
      <c r="R188" s="689" t="n"/>
      <c r="S188" s="689" t="n"/>
      <c r="T188" s="689" t="n"/>
      <c r="U188" s="689" t="n"/>
      <c r="V188" s="689" t="n"/>
      <c r="W188" s="689" t="n"/>
      <c r="X188" s="689" t="n"/>
      <c r="Y188" s="689" t="n"/>
      <c r="Z188" s="689" t="n"/>
      <c r="AA188" s="689" t="n"/>
      <c r="AB188" s="689" t="n"/>
      <c r="AC188" s="689" t="n"/>
      <c r="AD188" s="689" t="n"/>
      <c r="AF188" s="233" t="n"/>
      <c r="AG188" s="233" t="n"/>
      <c r="AH188" s="233" t="n"/>
      <c r="AI188" s="233" t="n"/>
      <c r="AJ188" s="233" t="n"/>
      <c r="AK188" s="233" t="n"/>
      <c r="AL188" s="233" t="n"/>
      <c r="AM188" s="233" t="n"/>
      <c r="AN188" s="233" t="n"/>
      <c r="AO188" s="233" t="n"/>
      <c r="AP188" s="233" t="n"/>
      <c r="AQ188" s="233" t="n"/>
      <c r="AR188" s="233" t="n"/>
      <c r="AS188" s="233" t="n"/>
      <c r="AT188" s="233" t="n"/>
      <c r="AU188" s="233" t="n"/>
      <c r="AV188" s="236" t="n"/>
      <c r="AW188" s="236" t="n"/>
      <c r="AX188" s="692" t="n"/>
      <c r="AY188" s="692" t="n"/>
      <c r="AZ188" s="692" t="n"/>
      <c r="BA188" s="692" t="n"/>
      <c r="BB188" s="692" t="n"/>
      <c r="BC188" s="692" t="n"/>
      <c r="BD188" s="692" t="n"/>
      <c r="BE188" s="692" t="n"/>
      <c r="BF188" s="692" t="n"/>
      <c r="BG188" s="692" t="n"/>
      <c r="BH188" s="692" t="n"/>
      <c r="BI188" s="692" t="n"/>
      <c r="BJ188" s="692" t="n"/>
      <c r="BK188" s="692" t="n"/>
      <c r="BL188" s="692" t="n"/>
      <c r="BM188" s="692" t="n"/>
      <c r="BN188" s="692" t="n"/>
      <c r="BO188" s="692" t="n"/>
      <c r="BP188" s="692" t="n"/>
      <c r="BQ188" s="692" t="n"/>
    </row>
    <row r="189">
      <c r="A189" s="220" t="inlineStr">
        <is>
          <t>Male</t>
        </is>
      </c>
      <c r="B189" s="211" t="inlineStr">
        <is>
          <t>100 Breast</t>
        </is>
      </c>
      <c r="C189" s="190" t="n">
        <v>2023</v>
      </c>
      <c r="D189" s="211" t="inlineStr">
        <is>
          <t>SGP</t>
        </is>
      </c>
      <c r="E189" s="221" t="n">
        <v>2</v>
      </c>
      <c r="F189" s="211" t="inlineStr">
        <is>
          <t>1:01.22</t>
        </is>
      </c>
      <c r="G189" s="215" t="n">
        <v>2005</v>
      </c>
      <c r="H189" s="215">
        <f>C189-G189</f>
        <v/>
      </c>
      <c r="I189" s="215" t="inlineStr">
        <is>
          <t>Nicholas Rui Karsten Mahabir</t>
        </is>
      </c>
      <c r="J189" s="211" t="n"/>
      <c r="K189" s="211" t="n"/>
      <c r="L189" s="213" t="inlineStr">
        <is>
          <t>USA</t>
        </is>
      </c>
      <c r="M189" s="689" t="n"/>
      <c r="N189" s="689" t="n"/>
      <c r="O189" s="689" t="n"/>
      <c r="P189" s="227" t="n"/>
      <c r="Q189" s="689" t="n"/>
      <c r="R189" s="689" t="n"/>
      <c r="S189" s="689" t="n"/>
      <c r="T189" s="689" t="n"/>
      <c r="U189" s="689" t="n"/>
      <c r="V189" s="689" t="n"/>
      <c r="W189" s="689" t="n"/>
      <c r="X189" s="689" t="n"/>
      <c r="Y189" s="689" t="n"/>
      <c r="Z189" s="689" t="n"/>
      <c r="AA189" s="689" t="n"/>
      <c r="AB189" s="689" t="n"/>
      <c r="AC189" s="689" t="n"/>
      <c r="AD189" s="689" t="n"/>
      <c r="AF189" s="233" t="n"/>
      <c r="AG189" s="233" t="n"/>
      <c r="AH189" s="233" t="n"/>
      <c r="AI189" s="233" t="n"/>
      <c r="AJ189" s="233" t="n"/>
      <c r="AK189" s="233" t="n"/>
      <c r="AL189" s="233" t="n"/>
      <c r="AM189" s="233" t="n"/>
      <c r="AN189" s="233" t="n"/>
      <c r="AO189" s="233" t="n"/>
      <c r="AP189" s="233" t="n"/>
      <c r="AQ189" s="233" t="n"/>
      <c r="AR189" s="233" t="n"/>
      <c r="AS189" s="233" t="n"/>
      <c r="AT189" s="233" t="n"/>
      <c r="AU189" s="233" t="n"/>
      <c r="AV189" s="236" t="n"/>
      <c r="AW189" s="236" t="n"/>
      <c r="AX189" s="692" t="n"/>
      <c r="AY189" s="692" t="n"/>
      <c r="AZ189" s="692" t="n"/>
      <c r="BA189" s="692" t="n"/>
      <c r="BB189" s="692" t="n"/>
      <c r="BC189" s="692" t="n"/>
      <c r="BD189" s="692" t="n"/>
      <c r="BE189" s="692" t="n"/>
      <c r="BF189" s="692" t="n"/>
      <c r="BG189" s="692" t="n"/>
      <c r="BH189" s="692" t="n"/>
      <c r="BI189" s="692" t="n"/>
      <c r="BJ189" s="692" t="n"/>
      <c r="BK189" s="692" t="n"/>
      <c r="BL189" s="692" t="n"/>
      <c r="BM189" s="692" t="n"/>
      <c r="BN189" s="692" t="n"/>
      <c r="BO189" s="692" t="n"/>
      <c r="BP189" s="692" t="n"/>
      <c r="BQ189" s="692" t="n"/>
    </row>
    <row r="190">
      <c r="A190" s="218" t="inlineStr">
        <is>
          <t>Male</t>
        </is>
      </c>
      <c r="B190" s="215" t="inlineStr">
        <is>
          <t>100 Breast</t>
        </is>
      </c>
      <c r="C190" s="189" t="n">
        <v>2023</v>
      </c>
      <c r="D190" s="215" t="inlineStr">
        <is>
          <t>SGP</t>
        </is>
      </c>
      <c r="E190" s="219" t="n">
        <v>3</v>
      </c>
      <c r="F190" s="215" t="inlineStr">
        <is>
          <t>1:02.21</t>
        </is>
      </c>
      <c r="G190" s="215" t="n">
        <v>2001</v>
      </c>
      <c r="H190" s="215">
        <f>C190-G190</f>
        <v/>
      </c>
      <c r="I190" s="215" t="inlineStr">
        <is>
          <t>Maximillan Wei Ang</t>
        </is>
      </c>
      <c r="J190" s="215" t="n"/>
      <c r="K190" s="215" t="n"/>
      <c r="L190" s="217" t="n"/>
      <c r="M190" s="689" t="n"/>
      <c r="N190" s="689" t="n"/>
      <c r="O190" s="689" t="n"/>
      <c r="P190" s="227" t="n"/>
      <c r="Q190" s="689" t="n"/>
      <c r="R190" s="689" t="n"/>
      <c r="S190" s="689" t="n"/>
      <c r="T190" s="689" t="n"/>
      <c r="U190" s="689" t="n"/>
      <c r="V190" s="689" t="n"/>
      <c r="W190" s="689" t="n"/>
      <c r="X190" s="689" t="n"/>
      <c r="Y190" s="689" t="n"/>
      <c r="Z190" s="689" t="n"/>
      <c r="AA190" s="689" t="n"/>
      <c r="AB190" s="689" t="n"/>
      <c r="AC190" s="689" t="n"/>
      <c r="AD190" s="689" t="n"/>
      <c r="AF190" s="236" t="n"/>
      <c r="AG190" s="236" t="n"/>
      <c r="AH190" s="236" t="n"/>
      <c r="AI190" s="236" t="n"/>
      <c r="AJ190" s="236" t="n"/>
      <c r="AK190" s="236" t="n"/>
      <c r="AL190" s="236" t="n"/>
      <c r="AM190" s="236" t="n"/>
      <c r="AN190" s="236" t="n"/>
      <c r="AO190" s="236" t="n"/>
      <c r="AP190" s="236" t="n"/>
      <c r="AQ190" s="236" t="n"/>
      <c r="AR190" s="236" t="n"/>
      <c r="AS190" s="236" t="n"/>
      <c r="AT190" s="236" t="n"/>
      <c r="AU190" s="236" t="n"/>
      <c r="AV190" s="236" t="n"/>
      <c r="AW190" s="236" t="n"/>
      <c r="AY190" s="692" t="n"/>
      <c r="AZ190" s="692" t="n"/>
      <c r="BA190" s="692" t="n"/>
      <c r="BB190" s="692" t="n"/>
      <c r="BC190" s="692" t="n"/>
      <c r="BD190" s="692" t="n"/>
      <c r="BE190" s="692" t="n"/>
      <c r="BF190" s="692" t="n"/>
      <c r="BG190" s="692" t="n"/>
      <c r="BH190" s="692" t="n"/>
      <c r="BI190" s="692" t="n"/>
      <c r="BJ190" s="692" t="n"/>
      <c r="BK190" s="692" t="n"/>
      <c r="BL190" s="692" t="n"/>
      <c r="BM190" s="692" t="n"/>
      <c r="BN190" s="692" t="n"/>
      <c r="BO190" s="692" t="n"/>
      <c r="BP190" s="692" t="n"/>
      <c r="BQ190" s="692" t="n"/>
    </row>
    <row r="191">
      <c r="A191" s="220" t="inlineStr">
        <is>
          <t>Male</t>
        </is>
      </c>
      <c r="B191" s="211" t="inlineStr">
        <is>
          <t>100 Fly</t>
        </is>
      </c>
      <c r="C191" s="190" t="n">
        <v>2019</v>
      </c>
      <c r="D191" s="211" t="inlineStr">
        <is>
          <t>SGP</t>
        </is>
      </c>
      <c r="E191" s="221" t="n">
        <v>1</v>
      </c>
      <c r="F191" s="211" t="inlineStr">
        <is>
          <t>51.84</t>
        </is>
      </c>
      <c r="G191" s="202" t="n">
        <v>1995</v>
      </c>
      <c r="H191" s="202">
        <f>C191-G191</f>
        <v/>
      </c>
      <c r="I191" s="206" t="inlineStr">
        <is>
          <t>Joseph Schooling</t>
        </is>
      </c>
      <c r="J191" s="201" t="inlineStr">
        <is>
          <t>Texas</t>
        </is>
      </c>
      <c r="K191" s="201" t="inlineStr">
        <is>
          <t>USA</t>
        </is>
      </c>
      <c r="L191" s="203" t="inlineStr">
        <is>
          <t>Prep School (Bolles)</t>
        </is>
      </c>
      <c r="M191" s="689" t="n"/>
      <c r="N191" s="689" t="n"/>
      <c r="O191" s="689" t="n"/>
      <c r="P191" s="227" t="n"/>
      <c r="Q191" s="689" t="n"/>
      <c r="R191" s="689" t="n"/>
      <c r="S191" s="689" t="n"/>
      <c r="T191" s="689" t="n"/>
      <c r="U191" s="689" t="n"/>
      <c r="V191" s="689" t="n"/>
      <c r="W191" s="689" t="n"/>
      <c r="X191" s="689" t="n"/>
      <c r="Y191" s="689" t="n"/>
      <c r="Z191" s="689" t="n"/>
      <c r="AA191" s="689" t="n"/>
      <c r="AB191" s="689" t="n"/>
      <c r="AC191" s="689" t="n"/>
      <c r="AD191" s="689" t="n"/>
      <c r="AF191" s="233" t="n"/>
      <c r="AG191" s="233" t="n"/>
      <c r="AH191" s="233" t="n"/>
      <c r="AI191" s="233" t="n"/>
      <c r="AJ191" s="233" t="n"/>
      <c r="AK191" s="233" t="n"/>
      <c r="AL191" s="233" t="n"/>
      <c r="AM191" s="233" t="n"/>
      <c r="AN191" s="233" t="n"/>
      <c r="AO191" s="233" t="n"/>
      <c r="AP191" s="233" t="n"/>
      <c r="AQ191" s="233" t="n"/>
      <c r="AR191" s="233" t="n"/>
      <c r="AS191" s="233" t="n"/>
      <c r="AT191" s="233" t="n"/>
      <c r="AU191" s="233" t="n"/>
      <c r="AV191" s="233" t="n"/>
      <c r="AW191" s="233" t="n"/>
      <c r="AY191" s="692" t="n"/>
      <c r="AZ191" s="692" t="n"/>
      <c r="BA191" s="692" t="n"/>
      <c r="BB191" s="692" t="n"/>
      <c r="BC191" s="692" t="n"/>
      <c r="BD191" s="692" t="n"/>
      <c r="BE191" s="692" t="n"/>
      <c r="BF191" s="692" t="n"/>
      <c r="BG191" s="692" t="n"/>
      <c r="BH191" s="692" t="n"/>
      <c r="BI191" s="692" t="n"/>
      <c r="BJ191" s="692" t="n"/>
      <c r="BK191" s="692" t="n"/>
      <c r="BL191" s="692" t="n"/>
      <c r="BM191" s="692" t="n"/>
      <c r="BN191" s="692" t="n"/>
      <c r="BO191" s="692" t="n"/>
      <c r="BP191" s="692" t="n"/>
      <c r="BQ191" s="692" t="n"/>
    </row>
    <row r="192">
      <c r="A192" s="218" t="inlineStr">
        <is>
          <t>Male</t>
        </is>
      </c>
      <c r="B192" s="215" t="inlineStr">
        <is>
          <t>100 Fly</t>
        </is>
      </c>
      <c r="C192" s="189" t="n">
        <v>2019</v>
      </c>
      <c r="D192" s="215" t="inlineStr">
        <is>
          <t>SGP</t>
        </is>
      </c>
      <c r="E192" s="219" t="n">
        <v>2</v>
      </c>
      <c r="F192" s="215" t="inlineStr">
        <is>
          <t>51.87</t>
        </is>
      </c>
      <c r="G192" s="195" t="n">
        <v>1996</v>
      </c>
      <c r="H192" s="195">
        <f>C192-G192</f>
        <v/>
      </c>
      <c r="I192" s="200" t="inlineStr">
        <is>
          <t>Zheng Wen Quah</t>
        </is>
      </c>
      <c r="J192" s="200" t="inlineStr">
        <is>
          <t>California Berkeley</t>
        </is>
      </c>
      <c r="K192" s="200" t="inlineStr">
        <is>
          <t>USA</t>
        </is>
      </c>
      <c r="L192" s="217" t="n"/>
      <c r="M192" s="689" t="n"/>
      <c r="N192" s="689" t="n"/>
      <c r="O192" s="689" t="n"/>
      <c r="P192" s="227" t="n"/>
      <c r="Q192" s="689" t="n"/>
      <c r="R192" s="689" t="n"/>
      <c r="S192" s="689" t="n"/>
      <c r="T192" s="689" t="n"/>
      <c r="U192" s="689" t="n"/>
      <c r="V192" s="689" t="n"/>
      <c r="W192" s="689" t="n"/>
      <c r="X192" s="689" t="n"/>
      <c r="Y192" s="689" t="n"/>
      <c r="Z192" s="689" t="n"/>
      <c r="AA192" s="689" t="n"/>
      <c r="AB192" s="689" t="n"/>
      <c r="AC192" s="689" t="n"/>
      <c r="AD192" s="689" t="n"/>
      <c r="AF192" s="233" t="n"/>
      <c r="AG192" s="233" t="n"/>
      <c r="AH192" s="233" t="n"/>
      <c r="AI192" s="233" t="n"/>
      <c r="AJ192" s="233" t="n"/>
      <c r="AK192" s="233" t="n"/>
      <c r="AL192" s="233" t="n"/>
      <c r="AM192" s="233" t="n"/>
      <c r="AN192" s="233" t="n"/>
      <c r="AO192" s="233" t="n"/>
      <c r="AP192" s="233" t="n"/>
      <c r="AQ192" s="233" t="n"/>
      <c r="AR192" s="233" t="n"/>
      <c r="AS192" s="233" t="n"/>
      <c r="AT192" s="233" t="n"/>
      <c r="AU192" s="233" t="n"/>
      <c r="AV192" s="233" t="n"/>
      <c r="AW192" s="233" t="n"/>
      <c r="AY192" s="692" t="n"/>
      <c r="AZ192" s="692" t="n"/>
      <c r="BA192" s="692" t="n"/>
      <c r="BB192" s="692" t="n"/>
      <c r="BC192" s="692" t="n"/>
      <c r="BD192" s="692" t="n"/>
      <c r="BE192" s="692" t="n"/>
      <c r="BF192" s="692" t="n"/>
      <c r="BG192" s="692" t="n"/>
      <c r="BH192" s="692" t="n"/>
      <c r="BI192" s="692" t="n"/>
      <c r="BJ192" s="692" t="n"/>
      <c r="BK192" s="692" t="n"/>
      <c r="BL192" s="692" t="n"/>
      <c r="BM192" s="692" t="n"/>
      <c r="BN192" s="692" t="n"/>
      <c r="BO192" s="692" t="n"/>
      <c r="BP192" s="692" t="n"/>
      <c r="BQ192" s="692" t="n"/>
    </row>
    <row r="193">
      <c r="A193" s="220" t="inlineStr">
        <is>
          <t>Male</t>
        </is>
      </c>
      <c r="B193" s="211" t="inlineStr">
        <is>
          <t>100 Fly</t>
        </is>
      </c>
      <c r="C193" s="190" t="n">
        <v>2019</v>
      </c>
      <c r="D193" s="211" t="inlineStr">
        <is>
          <t>VIE</t>
        </is>
      </c>
      <c r="E193" s="221" t="n">
        <v>3</v>
      </c>
      <c r="F193" s="211" t="inlineStr">
        <is>
          <t>53.89</t>
        </is>
      </c>
      <c r="G193" s="197" t="n">
        <v>1992</v>
      </c>
      <c r="H193" s="202">
        <f>C193-G193</f>
        <v/>
      </c>
      <c r="I193" s="201" t="inlineStr">
        <is>
          <t>Paul LE Nguyen</t>
        </is>
      </c>
      <c r="J193" s="201" t="inlineStr">
        <is>
          <t>Missouri State</t>
        </is>
      </c>
      <c r="K193" s="201" t="inlineStr">
        <is>
          <t>USA</t>
        </is>
      </c>
      <c r="L193" s="203" t="inlineStr">
        <is>
          <t>USA</t>
        </is>
      </c>
      <c r="M193" s="689" t="n"/>
      <c r="N193" s="689" t="n"/>
      <c r="O193" s="689" t="n"/>
      <c r="P193" s="227" t="n"/>
      <c r="Q193" s="689" t="n"/>
      <c r="R193" s="689" t="n"/>
      <c r="S193" s="689" t="n"/>
      <c r="T193" s="689" t="n"/>
      <c r="U193" s="689" t="n"/>
      <c r="V193" s="689" t="n"/>
      <c r="W193" s="689" t="n"/>
      <c r="X193" s="689" t="n"/>
      <c r="Y193" s="689" t="n"/>
      <c r="Z193" s="689" t="n"/>
      <c r="AA193" s="689" t="n"/>
      <c r="AB193" s="689" t="n"/>
      <c r="AC193" s="689" t="n"/>
      <c r="AD193" s="689" t="n"/>
      <c r="AF193" s="233" t="n"/>
      <c r="AG193" s="233" t="n"/>
      <c r="AH193" s="233" t="n"/>
      <c r="AI193" s="233" t="n"/>
      <c r="AJ193" s="233" t="n"/>
      <c r="AK193" s="233" t="n"/>
      <c r="AL193" s="233" t="n"/>
      <c r="AM193" s="233" t="n"/>
      <c r="AN193" s="233" t="n"/>
      <c r="AO193" s="233" t="n"/>
      <c r="AP193" s="233" t="n"/>
      <c r="AQ193" s="233" t="n"/>
      <c r="AR193" s="233" t="n"/>
      <c r="AS193" s="233" t="n"/>
      <c r="AT193" s="233" t="n"/>
      <c r="AU193" s="233" t="n"/>
      <c r="AV193" s="233" t="n"/>
      <c r="AW193" s="233" t="n"/>
      <c r="AY193" s="692" t="n"/>
      <c r="AZ193" s="692" t="n"/>
      <c r="BA193" s="692" t="n"/>
      <c r="BB193" s="692" t="n"/>
      <c r="BC193" s="692" t="n"/>
      <c r="BD193" s="692" t="n"/>
      <c r="BE193" s="692" t="n"/>
      <c r="BF193" s="692" t="n"/>
      <c r="BG193" s="692" t="n"/>
      <c r="BH193" s="692" t="n"/>
      <c r="BI193" s="692" t="n"/>
      <c r="BJ193" s="692" t="n"/>
      <c r="BK193" s="692" t="n"/>
      <c r="BL193" s="692" t="n"/>
      <c r="BM193" s="692" t="n"/>
      <c r="BN193" s="692" t="n"/>
      <c r="BO193" s="692" t="n"/>
      <c r="BP193" s="692" t="n"/>
      <c r="BQ193" s="692" t="n"/>
    </row>
    <row r="194">
      <c r="A194" s="218" t="inlineStr">
        <is>
          <t>Male</t>
        </is>
      </c>
      <c r="B194" s="215" t="inlineStr">
        <is>
          <t>100 Fly</t>
        </is>
      </c>
      <c r="C194" s="189" t="n">
        <v>2022</v>
      </c>
      <c r="D194" s="215" t="inlineStr">
        <is>
          <t>SGP</t>
        </is>
      </c>
      <c r="E194" s="219" t="n">
        <v>1</v>
      </c>
      <c r="F194" s="215" t="inlineStr">
        <is>
          <t>52.22</t>
        </is>
      </c>
      <c r="G194" s="211" t="n">
        <v>1995</v>
      </c>
      <c r="H194" s="197">
        <f>C194-G194</f>
        <v/>
      </c>
      <c r="I194" s="211" t="inlineStr">
        <is>
          <t>Joseph Schooling</t>
        </is>
      </c>
      <c r="J194" s="215" t="inlineStr">
        <is>
          <t>Texas</t>
        </is>
      </c>
      <c r="K194" s="215" t="inlineStr">
        <is>
          <t>USA</t>
        </is>
      </c>
      <c r="L194" s="217" t="inlineStr">
        <is>
          <t>Prep School (Bolles)</t>
        </is>
      </c>
      <c r="M194" s="689" t="n"/>
      <c r="N194" s="689" t="n"/>
      <c r="O194" s="689" t="n"/>
      <c r="P194" s="227" t="n"/>
      <c r="Q194" s="689" t="n"/>
      <c r="R194" s="689" t="n"/>
      <c r="S194" s="689" t="n"/>
      <c r="T194" s="689" t="n"/>
      <c r="U194" s="689" t="n"/>
      <c r="V194" s="689" t="n"/>
      <c r="W194" s="689" t="n"/>
      <c r="X194" s="689" t="n"/>
      <c r="Y194" s="689" t="n"/>
      <c r="Z194" s="689" t="n"/>
      <c r="AA194" s="689" t="n"/>
      <c r="AB194" s="689" t="n"/>
      <c r="AC194" s="689" t="n"/>
      <c r="AD194" s="689" t="n"/>
      <c r="AF194" s="233" t="n"/>
      <c r="AG194" s="233" t="n"/>
      <c r="AH194" s="233" t="n"/>
      <c r="AI194" s="233" t="n"/>
      <c r="AJ194" s="233" t="n"/>
      <c r="AK194" s="233" t="n"/>
      <c r="AL194" s="233" t="n"/>
      <c r="AM194" s="233" t="n"/>
      <c r="AN194" s="233" t="n"/>
      <c r="AO194" s="233" t="n"/>
      <c r="AP194" s="233" t="n"/>
      <c r="AQ194" s="233" t="n"/>
      <c r="AR194" s="233" t="n"/>
      <c r="AS194" s="233" t="n"/>
      <c r="AT194" s="233" t="n"/>
      <c r="AU194" s="233" t="n"/>
      <c r="AV194" s="233" t="n"/>
      <c r="AW194" s="233" t="n"/>
      <c r="AY194" s="692" t="n"/>
      <c r="AZ194" s="692" t="n"/>
      <c r="BA194" s="692" t="n"/>
      <c r="BB194" s="692" t="n"/>
      <c r="BC194" s="692" t="n"/>
      <c r="BD194" s="692" t="n"/>
      <c r="BE194" s="692" t="n"/>
      <c r="BF194" s="692" t="n"/>
      <c r="BG194" s="692" t="n"/>
      <c r="BH194" s="692" t="n"/>
      <c r="BI194" s="692" t="n"/>
      <c r="BJ194" s="692" t="n"/>
      <c r="BK194" s="692" t="n"/>
      <c r="BL194" s="692" t="n"/>
      <c r="BM194" s="692" t="n"/>
      <c r="BN194" s="692" t="n"/>
      <c r="BO194" s="692" t="n"/>
      <c r="BP194" s="692" t="n"/>
      <c r="BQ194" s="692" t="n"/>
    </row>
    <row r="195">
      <c r="A195" s="220" t="inlineStr">
        <is>
          <t>Male</t>
        </is>
      </c>
      <c r="B195" s="211" t="inlineStr">
        <is>
          <t>100 Fly</t>
        </is>
      </c>
      <c r="C195" s="190" t="n">
        <v>2022</v>
      </c>
      <c r="D195" s="211" t="inlineStr">
        <is>
          <t>SGP</t>
        </is>
      </c>
      <c r="E195" s="221" t="n">
        <v>2</v>
      </c>
      <c r="F195" s="211" t="inlineStr">
        <is>
          <t>52.86</t>
        </is>
      </c>
      <c r="G195" s="196" t="n">
        <v>1996</v>
      </c>
      <c r="H195" s="196">
        <f>C195-G195</f>
        <v/>
      </c>
      <c r="I195" s="198" t="inlineStr">
        <is>
          <t>Zheng Wen Quah</t>
        </is>
      </c>
      <c r="J195" s="198" t="inlineStr">
        <is>
          <t>California Berkeley</t>
        </is>
      </c>
      <c r="K195" s="198" t="inlineStr">
        <is>
          <t>USA</t>
        </is>
      </c>
      <c r="L195" s="213" t="n"/>
      <c r="M195" s="689" t="n"/>
      <c r="N195" s="689" t="n"/>
      <c r="O195" s="689" t="n"/>
      <c r="P195" s="227" t="n"/>
      <c r="Q195" s="689" t="n"/>
      <c r="R195" s="689" t="n"/>
      <c r="S195" s="689" t="n"/>
      <c r="T195" s="689" t="n"/>
      <c r="U195" s="689" t="n"/>
      <c r="V195" s="689" t="n"/>
      <c r="W195" s="689" t="n"/>
      <c r="X195" s="689" t="n"/>
      <c r="Y195" s="689" t="n"/>
      <c r="Z195" s="689" t="n"/>
      <c r="AA195" s="689" t="n"/>
      <c r="AB195" s="689" t="n"/>
      <c r="AC195" s="689" t="n"/>
      <c r="AD195" s="689" t="n"/>
      <c r="AF195" s="233" t="n"/>
      <c r="AG195" s="233" t="n"/>
      <c r="AH195" s="233" t="n"/>
      <c r="AI195" s="233" t="n"/>
      <c r="AJ195" s="233" t="n"/>
      <c r="AK195" s="233" t="n"/>
      <c r="AL195" s="233" t="n"/>
      <c r="AM195" s="233" t="n"/>
      <c r="AN195" s="233" t="n"/>
      <c r="AO195" s="233" t="n"/>
      <c r="AP195" s="233" t="n"/>
      <c r="AQ195" s="233" t="n"/>
      <c r="AR195" s="233" t="n"/>
      <c r="AS195" s="233" t="n"/>
      <c r="AT195" s="233" t="n"/>
      <c r="AU195" s="233" t="n"/>
      <c r="AV195" s="233" t="n"/>
      <c r="AW195" s="233" t="n"/>
      <c r="AY195" s="692" t="n"/>
      <c r="AZ195" s="692" t="n"/>
      <c r="BA195" s="692" t="n"/>
      <c r="BB195" s="692" t="n"/>
      <c r="BC195" s="692" t="n"/>
      <c r="BD195" s="692" t="n"/>
      <c r="BE195" s="692" t="n"/>
      <c r="BF195" s="692" t="n"/>
      <c r="BG195" s="692" t="n"/>
      <c r="BH195" s="692" t="n"/>
      <c r="BI195" s="692" t="n"/>
      <c r="BJ195" s="692" t="n"/>
      <c r="BK195" s="692" t="n"/>
      <c r="BL195" s="692" t="n"/>
      <c r="BM195" s="692" t="n"/>
      <c r="BN195" s="692" t="n"/>
      <c r="BO195" s="692" t="n"/>
      <c r="BP195" s="692" t="n"/>
      <c r="BQ195" s="692" t="n"/>
    </row>
    <row r="196">
      <c r="A196" s="218" t="inlineStr">
        <is>
          <t>Male</t>
        </is>
      </c>
      <c r="B196" s="215" t="inlineStr">
        <is>
          <t>100 Fly</t>
        </is>
      </c>
      <c r="C196" s="189" t="n">
        <v>2022</v>
      </c>
      <c r="D196" s="215" t="inlineStr">
        <is>
          <t>THA</t>
        </is>
      </c>
      <c r="E196" s="219" t="n">
        <v>3</v>
      </c>
      <c r="F196" s="215" t="inlineStr">
        <is>
          <t>52.98</t>
        </is>
      </c>
      <c r="G196" s="215" t="n">
        <v>1997</v>
      </c>
      <c r="H196" s="196">
        <f>C196-G196</f>
        <v/>
      </c>
      <c r="I196" s="215" t="inlineStr">
        <is>
          <t>Navaphat WONGCHAROEN</t>
        </is>
      </c>
      <c r="J196" s="215" t="n"/>
      <c r="K196" s="215" t="n"/>
      <c r="L196" s="217" t="n"/>
      <c r="M196" s="689" t="n"/>
      <c r="N196" s="689" t="n"/>
      <c r="O196" s="689" t="n"/>
      <c r="P196" s="227" t="n"/>
      <c r="Q196" s="689" t="n"/>
      <c r="R196" s="689" t="n"/>
      <c r="S196" s="689" t="n"/>
      <c r="T196" s="689" t="n"/>
      <c r="U196" s="689" t="n"/>
      <c r="V196" s="689" t="n"/>
      <c r="W196" s="689" t="n"/>
      <c r="X196" s="689" t="n"/>
      <c r="Y196" s="689" t="n"/>
      <c r="Z196" s="689" t="n"/>
      <c r="AA196" s="689" t="n"/>
      <c r="AB196" s="689" t="n"/>
      <c r="AC196" s="689" t="n"/>
      <c r="AD196" s="689" t="n"/>
      <c r="AF196" s="233" t="n"/>
      <c r="AG196" s="233" t="n"/>
      <c r="AH196" s="233" t="n"/>
      <c r="AI196" s="233" t="n"/>
      <c r="AJ196" s="233" t="n"/>
      <c r="AK196" s="233" t="n"/>
      <c r="AL196" s="233" t="n"/>
      <c r="AM196" s="233" t="n"/>
      <c r="AN196" s="233" t="n"/>
      <c r="AO196" s="233" t="n"/>
      <c r="AP196" s="233" t="n"/>
      <c r="AQ196" s="233" t="n"/>
      <c r="AR196" s="233" t="n"/>
      <c r="AS196" s="233" t="n"/>
      <c r="AT196" s="233" t="n"/>
      <c r="AU196" s="233" t="n"/>
      <c r="AV196" s="233" t="n"/>
      <c r="AW196" s="233" t="n"/>
      <c r="AY196" s="692" t="n"/>
      <c r="AZ196" s="692" t="n"/>
      <c r="BA196" s="692" t="n"/>
      <c r="BB196" s="692" t="n"/>
      <c r="BC196" s="692" t="n"/>
      <c r="BD196" s="692" t="n"/>
      <c r="BE196" s="692" t="n"/>
      <c r="BF196" s="692" t="n"/>
      <c r="BG196" s="692" t="n"/>
      <c r="BH196" s="692" t="n"/>
      <c r="BI196" s="692" t="n"/>
      <c r="BJ196" s="692" t="n"/>
      <c r="BK196" s="692" t="n"/>
      <c r="BL196" s="692" t="n"/>
      <c r="BM196" s="692" t="n"/>
      <c r="BN196" s="692" t="n"/>
      <c r="BO196" s="692" t="n"/>
      <c r="BP196" s="692" t="n"/>
      <c r="BQ196" s="692" t="n"/>
    </row>
    <row r="197">
      <c r="A197" s="220" t="inlineStr">
        <is>
          <t>Male</t>
        </is>
      </c>
      <c r="B197" s="211" t="inlineStr">
        <is>
          <t>100 Fly</t>
        </is>
      </c>
      <c r="C197" s="190" t="n">
        <v>2023</v>
      </c>
      <c r="D197" s="211" t="inlineStr">
        <is>
          <t>SGP</t>
        </is>
      </c>
      <c r="E197" s="221" t="n">
        <v>1</v>
      </c>
      <c r="F197" s="211" t="inlineStr">
        <is>
          <t>52.04</t>
        </is>
      </c>
      <c r="G197" s="211" t="n">
        <v>1996</v>
      </c>
      <c r="H197" s="211">
        <f>C197-G197</f>
        <v/>
      </c>
      <c r="I197" s="211" t="inlineStr">
        <is>
          <t>Zheng Wen Quah</t>
        </is>
      </c>
      <c r="J197" s="211" t="inlineStr">
        <is>
          <t>California Berkeley</t>
        </is>
      </c>
      <c r="K197" s="211" t="inlineStr">
        <is>
          <t>USA</t>
        </is>
      </c>
      <c r="L197" s="213" t="n"/>
      <c r="M197" s="689" t="n"/>
      <c r="N197" s="689" t="n"/>
      <c r="O197" s="689" t="n"/>
      <c r="P197" s="227" t="n"/>
      <c r="Q197" s="689" t="n"/>
      <c r="R197" s="689" t="n"/>
      <c r="S197" s="689" t="n"/>
      <c r="T197" s="689" t="n"/>
      <c r="U197" s="689" t="n"/>
      <c r="V197" s="689" t="n"/>
      <c r="W197" s="689" t="n"/>
      <c r="X197" s="689" t="n"/>
      <c r="Y197" s="689" t="n"/>
      <c r="Z197" s="689" t="n"/>
      <c r="AA197" s="689" t="n"/>
      <c r="AB197" s="689" t="n"/>
      <c r="AC197" s="689" t="n"/>
      <c r="AD197" s="689" t="n"/>
      <c r="AF197" s="233" t="n"/>
      <c r="AG197" s="233" t="n"/>
      <c r="AH197" s="233" t="n"/>
      <c r="AI197" s="233" t="n"/>
      <c r="AJ197" s="233" t="n"/>
      <c r="AK197" s="233" t="n"/>
      <c r="AL197" s="233" t="n"/>
      <c r="AM197" s="233" t="n"/>
      <c r="AN197" s="233" t="n"/>
      <c r="AO197" s="233" t="n"/>
      <c r="AP197" s="233" t="n"/>
      <c r="AQ197" s="233" t="n"/>
      <c r="AR197" s="233" t="n"/>
      <c r="AS197" s="233" t="n"/>
      <c r="AT197" s="233" t="n"/>
      <c r="AU197" s="233" t="n"/>
      <c r="AV197" s="233" t="n"/>
      <c r="AW197" s="233" t="n"/>
      <c r="AY197" s="692" t="n"/>
      <c r="AZ197" s="692" t="n"/>
      <c r="BA197" s="692" t="n"/>
      <c r="BB197" s="692" t="n"/>
      <c r="BC197" s="692" t="n"/>
      <c r="BD197" s="692" t="n"/>
      <c r="BE197" s="692" t="n"/>
      <c r="BF197" s="692" t="n"/>
      <c r="BG197" s="692" t="n"/>
      <c r="BH197" s="692" t="n"/>
      <c r="BI197" s="692" t="n"/>
      <c r="BJ197" s="692" t="n"/>
      <c r="BK197" s="692" t="n"/>
      <c r="BL197" s="692" t="n"/>
      <c r="BM197" s="692" t="n"/>
      <c r="BN197" s="692" t="n"/>
      <c r="BO197" s="692" t="n"/>
      <c r="BP197" s="692" t="n"/>
      <c r="BQ197" s="692" t="n"/>
    </row>
    <row r="198">
      <c r="A198" s="218" t="inlineStr">
        <is>
          <t>Male</t>
        </is>
      </c>
      <c r="B198" s="215" t="inlineStr">
        <is>
          <t>100 Fly</t>
        </is>
      </c>
      <c r="C198" s="189" t="n">
        <v>2023</v>
      </c>
      <c r="D198" s="215" t="inlineStr">
        <is>
          <t>SGP</t>
        </is>
      </c>
      <c r="E198" s="219" t="n">
        <v>2</v>
      </c>
      <c r="F198" s="215" t="inlineStr">
        <is>
          <t>52.60</t>
        </is>
      </c>
      <c r="G198" s="211" t="n">
        <v>1997</v>
      </c>
      <c r="H198" s="211">
        <f>C198-G198</f>
        <v/>
      </c>
      <c r="I198" s="211" t="inlineStr">
        <is>
          <t>Tzen Wei Teong</t>
        </is>
      </c>
      <c r="J198" s="211" t="n"/>
      <c r="K198" s="211" t="n"/>
      <c r="L198" s="217" t="n"/>
      <c r="M198" s="689" t="n"/>
      <c r="N198" s="689" t="n"/>
      <c r="O198" s="689" t="n"/>
      <c r="P198" s="227" t="n"/>
      <c r="Q198" s="689" t="n"/>
      <c r="R198" s="689" t="n"/>
      <c r="S198" s="689" t="n"/>
      <c r="T198" s="689" t="n"/>
      <c r="U198" s="689" t="n"/>
      <c r="V198" s="689" t="n"/>
      <c r="W198" s="689" t="n"/>
      <c r="X198" s="689" t="n"/>
      <c r="Y198" s="689" t="n"/>
      <c r="Z198" s="689" t="n"/>
      <c r="AA198" s="689" t="n"/>
      <c r="AB198" s="689" t="n"/>
      <c r="AC198" s="689" t="n"/>
      <c r="AD198" s="689" t="n"/>
      <c r="AF198" s="233" t="n"/>
      <c r="AG198" s="233" t="n"/>
      <c r="AH198" s="233" t="n"/>
      <c r="AI198" s="233" t="n"/>
      <c r="AJ198" s="233" t="n"/>
      <c r="AK198" s="233" t="n"/>
      <c r="AL198" s="233" t="n"/>
      <c r="AM198" s="233" t="n"/>
      <c r="AN198" s="233" t="n"/>
      <c r="AO198" s="233" t="n"/>
      <c r="AP198" s="233" t="n"/>
      <c r="AQ198" s="233" t="n"/>
      <c r="AR198" s="233" t="n"/>
      <c r="AS198" s="233" t="n"/>
      <c r="AT198" s="233" t="n"/>
      <c r="AU198" s="233" t="n"/>
      <c r="AV198" s="233" t="n"/>
      <c r="AW198" s="233" t="n"/>
      <c r="AY198" s="692" t="n"/>
      <c r="AZ198" s="692" t="n"/>
      <c r="BA198" s="692" t="n"/>
      <c r="BB198" s="692" t="n"/>
      <c r="BC198" s="692" t="n"/>
      <c r="BD198" s="692" t="n"/>
      <c r="BE198" s="692" t="n"/>
      <c r="BF198" s="692" t="n"/>
      <c r="BG198" s="692" t="n"/>
      <c r="BH198" s="692" t="n"/>
      <c r="BI198" s="692" t="n"/>
      <c r="BJ198" s="692" t="n"/>
      <c r="BK198" s="692" t="n"/>
      <c r="BL198" s="692" t="n"/>
      <c r="BM198" s="692" t="n"/>
      <c r="BN198" s="692" t="n"/>
      <c r="BO198" s="692" t="n"/>
      <c r="BP198" s="692" t="n"/>
      <c r="BQ198" s="692" t="n"/>
    </row>
    <row r="199">
      <c r="A199" s="220" t="inlineStr">
        <is>
          <t>Male</t>
        </is>
      </c>
      <c r="B199" s="211" t="inlineStr">
        <is>
          <t>100 Fly</t>
        </is>
      </c>
      <c r="C199" s="190" t="n">
        <v>2023</v>
      </c>
      <c r="D199" s="211" t="inlineStr">
        <is>
          <t>PHI</t>
        </is>
      </c>
      <c r="E199" s="221" t="n">
        <v>3</v>
      </c>
      <c r="F199" s="211" t="inlineStr">
        <is>
          <t>52.91</t>
        </is>
      </c>
      <c r="G199" s="211" t="n">
        <v>1998</v>
      </c>
      <c r="H199" s="211">
        <f>C199-G199</f>
        <v/>
      </c>
      <c r="I199" s="211" t="inlineStr">
        <is>
          <t>Jarod Hatch</t>
        </is>
      </c>
      <c r="J199" s="211" t="inlineStr">
        <is>
          <t>California Berkeley</t>
        </is>
      </c>
      <c r="K199" s="211" t="inlineStr">
        <is>
          <t>USA</t>
        </is>
      </c>
      <c r="L199" s="213" t="n"/>
      <c r="M199" s="689" t="n"/>
      <c r="N199" s="689" t="n"/>
      <c r="O199" s="689" t="n"/>
      <c r="P199" s="227" t="n"/>
      <c r="Q199" s="689" t="n"/>
      <c r="R199" s="689" t="n"/>
      <c r="S199" s="689" t="n"/>
      <c r="T199" s="689" t="n"/>
      <c r="U199" s="689" t="n"/>
      <c r="V199" s="689" t="n"/>
      <c r="W199" s="689" t="n"/>
      <c r="X199" s="689" t="n"/>
      <c r="Y199" s="689" t="n"/>
      <c r="Z199" s="689" t="n"/>
      <c r="AA199" s="689" t="n"/>
      <c r="AB199" s="689" t="n"/>
      <c r="AC199" s="689" t="n"/>
      <c r="AD199" s="689" t="n"/>
      <c r="AF199" s="233" t="n"/>
      <c r="AG199" s="233" t="n"/>
      <c r="AH199" s="233" t="n"/>
      <c r="AI199" s="233" t="n"/>
      <c r="AJ199" s="233" t="n"/>
      <c r="AK199" s="233" t="n"/>
      <c r="AL199" s="233" t="n"/>
      <c r="AM199" s="233" t="n"/>
      <c r="AN199" s="233" t="n"/>
      <c r="AO199" s="233" t="n"/>
      <c r="AP199" s="233" t="n"/>
      <c r="AQ199" s="233" t="n"/>
      <c r="AR199" s="233" t="n"/>
      <c r="AS199" s="233" t="n"/>
      <c r="AT199" s="233" t="n"/>
      <c r="AU199" s="233" t="n"/>
      <c r="AV199" s="233" t="n"/>
      <c r="AW199" s="233" t="n"/>
      <c r="AY199" s="692" t="n"/>
      <c r="AZ199" s="692" t="n"/>
      <c r="BA199" s="692" t="n"/>
      <c r="BB199" s="692" t="n"/>
      <c r="BC199" s="692" t="n"/>
      <c r="BD199" s="692" t="n"/>
      <c r="BE199" s="692" t="n"/>
      <c r="BF199" s="692" t="n"/>
      <c r="BG199" s="692" t="n"/>
      <c r="BH199" s="692" t="n"/>
      <c r="BI199" s="692" t="n"/>
      <c r="BJ199" s="692" t="n"/>
      <c r="BK199" s="692" t="n"/>
      <c r="BL199" s="692" t="n"/>
      <c r="BM199" s="692" t="n"/>
      <c r="BN199" s="692" t="n"/>
      <c r="BO199" s="692" t="n"/>
      <c r="BP199" s="692" t="n"/>
      <c r="BQ199" s="692" t="n"/>
    </row>
    <row r="200">
      <c r="A200" s="218" t="inlineStr">
        <is>
          <t>Male</t>
        </is>
      </c>
      <c r="B200" s="215" t="inlineStr">
        <is>
          <t>100 Free</t>
        </is>
      </c>
      <c r="C200" s="189" t="n">
        <v>2019</v>
      </c>
      <c r="D200" s="215" t="inlineStr">
        <is>
          <t>SGP</t>
        </is>
      </c>
      <c r="E200" s="219" t="n">
        <v>1</v>
      </c>
      <c r="F200" s="215" t="inlineStr">
        <is>
          <t>49.59</t>
        </is>
      </c>
      <c r="G200" s="211" t="n">
        <v>2000</v>
      </c>
      <c r="H200" s="211">
        <f>C200-G200</f>
        <v/>
      </c>
      <c r="I200" s="211" t="inlineStr">
        <is>
          <t>Darren Chua</t>
        </is>
      </c>
      <c r="J200" s="215" t="n"/>
      <c r="K200" s="215" t="n"/>
      <c r="L200" s="217" t="n"/>
      <c r="M200" s="689" t="n"/>
      <c r="N200" s="689" t="n"/>
      <c r="O200" s="689" t="n"/>
      <c r="P200" s="227" t="n"/>
      <c r="Q200" s="689" t="n"/>
      <c r="R200" s="689" t="n"/>
      <c r="S200" s="689" t="n"/>
      <c r="T200" s="689" t="n"/>
      <c r="U200" s="689" t="n"/>
      <c r="V200" s="689" t="n"/>
      <c r="W200" s="689" t="n"/>
      <c r="X200" s="689" t="n"/>
      <c r="Y200" s="689" t="n"/>
      <c r="Z200" s="689" t="n"/>
      <c r="AA200" s="689" t="n"/>
      <c r="AB200" s="689" t="n"/>
      <c r="AC200" s="689" t="n"/>
      <c r="AD200" s="689" t="n"/>
      <c r="AF200" s="233" t="n"/>
      <c r="AG200" s="233" t="n"/>
      <c r="AH200" s="233" t="n"/>
      <c r="AI200" s="233" t="n"/>
      <c r="AJ200" s="233" t="n"/>
      <c r="AK200" s="233" t="n"/>
      <c r="AL200" s="233" t="n"/>
      <c r="AM200" s="233" t="n"/>
      <c r="AN200" s="233" t="n"/>
      <c r="AO200" s="233" t="n"/>
      <c r="AP200" s="233" t="n"/>
      <c r="AQ200" s="233" t="n"/>
      <c r="AR200" s="233" t="n"/>
      <c r="AS200" s="233" t="n"/>
      <c r="AT200" s="233" t="n"/>
      <c r="AU200" s="233" t="n"/>
      <c r="AV200" s="233" t="n"/>
      <c r="AW200" s="233" t="n"/>
      <c r="AY200" s="692" t="n"/>
      <c r="AZ200" s="692" t="n"/>
      <c r="BA200" s="692" t="n"/>
      <c r="BB200" s="692" t="n"/>
      <c r="BC200" s="692" t="n"/>
      <c r="BD200" s="692" t="n"/>
      <c r="BE200" s="692" t="n"/>
      <c r="BF200" s="692" t="n"/>
      <c r="BG200" s="692" t="n"/>
      <c r="BH200" s="692" t="n"/>
      <c r="BI200" s="692" t="n"/>
      <c r="BJ200" s="692" t="n"/>
      <c r="BK200" s="692" t="n"/>
      <c r="BL200" s="692" t="n"/>
      <c r="BM200" s="692" t="n"/>
      <c r="BN200" s="692" t="n"/>
      <c r="BO200" s="692" t="n"/>
      <c r="BP200" s="692" t="n"/>
      <c r="BQ200" s="692" t="n"/>
    </row>
    <row r="201">
      <c r="A201" s="220" t="inlineStr">
        <is>
          <t>Male</t>
        </is>
      </c>
      <c r="B201" s="211" t="inlineStr">
        <is>
          <t>100 Free</t>
        </is>
      </c>
      <c r="C201" s="190" t="n">
        <v>2019</v>
      </c>
      <c r="D201" s="211" t="inlineStr">
        <is>
          <t>SGP</t>
        </is>
      </c>
      <c r="E201" s="221" t="n">
        <v>2</v>
      </c>
      <c r="F201" s="211" t="inlineStr">
        <is>
          <t>49.64</t>
        </is>
      </c>
      <c r="G201" s="215" t="n">
        <v>1995</v>
      </c>
      <c r="H201" s="215">
        <f>C201-G201</f>
        <v/>
      </c>
      <c r="I201" s="215" t="inlineStr">
        <is>
          <t>Joseph Schooling</t>
        </is>
      </c>
      <c r="J201" s="211" t="inlineStr">
        <is>
          <t>Texas</t>
        </is>
      </c>
      <c r="K201" s="211" t="inlineStr">
        <is>
          <t>USA</t>
        </is>
      </c>
      <c r="L201" s="213" t="inlineStr">
        <is>
          <t>Prep School (Bolles)</t>
        </is>
      </c>
      <c r="M201" s="689" t="n"/>
      <c r="N201" s="689" t="n"/>
      <c r="O201" s="689" t="n"/>
      <c r="P201" s="227" t="n"/>
      <c r="Q201" s="689" t="n"/>
      <c r="R201" s="689" t="n"/>
      <c r="S201" s="689" t="n"/>
      <c r="T201" s="689" t="n"/>
      <c r="U201" s="689" t="n"/>
      <c r="V201" s="689" t="n"/>
      <c r="W201" s="689" t="n"/>
      <c r="X201" s="689" t="n"/>
      <c r="Y201" s="689" t="n"/>
      <c r="Z201" s="689" t="n"/>
      <c r="AA201" s="689" t="n"/>
      <c r="AB201" s="689" t="n"/>
      <c r="AC201" s="689" t="n"/>
      <c r="AD201" s="689" t="n"/>
      <c r="AF201" s="233" t="n"/>
      <c r="AG201" s="233" t="n"/>
      <c r="AH201" s="233" t="n"/>
      <c r="AI201" s="233" t="n"/>
      <c r="AJ201" s="233" t="n"/>
      <c r="AK201" s="233" t="n"/>
      <c r="AL201" s="233" t="n"/>
      <c r="AM201" s="233" t="n"/>
      <c r="AN201" s="233" t="n"/>
      <c r="AO201" s="233" t="n"/>
      <c r="AP201" s="233" t="n"/>
      <c r="AQ201" s="233" t="n"/>
      <c r="AR201" s="233" t="n"/>
      <c r="AS201" s="233" t="n"/>
      <c r="AT201" s="233" t="n"/>
      <c r="AU201" s="233" t="n"/>
      <c r="AV201" s="233" t="n"/>
      <c r="AW201" s="233" t="n"/>
      <c r="AY201" s="692" t="n"/>
      <c r="AZ201" s="692" t="n"/>
      <c r="BA201" s="692" t="n"/>
      <c r="BB201" s="692" t="n"/>
      <c r="BC201" s="692" t="n"/>
      <c r="BD201" s="692" t="n"/>
      <c r="BE201" s="692" t="n"/>
      <c r="BF201" s="692" t="n"/>
      <c r="BG201" s="692" t="n"/>
      <c r="BH201" s="692" t="n"/>
      <c r="BI201" s="692" t="n"/>
      <c r="BJ201" s="692" t="n"/>
      <c r="BK201" s="692" t="n"/>
      <c r="BL201" s="692" t="n"/>
      <c r="BM201" s="692" t="n"/>
      <c r="BN201" s="692" t="n"/>
      <c r="BO201" s="692" t="n"/>
      <c r="BP201" s="692" t="n"/>
      <c r="BQ201" s="692" t="n"/>
    </row>
    <row r="202">
      <c r="A202" s="218" t="inlineStr">
        <is>
          <t>Male</t>
        </is>
      </c>
      <c r="B202" s="215" t="inlineStr">
        <is>
          <t>100 Free</t>
        </is>
      </c>
      <c r="C202" s="189" t="n">
        <v>2019</v>
      </c>
      <c r="D202" s="215" t="inlineStr">
        <is>
          <t>VIE</t>
        </is>
      </c>
      <c r="E202" s="219" t="n">
        <v>3</v>
      </c>
      <c r="F202" s="215" t="inlineStr">
        <is>
          <t>50.08</t>
        </is>
      </c>
      <c r="G202" s="211" t="n">
        <v>1993</v>
      </c>
      <c r="H202" s="211">
        <f>C202-G202</f>
        <v/>
      </c>
      <c r="I202" s="211" t="inlineStr">
        <is>
          <t>Hoàng Quý Phước</t>
        </is>
      </c>
      <c r="J202" s="215" t="n"/>
      <c r="K202" s="215" t="n"/>
      <c r="L202" s="217" t="n"/>
      <c r="M202" s="689" t="n"/>
      <c r="N202" s="689" t="n"/>
      <c r="O202" s="689" t="n"/>
      <c r="P202" s="227" t="n"/>
      <c r="Q202" s="689" t="n"/>
      <c r="R202" s="689" t="n"/>
      <c r="S202" s="689" t="n"/>
      <c r="T202" s="689" t="n"/>
      <c r="U202" s="689" t="n"/>
      <c r="V202" s="689" t="n"/>
      <c r="W202" s="689" t="n"/>
      <c r="X202" s="689" t="n"/>
      <c r="Y202" s="689" t="n"/>
      <c r="Z202" s="689" t="n"/>
      <c r="AA202" s="689" t="n"/>
      <c r="AB202" s="689" t="n"/>
      <c r="AC202" s="689" t="n"/>
      <c r="AD202" s="689" t="n"/>
      <c r="AF202" s="233" t="n"/>
      <c r="AG202" s="233" t="n"/>
      <c r="AH202" s="233" t="n"/>
      <c r="AI202" s="233" t="n"/>
      <c r="AJ202" s="233" t="n"/>
      <c r="AK202" s="233" t="n"/>
      <c r="AL202" s="233" t="n"/>
      <c r="AM202" s="233" t="n"/>
      <c r="AN202" s="233" t="n"/>
      <c r="AO202" s="233" t="n"/>
      <c r="AP202" s="233" t="n"/>
      <c r="AQ202" s="233" t="n"/>
      <c r="AR202" s="233" t="n"/>
      <c r="AS202" s="233" t="n"/>
      <c r="AT202" s="233" t="n"/>
      <c r="AU202" s="233" t="n"/>
      <c r="AV202" s="233" t="n"/>
      <c r="AW202" s="233" t="n"/>
      <c r="AY202" s="692" t="n"/>
      <c r="AZ202" s="692" t="n"/>
      <c r="BA202" s="692" t="n"/>
      <c r="BB202" s="692" t="n"/>
      <c r="BC202" s="692" t="n"/>
      <c r="BD202" s="692" t="n"/>
      <c r="BE202" s="692" t="n"/>
      <c r="BF202" s="692" t="n"/>
      <c r="BG202" s="692" t="n"/>
      <c r="BH202" s="692" t="n"/>
      <c r="BI202" s="692" t="n"/>
      <c r="BJ202" s="692" t="n"/>
      <c r="BK202" s="692" t="n"/>
      <c r="BL202" s="692" t="n"/>
      <c r="BM202" s="692" t="n"/>
      <c r="BN202" s="692" t="n"/>
      <c r="BO202" s="692" t="n"/>
      <c r="BP202" s="692" t="n"/>
      <c r="BQ202" s="692" t="n"/>
    </row>
    <row r="203">
      <c r="A203" s="220" t="inlineStr">
        <is>
          <t>Male</t>
        </is>
      </c>
      <c r="B203" s="211" t="inlineStr">
        <is>
          <t>100 Free</t>
        </is>
      </c>
      <c r="C203" s="190" t="n">
        <v>2022</v>
      </c>
      <c r="D203" s="211" t="inlineStr">
        <is>
          <t>SGP</t>
        </is>
      </c>
      <c r="E203" s="221" t="n">
        <v>1</v>
      </c>
      <c r="F203" s="211" t="inlineStr">
        <is>
          <t>49.57</t>
        </is>
      </c>
      <c r="G203" s="196" t="n">
        <v>1996</v>
      </c>
      <c r="H203" s="196">
        <f>C203-G203</f>
        <v/>
      </c>
      <c r="I203" s="198" t="inlineStr">
        <is>
          <t>Zheng Wen Quah</t>
        </is>
      </c>
      <c r="J203" s="198" t="inlineStr">
        <is>
          <t>California Berkeley</t>
        </is>
      </c>
      <c r="K203" s="198" t="inlineStr">
        <is>
          <t>USA</t>
        </is>
      </c>
      <c r="L203" s="213" t="n"/>
      <c r="M203" s="689" t="n"/>
      <c r="N203" s="689" t="n"/>
      <c r="O203" s="689" t="n"/>
      <c r="P203" s="227" t="n"/>
      <c r="Q203" s="689" t="n"/>
      <c r="R203" s="689" t="n"/>
      <c r="S203" s="689" t="n"/>
      <c r="T203" s="689" t="n"/>
      <c r="U203" s="689" t="n"/>
      <c r="V203" s="689" t="n"/>
      <c r="W203" s="689" t="n"/>
      <c r="X203" s="689" t="n"/>
      <c r="Y203" s="689" t="n"/>
      <c r="Z203" s="689" t="n"/>
      <c r="AA203" s="689" t="n"/>
      <c r="AB203" s="689" t="n"/>
      <c r="AC203" s="689" t="n"/>
      <c r="AD203" s="689" t="n"/>
      <c r="AF203" s="233" t="n"/>
      <c r="AG203" s="233" t="n"/>
      <c r="AH203" s="233" t="n"/>
      <c r="AI203" s="233" t="n"/>
      <c r="AJ203" s="233" t="n"/>
      <c r="AK203" s="233" t="n"/>
      <c r="AL203" s="233" t="n"/>
      <c r="AM203" s="233" t="n"/>
      <c r="AN203" s="233" t="n"/>
      <c r="AO203" s="233" t="n"/>
      <c r="AP203" s="233" t="n"/>
      <c r="AQ203" s="233" t="n"/>
      <c r="AR203" s="233" t="n"/>
      <c r="AS203" s="233" t="n"/>
      <c r="AT203" s="233" t="n"/>
      <c r="AU203" s="233" t="n"/>
      <c r="AV203" s="233" t="n"/>
      <c r="AW203" s="233" t="n"/>
      <c r="AY203" s="692" t="n"/>
      <c r="AZ203" s="692" t="n"/>
      <c r="BA203" s="692" t="n"/>
      <c r="BB203" s="692" t="n"/>
      <c r="BC203" s="692" t="n"/>
      <c r="BD203" s="692" t="n"/>
      <c r="BE203" s="692" t="n"/>
      <c r="BF203" s="692" t="n"/>
      <c r="BG203" s="692" t="n"/>
      <c r="BH203" s="692" t="n"/>
      <c r="BI203" s="692" t="n"/>
      <c r="BJ203" s="692" t="n"/>
      <c r="BK203" s="692" t="n"/>
      <c r="BL203" s="692" t="n"/>
      <c r="BM203" s="692" t="n"/>
      <c r="BN203" s="692" t="n"/>
      <c r="BO203" s="692" t="n"/>
      <c r="BP203" s="692" t="n"/>
      <c r="BQ203" s="692" t="n"/>
    </row>
    <row r="204">
      <c r="A204" s="218" t="inlineStr">
        <is>
          <t>Male</t>
        </is>
      </c>
      <c r="B204" s="215" t="inlineStr">
        <is>
          <t>100 Free</t>
        </is>
      </c>
      <c r="C204" s="189" t="n">
        <v>2022</v>
      </c>
      <c r="D204" s="215" t="inlineStr">
        <is>
          <t>SGP</t>
        </is>
      </c>
      <c r="E204" s="219" t="n">
        <v>2</v>
      </c>
      <c r="F204" s="215" t="inlineStr">
        <is>
          <t>50.14</t>
        </is>
      </c>
      <c r="G204" s="202" t="n">
        <v>2002</v>
      </c>
      <c r="H204" s="202">
        <f>C204-G204</f>
        <v/>
      </c>
      <c r="I204" s="206" t="inlineStr">
        <is>
          <t>Jonathan EU Jin Tan</t>
        </is>
      </c>
      <c r="J204" s="206" t="inlineStr">
        <is>
          <t>Stanford</t>
        </is>
      </c>
      <c r="K204" s="206" t="inlineStr">
        <is>
          <t>USA</t>
        </is>
      </c>
      <c r="L204" s="217" t="n"/>
      <c r="M204" s="689" t="n"/>
      <c r="N204" s="689" t="n"/>
      <c r="O204" s="689" t="n"/>
      <c r="P204" s="227" t="n"/>
      <c r="Q204" s="689" t="n"/>
      <c r="R204" s="689" t="n"/>
      <c r="S204" s="689" t="n"/>
      <c r="T204" s="689" t="n"/>
      <c r="U204" s="689" t="n"/>
      <c r="V204" s="689" t="n"/>
      <c r="W204" s="689" t="n"/>
      <c r="X204" s="689" t="n"/>
      <c r="Y204" s="689" t="n"/>
      <c r="Z204" s="689" t="n"/>
      <c r="AA204" s="689" t="n"/>
      <c r="AB204" s="689" t="n"/>
      <c r="AC204" s="689" t="n"/>
      <c r="AD204" s="689" t="n"/>
      <c r="AF204" s="233" t="n"/>
      <c r="AG204" s="233" t="n"/>
      <c r="AH204" s="233" t="n"/>
      <c r="AI204" s="233" t="n"/>
      <c r="AJ204" s="233" t="n"/>
      <c r="AK204" s="233" t="n"/>
      <c r="AL204" s="233" t="n"/>
      <c r="AM204" s="233" t="n"/>
      <c r="AN204" s="233" t="n"/>
      <c r="AO204" s="233" t="n"/>
      <c r="AP204" s="233" t="n"/>
      <c r="AQ204" s="233" t="n"/>
      <c r="AR204" s="233" t="n"/>
      <c r="AS204" s="233" t="n"/>
      <c r="AT204" s="233" t="n"/>
      <c r="AU204" s="233" t="n"/>
      <c r="AV204" s="233" t="n"/>
      <c r="AW204" s="233" t="n"/>
      <c r="AY204" s="692" t="n"/>
      <c r="AZ204" s="692" t="n"/>
      <c r="BA204" s="692" t="n"/>
      <c r="BB204" s="692" t="n"/>
      <c r="BC204" s="692" t="n"/>
      <c r="BD204" s="692" t="n"/>
      <c r="BE204" s="692" t="n"/>
      <c r="BF204" s="692" t="n"/>
      <c r="BG204" s="692" t="n"/>
      <c r="BH204" s="692" t="n"/>
      <c r="BI204" s="692" t="n"/>
      <c r="BJ204" s="692" t="n"/>
      <c r="BK204" s="692" t="n"/>
      <c r="BL204" s="692" t="n"/>
      <c r="BM204" s="692" t="n"/>
      <c r="BN204" s="692" t="n"/>
      <c r="BO204" s="692" t="n"/>
      <c r="BP204" s="692" t="n"/>
      <c r="BQ204" s="692" t="n"/>
    </row>
    <row r="205">
      <c r="A205" s="220" t="inlineStr">
        <is>
          <t>Male</t>
        </is>
      </c>
      <c r="B205" s="211" t="inlineStr">
        <is>
          <t>100 Free</t>
        </is>
      </c>
      <c r="C205" s="190" t="n">
        <v>2022</v>
      </c>
      <c r="D205" s="211" t="inlineStr">
        <is>
          <t>SGP</t>
        </is>
      </c>
      <c r="E205" s="221" t="n">
        <v>2</v>
      </c>
      <c r="F205" s="211" t="inlineStr">
        <is>
          <t>50.14</t>
        </is>
      </c>
      <c r="G205" s="197" t="n">
        <v>2000</v>
      </c>
      <c r="H205" s="197">
        <f>C205-G205</f>
        <v/>
      </c>
      <c r="I205" s="201" t="inlineStr">
        <is>
          <t>Jeremie Loic Nino Luong</t>
        </is>
      </c>
      <c r="J205" s="201" t="inlineStr">
        <is>
          <t>Michigan</t>
        </is>
      </c>
      <c r="K205" s="201" t="inlineStr">
        <is>
          <t>USA</t>
        </is>
      </c>
      <c r="L205" s="203" t="inlineStr">
        <is>
          <t>France (10)</t>
        </is>
      </c>
      <c r="M205" s="689" t="n"/>
      <c r="N205" s="689" t="n"/>
      <c r="O205" s="689" t="n"/>
      <c r="P205" s="227" t="n"/>
      <c r="Q205" s="689" t="n"/>
      <c r="R205" s="689" t="n"/>
      <c r="S205" s="689" t="n"/>
      <c r="T205" s="689" t="n"/>
      <c r="U205" s="689" t="n"/>
      <c r="V205" s="689" t="n"/>
      <c r="W205" s="689" t="n"/>
      <c r="X205" s="689" t="n"/>
      <c r="Y205" s="689" t="n"/>
      <c r="Z205" s="689" t="n"/>
      <c r="AA205" s="689" t="n"/>
      <c r="AB205" s="689" t="n"/>
      <c r="AC205" s="689" t="n"/>
      <c r="AD205" s="689" t="n"/>
      <c r="AF205" s="233" t="n"/>
      <c r="AG205" s="233" t="n"/>
      <c r="AH205" s="233" t="n"/>
      <c r="AI205" s="233" t="n"/>
      <c r="AJ205" s="233" t="n"/>
      <c r="AK205" s="233" t="n"/>
      <c r="AL205" s="233" t="n"/>
      <c r="AM205" s="233" t="n"/>
      <c r="AN205" s="233" t="n"/>
      <c r="AO205" s="233" t="n"/>
      <c r="AP205" s="233" t="n"/>
      <c r="AQ205" s="233" t="n"/>
      <c r="AR205" s="233" t="n"/>
      <c r="AS205" s="233" t="n"/>
      <c r="AT205" s="233" t="n"/>
      <c r="AU205" s="233" t="n"/>
      <c r="AV205" s="233" t="n"/>
      <c r="AW205" s="233" t="n"/>
      <c r="AY205" s="692" t="n"/>
      <c r="AZ205" s="692" t="n"/>
      <c r="BA205" s="692" t="n"/>
      <c r="BB205" s="692" t="n"/>
      <c r="BC205" s="692" t="n"/>
      <c r="BD205" s="692" t="n"/>
      <c r="BE205" s="692" t="n"/>
      <c r="BF205" s="692" t="n"/>
      <c r="BG205" s="692" t="n"/>
      <c r="BH205" s="692" t="n"/>
      <c r="BI205" s="692" t="n"/>
      <c r="BJ205" s="692" t="n"/>
      <c r="BK205" s="692" t="n"/>
      <c r="BL205" s="692" t="n"/>
      <c r="BM205" s="692" t="n"/>
      <c r="BN205" s="692" t="n"/>
      <c r="BO205" s="692" t="n"/>
      <c r="BP205" s="692" t="n"/>
      <c r="BQ205" s="692" t="n"/>
    </row>
    <row r="206">
      <c r="A206" s="218" t="inlineStr">
        <is>
          <t>Male</t>
        </is>
      </c>
      <c r="B206" s="215" t="inlineStr">
        <is>
          <t>100 Free</t>
        </is>
      </c>
      <c r="C206" s="189" t="n">
        <v>2023</v>
      </c>
      <c r="D206" s="215" t="inlineStr">
        <is>
          <t>SGP</t>
        </is>
      </c>
      <c r="E206" s="219" t="n">
        <v>1</v>
      </c>
      <c r="F206" s="215" t="inlineStr">
        <is>
          <t>48.80</t>
        </is>
      </c>
      <c r="G206" s="215" t="n">
        <v>2002</v>
      </c>
      <c r="H206" s="215">
        <f>C206-G206</f>
        <v/>
      </c>
      <c r="I206" s="215" t="inlineStr">
        <is>
          <t>Jonathan EU Jin Tan</t>
        </is>
      </c>
      <c r="J206" s="215" t="inlineStr">
        <is>
          <t>Stanford</t>
        </is>
      </c>
      <c r="K206" s="215" t="inlineStr">
        <is>
          <t>USA</t>
        </is>
      </c>
      <c r="L206" s="217" t="n"/>
      <c r="M206" s="689" t="n"/>
      <c r="N206" s="689" t="n"/>
      <c r="O206" s="689" t="n"/>
      <c r="P206" s="227" t="n"/>
      <c r="Q206" s="689" t="n"/>
      <c r="R206" s="689" t="n"/>
      <c r="S206" s="689" t="n"/>
      <c r="T206" s="689" t="n"/>
      <c r="U206" s="689" t="n"/>
      <c r="V206" s="689" t="n"/>
      <c r="W206" s="689" t="n"/>
      <c r="X206" s="689" t="n"/>
      <c r="Y206" s="689" t="n"/>
      <c r="Z206" s="689" t="n"/>
      <c r="AA206" s="689" t="n"/>
      <c r="AB206" s="689" t="n"/>
      <c r="AC206" s="689" t="n"/>
      <c r="AD206" s="689" t="n"/>
      <c r="AF206" s="233" t="n"/>
      <c r="AG206" s="233" t="n"/>
      <c r="AH206" s="233" t="n"/>
      <c r="AI206" s="233" t="n"/>
      <c r="AJ206" s="233" t="n"/>
      <c r="AK206" s="233" t="n"/>
      <c r="AL206" s="233" t="n"/>
      <c r="AM206" s="233" t="n"/>
      <c r="AN206" s="233" t="n"/>
      <c r="AO206" s="233" t="n"/>
      <c r="AP206" s="233" t="n"/>
      <c r="AQ206" s="233" t="n"/>
      <c r="AR206" s="233" t="n"/>
      <c r="AS206" s="233" t="n"/>
      <c r="AT206" s="233" t="n"/>
      <c r="AU206" s="233" t="n"/>
      <c r="AV206" s="233" t="n"/>
      <c r="AW206" s="233" t="n"/>
      <c r="AY206" s="692" t="n"/>
      <c r="AZ206" s="692" t="n"/>
      <c r="BA206" s="692" t="n"/>
      <c r="BB206" s="692" t="n"/>
      <c r="BC206" s="692" t="n"/>
      <c r="BD206" s="692" t="n"/>
      <c r="BE206" s="692" t="n"/>
      <c r="BF206" s="692" t="n"/>
      <c r="BG206" s="692" t="n"/>
      <c r="BH206" s="692" t="n"/>
      <c r="BI206" s="692" t="n"/>
      <c r="BJ206" s="692" t="n"/>
      <c r="BK206" s="692" t="n"/>
      <c r="BL206" s="692" t="n"/>
      <c r="BM206" s="692" t="n"/>
      <c r="BN206" s="692" t="n"/>
      <c r="BO206" s="692" t="n"/>
      <c r="BP206" s="692" t="n"/>
      <c r="BQ206" s="692" t="n"/>
    </row>
    <row r="207">
      <c r="A207" s="220" t="inlineStr">
        <is>
          <t>Male</t>
        </is>
      </c>
      <c r="B207" s="211" t="inlineStr">
        <is>
          <t>100 Free</t>
        </is>
      </c>
      <c r="C207" s="190" t="n">
        <v>2023</v>
      </c>
      <c r="D207" s="211" t="inlineStr">
        <is>
          <t>SGP</t>
        </is>
      </c>
      <c r="E207" s="221" t="n">
        <v>2</v>
      </c>
      <c r="F207" s="211" t="inlineStr">
        <is>
          <t>48.99</t>
        </is>
      </c>
      <c r="G207" s="211" t="n">
        <v>1996</v>
      </c>
      <c r="H207" s="211">
        <f>C207-G207</f>
        <v/>
      </c>
      <c r="I207" s="211" t="inlineStr">
        <is>
          <t>Zheng Wen Quah</t>
        </is>
      </c>
      <c r="J207" s="211" t="inlineStr">
        <is>
          <t>California Berkeley</t>
        </is>
      </c>
      <c r="K207" s="211" t="inlineStr">
        <is>
          <t>USA</t>
        </is>
      </c>
      <c r="L207" s="213" t="n"/>
      <c r="M207" s="689" t="n"/>
      <c r="N207" s="689" t="n"/>
      <c r="O207" s="689" t="n"/>
      <c r="P207" s="227" t="n"/>
      <c r="Q207" s="689" t="n"/>
      <c r="R207" s="689" t="n"/>
      <c r="S207" s="689" t="n"/>
      <c r="T207" s="689" t="n"/>
      <c r="U207" s="689" t="n"/>
      <c r="V207" s="689" t="n"/>
      <c r="W207" s="689" t="n"/>
      <c r="X207" s="689" t="n"/>
      <c r="Y207" s="689" t="n"/>
      <c r="Z207" s="689" t="n"/>
      <c r="AA207" s="689" t="n"/>
      <c r="AB207" s="689" t="n"/>
      <c r="AC207" s="689" t="n"/>
      <c r="AD207" s="689" t="n"/>
      <c r="AF207" s="233" t="n"/>
      <c r="AG207" s="233" t="n"/>
      <c r="AH207" s="233" t="n"/>
      <c r="AI207" s="233" t="n"/>
      <c r="AJ207" s="233" t="n"/>
      <c r="AK207" s="233" t="n"/>
      <c r="AL207" s="233" t="n"/>
      <c r="AM207" s="233" t="n"/>
      <c r="AN207" s="233" t="n"/>
      <c r="AO207" s="233" t="n"/>
      <c r="AP207" s="233" t="n"/>
      <c r="AQ207" s="233" t="n"/>
      <c r="AR207" s="233" t="n"/>
      <c r="AS207" s="233" t="n"/>
      <c r="AT207" s="233" t="n"/>
      <c r="AU207" s="233" t="n"/>
      <c r="AV207" s="233" t="n"/>
      <c r="AW207" s="233" t="n"/>
      <c r="AY207" s="692" t="n"/>
      <c r="AZ207" s="692" t="n"/>
      <c r="BA207" s="692" t="n"/>
      <c r="BB207" s="692" t="n"/>
      <c r="BC207" s="692" t="n"/>
      <c r="BD207" s="692" t="n"/>
      <c r="BE207" s="692" t="n"/>
      <c r="BF207" s="692" t="n"/>
      <c r="BG207" s="692" t="n"/>
      <c r="BH207" s="692" t="n"/>
      <c r="BI207" s="692" t="n"/>
      <c r="BJ207" s="692" t="n"/>
      <c r="BK207" s="692" t="n"/>
      <c r="BL207" s="692" t="n"/>
      <c r="BM207" s="692" t="n"/>
      <c r="BN207" s="692" t="n"/>
      <c r="BO207" s="692" t="n"/>
      <c r="BP207" s="692" t="n"/>
      <c r="BQ207" s="692" t="n"/>
    </row>
    <row r="208">
      <c r="A208" s="218" t="inlineStr">
        <is>
          <t>Male</t>
        </is>
      </c>
      <c r="B208" s="215" t="inlineStr">
        <is>
          <t>100 Free</t>
        </is>
      </c>
      <c r="C208" s="189" t="n">
        <v>2023</v>
      </c>
      <c r="D208" s="215" t="inlineStr">
        <is>
          <t>VIE</t>
        </is>
      </c>
      <c r="E208" s="219" t="n">
        <v>3</v>
      </c>
      <c r="F208" s="215" t="inlineStr">
        <is>
          <t>49.69</t>
        </is>
      </c>
      <c r="G208" s="215" t="n">
        <v>2000</v>
      </c>
      <c r="H208" s="215">
        <f>C208-G208</f>
        <v/>
      </c>
      <c r="I208" s="215" t="inlineStr">
        <is>
          <t>Jeremie Loic Nino Luong</t>
        </is>
      </c>
      <c r="J208" s="215" t="inlineStr">
        <is>
          <t>Michigan</t>
        </is>
      </c>
      <c r="K208" s="215" t="inlineStr">
        <is>
          <t>USA</t>
        </is>
      </c>
      <c r="L208" s="217" t="inlineStr">
        <is>
          <t>France (10)</t>
        </is>
      </c>
      <c r="M208" s="689" t="n"/>
      <c r="N208" s="689" t="n"/>
      <c r="O208" s="689" t="n"/>
      <c r="P208" s="227" t="n"/>
      <c r="Q208" s="689" t="n"/>
      <c r="R208" s="689" t="n"/>
      <c r="S208" s="689" t="n"/>
      <c r="T208" s="689" t="n"/>
      <c r="U208" s="689" t="n"/>
      <c r="V208" s="689" t="n"/>
      <c r="W208" s="689" t="n"/>
      <c r="X208" s="689" t="n"/>
      <c r="Y208" s="689" t="n"/>
      <c r="Z208" s="689" t="n"/>
      <c r="AA208" s="689" t="n"/>
      <c r="AB208" s="689" t="n"/>
      <c r="AC208" s="689" t="n"/>
      <c r="AD208" s="689" t="n"/>
      <c r="AF208" s="233" t="n"/>
      <c r="AG208" s="233" t="n"/>
      <c r="AH208" s="233" t="n"/>
      <c r="AI208" s="233" t="n"/>
      <c r="AJ208" s="233" t="n"/>
      <c r="AK208" s="233" t="n"/>
      <c r="AL208" s="233" t="n"/>
      <c r="AM208" s="233" t="n"/>
      <c r="AN208" s="233" t="n"/>
      <c r="AO208" s="233" t="n"/>
      <c r="AP208" s="233" t="n"/>
      <c r="AQ208" s="233" t="n"/>
      <c r="AR208" s="233" t="n"/>
      <c r="AS208" s="233" t="n"/>
      <c r="AT208" s="233" t="n"/>
      <c r="AU208" s="233" t="n"/>
      <c r="AV208" s="233" t="n"/>
      <c r="AW208" s="233" t="n"/>
      <c r="AY208" s="692" t="n"/>
      <c r="AZ208" s="692" t="n"/>
      <c r="BA208" s="692" t="n"/>
      <c r="BB208" s="692" t="n"/>
      <c r="BC208" s="692" t="n"/>
      <c r="BD208" s="692" t="n"/>
      <c r="BE208" s="692" t="n"/>
      <c r="BF208" s="692" t="n"/>
      <c r="BG208" s="692" t="n"/>
      <c r="BH208" s="692" t="n"/>
      <c r="BI208" s="692" t="n"/>
      <c r="BJ208" s="692" t="n"/>
      <c r="BK208" s="692" t="n"/>
      <c r="BL208" s="692" t="n"/>
      <c r="BM208" s="692" t="n"/>
      <c r="BN208" s="692" t="n"/>
      <c r="BO208" s="692" t="n"/>
      <c r="BP208" s="692" t="n"/>
      <c r="BQ208" s="692" t="n"/>
    </row>
    <row r="209">
      <c r="A209" s="220" t="inlineStr">
        <is>
          <t>Male</t>
        </is>
      </c>
      <c r="B209" s="211" t="inlineStr">
        <is>
          <t>1500 Free</t>
        </is>
      </c>
      <c r="C209" s="190" t="n">
        <v>2019</v>
      </c>
      <c r="D209" s="211" t="inlineStr">
        <is>
          <t>VIE</t>
        </is>
      </c>
      <c r="E209" s="221" t="n">
        <v>1</v>
      </c>
      <c r="F209" s="211" t="inlineStr">
        <is>
          <t>14:58.14</t>
        </is>
      </c>
      <c r="G209" s="195" t="n">
        <v>2000</v>
      </c>
      <c r="H209" s="195">
        <f>C209-G209</f>
        <v/>
      </c>
      <c r="I209" s="200" t="inlineStr">
        <is>
          <t>Huy Hoang Nguyen</t>
        </is>
      </c>
      <c r="J209" s="211" t="n"/>
      <c r="K209" s="211" t="n"/>
      <c r="L209" s="213" t="n"/>
      <c r="M209" s="689" t="n"/>
      <c r="N209" s="689" t="n"/>
      <c r="O209" s="689" t="n"/>
      <c r="P209" s="227" t="n"/>
      <c r="Q209" s="689" t="n"/>
      <c r="R209" s="689" t="n"/>
      <c r="S209" s="689" t="n"/>
      <c r="T209" s="689" t="n"/>
      <c r="U209" s="689" t="n"/>
      <c r="V209" s="689" t="n"/>
      <c r="W209" s="689" t="n"/>
      <c r="X209" s="689" t="n"/>
      <c r="Y209" s="689" t="n"/>
      <c r="Z209" s="689" t="n"/>
      <c r="AA209" s="689" t="n"/>
      <c r="AB209" s="689" t="n"/>
      <c r="AC209" s="689" t="n"/>
      <c r="AD209" s="689" t="n"/>
      <c r="AF209" s="233" t="n"/>
      <c r="AG209" s="233" t="n"/>
      <c r="AH209" s="233" t="n"/>
      <c r="AI209" s="233" t="n"/>
      <c r="AJ209" s="233" t="n"/>
      <c r="AK209" s="233" t="n"/>
      <c r="AL209" s="233" t="n"/>
      <c r="AM209" s="233" t="n"/>
      <c r="AN209" s="233" t="n"/>
      <c r="AO209" s="233" t="n"/>
      <c r="AP209" s="233" t="n"/>
      <c r="AQ209" s="233" t="n"/>
      <c r="AR209" s="233" t="n"/>
      <c r="AS209" s="233" t="n"/>
      <c r="AT209" s="233" t="n"/>
      <c r="AU209" s="233" t="n"/>
      <c r="AV209" s="233" t="n"/>
      <c r="AW209" s="233" t="n"/>
      <c r="AY209" s="692" t="n"/>
      <c r="AZ209" s="692" t="n"/>
      <c r="BA209" s="692" t="n"/>
      <c r="BB209" s="692" t="n"/>
      <c r="BC209" s="692" t="n"/>
      <c r="BD209" s="692" t="n"/>
      <c r="BE209" s="692" t="n"/>
      <c r="BF209" s="692" t="n"/>
      <c r="BG209" s="692" t="n"/>
      <c r="BH209" s="692" t="n"/>
      <c r="BI209" s="692" t="n"/>
      <c r="BJ209" s="692" t="n"/>
      <c r="BK209" s="692" t="n"/>
      <c r="BL209" s="692" t="n"/>
      <c r="BM209" s="692" t="n"/>
      <c r="BN209" s="692" t="n"/>
      <c r="BO209" s="692" t="n"/>
      <c r="BP209" s="692" t="n"/>
      <c r="BQ209" s="692" t="n"/>
    </row>
    <row r="210">
      <c r="A210" s="218" t="inlineStr">
        <is>
          <t>Male</t>
        </is>
      </c>
      <c r="B210" s="215" t="inlineStr">
        <is>
          <t>1500 Free</t>
        </is>
      </c>
      <c r="C210" s="189" t="n">
        <v>2019</v>
      </c>
      <c r="D210" s="215" t="inlineStr">
        <is>
          <t>IND</t>
        </is>
      </c>
      <c r="E210" s="219" t="n">
        <v>2</v>
      </c>
      <c r="F210" s="215" t="inlineStr">
        <is>
          <t>15:15.77</t>
        </is>
      </c>
      <c r="G210" s="215" t="n">
        <v>1997</v>
      </c>
      <c r="H210" s="197">
        <f>C210-G210</f>
        <v/>
      </c>
      <c r="I210" s="215" t="inlineStr">
        <is>
          <t>Aflah Fadlan PRAWIRA</t>
        </is>
      </c>
      <c r="J210" s="215" t="n"/>
      <c r="K210" s="215" t="n"/>
      <c r="L210" s="217" t="n"/>
      <c r="M210" s="689" t="n"/>
      <c r="N210" s="689" t="n"/>
      <c r="O210" s="689" t="n"/>
      <c r="P210" s="227" t="n"/>
      <c r="Q210" s="689" t="n"/>
      <c r="R210" s="689" t="n"/>
      <c r="S210" s="689" t="n"/>
      <c r="T210" s="689" t="n"/>
      <c r="U210" s="689" t="n"/>
      <c r="V210" s="689" t="n"/>
      <c r="W210" s="689" t="n"/>
      <c r="X210" s="689" t="n"/>
      <c r="Y210" s="689" t="n"/>
      <c r="Z210" s="689" t="n"/>
      <c r="AA210" s="689" t="n"/>
      <c r="AB210" s="689" t="n"/>
      <c r="AC210" s="689" t="n"/>
      <c r="AD210" s="689" t="n"/>
      <c r="AF210" s="233" t="n"/>
      <c r="AG210" s="233" t="n"/>
      <c r="AH210" s="233" t="n"/>
      <c r="AI210" s="233" t="n"/>
      <c r="AJ210" s="233" t="n"/>
      <c r="AK210" s="233" t="n"/>
      <c r="AL210" s="233" t="n"/>
      <c r="AM210" s="233" t="n"/>
      <c r="AN210" s="233" t="n"/>
      <c r="AO210" s="233" t="n"/>
      <c r="AP210" s="233" t="n"/>
      <c r="AQ210" s="233" t="n"/>
      <c r="AR210" s="233" t="n"/>
      <c r="AS210" s="233" t="n"/>
      <c r="AT210" s="233" t="n"/>
      <c r="AU210" s="233" t="n"/>
      <c r="AV210" s="233" t="n"/>
      <c r="AW210" s="233" t="n"/>
      <c r="AY210" s="692" t="n"/>
      <c r="AZ210" s="692" t="n"/>
      <c r="BA210" s="692" t="n"/>
      <c r="BB210" s="692" t="n"/>
      <c r="BC210" s="692" t="n"/>
      <c r="BD210" s="692" t="n"/>
      <c r="BE210" s="692" t="n"/>
      <c r="BF210" s="692" t="n"/>
      <c r="BG210" s="692" t="n"/>
      <c r="BH210" s="692" t="n"/>
      <c r="BI210" s="692" t="n"/>
      <c r="BJ210" s="692" t="n"/>
      <c r="BK210" s="692" t="n"/>
      <c r="BL210" s="692" t="n"/>
      <c r="BM210" s="692" t="n"/>
      <c r="BN210" s="692" t="n"/>
      <c r="BO210" s="692" t="n"/>
      <c r="BP210" s="692" t="n"/>
      <c r="BQ210" s="692" t="n"/>
    </row>
    <row r="211">
      <c r="A211" s="220" t="inlineStr">
        <is>
          <t>Male</t>
        </is>
      </c>
      <c r="B211" s="211" t="inlineStr">
        <is>
          <t>1500 Free</t>
        </is>
      </c>
      <c r="C211" s="190" t="n">
        <v>2019</v>
      </c>
      <c r="D211" s="211" t="inlineStr">
        <is>
          <t>VIE</t>
        </is>
      </c>
      <c r="E211" s="221" t="n">
        <v>3</v>
      </c>
      <c r="F211" s="211" t="inlineStr">
        <is>
          <t>15:18.87</t>
        </is>
      </c>
      <c r="G211" s="197" t="n">
        <v>2002</v>
      </c>
      <c r="H211" s="197">
        <f>C211-G211</f>
        <v/>
      </c>
      <c r="I211" s="201" t="inlineStr">
        <is>
          <t>Huu Kim Son Nguyen</t>
        </is>
      </c>
      <c r="J211" s="211" t="n"/>
      <c r="K211" s="211" t="n"/>
      <c r="L211" s="213" t="n"/>
      <c r="M211" s="689" t="n"/>
      <c r="N211" s="689" t="n"/>
      <c r="O211" s="689" t="n"/>
      <c r="P211" s="227" t="n"/>
      <c r="Q211" s="689" t="n"/>
      <c r="R211" s="689" t="n"/>
      <c r="S211" s="689" t="n"/>
      <c r="T211" s="689" t="n"/>
      <c r="U211" s="689" t="n"/>
      <c r="V211" s="689" t="n"/>
      <c r="W211" s="689" t="n"/>
      <c r="X211" s="689" t="n"/>
      <c r="Y211" s="689" t="n"/>
      <c r="Z211" s="689" t="n"/>
      <c r="AA211" s="689" t="n"/>
      <c r="AB211" s="689" t="n"/>
      <c r="AC211" s="689" t="n"/>
      <c r="AD211" s="689" t="n"/>
      <c r="AF211" s="233" t="n"/>
      <c r="AG211" s="233" t="n"/>
      <c r="AH211" s="233" t="n"/>
      <c r="AI211" s="233" t="n"/>
      <c r="AJ211" s="233" t="n"/>
      <c r="AK211" s="233" t="n"/>
      <c r="AL211" s="233" t="n"/>
      <c r="AM211" s="233" t="n"/>
      <c r="AN211" s="233" t="n"/>
      <c r="AO211" s="233" t="n"/>
      <c r="AP211" s="233" t="n"/>
      <c r="AQ211" s="233" t="n"/>
      <c r="AR211" s="233" t="n"/>
      <c r="AS211" s="233" t="n"/>
      <c r="AT211" s="233" t="n"/>
      <c r="AU211" s="233" t="n"/>
      <c r="AV211" s="233" t="n"/>
      <c r="AW211" s="233" t="n"/>
      <c r="AY211" s="692" t="n"/>
      <c r="AZ211" s="692" t="n"/>
      <c r="BA211" s="692" t="n"/>
      <c r="BB211" s="692" t="n"/>
      <c r="BC211" s="692" t="n"/>
      <c r="BD211" s="692" t="n"/>
      <c r="BE211" s="692" t="n"/>
      <c r="BF211" s="692" t="n"/>
      <c r="BG211" s="692" t="n"/>
      <c r="BH211" s="692" t="n"/>
      <c r="BI211" s="692" t="n"/>
      <c r="BJ211" s="692" t="n"/>
      <c r="BK211" s="692" t="n"/>
      <c r="BL211" s="692" t="n"/>
      <c r="BM211" s="692" t="n"/>
      <c r="BN211" s="692" t="n"/>
      <c r="BO211" s="692" t="n"/>
      <c r="BP211" s="692" t="n"/>
      <c r="BQ211" s="692" t="n"/>
    </row>
    <row r="212">
      <c r="A212" s="218" t="inlineStr">
        <is>
          <t>Male</t>
        </is>
      </c>
      <c r="B212" s="215" t="inlineStr">
        <is>
          <t>1500 Free</t>
        </is>
      </c>
      <c r="C212" s="189" t="n">
        <v>2022</v>
      </c>
      <c r="D212" s="215" t="inlineStr">
        <is>
          <t>VIE</t>
        </is>
      </c>
      <c r="E212" s="219" t="n">
        <v>1</v>
      </c>
      <c r="F212" s="215" t="inlineStr">
        <is>
          <t>15:00.75</t>
        </is>
      </c>
      <c r="G212" s="215" t="n">
        <v>2000</v>
      </c>
      <c r="H212" s="215">
        <f>C212-G212</f>
        <v/>
      </c>
      <c r="I212" s="215" t="inlineStr">
        <is>
          <t>Huy Hoang Nguyen</t>
        </is>
      </c>
      <c r="J212" s="215" t="n"/>
      <c r="K212" s="215" t="n"/>
      <c r="L212" s="217" t="n"/>
      <c r="M212" s="689" t="n"/>
      <c r="N212" s="689" t="n"/>
      <c r="O212" s="689" t="n"/>
      <c r="P212" s="227" t="n"/>
      <c r="Q212" s="689" t="n"/>
      <c r="R212" s="689" t="n"/>
      <c r="S212" s="689" t="n"/>
      <c r="T212" s="689" t="n"/>
      <c r="U212" s="689" t="n"/>
      <c r="V212" s="689" t="n"/>
      <c r="W212" s="689" t="n"/>
      <c r="X212" s="689" t="n"/>
      <c r="Y212" s="689" t="n"/>
      <c r="Z212" s="689" t="n"/>
      <c r="AA212" s="689" t="n"/>
      <c r="AB212" s="689" t="n"/>
      <c r="AC212" s="689" t="n"/>
      <c r="AD212" s="689" t="n"/>
      <c r="AF212" s="233" t="n"/>
      <c r="AG212" s="233" t="n"/>
      <c r="AH212" s="233" t="n"/>
      <c r="AI212" s="233" t="n"/>
      <c r="AJ212" s="233" t="n"/>
      <c r="AK212" s="233" t="n"/>
      <c r="AL212" s="233" t="n"/>
      <c r="AM212" s="233" t="n"/>
      <c r="AN212" s="233" t="n"/>
      <c r="AO212" s="233" t="n"/>
      <c r="AP212" s="233" t="n"/>
      <c r="AQ212" s="233" t="n"/>
      <c r="AR212" s="233" t="n"/>
      <c r="AS212" s="233" t="n"/>
      <c r="AT212" s="233" t="n"/>
      <c r="AU212" s="233" t="n"/>
      <c r="AV212" s="233" t="n"/>
      <c r="AW212" s="233" t="n"/>
      <c r="AY212" s="692" t="n"/>
      <c r="AZ212" s="692" t="n"/>
      <c r="BA212" s="692" t="n"/>
      <c r="BB212" s="692" t="n"/>
      <c r="BC212" s="692" t="n"/>
      <c r="BD212" s="692" t="n"/>
      <c r="BE212" s="692" t="n"/>
      <c r="BF212" s="692" t="n"/>
      <c r="BG212" s="692" t="n"/>
      <c r="BH212" s="692" t="n"/>
      <c r="BI212" s="692" t="n"/>
      <c r="BJ212" s="692" t="n"/>
      <c r="BK212" s="692" t="n"/>
      <c r="BL212" s="692" t="n"/>
      <c r="BM212" s="692" t="n"/>
      <c r="BN212" s="692" t="n"/>
      <c r="BO212" s="692" t="n"/>
      <c r="BP212" s="692" t="n"/>
      <c r="BQ212" s="692" t="n"/>
    </row>
    <row r="213">
      <c r="A213" s="220" t="inlineStr">
        <is>
          <t>Male</t>
        </is>
      </c>
      <c r="B213" s="211" t="inlineStr">
        <is>
          <t>1500 Free</t>
        </is>
      </c>
      <c r="C213" s="190" t="n">
        <v>2022</v>
      </c>
      <c r="D213" s="211" t="inlineStr">
        <is>
          <t>VIE</t>
        </is>
      </c>
      <c r="E213" s="221" t="n">
        <v>2</v>
      </c>
      <c r="F213" s="211" t="inlineStr">
        <is>
          <t>15:27.31</t>
        </is>
      </c>
      <c r="G213" s="202" t="n">
        <v>2002</v>
      </c>
      <c r="H213" s="202">
        <f>C213-G213</f>
        <v/>
      </c>
      <c r="I213" s="206" t="inlineStr">
        <is>
          <t>Huu Kim Son Nguyen</t>
        </is>
      </c>
      <c r="J213" s="211" t="n"/>
      <c r="K213" s="211" t="n"/>
      <c r="L213" s="213" t="n"/>
      <c r="M213" s="689" t="n"/>
      <c r="N213" s="689" t="n"/>
      <c r="O213" s="689" t="n"/>
      <c r="P213" s="227" t="n"/>
      <c r="Q213" s="689" t="n"/>
      <c r="R213" s="689" t="n"/>
      <c r="S213" s="689" t="n"/>
      <c r="T213" s="689" t="n"/>
      <c r="U213" s="689" t="n"/>
      <c r="V213" s="689" t="n"/>
      <c r="W213" s="689" t="n"/>
      <c r="X213" s="689" t="n"/>
      <c r="Y213" s="689" t="n"/>
      <c r="Z213" s="689" t="n"/>
      <c r="AA213" s="689" t="n"/>
      <c r="AB213" s="689" t="n"/>
      <c r="AC213" s="689" t="n"/>
      <c r="AD213" s="689" t="n"/>
      <c r="AF213" s="233" t="n"/>
      <c r="AG213" s="233" t="n"/>
      <c r="AH213" s="233" t="n"/>
      <c r="AI213" s="233" t="n"/>
      <c r="AJ213" s="233" t="n"/>
      <c r="AK213" s="233" t="n"/>
      <c r="AL213" s="233" t="n"/>
      <c r="AM213" s="233" t="n"/>
      <c r="AN213" s="233" t="n"/>
      <c r="AO213" s="233" t="n"/>
      <c r="AP213" s="233" t="n"/>
      <c r="AQ213" s="233" t="n"/>
      <c r="AR213" s="233" t="n"/>
      <c r="AS213" s="233" t="n"/>
      <c r="AT213" s="233" t="n"/>
      <c r="AU213" s="233" t="n"/>
      <c r="AV213" s="233" t="n"/>
      <c r="AW213" s="233" t="n"/>
      <c r="AY213" s="692" t="n"/>
      <c r="AZ213" s="692" t="n"/>
      <c r="BA213" s="692" t="n"/>
      <c r="BB213" s="692" t="n"/>
      <c r="BC213" s="692" t="n"/>
      <c r="BD213" s="692" t="n"/>
      <c r="BE213" s="692" t="n"/>
      <c r="BF213" s="692" t="n"/>
      <c r="BG213" s="692" t="n"/>
      <c r="BH213" s="692" t="n"/>
      <c r="BI213" s="692" t="n"/>
      <c r="BJ213" s="692" t="n"/>
      <c r="BK213" s="692" t="n"/>
      <c r="BL213" s="692" t="n"/>
      <c r="BM213" s="692" t="n"/>
      <c r="BN213" s="692" t="n"/>
      <c r="BO213" s="692" t="n"/>
      <c r="BP213" s="692" t="n"/>
      <c r="BQ213" s="692" t="n"/>
    </row>
    <row r="214">
      <c r="A214" s="218" t="inlineStr">
        <is>
          <t>Male</t>
        </is>
      </c>
      <c r="B214" s="215" t="inlineStr">
        <is>
          <t>1500 Free</t>
        </is>
      </c>
      <c r="C214" s="189" t="n">
        <v>2022</v>
      </c>
      <c r="D214" s="215" t="inlineStr">
        <is>
          <t>THA</t>
        </is>
      </c>
      <c r="E214" s="219" t="n">
        <v>3</v>
      </c>
      <c r="F214" s="215" t="inlineStr">
        <is>
          <t>15:33.54</t>
        </is>
      </c>
      <c r="G214" s="202" t="n">
        <v>2005</v>
      </c>
      <c r="H214" s="202">
        <f>C214-G214</f>
        <v/>
      </c>
      <c r="I214" s="206" t="inlineStr">
        <is>
          <t>Tonnam Kanteemool</t>
        </is>
      </c>
      <c r="J214" s="215" t="n"/>
      <c r="K214" s="215" t="n"/>
      <c r="L214" s="217" t="n"/>
      <c r="M214" s="689" t="n"/>
      <c r="N214" s="689" t="n"/>
      <c r="O214" s="689" t="n"/>
      <c r="P214" s="227" t="n"/>
      <c r="Q214" s="689" t="n"/>
      <c r="R214" s="689" t="n"/>
      <c r="S214" s="689" t="n"/>
      <c r="T214" s="689" t="n"/>
      <c r="U214" s="689" t="n"/>
      <c r="V214" s="689" t="n"/>
      <c r="W214" s="689" t="n"/>
      <c r="X214" s="689" t="n"/>
      <c r="Y214" s="689" t="n"/>
      <c r="Z214" s="689" t="n"/>
      <c r="AA214" s="689" t="n"/>
      <c r="AB214" s="689" t="n"/>
      <c r="AC214" s="689" t="n"/>
      <c r="AD214" s="689" t="n"/>
      <c r="AF214" s="233" t="n"/>
      <c r="AG214" s="233" t="n"/>
      <c r="AH214" s="233" t="n"/>
      <c r="AI214" s="233" t="n"/>
      <c r="AJ214" s="233" t="n"/>
      <c r="AK214" s="233" t="n"/>
      <c r="AL214" s="233" t="n"/>
      <c r="AM214" s="233" t="n"/>
      <c r="AN214" s="233" t="n"/>
      <c r="AO214" s="233" t="n"/>
      <c r="AP214" s="233" t="n"/>
      <c r="AQ214" s="233" t="n"/>
      <c r="AR214" s="233" t="n"/>
      <c r="AS214" s="233" t="n"/>
      <c r="AT214" s="233" t="n"/>
      <c r="AU214" s="233" t="n"/>
      <c r="AV214" s="233" t="n"/>
      <c r="AW214" s="233" t="n"/>
      <c r="AY214" s="692" t="n"/>
      <c r="AZ214" s="692" t="n"/>
      <c r="BA214" s="692" t="n"/>
      <c r="BB214" s="692" t="n"/>
      <c r="BC214" s="692" t="n"/>
      <c r="BD214" s="692" t="n"/>
      <c r="BE214" s="692" t="n"/>
      <c r="BF214" s="692" t="n"/>
      <c r="BG214" s="692" t="n"/>
      <c r="BH214" s="692" t="n"/>
      <c r="BI214" s="692" t="n"/>
      <c r="BJ214" s="692" t="n"/>
      <c r="BK214" s="692" t="n"/>
      <c r="BL214" s="692" t="n"/>
      <c r="BM214" s="692" t="n"/>
      <c r="BN214" s="692" t="n"/>
      <c r="BO214" s="692" t="n"/>
      <c r="BP214" s="692" t="n"/>
      <c r="BQ214" s="692" t="n"/>
    </row>
    <row r="215">
      <c r="A215" s="220" t="inlineStr">
        <is>
          <t>Male</t>
        </is>
      </c>
      <c r="B215" s="211" t="inlineStr">
        <is>
          <t>1500 Free</t>
        </is>
      </c>
      <c r="C215" s="190" t="n">
        <v>2023</v>
      </c>
      <c r="D215" s="211" t="inlineStr">
        <is>
          <t>VIE</t>
        </is>
      </c>
      <c r="E215" s="221" t="n">
        <v>1</v>
      </c>
      <c r="F215" s="211" t="inlineStr">
        <is>
          <t>15:11.24</t>
        </is>
      </c>
      <c r="G215" s="211" t="n">
        <v>2000</v>
      </c>
      <c r="H215" s="211">
        <f>C215-G215</f>
        <v/>
      </c>
      <c r="I215" s="211" t="inlineStr">
        <is>
          <t>Huy Hoang Nguyen</t>
        </is>
      </c>
      <c r="J215" s="211" t="n"/>
      <c r="K215" s="211" t="n"/>
      <c r="L215" s="213" t="n"/>
      <c r="M215" s="689" t="n"/>
      <c r="N215" s="689" t="n"/>
      <c r="O215" s="689" t="n"/>
      <c r="P215" s="227" t="n"/>
      <c r="Q215" s="689" t="n"/>
      <c r="R215" s="689" t="n"/>
      <c r="S215" s="689" t="n"/>
      <c r="T215" s="689" t="n"/>
      <c r="U215" s="689" t="n"/>
      <c r="V215" s="689" t="n"/>
      <c r="W215" s="689" t="n"/>
      <c r="X215" s="689" t="n"/>
      <c r="Y215" s="689" t="n"/>
      <c r="Z215" s="689" t="n"/>
      <c r="AA215" s="689" t="n"/>
      <c r="AB215" s="689" t="n"/>
      <c r="AC215" s="689" t="n"/>
      <c r="AD215" s="689" t="n"/>
      <c r="AF215" s="233" t="n"/>
      <c r="AG215" s="233" t="n"/>
      <c r="AH215" s="233" t="n"/>
      <c r="AI215" s="233" t="n"/>
      <c r="AJ215" s="233" t="n"/>
      <c r="AK215" s="233" t="n"/>
      <c r="AL215" s="233" t="n"/>
      <c r="AM215" s="233" t="n"/>
      <c r="AN215" s="233" t="n"/>
      <c r="AO215" s="233" t="n"/>
      <c r="AP215" s="233" t="n"/>
      <c r="AQ215" s="233" t="n"/>
      <c r="AR215" s="233" t="n"/>
      <c r="AS215" s="233" t="n"/>
      <c r="AT215" s="233" t="n"/>
      <c r="AU215" s="233" t="n"/>
      <c r="AV215" s="233" t="n"/>
      <c r="AW215" s="233" t="n"/>
      <c r="AY215" s="692" t="n"/>
      <c r="AZ215" s="692" t="n"/>
      <c r="BA215" s="692" t="n"/>
      <c r="BB215" s="692" t="n"/>
      <c r="BC215" s="692" t="n"/>
      <c r="BD215" s="692" t="n"/>
      <c r="BE215" s="692" t="n"/>
      <c r="BF215" s="692" t="n"/>
      <c r="BG215" s="692" t="n"/>
      <c r="BH215" s="692" t="n"/>
      <c r="BI215" s="692" t="n"/>
      <c r="BJ215" s="692" t="n"/>
      <c r="BK215" s="692" t="n"/>
      <c r="BL215" s="692" t="n"/>
      <c r="BM215" s="692" t="n"/>
      <c r="BN215" s="692" t="n"/>
      <c r="BO215" s="692" t="n"/>
      <c r="BP215" s="692" t="n"/>
      <c r="BQ215" s="692" t="n"/>
    </row>
    <row r="216">
      <c r="A216" s="218" t="inlineStr">
        <is>
          <t>Male</t>
        </is>
      </c>
      <c r="B216" s="215" t="inlineStr">
        <is>
          <t>1500 Free</t>
        </is>
      </c>
      <c r="C216" s="189" t="n">
        <v>2023</v>
      </c>
      <c r="D216" s="215" t="inlineStr">
        <is>
          <t>VIE</t>
        </is>
      </c>
      <c r="E216" s="219" t="n">
        <v>2</v>
      </c>
      <c r="F216" s="215" t="inlineStr">
        <is>
          <t>15:35.21</t>
        </is>
      </c>
      <c r="G216" s="215" t="n">
        <v>2002</v>
      </c>
      <c r="H216" s="211">
        <f>C216-G216</f>
        <v/>
      </c>
      <c r="I216" s="215" t="inlineStr">
        <is>
          <t>Huu Kim Son Nguyen</t>
        </is>
      </c>
      <c r="J216" s="215" t="n"/>
      <c r="K216" s="215" t="n"/>
      <c r="L216" s="217" t="n"/>
      <c r="M216" s="689" t="n"/>
      <c r="N216" s="689" t="n"/>
      <c r="O216" s="689" t="n"/>
      <c r="P216" s="227" t="n"/>
      <c r="Q216" s="689" t="n"/>
      <c r="R216" s="689" t="n"/>
      <c r="S216" s="689" t="n"/>
      <c r="T216" s="689" t="n"/>
      <c r="U216" s="689" t="n"/>
      <c r="V216" s="689" t="n"/>
      <c r="W216" s="689" t="n"/>
      <c r="X216" s="689" t="n"/>
      <c r="Y216" s="689" t="n"/>
      <c r="Z216" s="689" t="n"/>
      <c r="AA216" s="689" t="n"/>
      <c r="AB216" s="689" t="n"/>
      <c r="AC216" s="689" t="n"/>
      <c r="AD216" s="689" t="n"/>
      <c r="AF216" s="233" t="n"/>
      <c r="AG216" s="233" t="n"/>
      <c r="AH216" s="233" t="n"/>
      <c r="AI216" s="233" t="n"/>
      <c r="AJ216" s="233" t="n"/>
      <c r="AK216" s="233" t="n"/>
      <c r="AL216" s="233" t="n"/>
      <c r="AM216" s="233" t="n"/>
      <c r="AN216" s="233" t="n"/>
      <c r="AO216" s="233" t="n"/>
      <c r="AP216" s="233" t="n"/>
      <c r="AQ216" s="233" t="n"/>
      <c r="AR216" s="233" t="n"/>
      <c r="AS216" s="233" t="n"/>
      <c r="AT216" s="233" t="n"/>
      <c r="AU216" s="233" t="n"/>
      <c r="AV216" s="233" t="n"/>
      <c r="AW216" s="233" t="n"/>
      <c r="AY216" s="692" t="n"/>
      <c r="AZ216" s="692" t="n"/>
      <c r="BA216" s="692" t="n"/>
      <c r="BB216" s="692" t="n"/>
      <c r="BC216" s="692" t="n"/>
      <c r="BD216" s="692" t="n"/>
      <c r="BE216" s="692" t="n"/>
      <c r="BF216" s="692" t="n"/>
      <c r="BG216" s="692" t="n"/>
      <c r="BH216" s="692" t="n"/>
      <c r="BI216" s="692" t="n"/>
      <c r="BJ216" s="692" t="n"/>
      <c r="BK216" s="692" t="n"/>
      <c r="BL216" s="692" t="n"/>
      <c r="BM216" s="692" t="n"/>
      <c r="BN216" s="692" t="n"/>
      <c r="BO216" s="692" t="n"/>
      <c r="BP216" s="692" t="n"/>
      <c r="BQ216" s="692" t="n"/>
    </row>
    <row r="217">
      <c r="A217" s="220" t="inlineStr">
        <is>
          <t>Male</t>
        </is>
      </c>
      <c r="B217" s="211" t="inlineStr">
        <is>
          <t>1500 Free</t>
        </is>
      </c>
      <c r="C217" s="190" t="n">
        <v>2023</v>
      </c>
      <c r="D217" s="211" t="inlineStr">
        <is>
          <t>SGP</t>
        </is>
      </c>
      <c r="E217" s="221" t="n">
        <v>3</v>
      </c>
      <c r="F217" s="211" t="inlineStr">
        <is>
          <t>15:40.49</t>
        </is>
      </c>
      <c r="G217" s="211" t="n">
        <v>2002</v>
      </c>
      <c r="H217" s="211">
        <f>C217-G217</f>
        <v/>
      </c>
      <c r="I217" s="211" t="inlineStr">
        <is>
          <t>Glen Jun Wei Lim</t>
        </is>
      </c>
      <c r="J217" s="211" t="n"/>
      <c r="K217" s="211" t="n"/>
      <c r="L217" s="213" t="n"/>
      <c r="M217" s="689" t="n"/>
      <c r="N217" s="689" t="n"/>
      <c r="O217" s="689" t="n"/>
      <c r="P217" s="227" t="n"/>
      <c r="Q217" s="689" t="n"/>
      <c r="R217" s="689" t="n"/>
      <c r="S217" s="689" t="n"/>
      <c r="T217" s="689" t="n"/>
      <c r="U217" s="689" t="n"/>
      <c r="V217" s="689" t="n"/>
      <c r="W217" s="689" t="n"/>
      <c r="X217" s="689" t="n"/>
      <c r="Y217" s="689" t="n"/>
      <c r="Z217" s="689" t="n"/>
      <c r="AA217" s="689" t="n"/>
      <c r="AB217" s="689" t="n"/>
      <c r="AC217" s="689" t="n"/>
      <c r="AD217" s="689" t="n"/>
      <c r="AF217" s="233" t="n"/>
      <c r="AG217" s="233" t="n"/>
      <c r="AH217" s="233" t="n"/>
      <c r="AI217" s="233" t="n"/>
      <c r="AJ217" s="233" t="n"/>
      <c r="AK217" s="233" t="n"/>
      <c r="AL217" s="233" t="n"/>
      <c r="AM217" s="233" t="n"/>
      <c r="AN217" s="233" t="n"/>
      <c r="AO217" s="233" t="n"/>
      <c r="AP217" s="233" t="n"/>
      <c r="AQ217" s="233" t="n"/>
      <c r="AR217" s="233" t="n"/>
      <c r="AS217" s="233" t="n"/>
      <c r="AT217" s="233" t="n"/>
      <c r="AU217" s="233" t="n"/>
      <c r="AV217" s="233" t="n"/>
      <c r="AW217" s="233" t="n"/>
      <c r="AY217" s="692" t="n"/>
      <c r="AZ217" s="692" t="n"/>
      <c r="BA217" s="692" t="n"/>
      <c r="BB217" s="692" t="n"/>
      <c r="BC217" s="692" t="n"/>
      <c r="BD217" s="692" t="n"/>
      <c r="BE217" s="692" t="n"/>
      <c r="BF217" s="692" t="n"/>
      <c r="BG217" s="692" t="n"/>
      <c r="BH217" s="692" t="n"/>
      <c r="BI217" s="692" t="n"/>
      <c r="BJ217" s="692" t="n"/>
      <c r="BK217" s="692" t="n"/>
      <c r="BL217" s="692" t="n"/>
      <c r="BM217" s="692" t="n"/>
      <c r="BN217" s="692" t="n"/>
      <c r="BO217" s="692" t="n"/>
      <c r="BP217" s="692" t="n"/>
      <c r="BQ217" s="692" t="n"/>
    </row>
    <row r="218">
      <c r="A218" s="218" t="inlineStr">
        <is>
          <t>Male</t>
        </is>
      </c>
      <c r="B218" s="215" t="inlineStr">
        <is>
          <t>200 Back</t>
        </is>
      </c>
      <c r="C218" s="189" t="n">
        <v>2019</v>
      </c>
      <c r="D218" s="215" t="inlineStr">
        <is>
          <t>SGP</t>
        </is>
      </c>
      <c r="E218" s="219" t="n">
        <v>1</v>
      </c>
      <c r="F218" s="215" t="inlineStr">
        <is>
          <t>2:00.06</t>
        </is>
      </c>
      <c r="G218" s="195" t="n">
        <v>1996</v>
      </c>
      <c r="H218" s="195">
        <f>C218-G218</f>
        <v/>
      </c>
      <c r="I218" s="200" t="inlineStr">
        <is>
          <t>Zheng Wen Quah</t>
        </is>
      </c>
      <c r="J218" s="200" t="inlineStr">
        <is>
          <t>California Berkeley</t>
        </is>
      </c>
      <c r="K218" s="200" t="inlineStr">
        <is>
          <t>USA</t>
        </is>
      </c>
      <c r="L218" s="217" t="n"/>
      <c r="M218" s="689" t="n"/>
      <c r="N218" s="689" t="n"/>
      <c r="O218" s="689" t="n"/>
      <c r="P218" s="227" t="n"/>
      <c r="Q218" s="689" t="n"/>
      <c r="R218" s="689" t="n"/>
      <c r="S218" s="689" t="n"/>
      <c r="T218" s="689" t="n"/>
      <c r="U218" s="689" t="n"/>
      <c r="V218" s="689" t="n"/>
      <c r="W218" s="689" t="n"/>
      <c r="X218" s="689" t="n"/>
      <c r="Y218" s="689" t="n"/>
      <c r="Z218" s="689" t="n"/>
      <c r="AA218" s="689" t="n"/>
      <c r="AB218" s="689" t="n"/>
      <c r="AC218" s="689" t="n"/>
      <c r="AD218" s="689" t="n"/>
      <c r="AF218" s="233" t="n"/>
      <c r="AG218" s="233" t="n"/>
      <c r="AH218" s="233" t="n"/>
      <c r="AI218" s="233" t="n"/>
      <c r="AJ218" s="233" t="n"/>
      <c r="AK218" s="233" t="n"/>
      <c r="AL218" s="233" t="n"/>
      <c r="AM218" s="233" t="n"/>
      <c r="AN218" s="233" t="n"/>
      <c r="AO218" s="233" t="n"/>
      <c r="AP218" s="233" t="n"/>
      <c r="AQ218" s="233" t="n"/>
      <c r="AR218" s="233" t="n"/>
      <c r="AS218" s="233" t="n"/>
      <c r="AT218" s="233" t="n"/>
      <c r="AU218" s="233" t="n"/>
      <c r="AV218" s="233" t="n"/>
      <c r="AW218" s="233" t="n"/>
      <c r="AY218" s="692" t="n"/>
      <c r="AZ218" s="692" t="n"/>
      <c r="BA218" s="692" t="n"/>
      <c r="BB218" s="692" t="n"/>
      <c r="BC218" s="692" t="n"/>
      <c r="BD218" s="692" t="n"/>
      <c r="BE218" s="692" t="n"/>
      <c r="BF218" s="692" t="n"/>
      <c r="BG218" s="692" t="n"/>
      <c r="BH218" s="692" t="n"/>
      <c r="BI218" s="692" t="n"/>
      <c r="BJ218" s="692" t="n"/>
      <c r="BK218" s="692" t="n"/>
      <c r="BL218" s="692" t="n"/>
      <c r="BM218" s="692" t="n"/>
      <c r="BN218" s="692" t="n"/>
      <c r="BO218" s="692" t="n"/>
      <c r="BP218" s="692" t="n"/>
      <c r="BQ218" s="692" t="n"/>
    </row>
    <row r="219">
      <c r="A219" s="220" t="inlineStr">
        <is>
          <t>Male</t>
        </is>
      </c>
      <c r="B219" s="211" t="inlineStr">
        <is>
          <t>200 Back</t>
        </is>
      </c>
      <c r="C219" s="190" t="n">
        <v>2019</v>
      </c>
      <c r="D219" s="211" t="inlineStr">
        <is>
          <t>IND</t>
        </is>
      </c>
      <c r="E219" s="221" t="n">
        <v>2</v>
      </c>
      <c r="F219" s="211" t="inlineStr">
        <is>
          <t>2:02.75</t>
        </is>
      </c>
      <c r="G219" s="195" t="n">
        <v>2001</v>
      </c>
      <c r="H219" s="195">
        <f>C219-G219</f>
        <v/>
      </c>
      <c r="I219" s="200" t="inlineStr">
        <is>
          <t>Farrel Armandio Tangkas</t>
        </is>
      </c>
      <c r="J219" s="211" t="n"/>
      <c r="K219" s="211" t="n"/>
      <c r="L219" s="213" t="n"/>
      <c r="M219" s="689" t="n"/>
      <c r="N219" s="689" t="n"/>
      <c r="O219" s="689" t="n"/>
      <c r="P219" s="227" t="n"/>
      <c r="Q219" s="689" t="n"/>
      <c r="R219" s="689" t="n"/>
      <c r="S219" s="689" t="n"/>
      <c r="T219" s="689" t="n"/>
      <c r="U219" s="689" t="n"/>
      <c r="V219" s="689" t="n"/>
      <c r="W219" s="689" t="n"/>
      <c r="X219" s="689" t="n"/>
      <c r="Y219" s="689" t="n"/>
      <c r="Z219" s="689" t="n"/>
      <c r="AA219" s="689" t="n"/>
      <c r="AB219" s="689" t="n"/>
      <c r="AC219" s="689" t="n"/>
      <c r="AD219" s="689" t="n"/>
      <c r="AF219" s="233" t="n"/>
      <c r="AG219" s="233" t="n"/>
      <c r="AH219" s="233" t="n"/>
      <c r="AI219" s="233" t="n"/>
      <c r="AJ219" s="233" t="n"/>
      <c r="AK219" s="233" t="n"/>
      <c r="AL219" s="233" t="n"/>
      <c r="AM219" s="233" t="n"/>
      <c r="AN219" s="233" t="n"/>
      <c r="AO219" s="233" t="n"/>
      <c r="AP219" s="233" t="n"/>
      <c r="AQ219" s="233" t="n"/>
      <c r="AR219" s="233" t="n"/>
      <c r="AS219" s="233" t="n"/>
      <c r="AT219" s="233" t="n"/>
      <c r="AU219" s="233" t="n"/>
      <c r="AV219" s="233" t="n"/>
      <c r="AW219" s="233" t="n"/>
      <c r="AY219" s="692" t="n"/>
      <c r="AZ219" s="692" t="n"/>
      <c r="BA219" s="692" t="n"/>
      <c r="BB219" s="692" t="n"/>
      <c r="BC219" s="692" t="n"/>
      <c r="BD219" s="692" t="n"/>
      <c r="BE219" s="692" t="n"/>
      <c r="BF219" s="692" t="n"/>
      <c r="BG219" s="692" t="n"/>
      <c r="BH219" s="692" t="n"/>
      <c r="BI219" s="692" t="n"/>
      <c r="BJ219" s="692" t="n"/>
      <c r="BK219" s="692" t="n"/>
      <c r="BL219" s="692" t="n"/>
      <c r="BM219" s="692" t="n"/>
      <c r="BN219" s="692" t="n"/>
      <c r="BO219" s="692" t="n"/>
      <c r="BP219" s="692" t="n"/>
    </row>
    <row r="220">
      <c r="A220" s="218" t="inlineStr">
        <is>
          <t>Male</t>
        </is>
      </c>
      <c r="B220" s="215" t="inlineStr">
        <is>
          <t>200 Back</t>
        </is>
      </c>
      <c r="C220" s="189" t="n">
        <v>2019</v>
      </c>
      <c r="D220" s="215" t="n"/>
      <c r="E220" s="219" t="n">
        <v>3</v>
      </c>
      <c r="F220" s="215" t="inlineStr">
        <is>
          <t>2:03.89</t>
        </is>
      </c>
      <c r="G220" s="202" t="n">
        <v>2002</v>
      </c>
      <c r="H220" s="202">
        <f>C220-G220</f>
        <v/>
      </c>
      <c r="I220" s="206" t="inlineStr">
        <is>
          <t>Khiew Hoe Yean</t>
        </is>
      </c>
      <c r="J220" s="215" t="n"/>
      <c r="K220" s="215" t="n"/>
      <c r="L220" s="217" t="n"/>
      <c r="M220" s="689" t="n"/>
      <c r="N220" s="689" t="n"/>
      <c r="O220" s="689" t="n"/>
      <c r="P220" s="227" t="n"/>
      <c r="Q220" s="689" t="n"/>
      <c r="R220" s="689" t="n"/>
      <c r="S220" s="689" t="n"/>
      <c r="T220" s="689" t="n"/>
      <c r="U220" s="689" t="n"/>
      <c r="V220" s="689" t="n"/>
      <c r="W220" s="689" t="n"/>
      <c r="X220" s="689" t="n"/>
      <c r="Y220" s="689" t="n"/>
      <c r="Z220" s="689" t="n"/>
      <c r="AA220" s="689" t="n"/>
      <c r="AB220" s="689" t="n"/>
      <c r="AC220" s="689" t="n"/>
      <c r="AD220" s="689" t="n"/>
      <c r="AF220" s="233" t="n"/>
      <c r="AG220" s="233" t="n"/>
      <c r="AH220" s="233" t="n"/>
      <c r="AI220" s="233" t="n"/>
      <c r="AJ220" s="233" t="n"/>
      <c r="AK220" s="233" t="n"/>
      <c r="AL220" s="233" t="n"/>
      <c r="AM220" s="233" t="n"/>
      <c r="AN220" s="233" t="n"/>
      <c r="AO220" s="233" t="n"/>
      <c r="AP220" s="233" t="n"/>
      <c r="AQ220" s="233" t="n"/>
      <c r="AR220" s="233" t="n"/>
      <c r="AS220" s="233" t="n"/>
      <c r="AT220" s="233" t="n"/>
      <c r="AU220" s="233" t="n"/>
      <c r="AV220" s="233" t="n"/>
      <c r="AW220" s="233" t="n"/>
      <c r="AY220" s="692" t="n"/>
      <c r="AZ220" s="692" t="n"/>
      <c r="BA220" s="692" t="n"/>
      <c r="BB220" s="692" t="n"/>
      <c r="BC220" s="692" t="n"/>
      <c r="BD220" s="692" t="n"/>
      <c r="BE220" s="692" t="n"/>
      <c r="BF220" s="692" t="n"/>
      <c r="BG220" s="692" t="n"/>
      <c r="BH220" s="692" t="n"/>
      <c r="BI220" s="692" t="n"/>
      <c r="BJ220" s="692" t="n"/>
      <c r="BK220" s="692" t="n"/>
      <c r="BL220" s="692" t="n"/>
      <c r="BM220" s="692" t="n"/>
      <c r="BN220" s="692" t="n"/>
      <c r="BO220" s="692" t="n"/>
      <c r="BP220" s="692" t="n"/>
    </row>
    <row r="221">
      <c r="A221" s="220" t="inlineStr">
        <is>
          <t>Male</t>
        </is>
      </c>
      <c r="B221" s="211" t="inlineStr">
        <is>
          <t>200 Back</t>
        </is>
      </c>
      <c r="C221" s="190" t="n">
        <v>2022</v>
      </c>
      <c r="D221" s="211" t="inlineStr">
        <is>
          <t>VIE</t>
        </is>
      </c>
      <c r="E221" s="221" t="n">
        <v>1</v>
      </c>
      <c r="F221" s="211" t="inlineStr">
        <is>
          <t>2:01.58</t>
        </is>
      </c>
      <c r="G221" s="202" t="n">
        <v>2003</v>
      </c>
      <c r="H221" s="202">
        <f>C221-G221</f>
        <v/>
      </c>
      <c r="I221" s="206" t="inlineStr">
        <is>
          <t>Hung Nguyen Tran</t>
        </is>
      </c>
      <c r="J221" s="211" t="n"/>
      <c r="K221" s="211" t="n"/>
      <c r="L221" s="213" t="n"/>
      <c r="M221" s="689" t="n"/>
      <c r="N221" s="689" t="n"/>
      <c r="O221" s="689" t="n"/>
      <c r="P221" s="227" t="n"/>
      <c r="Q221" s="689" t="n"/>
      <c r="R221" s="689" t="n"/>
      <c r="S221" s="689" t="n"/>
      <c r="T221" s="689" t="n"/>
      <c r="U221" s="689" t="n"/>
      <c r="V221" s="689" t="n"/>
      <c r="W221" s="689" t="n"/>
      <c r="X221" s="689" t="n"/>
      <c r="Y221" s="689" t="n"/>
      <c r="Z221" s="689" t="n"/>
      <c r="AA221" s="689" t="n"/>
      <c r="AB221" s="689" t="n"/>
      <c r="AC221" s="689" t="n"/>
      <c r="AD221" s="689" t="n"/>
      <c r="AF221" s="233" t="n"/>
      <c r="AG221" s="233" t="n"/>
      <c r="AH221" s="233" t="n"/>
      <c r="AI221" s="233" t="n"/>
      <c r="AJ221" s="233" t="n"/>
      <c r="AK221" s="233" t="n"/>
      <c r="AL221" s="233" t="n"/>
      <c r="AM221" s="233" t="n"/>
      <c r="AN221" s="233" t="n"/>
      <c r="AO221" s="233" t="n"/>
      <c r="AP221" s="233" t="n"/>
      <c r="AQ221" s="233" t="n"/>
      <c r="AR221" s="233" t="n"/>
      <c r="AS221" s="233" t="n"/>
      <c r="AT221" s="233" t="n"/>
      <c r="AU221" s="233" t="n"/>
      <c r="AV221" s="233" t="n"/>
      <c r="AW221" s="233" t="n"/>
      <c r="AY221" s="692" t="n"/>
      <c r="AZ221" s="692" t="n"/>
      <c r="BA221" s="692" t="n"/>
      <c r="BB221" s="692" t="n"/>
      <c r="BC221" s="692" t="n"/>
      <c r="BD221" s="692" t="n"/>
      <c r="BE221" s="692" t="n"/>
      <c r="BF221" s="692" t="n"/>
      <c r="BG221" s="692" t="n"/>
      <c r="BH221" s="692" t="n"/>
      <c r="BI221" s="692" t="n"/>
      <c r="BJ221" s="692" t="n"/>
      <c r="BK221" s="692" t="n"/>
      <c r="BL221" s="692" t="n"/>
      <c r="BM221" s="692" t="n"/>
      <c r="BN221" s="692" t="n"/>
      <c r="BO221" s="692" t="n"/>
      <c r="BP221" s="692" t="n"/>
    </row>
    <row r="222">
      <c r="A222" s="218" t="inlineStr">
        <is>
          <t>Male</t>
        </is>
      </c>
      <c r="B222" s="215" t="inlineStr">
        <is>
          <t>200 Back</t>
        </is>
      </c>
      <c r="C222" s="189" t="n">
        <v>2022</v>
      </c>
      <c r="D222" s="215" t="inlineStr">
        <is>
          <t>MAS</t>
        </is>
      </c>
      <c r="E222" s="219" t="n">
        <v>2</v>
      </c>
      <c r="F222" s="215" t="inlineStr">
        <is>
          <t>2:01.67</t>
        </is>
      </c>
      <c r="G222" s="197" t="n">
        <v>2002</v>
      </c>
      <c r="H222" s="197">
        <f>C222-G222</f>
        <v/>
      </c>
      <c r="I222" s="201" t="inlineStr">
        <is>
          <t>Khiew Hoe Yean</t>
        </is>
      </c>
      <c r="J222" s="211" t="n"/>
      <c r="K222" s="211" t="n"/>
      <c r="L222" s="217" t="n"/>
      <c r="M222" s="689" t="n"/>
      <c r="N222" s="689" t="n"/>
      <c r="O222" s="689" t="n"/>
      <c r="P222" s="227" t="n"/>
      <c r="Q222" s="689" t="n"/>
      <c r="R222" s="689" t="n"/>
      <c r="S222" s="689" t="n"/>
      <c r="T222" s="689" t="n"/>
      <c r="U222" s="689" t="n"/>
      <c r="V222" s="689" t="n"/>
      <c r="W222" s="689" t="n"/>
      <c r="X222" s="689" t="n"/>
      <c r="Y222" s="689" t="n"/>
      <c r="Z222" s="689" t="n"/>
      <c r="AA222" s="689" t="n"/>
      <c r="AB222" s="689" t="n"/>
      <c r="AC222" s="689" t="n"/>
      <c r="AD222" s="689" t="n"/>
      <c r="AF222" s="233" t="n"/>
      <c r="AG222" s="233" t="n"/>
      <c r="AH222" s="233" t="n"/>
      <c r="AI222" s="233" t="n"/>
      <c r="AJ222" s="233" t="n"/>
      <c r="AK222" s="233" t="n"/>
      <c r="AL222" s="233" t="n"/>
      <c r="AM222" s="233" t="n"/>
      <c r="AN222" s="233" t="n"/>
      <c r="AO222" s="233" t="n"/>
      <c r="AP222" s="233" t="n"/>
      <c r="AQ222" s="233" t="n"/>
      <c r="AR222" s="233" t="n"/>
      <c r="AS222" s="233" t="n"/>
      <c r="AT222" s="233" t="n"/>
      <c r="AU222" s="233" t="n"/>
      <c r="AV222" s="233" t="n"/>
      <c r="AW222" s="233" t="n"/>
      <c r="AY222" s="692" t="n"/>
      <c r="AZ222" s="692" t="n"/>
      <c r="BA222" s="692" t="n"/>
      <c r="BB222" s="692" t="n"/>
      <c r="BC222" s="692" t="n"/>
      <c r="BD222" s="692" t="n"/>
      <c r="BE222" s="692" t="n"/>
      <c r="BF222" s="692" t="n"/>
      <c r="BG222" s="692" t="n"/>
      <c r="BH222" s="692" t="n"/>
      <c r="BI222" s="692" t="n"/>
      <c r="BJ222" s="692" t="n"/>
      <c r="BK222" s="692" t="n"/>
      <c r="BL222" s="692" t="n"/>
      <c r="BM222" s="692" t="n"/>
      <c r="BN222" s="692" t="n"/>
      <c r="BO222" s="692" t="n"/>
      <c r="BP222" s="692" t="n"/>
    </row>
    <row r="223">
      <c r="A223" s="220" t="inlineStr">
        <is>
          <t>Male</t>
        </is>
      </c>
      <c r="B223" s="211" t="inlineStr">
        <is>
          <t>200 Back</t>
        </is>
      </c>
      <c r="C223" s="190" t="n">
        <v>2022</v>
      </c>
      <c r="D223" s="211" t="inlineStr">
        <is>
          <t>IND</t>
        </is>
      </c>
      <c r="E223" s="221" t="n">
        <v>3</v>
      </c>
      <c r="F223" s="211" t="inlineStr">
        <is>
          <t>2:01.80</t>
        </is>
      </c>
      <c r="G223" s="196" t="n">
        <v>2001</v>
      </c>
      <c r="H223" s="196">
        <f>C223-G223</f>
        <v/>
      </c>
      <c r="I223" s="198" t="inlineStr">
        <is>
          <t>Farrel Armandio Tangkas</t>
        </is>
      </c>
      <c r="J223" s="211" t="n"/>
      <c r="K223" s="211" t="n"/>
      <c r="L223" s="213" t="n"/>
      <c r="M223" s="689" t="n"/>
      <c r="N223" s="689" t="n"/>
      <c r="O223" s="689" t="n"/>
      <c r="P223" s="227" t="n"/>
      <c r="Q223" s="689" t="n"/>
      <c r="R223" s="689" t="n"/>
      <c r="S223" s="689" t="n"/>
      <c r="T223" s="689" t="n"/>
      <c r="U223" s="689" t="n"/>
      <c r="V223" s="689" t="n"/>
      <c r="W223" s="689" t="n"/>
      <c r="X223" s="689" t="n"/>
      <c r="Y223" s="689" t="n"/>
      <c r="Z223" s="689" t="n"/>
      <c r="AA223" s="689" t="n"/>
      <c r="AB223" s="689" t="n"/>
      <c r="AC223" s="689" t="n"/>
      <c r="AD223" s="689" t="n"/>
      <c r="AF223" s="233" t="n"/>
      <c r="AG223" s="233" t="n"/>
      <c r="AH223" s="233" t="n"/>
      <c r="AI223" s="233" t="n"/>
      <c r="AJ223" s="233" t="n"/>
      <c r="AK223" s="233" t="n"/>
      <c r="AL223" s="233" t="n"/>
      <c r="AM223" s="233" t="n"/>
      <c r="AN223" s="233" t="n"/>
      <c r="AO223" s="233" t="n"/>
      <c r="AP223" s="233" t="n"/>
      <c r="AQ223" s="233" t="n"/>
      <c r="AR223" s="233" t="n"/>
      <c r="AS223" s="233" t="n"/>
      <c r="AT223" s="233" t="n"/>
      <c r="AU223" s="233" t="n"/>
      <c r="AV223" s="233" t="n"/>
      <c r="AW223" s="233" t="n"/>
      <c r="AY223" s="692" t="n"/>
      <c r="AZ223" s="692" t="n"/>
      <c r="BA223" s="692" t="n"/>
      <c r="BB223" s="692" t="n"/>
      <c r="BC223" s="692" t="n"/>
      <c r="BD223" s="692" t="n"/>
      <c r="BE223" s="692" t="n"/>
      <c r="BF223" s="692" t="n"/>
      <c r="BG223" s="692" t="n"/>
      <c r="BH223" s="692" t="n"/>
      <c r="BI223" s="692" t="n"/>
      <c r="BJ223" s="692" t="n"/>
      <c r="BK223" s="692" t="n"/>
      <c r="BL223" s="692" t="n"/>
      <c r="BM223" s="692" t="n"/>
      <c r="BN223" s="692" t="n"/>
      <c r="BO223" s="692" t="n"/>
      <c r="BP223" s="692" t="n"/>
    </row>
    <row r="224">
      <c r="A224" s="218" t="inlineStr">
        <is>
          <t>Male</t>
        </is>
      </c>
      <c r="B224" s="215" t="inlineStr">
        <is>
          <t>200 Back</t>
        </is>
      </c>
      <c r="C224" s="189" t="n">
        <v>2023</v>
      </c>
      <c r="D224" s="215" t="inlineStr">
        <is>
          <t>THA</t>
        </is>
      </c>
      <c r="E224" s="219" t="n">
        <v>1</v>
      </c>
      <c r="F224" s="215" t="inlineStr">
        <is>
          <t>2:01.29</t>
        </is>
      </c>
      <c r="G224" s="215" t="n">
        <v>2005</v>
      </c>
      <c r="H224" s="215">
        <f>C224-G224</f>
        <v/>
      </c>
      <c r="I224" s="215" t="inlineStr">
        <is>
          <t>Tonnam Kanteemool</t>
        </is>
      </c>
      <c r="J224" s="215" t="n"/>
      <c r="K224" s="215" t="n"/>
      <c r="L224" s="217" t="n"/>
      <c r="M224" s="689" t="n"/>
      <c r="N224" s="689" t="n"/>
      <c r="O224" s="689" t="n"/>
      <c r="P224" s="227" t="n"/>
      <c r="Q224" s="689" t="n"/>
      <c r="R224" s="689" t="n"/>
      <c r="S224" s="689" t="n"/>
      <c r="T224" s="689" t="n"/>
      <c r="U224" s="689" t="n"/>
      <c r="V224" s="689" t="n"/>
      <c r="W224" s="689" t="n"/>
      <c r="X224" s="689" t="n"/>
      <c r="Y224" s="689" t="n"/>
      <c r="Z224" s="689" t="n"/>
      <c r="AA224" s="689" t="n"/>
      <c r="AB224" s="689" t="n"/>
      <c r="AC224" s="689" t="n"/>
      <c r="AD224" s="689" t="n"/>
      <c r="AF224" s="233" t="n"/>
      <c r="AG224" s="233" t="n"/>
      <c r="AH224" s="233" t="n"/>
      <c r="AI224" s="233" t="n"/>
      <c r="AJ224" s="233" t="n"/>
      <c r="AK224" s="233" t="n"/>
      <c r="AL224" s="233" t="n"/>
      <c r="AM224" s="233" t="n"/>
      <c r="AN224" s="233" t="n"/>
      <c r="AO224" s="233" t="n"/>
      <c r="AP224" s="233" t="n"/>
      <c r="AQ224" s="233" t="n"/>
      <c r="AR224" s="233" t="n"/>
      <c r="AS224" s="233" t="n"/>
      <c r="AT224" s="233" t="n"/>
      <c r="AU224" s="233" t="n"/>
      <c r="AV224" s="233" t="n"/>
      <c r="AW224" s="233" t="n"/>
      <c r="AY224" s="692" t="n"/>
      <c r="AZ224" s="692" t="n"/>
      <c r="BA224" s="692" t="n"/>
      <c r="BB224" s="692" t="n"/>
      <c r="BC224" s="692" t="n"/>
      <c r="BD224" s="692" t="n"/>
      <c r="BE224" s="692" t="n"/>
      <c r="BF224" s="692" t="n"/>
      <c r="BG224" s="692" t="n"/>
      <c r="BH224" s="692" t="n"/>
      <c r="BI224" s="692" t="n"/>
      <c r="BJ224" s="692" t="n"/>
      <c r="BK224" s="692" t="n"/>
      <c r="BL224" s="692" t="n"/>
      <c r="BM224" s="692" t="n"/>
      <c r="BN224" s="692" t="n"/>
      <c r="BO224" s="692" t="n"/>
      <c r="BP224" s="692" t="n"/>
    </row>
    <row r="225">
      <c r="A225" s="220" t="inlineStr">
        <is>
          <t>Male</t>
        </is>
      </c>
      <c r="B225" s="211" t="inlineStr">
        <is>
          <t>200 Back</t>
        </is>
      </c>
      <c r="C225" s="190" t="n">
        <v>2023</v>
      </c>
      <c r="D225" s="211" t="inlineStr">
        <is>
          <t>VIE</t>
        </is>
      </c>
      <c r="E225" s="221" t="n">
        <v>2</v>
      </c>
      <c r="F225" s="211" t="inlineStr">
        <is>
          <t>2:01.34</t>
        </is>
      </c>
      <c r="G225" s="215" t="n">
        <v>2003</v>
      </c>
      <c r="H225" s="215">
        <f>C225-G225</f>
        <v/>
      </c>
      <c r="I225" s="215" t="inlineStr">
        <is>
          <t>Hung Nguyen Tran</t>
        </is>
      </c>
      <c r="J225" s="215" t="n"/>
      <c r="K225" s="215" t="n"/>
      <c r="L225" s="213" t="n"/>
      <c r="M225" s="689" t="n"/>
      <c r="N225" s="689" t="n"/>
      <c r="O225" s="689" t="n"/>
      <c r="P225" s="227" t="n"/>
      <c r="Q225" s="689" t="n"/>
      <c r="R225" s="689" t="n"/>
      <c r="S225" s="689" t="n"/>
      <c r="T225" s="689" t="n"/>
      <c r="U225" s="689" t="n"/>
      <c r="V225" s="689" t="n"/>
      <c r="W225" s="689" t="n"/>
      <c r="X225" s="689" t="n"/>
      <c r="Y225" s="689" t="n"/>
      <c r="Z225" s="689" t="n"/>
      <c r="AA225" s="689" t="n"/>
      <c r="AB225" s="689" t="n"/>
      <c r="AC225" s="689" t="n"/>
      <c r="AD225" s="689" t="n"/>
      <c r="AF225" s="233" t="n"/>
      <c r="AG225" s="233" t="n"/>
      <c r="AH225" s="233" t="n"/>
      <c r="AI225" s="233" t="n"/>
      <c r="AJ225" s="233" t="n"/>
      <c r="AK225" s="233" t="n"/>
      <c r="AL225" s="233" t="n"/>
      <c r="AM225" s="233" t="n"/>
      <c r="AN225" s="233" t="n"/>
      <c r="AO225" s="233" t="n"/>
      <c r="AP225" s="233" t="n"/>
      <c r="AQ225" s="233" t="n"/>
      <c r="AR225" s="233" t="n"/>
      <c r="AS225" s="233" t="n"/>
      <c r="AT225" s="233" t="n"/>
      <c r="AU225" s="233" t="n"/>
      <c r="AV225" s="233" t="n"/>
      <c r="AW225" s="233" t="n"/>
      <c r="AY225" s="692" t="n"/>
      <c r="AZ225" s="692" t="n"/>
      <c r="BA225" s="692" t="n"/>
      <c r="BB225" s="692" t="n"/>
      <c r="BC225" s="692" t="n"/>
      <c r="BD225" s="692" t="n"/>
      <c r="BE225" s="692" t="n"/>
      <c r="BF225" s="692" t="n"/>
      <c r="BG225" s="692" t="n"/>
      <c r="BH225" s="692" t="n"/>
      <c r="BI225" s="692" t="n"/>
      <c r="BJ225" s="692" t="n"/>
      <c r="BK225" s="692" t="n"/>
      <c r="BL225" s="692" t="n"/>
      <c r="BM225" s="692" t="n"/>
      <c r="BN225" s="692" t="n"/>
      <c r="BO225" s="692" t="n"/>
      <c r="BP225" s="692" t="n"/>
    </row>
    <row r="226">
      <c r="A226" s="218" t="inlineStr">
        <is>
          <t>Male</t>
        </is>
      </c>
      <c r="B226" s="215" t="inlineStr">
        <is>
          <t>200 Back</t>
        </is>
      </c>
      <c r="C226" s="189" t="n">
        <v>2023</v>
      </c>
      <c r="D226" s="215" t="inlineStr">
        <is>
          <t>MAS</t>
        </is>
      </c>
      <c r="E226" s="219" t="n">
        <v>3</v>
      </c>
      <c r="F226" s="215" t="inlineStr">
        <is>
          <t>2:01.74</t>
        </is>
      </c>
      <c r="G226" s="215" t="n">
        <v>2002</v>
      </c>
      <c r="H226" s="215">
        <f>C226-G226</f>
        <v/>
      </c>
      <c r="I226" s="215" t="inlineStr">
        <is>
          <t>Khiew Hoe Yean</t>
        </is>
      </c>
      <c r="J226" s="215" t="n"/>
      <c r="K226" s="215" t="n"/>
      <c r="L226" s="217" t="n"/>
      <c r="M226" s="689" t="n"/>
      <c r="N226" s="689" t="n"/>
      <c r="O226" s="689" t="n"/>
      <c r="P226" s="227" t="n"/>
      <c r="Q226" s="689" t="n"/>
      <c r="R226" s="689" t="n"/>
      <c r="S226" s="689" t="n"/>
      <c r="T226" s="689" t="n"/>
      <c r="U226" s="689" t="n"/>
      <c r="V226" s="689" t="n"/>
      <c r="W226" s="689" t="n"/>
      <c r="X226" s="689" t="n"/>
      <c r="Y226" s="689" t="n"/>
      <c r="Z226" s="689" t="n"/>
      <c r="AA226" s="689" t="n"/>
      <c r="AB226" s="689" t="n"/>
      <c r="AC226" s="689" t="n"/>
      <c r="AD226" s="689" t="n"/>
      <c r="AF226" s="233" t="n"/>
      <c r="AG226" s="233" t="n"/>
      <c r="AH226" s="233" t="n"/>
      <c r="AI226" s="233" t="n"/>
      <c r="AJ226" s="233" t="n"/>
      <c r="AK226" s="233" t="n"/>
      <c r="AL226" s="233" t="n"/>
      <c r="AM226" s="233" t="n"/>
      <c r="AN226" s="233" t="n"/>
      <c r="AO226" s="233" t="n"/>
      <c r="AP226" s="233" t="n"/>
      <c r="AQ226" s="233" t="n"/>
      <c r="AR226" s="233" t="n"/>
      <c r="AS226" s="233" t="n"/>
      <c r="AT226" s="233" t="n"/>
      <c r="AU226" s="233" t="n"/>
      <c r="AV226" s="233" t="n"/>
      <c r="AW226" s="233" t="n"/>
      <c r="AY226" s="692" t="n"/>
      <c r="AZ226" s="692" t="n"/>
      <c r="BA226" s="692" t="n"/>
      <c r="BB226" s="692" t="n"/>
      <c r="BC226" s="692" t="n"/>
      <c r="BD226" s="692" t="n"/>
      <c r="BE226" s="692" t="n"/>
      <c r="BF226" s="692" t="n"/>
      <c r="BG226" s="692" t="n"/>
      <c r="BH226" s="692" t="n"/>
      <c r="BI226" s="692" t="n"/>
      <c r="BJ226" s="692" t="n"/>
      <c r="BK226" s="692" t="n"/>
      <c r="BL226" s="692" t="n"/>
      <c r="BM226" s="692" t="n"/>
      <c r="BN226" s="692" t="n"/>
      <c r="BO226" s="692" t="n"/>
      <c r="BP226" s="692" t="n"/>
    </row>
    <row r="227">
      <c r="A227" s="220" t="inlineStr">
        <is>
          <t>Male</t>
        </is>
      </c>
      <c r="B227" s="211" t="inlineStr">
        <is>
          <t>200 Breast</t>
        </is>
      </c>
      <c r="C227" s="190" t="n">
        <v>2019</v>
      </c>
      <c r="D227" s="211" t="inlineStr">
        <is>
          <t>THA</t>
        </is>
      </c>
      <c r="E227" s="221" t="n">
        <v>1</v>
      </c>
      <c r="F227" s="211" t="inlineStr">
        <is>
          <t>2:12.57</t>
        </is>
      </c>
      <c r="G227" s="211" t="n">
        <v>1992</v>
      </c>
      <c r="H227" s="211">
        <f>C227-G227</f>
        <v/>
      </c>
      <c r="I227" s="211" t="inlineStr">
        <is>
          <t>Nuttapong Ketin</t>
        </is>
      </c>
      <c r="J227" s="211" t="n"/>
      <c r="K227" s="211" t="n"/>
      <c r="L227" s="213" t="n"/>
      <c r="M227" s="689" t="n"/>
      <c r="N227" s="689" t="n"/>
      <c r="O227" s="689" t="n"/>
      <c r="P227" s="227" t="n"/>
      <c r="Q227" s="689" t="n"/>
      <c r="R227" s="689" t="n"/>
      <c r="S227" s="689" t="n"/>
      <c r="T227" s="689" t="n"/>
      <c r="U227" s="689" t="n"/>
      <c r="V227" s="689" t="n"/>
      <c r="W227" s="689" t="n"/>
      <c r="X227" s="689" t="n"/>
      <c r="Y227" s="689" t="n"/>
      <c r="Z227" s="689" t="n"/>
      <c r="AA227" s="689" t="n"/>
      <c r="AB227" s="689" t="n"/>
      <c r="AC227" s="689" t="n"/>
      <c r="AD227" s="689" t="n"/>
      <c r="AF227" s="233" t="n"/>
      <c r="AG227" s="233" t="n"/>
      <c r="AH227" s="233" t="n"/>
      <c r="AI227" s="233" t="n"/>
      <c r="AJ227" s="233" t="n"/>
      <c r="AK227" s="233" t="n"/>
      <c r="AL227" s="233" t="n"/>
      <c r="AM227" s="233" t="n"/>
      <c r="AN227" s="233" t="n"/>
      <c r="AO227" s="233" t="n"/>
      <c r="AP227" s="233" t="n"/>
      <c r="AQ227" s="233" t="n"/>
      <c r="AR227" s="233" t="n"/>
      <c r="AS227" s="233" t="n"/>
      <c r="AT227" s="233" t="n"/>
      <c r="AU227" s="233" t="n"/>
      <c r="AV227" s="233" t="n"/>
      <c r="AW227" s="233" t="n"/>
      <c r="AY227" s="692" t="n"/>
      <c r="AZ227" s="692" t="n"/>
      <c r="BA227" s="692" t="n"/>
      <c r="BB227" s="692" t="n"/>
      <c r="BC227" s="692" t="n"/>
      <c r="BD227" s="692" t="n"/>
      <c r="BE227" s="692" t="n"/>
      <c r="BF227" s="692" t="n"/>
      <c r="BG227" s="692" t="n"/>
      <c r="BH227" s="692" t="n"/>
      <c r="BI227" s="692" t="n"/>
      <c r="BJ227" s="692" t="n"/>
      <c r="BK227" s="692" t="n"/>
      <c r="BL227" s="692" t="n"/>
      <c r="BM227" s="692" t="n"/>
      <c r="BN227" s="692" t="n"/>
      <c r="BO227" s="692" t="n"/>
      <c r="BP227" s="692" t="n"/>
    </row>
    <row r="228">
      <c r="A228" s="218" t="inlineStr">
        <is>
          <t>Male</t>
        </is>
      </c>
      <c r="B228" s="215" t="inlineStr">
        <is>
          <t>200 Breast</t>
        </is>
      </c>
      <c r="C228" s="189" t="n">
        <v>2019</v>
      </c>
      <c r="D228" s="215" t="inlineStr">
        <is>
          <t>VIE</t>
        </is>
      </c>
      <c r="E228" s="219" t="n">
        <v>2</v>
      </c>
      <c r="F228" s="215" t="inlineStr">
        <is>
          <t>2:12.84</t>
        </is>
      </c>
      <c r="G228" s="202" t="n">
        <v>2001</v>
      </c>
      <c r="H228" s="202">
        <f>C228-G228</f>
        <v/>
      </c>
      <c r="I228" s="206" t="inlineStr">
        <is>
          <t>Thanh Bao Pham</t>
        </is>
      </c>
      <c r="J228" s="215" t="n"/>
      <c r="K228" s="215" t="n"/>
      <c r="L228" s="217" t="n"/>
      <c r="M228" s="689" t="n"/>
      <c r="N228" s="689" t="n"/>
      <c r="O228" s="689" t="n"/>
      <c r="P228" s="227" t="n"/>
      <c r="Q228" s="689" t="n"/>
      <c r="R228" s="689" t="n"/>
      <c r="S228" s="689" t="n"/>
      <c r="T228" s="689" t="n"/>
      <c r="U228" s="689" t="n"/>
      <c r="V228" s="689" t="n"/>
      <c r="W228" s="689" t="n"/>
      <c r="X228" s="689" t="n"/>
      <c r="Y228" s="689" t="n"/>
      <c r="Z228" s="689" t="n"/>
      <c r="AA228" s="689" t="n"/>
      <c r="AB228" s="689" t="n"/>
      <c r="AC228" s="689" t="n"/>
      <c r="AD228" s="689" t="n"/>
      <c r="AF228" s="233" t="n"/>
      <c r="AG228" s="233" t="n"/>
      <c r="AH228" s="233" t="n"/>
      <c r="AI228" s="233" t="n"/>
      <c r="AJ228" s="233" t="n"/>
      <c r="AK228" s="233" t="n"/>
      <c r="AL228" s="233" t="n"/>
      <c r="AM228" s="233" t="n"/>
      <c r="AN228" s="233" t="n"/>
      <c r="AO228" s="233" t="n"/>
      <c r="AP228" s="233" t="n"/>
      <c r="AQ228" s="233" t="n"/>
      <c r="AR228" s="233" t="n"/>
      <c r="AS228" s="233" t="n"/>
      <c r="AT228" s="233" t="n"/>
      <c r="AU228" s="233" t="n"/>
      <c r="AV228" s="233" t="n"/>
      <c r="AW228" s="233" t="n"/>
      <c r="AY228" s="692" t="n"/>
      <c r="AZ228" s="692" t="n"/>
      <c r="BA228" s="692" t="n"/>
      <c r="BB228" s="692" t="n"/>
      <c r="BC228" s="692" t="n"/>
      <c r="BD228" s="692" t="n"/>
      <c r="BE228" s="692" t="n"/>
      <c r="BF228" s="692" t="n"/>
      <c r="BG228" s="692" t="n"/>
      <c r="BH228" s="692" t="n"/>
      <c r="BI228" s="692" t="n"/>
      <c r="BJ228" s="692" t="n"/>
      <c r="BK228" s="692" t="n"/>
      <c r="BL228" s="692" t="n"/>
      <c r="BM228" s="692" t="n"/>
      <c r="BN228" s="692" t="n"/>
      <c r="BO228" s="692" t="n"/>
      <c r="BP228" s="692" t="n"/>
    </row>
    <row r="229">
      <c r="A229" s="220" t="inlineStr">
        <is>
          <t>Male</t>
        </is>
      </c>
      <c r="B229" s="211" t="inlineStr">
        <is>
          <t>200 Breast</t>
        </is>
      </c>
      <c r="C229" s="190" t="n">
        <v>2019</v>
      </c>
      <c r="D229" s="211" t="inlineStr">
        <is>
          <t>SGP</t>
        </is>
      </c>
      <c r="E229" s="221" t="n">
        <v>3</v>
      </c>
      <c r="F229" s="211" t="inlineStr">
        <is>
          <t>2:13.96</t>
        </is>
      </c>
      <c r="G229" s="196" t="n">
        <v>2001</v>
      </c>
      <c r="H229" s="196">
        <f>C229-G229</f>
        <v/>
      </c>
      <c r="I229" s="198" t="inlineStr">
        <is>
          <t>Maximillan Wei Ang</t>
        </is>
      </c>
      <c r="J229" s="211" t="n"/>
      <c r="K229" s="211" t="n"/>
      <c r="L229" s="213" t="n"/>
      <c r="M229" s="689" t="n"/>
      <c r="N229" s="689" t="n"/>
      <c r="O229" s="689" t="n"/>
      <c r="P229" s="227" t="n"/>
      <c r="Q229" s="689" t="n"/>
      <c r="R229" s="689" t="n"/>
      <c r="S229" s="689" t="n"/>
      <c r="T229" s="689" t="n"/>
      <c r="U229" s="689" t="n"/>
      <c r="V229" s="689" t="n"/>
      <c r="W229" s="689" t="n"/>
      <c r="X229" s="689" t="n"/>
      <c r="Y229" s="689" t="n"/>
      <c r="Z229" s="689" t="n"/>
      <c r="AA229" s="689" t="n"/>
      <c r="AB229" s="689" t="n"/>
      <c r="AC229" s="689" t="n"/>
      <c r="AD229" s="689" t="n"/>
      <c r="AF229" s="233" t="n"/>
      <c r="AG229" s="233" t="n"/>
      <c r="AH229" s="233" t="n"/>
      <c r="AI229" s="233" t="n"/>
      <c r="AJ229" s="233" t="n"/>
      <c r="AK229" s="233" t="n"/>
      <c r="AL229" s="233" t="n"/>
      <c r="AM229" s="233" t="n"/>
      <c r="AN229" s="233" t="n"/>
      <c r="AO229" s="233" t="n"/>
      <c r="AP229" s="233" t="n"/>
      <c r="AQ229" s="233" t="n"/>
      <c r="AR229" s="233" t="n"/>
      <c r="AS229" s="233" t="n"/>
      <c r="AT229" s="233" t="n"/>
      <c r="AU229" s="233" t="n"/>
      <c r="AV229" s="233" t="n"/>
      <c r="AW229" s="233" t="n"/>
      <c r="AY229" s="692" t="n"/>
      <c r="AZ229" s="692" t="n"/>
      <c r="BA229" s="692" t="n"/>
      <c r="BB229" s="692" t="n"/>
      <c r="BC229" s="692" t="n"/>
      <c r="BD229" s="692" t="n"/>
      <c r="BE229" s="692" t="n"/>
      <c r="BF229" s="692" t="n"/>
      <c r="BG229" s="692" t="n"/>
      <c r="BH229" s="692" t="n"/>
      <c r="BI229" s="692" t="n"/>
      <c r="BJ229" s="692" t="n"/>
      <c r="BK229" s="692" t="n"/>
      <c r="BL229" s="692" t="n"/>
      <c r="BM229" s="692" t="n"/>
      <c r="BN229" s="692" t="n"/>
      <c r="BO229" s="692" t="n"/>
      <c r="BP229" s="692" t="n"/>
    </row>
    <row r="230">
      <c r="A230" s="218" t="inlineStr">
        <is>
          <t>Male</t>
        </is>
      </c>
      <c r="B230" s="215" t="inlineStr">
        <is>
          <t>200 Breast</t>
        </is>
      </c>
      <c r="C230" s="189" t="n">
        <v>2022</v>
      </c>
      <c r="D230" s="215" t="inlineStr">
        <is>
          <t>SGP</t>
        </is>
      </c>
      <c r="E230" s="219" t="n">
        <v>1</v>
      </c>
      <c r="F230" s="215" t="inlineStr">
        <is>
          <t>2:11.93</t>
        </is>
      </c>
      <c r="G230" s="195" t="n">
        <v>2001</v>
      </c>
      <c r="H230" s="195">
        <f>C230-G230</f>
        <v/>
      </c>
      <c r="I230" s="200" t="inlineStr">
        <is>
          <t>Maximillan Wei Ang</t>
        </is>
      </c>
      <c r="J230" s="215" t="n"/>
      <c r="K230" s="215" t="n"/>
      <c r="L230" s="217" t="n"/>
      <c r="M230" s="689" t="n"/>
      <c r="N230" s="689" t="n"/>
      <c r="O230" s="689" t="n"/>
      <c r="P230" s="227" t="n"/>
      <c r="Q230" s="689" t="n"/>
      <c r="R230" s="689" t="n"/>
      <c r="S230" s="689" t="n"/>
      <c r="T230" s="689" t="n"/>
      <c r="U230" s="689" t="n"/>
      <c r="V230" s="689" t="n"/>
      <c r="W230" s="689" t="n"/>
      <c r="X230" s="689" t="n"/>
      <c r="Y230" s="689" t="n"/>
      <c r="Z230" s="689" t="n"/>
      <c r="AA230" s="689" t="n"/>
      <c r="AB230" s="689" t="n"/>
      <c r="AC230" s="689" t="n"/>
      <c r="AD230" s="689" t="n"/>
      <c r="AF230" s="233" t="n"/>
      <c r="AG230" s="233" t="n"/>
      <c r="AH230" s="233" t="n"/>
      <c r="AI230" s="233" t="n"/>
      <c r="AJ230" s="233" t="n"/>
      <c r="AK230" s="233" t="n"/>
      <c r="AL230" s="233" t="n"/>
      <c r="AM230" s="233" t="n"/>
      <c r="AN230" s="233" t="n"/>
      <c r="AO230" s="233" t="n"/>
      <c r="AP230" s="233" t="n"/>
      <c r="AQ230" s="233" t="n"/>
      <c r="AR230" s="233" t="n"/>
      <c r="AS230" s="233" t="n"/>
      <c r="AT230" s="233" t="n"/>
      <c r="AU230" s="233" t="n"/>
      <c r="AV230" s="233" t="n"/>
      <c r="AW230" s="233" t="n"/>
      <c r="AY230" s="692" t="n"/>
      <c r="AZ230" s="692" t="n"/>
      <c r="BA230" s="692" t="n"/>
      <c r="BB230" s="692" t="n"/>
      <c r="BC230" s="692" t="n"/>
      <c r="BD230" s="692" t="n"/>
      <c r="BE230" s="692" t="n"/>
      <c r="BF230" s="692" t="n"/>
      <c r="BG230" s="692" t="n"/>
      <c r="BH230" s="692" t="n"/>
      <c r="BI230" s="692" t="n"/>
      <c r="BJ230" s="692" t="n"/>
      <c r="BK230" s="692" t="n"/>
      <c r="BL230" s="692" t="n"/>
      <c r="BM230" s="692" t="n"/>
      <c r="BN230" s="692" t="n"/>
      <c r="BO230" s="692" t="n"/>
      <c r="BP230" s="692" t="n"/>
    </row>
    <row r="231">
      <c r="A231" s="220" t="inlineStr">
        <is>
          <t>Male</t>
        </is>
      </c>
      <c r="B231" s="211" t="inlineStr">
        <is>
          <t>200 Breast</t>
        </is>
      </c>
      <c r="C231" s="190" t="n">
        <v>2022</v>
      </c>
      <c r="D231" s="211" t="inlineStr">
        <is>
          <t>VIE</t>
        </is>
      </c>
      <c r="E231" s="221" t="n">
        <v>2</v>
      </c>
      <c r="F231" s="211" t="inlineStr">
        <is>
          <t>2:12.09</t>
        </is>
      </c>
      <c r="G231" s="197" t="n">
        <v>2001</v>
      </c>
      <c r="H231" s="197">
        <f>C231-G231</f>
        <v/>
      </c>
      <c r="I231" s="201" t="inlineStr">
        <is>
          <t>Thanh Bao Pham</t>
        </is>
      </c>
      <c r="J231" s="211" t="n"/>
      <c r="K231" s="211" t="n"/>
      <c r="L231" s="213" t="n"/>
      <c r="M231" s="689" t="n"/>
      <c r="N231" s="689" t="n"/>
      <c r="O231" s="689" t="n"/>
      <c r="P231" s="227" t="n"/>
      <c r="Q231" s="689" t="n"/>
      <c r="R231" s="689" t="n"/>
      <c r="S231" s="689" t="n"/>
      <c r="T231" s="689" t="n"/>
      <c r="U231" s="689" t="n"/>
      <c r="V231" s="689" t="n"/>
      <c r="W231" s="689" t="n"/>
      <c r="X231" s="689" t="n"/>
      <c r="Y231" s="689" t="n"/>
      <c r="Z231" s="689" t="n"/>
      <c r="AA231" s="689" t="n"/>
      <c r="AB231" s="689" t="n"/>
      <c r="AC231" s="689" t="n"/>
      <c r="AD231" s="689" t="n"/>
      <c r="AF231" s="233" t="n"/>
      <c r="AG231" s="233" t="n"/>
      <c r="AH231" s="233" t="n"/>
      <c r="AI231" s="233" t="n"/>
      <c r="AJ231" s="233" t="n"/>
      <c r="AK231" s="233" t="n"/>
      <c r="AL231" s="233" t="n"/>
      <c r="AM231" s="233" t="n"/>
      <c r="AN231" s="233" t="n"/>
      <c r="AO231" s="233" t="n"/>
      <c r="AP231" s="233" t="n"/>
      <c r="AQ231" s="233" t="n"/>
      <c r="AR231" s="233" t="n"/>
      <c r="AS231" s="233" t="n"/>
      <c r="AT231" s="233" t="n"/>
      <c r="AU231" s="233" t="n"/>
      <c r="AV231" s="233" t="n"/>
      <c r="AW231" s="233" t="n"/>
      <c r="AY231" s="692" t="n"/>
      <c r="AZ231" s="692" t="n"/>
      <c r="BA231" s="692" t="n"/>
      <c r="BB231" s="692" t="n"/>
      <c r="BC231" s="692" t="n"/>
      <c r="BD231" s="692" t="n"/>
      <c r="BE231" s="692" t="n"/>
      <c r="BF231" s="692" t="n"/>
      <c r="BG231" s="692" t="n"/>
      <c r="BH231" s="692" t="n"/>
      <c r="BI231" s="692" t="n"/>
      <c r="BJ231" s="692" t="n"/>
      <c r="BK231" s="692" t="n"/>
      <c r="BL231" s="692" t="n"/>
      <c r="BM231" s="692" t="n"/>
      <c r="BN231" s="692" t="n"/>
      <c r="BO231" s="692" t="n"/>
      <c r="BP231" s="692" t="n"/>
    </row>
    <row r="232">
      <c r="A232" s="218" t="inlineStr">
        <is>
          <t>Male</t>
        </is>
      </c>
      <c r="B232" s="215" t="inlineStr">
        <is>
          <t>200 Breast</t>
        </is>
      </c>
      <c r="C232" s="189" t="n">
        <v>2022</v>
      </c>
      <c r="D232" s="215" t="inlineStr">
        <is>
          <t>MAS</t>
        </is>
      </c>
      <c r="E232" s="219" t="n">
        <v>3</v>
      </c>
      <c r="F232" s="215" t="inlineStr">
        <is>
          <t>2:17.68</t>
        </is>
      </c>
      <c r="G232" s="215" t="n">
        <v>2000</v>
      </c>
      <c r="H232" s="202">
        <f>C232-G232</f>
        <v/>
      </c>
      <c r="I232" s="215" t="inlineStr">
        <is>
          <t>Job XI Jay Tan</t>
        </is>
      </c>
      <c r="J232" s="215" t="n"/>
      <c r="K232" s="215" t="n"/>
      <c r="L232" s="217" t="n"/>
      <c r="M232" s="689" t="n"/>
      <c r="N232" s="689" t="n"/>
      <c r="O232" s="689" t="n"/>
      <c r="P232" s="227" t="n"/>
      <c r="Q232" s="689" t="n"/>
      <c r="R232" s="689" t="n"/>
      <c r="S232" s="689" t="n"/>
      <c r="T232" s="689" t="n"/>
      <c r="U232" s="689" t="n"/>
      <c r="V232" s="689" t="n"/>
      <c r="W232" s="689" t="n"/>
      <c r="X232" s="689" t="n"/>
      <c r="Y232" s="689" t="n"/>
      <c r="Z232" s="689" t="n"/>
      <c r="AA232" s="689" t="n"/>
      <c r="AB232" s="689" t="n"/>
      <c r="AC232" s="689" t="n"/>
      <c r="AD232" s="689" t="n"/>
      <c r="AF232" s="233" t="n"/>
      <c r="AG232" s="233" t="n"/>
      <c r="AH232" s="233" t="n"/>
      <c r="AI232" s="233" t="n"/>
      <c r="AJ232" s="233" t="n"/>
      <c r="AK232" s="233" t="n"/>
      <c r="AL232" s="233" t="n"/>
      <c r="AM232" s="233" t="n"/>
      <c r="AN232" s="233" t="n"/>
      <c r="AO232" s="233" t="n"/>
      <c r="AP232" s="233" t="n"/>
      <c r="AQ232" s="233" t="n"/>
      <c r="AR232" s="233" t="n"/>
      <c r="AS232" s="233" t="n"/>
      <c r="AT232" s="233" t="n"/>
      <c r="AU232" s="233" t="n"/>
      <c r="AV232" s="233" t="n"/>
      <c r="AW232" s="233" t="n"/>
      <c r="AY232" s="692" t="n"/>
      <c r="AZ232" s="692" t="n"/>
      <c r="BA232" s="692" t="n"/>
      <c r="BB232" s="692" t="n"/>
      <c r="BC232" s="692" t="n"/>
      <c r="BD232" s="692" t="n"/>
      <c r="BE232" s="692" t="n"/>
      <c r="BF232" s="692" t="n"/>
      <c r="BG232" s="692" t="n"/>
      <c r="BH232" s="692" t="n"/>
      <c r="BI232" s="692" t="n"/>
      <c r="BJ232" s="692" t="n"/>
      <c r="BK232" s="692" t="n"/>
      <c r="BL232" s="692" t="n"/>
      <c r="BM232" s="692" t="n"/>
      <c r="BN232" s="692" t="n"/>
      <c r="BO232" s="692" t="n"/>
      <c r="BP232" s="692" t="n"/>
    </row>
    <row r="233">
      <c r="A233" s="220" t="inlineStr">
        <is>
          <t>Male</t>
        </is>
      </c>
      <c r="B233" s="211" t="inlineStr">
        <is>
          <t>200 Breast</t>
        </is>
      </c>
      <c r="C233" s="190" t="n">
        <v>2023</v>
      </c>
      <c r="D233" s="211" t="inlineStr">
        <is>
          <t>VIE</t>
        </is>
      </c>
      <c r="E233" s="221" t="n">
        <v>1</v>
      </c>
      <c r="F233" s="211" t="inlineStr">
        <is>
          <t>2:11.45</t>
        </is>
      </c>
      <c r="G233" s="211" t="n">
        <v>2001</v>
      </c>
      <c r="H233" s="211">
        <f>C233-G233</f>
        <v/>
      </c>
      <c r="I233" s="211" t="inlineStr">
        <is>
          <t>Thanh Bao Pham</t>
        </is>
      </c>
      <c r="J233" s="211" t="n"/>
      <c r="K233" s="211" t="n"/>
      <c r="L233" s="213" t="n"/>
      <c r="M233" s="689" t="n"/>
      <c r="N233" s="689" t="n"/>
      <c r="O233" s="689" t="n"/>
      <c r="P233" s="227" t="n"/>
      <c r="Q233" s="689" t="n"/>
      <c r="R233" s="689" t="n"/>
      <c r="S233" s="689" t="n"/>
      <c r="T233" s="689" t="n"/>
      <c r="U233" s="689" t="n"/>
      <c r="V233" s="689" t="n"/>
      <c r="W233" s="689" t="n"/>
      <c r="X233" s="689" t="n"/>
      <c r="Y233" s="689" t="n"/>
      <c r="Z233" s="689" t="n"/>
      <c r="AA233" s="689" t="n"/>
      <c r="AB233" s="689" t="n"/>
      <c r="AC233" s="689" t="n"/>
      <c r="AD233" s="689" t="n"/>
      <c r="AF233" s="233" t="n"/>
      <c r="AG233" s="233" t="n"/>
      <c r="AH233" s="233" t="n"/>
      <c r="AI233" s="233" t="n"/>
      <c r="AJ233" s="233" t="n"/>
      <c r="AK233" s="233" t="n"/>
      <c r="AL233" s="233" t="n"/>
      <c r="AM233" s="233" t="n"/>
      <c r="AN233" s="233" t="n"/>
      <c r="AO233" s="233" t="n"/>
      <c r="AP233" s="233" t="n"/>
      <c r="AQ233" s="233" t="n"/>
      <c r="AR233" s="233" t="n"/>
      <c r="AS233" s="233" t="n"/>
      <c r="AT233" s="233" t="n"/>
      <c r="AU233" s="233" t="n"/>
      <c r="AV233" s="233" t="n"/>
      <c r="AW233" s="233" t="n"/>
      <c r="AY233" s="692" t="n"/>
      <c r="AZ233" s="692" t="n"/>
      <c r="BA233" s="692" t="n"/>
      <c r="BB233" s="692" t="n"/>
      <c r="BC233" s="692" t="n"/>
      <c r="BD233" s="692" t="n"/>
      <c r="BE233" s="692" t="n"/>
      <c r="BF233" s="692" t="n"/>
      <c r="BG233" s="692" t="n"/>
      <c r="BH233" s="692" t="n"/>
      <c r="BI233" s="692" t="n"/>
      <c r="BJ233" s="692" t="n"/>
      <c r="BK233" s="692" t="n"/>
      <c r="BL233" s="692" t="n"/>
      <c r="BM233" s="692" t="n"/>
      <c r="BN233" s="692" t="n"/>
      <c r="BO233" s="692" t="n"/>
      <c r="BP233" s="692" t="n"/>
      <c r="BQ233" s="692" t="n"/>
    </row>
    <row r="234">
      <c r="A234" s="218" t="inlineStr">
        <is>
          <t>Male</t>
        </is>
      </c>
      <c r="B234" s="215" t="inlineStr">
        <is>
          <t>200 Breast</t>
        </is>
      </c>
      <c r="C234" s="189" t="n">
        <v>2023</v>
      </c>
      <c r="D234" s="215" t="inlineStr">
        <is>
          <t>SGP</t>
        </is>
      </c>
      <c r="E234" s="219" t="n">
        <v>2</v>
      </c>
      <c r="F234" s="215" t="inlineStr">
        <is>
          <t>2:13.95</t>
        </is>
      </c>
      <c r="G234" s="215" t="n">
        <v>2005</v>
      </c>
      <c r="H234" s="215">
        <f>C234-G234</f>
        <v/>
      </c>
      <c r="I234" s="215" t="inlineStr">
        <is>
          <t>Nicholas Rui Karsten Mahabir</t>
        </is>
      </c>
      <c r="J234" s="215" t="inlineStr">
        <is>
          <t>California Berkeley</t>
        </is>
      </c>
      <c r="K234" s="215" t="inlineStr">
        <is>
          <t>USA</t>
        </is>
      </c>
      <c r="L234" s="217" t="inlineStr">
        <is>
          <t>USA</t>
        </is>
      </c>
      <c r="M234" s="689" t="n"/>
      <c r="N234" s="689" t="n"/>
      <c r="O234" s="689" t="n"/>
      <c r="P234" s="227" t="n"/>
      <c r="Q234" s="689" t="n"/>
      <c r="R234" s="689" t="n"/>
      <c r="S234" s="689" t="n"/>
      <c r="T234" s="689" t="n"/>
      <c r="U234" s="689" t="n"/>
      <c r="V234" s="689" t="n"/>
      <c r="W234" s="689" t="n"/>
      <c r="X234" s="689" t="n"/>
      <c r="Y234" s="689" t="n"/>
      <c r="Z234" s="689" t="n"/>
      <c r="AA234" s="689" t="n"/>
      <c r="AB234" s="689" t="n"/>
      <c r="AC234" s="689" t="n"/>
      <c r="AD234" s="689" t="n"/>
      <c r="AF234" s="233" t="n"/>
      <c r="AG234" s="233" t="n"/>
      <c r="AH234" s="233" t="n"/>
      <c r="AI234" s="233" t="n"/>
      <c r="AJ234" s="233" t="n"/>
      <c r="AK234" s="233" t="n"/>
      <c r="AL234" s="233" t="n"/>
      <c r="AM234" s="233" t="n"/>
      <c r="AN234" s="233" t="n"/>
      <c r="AO234" s="233" t="n"/>
      <c r="AP234" s="233" t="n"/>
      <c r="AQ234" s="233" t="n"/>
      <c r="AR234" s="233" t="n"/>
      <c r="AS234" s="233" t="n"/>
      <c r="AT234" s="233" t="n"/>
      <c r="AU234" s="233" t="n"/>
      <c r="AV234" s="233" t="n"/>
      <c r="AW234" s="233" t="n"/>
      <c r="AZ234" s="692" t="n"/>
      <c r="BA234" s="692" t="n"/>
      <c r="BB234" s="692" t="n"/>
      <c r="BC234" s="692" t="n"/>
      <c r="BD234" s="692" t="n"/>
      <c r="BE234" s="692" t="n"/>
      <c r="BF234" s="692" t="n"/>
      <c r="BG234" s="692" t="n"/>
      <c r="BH234" s="692" t="n"/>
      <c r="BI234" s="692" t="n"/>
      <c r="BJ234" s="692" t="n"/>
      <c r="BK234" s="692" t="n"/>
      <c r="BL234" s="692" t="n"/>
      <c r="BM234" s="692" t="n"/>
      <c r="BN234" s="692" t="n"/>
      <c r="BO234" s="692" t="n"/>
      <c r="BP234" s="692" t="n"/>
      <c r="BQ234" s="692" t="n"/>
    </row>
    <row r="235">
      <c r="A235" s="220" t="inlineStr">
        <is>
          <t>Male</t>
        </is>
      </c>
      <c r="B235" s="211" t="inlineStr">
        <is>
          <t>200 Breast</t>
        </is>
      </c>
      <c r="C235" s="190" t="n">
        <v>2023</v>
      </c>
      <c r="D235" s="211" t="inlineStr">
        <is>
          <t>SGP</t>
        </is>
      </c>
      <c r="E235" s="221" t="n">
        <v>3</v>
      </c>
      <c r="F235" s="211" t="inlineStr">
        <is>
          <t>2:14.30</t>
        </is>
      </c>
      <c r="G235" s="211" t="n">
        <v>2001</v>
      </c>
      <c r="H235" s="211">
        <f>C235-G235</f>
        <v/>
      </c>
      <c r="I235" s="211" t="inlineStr">
        <is>
          <t>Maximillan Wei Ang</t>
        </is>
      </c>
      <c r="J235" s="211" t="n"/>
      <c r="K235" s="211" t="n"/>
      <c r="L235" s="213" t="n"/>
      <c r="M235" s="689" t="n"/>
      <c r="N235" s="689" t="n"/>
      <c r="O235" s="689" t="n"/>
      <c r="P235" s="227" t="n"/>
      <c r="Q235" s="689" t="n"/>
      <c r="R235" s="689" t="n"/>
      <c r="S235" s="689" t="n"/>
      <c r="T235" s="689" t="n"/>
      <c r="U235" s="689" t="n"/>
      <c r="V235" s="689" t="n"/>
      <c r="W235" s="689" t="n"/>
      <c r="X235" s="689" t="n"/>
      <c r="Y235" s="689" t="n"/>
      <c r="Z235" s="689" t="n"/>
      <c r="AA235" s="689" t="n"/>
      <c r="AB235" s="689" t="n"/>
      <c r="AC235" s="689" t="n"/>
      <c r="AD235" s="689" t="n"/>
      <c r="AF235" s="233" t="n"/>
      <c r="AG235" s="233" t="n"/>
      <c r="AH235" s="233" t="n"/>
      <c r="AI235" s="233" t="n"/>
      <c r="AJ235" s="233" t="n"/>
      <c r="AK235" s="233" t="n"/>
      <c r="AL235" s="233" t="n"/>
      <c r="AM235" s="233" t="n"/>
      <c r="AN235" s="233" t="n"/>
      <c r="AO235" s="233" t="n"/>
      <c r="AP235" s="233" t="n"/>
      <c r="AQ235" s="233" t="n"/>
      <c r="AR235" s="233" t="n"/>
      <c r="AS235" s="233" t="n"/>
      <c r="AT235" s="233" t="n"/>
      <c r="AU235" s="233" t="n"/>
      <c r="AV235" s="233" t="n"/>
      <c r="AW235" s="233" t="n"/>
      <c r="AZ235" s="692" t="n"/>
      <c r="BA235" s="692" t="n"/>
      <c r="BB235" s="692" t="n"/>
      <c r="BC235" s="692" t="n"/>
      <c r="BD235" s="692" t="n"/>
      <c r="BE235" s="692" t="n"/>
      <c r="BF235" s="692" t="n"/>
      <c r="BG235" s="692" t="n"/>
      <c r="BH235" s="692" t="n"/>
      <c r="BI235" s="692" t="n"/>
      <c r="BJ235" s="692" t="n"/>
      <c r="BK235" s="692" t="n"/>
      <c r="BL235" s="692" t="n"/>
      <c r="BM235" s="692" t="n"/>
      <c r="BN235" s="692" t="n"/>
      <c r="BO235" s="692" t="n"/>
      <c r="BP235" s="692" t="n"/>
      <c r="BQ235" s="692" t="n"/>
    </row>
    <row r="236">
      <c r="A236" s="218" t="inlineStr">
        <is>
          <t>Male</t>
        </is>
      </c>
      <c r="B236" s="215" t="inlineStr">
        <is>
          <t>200 Fly</t>
        </is>
      </c>
      <c r="C236" s="189" t="n">
        <v>2019</v>
      </c>
      <c r="D236" s="215" t="inlineStr">
        <is>
          <t>SGP</t>
        </is>
      </c>
      <c r="E236" s="219" t="n">
        <v>1</v>
      </c>
      <c r="F236" s="215" t="inlineStr">
        <is>
          <t>1:56.61</t>
        </is>
      </c>
      <c r="G236" s="195" t="n">
        <v>1996</v>
      </c>
      <c r="H236" s="195">
        <f>C236-G236</f>
        <v/>
      </c>
      <c r="I236" s="200" t="inlineStr">
        <is>
          <t>Zheng Wen Quah</t>
        </is>
      </c>
      <c r="J236" s="200" t="inlineStr">
        <is>
          <t>California Berkeley</t>
        </is>
      </c>
      <c r="K236" s="200" t="inlineStr">
        <is>
          <t>USA</t>
        </is>
      </c>
      <c r="L236" s="217" t="n"/>
      <c r="M236" s="689" t="n"/>
      <c r="N236" s="689" t="n"/>
      <c r="O236" s="689" t="n"/>
      <c r="P236" s="227" t="n"/>
      <c r="Q236" s="689" t="n"/>
      <c r="R236" s="689" t="n"/>
      <c r="S236" s="689" t="n"/>
      <c r="T236" s="689" t="n"/>
      <c r="U236" s="689" t="n"/>
      <c r="V236" s="689" t="n"/>
      <c r="W236" s="689" t="n"/>
      <c r="X236" s="689" t="n"/>
      <c r="Y236" s="689" t="n"/>
      <c r="Z236" s="689" t="n"/>
      <c r="AA236" s="689" t="n"/>
      <c r="AB236" s="689" t="n"/>
      <c r="AC236" s="689" t="n"/>
      <c r="AD236" s="689" t="n"/>
      <c r="AF236" s="233" t="n"/>
      <c r="AG236" s="233" t="n"/>
      <c r="AH236" s="233" t="n"/>
      <c r="AI236" s="233" t="n"/>
      <c r="AJ236" s="233" t="n"/>
      <c r="AK236" s="233" t="n"/>
      <c r="AL236" s="233" t="n"/>
      <c r="AM236" s="233" t="n"/>
      <c r="AN236" s="233" t="n"/>
      <c r="AO236" s="233" t="n"/>
      <c r="AP236" s="233" t="n"/>
      <c r="AQ236" s="233" t="n"/>
      <c r="AR236" s="233" t="n"/>
      <c r="AS236" s="233" t="n"/>
      <c r="AT236" s="233" t="n"/>
      <c r="AU236" s="233" t="n"/>
      <c r="AV236" s="233" t="n"/>
      <c r="AW236" s="233" t="n"/>
      <c r="AZ236" s="692" t="n"/>
      <c r="BA236" s="692" t="n"/>
      <c r="BB236" s="692" t="n"/>
      <c r="BC236" s="692" t="n"/>
      <c r="BD236" s="692" t="n"/>
      <c r="BE236" s="692" t="n"/>
      <c r="BF236" s="692" t="n"/>
      <c r="BG236" s="692" t="n"/>
      <c r="BH236" s="692" t="n"/>
      <c r="BI236" s="692" t="n"/>
      <c r="BJ236" s="692" t="n"/>
      <c r="BK236" s="692" t="n"/>
      <c r="BL236" s="692" t="n"/>
      <c r="BM236" s="692" t="n"/>
      <c r="BN236" s="692" t="n"/>
      <c r="BO236" s="692" t="n"/>
      <c r="BP236" s="692" t="n"/>
      <c r="BQ236" s="692" t="n"/>
    </row>
    <row r="237">
      <c r="A237" s="220" t="inlineStr">
        <is>
          <t>Male</t>
        </is>
      </c>
      <c r="B237" s="211" t="inlineStr">
        <is>
          <t>200 Fly</t>
        </is>
      </c>
      <c r="C237" s="190" t="n">
        <v>2019</v>
      </c>
      <c r="D237" s="211" t="inlineStr">
        <is>
          <t>THA</t>
        </is>
      </c>
      <c r="E237" s="221" t="n">
        <v>2</v>
      </c>
      <c r="F237" s="211" t="inlineStr">
        <is>
          <t>2:00.31</t>
        </is>
      </c>
      <c r="G237" s="196" t="n">
        <v>1997</v>
      </c>
      <c r="H237" s="196">
        <f>C237-G237</f>
        <v/>
      </c>
      <c r="I237" s="198" t="inlineStr">
        <is>
          <t>Navaphat Wongcharoen</t>
        </is>
      </c>
      <c r="J237" s="211" t="n"/>
      <c r="K237" s="211" t="n"/>
      <c r="L237" s="213" t="n"/>
      <c r="M237" s="689" t="n"/>
      <c r="N237" s="689" t="n"/>
      <c r="O237" s="689" t="n"/>
      <c r="P237" s="227" t="n"/>
      <c r="Q237" s="689" t="n"/>
      <c r="R237" s="689" t="n"/>
      <c r="S237" s="689" t="n"/>
      <c r="T237" s="689" t="n"/>
      <c r="U237" s="689" t="n"/>
      <c r="V237" s="689" t="n"/>
      <c r="W237" s="689" t="n"/>
      <c r="X237" s="689" t="n"/>
      <c r="Y237" s="689" t="n"/>
      <c r="Z237" s="689" t="n"/>
      <c r="AA237" s="689" t="n"/>
      <c r="AB237" s="689" t="n"/>
      <c r="AC237" s="689" t="n"/>
      <c r="AD237" s="689" t="n"/>
      <c r="AF237" s="233" t="n"/>
      <c r="AG237" s="233" t="n"/>
      <c r="AH237" s="233" t="n"/>
      <c r="AI237" s="233" t="n"/>
      <c r="AJ237" s="233" t="n"/>
      <c r="AK237" s="233" t="n"/>
      <c r="AL237" s="233" t="n"/>
      <c r="AM237" s="233" t="n"/>
      <c r="AN237" s="233" t="n"/>
      <c r="AO237" s="233" t="n"/>
      <c r="AP237" s="233" t="n"/>
      <c r="AQ237" s="233" t="n"/>
      <c r="AR237" s="233" t="n"/>
      <c r="AS237" s="233" t="n"/>
      <c r="AT237" s="233" t="n"/>
      <c r="AU237" s="233" t="n"/>
      <c r="AV237" s="233" t="n"/>
      <c r="AW237" s="233" t="n"/>
      <c r="AZ237" s="692" t="n"/>
      <c r="BA237" s="158" t="n"/>
      <c r="BB237" s="158" t="n"/>
      <c r="BC237" s="692" t="n"/>
      <c r="BD237" s="692" t="n"/>
      <c r="BE237" s="692" t="n"/>
      <c r="BF237" s="692" t="n"/>
      <c r="BG237" s="692" t="n"/>
      <c r="BH237" s="692" t="n"/>
      <c r="BI237" s="692" t="n"/>
      <c r="BJ237" s="692" t="n"/>
      <c r="BK237" s="692" t="n"/>
      <c r="BL237" s="692" t="n"/>
      <c r="BM237" s="692" t="n"/>
      <c r="BN237" s="692" t="n"/>
      <c r="BO237" s="692" t="n"/>
      <c r="BP237" s="692" t="n"/>
      <c r="BQ237" s="692" t="n"/>
    </row>
    <row r="238">
      <c r="A238" s="218" t="inlineStr">
        <is>
          <t>Male</t>
        </is>
      </c>
      <c r="B238" s="215" t="inlineStr">
        <is>
          <t>200 Fly</t>
        </is>
      </c>
      <c r="C238" s="189" t="n">
        <v>2019</v>
      </c>
      <c r="D238" s="215" t="inlineStr">
        <is>
          <t>SGP</t>
        </is>
      </c>
      <c r="E238" s="219" t="n">
        <v>3</v>
      </c>
      <c r="F238" s="215" t="inlineStr">
        <is>
          <t>2:00.53</t>
        </is>
      </c>
      <c r="G238" s="215" t="n">
        <v>2001</v>
      </c>
      <c r="H238" s="195">
        <f>C238-G238</f>
        <v/>
      </c>
      <c r="I238" s="215" t="inlineStr">
        <is>
          <t>Jung Yi Ong</t>
        </is>
      </c>
      <c r="J238" s="215" t="n"/>
      <c r="K238" s="215" t="n"/>
      <c r="L238" s="217" t="n"/>
      <c r="M238" s="689" t="n"/>
      <c r="N238" s="689" t="n"/>
      <c r="O238" s="689" t="n"/>
      <c r="P238" s="227" t="n"/>
      <c r="Q238" s="689" t="n"/>
      <c r="R238" s="689" t="n"/>
      <c r="S238" s="689" t="n"/>
      <c r="T238" s="689" t="n"/>
      <c r="U238" s="689" t="n"/>
      <c r="V238" s="689" t="n"/>
      <c r="W238" s="689" t="n"/>
      <c r="X238" s="689" t="n"/>
      <c r="Y238" s="689" t="n"/>
      <c r="Z238" s="689" t="n"/>
      <c r="AA238" s="689" t="n"/>
      <c r="AB238" s="689" t="n"/>
      <c r="AC238" s="689" t="n"/>
      <c r="AD238" s="689" t="n"/>
      <c r="AF238" s="233" t="n"/>
      <c r="AG238" s="233" t="n"/>
      <c r="AH238" s="233" t="n"/>
      <c r="AI238" s="233" t="n"/>
      <c r="AJ238" s="233" t="n"/>
      <c r="AK238" s="233" t="n"/>
      <c r="AL238" s="233" t="n"/>
      <c r="AM238" s="233" t="n"/>
      <c r="AN238" s="233" t="n"/>
      <c r="AO238" s="233" t="n"/>
      <c r="AP238" s="233" t="n"/>
      <c r="AQ238" s="233" t="n"/>
      <c r="AR238" s="233" t="n"/>
      <c r="AS238" s="233" t="n"/>
      <c r="AT238" s="233" t="n"/>
      <c r="AU238" s="233" t="n"/>
      <c r="AV238" s="233" t="n"/>
      <c r="AW238" s="233" t="n"/>
      <c r="AZ238" s="692" t="n"/>
      <c r="BA238" s="692" t="n"/>
      <c r="BB238" s="692" t="n"/>
      <c r="BC238" s="692" t="n"/>
      <c r="BD238" s="692" t="n"/>
      <c r="BE238" s="692" t="n"/>
      <c r="BF238" s="692" t="n"/>
      <c r="BG238" s="692" t="n"/>
      <c r="BH238" s="692" t="n"/>
      <c r="BI238" s="692" t="n"/>
      <c r="BJ238" s="692" t="n"/>
      <c r="BK238" s="692" t="n"/>
      <c r="BL238" s="692" t="n"/>
      <c r="BM238" s="692" t="n"/>
      <c r="BN238" s="692" t="n"/>
      <c r="BO238" s="692" t="n"/>
      <c r="BP238" s="692" t="n"/>
      <c r="BQ238" s="692" t="n"/>
    </row>
    <row r="239">
      <c r="A239" s="220" t="inlineStr">
        <is>
          <t>Male</t>
        </is>
      </c>
      <c r="B239" s="211" t="inlineStr">
        <is>
          <t>200 Fly</t>
        </is>
      </c>
      <c r="C239" s="190" t="n">
        <v>2022</v>
      </c>
      <c r="D239" s="211" t="inlineStr">
        <is>
          <t>VIE</t>
        </is>
      </c>
      <c r="E239" s="221" t="n">
        <v>1</v>
      </c>
      <c r="F239" s="211" t="inlineStr">
        <is>
          <t>1:58.81</t>
        </is>
      </c>
      <c r="G239" s="196" t="n">
        <v>2000</v>
      </c>
      <c r="H239" s="196">
        <f>C239-G239</f>
        <v/>
      </c>
      <c r="I239" s="198" t="inlineStr">
        <is>
          <t>Huy Hoang Nguyen</t>
        </is>
      </c>
      <c r="J239" s="211" t="n"/>
      <c r="K239" s="211" t="n"/>
      <c r="L239" s="213" t="n"/>
      <c r="M239" s="689" t="n"/>
      <c r="N239" s="689" t="n"/>
      <c r="O239" s="689" t="n"/>
      <c r="P239" s="227" t="n"/>
      <c r="Q239" s="689" t="n"/>
      <c r="R239" s="689" t="n"/>
      <c r="S239" s="689" t="n"/>
      <c r="T239" s="689" t="n"/>
      <c r="U239" s="689" t="n"/>
      <c r="V239" s="689" t="n"/>
      <c r="W239" s="689" t="n"/>
      <c r="X239" s="689" t="n"/>
      <c r="Y239" s="689" t="n"/>
      <c r="Z239" s="689" t="n"/>
      <c r="AA239" s="689" t="n"/>
      <c r="AB239" s="689" t="n"/>
      <c r="AC239" s="689" t="n"/>
      <c r="AD239" s="689" t="n"/>
      <c r="AF239" s="233" t="n"/>
      <c r="AG239" s="233" t="n"/>
      <c r="AH239" s="233" t="n"/>
      <c r="AI239" s="233" t="n"/>
      <c r="AJ239" s="233" t="n"/>
      <c r="AK239" s="233" t="n"/>
      <c r="AL239" s="233" t="n"/>
      <c r="AM239" s="233" t="n"/>
      <c r="AN239" s="233" t="n"/>
      <c r="AO239" s="233" t="n"/>
      <c r="AP239" s="233" t="n"/>
      <c r="AQ239" s="233" t="n"/>
      <c r="AR239" s="233" t="n"/>
      <c r="AS239" s="233" t="n"/>
      <c r="AT239" s="233" t="n"/>
      <c r="AU239" s="233" t="n"/>
      <c r="AV239" s="233" t="n"/>
      <c r="AW239" s="233" t="n"/>
      <c r="AX239" s="692" t="n"/>
      <c r="AZ239" s="692" t="n"/>
      <c r="BA239" s="692" t="n"/>
      <c r="BB239" s="692" t="n"/>
      <c r="BC239" s="692" t="n"/>
      <c r="BD239" s="692" t="n"/>
      <c r="BE239" s="692" t="n"/>
      <c r="BF239" s="692" t="n"/>
      <c r="BG239" s="692" t="n"/>
      <c r="BH239" s="692" t="n"/>
      <c r="BI239" s="692" t="n"/>
      <c r="BJ239" s="692" t="n"/>
      <c r="BK239" s="692" t="n"/>
      <c r="BL239" s="692" t="n"/>
      <c r="BM239" s="692" t="n"/>
      <c r="BN239" s="692" t="n"/>
      <c r="BO239" s="692" t="n"/>
      <c r="BP239" s="692" t="n"/>
      <c r="BQ239" s="692" t="n"/>
    </row>
    <row r="240">
      <c r="A240" s="218" t="inlineStr">
        <is>
          <t>Male</t>
        </is>
      </c>
      <c r="B240" s="215" t="inlineStr">
        <is>
          <t>200 Fly</t>
        </is>
      </c>
      <c r="C240" s="189" t="n">
        <v>2022</v>
      </c>
      <c r="D240" s="215" t="inlineStr">
        <is>
          <t>THA</t>
        </is>
      </c>
      <c r="E240" s="219" t="n">
        <v>2</v>
      </c>
      <c r="F240" s="215" t="inlineStr">
        <is>
          <t>1:58.93</t>
        </is>
      </c>
      <c r="G240" s="195" t="n">
        <v>1997</v>
      </c>
      <c r="H240" s="195">
        <f>C240-G240</f>
        <v/>
      </c>
      <c r="I240" s="200" t="inlineStr">
        <is>
          <t>Navaphat Wongcharoen</t>
        </is>
      </c>
      <c r="J240" s="215" t="n"/>
      <c r="K240" s="215" t="n"/>
      <c r="L240" s="217" t="n"/>
      <c r="M240" s="689" t="n"/>
      <c r="N240" s="689" t="n"/>
      <c r="O240" s="689" t="n"/>
      <c r="P240" s="227" t="n"/>
      <c r="Q240" s="689" t="n"/>
      <c r="R240" s="689" t="n"/>
      <c r="S240" s="689" t="n"/>
      <c r="T240" s="689" t="n"/>
      <c r="U240" s="689" t="n"/>
      <c r="V240" s="689" t="n"/>
      <c r="W240" s="689" t="n"/>
      <c r="X240" s="689" t="n"/>
      <c r="Y240" s="689" t="n"/>
      <c r="Z240" s="689" t="n"/>
      <c r="AA240" s="689" t="n"/>
      <c r="AB240" s="689" t="n"/>
      <c r="AC240" s="689" t="n"/>
      <c r="AD240" s="689" t="n"/>
      <c r="AF240" s="236" t="n"/>
      <c r="AG240" s="236" t="n"/>
      <c r="AH240" s="236" t="n"/>
      <c r="AI240" s="236" t="n"/>
      <c r="AJ240" s="236" t="n"/>
      <c r="AK240" s="236" t="n"/>
      <c r="AL240" s="236" t="n"/>
      <c r="AM240" s="236" t="n"/>
      <c r="AN240" s="236" t="n"/>
      <c r="AO240" s="236" t="n"/>
      <c r="AP240" s="236" t="n"/>
      <c r="AQ240" s="236" t="n"/>
      <c r="AR240" s="236" t="n"/>
      <c r="AS240" s="236" t="n"/>
      <c r="AT240" s="236" t="n"/>
      <c r="AU240" s="236" t="n"/>
      <c r="AV240" s="236" t="n"/>
      <c r="AW240" s="236" t="n"/>
      <c r="AX240" s="692" t="n"/>
      <c r="AZ240" s="692" t="n"/>
      <c r="BA240" s="692" t="n"/>
      <c r="BB240" s="692" t="n"/>
      <c r="BC240" s="692" t="n"/>
      <c r="BD240" s="692" t="n"/>
      <c r="BE240" s="692" t="n"/>
      <c r="BF240" s="692" t="n"/>
      <c r="BG240" s="692" t="n"/>
      <c r="BH240" s="692" t="n"/>
      <c r="BI240" s="692" t="n"/>
      <c r="BJ240" s="692" t="n"/>
      <c r="BK240" s="692" t="n"/>
      <c r="BL240" s="692" t="n"/>
      <c r="BM240" s="692" t="n"/>
      <c r="BN240" s="692" t="n"/>
      <c r="BO240" s="692" t="n"/>
      <c r="BP240" s="692" t="n"/>
      <c r="BQ240" s="692" t="n"/>
    </row>
    <row r="241">
      <c r="A241" s="220" t="inlineStr">
        <is>
          <t>Male</t>
        </is>
      </c>
      <c r="B241" s="211" t="inlineStr">
        <is>
          <t>200 Fly</t>
        </is>
      </c>
      <c r="C241" s="190" t="n">
        <v>2022</v>
      </c>
      <c r="D241" s="211" t="inlineStr">
        <is>
          <t>SGP</t>
        </is>
      </c>
      <c r="E241" s="221" t="n">
        <v>3</v>
      </c>
      <c r="F241" s="211" t="inlineStr">
        <is>
          <t>1:59.33</t>
        </is>
      </c>
      <c r="G241" s="211" t="n">
        <v>2001</v>
      </c>
      <c r="H241" s="196">
        <f>C241-G241</f>
        <v/>
      </c>
      <c r="I241" s="211" t="inlineStr">
        <is>
          <t>Jung Yi Ong</t>
        </is>
      </c>
      <c r="J241" s="211" t="n"/>
      <c r="K241" s="211" t="n"/>
      <c r="L241" s="213" t="n"/>
      <c r="M241" s="689" t="n"/>
      <c r="N241" s="689" t="n"/>
      <c r="O241" s="689" t="n"/>
      <c r="P241" s="227" t="n"/>
      <c r="Q241" s="689" t="n"/>
      <c r="R241" s="689" t="n"/>
      <c r="S241" s="689" t="n"/>
      <c r="T241" s="689" t="n"/>
      <c r="U241" s="689" t="n"/>
      <c r="V241" s="689" t="n"/>
      <c r="W241" s="689" t="n"/>
      <c r="X241" s="689" t="n"/>
      <c r="Y241" s="689" t="n"/>
      <c r="Z241" s="689" t="n"/>
      <c r="AA241" s="689" t="n"/>
      <c r="AB241" s="689" t="n"/>
      <c r="AC241" s="689" t="n"/>
      <c r="AD241" s="689" t="n"/>
      <c r="AF241" s="236" t="n"/>
      <c r="AG241" s="236" t="n"/>
      <c r="AH241" s="236" t="n"/>
      <c r="AI241" s="236" t="n"/>
      <c r="AJ241" s="236" t="n"/>
      <c r="AK241" s="236" t="n"/>
      <c r="AL241" s="236" t="n"/>
      <c r="AM241" s="236" t="n"/>
      <c r="AN241" s="236" t="n"/>
      <c r="AO241" s="236" t="n"/>
      <c r="AP241" s="236" t="n"/>
      <c r="AQ241" s="236" t="n"/>
      <c r="AR241" s="236" t="n"/>
      <c r="AS241" s="236" t="n"/>
      <c r="AT241" s="236" t="n"/>
      <c r="AU241" s="236" t="n"/>
      <c r="AV241" s="236" t="n"/>
      <c r="AW241" s="236" t="n"/>
      <c r="AX241" s="692" t="n"/>
      <c r="AZ241" s="692" t="n"/>
      <c r="BA241" s="692" t="n"/>
      <c r="BB241" s="692" t="n"/>
      <c r="BC241" s="692" t="n"/>
      <c r="BD241" s="692" t="n"/>
      <c r="BE241" s="692" t="n"/>
      <c r="BF241" s="692" t="n"/>
      <c r="BG241" s="692" t="n"/>
      <c r="BH241" s="692" t="n"/>
      <c r="BI241" s="692" t="n"/>
      <c r="BJ241" s="692" t="n"/>
      <c r="BK241" s="692" t="n"/>
      <c r="BL241" s="692" t="n"/>
      <c r="BM241" s="692" t="n"/>
      <c r="BN241" s="692" t="n"/>
      <c r="BO241" s="692" t="n"/>
      <c r="BP241" s="692" t="n"/>
      <c r="BQ241" s="692" t="n"/>
    </row>
    <row r="242">
      <c r="A242" s="218" t="inlineStr">
        <is>
          <t>Male</t>
        </is>
      </c>
      <c r="B242" s="215" t="inlineStr">
        <is>
          <t>200 Fly</t>
        </is>
      </c>
      <c r="C242" s="189" t="n">
        <v>2023</v>
      </c>
      <c r="D242" s="215" t="inlineStr">
        <is>
          <t>SGP</t>
        </is>
      </c>
      <c r="E242" s="219" t="n">
        <v>1</v>
      </c>
      <c r="F242" s="215" t="inlineStr">
        <is>
          <t>1:59.44</t>
        </is>
      </c>
      <c r="G242" s="215" t="n">
        <v>2001</v>
      </c>
      <c r="H242" s="215">
        <f>C242-G242</f>
        <v/>
      </c>
      <c r="I242" s="215" t="inlineStr">
        <is>
          <t>Jung YI Ong</t>
        </is>
      </c>
      <c r="J242" s="215" t="n"/>
      <c r="K242" s="215" t="n"/>
      <c r="L242" s="217" t="n"/>
      <c r="M242" s="689" t="n"/>
      <c r="N242" s="689" t="n"/>
      <c r="O242" s="689" t="n"/>
      <c r="P242" s="227" t="n"/>
      <c r="Q242" s="689" t="n"/>
      <c r="R242" s="689" t="n"/>
      <c r="S242" s="689" t="n"/>
      <c r="T242" s="689" t="n"/>
      <c r="U242" s="689" t="n"/>
      <c r="V242" s="689" t="n"/>
      <c r="W242" s="689" t="n"/>
      <c r="X242" s="689" t="n"/>
      <c r="Y242" s="689" t="n"/>
      <c r="Z242" s="689" t="n"/>
      <c r="AA242" s="689" t="n"/>
      <c r="AB242" s="689" t="n"/>
      <c r="AC242" s="689" t="n"/>
      <c r="AD242" s="689" t="n"/>
      <c r="AF242" s="236" t="n"/>
      <c r="AG242" s="236" t="n"/>
      <c r="AH242" s="236" t="n"/>
      <c r="AI242" s="236" t="n"/>
      <c r="AJ242" s="236" t="n"/>
      <c r="AK242" s="236" t="n"/>
      <c r="AL242" s="236" t="n"/>
      <c r="AM242" s="236" t="n"/>
      <c r="AN242" s="236" t="n"/>
      <c r="AO242" s="236" t="n"/>
      <c r="AP242" s="236" t="n"/>
      <c r="AQ242" s="236" t="n"/>
      <c r="AR242" s="236" t="n"/>
      <c r="AS242" s="236" t="n"/>
      <c r="AT242" s="236" t="n"/>
      <c r="AU242" s="236" t="n"/>
      <c r="AV242" s="236" t="n"/>
      <c r="AW242" s="236" t="n"/>
      <c r="AX242" s="692" t="n"/>
      <c r="AZ242" s="692" t="n"/>
      <c r="BA242" s="692" t="n"/>
      <c r="BB242" s="692" t="n"/>
      <c r="BC242" s="692" t="n"/>
      <c r="BD242" s="692" t="n"/>
      <c r="BE242" s="692" t="n"/>
      <c r="BF242" s="692" t="n"/>
      <c r="BG242" s="692" t="n"/>
      <c r="BH242" s="692" t="n"/>
      <c r="BI242" s="692" t="n"/>
      <c r="BJ242" s="692" t="n"/>
      <c r="BK242" s="692" t="n"/>
      <c r="BL242" s="692" t="n"/>
      <c r="BM242" s="692" t="n"/>
      <c r="BN242" s="692" t="n"/>
      <c r="BO242" s="692" t="n"/>
      <c r="BP242" s="692" t="n"/>
      <c r="BQ242" s="692" t="n"/>
    </row>
    <row r="243">
      <c r="A243" s="220" t="inlineStr">
        <is>
          <t>Male</t>
        </is>
      </c>
      <c r="B243" s="211" t="inlineStr">
        <is>
          <t>200 Fly</t>
        </is>
      </c>
      <c r="C243" s="190" t="n">
        <v>2023</v>
      </c>
      <c r="D243" s="211" t="inlineStr">
        <is>
          <t>THA</t>
        </is>
      </c>
      <c r="E243" s="221" t="n">
        <v>2</v>
      </c>
      <c r="F243" s="211" t="inlineStr">
        <is>
          <t>1:59.64</t>
        </is>
      </c>
      <c r="G243" s="211" t="n">
        <v>1997</v>
      </c>
      <c r="H243" s="211">
        <f>C243-G243</f>
        <v/>
      </c>
      <c r="I243" s="211" t="inlineStr">
        <is>
          <t>Navaphat Wongcharoen</t>
        </is>
      </c>
      <c r="J243" s="211" t="n"/>
      <c r="K243" s="211" t="n"/>
      <c r="L243" s="213" t="n"/>
      <c r="M243" s="689" t="n"/>
      <c r="N243" s="689" t="n"/>
      <c r="O243" s="689" t="n"/>
      <c r="P243" s="227" t="n"/>
      <c r="Q243" s="689" t="n"/>
      <c r="R243" s="689" t="n"/>
      <c r="S243" s="689" t="n"/>
      <c r="T243" s="689" t="n"/>
      <c r="U243" s="689" t="n"/>
      <c r="V243" s="689" t="n"/>
      <c r="W243" s="689" t="n"/>
      <c r="X243" s="689" t="n"/>
      <c r="Y243" s="689" t="n"/>
      <c r="Z243" s="689" t="n"/>
      <c r="AA243" s="689" t="n"/>
      <c r="AB243" s="689" t="n"/>
      <c r="AC243" s="689" t="n"/>
      <c r="AD243" s="689" t="n"/>
      <c r="AF243" s="236" t="n"/>
      <c r="AG243" s="236" t="n"/>
      <c r="AH243" s="236" t="n"/>
      <c r="AI243" s="236" t="n"/>
      <c r="AJ243" s="236" t="n"/>
      <c r="AK243" s="236" t="n"/>
      <c r="AL243" s="236" t="n"/>
      <c r="AM243" s="236" t="n"/>
      <c r="AN243" s="236" t="n"/>
      <c r="AO243" s="236" t="n"/>
      <c r="AP243" s="236" t="n"/>
      <c r="AQ243" s="236" t="n"/>
      <c r="AR243" s="236" t="n"/>
      <c r="AS243" s="236" t="n"/>
      <c r="AT243" s="236" t="n"/>
      <c r="AU243" s="236" t="n"/>
      <c r="AV243" s="236" t="n"/>
      <c r="AW243" s="236" t="n"/>
      <c r="AX243" s="692" t="n"/>
      <c r="AZ243" s="692" t="n"/>
      <c r="BA243" s="692" t="n"/>
      <c r="BB243" s="158" t="n"/>
      <c r="BC243" s="692" t="n"/>
      <c r="BD243" s="692" t="n"/>
      <c r="BE243" s="692" t="n"/>
      <c r="BF243" s="692" t="n"/>
      <c r="BG243" s="692" t="n"/>
      <c r="BH243" s="692" t="n"/>
      <c r="BI243" s="692" t="n"/>
      <c r="BJ243" s="692" t="n"/>
      <c r="BK243" s="692" t="n"/>
      <c r="BL243" s="692" t="n"/>
      <c r="BM243" s="692" t="n"/>
      <c r="BN243" s="692" t="n"/>
      <c r="BO243" s="692" t="n"/>
      <c r="BP243" s="692" t="n"/>
      <c r="BQ243" s="692" t="n"/>
    </row>
    <row r="244">
      <c r="A244" s="218" t="inlineStr">
        <is>
          <t>Male</t>
        </is>
      </c>
      <c r="B244" s="215" t="inlineStr">
        <is>
          <t>200 Fly</t>
        </is>
      </c>
      <c r="C244" s="189" t="n">
        <v>2023</v>
      </c>
      <c r="D244" s="215" t="inlineStr">
        <is>
          <t>VIE</t>
        </is>
      </c>
      <c r="E244" s="219" t="n">
        <v>3</v>
      </c>
      <c r="F244" s="215" t="inlineStr">
        <is>
          <t>2:00.60</t>
        </is>
      </c>
      <c r="G244" s="215" t="n">
        <v>2005</v>
      </c>
      <c r="H244" s="215">
        <f>C244-G244</f>
        <v/>
      </c>
      <c r="I244" s="215" t="inlineStr">
        <is>
          <t>Nguyen Duy Khoa HO</t>
        </is>
      </c>
      <c r="J244" s="215" t="n"/>
      <c r="K244" s="215" t="n"/>
      <c r="L244" s="217" t="n"/>
      <c r="M244" s="689" t="n"/>
      <c r="N244" s="689" t="n"/>
      <c r="O244" s="689" t="n"/>
      <c r="P244" s="227" t="n"/>
      <c r="Q244" s="689" t="n"/>
      <c r="R244" s="689" t="n"/>
      <c r="S244" s="689" t="n"/>
      <c r="T244" s="689" t="n"/>
      <c r="U244" s="689" t="n"/>
      <c r="V244" s="689" t="n"/>
      <c r="W244" s="689" t="n"/>
      <c r="X244" s="689" t="n"/>
      <c r="Y244" s="689" t="n"/>
      <c r="Z244" s="689" t="n"/>
      <c r="AA244" s="689" t="n"/>
      <c r="AB244" s="689" t="n"/>
      <c r="AC244" s="689" t="n"/>
      <c r="AD244" s="689" t="n"/>
      <c r="AF244" s="236" t="n"/>
      <c r="AG244" s="236" t="n"/>
      <c r="AH244" s="236" t="n"/>
      <c r="AI244" s="236" t="n"/>
      <c r="AJ244" s="236" t="n"/>
      <c r="AK244" s="236" t="n"/>
      <c r="AL244" s="236" t="n"/>
      <c r="AM244" s="236" t="n"/>
      <c r="AN244" s="236" t="n"/>
      <c r="AO244" s="236" t="n"/>
      <c r="AP244" s="236" t="n"/>
      <c r="AQ244" s="236" t="n"/>
      <c r="AR244" s="236" t="n"/>
      <c r="AS244" s="236" t="n"/>
      <c r="AT244" s="236" t="n"/>
      <c r="AU244" s="236" t="n"/>
      <c r="AV244" s="236" t="n"/>
      <c r="AW244" s="236" t="n"/>
      <c r="AX244" s="692" t="n"/>
      <c r="AZ244" s="158" t="n"/>
      <c r="BA244" s="158" t="n"/>
      <c r="BB244" s="158" t="n"/>
      <c r="BC244" s="692" t="n"/>
      <c r="BD244" s="692" t="n"/>
      <c r="BE244" s="692" t="n"/>
      <c r="BF244" s="692" t="n"/>
      <c r="BG244" s="692" t="n"/>
      <c r="BH244" s="692" t="n"/>
      <c r="BI244" s="692" t="n"/>
      <c r="BJ244" s="692" t="n"/>
      <c r="BK244" s="692" t="n"/>
      <c r="BL244" s="692" t="n"/>
      <c r="BM244" s="692" t="n"/>
      <c r="BN244" s="692" t="n"/>
      <c r="BO244" s="692" t="n"/>
      <c r="BP244" s="692" t="n"/>
      <c r="BQ244" s="692" t="n"/>
    </row>
    <row r="245">
      <c r="A245" s="220" t="inlineStr">
        <is>
          <t>Male</t>
        </is>
      </c>
      <c r="B245" s="211" t="inlineStr">
        <is>
          <t>200 Free</t>
        </is>
      </c>
      <c r="C245" s="190" t="n">
        <v>2019</v>
      </c>
      <c r="D245" s="211" t="inlineStr">
        <is>
          <t>SGP</t>
        </is>
      </c>
      <c r="E245" s="221" t="n">
        <v>1</v>
      </c>
      <c r="F245" s="211" t="inlineStr">
        <is>
          <t>1:48.26</t>
        </is>
      </c>
      <c r="G245" s="211" t="n">
        <v>2000</v>
      </c>
      <c r="H245" s="211">
        <f>C245-G245</f>
        <v/>
      </c>
      <c r="I245" s="211" t="inlineStr">
        <is>
          <t>Darren Chua</t>
        </is>
      </c>
      <c r="J245" s="211" t="n"/>
      <c r="K245" s="211" t="n"/>
      <c r="L245" s="213" t="n"/>
      <c r="M245" s="689" t="n"/>
      <c r="N245" s="689" t="n"/>
      <c r="O245" s="689" t="n"/>
      <c r="P245" s="227" t="n"/>
      <c r="Q245" s="689" t="n"/>
      <c r="R245" s="689" t="n"/>
      <c r="S245" s="689" t="n"/>
      <c r="T245" s="689" t="n"/>
      <c r="U245" s="689" t="n"/>
      <c r="V245" s="689" t="n"/>
      <c r="W245" s="689" t="n"/>
      <c r="X245" s="689" t="n"/>
      <c r="Y245" s="689" t="n"/>
      <c r="Z245" s="689" t="n"/>
      <c r="AA245" s="689" t="n"/>
      <c r="AB245" s="689" t="n"/>
      <c r="AC245" s="689" t="n"/>
      <c r="AD245" s="689" t="n"/>
      <c r="AF245" s="236" t="n"/>
      <c r="AG245" s="236" t="n"/>
      <c r="AH245" s="236" t="n"/>
      <c r="AI245" s="236" t="n"/>
      <c r="AJ245" s="236" t="n"/>
      <c r="AK245" s="236" t="n"/>
      <c r="AL245" s="236" t="n"/>
      <c r="AM245" s="236" t="n"/>
      <c r="AN245" s="236" t="n"/>
      <c r="AO245" s="236" t="n"/>
      <c r="AP245" s="236" t="n"/>
      <c r="AQ245" s="236" t="n"/>
      <c r="AR245" s="236" t="n"/>
      <c r="AS245" s="236" t="n"/>
      <c r="AT245" s="236" t="n"/>
      <c r="AU245" s="236" t="n"/>
      <c r="AV245" s="236" t="n"/>
      <c r="AW245" s="236" t="n"/>
      <c r="AX245" s="692" t="n"/>
      <c r="AZ245" s="158" t="n"/>
      <c r="BA245" s="158" t="n"/>
      <c r="BB245" s="158" t="n"/>
      <c r="BC245" s="692" t="n"/>
      <c r="BD245" s="692" t="n"/>
      <c r="BE245" s="692" t="n"/>
      <c r="BF245" s="692" t="n"/>
      <c r="BG245" s="692" t="n"/>
      <c r="BH245" s="692" t="n"/>
      <c r="BI245" s="692" t="n"/>
      <c r="BJ245" s="692" t="n"/>
      <c r="BK245" s="692" t="n"/>
      <c r="BL245" s="692" t="n"/>
      <c r="BM245" s="692" t="n"/>
      <c r="BN245" s="692" t="n"/>
      <c r="BO245" s="692" t="n"/>
      <c r="BP245" s="692" t="n"/>
      <c r="BQ245" s="692" t="n"/>
    </row>
    <row r="246">
      <c r="A246" s="218" t="inlineStr">
        <is>
          <t>Male</t>
        </is>
      </c>
      <c r="B246" s="215" t="inlineStr">
        <is>
          <t>200 Free</t>
        </is>
      </c>
      <c r="C246" s="189" t="n">
        <v>2019</v>
      </c>
      <c r="D246" s="215" t="inlineStr">
        <is>
          <t>MAS</t>
        </is>
      </c>
      <c r="E246" s="219" t="n">
        <v>2</v>
      </c>
      <c r="F246" s="215" t="inlineStr">
        <is>
          <t>1:48.52</t>
        </is>
      </c>
      <c r="G246" s="215" t="n">
        <v>1997</v>
      </c>
      <c r="H246" s="215">
        <f>C246-G246</f>
        <v/>
      </c>
      <c r="I246" s="215" t="inlineStr">
        <is>
          <t>Welson Sim</t>
        </is>
      </c>
      <c r="J246" s="215" t="n"/>
      <c r="K246" s="215" t="n"/>
      <c r="L246" s="217" t="n"/>
      <c r="M246" s="689" t="n"/>
      <c r="N246" s="689" t="n"/>
      <c r="O246" s="689" t="n"/>
      <c r="P246" s="227" t="n"/>
      <c r="Q246" s="689" t="n"/>
      <c r="R246" s="689" t="n"/>
      <c r="S246" s="689" t="n"/>
      <c r="T246" s="689" t="n"/>
      <c r="U246" s="689" t="n"/>
      <c r="V246" s="689" t="n"/>
      <c r="W246" s="689" t="n"/>
      <c r="X246" s="689" t="n"/>
      <c r="Y246" s="689" t="n"/>
      <c r="Z246" s="689" t="n"/>
      <c r="AA246" s="689" t="n"/>
      <c r="AB246" s="689" t="n"/>
      <c r="AC246" s="689" t="n"/>
      <c r="AD246" s="689" t="n"/>
      <c r="AF246" s="236" t="n"/>
      <c r="AG246" s="236" t="n"/>
      <c r="AH246" s="236" t="n"/>
      <c r="AI246" s="236" t="n"/>
      <c r="AJ246" s="236" t="n"/>
      <c r="AK246" s="236" t="n"/>
      <c r="AL246" s="236" t="n"/>
      <c r="AM246" s="236" t="n"/>
      <c r="AN246" s="236" t="n"/>
      <c r="AO246" s="236" t="n"/>
      <c r="AP246" s="236" t="n"/>
      <c r="AQ246" s="236" t="n"/>
      <c r="AR246" s="236" t="n"/>
      <c r="AS246" s="236" t="n"/>
      <c r="AT246" s="236" t="n"/>
      <c r="AU246" s="236" t="n"/>
      <c r="AV246" s="236" t="n"/>
      <c r="AW246" s="236" t="n"/>
      <c r="AX246" s="692" t="n"/>
      <c r="AZ246" s="158" t="n"/>
      <c r="BA246" s="158" t="n"/>
      <c r="BB246" s="158" t="n"/>
      <c r="BC246" s="692" t="n"/>
      <c r="BD246" s="692" t="n"/>
      <c r="BE246" s="692" t="n"/>
      <c r="BF246" s="692" t="n"/>
      <c r="BG246" s="692" t="n"/>
      <c r="BH246" s="692" t="n"/>
      <c r="BI246" s="692" t="n"/>
      <c r="BJ246" s="692" t="n"/>
      <c r="BK246" s="692" t="n"/>
      <c r="BL246" s="692" t="n"/>
      <c r="BM246" s="692" t="n"/>
      <c r="BN246" s="692" t="n"/>
      <c r="BO246" s="692" t="n"/>
      <c r="BP246" s="692" t="n"/>
      <c r="BQ246" s="692" t="n"/>
    </row>
    <row r="247">
      <c r="A247" s="220" t="inlineStr">
        <is>
          <t>Male</t>
        </is>
      </c>
      <c r="B247" s="211" t="inlineStr">
        <is>
          <t>200 Free</t>
        </is>
      </c>
      <c r="C247" s="190" t="n">
        <v>2019</v>
      </c>
      <c r="D247" s="211" t="inlineStr">
        <is>
          <t>VIE</t>
        </is>
      </c>
      <c r="E247" s="221" t="n">
        <v>3</v>
      </c>
      <c r="F247" s="211" t="inlineStr">
        <is>
          <t>1:48.59</t>
        </is>
      </c>
      <c r="G247" s="211" t="n">
        <v>1993</v>
      </c>
      <c r="H247" s="196">
        <f>C247-G247</f>
        <v/>
      </c>
      <c r="I247" s="211" t="inlineStr">
        <is>
          <t>Quy Phuoc HOANG</t>
        </is>
      </c>
      <c r="J247" s="211" t="n"/>
      <c r="K247" s="211" t="n"/>
      <c r="L247" s="213" t="n"/>
      <c r="M247" s="689" t="n"/>
      <c r="N247" s="689" t="n"/>
      <c r="O247" s="689" t="n"/>
      <c r="P247" s="227" t="n"/>
      <c r="Q247" s="689" t="n"/>
      <c r="R247" s="689" t="n"/>
      <c r="S247" s="689" t="n"/>
      <c r="T247" s="689" t="n"/>
      <c r="U247" s="689" t="n"/>
      <c r="V247" s="689" t="n"/>
      <c r="W247" s="689" t="n"/>
      <c r="X247" s="689" t="n"/>
      <c r="Y247" s="689" t="n"/>
      <c r="Z247" s="689" t="n"/>
      <c r="AA247" s="689" t="n"/>
      <c r="AB247" s="689" t="n"/>
      <c r="AC247" s="689" t="n"/>
      <c r="AD247" s="689" t="n"/>
      <c r="AF247" s="236" t="n"/>
      <c r="AG247" s="236" t="n"/>
      <c r="AH247" s="236" t="n"/>
      <c r="AI247" s="236" t="n"/>
      <c r="AJ247" s="236" t="n"/>
      <c r="AK247" s="236" t="n"/>
      <c r="AL247" s="236" t="n"/>
      <c r="AM247" s="236" t="n"/>
      <c r="AN247" s="236" t="n"/>
      <c r="AO247" s="236" t="n"/>
      <c r="AP247" s="236" t="n"/>
      <c r="AQ247" s="236" t="n"/>
      <c r="AR247" s="236" t="n"/>
      <c r="AS247" s="236" t="n"/>
      <c r="AT247" s="236" t="n"/>
      <c r="AU247" s="236" t="n"/>
      <c r="AV247" s="236" t="n"/>
      <c r="AW247" s="236" t="n"/>
      <c r="AX247" s="692" t="n"/>
      <c r="AZ247" s="158" t="n"/>
      <c r="BA247" s="158" t="n"/>
      <c r="BB247" s="158" t="n"/>
      <c r="BC247" s="692" t="n"/>
      <c r="BD247" s="692" t="n"/>
      <c r="BE247" s="692" t="n"/>
      <c r="BF247" s="692" t="n"/>
      <c r="BG247" s="692" t="n"/>
      <c r="BH247" s="692" t="n"/>
      <c r="BI247" s="692" t="n"/>
      <c r="BJ247" s="692" t="n"/>
      <c r="BK247" s="692" t="n"/>
      <c r="BL247" s="692" t="n"/>
      <c r="BM247" s="692" t="n"/>
      <c r="BN247" s="692" t="n"/>
      <c r="BO247" s="692" t="n"/>
      <c r="BP247" s="692" t="n"/>
      <c r="BQ247" s="692" t="n"/>
    </row>
    <row r="248">
      <c r="A248" s="218" t="inlineStr">
        <is>
          <t>Male</t>
        </is>
      </c>
      <c r="B248" s="215" t="inlineStr">
        <is>
          <t>200 Free</t>
        </is>
      </c>
      <c r="C248" s="189" t="n">
        <v>2022</v>
      </c>
      <c r="D248" s="215" t="inlineStr">
        <is>
          <t>MAS</t>
        </is>
      </c>
      <c r="E248" s="219" t="n">
        <v>1</v>
      </c>
      <c r="F248" s="215" t="inlineStr">
        <is>
          <t>1:47.81</t>
        </is>
      </c>
      <c r="G248" s="195" t="n">
        <v>2002</v>
      </c>
      <c r="H248" s="195">
        <f>C248-G248</f>
        <v/>
      </c>
      <c r="I248" s="200" t="inlineStr">
        <is>
          <t>Khiew Hoe Yean</t>
        </is>
      </c>
      <c r="J248" s="215" t="n"/>
      <c r="K248" s="215" t="n"/>
      <c r="L248" s="217" t="n"/>
      <c r="M248" s="689" t="n"/>
      <c r="N248" s="689" t="n"/>
      <c r="O248" s="689" t="n"/>
      <c r="P248" s="227" t="n"/>
      <c r="Q248" s="689" t="n"/>
      <c r="R248" s="689" t="n"/>
      <c r="S248" s="689" t="n"/>
      <c r="T248" s="689" t="n"/>
      <c r="U248" s="689" t="n"/>
      <c r="V248" s="689" t="n"/>
      <c r="W248" s="689" t="n"/>
      <c r="X248" s="689" t="n"/>
      <c r="Y248" s="689" t="n"/>
      <c r="Z248" s="689" t="n"/>
      <c r="AA248" s="689" t="n"/>
      <c r="AB248" s="689" t="n"/>
      <c r="AC248" s="689" t="n"/>
      <c r="AD248" s="689" t="n"/>
      <c r="AF248" s="236" t="n"/>
      <c r="AG248" s="236" t="n"/>
      <c r="AH248" s="236" t="n"/>
      <c r="AI248" s="236" t="n"/>
      <c r="AJ248" s="236" t="n"/>
      <c r="AK248" s="236" t="n"/>
      <c r="AL248" s="236" t="n"/>
      <c r="AM248" s="236" t="n"/>
      <c r="AN248" s="236" t="n"/>
      <c r="AO248" s="236" t="n"/>
      <c r="AP248" s="236" t="n"/>
      <c r="AQ248" s="236" t="n"/>
      <c r="AR248" s="236" t="n"/>
      <c r="AS248" s="236" t="n"/>
      <c r="AT248" s="236" t="n"/>
      <c r="AU248" s="236" t="n"/>
      <c r="AV248" s="236" t="n"/>
      <c r="AW248" s="236" t="n"/>
      <c r="AX248" s="692" t="n"/>
      <c r="AZ248" s="692" t="n"/>
      <c r="BA248" s="692" t="n"/>
      <c r="BB248" s="158" t="n"/>
      <c r="BC248" s="692" t="n"/>
      <c r="BD248" s="692" t="n"/>
      <c r="BE248" s="692" t="n"/>
      <c r="BF248" s="692" t="n"/>
      <c r="BG248" s="692" t="n"/>
      <c r="BH248" s="692" t="n"/>
      <c r="BI248" s="692" t="n"/>
      <c r="BJ248" s="692" t="n"/>
      <c r="BK248" s="692" t="n"/>
      <c r="BL248" s="692" t="n"/>
      <c r="BM248" s="692" t="n"/>
      <c r="BN248" s="692" t="n"/>
      <c r="BO248" s="692" t="n"/>
      <c r="BP248" s="692" t="n"/>
      <c r="BQ248" s="692" t="n"/>
    </row>
    <row r="249">
      <c r="A249" s="220" t="inlineStr">
        <is>
          <t>Male</t>
        </is>
      </c>
      <c r="B249" s="211" t="inlineStr">
        <is>
          <t>200 Free</t>
        </is>
      </c>
      <c r="C249" s="190" t="n">
        <v>2022</v>
      </c>
      <c r="D249" s="211" t="inlineStr">
        <is>
          <t>SGP</t>
        </is>
      </c>
      <c r="E249" s="221" t="n">
        <v>2</v>
      </c>
      <c r="F249" s="211" t="inlineStr">
        <is>
          <t>1:47.81</t>
        </is>
      </c>
      <c r="G249" s="195" t="n">
        <v>1996</v>
      </c>
      <c r="H249" s="196">
        <f>C249-G249</f>
        <v/>
      </c>
      <c r="I249" s="200" t="inlineStr">
        <is>
          <t>Zheng Wen Quah</t>
        </is>
      </c>
      <c r="J249" s="198" t="inlineStr">
        <is>
          <t>California Berkeley</t>
        </is>
      </c>
      <c r="K249" s="198" t="inlineStr">
        <is>
          <t>USA</t>
        </is>
      </c>
      <c r="L249" s="213" t="n"/>
      <c r="M249" s="689" t="n"/>
      <c r="N249" s="689" t="n"/>
      <c r="O249" s="689" t="n"/>
      <c r="P249" s="227" t="n"/>
      <c r="Q249" s="689" t="n"/>
      <c r="R249" s="689" t="n"/>
      <c r="S249" s="689" t="n"/>
      <c r="T249" s="689" t="n"/>
      <c r="U249" s="689" t="n"/>
      <c r="V249" s="689" t="n"/>
      <c r="W249" s="689" t="n"/>
      <c r="X249" s="689" t="n"/>
      <c r="Y249" s="689" t="n"/>
      <c r="Z249" s="689" t="n"/>
      <c r="AA249" s="689" t="n"/>
      <c r="AB249" s="689" t="n"/>
      <c r="AC249" s="689" t="n"/>
      <c r="AD249" s="689" t="n"/>
      <c r="AF249" s="236" t="n"/>
      <c r="AG249" s="236" t="n"/>
      <c r="AH249" s="236" t="n"/>
      <c r="AI249" s="236" t="n"/>
      <c r="AJ249" s="236" t="n"/>
      <c r="AK249" s="236" t="n"/>
      <c r="AL249" s="236" t="n"/>
      <c r="AM249" s="236" t="n"/>
      <c r="AN249" s="236" t="n"/>
      <c r="AO249" s="236" t="n"/>
      <c r="AP249" s="236" t="n"/>
      <c r="AQ249" s="236" t="n"/>
      <c r="AR249" s="236" t="n"/>
      <c r="AS249" s="236" t="n"/>
      <c r="AT249" s="236" t="n"/>
      <c r="AU249" s="236" t="n"/>
      <c r="AV249" s="236" t="n"/>
      <c r="AW249" s="236" t="n"/>
      <c r="AX249" s="692" t="n"/>
      <c r="AZ249" s="692" t="n"/>
      <c r="BA249" s="692" t="n"/>
      <c r="BB249" s="692" t="n"/>
      <c r="BC249" s="692" t="n"/>
      <c r="BD249" s="692" t="n"/>
      <c r="BE249" s="692" t="n"/>
      <c r="BF249" s="692" t="n"/>
      <c r="BG249" s="692" t="n"/>
      <c r="BH249" s="692" t="n"/>
      <c r="BI249" s="692" t="n"/>
      <c r="BJ249" s="692" t="n"/>
      <c r="BK249" s="692" t="n"/>
      <c r="BL249" s="692" t="n"/>
      <c r="BM249" s="692" t="n"/>
      <c r="BN249" s="692" t="n"/>
      <c r="BO249" s="692" t="n"/>
      <c r="BP249" s="692" t="n"/>
      <c r="BQ249" s="692" t="n"/>
    </row>
    <row r="250">
      <c r="A250" s="218" t="inlineStr">
        <is>
          <t>Male</t>
        </is>
      </c>
      <c r="B250" s="215" t="inlineStr">
        <is>
          <t>200 Free</t>
        </is>
      </c>
      <c r="C250" s="189" t="n">
        <v>2022</v>
      </c>
      <c r="D250" s="215" t="inlineStr">
        <is>
          <t>VIE</t>
        </is>
      </c>
      <c r="E250" s="219" t="n">
        <v>3</v>
      </c>
      <c r="F250" s="215" t="inlineStr">
        <is>
          <t>1:49.35</t>
        </is>
      </c>
      <c r="G250" s="215" t="n">
        <v>1993</v>
      </c>
      <c r="H250" s="195">
        <f>C250-G250</f>
        <v/>
      </c>
      <c r="I250" s="215" t="inlineStr">
        <is>
          <t>Quy Phuoc HOANG</t>
        </is>
      </c>
      <c r="J250" s="215" t="n"/>
      <c r="K250" s="215" t="n"/>
      <c r="L250" s="217" t="n"/>
      <c r="M250" s="689" t="n"/>
      <c r="N250" s="689" t="n"/>
      <c r="O250" s="689" t="n"/>
      <c r="P250" s="227" t="n"/>
      <c r="Q250" s="689" t="n"/>
      <c r="R250" s="689" t="n"/>
      <c r="S250" s="689" t="n"/>
      <c r="T250" s="689" t="n"/>
      <c r="U250" s="689" t="n"/>
      <c r="V250" s="689" t="n"/>
      <c r="W250" s="689" t="n"/>
      <c r="X250" s="689" t="n"/>
      <c r="Y250" s="689" t="n"/>
      <c r="Z250" s="689" t="n"/>
      <c r="AA250" s="689" t="n"/>
      <c r="AB250" s="689" t="n"/>
      <c r="AC250" s="689" t="n"/>
      <c r="AD250" s="689" t="n"/>
      <c r="AF250" s="236" t="n"/>
      <c r="AG250" s="236" t="n"/>
      <c r="AH250" s="236" t="n"/>
      <c r="AI250" s="236" t="n"/>
      <c r="AJ250" s="236" t="n"/>
      <c r="AK250" s="236" t="n"/>
      <c r="AL250" s="236" t="n"/>
      <c r="AM250" s="236" t="n"/>
      <c r="AN250" s="236" t="n"/>
      <c r="AO250" s="236" t="n"/>
      <c r="AP250" s="236" t="n"/>
      <c r="AQ250" s="236" t="n"/>
      <c r="AR250" s="236" t="n"/>
      <c r="AS250" s="236" t="n"/>
      <c r="AT250" s="236" t="n"/>
      <c r="AU250" s="236" t="n"/>
      <c r="AV250" s="236" t="n"/>
      <c r="AW250" s="236" t="n"/>
      <c r="AX250" s="692" t="n"/>
      <c r="AZ250" s="692" t="n"/>
      <c r="BA250" s="692" t="n"/>
      <c r="BB250" s="692" t="n"/>
      <c r="BC250" s="692" t="n"/>
      <c r="BD250" s="692" t="n"/>
      <c r="BE250" s="692" t="n"/>
      <c r="BF250" s="692" t="n"/>
      <c r="BG250" s="692" t="n"/>
      <c r="BH250" s="692" t="n"/>
      <c r="BI250" s="692" t="n"/>
      <c r="BJ250" s="692" t="n"/>
      <c r="BK250" s="692" t="n"/>
      <c r="BL250" s="692" t="n"/>
      <c r="BM250" s="692" t="n"/>
      <c r="BN250" s="692" t="n"/>
      <c r="BO250" s="692" t="n"/>
      <c r="BP250" s="692" t="n"/>
      <c r="BQ250" s="692" t="n"/>
    </row>
    <row r="251">
      <c r="A251" s="220" t="inlineStr">
        <is>
          <t>Male</t>
        </is>
      </c>
      <c r="B251" s="211" t="inlineStr">
        <is>
          <t>200 Free</t>
        </is>
      </c>
      <c r="C251" s="190" t="n">
        <v>2023</v>
      </c>
      <c r="D251" s="211" t="inlineStr">
        <is>
          <t>MAS</t>
        </is>
      </c>
      <c r="E251" s="221" t="n">
        <v>1</v>
      </c>
      <c r="F251" s="211" t="inlineStr">
        <is>
          <t>1:48.91</t>
        </is>
      </c>
      <c r="G251" s="211" t="n">
        <v>2002</v>
      </c>
      <c r="H251" s="211">
        <f>C251-G251</f>
        <v/>
      </c>
      <c r="I251" s="211" t="inlineStr">
        <is>
          <t>Khiew Hoe Yean</t>
        </is>
      </c>
      <c r="J251" s="211" t="n"/>
      <c r="K251" s="211" t="n"/>
      <c r="L251" s="213" t="n"/>
      <c r="M251" s="689" t="n"/>
      <c r="N251" s="689" t="n"/>
      <c r="O251" s="689" t="n"/>
      <c r="P251" s="227" t="n"/>
      <c r="Q251" s="689" t="n"/>
      <c r="R251" s="689" t="n"/>
      <c r="S251" s="689" t="n"/>
      <c r="T251" s="689" t="n"/>
      <c r="U251" s="689" t="n"/>
      <c r="V251" s="689" t="n"/>
      <c r="W251" s="689" t="n"/>
      <c r="X251" s="689" t="n"/>
      <c r="Y251" s="689" t="n"/>
      <c r="Z251" s="689" t="n"/>
      <c r="AA251" s="689" t="n"/>
      <c r="AB251" s="689" t="n"/>
      <c r="AC251" s="689" t="n"/>
      <c r="AD251" s="689" t="n"/>
      <c r="AF251" s="236" t="n"/>
      <c r="AG251" s="236" t="n"/>
      <c r="AH251" s="236" t="n"/>
      <c r="AI251" s="236" t="n"/>
      <c r="AJ251" s="236" t="n"/>
      <c r="AK251" s="236" t="n"/>
      <c r="AL251" s="236" t="n"/>
      <c r="AM251" s="236" t="n"/>
      <c r="AN251" s="236" t="n"/>
      <c r="AO251" s="236" t="n"/>
      <c r="AP251" s="236" t="n"/>
      <c r="AQ251" s="236" t="n"/>
      <c r="AR251" s="236" t="n"/>
      <c r="AS251" s="236" t="n"/>
      <c r="AT251" s="236" t="n"/>
      <c r="AU251" s="236" t="n"/>
      <c r="AV251" s="236" t="n"/>
      <c r="AW251" s="236" t="n"/>
      <c r="AZ251" s="692" t="n"/>
      <c r="BA251" s="692" t="n"/>
      <c r="BB251" s="692" t="n"/>
      <c r="BC251" s="692" t="n"/>
      <c r="BD251" s="692" t="n"/>
      <c r="BE251" s="692" t="n"/>
      <c r="BF251" s="692" t="n"/>
      <c r="BG251" s="692" t="n"/>
      <c r="BH251" s="692" t="n"/>
      <c r="BI251" s="692" t="n"/>
      <c r="BJ251" s="692" t="n"/>
      <c r="BK251" s="692" t="n"/>
      <c r="BL251" s="692" t="n"/>
      <c r="BM251" s="692" t="n"/>
      <c r="BN251" s="692" t="n"/>
      <c r="BO251" s="692" t="n"/>
      <c r="BP251" s="692" t="n"/>
      <c r="BQ251" s="692" t="n"/>
    </row>
    <row r="252">
      <c r="A252" s="218" t="inlineStr">
        <is>
          <t>Male</t>
        </is>
      </c>
      <c r="B252" s="215" t="inlineStr">
        <is>
          <t>200 Free</t>
        </is>
      </c>
      <c r="C252" s="189" t="n">
        <v>2023</v>
      </c>
      <c r="D252" s="215" t="inlineStr">
        <is>
          <t>THA</t>
        </is>
      </c>
      <c r="E252" s="219" t="n">
        <v>2</v>
      </c>
      <c r="F252" s="215" t="inlineStr">
        <is>
          <t>1:49.29</t>
        </is>
      </c>
      <c r="G252" s="215" t="n">
        <v>2002</v>
      </c>
      <c r="H252" s="215">
        <f>C252-G252</f>
        <v/>
      </c>
      <c r="I252" s="215" t="inlineStr">
        <is>
          <t>Dulyawat Kaewsriyong</t>
        </is>
      </c>
      <c r="J252" s="215" t="n"/>
      <c r="K252" s="215" t="n"/>
      <c r="L252" s="217" t="n"/>
      <c r="M252" s="689" t="n"/>
      <c r="N252" s="689" t="n"/>
      <c r="O252" s="689" t="n"/>
      <c r="P252" s="227" t="n"/>
      <c r="Q252" s="689" t="n"/>
      <c r="R252" s="689" t="n"/>
      <c r="S252" s="689" t="n"/>
      <c r="T252" s="689" t="n"/>
      <c r="U252" s="689" t="n"/>
      <c r="V252" s="689" t="n"/>
      <c r="W252" s="689" t="n"/>
      <c r="X252" s="689" t="n"/>
      <c r="Y252" s="689" t="n"/>
      <c r="Z252" s="689" t="n"/>
      <c r="AA252" s="689" t="n"/>
      <c r="AB252" s="689" t="n"/>
      <c r="AC252" s="689" t="n"/>
      <c r="AD252" s="689" t="n"/>
      <c r="AF252" s="233" t="n"/>
      <c r="AG252" s="233" t="n"/>
      <c r="AH252" s="233" t="n"/>
      <c r="AI252" s="233" t="n"/>
      <c r="AJ252" s="233" t="n"/>
      <c r="AK252" s="233" t="n"/>
      <c r="AL252" s="233" t="n"/>
      <c r="AM252" s="233" t="n"/>
      <c r="AN252" s="233" t="n"/>
      <c r="AO252" s="233" t="n"/>
      <c r="AP252" s="233" t="n"/>
      <c r="AQ252" s="233" t="n"/>
      <c r="AR252" s="233" t="n"/>
      <c r="AS252" s="233" t="n"/>
      <c r="AT252" s="233" t="n"/>
      <c r="AU252" s="233" t="n"/>
      <c r="AV252" s="233" t="n"/>
      <c r="AW252" s="233" t="n"/>
      <c r="AX252" s="692" t="n"/>
      <c r="AZ252" s="692" t="n"/>
      <c r="BA252" s="692" t="n"/>
      <c r="BB252" s="692" t="n"/>
      <c r="BC252" s="692" t="n"/>
      <c r="BD252" s="692" t="n"/>
      <c r="BE252" s="692" t="n"/>
      <c r="BF252" s="692" t="n"/>
      <c r="BG252" s="692" t="n"/>
      <c r="BH252" s="692" t="n"/>
      <c r="BI252" s="692" t="n"/>
      <c r="BJ252" s="692" t="n"/>
      <c r="BK252" s="692" t="n"/>
      <c r="BL252" s="692" t="n"/>
      <c r="BM252" s="692" t="n"/>
      <c r="BN252" s="692" t="n"/>
      <c r="BO252" s="692" t="n"/>
      <c r="BP252" s="692" t="n"/>
      <c r="BQ252" s="692" t="n"/>
    </row>
    <row r="253">
      <c r="A253" s="220" t="inlineStr">
        <is>
          <t>Male</t>
        </is>
      </c>
      <c r="B253" s="211" t="inlineStr">
        <is>
          <t>200 Free</t>
        </is>
      </c>
      <c r="C253" s="190" t="n">
        <v>2023</v>
      </c>
      <c r="D253" s="211" t="inlineStr">
        <is>
          <t>VIE</t>
        </is>
      </c>
      <c r="E253" s="221" t="n">
        <v>3</v>
      </c>
      <c r="F253" s="211" t="inlineStr">
        <is>
          <t>1:49.31</t>
        </is>
      </c>
      <c r="G253" s="211" t="n">
        <v>2000</v>
      </c>
      <c r="H253" s="211">
        <f>C253-G253</f>
        <v/>
      </c>
      <c r="I253" s="211" t="inlineStr">
        <is>
          <t>Huy Hoang Nguyen</t>
        </is>
      </c>
      <c r="J253" s="211" t="n"/>
      <c r="K253" s="211" t="n"/>
      <c r="L253" s="213" t="n"/>
      <c r="M253" s="689" t="n"/>
      <c r="N253" s="689" t="n"/>
      <c r="O253" s="689" t="n"/>
      <c r="P253" s="227" t="n"/>
      <c r="Q253" s="689" t="n"/>
      <c r="R253" s="689" t="n"/>
      <c r="S253" s="689" t="n"/>
      <c r="T253" s="689" t="n"/>
      <c r="U253" s="689" t="n"/>
      <c r="V253" s="689" t="n"/>
      <c r="W253" s="689" t="n"/>
      <c r="X253" s="689" t="n"/>
      <c r="Y253" s="689" t="n"/>
      <c r="Z253" s="689" t="n"/>
      <c r="AA253" s="689" t="n"/>
      <c r="AB253" s="689" t="n"/>
      <c r="AC253" s="689" t="n"/>
      <c r="AD253" s="689" t="n"/>
      <c r="AF253" s="236" t="n"/>
      <c r="AG253" s="236" t="n"/>
      <c r="AH253" s="236" t="n"/>
      <c r="AI253" s="236" t="n"/>
      <c r="AJ253" s="236" t="n"/>
      <c r="AK253" s="236" t="n"/>
      <c r="AL253" s="236" t="n"/>
      <c r="AM253" s="236" t="n"/>
      <c r="AN253" s="236" t="n"/>
      <c r="AO253" s="236" t="n"/>
      <c r="AP253" s="236" t="n"/>
      <c r="AQ253" s="236" t="n"/>
      <c r="AR253" s="236" t="n"/>
      <c r="AS253" s="236" t="n"/>
      <c r="AT253" s="236" t="n"/>
      <c r="AU253" s="236" t="n"/>
      <c r="AV253" s="236" t="n"/>
      <c r="AW253" s="236" t="n"/>
      <c r="AX253" s="692" t="n"/>
      <c r="AZ253" s="692" t="n"/>
      <c r="BA253" s="692" t="n"/>
      <c r="BB253" s="692" t="n"/>
      <c r="BC253" s="692" t="n"/>
      <c r="BD253" s="692" t="n"/>
      <c r="BE253" s="692" t="n"/>
      <c r="BF253" s="692" t="n"/>
      <c r="BG253" s="692" t="n"/>
      <c r="BH253" s="692" t="n"/>
      <c r="BI253" s="692" t="n"/>
      <c r="BJ253" s="692" t="n"/>
      <c r="BK253" s="692" t="n"/>
      <c r="BL253" s="692" t="n"/>
      <c r="BM253" s="692" t="n"/>
      <c r="BN253" s="692" t="n"/>
      <c r="BO253" s="692" t="n"/>
      <c r="BP253" s="692" t="n"/>
      <c r="BQ253" s="692" t="n"/>
    </row>
    <row r="254">
      <c r="A254" s="218" t="inlineStr">
        <is>
          <t>Male</t>
        </is>
      </c>
      <c r="B254" s="215" t="inlineStr">
        <is>
          <t>200 IM</t>
        </is>
      </c>
      <c r="C254" s="189" t="n">
        <v>2019</v>
      </c>
      <c r="D254" s="215" t="inlineStr">
        <is>
          <t>VIE</t>
        </is>
      </c>
      <c r="E254" s="219" t="n">
        <v>1</v>
      </c>
      <c r="F254" s="215" t="inlineStr">
        <is>
          <t>2:02.56</t>
        </is>
      </c>
      <c r="G254" s="195" t="n">
        <v>2003</v>
      </c>
      <c r="H254" s="195">
        <f>C256-G254</f>
        <v/>
      </c>
      <c r="I254" s="200" t="inlineStr">
        <is>
          <t>Hung Nguyen Tran</t>
        </is>
      </c>
      <c r="J254" s="215" t="n"/>
      <c r="K254" s="215" t="n"/>
      <c r="L254" s="217" t="n"/>
      <c r="M254" s="689" t="n"/>
      <c r="N254" s="689" t="n"/>
      <c r="O254" s="689" t="n"/>
      <c r="P254" s="227" t="n"/>
      <c r="Q254" s="689" t="n"/>
      <c r="R254" s="689" t="n"/>
      <c r="S254" s="689" t="n"/>
      <c r="T254" s="689" t="n"/>
      <c r="U254" s="689" t="n"/>
      <c r="V254" s="689" t="n"/>
      <c r="W254" s="689" t="n"/>
      <c r="X254" s="689" t="n"/>
      <c r="Y254" s="689" t="n"/>
      <c r="Z254" s="689" t="n"/>
      <c r="AA254" s="689" t="n"/>
      <c r="AB254" s="689" t="n"/>
      <c r="AC254" s="689" t="n"/>
      <c r="AD254" s="689" t="n"/>
      <c r="AF254" s="236" t="n"/>
      <c r="AG254" s="236" t="n"/>
      <c r="AH254" s="236" t="n"/>
      <c r="AI254" s="236" t="n"/>
      <c r="AJ254" s="236" t="n"/>
      <c r="AK254" s="236" t="n"/>
      <c r="AL254" s="236" t="n"/>
      <c r="AM254" s="236" t="n"/>
      <c r="AN254" s="236" t="n"/>
      <c r="AO254" s="236" t="n"/>
      <c r="AP254" s="236" t="n"/>
      <c r="AQ254" s="236" t="n"/>
      <c r="AR254" s="236" t="n"/>
      <c r="AS254" s="236" t="n"/>
      <c r="AT254" s="236" t="n"/>
      <c r="AU254" s="236" t="n"/>
      <c r="AV254" s="236" t="n"/>
      <c r="AW254" s="236" t="n"/>
      <c r="AX254" s="692" t="n"/>
      <c r="AZ254" s="692" t="n"/>
      <c r="BA254" s="692" t="n"/>
      <c r="BB254" s="692" t="n"/>
    </row>
    <row r="255">
      <c r="A255" s="220" t="inlineStr">
        <is>
          <t>Male</t>
        </is>
      </c>
      <c r="B255" s="211" t="inlineStr">
        <is>
          <t>200 IM</t>
        </is>
      </c>
      <c r="C255" s="190" t="n">
        <v>2019</v>
      </c>
      <c r="D255" s="211" t="inlineStr">
        <is>
          <t>SGP</t>
        </is>
      </c>
      <c r="E255" s="221" t="n">
        <v>2</v>
      </c>
      <c r="F255" s="211" t="inlineStr">
        <is>
          <t>2:02.73</t>
        </is>
      </c>
      <c r="G255" s="211" t="n">
        <v>2000</v>
      </c>
      <c r="H255" s="211">
        <f>C255-G255</f>
        <v/>
      </c>
      <c r="I255" s="211" t="inlineStr">
        <is>
          <t>Darren Chua</t>
        </is>
      </c>
      <c r="J255" s="211" t="n"/>
      <c r="K255" s="211" t="n"/>
      <c r="L255" s="213" t="n"/>
      <c r="M255" s="689" t="n"/>
      <c r="N255" s="689" t="n"/>
      <c r="O255" s="689" t="n"/>
      <c r="P255" s="227" t="n"/>
      <c r="Q255" s="689" t="n"/>
      <c r="R255" s="689" t="n"/>
      <c r="S255" s="689" t="n"/>
      <c r="T255" s="689" t="n"/>
      <c r="U255" s="689" t="n"/>
      <c r="V255" s="689" t="n"/>
      <c r="W255" s="689" t="n"/>
      <c r="X255" s="689" t="n"/>
      <c r="Y255" s="689" t="n"/>
      <c r="Z255" s="689" t="n"/>
      <c r="AA255" s="689" t="n"/>
      <c r="AB255" s="689" t="n"/>
      <c r="AC255" s="689" t="n"/>
      <c r="AD255" s="689" t="n"/>
      <c r="AF255" s="236" t="n"/>
      <c r="AG255" s="236" t="n"/>
      <c r="AH255" s="236" t="n"/>
      <c r="AI255" s="236" t="n"/>
      <c r="AJ255" s="236" t="n"/>
      <c r="AK255" s="236" t="n"/>
      <c r="AL255" s="236" t="n"/>
      <c r="AM255" s="236" t="n"/>
      <c r="AN255" s="236" t="n"/>
      <c r="AO255" s="236" t="n"/>
      <c r="AP255" s="236" t="n"/>
      <c r="AQ255" s="236" t="n"/>
      <c r="AR255" s="236" t="n"/>
      <c r="AS255" s="236" t="n"/>
      <c r="AT255" s="236" t="n"/>
      <c r="AU255" s="236" t="n"/>
      <c r="AV255" s="236" t="n"/>
      <c r="AW255" s="236" t="n"/>
      <c r="AX255" s="692" t="n"/>
      <c r="AZ255" s="692" t="n"/>
      <c r="BA255" s="692" t="n"/>
      <c r="BB255" s="692" t="n"/>
      <c r="BC255" s="692" t="n"/>
      <c r="BD255" s="692" t="n"/>
      <c r="BE255" s="692" t="n"/>
      <c r="BF255" s="692" t="n"/>
      <c r="BG255" s="692" t="n"/>
      <c r="BH255" s="692" t="n"/>
      <c r="BI255" s="692" t="n"/>
      <c r="BJ255" s="692" t="n"/>
      <c r="BK255" s="692" t="n"/>
      <c r="BL255" s="692" t="n"/>
      <c r="BM255" s="692" t="n"/>
      <c r="BN255" s="692" t="n"/>
      <c r="BO255" s="692" t="n"/>
      <c r="BP255" s="692" t="n"/>
      <c r="BQ255" s="692" t="n"/>
    </row>
    <row r="256">
      <c r="A256" s="218" t="inlineStr">
        <is>
          <t>Male</t>
        </is>
      </c>
      <c r="B256" s="215" t="inlineStr">
        <is>
          <t>200 IM</t>
        </is>
      </c>
      <c r="C256" s="189" t="n">
        <v>2019</v>
      </c>
      <c r="D256" s="215" t="inlineStr">
        <is>
          <t>IND</t>
        </is>
      </c>
      <c r="E256" s="219" t="n">
        <v>3</v>
      </c>
      <c r="F256" s="215" t="inlineStr">
        <is>
          <t>2:02.81</t>
        </is>
      </c>
      <c r="G256" s="590" t="n">
        <v>1991</v>
      </c>
      <c r="H256" s="195">
        <f>C258-G256</f>
        <v/>
      </c>
      <c r="I256" s="590" t="inlineStr">
        <is>
          <t>Triady Fauzi Sidiq</t>
        </is>
      </c>
      <c r="J256" s="215" t="n"/>
      <c r="K256" s="215" t="n"/>
      <c r="L256" s="217" t="n"/>
      <c r="M256" s="689" t="n"/>
      <c r="N256" s="689" t="n"/>
      <c r="O256" s="689" t="n"/>
      <c r="P256" s="227" t="n"/>
      <c r="Q256" s="689" t="n"/>
      <c r="R256" s="689" t="n"/>
      <c r="S256" s="689" t="n"/>
      <c r="T256" s="689" t="n"/>
      <c r="U256" s="689" t="n"/>
      <c r="V256" s="689" t="n"/>
      <c r="W256" s="689" t="n"/>
      <c r="X256" s="689" t="n"/>
      <c r="Y256" s="689" t="n"/>
      <c r="Z256" s="689" t="n"/>
      <c r="AA256" s="689" t="n"/>
      <c r="AB256" s="689" t="n"/>
      <c r="AC256" s="689" t="n"/>
      <c r="AD256" s="689" t="n"/>
      <c r="AF256" s="236" t="n"/>
      <c r="AG256" s="236" t="n"/>
      <c r="AH256" s="236" t="n"/>
      <c r="AI256" s="236" t="n"/>
      <c r="AJ256" s="236" t="n"/>
      <c r="AK256" s="236" t="n"/>
      <c r="AL256" s="236" t="n"/>
      <c r="AM256" s="236" t="n"/>
      <c r="AN256" s="236" t="n"/>
      <c r="AO256" s="236" t="n"/>
      <c r="AP256" s="236" t="n"/>
      <c r="AQ256" s="236" t="n"/>
      <c r="AR256" s="236" t="n"/>
      <c r="AS256" s="236" t="n"/>
      <c r="AT256" s="236" t="n"/>
      <c r="AU256" s="236" t="n"/>
      <c r="AV256" s="236" t="n"/>
      <c r="AW256" s="236" t="n"/>
      <c r="AX256" s="692" t="n"/>
      <c r="AZ256" s="692" t="n"/>
      <c r="BA256" s="692" t="n"/>
      <c r="BB256" s="692" t="n"/>
      <c r="BC256" s="692" t="n"/>
      <c r="BD256" s="692" t="n"/>
      <c r="BE256" s="692" t="n"/>
      <c r="BF256" s="692" t="n"/>
      <c r="BG256" s="692" t="n"/>
      <c r="BH256" s="692" t="n"/>
      <c r="BI256" s="692" t="n"/>
      <c r="BJ256" s="692" t="n"/>
      <c r="BK256" s="692" t="n"/>
      <c r="BL256" s="692" t="n"/>
      <c r="BM256" s="692" t="n"/>
      <c r="BN256" s="692" t="n"/>
      <c r="BO256" s="692" t="n"/>
      <c r="BP256" s="692" t="n"/>
      <c r="BQ256" s="692" t="n"/>
    </row>
    <row r="257">
      <c r="A257" s="220" t="inlineStr">
        <is>
          <t>Male</t>
        </is>
      </c>
      <c r="B257" s="211" t="inlineStr">
        <is>
          <t>200 IM</t>
        </is>
      </c>
      <c r="C257" s="190" t="n">
        <v>2022</v>
      </c>
      <c r="D257" s="211" t="inlineStr">
        <is>
          <t>VIE</t>
        </is>
      </c>
      <c r="E257" s="221" t="n">
        <v>1</v>
      </c>
      <c r="F257" s="211" t="inlineStr">
        <is>
          <t>2:01.22</t>
        </is>
      </c>
      <c r="G257" s="196" t="n">
        <v>2003</v>
      </c>
      <c r="H257" s="196">
        <f>C257-G257</f>
        <v/>
      </c>
      <c r="I257" s="198" t="inlineStr">
        <is>
          <t>Hung Nguyen Tran</t>
        </is>
      </c>
      <c r="J257" s="211" t="n"/>
      <c r="K257" s="211" t="n"/>
      <c r="L257" s="213" t="n"/>
      <c r="M257" s="689" t="n"/>
      <c r="N257" s="689" t="n"/>
      <c r="O257" s="689" t="n"/>
      <c r="P257" s="227" t="n"/>
      <c r="Q257" s="689" t="n"/>
      <c r="R257" s="689" t="n"/>
      <c r="S257" s="689" t="n"/>
      <c r="T257" s="689" t="n"/>
      <c r="U257" s="689" t="n"/>
      <c r="V257" s="689" t="n"/>
      <c r="W257" s="689" t="n"/>
      <c r="X257" s="689" t="n"/>
      <c r="Y257" s="689" t="n"/>
      <c r="Z257" s="689" t="n"/>
      <c r="AA257" s="689" t="n"/>
      <c r="AB257" s="689" t="n"/>
      <c r="AC257" s="689" t="n"/>
      <c r="AD257" s="689" t="n"/>
      <c r="AF257" s="236" t="n"/>
      <c r="AG257" s="236" t="n"/>
      <c r="AH257" s="236" t="n"/>
      <c r="AI257" s="236" t="n"/>
      <c r="AJ257" s="236" t="n"/>
      <c r="AK257" s="236" t="n"/>
      <c r="AL257" s="236" t="n"/>
      <c r="AM257" s="236" t="n"/>
      <c r="AN257" s="236" t="n"/>
      <c r="AO257" s="236" t="n"/>
      <c r="AP257" s="236" t="n"/>
      <c r="AQ257" s="236" t="n"/>
      <c r="AR257" s="236" t="n"/>
      <c r="AS257" s="236" t="n"/>
      <c r="AT257" s="236" t="n"/>
      <c r="AU257" s="236" t="n"/>
      <c r="AV257" s="236" t="n"/>
      <c r="AW257" s="236" t="n"/>
      <c r="AX257" s="692" t="n"/>
      <c r="AZ257" s="692" t="n"/>
      <c r="BA257" s="692" t="n"/>
      <c r="BB257" s="692" t="n"/>
      <c r="BC257" s="692" t="n"/>
      <c r="BD257" s="692" t="n"/>
      <c r="BE257" s="692" t="n"/>
      <c r="BF257" s="692" t="n"/>
      <c r="BG257" s="692" t="n"/>
      <c r="BH257" s="692" t="n"/>
      <c r="BI257" s="692" t="n"/>
      <c r="BJ257" s="692" t="n"/>
      <c r="BK257" s="692" t="n"/>
      <c r="BL257" s="692" t="n"/>
      <c r="BM257" s="692" t="n"/>
      <c r="BN257" s="692" t="n"/>
      <c r="BO257" s="692" t="n"/>
      <c r="BP257" s="692" t="n"/>
      <c r="BQ257" s="692" t="n"/>
    </row>
    <row r="258">
      <c r="A258" s="218" t="inlineStr">
        <is>
          <t>Male</t>
        </is>
      </c>
      <c r="B258" s="215" t="inlineStr">
        <is>
          <t>200 IM</t>
        </is>
      </c>
      <c r="C258" s="189" t="n">
        <v>2022</v>
      </c>
      <c r="D258" s="215" t="inlineStr">
        <is>
          <t>THA</t>
        </is>
      </c>
      <c r="E258" s="219" t="n">
        <v>2</v>
      </c>
      <c r="F258" s="215" t="inlineStr">
        <is>
          <t>2:02.89</t>
        </is>
      </c>
      <c r="G258" s="202" t="n">
        <v>2002</v>
      </c>
      <c r="H258" s="202">
        <f>C258-G258</f>
        <v/>
      </c>
      <c r="I258" s="206" t="inlineStr">
        <is>
          <t>Dulyawat Kaewsriyong</t>
        </is>
      </c>
      <c r="J258" s="215" t="n"/>
      <c r="K258" s="215" t="n"/>
      <c r="L258" s="217" t="n"/>
      <c r="M258" s="689" t="n"/>
      <c r="N258" s="689" t="n"/>
      <c r="O258" s="689" t="n"/>
      <c r="P258" s="227" t="n"/>
      <c r="Q258" s="689" t="n"/>
      <c r="R258" s="689" t="n"/>
      <c r="S258" s="689" t="n"/>
      <c r="T258" s="689" t="n"/>
      <c r="U258" s="689" t="n"/>
      <c r="V258" s="689" t="n"/>
      <c r="W258" s="689" t="n"/>
      <c r="X258" s="689" t="n"/>
      <c r="Y258" s="689" t="n"/>
      <c r="Z258" s="689" t="n"/>
      <c r="AA258" s="689" t="n"/>
      <c r="AB258" s="689" t="n"/>
      <c r="AC258" s="689" t="n"/>
      <c r="AD258" s="689" t="n"/>
      <c r="AF258" s="236" t="n"/>
      <c r="AG258" s="236" t="n"/>
      <c r="AH258" s="236" t="n"/>
      <c r="AI258" s="236" t="n"/>
      <c r="AJ258" s="236" t="n"/>
      <c r="AK258" s="236" t="n"/>
      <c r="AL258" s="236" t="n"/>
      <c r="AM258" s="236" t="n"/>
      <c r="AN258" s="236" t="n"/>
      <c r="AO258" s="236" t="n"/>
      <c r="AP258" s="236" t="n"/>
      <c r="AQ258" s="236" t="n"/>
      <c r="AR258" s="236" t="n"/>
      <c r="AS258" s="236" t="n"/>
      <c r="AT258" s="236" t="n"/>
      <c r="AU258" s="236" t="n"/>
      <c r="AV258" s="236" t="n"/>
      <c r="AW258" s="236" t="n"/>
      <c r="AX258" s="692" t="n"/>
      <c r="AZ258" s="692" t="n"/>
      <c r="BA258" s="692" t="n"/>
      <c r="BB258" s="692" t="n"/>
      <c r="BC258" s="692" t="n"/>
      <c r="BD258" s="692" t="n"/>
      <c r="BE258" s="692" t="n"/>
      <c r="BF258" s="692" t="n"/>
      <c r="BG258" s="692" t="n"/>
      <c r="BH258" s="692" t="n"/>
      <c r="BI258" s="692" t="n"/>
      <c r="BJ258" s="692" t="n"/>
      <c r="BK258" s="692" t="n"/>
      <c r="BL258" s="692" t="n"/>
      <c r="BM258" s="692" t="n"/>
      <c r="BN258" s="692" t="n"/>
      <c r="BO258" s="692" t="n"/>
      <c r="BP258" s="692" t="n"/>
      <c r="BQ258" s="692" t="n"/>
    </row>
    <row r="259">
      <c r="A259" s="220" t="inlineStr">
        <is>
          <t>Male</t>
        </is>
      </c>
      <c r="B259" s="211" t="inlineStr">
        <is>
          <t>200 IM</t>
        </is>
      </c>
      <c r="C259" s="190" t="n">
        <v>2022</v>
      </c>
      <c r="D259" s="211" t="inlineStr">
        <is>
          <t>SGP</t>
        </is>
      </c>
      <c r="E259" s="221" t="n">
        <v>3</v>
      </c>
      <c r="F259" s="211" t="inlineStr">
        <is>
          <t>2:03.73</t>
        </is>
      </c>
      <c r="G259" s="196" t="n">
        <v>2001</v>
      </c>
      <c r="H259" s="196">
        <f>C259-G259</f>
        <v/>
      </c>
      <c r="I259" s="198" t="inlineStr">
        <is>
          <t>Maximillan Wei Ang</t>
        </is>
      </c>
      <c r="J259" s="211" t="n"/>
      <c r="K259" s="211" t="n"/>
      <c r="L259" s="213" t="n"/>
      <c r="M259" s="689" t="n"/>
      <c r="N259" s="689" t="n"/>
      <c r="O259" s="689" t="n"/>
      <c r="P259" s="227" t="n"/>
      <c r="Q259" s="689" t="n"/>
      <c r="R259" s="689" t="n"/>
      <c r="S259" s="689" t="n"/>
      <c r="T259" s="689" t="n"/>
      <c r="U259" s="689" t="n"/>
      <c r="V259" s="689" t="n"/>
      <c r="W259" s="689" t="n"/>
      <c r="X259" s="689" t="n"/>
      <c r="Y259" s="689" t="n"/>
      <c r="Z259" s="689" t="n"/>
      <c r="AA259" s="689" t="n"/>
      <c r="AB259" s="689" t="n"/>
      <c r="AC259" s="689" t="n"/>
      <c r="AD259" s="689" t="n"/>
      <c r="AF259" s="236" t="n"/>
      <c r="AG259" s="236" t="n"/>
      <c r="AH259" s="236" t="n"/>
      <c r="AI259" s="236" t="n"/>
      <c r="AJ259" s="236" t="n"/>
      <c r="AK259" s="236" t="n"/>
      <c r="AL259" s="236" t="n"/>
      <c r="AM259" s="236" t="n"/>
      <c r="AN259" s="236" t="n"/>
      <c r="AO259" s="236" t="n"/>
      <c r="AP259" s="236" t="n"/>
      <c r="AQ259" s="236" t="n"/>
      <c r="AR259" s="236" t="n"/>
      <c r="AS259" s="236" t="n"/>
      <c r="AT259" s="236" t="n"/>
      <c r="AU259" s="236" t="n"/>
      <c r="AV259" s="236" t="n"/>
      <c r="AW259" s="236" t="n"/>
      <c r="AX259" s="692" t="n"/>
      <c r="AZ259" s="692" t="n"/>
      <c r="BA259" s="692" t="n"/>
      <c r="BB259" s="692" t="n"/>
      <c r="BC259" s="692" t="n"/>
      <c r="BD259" s="692" t="n"/>
      <c r="BE259" s="692" t="n"/>
      <c r="BF259" s="692" t="n"/>
      <c r="BG259" s="692" t="n"/>
      <c r="BH259" s="692" t="n"/>
      <c r="BI259" s="692" t="n"/>
      <c r="BJ259" s="692" t="n"/>
      <c r="BK259" s="692" t="n"/>
      <c r="BL259" s="692" t="n"/>
      <c r="BM259" s="692" t="n"/>
      <c r="BN259" s="692" t="n"/>
      <c r="BO259" s="692" t="n"/>
      <c r="BP259" s="692" t="n"/>
      <c r="BQ259" s="692" t="n"/>
    </row>
    <row r="260">
      <c r="A260" s="218" t="inlineStr">
        <is>
          <t>Male</t>
        </is>
      </c>
      <c r="B260" s="215" t="inlineStr">
        <is>
          <t>200 IM</t>
        </is>
      </c>
      <c r="C260" s="189" t="n">
        <v>2023</v>
      </c>
      <c r="D260" s="215" t="inlineStr">
        <is>
          <t>VIE</t>
        </is>
      </c>
      <c r="E260" s="219" t="n">
        <v>1</v>
      </c>
      <c r="F260" s="215" t="inlineStr">
        <is>
          <t>2:01.28</t>
        </is>
      </c>
      <c r="G260" s="215" t="n">
        <v>2003</v>
      </c>
      <c r="H260" s="215">
        <f>C260-G260</f>
        <v/>
      </c>
      <c r="I260" s="215" t="inlineStr">
        <is>
          <t>Hung Nguyen Tran</t>
        </is>
      </c>
      <c r="J260" s="215" t="n"/>
      <c r="K260" s="215" t="n"/>
      <c r="L260" s="217" t="n"/>
      <c r="M260" s="689" t="n"/>
      <c r="N260" s="689" t="n"/>
      <c r="O260" s="689" t="n"/>
      <c r="P260" s="227" t="n"/>
      <c r="Q260" s="689" t="n"/>
      <c r="R260" s="689" t="n"/>
      <c r="S260" s="689" t="n"/>
      <c r="T260" s="689" t="n"/>
      <c r="U260" s="689" t="n"/>
      <c r="V260" s="689" t="n"/>
      <c r="W260" s="689" t="n"/>
      <c r="X260" s="689" t="n"/>
      <c r="Y260" s="689" t="n"/>
      <c r="Z260" s="689" t="n"/>
      <c r="AA260" s="689" t="n"/>
      <c r="AB260" s="689" t="n"/>
      <c r="AC260" s="689" t="n"/>
      <c r="AD260" s="689" t="n"/>
      <c r="AF260" s="236" t="n"/>
      <c r="AG260" s="236" t="n"/>
      <c r="AH260" s="236" t="n"/>
      <c r="AI260" s="236" t="n"/>
      <c r="AJ260" s="236" t="n"/>
      <c r="AK260" s="236" t="n"/>
      <c r="AL260" s="236" t="n"/>
      <c r="AM260" s="236" t="n"/>
      <c r="AN260" s="236" t="n"/>
      <c r="AO260" s="236" t="n"/>
      <c r="AP260" s="236" t="n"/>
      <c r="AQ260" s="236" t="n"/>
      <c r="AR260" s="236" t="n"/>
      <c r="AS260" s="236" t="n"/>
      <c r="AT260" s="236" t="n"/>
      <c r="AU260" s="236" t="n"/>
      <c r="AV260" s="236" t="n"/>
      <c r="AW260" s="236" t="n"/>
      <c r="AX260" s="692" t="n"/>
      <c r="AZ260" s="692" t="n"/>
      <c r="BA260" s="692" t="n"/>
      <c r="BB260" s="158" t="n"/>
      <c r="BC260" s="692" t="n"/>
      <c r="BD260" s="692" t="n"/>
      <c r="BE260" s="692" t="n"/>
      <c r="BF260" s="692" t="n"/>
      <c r="BG260" s="692" t="n"/>
      <c r="BH260" s="692" t="n"/>
      <c r="BI260" s="692" t="n"/>
      <c r="BJ260" s="692" t="n"/>
      <c r="BK260" s="692" t="n"/>
      <c r="BL260" s="692" t="n"/>
      <c r="BM260" s="692" t="n"/>
      <c r="BN260" s="692" t="n"/>
      <c r="BO260" s="692" t="n"/>
      <c r="BP260" s="692" t="n"/>
      <c r="BQ260" s="692" t="n"/>
    </row>
    <row r="261">
      <c r="A261" s="220" t="inlineStr">
        <is>
          <t>Male</t>
        </is>
      </c>
      <c r="B261" s="211" t="inlineStr">
        <is>
          <t>200 IM</t>
        </is>
      </c>
      <c r="C261" s="190" t="n">
        <v>2023</v>
      </c>
      <c r="D261" s="211" t="inlineStr">
        <is>
          <t>THA</t>
        </is>
      </c>
      <c r="E261" s="221" t="n">
        <v>2</v>
      </c>
      <c r="F261" s="211" t="inlineStr">
        <is>
          <t>2:02.25</t>
        </is>
      </c>
      <c r="G261" s="211" t="n">
        <v>2002</v>
      </c>
      <c r="H261" s="211">
        <f>C261-G261</f>
        <v/>
      </c>
      <c r="I261" s="211" t="inlineStr">
        <is>
          <t>Dulyawat Kaewsriyong</t>
        </is>
      </c>
      <c r="J261" s="211" t="n"/>
      <c r="K261" s="211" t="n"/>
      <c r="L261" s="213" t="n"/>
      <c r="M261" s="689" t="n"/>
      <c r="N261" s="689" t="n"/>
      <c r="O261" s="689" t="n"/>
      <c r="P261" s="227" t="n"/>
      <c r="Q261" s="689" t="n"/>
      <c r="R261" s="689" t="n"/>
      <c r="S261" s="689" t="n"/>
      <c r="T261" s="689" t="n"/>
      <c r="U261" s="689" t="n"/>
      <c r="V261" s="689" t="n"/>
      <c r="W261" s="689" t="n"/>
      <c r="X261" s="689" t="n"/>
      <c r="Y261" s="689" t="n"/>
      <c r="Z261" s="689" t="n"/>
      <c r="AA261" s="689" t="n"/>
      <c r="AB261" s="689" t="n"/>
      <c r="AC261" s="689" t="n"/>
      <c r="AD261" s="689" t="n"/>
      <c r="AF261" s="236" t="n"/>
      <c r="AG261" s="236" t="n"/>
      <c r="AH261" s="236" t="n"/>
      <c r="AI261" s="236" t="n"/>
      <c r="AJ261" s="236" t="n"/>
      <c r="AK261" s="236" t="n"/>
      <c r="AL261" s="236" t="n"/>
      <c r="AM261" s="236" t="n"/>
      <c r="AN261" s="236" t="n"/>
      <c r="AO261" s="236" t="n"/>
      <c r="AP261" s="236" t="n"/>
      <c r="AQ261" s="236" t="n"/>
      <c r="AR261" s="236" t="n"/>
      <c r="AS261" s="236" t="n"/>
      <c r="AT261" s="236" t="n"/>
      <c r="AU261" s="236" t="n"/>
      <c r="AV261" s="236" t="n"/>
      <c r="AW261" s="236" t="n"/>
      <c r="AX261" s="692" t="n"/>
      <c r="AZ261" s="692" t="n"/>
      <c r="BA261" s="692" t="n"/>
      <c r="BB261" s="692" t="n"/>
      <c r="BC261" s="692" t="n"/>
      <c r="BD261" s="692" t="n"/>
      <c r="BE261" s="692" t="n"/>
      <c r="BF261" s="692" t="n"/>
      <c r="BG261" s="692" t="n"/>
      <c r="BH261" s="692" t="n"/>
      <c r="BI261" s="692" t="n"/>
      <c r="BJ261" s="692" t="n"/>
      <c r="BK261" s="692" t="n"/>
      <c r="BL261" s="692" t="n"/>
      <c r="BM261" s="692" t="n"/>
      <c r="BN261" s="692" t="n"/>
      <c r="BO261" s="692" t="n"/>
      <c r="BP261" s="692" t="n"/>
      <c r="BQ261" s="692" t="n"/>
    </row>
    <row r="262">
      <c r="A262" s="218" t="inlineStr">
        <is>
          <t>Male</t>
        </is>
      </c>
      <c r="B262" s="215" t="inlineStr">
        <is>
          <t>200 IM</t>
        </is>
      </c>
      <c r="C262" s="189" t="n">
        <v>2023</v>
      </c>
      <c r="D262" s="215" t="inlineStr">
        <is>
          <t>SGP</t>
        </is>
      </c>
      <c r="E262" s="219" t="n">
        <v>3</v>
      </c>
      <c r="F262" s="215" t="inlineStr">
        <is>
          <t>2:02.42</t>
        </is>
      </c>
      <c r="G262" s="215" t="n">
        <v>2003</v>
      </c>
      <c r="H262" s="215">
        <f>C262-G262</f>
        <v/>
      </c>
      <c r="I262" s="215" t="inlineStr">
        <is>
          <t>Zachary Ian Tan</t>
        </is>
      </c>
      <c r="J262" s="215" t="inlineStr">
        <is>
          <t>California Berkeley</t>
        </is>
      </c>
      <c r="K262" s="215" t="inlineStr">
        <is>
          <t>USA</t>
        </is>
      </c>
      <c r="L262" s="217" t="inlineStr">
        <is>
          <t>USA</t>
        </is>
      </c>
      <c r="M262" s="689" t="n"/>
      <c r="N262" s="689" t="n"/>
      <c r="O262" s="689" t="n"/>
      <c r="P262" s="227" t="n"/>
      <c r="Q262" s="689" t="n"/>
      <c r="R262" s="689" t="n"/>
      <c r="S262" s="689" t="n"/>
      <c r="T262" s="689" t="n"/>
      <c r="U262" s="689" t="n"/>
      <c r="V262" s="689" t="n"/>
      <c r="W262" s="689" t="n"/>
      <c r="X262" s="689" t="n"/>
      <c r="Y262" s="689" t="n"/>
      <c r="Z262" s="689" t="n"/>
      <c r="AA262" s="689" t="n"/>
      <c r="AB262" s="689" t="n"/>
      <c r="AC262" s="689" t="n"/>
      <c r="AD262" s="689" t="n"/>
      <c r="AF262" s="236" t="n"/>
      <c r="AG262" s="236" t="n"/>
      <c r="AH262" s="236" t="n"/>
      <c r="AI262" s="236" t="n"/>
      <c r="AJ262" s="236" t="n"/>
      <c r="AK262" s="236" t="n"/>
      <c r="AL262" s="236" t="n"/>
      <c r="AM262" s="236" t="n"/>
      <c r="AN262" s="236" t="n"/>
      <c r="AO262" s="236" t="n"/>
      <c r="AP262" s="236" t="n"/>
      <c r="AQ262" s="236" t="n"/>
      <c r="AR262" s="236" t="n"/>
      <c r="AS262" s="236" t="n"/>
      <c r="AT262" s="236" t="n"/>
      <c r="AU262" s="236" t="n"/>
      <c r="AV262" s="236" t="n"/>
      <c r="AW262" s="236" t="n"/>
      <c r="AX262" s="692" t="n"/>
      <c r="AZ262" s="158" t="n"/>
      <c r="BA262" s="158" t="n"/>
      <c r="BB262" s="158" t="n"/>
      <c r="BC262" s="692" t="n"/>
      <c r="BD262" s="692" t="n"/>
      <c r="BE262" s="692" t="n"/>
      <c r="BF262" s="692" t="n"/>
      <c r="BG262" s="692" t="n"/>
      <c r="BH262" s="692" t="n"/>
      <c r="BI262" s="692" t="n"/>
      <c r="BJ262" s="692" t="n"/>
      <c r="BK262" s="692" t="n"/>
      <c r="BL262" s="692" t="n"/>
      <c r="BM262" s="692" t="n"/>
      <c r="BN262" s="692" t="n"/>
      <c r="BO262" s="692" t="n"/>
      <c r="BP262" s="692" t="n"/>
      <c r="BQ262" s="692" t="n"/>
    </row>
    <row r="263">
      <c r="A263" s="220" t="inlineStr">
        <is>
          <t>Male</t>
        </is>
      </c>
      <c r="B263" s="211" t="inlineStr">
        <is>
          <t>400 Free</t>
        </is>
      </c>
      <c r="C263" s="190" t="n">
        <v>2019</v>
      </c>
      <c r="D263" s="211" t="inlineStr">
        <is>
          <t>VIE</t>
        </is>
      </c>
      <c r="E263" s="221" t="n">
        <v>1</v>
      </c>
      <c r="F263" s="211" t="inlineStr">
        <is>
          <t>3:49.08</t>
        </is>
      </c>
      <c r="G263" s="196" t="n">
        <v>2000</v>
      </c>
      <c r="H263" s="196">
        <f>C263-G263</f>
        <v/>
      </c>
      <c r="I263" s="198" t="inlineStr">
        <is>
          <t>Huy Hoang Nguyen</t>
        </is>
      </c>
      <c r="J263" s="211" t="n"/>
      <c r="K263" s="211" t="n"/>
      <c r="L263" s="213" t="n"/>
      <c r="M263" s="689" t="n"/>
      <c r="N263" s="689" t="n"/>
      <c r="O263" s="689" t="n"/>
      <c r="P263" s="227" t="n"/>
      <c r="Q263" s="689" t="n"/>
      <c r="R263" s="689" t="n"/>
      <c r="S263" s="689" t="n"/>
      <c r="T263" s="689" t="n"/>
      <c r="U263" s="689" t="n"/>
      <c r="V263" s="689" t="n"/>
      <c r="W263" s="689" t="n"/>
      <c r="X263" s="689" t="n"/>
      <c r="Y263" s="689" t="n"/>
      <c r="Z263" s="689" t="n"/>
      <c r="AA263" s="689" t="n"/>
      <c r="AB263" s="689" t="n"/>
      <c r="AC263" s="689" t="n"/>
      <c r="AD263" s="689" t="n"/>
      <c r="AF263" s="236" t="n"/>
      <c r="AG263" s="236" t="n"/>
      <c r="AH263" s="236" t="n"/>
      <c r="AI263" s="236" t="n"/>
      <c r="AJ263" s="236" t="n"/>
      <c r="AK263" s="236" t="n"/>
      <c r="AL263" s="236" t="n"/>
      <c r="AM263" s="236" t="n"/>
      <c r="AN263" s="236" t="n"/>
      <c r="AO263" s="236" t="n"/>
      <c r="AP263" s="236" t="n"/>
      <c r="AQ263" s="236" t="n"/>
      <c r="AR263" s="236" t="n"/>
      <c r="AS263" s="236" t="n"/>
      <c r="AT263" s="236" t="n"/>
      <c r="AU263" s="236" t="n"/>
      <c r="AV263" s="236" t="n"/>
      <c r="AW263" s="236" t="n"/>
      <c r="AX263" s="692" t="n"/>
      <c r="AZ263" s="692" t="n"/>
      <c r="BA263" s="692" t="n"/>
      <c r="BB263" s="692" t="n"/>
      <c r="BC263" s="692" t="n"/>
      <c r="BD263" s="692" t="n"/>
      <c r="BE263" s="692" t="n"/>
      <c r="BF263" s="692" t="n"/>
      <c r="BG263" s="692" t="n"/>
      <c r="BH263" s="692" t="n"/>
      <c r="BI263" s="692" t="n"/>
      <c r="BJ263" s="692" t="n"/>
      <c r="BK263" s="692" t="n"/>
      <c r="BL263" s="692" t="n"/>
      <c r="BM263" s="692" t="n"/>
      <c r="BN263" s="692" t="n"/>
      <c r="BO263" s="692" t="n"/>
      <c r="BP263" s="692" t="n"/>
      <c r="BQ263" s="692" t="n"/>
    </row>
    <row r="264">
      <c r="A264" s="218" t="inlineStr">
        <is>
          <t>Male</t>
        </is>
      </c>
      <c r="B264" s="215" t="inlineStr">
        <is>
          <t>400 Free</t>
        </is>
      </c>
      <c r="C264" s="189" t="n">
        <v>2019</v>
      </c>
      <c r="D264" s="215" t="inlineStr">
        <is>
          <t>MAS</t>
        </is>
      </c>
      <c r="E264" s="219" t="n">
        <v>2</v>
      </c>
      <c r="F264" s="215" t="inlineStr">
        <is>
          <t>3:49.55</t>
        </is>
      </c>
      <c r="G264" s="215" t="n">
        <v>1997</v>
      </c>
      <c r="H264" s="215">
        <f>C264-G264</f>
        <v/>
      </c>
      <c r="I264" s="215" t="inlineStr">
        <is>
          <t>Welson Sim</t>
        </is>
      </c>
      <c r="J264" s="215" t="n"/>
      <c r="K264" s="215" t="n"/>
      <c r="L264" s="217" t="n"/>
      <c r="M264" s="689" t="n"/>
      <c r="N264" s="689" t="n"/>
      <c r="O264" s="689" t="n"/>
      <c r="P264" s="227" t="n"/>
      <c r="Q264" s="689" t="n"/>
      <c r="R264" s="689" t="n"/>
      <c r="S264" s="689" t="n"/>
      <c r="T264" s="689" t="n"/>
      <c r="U264" s="689" t="n"/>
      <c r="V264" s="689" t="n"/>
      <c r="W264" s="689" t="n"/>
      <c r="X264" s="689" t="n"/>
      <c r="Y264" s="689" t="n"/>
      <c r="Z264" s="689" t="n"/>
      <c r="AA264" s="689" t="n"/>
      <c r="AB264" s="689" t="n"/>
      <c r="AC264" s="689" t="n"/>
      <c r="AD264" s="689" t="n"/>
      <c r="AF264" s="236" t="n"/>
      <c r="AG264" s="236" t="n"/>
      <c r="AH264" s="236" t="n"/>
      <c r="AI264" s="236" t="n"/>
      <c r="AJ264" s="236" t="n"/>
      <c r="AK264" s="236" t="n"/>
      <c r="AL264" s="236" t="n"/>
      <c r="AM264" s="236" t="n"/>
      <c r="AN264" s="236" t="n"/>
      <c r="AO264" s="236" t="n"/>
      <c r="AP264" s="236" t="n"/>
      <c r="AQ264" s="236" t="n"/>
      <c r="AR264" s="236" t="n"/>
      <c r="AS264" s="236" t="n"/>
      <c r="AT264" s="236" t="n"/>
      <c r="AU264" s="236" t="n"/>
      <c r="AV264" s="236" t="n"/>
      <c r="AW264" s="236" t="n"/>
      <c r="AX264" s="692" t="n"/>
      <c r="AZ264" s="692" t="n"/>
      <c r="BA264" s="692" t="n"/>
      <c r="BB264" s="158" t="n"/>
      <c r="BC264" s="692" t="n"/>
      <c r="BD264" s="692" t="n"/>
      <c r="BE264" s="692" t="n"/>
      <c r="BF264" s="692" t="n"/>
      <c r="BG264" s="692" t="n"/>
      <c r="BH264" s="692" t="n"/>
      <c r="BI264" s="692" t="n"/>
      <c r="BJ264" s="692" t="n"/>
      <c r="BK264" s="692" t="n"/>
      <c r="BL264" s="692" t="n"/>
      <c r="BM264" s="692" t="n"/>
      <c r="BN264" s="692" t="n"/>
      <c r="BO264" s="692" t="n"/>
      <c r="BP264" s="692" t="n"/>
      <c r="BQ264" s="692" t="n"/>
    </row>
    <row r="265">
      <c r="A265" s="220" t="inlineStr">
        <is>
          <t>Male</t>
        </is>
      </c>
      <c r="B265" s="211" t="inlineStr">
        <is>
          <t>400 Free</t>
        </is>
      </c>
      <c r="C265" s="190" t="n">
        <v>2019</v>
      </c>
      <c r="D265" s="211" t="inlineStr">
        <is>
          <t>IND</t>
        </is>
      </c>
      <c r="E265" s="221" t="n">
        <v>3</v>
      </c>
      <c r="F265" s="211" t="inlineStr">
        <is>
          <t>3:52.65</t>
        </is>
      </c>
      <c r="G265" s="211" t="n">
        <v>1997</v>
      </c>
      <c r="H265" s="197">
        <f>C265-G265</f>
        <v/>
      </c>
      <c r="I265" s="211" t="inlineStr">
        <is>
          <t>Aflah Fadlan PRAWIRA</t>
        </is>
      </c>
      <c r="J265" s="211" t="n"/>
      <c r="K265" s="211" t="n"/>
      <c r="L265" s="213" t="n"/>
      <c r="M265" s="689" t="n"/>
      <c r="N265" s="689" t="n"/>
      <c r="O265" s="689" t="n"/>
      <c r="P265" s="227" t="n"/>
      <c r="Q265" s="689" t="n"/>
      <c r="R265" s="689" t="n"/>
      <c r="S265" s="689" t="n"/>
      <c r="T265" s="689" t="n"/>
      <c r="U265" s="689" t="n"/>
      <c r="V265" s="689" t="n"/>
      <c r="W265" s="689" t="n"/>
      <c r="X265" s="689" t="n"/>
      <c r="Y265" s="689" t="n"/>
      <c r="Z265" s="689" t="n"/>
      <c r="AA265" s="689" t="n"/>
      <c r="AB265" s="689" t="n"/>
      <c r="AC265" s="689" t="n"/>
      <c r="AD265" s="689" t="n"/>
      <c r="AF265" s="236" t="n"/>
      <c r="AG265" s="236" t="n"/>
      <c r="AH265" s="236" t="n"/>
      <c r="AI265" s="236" t="n"/>
      <c r="AJ265" s="236" t="n"/>
      <c r="AK265" s="236" t="n"/>
      <c r="AL265" s="236" t="n"/>
      <c r="AM265" s="236" t="n"/>
      <c r="AN265" s="236" t="n"/>
      <c r="AO265" s="236" t="n"/>
      <c r="AP265" s="236" t="n"/>
      <c r="AQ265" s="236" t="n"/>
      <c r="AR265" s="236" t="n"/>
      <c r="AS265" s="236" t="n"/>
      <c r="AT265" s="236" t="n"/>
      <c r="AU265" s="236" t="n"/>
      <c r="AV265" s="236" t="n"/>
      <c r="AW265" s="236" t="n"/>
      <c r="AX265" s="692" t="n"/>
      <c r="AZ265" s="129" t="n"/>
      <c r="BA265" s="129" t="n"/>
      <c r="BB265" s="129" t="n"/>
      <c r="BC265" s="692" t="n"/>
      <c r="BD265" s="692" t="n"/>
      <c r="BE265" s="692" t="n"/>
      <c r="BF265" s="692" t="n"/>
      <c r="BG265" s="692" t="n"/>
      <c r="BH265" s="692" t="n"/>
      <c r="BI265" s="692" t="n"/>
      <c r="BJ265" s="692" t="n"/>
      <c r="BK265" s="692" t="n"/>
      <c r="BL265" s="692" t="n"/>
      <c r="BM265" s="692" t="n"/>
      <c r="BN265" s="692" t="n"/>
      <c r="BO265" s="692" t="n"/>
      <c r="BP265" s="692" t="n"/>
      <c r="BQ265" s="692" t="n"/>
    </row>
    <row r="266">
      <c r="A266" s="218" t="inlineStr">
        <is>
          <t>Male</t>
        </is>
      </c>
      <c r="B266" s="215" t="inlineStr">
        <is>
          <t>400 Free</t>
        </is>
      </c>
      <c r="C266" s="189" t="n">
        <v>2022</v>
      </c>
      <c r="D266" s="215" t="inlineStr">
        <is>
          <t>VIE</t>
        </is>
      </c>
      <c r="E266" s="219" t="n">
        <v>1</v>
      </c>
      <c r="F266" s="215" t="inlineStr">
        <is>
          <t>3:48.06</t>
        </is>
      </c>
      <c r="G266" s="195" t="n">
        <v>2000</v>
      </c>
      <c r="H266" s="195">
        <f>C266-G266</f>
        <v/>
      </c>
      <c r="I266" s="200" t="inlineStr">
        <is>
          <t>Huy Hoang Nguyen</t>
        </is>
      </c>
      <c r="J266" s="215" t="n"/>
      <c r="K266" s="215" t="n"/>
      <c r="L266" s="217" t="n"/>
      <c r="M266" s="689" t="n"/>
      <c r="N266" s="689" t="n"/>
      <c r="O266" s="689" t="n"/>
      <c r="P266" s="227" t="n"/>
      <c r="Q266" s="689" t="n"/>
      <c r="R266" s="689" t="n"/>
      <c r="S266" s="689" t="n"/>
      <c r="T266" s="689" t="n"/>
      <c r="U266" s="689" t="n"/>
      <c r="V266" s="689" t="n"/>
      <c r="W266" s="689" t="n"/>
      <c r="X266" s="689" t="n"/>
      <c r="Y266" s="689" t="n"/>
      <c r="Z266" s="689" t="n"/>
      <c r="AA266" s="689" t="n"/>
      <c r="AB266" s="689" t="n"/>
      <c r="AC266" s="689" t="n"/>
      <c r="AD266" s="689" t="n"/>
      <c r="AF266" s="236" t="n"/>
      <c r="AG266" s="236" t="n"/>
      <c r="AH266" s="236" t="n"/>
      <c r="AI266" s="236" t="n"/>
      <c r="AJ266" s="236" t="n"/>
      <c r="AK266" s="236" t="n"/>
      <c r="AL266" s="236" t="n"/>
      <c r="AM266" s="236" t="n"/>
      <c r="AN266" s="236" t="n"/>
      <c r="AO266" s="236" t="n"/>
      <c r="AP266" s="236" t="n"/>
      <c r="AQ266" s="236" t="n"/>
      <c r="AR266" s="236" t="n"/>
      <c r="AS266" s="236" t="n"/>
      <c r="AT266" s="236" t="n"/>
      <c r="AU266" s="236" t="n"/>
      <c r="AV266" s="236" t="n"/>
      <c r="AW266" s="236" t="n"/>
      <c r="AX266" s="692" t="n"/>
      <c r="AZ266" s="692" t="n"/>
      <c r="BA266" s="692" t="n"/>
      <c r="BB266" s="158" t="n"/>
      <c r="BC266" s="692" t="n"/>
      <c r="BD266" s="692" t="n"/>
      <c r="BE266" s="692" t="n"/>
      <c r="BF266" s="692" t="n"/>
      <c r="BG266" s="692" t="n"/>
      <c r="BH266" s="692" t="n"/>
      <c r="BI266" s="692" t="n"/>
      <c r="BJ266" s="692" t="n"/>
      <c r="BK266" s="692" t="n"/>
      <c r="BL266" s="692" t="n"/>
      <c r="BM266" s="692" t="n"/>
      <c r="BN266" s="692" t="n"/>
      <c r="BO266" s="692" t="n"/>
      <c r="BP266" s="692" t="n"/>
      <c r="BQ266" s="692" t="n"/>
    </row>
    <row r="267">
      <c r="A267" s="220" t="inlineStr">
        <is>
          <t>Male</t>
        </is>
      </c>
      <c r="B267" s="211" t="inlineStr">
        <is>
          <t>400 Free</t>
        </is>
      </c>
      <c r="C267" s="190" t="n">
        <v>2022</v>
      </c>
      <c r="D267" s="211" t="inlineStr">
        <is>
          <t>MAS</t>
        </is>
      </c>
      <c r="E267" s="221" t="n">
        <v>2</v>
      </c>
      <c r="F267" s="211" t="inlineStr">
        <is>
          <t>3:52.03</t>
        </is>
      </c>
      <c r="G267" s="197" t="n">
        <v>2002</v>
      </c>
      <c r="H267" s="197">
        <f>C267-G267</f>
        <v/>
      </c>
      <c r="I267" s="201" t="inlineStr">
        <is>
          <t>Khiew Hoe Yean</t>
        </is>
      </c>
      <c r="J267" s="211" t="n"/>
      <c r="K267" s="211" t="n"/>
      <c r="L267" s="213" t="n"/>
      <c r="M267" s="689" t="n"/>
      <c r="N267" s="689" t="n"/>
      <c r="O267" s="689" t="n"/>
      <c r="P267" s="227" t="n"/>
      <c r="Q267" s="689" t="n"/>
      <c r="R267" s="689" t="n"/>
      <c r="S267" s="689" t="n"/>
      <c r="T267" s="689" t="n"/>
      <c r="U267" s="689" t="n"/>
      <c r="V267" s="689" t="n"/>
      <c r="W267" s="689" t="n"/>
      <c r="X267" s="689" t="n"/>
      <c r="Y267" s="689" t="n"/>
      <c r="Z267" s="689" t="n"/>
      <c r="AA267" s="689" t="n"/>
      <c r="AB267" s="689" t="n"/>
      <c r="AC267" s="689" t="n"/>
      <c r="AD267" s="689" t="n"/>
      <c r="AF267" s="236" t="n"/>
      <c r="AG267" s="236" t="n"/>
      <c r="AH267" s="236" t="n"/>
      <c r="AI267" s="236" t="n"/>
      <c r="AJ267" s="236" t="n"/>
      <c r="AK267" s="236" t="n"/>
      <c r="AL267" s="236" t="n"/>
      <c r="AM267" s="236" t="n"/>
      <c r="AN267" s="236" t="n"/>
      <c r="AO267" s="236" t="n"/>
      <c r="AP267" s="236" t="n"/>
      <c r="AQ267" s="236" t="n"/>
      <c r="AR267" s="236" t="n"/>
      <c r="AS267" s="236" t="n"/>
      <c r="AT267" s="236" t="n"/>
      <c r="AU267" s="236" t="n"/>
      <c r="AV267" s="236" t="n"/>
      <c r="AW267" s="236" t="n"/>
      <c r="AX267" s="692" t="n"/>
      <c r="AZ267" s="158" t="n"/>
      <c r="BA267" s="158" t="n"/>
      <c r="BB267" s="158" t="n"/>
      <c r="BC267" s="692" t="n"/>
      <c r="BD267" s="692" t="n"/>
      <c r="BE267" s="692" t="n"/>
      <c r="BF267" s="692" t="n"/>
      <c r="BG267" s="692" t="n"/>
      <c r="BH267" s="692" t="n"/>
      <c r="BI267" s="692" t="n"/>
      <c r="BJ267" s="692" t="n"/>
      <c r="BK267" s="692" t="n"/>
      <c r="BL267" s="692" t="n"/>
      <c r="BM267" s="692" t="n"/>
      <c r="BN267" s="692" t="n"/>
      <c r="BO267" s="692" t="n"/>
      <c r="BP267" s="692" t="n"/>
      <c r="BQ267" s="692" t="n"/>
    </row>
    <row r="268">
      <c r="A268" s="218" t="inlineStr">
        <is>
          <t>Male</t>
        </is>
      </c>
      <c r="B268" s="215" t="inlineStr">
        <is>
          <t>400 Free</t>
        </is>
      </c>
      <c r="C268" s="189" t="n">
        <v>2022</v>
      </c>
      <c r="D268" s="215" t="inlineStr">
        <is>
          <t>SGP</t>
        </is>
      </c>
      <c r="E268" s="219" t="n">
        <v>3</v>
      </c>
      <c r="F268" s="215" t="inlineStr">
        <is>
          <t>3:56.68</t>
        </is>
      </c>
      <c r="G268" s="195" t="n">
        <v>2002</v>
      </c>
      <c r="H268" s="195">
        <f>C268-G268</f>
        <v/>
      </c>
      <c r="I268" s="200" t="inlineStr">
        <is>
          <t>Glen Jun Wei Lim</t>
        </is>
      </c>
      <c r="J268" s="215" t="n"/>
      <c r="K268" s="215" t="n"/>
      <c r="L268" s="217" t="n"/>
      <c r="M268" s="689" t="n"/>
      <c r="N268" s="689" t="n"/>
      <c r="O268" s="689" t="n"/>
      <c r="P268" s="227" t="n"/>
      <c r="Q268" s="689" t="n"/>
      <c r="R268" s="689" t="n"/>
      <c r="S268" s="689" t="n"/>
      <c r="T268" s="689" t="n"/>
      <c r="U268" s="689" t="n"/>
      <c r="V268" s="689" t="n"/>
      <c r="W268" s="689" t="n"/>
      <c r="X268" s="689" t="n"/>
      <c r="Y268" s="689" t="n"/>
      <c r="Z268" s="689" t="n"/>
      <c r="AA268" s="689" t="n"/>
      <c r="AB268" s="689" t="n"/>
      <c r="AC268" s="689" t="n"/>
      <c r="AD268" s="689" t="n"/>
      <c r="AF268" s="236" t="n"/>
      <c r="AG268" s="236" t="n"/>
      <c r="AH268" s="236" t="n"/>
      <c r="AI268" s="236" t="n"/>
      <c r="AJ268" s="236" t="n"/>
      <c r="AK268" s="236" t="n"/>
      <c r="AL268" s="236" t="n"/>
      <c r="AM268" s="236" t="n"/>
      <c r="AN268" s="236" t="n"/>
      <c r="AO268" s="236" t="n"/>
      <c r="AP268" s="236" t="n"/>
      <c r="AQ268" s="236" t="n"/>
      <c r="AR268" s="236" t="n"/>
      <c r="AS268" s="236" t="n"/>
      <c r="AT268" s="236" t="n"/>
      <c r="AU268" s="236" t="n"/>
      <c r="AV268" s="236" t="n"/>
      <c r="AW268" s="236" t="n"/>
      <c r="AX268" s="692" t="n"/>
      <c r="AZ268" s="158" t="n"/>
      <c r="BA268" s="158" t="n"/>
      <c r="BB268" s="158" t="n"/>
      <c r="BC268" s="692" t="n"/>
      <c r="BD268" s="692" t="n"/>
      <c r="BE268" s="692" t="n"/>
      <c r="BF268" s="692" t="n"/>
      <c r="BG268" s="692" t="n"/>
      <c r="BH268" s="692" t="n"/>
      <c r="BI268" s="692" t="n"/>
      <c r="BJ268" s="692" t="n"/>
      <c r="BK268" s="692" t="n"/>
      <c r="BL268" s="692" t="n"/>
      <c r="BM268" s="692" t="n"/>
      <c r="BN268" s="692" t="n"/>
      <c r="BO268" s="692" t="n"/>
      <c r="BP268" s="692" t="n"/>
      <c r="BQ268" s="692" t="n"/>
    </row>
    <row r="269">
      <c r="A269" s="220" t="inlineStr">
        <is>
          <t>Male</t>
        </is>
      </c>
      <c r="B269" s="211" t="inlineStr">
        <is>
          <t>400 Free</t>
        </is>
      </c>
      <c r="C269" s="190" t="n">
        <v>2023</v>
      </c>
      <c r="D269" s="211" t="inlineStr">
        <is>
          <t>VIE</t>
        </is>
      </c>
      <c r="E269" s="221" t="n">
        <v>1</v>
      </c>
      <c r="F269" s="211" t="inlineStr">
        <is>
          <t>3:49.50</t>
        </is>
      </c>
      <c r="G269" s="211" t="n">
        <v>2000</v>
      </c>
      <c r="H269" s="211">
        <f>C269-G269</f>
        <v/>
      </c>
      <c r="I269" s="211" t="inlineStr">
        <is>
          <t>Huy Hoang Nguyen</t>
        </is>
      </c>
      <c r="J269" s="211" t="n"/>
      <c r="K269" s="211" t="n"/>
      <c r="L269" s="213" t="n"/>
      <c r="M269" s="689" t="n"/>
      <c r="N269" s="689" t="n"/>
      <c r="O269" s="689" t="n"/>
      <c r="P269" s="227" t="n"/>
      <c r="Q269" s="689" t="n"/>
      <c r="R269" s="689" t="n"/>
      <c r="S269" s="689" t="n"/>
      <c r="T269" s="689" t="n"/>
      <c r="U269" s="689" t="n"/>
      <c r="V269" s="689" t="n"/>
      <c r="W269" s="689" t="n"/>
      <c r="X269" s="689" t="n"/>
      <c r="Y269" s="689" t="n"/>
      <c r="Z269" s="689" t="n"/>
      <c r="AA269" s="689" t="n"/>
      <c r="AB269" s="689" t="n"/>
      <c r="AC269" s="689" t="n"/>
      <c r="AD269" s="689" t="n"/>
      <c r="AF269" s="236" t="n"/>
      <c r="AG269" s="236" t="n"/>
      <c r="AH269" s="236" t="n"/>
      <c r="AI269" s="236" t="n"/>
      <c r="AJ269" s="236" t="n"/>
      <c r="AK269" s="236" t="n"/>
      <c r="AL269" s="236" t="n"/>
      <c r="AM269" s="236" t="n"/>
      <c r="AN269" s="236" t="n"/>
      <c r="AO269" s="236" t="n"/>
      <c r="AP269" s="236" t="n"/>
      <c r="AQ269" s="236" t="n"/>
      <c r="AR269" s="236" t="n"/>
      <c r="AS269" s="236" t="n"/>
      <c r="AT269" s="236" t="n"/>
      <c r="AU269" s="236" t="n"/>
      <c r="AV269" s="236" t="n"/>
      <c r="AW269" s="236" t="n"/>
      <c r="AX269" s="692" t="n"/>
      <c r="AZ269" s="158" t="n"/>
      <c r="BA269" s="158" t="n"/>
      <c r="BB269" s="158" t="n"/>
      <c r="BC269" s="692" t="n"/>
      <c r="BD269" s="692" t="n"/>
      <c r="BE269" s="692" t="n"/>
      <c r="BF269" s="692" t="n"/>
      <c r="BG269" s="692" t="n"/>
      <c r="BH269" s="692" t="n"/>
      <c r="BI269" s="692" t="n"/>
      <c r="BJ269" s="692" t="n"/>
      <c r="BK269" s="692" t="n"/>
      <c r="BL269" s="692" t="n"/>
      <c r="BM269" s="692" t="n"/>
      <c r="BN269" s="692" t="n"/>
      <c r="BO269" s="692" t="n"/>
      <c r="BP269" s="692" t="n"/>
      <c r="BQ269" s="692" t="n"/>
    </row>
    <row r="270">
      <c r="A270" s="218" t="inlineStr">
        <is>
          <t>Male</t>
        </is>
      </c>
      <c r="B270" s="215" t="inlineStr">
        <is>
          <t>400 Free</t>
        </is>
      </c>
      <c r="C270" s="189" t="n">
        <v>2023</v>
      </c>
      <c r="D270" s="215" t="inlineStr">
        <is>
          <t>MAS</t>
        </is>
      </c>
      <c r="E270" s="219" t="n">
        <v>2</v>
      </c>
      <c r="F270" s="215" t="inlineStr">
        <is>
          <t>3:50.39</t>
        </is>
      </c>
      <c r="G270" s="215" t="n">
        <v>2002</v>
      </c>
      <c r="H270" s="215">
        <f>C270-G270</f>
        <v/>
      </c>
      <c r="I270" s="215" t="inlineStr">
        <is>
          <t>Khiew Hoe Yean</t>
        </is>
      </c>
      <c r="J270" s="215" t="n"/>
      <c r="K270" s="215" t="n"/>
      <c r="L270" s="217" t="n"/>
      <c r="M270" s="689" t="n"/>
      <c r="N270" s="689" t="n"/>
      <c r="O270" s="689" t="n"/>
      <c r="P270" s="227" t="n"/>
      <c r="Q270" s="689" t="n"/>
      <c r="R270" s="689" t="n"/>
      <c r="S270" s="689" t="n"/>
      <c r="T270" s="689" t="n"/>
      <c r="U270" s="689" t="n"/>
      <c r="V270" s="689" t="n"/>
      <c r="W270" s="689" t="n"/>
      <c r="X270" s="689" t="n"/>
      <c r="Y270" s="689" t="n"/>
      <c r="Z270" s="689" t="n"/>
      <c r="AA270" s="689" t="n"/>
      <c r="AB270" s="689" t="n"/>
      <c r="AC270" s="689" t="n"/>
      <c r="AD270" s="689" t="n"/>
      <c r="AF270" s="236" t="n"/>
      <c r="AG270" s="236" t="n"/>
      <c r="AH270" s="236" t="n"/>
      <c r="AI270" s="236" t="n"/>
      <c r="AJ270" s="236" t="n"/>
      <c r="AK270" s="236" t="n"/>
      <c r="AL270" s="236" t="n"/>
      <c r="AM270" s="236" t="n"/>
      <c r="AN270" s="236" t="n"/>
      <c r="AO270" s="236" t="n"/>
      <c r="AP270" s="236" t="n"/>
      <c r="AQ270" s="236" t="n"/>
      <c r="AR270" s="236" t="n"/>
      <c r="AS270" s="236" t="n"/>
      <c r="AT270" s="236" t="n"/>
      <c r="AU270" s="236" t="n"/>
      <c r="AV270" s="236" t="n"/>
      <c r="AW270" s="236" t="n"/>
      <c r="AX270" s="692" t="n"/>
      <c r="AZ270" s="158" t="n"/>
      <c r="BA270" s="158" t="n"/>
      <c r="BB270" s="158" t="n"/>
      <c r="BC270" s="692" t="n"/>
      <c r="BD270" s="692" t="n"/>
      <c r="BE270" s="692" t="n"/>
      <c r="BF270" s="692" t="n"/>
      <c r="BG270" s="692" t="n"/>
      <c r="BH270" s="692" t="n"/>
      <c r="BI270" s="692" t="n"/>
      <c r="BJ270" s="692" t="n"/>
      <c r="BK270" s="692" t="n"/>
      <c r="BL270" s="692" t="n"/>
      <c r="BM270" s="692" t="n"/>
      <c r="BN270" s="692" t="n"/>
      <c r="BO270" s="692" t="n"/>
      <c r="BP270" s="692" t="n"/>
      <c r="BQ270" s="692" t="n"/>
    </row>
    <row r="271">
      <c r="A271" s="220" t="inlineStr">
        <is>
          <t>Male</t>
        </is>
      </c>
      <c r="B271" s="211" t="inlineStr">
        <is>
          <t>400 Free</t>
        </is>
      </c>
      <c r="C271" s="190" t="n">
        <v>2023</v>
      </c>
      <c r="D271" s="211" t="inlineStr">
        <is>
          <t>SGP</t>
        </is>
      </c>
      <c r="E271" s="221" t="n">
        <v>3</v>
      </c>
      <c r="F271" s="211" t="inlineStr">
        <is>
          <t>3:53.78</t>
        </is>
      </c>
      <c r="G271" s="211" t="n">
        <v>2002</v>
      </c>
      <c r="H271" s="211">
        <f>C271-G271</f>
        <v/>
      </c>
      <c r="I271" s="211" t="inlineStr">
        <is>
          <t>Glen Jun Wei Lim</t>
        </is>
      </c>
      <c r="J271" s="211" t="n"/>
      <c r="K271" s="211" t="n"/>
      <c r="L271" s="213" t="n"/>
      <c r="M271" s="689" t="n"/>
      <c r="N271" s="689" t="n"/>
      <c r="O271" s="689" t="n"/>
      <c r="P271" s="227" t="n"/>
      <c r="Q271" s="689" t="n"/>
      <c r="R271" s="689" t="n"/>
      <c r="S271" s="689" t="n"/>
      <c r="T271" s="689" t="n"/>
      <c r="U271" s="689" t="n"/>
      <c r="V271" s="689" t="n"/>
      <c r="W271" s="689" t="n"/>
      <c r="X271" s="689" t="n"/>
      <c r="Y271" s="689" t="n"/>
      <c r="Z271" s="689" t="n"/>
      <c r="AA271" s="689" t="n"/>
      <c r="AB271" s="689" t="n"/>
      <c r="AC271" s="689" t="n"/>
      <c r="AD271" s="689" t="n"/>
      <c r="AF271" s="236" t="n"/>
      <c r="AG271" s="236" t="n"/>
      <c r="AH271" s="236" t="n"/>
      <c r="AI271" s="236" t="n"/>
      <c r="AJ271" s="236" t="n"/>
      <c r="AK271" s="236" t="n"/>
      <c r="AL271" s="236" t="n"/>
      <c r="AM271" s="236" t="n"/>
      <c r="AN271" s="236" t="n"/>
      <c r="AO271" s="236" t="n"/>
      <c r="AP271" s="236" t="n"/>
      <c r="AQ271" s="236" t="n"/>
      <c r="AR271" s="236" t="n"/>
      <c r="AS271" s="236" t="n"/>
      <c r="AT271" s="236" t="n"/>
      <c r="AU271" s="236" t="n"/>
      <c r="AV271" s="236" t="n"/>
      <c r="AW271" s="236" t="n"/>
      <c r="AX271" s="692" t="n"/>
      <c r="AZ271" s="692" t="n"/>
      <c r="BA271" s="692" t="n"/>
      <c r="BB271" s="692" t="n"/>
      <c r="BC271" s="692" t="n"/>
      <c r="BD271" s="692" t="n"/>
      <c r="BE271" s="692" t="n"/>
      <c r="BF271" s="692" t="n"/>
      <c r="BG271" s="692" t="n"/>
      <c r="BH271" s="692" t="n"/>
      <c r="BI271" s="692" t="n"/>
      <c r="BJ271" s="692" t="n"/>
      <c r="BK271" s="692" t="n"/>
      <c r="BL271" s="692" t="n"/>
      <c r="BM271" s="692" t="n"/>
      <c r="BN271" s="692" t="n"/>
      <c r="BO271" s="692" t="n"/>
      <c r="BP271" s="692" t="n"/>
      <c r="BQ271" s="692" t="n"/>
    </row>
    <row r="272">
      <c r="A272" s="218" t="inlineStr">
        <is>
          <t>Male</t>
        </is>
      </c>
      <c r="B272" s="215" t="inlineStr">
        <is>
          <t>400 Free Relay</t>
        </is>
      </c>
      <c r="C272" s="189" t="n">
        <v>2019</v>
      </c>
      <c r="D272" s="215" t="inlineStr">
        <is>
          <t>SGP</t>
        </is>
      </c>
      <c r="E272" s="219" t="n">
        <v>1</v>
      </c>
      <c r="F272" s="215" t="inlineStr">
        <is>
          <t>3:16.82</t>
        </is>
      </c>
      <c r="G272" s="215" t="n"/>
      <c r="H272" s="215" t="n"/>
      <c r="I272" s="215" t="n"/>
      <c r="J272" s="215" t="n"/>
      <c r="K272" s="215" t="n"/>
      <c r="L272" s="217" t="n"/>
      <c r="M272" s="689" t="n"/>
      <c r="N272" s="689" t="n"/>
      <c r="O272" s="689" t="n"/>
      <c r="P272" s="227" t="n"/>
      <c r="Q272" s="689" t="n"/>
      <c r="R272" s="689" t="n"/>
      <c r="S272" s="689" t="n"/>
      <c r="T272" s="689" t="n"/>
      <c r="U272" s="689" t="n"/>
      <c r="V272" s="689" t="n"/>
      <c r="W272" s="689" t="n"/>
      <c r="X272" s="689" t="n"/>
      <c r="Y272" s="689" t="n"/>
      <c r="Z272" s="689" t="n"/>
      <c r="AA272" s="689" t="n"/>
      <c r="AB272" s="689" t="n"/>
      <c r="AC272" s="689" t="n"/>
      <c r="AD272" s="689" t="n"/>
      <c r="AF272" s="236" t="n"/>
      <c r="AG272" s="236" t="n"/>
      <c r="AH272" s="236" t="n"/>
      <c r="AI272" s="236" t="n"/>
      <c r="AJ272" s="236" t="n"/>
      <c r="AK272" s="236" t="n"/>
      <c r="AL272" s="236" t="n"/>
      <c r="AM272" s="236" t="n"/>
      <c r="AN272" s="236" t="n"/>
      <c r="AO272" s="236" t="n"/>
      <c r="AP272" s="236" t="n"/>
      <c r="AQ272" s="236" t="n"/>
      <c r="AR272" s="236" t="n"/>
      <c r="AS272" s="236" t="n"/>
      <c r="AT272" s="236" t="n"/>
      <c r="AU272" s="236" t="n"/>
      <c r="AV272" s="236" t="n"/>
      <c r="AW272" s="236" t="n"/>
      <c r="AX272" s="692" t="n"/>
      <c r="AZ272" s="692" t="n"/>
      <c r="BA272" s="692" t="n"/>
      <c r="BB272" s="692" t="n"/>
      <c r="BC272" s="692" t="n"/>
      <c r="BD272" s="692" t="n"/>
      <c r="BE272" s="692" t="n"/>
      <c r="BF272" s="692" t="n"/>
      <c r="BG272" s="692" t="n"/>
      <c r="BH272" s="692" t="n"/>
      <c r="BI272" s="692" t="n"/>
      <c r="BJ272" s="692" t="n"/>
      <c r="BK272" s="692" t="n"/>
      <c r="BL272" s="692" t="n"/>
      <c r="BM272" s="692" t="n"/>
      <c r="BN272" s="692" t="n"/>
      <c r="BO272" s="692" t="n"/>
      <c r="BP272" s="692" t="n"/>
      <c r="BQ272" s="692" t="n"/>
    </row>
    <row r="273">
      <c r="A273" s="220" t="inlineStr">
        <is>
          <t>Male</t>
        </is>
      </c>
      <c r="B273" s="211" t="inlineStr">
        <is>
          <t>400 Free Relay</t>
        </is>
      </c>
      <c r="C273" s="190" t="n">
        <v>2019</v>
      </c>
      <c r="D273" s="211" t="inlineStr">
        <is>
          <t>PHI</t>
        </is>
      </c>
      <c r="E273" s="221" t="n">
        <v>2</v>
      </c>
      <c r="F273" s="211" t="inlineStr">
        <is>
          <t>3:22.32</t>
        </is>
      </c>
      <c r="G273" s="211" t="n"/>
      <c r="H273" s="211" t="n"/>
      <c r="I273" s="211" t="n"/>
      <c r="J273" s="211" t="n"/>
      <c r="K273" s="211" t="n"/>
      <c r="L273" s="213" t="n"/>
      <c r="M273" s="689" t="n"/>
      <c r="N273" s="689" t="n"/>
      <c r="O273" s="689" t="n"/>
      <c r="P273" s="227" t="n"/>
      <c r="Q273" s="689" t="n"/>
      <c r="R273" s="689" t="n"/>
      <c r="S273" s="689" t="n"/>
      <c r="T273" s="689" t="n"/>
      <c r="U273" s="689" t="n"/>
      <c r="V273" s="689" t="n"/>
      <c r="W273" s="689" t="n"/>
      <c r="X273" s="689" t="n"/>
      <c r="Y273" s="689" t="n"/>
      <c r="Z273" s="689" t="n"/>
      <c r="AA273" s="689" t="n"/>
      <c r="AB273" s="689" t="n"/>
      <c r="AC273" s="689" t="n"/>
      <c r="AD273" s="689" t="n"/>
      <c r="AF273" s="236" t="n"/>
      <c r="AG273" s="236" t="n"/>
      <c r="AH273" s="236" t="n"/>
      <c r="AI273" s="236" t="n"/>
      <c r="AJ273" s="236" t="n"/>
      <c r="AK273" s="236" t="n"/>
      <c r="AL273" s="236" t="n"/>
      <c r="AM273" s="236" t="n"/>
      <c r="AN273" s="236" t="n"/>
      <c r="AO273" s="236" t="n"/>
      <c r="AP273" s="236" t="n"/>
      <c r="AQ273" s="236" t="n"/>
      <c r="AR273" s="236" t="n"/>
      <c r="AS273" s="236" t="n"/>
      <c r="AT273" s="236" t="n"/>
      <c r="AU273" s="236" t="n"/>
      <c r="AV273" s="236" t="n"/>
      <c r="AW273" s="236" t="n"/>
      <c r="AX273" s="692" t="n"/>
      <c r="AZ273" s="692" t="n"/>
      <c r="BA273" s="692" t="n"/>
      <c r="BB273" s="692" t="n"/>
      <c r="BC273" s="692" t="n"/>
      <c r="BD273" s="692" t="n"/>
      <c r="BE273" s="692" t="n"/>
      <c r="BF273" s="692" t="n"/>
      <c r="BG273" s="692" t="n"/>
      <c r="BH273" s="692" t="n"/>
      <c r="BI273" s="692" t="n"/>
      <c r="BJ273" s="692" t="n"/>
      <c r="BK273" s="692" t="n"/>
      <c r="BL273" s="692" t="n"/>
      <c r="BM273" s="692" t="n"/>
      <c r="BN273" s="692" t="n"/>
      <c r="BO273" s="692" t="n"/>
      <c r="BP273" s="692" t="n"/>
      <c r="BQ273" s="692" t="n"/>
    </row>
    <row r="274">
      <c r="A274" s="218" t="inlineStr">
        <is>
          <t>Male</t>
        </is>
      </c>
      <c r="B274" s="215" t="inlineStr">
        <is>
          <t>400 Free Relay</t>
        </is>
      </c>
      <c r="C274" s="189" t="n">
        <v>2019</v>
      </c>
      <c r="D274" s="215" t="inlineStr">
        <is>
          <t>VIE</t>
        </is>
      </c>
      <c r="E274" s="219" t="n">
        <v>3</v>
      </c>
      <c r="F274" s="215" t="inlineStr">
        <is>
          <t>3:22.45</t>
        </is>
      </c>
      <c r="G274" s="215" t="n"/>
      <c r="H274" s="215" t="n"/>
      <c r="I274" s="215" t="n"/>
      <c r="J274" s="215" t="n"/>
      <c r="K274" s="215" t="n"/>
      <c r="L274" s="217" t="n"/>
      <c r="M274" s="689" t="n"/>
      <c r="N274" s="689" t="n"/>
      <c r="O274" s="689" t="n"/>
      <c r="P274" s="227" t="n"/>
      <c r="Q274" s="689" t="n"/>
      <c r="R274" s="689" t="n"/>
      <c r="S274" s="689" t="n"/>
      <c r="T274" s="689" t="n"/>
      <c r="U274" s="689" t="n"/>
      <c r="V274" s="689" t="n"/>
      <c r="W274" s="689" t="n"/>
      <c r="X274" s="689" t="n"/>
      <c r="Y274" s="689" t="n"/>
      <c r="Z274" s="689" t="n"/>
      <c r="AA274" s="689" t="n"/>
      <c r="AB274" s="689" t="n"/>
      <c r="AC274" s="689" t="n"/>
      <c r="AD274" s="689" t="n"/>
      <c r="AF274" s="236" t="n"/>
      <c r="AG274" s="236" t="n"/>
      <c r="AH274" s="236" t="n"/>
      <c r="AI274" s="236" t="n"/>
      <c r="AJ274" s="236" t="n"/>
      <c r="AK274" s="236" t="n"/>
      <c r="AL274" s="236" t="n"/>
      <c r="AM274" s="236" t="n"/>
      <c r="AN274" s="236" t="n"/>
      <c r="AO274" s="236" t="n"/>
      <c r="AP274" s="236" t="n"/>
      <c r="AQ274" s="236" t="n"/>
      <c r="AR274" s="236" t="n"/>
      <c r="AS274" s="236" t="n"/>
      <c r="AT274" s="236" t="n"/>
      <c r="AU274" s="236" t="n"/>
      <c r="AV274" s="236" t="n"/>
      <c r="AW274" s="236" t="n"/>
      <c r="AX274" s="692" t="n"/>
      <c r="AZ274" s="692" t="n"/>
      <c r="BA274" s="692" t="n"/>
      <c r="BB274" s="692" t="n"/>
      <c r="BC274" s="692" t="n"/>
      <c r="BD274" s="692" t="n"/>
      <c r="BE274" s="692" t="n"/>
      <c r="BF274" s="692" t="n"/>
      <c r="BG274" s="692" t="n"/>
      <c r="BH274" s="692" t="n"/>
      <c r="BI274" s="692" t="n"/>
      <c r="BJ274" s="692" t="n"/>
      <c r="BK274" s="692" t="n"/>
      <c r="BL274" s="692" t="n"/>
      <c r="BM274" s="692" t="n"/>
      <c r="BN274" s="692" t="n"/>
      <c r="BO274" s="692" t="n"/>
      <c r="BP274" s="692" t="n"/>
      <c r="BQ274" s="692" t="n"/>
    </row>
    <row r="275">
      <c r="A275" s="220" t="inlineStr">
        <is>
          <t>Male</t>
        </is>
      </c>
      <c r="B275" s="211" t="inlineStr">
        <is>
          <t>400 Free Relay</t>
        </is>
      </c>
      <c r="C275" s="190" t="n">
        <v>2022</v>
      </c>
      <c r="D275" s="211" t="inlineStr">
        <is>
          <t>VIE</t>
        </is>
      </c>
      <c r="E275" s="221" t="n">
        <v>1</v>
      </c>
      <c r="F275" s="211" t="inlineStr">
        <is>
          <t>3:21.81</t>
        </is>
      </c>
      <c r="G275" s="211" t="n"/>
      <c r="H275" s="211" t="n"/>
      <c r="I275" s="211" t="n"/>
      <c r="J275" s="211" t="n"/>
      <c r="K275" s="211" t="n"/>
      <c r="L275" s="213" t="n"/>
      <c r="M275" s="689" t="n"/>
      <c r="N275" s="689" t="n"/>
      <c r="O275" s="689" t="n"/>
      <c r="P275" s="227" t="n"/>
      <c r="Q275" s="689" t="n"/>
      <c r="R275" s="689" t="n"/>
      <c r="S275" s="689" t="n"/>
      <c r="T275" s="689" t="n"/>
      <c r="U275" s="689" t="n"/>
      <c r="V275" s="689" t="n"/>
      <c r="W275" s="689" t="n"/>
      <c r="X275" s="689" t="n"/>
      <c r="Y275" s="689" t="n"/>
      <c r="Z275" s="689" t="n"/>
      <c r="AA275" s="689" t="n"/>
      <c r="AB275" s="689" t="n"/>
      <c r="AC275" s="689" t="n"/>
      <c r="AD275" s="689" t="n"/>
      <c r="AF275" s="236" t="n"/>
      <c r="AG275" s="236" t="n"/>
      <c r="AH275" s="236" t="n"/>
      <c r="AI275" s="236" t="n"/>
      <c r="AJ275" s="236" t="n"/>
      <c r="AK275" s="236" t="n"/>
      <c r="AL275" s="236" t="n"/>
      <c r="AM275" s="236" t="n"/>
      <c r="AN275" s="236" t="n"/>
      <c r="AO275" s="236" t="n"/>
      <c r="AP275" s="236" t="n"/>
      <c r="AQ275" s="236" t="n"/>
      <c r="AR275" s="236" t="n"/>
      <c r="AS275" s="236" t="n"/>
      <c r="AT275" s="236" t="n"/>
      <c r="AU275" s="236" t="n"/>
      <c r="AV275" s="236" t="n"/>
      <c r="AW275" s="236" t="n"/>
      <c r="AX275" s="692" t="n"/>
      <c r="AZ275" s="692" t="n"/>
      <c r="BA275" s="158" t="n"/>
      <c r="BB275" s="158" t="n"/>
      <c r="BC275" s="692" t="n"/>
      <c r="BD275" s="692" t="n"/>
      <c r="BE275" s="692" t="n"/>
      <c r="BF275" s="692" t="n"/>
      <c r="BG275" s="692" t="n"/>
      <c r="BH275" s="692" t="n"/>
      <c r="BI275" s="692" t="n"/>
      <c r="BJ275" s="692" t="n"/>
      <c r="BK275" s="692" t="n"/>
      <c r="BL275" s="692" t="n"/>
      <c r="BM275" s="692" t="n"/>
      <c r="BN275" s="692" t="n"/>
      <c r="BO275" s="692" t="n"/>
      <c r="BP275" s="692" t="n"/>
      <c r="BQ275" s="692" t="n"/>
    </row>
    <row r="276">
      <c r="A276" s="218" t="inlineStr">
        <is>
          <t>Male</t>
        </is>
      </c>
      <c r="B276" s="215" t="inlineStr">
        <is>
          <t>400 Free Relay</t>
        </is>
      </c>
      <c r="C276" s="189" t="n">
        <v>2022</v>
      </c>
      <c r="D276" s="215" t="inlineStr">
        <is>
          <t>IND</t>
        </is>
      </c>
      <c r="E276" s="219" t="n">
        <v>2</v>
      </c>
      <c r="F276" s="215" t="inlineStr">
        <is>
          <t>3:24.09</t>
        </is>
      </c>
      <c r="G276" s="215" t="n"/>
      <c r="H276" s="215" t="n"/>
      <c r="I276" s="215" t="n"/>
      <c r="J276" s="215" t="n"/>
      <c r="K276" s="215" t="n"/>
      <c r="L276" s="217" t="n"/>
      <c r="M276" s="689" t="n"/>
      <c r="N276" s="689" t="n"/>
      <c r="O276" s="689" t="n"/>
      <c r="P276" s="227" t="n"/>
      <c r="Q276" s="689" t="n"/>
      <c r="R276" s="689" t="n"/>
      <c r="S276" s="689" t="n"/>
      <c r="T276" s="689" t="n"/>
      <c r="U276" s="689" t="n"/>
      <c r="V276" s="689" t="n"/>
      <c r="W276" s="689" t="n"/>
      <c r="X276" s="689" t="n"/>
      <c r="Y276" s="689" t="n"/>
      <c r="Z276" s="689" t="n"/>
      <c r="AA276" s="689" t="n"/>
      <c r="AB276" s="689" t="n"/>
      <c r="AC276" s="689" t="n"/>
      <c r="AD276" s="689" t="n"/>
      <c r="AF276" s="236" t="n"/>
      <c r="AG276" s="236" t="n"/>
      <c r="AH276" s="236" t="n"/>
      <c r="AI276" s="236" t="n"/>
      <c r="AJ276" s="236" t="n"/>
      <c r="AK276" s="236" t="n"/>
      <c r="AL276" s="236" t="n"/>
      <c r="AM276" s="236" t="n"/>
      <c r="AN276" s="236" t="n"/>
      <c r="AO276" s="236" t="n"/>
      <c r="AP276" s="236" t="n"/>
      <c r="AQ276" s="236" t="n"/>
      <c r="AR276" s="236" t="n"/>
      <c r="AS276" s="236" t="n"/>
      <c r="AT276" s="236" t="n"/>
      <c r="AU276" s="236" t="n"/>
      <c r="AV276" s="236" t="n"/>
      <c r="AW276" s="236" t="n"/>
      <c r="AX276" s="692" t="n"/>
      <c r="AZ276" s="158" t="n"/>
      <c r="BA276" s="158" t="n"/>
      <c r="BB276" s="158" t="n"/>
      <c r="BC276" s="692" t="n"/>
      <c r="BD276" s="692" t="n"/>
      <c r="BE276" s="692" t="n"/>
      <c r="BF276" s="692" t="n"/>
      <c r="BG276" s="692" t="n"/>
      <c r="BH276" s="692" t="n"/>
      <c r="BI276" s="692" t="n"/>
      <c r="BJ276" s="692" t="n"/>
      <c r="BK276" s="692" t="n"/>
      <c r="BL276" s="692" t="n"/>
      <c r="BM276" s="692" t="n"/>
      <c r="BN276" s="692" t="n"/>
      <c r="BO276" s="692" t="n"/>
      <c r="BP276" s="692" t="n"/>
      <c r="BQ276" s="692" t="n"/>
    </row>
    <row r="277">
      <c r="A277" s="220" t="inlineStr">
        <is>
          <t>Male</t>
        </is>
      </c>
      <c r="B277" s="211" t="inlineStr">
        <is>
          <t>400 Free Relay</t>
        </is>
      </c>
      <c r="C277" s="190" t="n">
        <v>2022</v>
      </c>
      <c r="D277" s="211" t="inlineStr">
        <is>
          <t>THA</t>
        </is>
      </c>
      <c r="E277" s="221" t="n">
        <v>3</v>
      </c>
      <c r="F277" s="211" t="inlineStr">
        <is>
          <t>3:24.28</t>
        </is>
      </c>
      <c r="G277" s="211" t="n"/>
      <c r="H277" s="211" t="n"/>
      <c r="I277" s="211" t="n"/>
      <c r="J277" s="211" t="n"/>
      <c r="K277" s="211" t="n"/>
      <c r="L277" s="213" t="n"/>
      <c r="M277" s="689" t="n"/>
      <c r="N277" s="689" t="n"/>
      <c r="O277" s="689" t="n"/>
      <c r="P277" s="227" t="n"/>
      <c r="Q277" s="689" t="n"/>
      <c r="R277" s="689" t="n"/>
      <c r="S277" s="689" t="n"/>
      <c r="T277" s="689" t="n"/>
      <c r="U277" s="689" t="n"/>
      <c r="V277" s="689" t="n"/>
      <c r="W277" s="689" t="n"/>
      <c r="X277" s="689" t="n"/>
      <c r="Y277" s="689" t="n"/>
      <c r="Z277" s="689" t="n"/>
      <c r="AA277" s="689" t="n"/>
      <c r="AB277" s="689" t="n"/>
      <c r="AC277" s="689" t="n"/>
      <c r="AD277" s="689" t="n"/>
      <c r="AF277" s="236" t="n"/>
      <c r="AG277" s="236" t="n"/>
      <c r="AH277" s="236" t="n"/>
      <c r="AI277" s="236" t="n"/>
      <c r="AJ277" s="234" t="n"/>
      <c r="AK277" s="234" t="n"/>
      <c r="AL277" s="236" t="n"/>
      <c r="AM277" s="236" t="n"/>
      <c r="AN277" s="236" t="n"/>
      <c r="AO277" s="236" t="n"/>
      <c r="AP277" s="236" t="n"/>
      <c r="AQ277" s="236" t="n"/>
      <c r="AR277" s="236" t="n"/>
      <c r="AS277" s="236" t="n"/>
      <c r="AT277" s="236" t="n"/>
      <c r="AU277" s="236" t="n"/>
      <c r="AV277" s="236" t="n"/>
      <c r="AW277" s="236" t="n"/>
      <c r="AX277" s="692" t="n"/>
      <c r="AZ277" s="158" t="n"/>
      <c r="BA277" s="158" t="n"/>
      <c r="BB277" s="158" t="n"/>
      <c r="BC277" s="692" t="n"/>
      <c r="BD277" s="692" t="n"/>
      <c r="BE277" s="692" t="n"/>
      <c r="BF277" s="692" t="n"/>
      <c r="BG277" s="692" t="n"/>
      <c r="BH277" s="692" t="n"/>
      <c r="BI277" s="692" t="n"/>
      <c r="BJ277" s="692" t="n"/>
      <c r="BK277" s="692" t="n"/>
      <c r="BL277" s="692" t="n"/>
      <c r="BM277" s="692" t="n"/>
      <c r="BN277" s="692" t="n"/>
      <c r="BO277" s="692" t="n"/>
      <c r="BP277" s="692" t="n"/>
      <c r="BQ277" s="692" t="n"/>
    </row>
    <row r="278">
      <c r="A278" s="218" t="inlineStr">
        <is>
          <t>Male</t>
        </is>
      </c>
      <c r="B278" s="215" t="inlineStr">
        <is>
          <t>400 Free Relay</t>
        </is>
      </c>
      <c r="C278" s="189" t="n">
        <v>2023</v>
      </c>
      <c r="D278" s="215" t="inlineStr">
        <is>
          <t>SGP</t>
        </is>
      </c>
      <c r="E278" s="219" t="n">
        <v>1</v>
      </c>
      <c r="F278" s="215" t="inlineStr">
        <is>
          <t>3:17.35</t>
        </is>
      </c>
      <c r="G278" s="215" t="n"/>
      <c r="H278" s="215" t="n"/>
      <c r="I278" s="215" t="n"/>
      <c r="J278" s="215" t="n"/>
      <c r="K278" s="215" t="n"/>
      <c r="L278" s="217" t="n"/>
      <c r="M278" s="689" t="n"/>
      <c r="N278" s="689" t="n"/>
      <c r="O278" s="689" t="n"/>
      <c r="P278" s="227" t="n"/>
      <c r="Q278" s="689" t="n"/>
      <c r="R278" s="689" t="n"/>
      <c r="S278" s="689" t="n"/>
      <c r="T278" s="689" t="n"/>
      <c r="U278" s="689" t="n"/>
      <c r="V278" s="689" t="n"/>
      <c r="W278" s="689" t="n"/>
      <c r="X278" s="689" t="n"/>
      <c r="Y278" s="689" t="n"/>
      <c r="Z278" s="689" t="n"/>
      <c r="AA278" s="689" t="n"/>
      <c r="AB278" s="689" t="n"/>
      <c r="AC278" s="689" t="n"/>
      <c r="AD278" s="689" t="n"/>
      <c r="AF278" s="234" t="n"/>
      <c r="AG278" s="234" t="n"/>
      <c r="AH278" s="234" t="n"/>
      <c r="AI278" s="234" t="n"/>
      <c r="AJ278" s="234" t="n"/>
      <c r="AK278" s="234" t="n"/>
      <c r="AL278" s="236" t="n"/>
      <c r="AM278" s="236" t="n"/>
      <c r="AN278" s="236" t="n"/>
      <c r="AO278" s="236" t="n"/>
      <c r="AP278" s="236" t="n"/>
      <c r="AQ278" s="236" t="n"/>
      <c r="AR278" s="236" t="n"/>
      <c r="AS278" s="236" t="n"/>
      <c r="AT278" s="236" t="n"/>
      <c r="AU278" s="236" t="n"/>
      <c r="AV278" s="236" t="n"/>
      <c r="AW278" s="236" t="n"/>
      <c r="AX278" s="692" t="n"/>
      <c r="AZ278" s="158" t="n"/>
      <c r="BA278" s="158" t="n"/>
      <c r="BB278" s="158" t="n"/>
      <c r="BC278" s="692" t="n"/>
      <c r="BD278" s="692" t="n"/>
      <c r="BE278" s="692" t="n"/>
      <c r="BF278" s="692" t="n"/>
      <c r="BG278" s="692" t="n"/>
      <c r="BH278" s="692" t="n"/>
      <c r="BI278" s="692" t="n"/>
      <c r="BJ278" s="692" t="n"/>
      <c r="BK278" s="692" t="n"/>
      <c r="BL278" s="692" t="n"/>
      <c r="BM278" s="692" t="n"/>
      <c r="BN278" s="692" t="n"/>
      <c r="BO278" s="692" t="n"/>
      <c r="BP278" s="692" t="n"/>
      <c r="BQ278" s="692" t="n"/>
    </row>
    <row r="279">
      <c r="A279" s="220" t="inlineStr">
        <is>
          <t>Male</t>
        </is>
      </c>
      <c r="B279" s="211" t="inlineStr">
        <is>
          <t>400 Free Relay</t>
        </is>
      </c>
      <c r="C279" s="190" t="n">
        <v>2023</v>
      </c>
      <c r="D279" s="211" t="inlineStr">
        <is>
          <t>MAS</t>
        </is>
      </c>
      <c r="E279" s="221" t="n">
        <v>2</v>
      </c>
      <c r="F279" s="211" t="inlineStr">
        <is>
          <t>3:20.61</t>
        </is>
      </c>
      <c r="G279" s="211" t="n"/>
      <c r="H279" s="211" t="n"/>
      <c r="I279" s="211" t="n"/>
      <c r="J279" s="211" t="n"/>
      <c r="K279" s="211" t="n"/>
      <c r="L279" s="213" t="n"/>
      <c r="M279" s="689" t="n"/>
      <c r="N279" s="689" t="n"/>
      <c r="O279" s="689" t="n"/>
      <c r="P279" s="227" t="n"/>
      <c r="Q279" s="689" t="n"/>
      <c r="R279" s="689" t="n"/>
      <c r="S279" s="689" t="n"/>
      <c r="T279" s="689" t="n"/>
      <c r="U279" s="689" t="n"/>
      <c r="V279" s="689" t="n"/>
      <c r="W279" s="689" t="n"/>
      <c r="X279" s="689" t="n"/>
      <c r="Y279" s="689" t="n"/>
      <c r="Z279" s="689" t="n"/>
      <c r="AA279" s="689" t="n"/>
      <c r="AB279" s="689" t="n"/>
      <c r="AC279" s="689" t="n"/>
      <c r="AD279" s="689" t="n"/>
      <c r="AF279" s="234" t="n"/>
      <c r="AG279" s="234" t="n"/>
      <c r="AH279" s="234" t="n"/>
      <c r="AI279" s="234" t="n"/>
      <c r="AJ279" s="234" t="n"/>
      <c r="AK279" s="234" t="n"/>
      <c r="AL279" s="236" t="n"/>
      <c r="AM279" s="236" t="n"/>
      <c r="AN279" s="236" t="n"/>
      <c r="AO279" s="236" t="n"/>
      <c r="AP279" s="236" t="n"/>
      <c r="AQ279" s="236" t="n"/>
      <c r="AR279" s="236" t="n"/>
      <c r="AS279" s="236" t="n"/>
      <c r="AT279" s="236" t="n"/>
      <c r="AU279" s="236" t="n"/>
      <c r="AV279" s="236" t="n"/>
      <c r="AW279" s="236" t="n"/>
      <c r="AX279" s="692" t="n"/>
      <c r="AZ279" s="158" t="n"/>
      <c r="BA279" s="158" t="n"/>
      <c r="BB279" s="158" t="n"/>
      <c r="BC279" s="692" t="n"/>
      <c r="BD279" s="692" t="n"/>
      <c r="BE279" s="692" t="n"/>
      <c r="BF279" s="692" t="n"/>
      <c r="BG279" s="692" t="n"/>
      <c r="BH279" s="692" t="n"/>
      <c r="BI279" s="692" t="n"/>
      <c r="BJ279" s="692" t="n"/>
      <c r="BK279" s="692" t="n"/>
      <c r="BL279" s="692" t="n"/>
      <c r="BM279" s="692" t="n"/>
      <c r="BN279" s="692" t="n"/>
      <c r="BO279" s="692" t="n"/>
      <c r="BP279" s="692" t="n"/>
      <c r="BQ279" s="692" t="n"/>
    </row>
    <row r="280">
      <c r="A280" s="218" t="inlineStr">
        <is>
          <t>Male</t>
        </is>
      </c>
      <c r="B280" s="215" t="inlineStr">
        <is>
          <t>400 Free Relay</t>
        </is>
      </c>
      <c r="C280" s="189" t="n">
        <v>2023</v>
      </c>
      <c r="D280" s="215" t="inlineStr">
        <is>
          <t>VIE</t>
        </is>
      </c>
      <c r="E280" s="219" t="n">
        <v>3</v>
      </c>
      <c r="F280" s="215" t="inlineStr">
        <is>
          <t>3:21.09</t>
        </is>
      </c>
      <c r="G280" s="215" t="n"/>
      <c r="H280" s="215" t="n"/>
      <c r="I280" s="215" t="n"/>
      <c r="J280" s="215" t="n"/>
      <c r="K280" s="215" t="n"/>
      <c r="L280" s="217" t="n"/>
      <c r="M280" s="689" t="n"/>
      <c r="N280" s="689" t="n"/>
      <c r="O280" s="689" t="n"/>
      <c r="P280" s="227" t="n"/>
      <c r="Q280" s="689" t="n"/>
      <c r="R280" s="689" t="n"/>
      <c r="S280" s="689" t="n"/>
      <c r="T280" s="689" t="n"/>
      <c r="U280" s="689" t="n"/>
      <c r="V280" s="689" t="n"/>
      <c r="W280" s="689" t="n"/>
      <c r="X280" s="689" t="n"/>
      <c r="Y280" s="689" t="n"/>
      <c r="Z280" s="689" t="n"/>
      <c r="AA280" s="689" t="n"/>
      <c r="AB280" s="689" t="n"/>
      <c r="AC280" s="689" t="n"/>
      <c r="AD280" s="689" t="n"/>
      <c r="AF280" s="234" t="n"/>
      <c r="AG280" s="234" t="n"/>
      <c r="AH280" s="234" t="n"/>
      <c r="AI280" s="234" t="n"/>
      <c r="AJ280" s="234" t="n"/>
      <c r="AK280" s="234" t="n"/>
      <c r="AL280" s="236" t="n"/>
      <c r="AM280" s="236" t="n"/>
      <c r="AN280" s="236" t="n"/>
      <c r="AO280" s="236" t="n"/>
      <c r="AP280" s="236" t="n"/>
      <c r="AQ280" s="236" t="n"/>
      <c r="AR280" s="236" t="n"/>
      <c r="AS280" s="236" t="n"/>
      <c r="AT280" s="236" t="n"/>
      <c r="AU280" s="236" t="n"/>
      <c r="AV280" s="236" t="n"/>
      <c r="AW280" s="236" t="n"/>
      <c r="AX280" s="692" t="n"/>
      <c r="AZ280" s="692" t="n"/>
      <c r="BA280" s="692" t="n"/>
      <c r="BB280" s="692" t="n"/>
      <c r="BC280" s="692" t="n"/>
      <c r="BD280" s="692" t="n"/>
      <c r="BE280" s="692" t="n"/>
      <c r="BF280" s="692" t="n"/>
      <c r="BG280" s="692" t="n"/>
      <c r="BH280" s="692" t="n"/>
      <c r="BI280" s="692" t="n"/>
      <c r="BJ280" s="692" t="n"/>
      <c r="BK280" s="692" t="n"/>
      <c r="BL280" s="692" t="n"/>
      <c r="BM280" s="692" t="n"/>
      <c r="BN280" s="692" t="n"/>
      <c r="BO280" s="692" t="n"/>
      <c r="BP280" s="692" t="n"/>
      <c r="BQ280" s="692" t="n"/>
    </row>
    <row r="281">
      <c r="A281" s="220" t="inlineStr">
        <is>
          <t>Male</t>
        </is>
      </c>
      <c r="B281" s="211" t="inlineStr">
        <is>
          <t>400 IM</t>
        </is>
      </c>
      <c r="C281" s="190" t="n">
        <v>2019</v>
      </c>
      <c r="D281" s="211" t="inlineStr">
        <is>
          <t>VIE</t>
        </is>
      </c>
      <c r="E281" s="221" t="n">
        <v>1</v>
      </c>
      <c r="F281" s="211" t="inlineStr">
        <is>
          <t>4:20.65</t>
        </is>
      </c>
      <c r="G281" s="196" t="n">
        <v>2003</v>
      </c>
      <c r="H281" s="196">
        <f>C281-G281</f>
        <v/>
      </c>
      <c r="I281" s="198" t="inlineStr">
        <is>
          <t>Hung Nguyen Tran</t>
        </is>
      </c>
      <c r="J281" s="211" t="n"/>
      <c r="K281" s="211" t="n"/>
      <c r="L281" s="213" t="n"/>
      <c r="M281" s="689" t="n"/>
      <c r="N281" s="689" t="n"/>
      <c r="O281" s="689" t="n"/>
      <c r="P281" s="227" t="n"/>
      <c r="Q281" s="689" t="n"/>
      <c r="R281" s="689" t="n"/>
      <c r="S281" s="689" t="n"/>
      <c r="T281" s="689" t="n"/>
      <c r="U281" s="689" t="n"/>
      <c r="V281" s="689" t="n"/>
      <c r="W281" s="689" t="n"/>
      <c r="X281" s="689" t="n"/>
      <c r="Y281" s="689" t="n"/>
      <c r="Z281" s="689" t="n"/>
      <c r="AA281" s="689" t="n"/>
      <c r="AB281" s="689" t="n"/>
      <c r="AC281" s="689" t="n"/>
      <c r="AD281" s="689" t="n"/>
      <c r="AF281" s="236" t="n"/>
      <c r="AG281" s="236" t="n"/>
      <c r="AH281" s="236" t="n"/>
      <c r="AI281" s="236" t="n"/>
      <c r="AJ281" s="236" t="n"/>
      <c r="AK281" s="236" t="n"/>
      <c r="AL281" s="236" t="n"/>
      <c r="AM281" s="236" t="n"/>
      <c r="AN281" s="236" t="n"/>
      <c r="AO281" s="236" t="n"/>
      <c r="AP281" s="236" t="n"/>
      <c r="AQ281" s="236" t="n"/>
      <c r="AR281" s="236" t="n"/>
      <c r="AS281" s="236" t="n"/>
      <c r="AT281" s="236" t="n"/>
      <c r="AU281" s="236" t="n"/>
      <c r="AV281" s="236" t="n"/>
      <c r="AW281" s="236" t="n"/>
      <c r="AX281" s="692" t="n"/>
      <c r="AZ281" s="692" t="n"/>
      <c r="BA281" s="692" t="n"/>
      <c r="BB281" s="692" t="n"/>
      <c r="BC281" s="692" t="n"/>
      <c r="BD281" s="692" t="n"/>
      <c r="BE281" s="692" t="n"/>
      <c r="BF281" s="692" t="n"/>
      <c r="BG281" s="692" t="n"/>
      <c r="BH281" s="692" t="n"/>
      <c r="BI281" s="692" t="n"/>
      <c r="BJ281" s="692" t="n"/>
      <c r="BK281" s="692" t="n"/>
      <c r="BL281" s="692" t="n"/>
      <c r="BM281" s="692" t="n"/>
      <c r="BN281" s="692" t="n"/>
      <c r="BO281" s="692" t="n"/>
      <c r="BP281" s="692" t="n"/>
      <c r="BQ281" s="692" t="n"/>
    </row>
    <row r="282">
      <c r="A282" s="218" t="inlineStr">
        <is>
          <t>Male</t>
        </is>
      </c>
      <c r="B282" s="215" t="inlineStr">
        <is>
          <t>400 IM</t>
        </is>
      </c>
      <c r="C282" s="189" t="n">
        <v>2019</v>
      </c>
      <c r="D282" s="215" t="inlineStr">
        <is>
          <t>IND</t>
        </is>
      </c>
      <c r="E282" s="219" t="n">
        <v>2</v>
      </c>
      <c r="F282" s="215" t="inlineStr">
        <is>
          <t>4:21.30</t>
        </is>
      </c>
      <c r="G282" s="215" t="n">
        <v>1997</v>
      </c>
      <c r="H282" s="202">
        <f>C282-G282</f>
        <v/>
      </c>
      <c r="I282" s="215" t="inlineStr">
        <is>
          <t>Aflah Fadlan PRAWIRA</t>
        </is>
      </c>
      <c r="J282" s="215" t="n"/>
      <c r="K282" s="215" t="n"/>
      <c r="L282" s="217" t="n"/>
      <c r="M282" s="689" t="n"/>
      <c r="N282" s="689" t="n"/>
      <c r="O282" s="689" t="n"/>
      <c r="P282" s="227" t="n"/>
      <c r="Q282" s="689" t="n"/>
      <c r="R282" s="689" t="n"/>
      <c r="S282" s="689" t="n"/>
      <c r="T282" s="689" t="n"/>
      <c r="U282" s="689" t="n"/>
      <c r="V282" s="689" t="n"/>
      <c r="W282" s="689" t="n"/>
      <c r="X282" s="689" t="n"/>
      <c r="Y282" s="689" t="n"/>
      <c r="Z282" s="689" t="n"/>
      <c r="AA282" s="689" t="n"/>
      <c r="AB282" s="689" t="n"/>
      <c r="AC282" s="689" t="n"/>
      <c r="AD282" s="689" t="n"/>
      <c r="AF282" s="233" t="n"/>
      <c r="AG282" s="233" t="n"/>
      <c r="AH282" s="233" t="n"/>
      <c r="AI282" s="233" t="n"/>
      <c r="AJ282" s="233" t="n"/>
      <c r="AK282" s="233" t="n"/>
      <c r="AL282" s="233" t="n"/>
      <c r="AM282" s="233" t="n"/>
      <c r="AN282" s="233" t="n"/>
      <c r="AO282" s="233" t="n"/>
      <c r="AP282" s="233" t="n"/>
      <c r="AQ282" s="233" t="n"/>
      <c r="AR282" s="233" t="n"/>
      <c r="AS282" s="233" t="n"/>
      <c r="AT282" s="233" t="n"/>
      <c r="AU282" s="233" t="n"/>
      <c r="AV282" s="233" t="n"/>
      <c r="AW282" s="233" t="n"/>
      <c r="AX282" s="692" t="n"/>
      <c r="AZ282" s="692" t="n"/>
      <c r="BA282" s="692" t="n"/>
      <c r="BB282" s="692" t="n"/>
      <c r="BC282" s="692" t="n"/>
      <c r="BD282" s="692" t="n"/>
      <c r="BE282" s="692" t="n"/>
      <c r="BF282" s="692" t="n"/>
      <c r="BG282" s="692" t="n"/>
      <c r="BH282" s="692" t="n"/>
      <c r="BI282" s="692" t="n"/>
      <c r="BJ282" s="692" t="n"/>
      <c r="BK282" s="692" t="n"/>
      <c r="BL282" s="692" t="n"/>
      <c r="BM282" s="692" t="n"/>
      <c r="BN282" s="692" t="n"/>
      <c r="BO282" s="692" t="n"/>
      <c r="BP282" s="692" t="n"/>
      <c r="BQ282" s="692" t="n"/>
    </row>
    <row r="283">
      <c r="A283" s="220" t="inlineStr">
        <is>
          <t>Male</t>
        </is>
      </c>
      <c r="B283" s="211" t="inlineStr">
        <is>
          <t>400 IM</t>
        </is>
      </c>
      <c r="C283" s="190" t="n">
        <v>2019</v>
      </c>
      <c r="D283" s="211" t="inlineStr">
        <is>
          <t>VIE</t>
        </is>
      </c>
      <c r="E283" s="221" t="n">
        <v>3</v>
      </c>
      <c r="F283" s="211" t="inlineStr">
        <is>
          <t>4:26.45</t>
        </is>
      </c>
      <c r="G283" s="197" t="n">
        <v>2002</v>
      </c>
      <c r="H283" s="197">
        <f>C283-G283</f>
        <v/>
      </c>
      <c r="I283" s="201" t="inlineStr">
        <is>
          <t>Huu Kim Son Nguyen</t>
        </is>
      </c>
      <c r="J283" s="211" t="n"/>
      <c r="K283" s="211" t="n"/>
      <c r="L283" s="213" t="n"/>
      <c r="M283" s="689" t="n"/>
      <c r="N283" s="689" t="n"/>
      <c r="O283" s="689" t="n"/>
      <c r="P283" s="227" t="n"/>
      <c r="Q283" s="689" t="n"/>
      <c r="R283" s="689" t="n"/>
      <c r="S283" s="689" t="n"/>
      <c r="T283" s="689" t="n"/>
      <c r="U283" s="689" t="n"/>
      <c r="V283" s="689" t="n"/>
      <c r="W283" s="689" t="n"/>
      <c r="X283" s="689" t="n"/>
      <c r="Y283" s="689" t="n"/>
      <c r="Z283" s="689" t="n"/>
      <c r="AA283" s="689" t="n"/>
      <c r="AB283" s="689" t="n"/>
      <c r="AC283" s="689" t="n"/>
      <c r="AD283" s="689" t="n"/>
      <c r="AF283" s="233" t="n"/>
      <c r="AG283" s="233" t="n"/>
      <c r="AH283" s="233" t="n"/>
      <c r="AI283" s="233" t="n"/>
      <c r="AJ283" s="233" t="n"/>
      <c r="AK283" s="233" t="n"/>
      <c r="AL283" s="233" t="n"/>
      <c r="AM283" s="233" t="n"/>
      <c r="AN283" s="233" t="n"/>
      <c r="AO283" s="233" t="n"/>
      <c r="AP283" s="233" t="n"/>
      <c r="AQ283" s="233" t="n"/>
      <c r="AR283" s="233" t="n"/>
      <c r="AS283" s="233" t="n"/>
      <c r="AT283" s="233" t="n"/>
      <c r="AU283" s="233" t="n"/>
      <c r="AV283" s="233" t="n"/>
      <c r="AW283" s="233" t="n"/>
      <c r="AX283" s="692" t="n"/>
      <c r="AY283" s="692" t="n"/>
      <c r="AZ283" s="692" t="n"/>
      <c r="BA283" s="692" t="n"/>
      <c r="BB283" s="692" t="n"/>
      <c r="BC283" s="692" t="n"/>
      <c r="BD283" s="692" t="n"/>
      <c r="BE283" s="692" t="n"/>
      <c r="BF283" s="692" t="n"/>
      <c r="BG283" s="692" t="n"/>
      <c r="BH283" s="692" t="n"/>
      <c r="BI283" s="692" t="n"/>
      <c r="BJ283" s="692" t="n"/>
      <c r="BK283" s="692" t="n"/>
      <c r="BL283" s="692" t="n"/>
      <c r="BM283" s="692" t="n"/>
      <c r="BN283" s="692" t="n"/>
      <c r="BO283" s="692" t="n"/>
      <c r="BP283" s="692" t="n"/>
      <c r="BQ283" s="692" t="n"/>
    </row>
    <row r="284">
      <c r="A284" s="218" t="inlineStr">
        <is>
          <t>Male</t>
        </is>
      </c>
      <c r="B284" s="215" t="inlineStr">
        <is>
          <t>400 IM</t>
        </is>
      </c>
      <c r="C284" s="189" t="n">
        <v>2022</v>
      </c>
      <c r="D284" s="215" t="inlineStr">
        <is>
          <t>VIE</t>
        </is>
      </c>
      <c r="E284" s="219" t="n">
        <v>1</v>
      </c>
      <c r="F284" s="215" t="inlineStr">
        <is>
          <t>4:18.10</t>
        </is>
      </c>
      <c r="G284" s="195" t="n">
        <v>2003</v>
      </c>
      <c r="H284" s="195">
        <f>C284-G284</f>
        <v/>
      </c>
      <c r="I284" s="200" t="inlineStr">
        <is>
          <t>Hung Nguyen Tran</t>
        </is>
      </c>
      <c r="J284" s="215" t="n"/>
      <c r="K284" s="215" t="n"/>
      <c r="L284" s="217" t="n"/>
      <c r="M284" s="689" t="n"/>
      <c r="N284" s="689" t="n"/>
      <c r="O284" s="689" t="n"/>
      <c r="P284" s="227" t="n"/>
      <c r="Q284" s="689" t="n"/>
      <c r="R284" s="689" t="n"/>
      <c r="S284" s="689" t="n"/>
      <c r="T284" s="689" t="n"/>
      <c r="U284" s="689" t="n"/>
      <c r="V284" s="689" t="n"/>
      <c r="W284" s="689" t="n"/>
      <c r="X284" s="689" t="n"/>
      <c r="Y284" s="689" t="n"/>
      <c r="Z284" s="689" t="n"/>
      <c r="AA284" s="689" t="n"/>
      <c r="AB284" s="689" t="n"/>
      <c r="AC284" s="689" t="n"/>
      <c r="AD284" s="689" t="n"/>
      <c r="AF284" s="233" t="n"/>
      <c r="AG284" s="233" t="n"/>
      <c r="AH284" s="233" t="n"/>
      <c r="AI284" s="233" t="n"/>
      <c r="AJ284" s="233" t="n"/>
      <c r="AK284" s="233" t="n"/>
      <c r="AL284" s="233" t="n"/>
      <c r="AM284" s="233" t="n"/>
      <c r="AN284" s="233" t="n"/>
      <c r="AO284" s="233" t="n"/>
      <c r="AP284" s="233" t="n"/>
      <c r="AQ284" s="233" t="n"/>
      <c r="AR284" s="233" t="n"/>
      <c r="AS284" s="233" t="n"/>
      <c r="AT284" s="233" t="n"/>
      <c r="AU284" s="233" t="n"/>
      <c r="AV284" s="233" t="n"/>
      <c r="AW284" s="233" t="n"/>
      <c r="AX284" s="692" t="n"/>
      <c r="AY284" s="692" t="n"/>
      <c r="AZ284" s="692" t="n"/>
      <c r="BA284" s="692" t="n"/>
      <c r="BB284" s="692" t="n"/>
      <c r="BC284" s="692" t="n"/>
      <c r="BD284" s="692" t="n"/>
      <c r="BE284" s="692" t="n"/>
      <c r="BF284" s="692" t="n"/>
      <c r="BG284" s="692" t="n"/>
      <c r="BH284" s="692" t="n"/>
      <c r="BI284" s="692" t="n"/>
      <c r="BJ284" s="692" t="n"/>
      <c r="BK284" s="692" t="n"/>
      <c r="BL284" s="692" t="n"/>
      <c r="BM284" s="692" t="n"/>
      <c r="BN284" s="692" t="n"/>
      <c r="BO284" s="692" t="n"/>
      <c r="BP284" s="692" t="n"/>
      <c r="BQ284" s="692" t="n"/>
    </row>
    <row r="285">
      <c r="A285" s="220" t="inlineStr">
        <is>
          <t>Male</t>
        </is>
      </c>
      <c r="B285" s="211" t="inlineStr">
        <is>
          <t>400 IM</t>
        </is>
      </c>
      <c r="C285" s="190" t="n">
        <v>2022</v>
      </c>
      <c r="D285" s="211" t="inlineStr">
        <is>
          <t>VIE</t>
        </is>
      </c>
      <c r="E285" s="221" t="n">
        <v>2</v>
      </c>
      <c r="F285" s="211" t="inlineStr">
        <is>
          <t>4:22.46</t>
        </is>
      </c>
      <c r="G285" s="197" t="n">
        <v>2006</v>
      </c>
      <c r="H285" s="197">
        <f>C285-G285</f>
        <v/>
      </c>
      <c r="I285" s="201" t="inlineStr">
        <is>
          <t>Quang Thuan Nguyen</t>
        </is>
      </c>
      <c r="J285" s="211" t="n"/>
      <c r="K285" s="211" t="n"/>
      <c r="L285" s="213" t="n"/>
      <c r="M285" s="689" t="n"/>
      <c r="N285" s="689" t="n"/>
      <c r="O285" s="689" t="n"/>
      <c r="P285" s="227" t="n"/>
      <c r="Q285" s="689" t="n"/>
      <c r="R285" s="689" t="n"/>
      <c r="S285" s="689" t="n"/>
      <c r="T285" s="689" t="n"/>
      <c r="U285" s="689" t="n"/>
      <c r="V285" s="689" t="n"/>
      <c r="W285" s="689" t="n"/>
      <c r="X285" s="689" t="n"/>
      <c r="Y285" s="689" t="n"/>
      <c r="Z285" s="689" t="n"/>
      <c r="AA285" s="689" t="n"/>
      <c r="AB285" s="689" t="n"/>
      <c r="AC285" s="689" t="n"/>
      <c r="AD285" s="689" t="n"/>
      <c r="AF285" s="233" t="n"/>
      <c r="AG285" s="233" t="n"/>
      <c r="AH285" s="233" t="n"/>
      <c r="AI285" s="233" t="n"/>
      <c r="AJ285" s="233" t="n"/>
      <c r="AK285" s="233" t="n"/>
      <c r="AL285" s="233" t="n"/>
      <c r="AM285" s="233" t="n"/>
      <c r="AN285" s="233" t="n"/>
      <c r="AO285" s="233" t="n"/>
      <c r="AP285" s="233" t="n"/>
      <c r="AQ285" s="233" t="n"/>
      <c r="AR285" s="233" t="n"/>
      <c r="AS285" s="233" t="n"/>
      <c r="AT285" s="233" t="n"/>
      <c r="AU285" s="233" t="n"/>
      <c r="AV285" s="233" t="n"/>
      <c r="AW285" s="233" t="n"/>
      <c r="AX285" s="692" t="n"/>
      <c r="AY285" s="692" t="n"/>
      <c r="AZ285" s="692" t="n"/>
      <c r="BA285" s="692" t="n"/>
      <c r="BB285" s="692" t="n"/>
      <c r="BC285" s="692" t="n"/>
      <c r="BD285" s="692" t="n"/>
      <c r="BE285" s="692" t="n"/>
      <c r="BF285" s="692" t="n"/>
      <c r="BG285" s="692" t="n"/>
      <c r="BH285" s="692" t="n"/>
      <c r="BI285" s="692" t="n"/>
      <c r="BJ285" s="692" t="n"/>
      <c r="BK285" s="692" t="n"/>
      <c r="BL285" s="692" t="n"/>
      <c r="BM285" s="692" t="n"/>
      <c r="BN285" s="692" t="n"/>
      <c r="BO285" s="692" t="n"/>
      <c r="BP285" s="692" t="n"/>
      <c r="BQ285" s="692" t="n"/>
    </row>
    <row r="286">
      <c r="A286" s="218" t="inlineStr">
        <is>
          <t>Male</t>
        </is>
      </c>
      <c r="B286" s="215" t="inlineStr">
        <is>
          <t>400 IM</t>
        </is>
      </c>
      <c r="C286" s="189" t="n">
        <v>2022</v>
      </c>
      <c r="D286" s="215" t="inlineStr">
        <is>
          <t>IND</t>
        </is>
      </c>
      <c r="E286" s="219" t="n">
        <v>3</v>
      </c>
      <c r="F286" s="215" t="inlineStr">
        <is>
          <t>4:23.43</t>
        </is>
      </c>
      <c r="G286" s="215" t="n">
        <v>1997</v>
      </c>
      <c r="H286" s="202">
        <f>C286-G286</f>
        <v/>
      </c>
      <c r="I286" s="215" t="inlineStr">
        <is>
          <t>Aflah Fadlan PRAWIRA</t>
        </is>
      </c>
      <c r="J286" s="215" t="n"/>
      <c r="K286" s="215" t="n"/>
      <c r="L286" s="217" t="n"/>
      <c r="M286" s="689" t="n"/>
      <c r="N286" s="689" t="n"/>
      <c r="O286" s="689" t="n"/>
      <c r="P286" s="227" t="n"/>
      <c r="Q286" s="689" t="n"/>
      <c r="R286" s="689" t="n"/>
      <c r="S286" s="689" t="n"/>
      <c r="T286" s="689" t="n"/>
      <c r="U286" s="689" t="n"/>
      <c r="V286" s="689" t="n"/>
      <c r="W286" s="689" t="n"/>
      <c r="X286" s="689" t="n"/>
      <c r="Y286" s="689" t="n"/>
      <c r="Z286" s="689" t="n"/>
      <c r="AA286" s="689" t="n"/>
      <c r="AB286" s="689" t="n"/>
      <c r="AC286" s="689" t="n"/>
      <c r="AD286" s="689" t="n"/>
      <c r="AF286" s="233" t="n"/>
      <c r="AG286" s="233" t="n"/>
      <c r="AH286" s="233" t="n"/>
      <c r="AI286" s="233" t="n"/>
      <c r="AJ286" s="233" t="n"/>
      <c r="AK286" s="233" t="n"/>
      <c r="AL286" s="233" t="n"/>
      <c r="AM286" s="233" t="n"/>
      <c r="AN286" s="233" t="n"/>
      <c r="AO286" s="233" t="n"/>
      <c r="AP286" s="233" t="n"/>
      <c r="AQ286" s="233" t="n"/>
      <c r="AR286" s="233" t="n"/>
      <c r="AS286" s="233" t="n"/>
      <c r="AT286" s="233" t="n"/>
      <c r="AU286" s="233" t="n"/>
      <c r="AV286" s="233" t="n"/>
      <c r="AW286" s="233" t="n"/>
      <c r="AX286" s="692" t="n"/>
      <c r="AY286" s="692" t="n"/>
      <c r="AZ286" s="692" t="n"/>
      <c r="BA286" s="692" t="n"/>
      <c r="BB286" s="692" t="n"/>
      <c r="BC286" s="692" t="n"/>
      <c r="BD286" s="692" t="n"/>
      <c r="BE286" s="692" t="n"/>
      <c r="BF286" s="692" t="n"/>
      <c r="BG286" s="692" t="n"/>
      <c r="BH286" s="692" t="n"/>
      <c r="BI286" s="692" t="n"/>
      <c r="BJ286" s="692" t="n"/>
      <c r="BK286" s="692" t="n"/>
      <c r="BL286" s="692" t="n"/>
      <c r="BM286" s="692" t="n"/>
      <c r="BN286" s="692" t="n"/>
      <c r="BO286" s="692" t="n"/>
      <c r="BP286" s="692" t="n"/>
      <c r="BQ286" s="692" t="n"/>
    </row>
    <row r="287">
      <c r="A287" s="220" t="inlineStr">
        <is>
          <t>Male</t>
        </is>
      </c>
      <c r="B287" s="211" t="inlineStr">
        <is>
          <t>400 IM</t>
        </is>
      </c>
      <c r="C287" s="190" t="n">
        <v>2023</v>
      </c>
      <c r="D287" s="211" t="inlineStr">
        <is>
          <t>VIE</t>
        </is>
      </c>
      <c r="E287" s="221" t="n">
        <v>1</v>
      </c>
      <c r="F287" s="211" t="inlineStr">
        <is>
          <t>4:19.12</t>
        </is>
      </c>
      <c r="G287" s="211" t="n">
        <v>2003</v>
      </c>
      <c r="H287" s="211">
        <f>C287-G287</f>
        <v/>
      </c>
      <c r="I287" s="211" t="inlineStr">
        <is>
          <t>Hung Nguyen Tran</t>
        </is>
      </c>
      <c r="J287" s="211" t="n"/>
      <c r="K287" s="211" t="n"/>
      <c r="L287" s="213" t="n"/>
      <c r="M287" s="689" t="n"/>
      <c r="N287" s="689" t="n"/>
      <c r="O287" s="689" t="n"/>
      <c r="P287" s="227" t="n"/>
      <c r="Q287" s="689" t="n"/>
      <c r="R287" s="689" t="n"/>
      <c r="S287" s="689" t="n"/>
      <c r="T287" s="689" t="n"/>
      <c r="U287" s="689" t="n"/>
      <c r="V287" s="689" t="n"/>
      <c r="W287" s="689" t="n"/>
      <c r="X287" s="689" t="n"/>
      <c r="Y287" s="689" t="n"/>
      <c r="Z287" s="689" t="n"/>
      <c r="AA287" s="689" t="n"/>
      <c r="AB287" s="689" t="n"/>
      <c r="AC287" s="689" t="n"/>
      <c r="AD287" s="689" t="n"/>
      <c r="AF287" s="233" t="n"/>
      <c r="AG287" s="233" t="n"/>
      <c r="AH287" s="233" t="n"/>
      <c r="AI287" s="233" t="n"/>
      <c r="AJ287" s="233" t="n"/>
      <c r="AK287" s="233" t="n"/>
      <c r="AL287" s="233" t="n"/>
      <c r="AM287" s="233" t="n"/>
      <c r="AN287" s="233" t="n"/>
      <c r="AO287" s="233" t="n"/>
      <c r="AP287" s="233" t="n"/>
      <c r="AQ287" s="233" t="n"/>
      <c r="AR287" s="233" t="n"/>
      <c r="AS287" s="233" t="n"/>
      <c r="AT287" s="233" t="n"/>
      <c r="AU287" s="233" t="n"/>
      <c r="AV287" s="233" t="n"/>
      <c r="AW287" s="233" t="n"/>
      <c r="AX287" s="692" t="n"/>
      <c r="AY287" s="692" t="n"/>
      <c r="AZ287" s="692" t="n"/>
      <c r="BA287" s="692" t="n"/>
      <c r="BB287" s="692" t="n"/>
      <c r="BC287" s="692" t="n"/>
      <c r="BD287" s="692" t="n"/>
      <c r="BE287" s="692" t="n"/>
      <c r="BF287" s="692" t="n"/>
      <c r="BG287" s="692" t="n"/>
      <c r="BH287" s="692" t="n"/>
      <c r="BI287" s="692" t="n"/>
      <c r="BJ287" s="692" t="n"/>
      <c r="BK287" s="692" t="n"/>
      <c r="BL287" s="692" t="n"/>
      <c r="BM287" s="692" t="n"/>
      <c r="BN287" s="692" t="n"/>
      <c r="BO287" s="692" t="n"/>
      <c r="BP287" s="692" t="n"/>
      <c r="BQ287" s="692" t="n"/>
    </row>
    <row r="288">
      <c r="A288" s="218" t="inlineStr">
        <is>
          <t>Male</t>
        </is>
      </c>
      <c r="B288" s="215" t="inlineStr">
        <is>
          <t>400 IM</t>
        </is>
      </c>
      <c r="C288" s="189" t="n">
        <v>2023</v>
      </c>
      <c r="D288" s="215" t="inlineStr">
        <is>
          <t>VIE</t>
        </is>
      </c>
      <c r="E288" s="219" t="n">
        <v>2</v>
      </c>
      <c r="F288" s="215" t="inlineStr">
        <is>
          <t>4:21.03</t>
        </is>
      </c>
      <c r="G288" s="215" t="n">
        <v>2006</v>
      </c>
      <c r="H288" s="215">
        <f>C288-G288</f>
        <v/>
      </c>
      <c r="I288" s="215" t="inlineStr">
        <is>
          <t>Quang Thuan Nguyen</t>
        </is>
      </c>
      <c r="J288" s="215" t="n"/>
      <c r="K288" s="215" t="n"/>
      <c r="L288" s="217" t="n"/>
      <c r="M288" s="689" t="n"/>
      <c r="N288" s="689" t="n"/>
      <c r="O288" s="689" t="n"/>
      <c r="P288" s="227" t="n"/>
      <c r="Q288" s="689" t="n"/>
      <c r="R288" s="689" t="n"/>
      <c r="S288" s="689" t="n"/>
      <c r="T288" s="689" t="n"/>
      <c r="U288" s="689" t="n"/>
      <c r="V288" s="689" t="n"/>
      <c r="W288" s="689" t="n"/>
      <c r="X288" s="689" t="n"/>
      <c r="Y288" s="689" t="n"/>
      <c r="Z288" s="689" t="n"/>
      <c r="AA288" s="689" t="n"/>
      <c r="AB288" s="689" t="n"/>
      <c r="AC288" s="689" t="n"/>
      <c r="AD288" s="689" t="n"/>
      <c r="AF288" s="233" t="n"/>
      <c r="AG288" s="233" t="n"/>
      <c r="AH288" s="233" t="n"/>
      <c r="AI288" s="233" t="n"/>
      <c r="AJ288" s="233" t="n"/>
      <c r="AK288" s="233" t="n"/>
      <c r="AL288" s="233" t="n"/>
      <c r="AM288" s="233" t="n"/>
      <c r="AN288" s="233" t="n"/>
      <c r="AO288" s="233" t="n"/>
      <c r="AP288" s="233" t="n"/>
      <c r="AQ288" s="233" t="n"/>
      <c r="AR288" s="233" t="n"/>
      <c r="AS288" s="233" t="n"/>
      <c r="AT288" s="233" t="n"/>
      <c r="AU288" s="233" t="n"/>
      <c r="AV288" s="233" t="n"/>
      <c r="AW288" s="233" t="n"/>
      <c r="AX288" s="692" t="n"/>
      <c r="AY288" s="692" t="n"/>
      <c r="AZ288" s="692" t="n"/>
      <c r="BA288" s="692" t="n"/>
      <c r="BB288" s="692" t="n"/>
      <c r="BC288" s="692" t="n"/>
      <c r="BD288" s="692" t="n"/>
      <c r="BE288" s="692" t="n"/>
      <c r="BF288" s="692" t="n"/>
      <c r="BG288" s="692" t="n"/>
      <c r="BH288" s="692" t="n"/>
      <c r="BI288" s="692" t="n"/>
      <c r="BJ288" s="692" t="n"/>
      <c r="BK288" s="692" t="n"/>
      <c r="BL288" s="692" t="n"/>
      <c r="BM288" s="692" t="n"/>
      <c r="BN288" s="692" t="n"/>
      <c r="BO288" s="692" t="n"/>
      <c r="BP288" s="692" t="n"/>
      <c r="BQ288" s="692" t="n"/>
    </row>
    <row r="289">
      <c r="A289" s="220" t="inlineStr">
        <is>
          <t>Male</t>
        </is>
      </c>
      <c r="B289" s="211" t="inlineStr">
        <is>
          <t>400 IM</t>
        </is>
      </c>
      <c r="C289" s="190" t="n">
        <v>2023</v>
      </c>
      <c r="D289" s="211" t="inlineStr">
        <is>
          <t>MAS</t>
        </is>
      </c>
      <c r="E289" s="221" t="n">
        <v>3</v>
      </c>
      <c r="F289" s="211" t="inlineStr">
        <is>
          <t>4:23.24</t>
        </is>
      </c>
      <c r="G289" s="211" t="n">
        <v>2004</v>
      </c>
      <c r="H289" s="211">
        <f>C289-G289</f>
        <v/>
      </c>
      <c r="I289" s="211" t="inlineStr">
        <is>
          <t>Tan Khai Xin</t>
        </is>
      </c>
      <c r="J289" s="211" t="n"/>
      <c r="K289" s="211" t="n"/>
      <c r="L289" s="213" t="n"/>
      <c r="M289" s="689" t="n"/>
      <c r="N289" s="689" t="n"/>
      <c r="O289" s="689" t="n"/>
      <c r="P289" s="227" t="n"/>
      <c r="Q289" s="689" t="n"/>
      <c r="R289" s="689" t="n"/>
      <c r="S289" s="689" t="n"/>
      <c r="T289" s="689" t="n"/>
      <c r="U289" s="689" t="n"/>
      <c r="V289" s="689" t="n"/>
      <c r="W289" s="689" t="n"/>
      <c r="X289" s="689" t="n"/>
      <c r="Y289" s="689" t="n"/>
      <c r="Z289" s="689" t="n"/>
      <c r="AA289" s="689" t="n"/>
      <c r="AB289" s="689" t="n"/>
      <c r="AC289" s="689" t="n"/>
      <c r="AD289" s="689" t="n"/>
      <c r="AF289" s="233" t="n"/>
      <c r="AG289" s="233" t="n"/>
      <c r="AH289" s="233" t="n"/>
      <c r="AI289" s="233" t="n"/>
      <c r="AJ289" s="233" t="n"/>
      <c r="AK289" s="233" t="n"/>
      <c r="AL289" s="233" t="n"/>
      <c r="AM289" s="233" t="n"/>
      <c r="AN289" s="233" t="n"/>
      <c r="AO289" s="233" t="n"/>
      <c r="AP289" s="233" t="n"/>
      <c r="AQ289" s="233" t="n"/>
      <c r="AR289" s="233" t="n"/>
      <c r="AS289" s="233" t="n"/>
      <c r="AT289" s="233" t="n"/>
      <c r="AU289" s="233" t="n"/>
      <c r="AV289" s="233" t="n"/>
      <c r="AW289" s="233" t="n"/>
      <c r="AX289" s="692" t="n"/>
      <c r="AY289" s="692" t="n"/>
      <c r="AZ289" s="692" t="n"/>
      <c r="BA289" s="692" t="n"/>
      <c r="BB289" s="692" t="n"/>
      <c r="BC289" s="692" t="n"/>
      <c r="BD289" s="692" t="n"/>
      <c r="BE289" s="692" t="n"/>
      <c r="BF289" s="692" t="n"/>
      <c r="BG289" s="692" t="n"/>
      <c r="BH289" s="692" t="n"/>
      <c r="BI289" s="692" t="n"/>
      <c r="BJ289" s="692" t="n"/>
      <c r="BK289" s="692" t="n"/>
      <c r="BL289" s="692" t="n"/>
      <c r="BM289" s="692" t="n"/>
      <c r="BN289" s="692" t="n"/>
      <c r="BO289" s="692" t="n"/>
      <c r="BP289" s="692" t="n"/>
      <c r="BQ289" s="692" t="n"/>
    </row>
    <row r="290">
      <c r="A290" s="218" t="inlineStr">
        <is>
          <t>Male</t>
        </is>
      </c>
      <c r="B290" s="215" t="inlineStr">
        <is>
          <t>400 Medley Relay</t>
        </is>
      </c>
      <c r="C290" s="189" t="n">
        <v>2019</v>
      </c>
      <c r="D290" s="215" t="inlineStr">
        <is>
          <t>SGP</t>
        </is>
      </c>
      <c r="E290" s="219" t="n">
        <v>1</v>
      </c>
      <c r="F290" s="215" t="inlineStr">
        <is>
          <t>3:38.63</t>
        </is>
      </c>
      <c r="G290" s="215" t="n"/>
      <c r="H290" s="215" t="n"/>
      <c r="I290" s="215" t="n"/>
      <c r="J290" s="215" t="n"/>
      <c r="K290" s="215" t="n"/>
      <c r="L290" s="217" t="n"/>
      <c r="M290" s="689" t="n"/>
      <c r="N290" s="689" t="n"/>
      <c r="O290" s="689" t="n"/>
      <c r="P290" s="227" t="n"/>
      <c r="Q290" s="689" t="n"/>
      <c r="R290" s="689" t="n"/>
      <c r="S290" s="689" t="n"/>
      <c r="T290" s="689" t="n"/>
      <c r="U290" s="689" t="n"/>
      <c r="V290" s="689" t="n"/>
      <c r="W290" s="689" t="n"/>
      <c r="X290" s="689" t="n"/>
      <c r="Y290" s="689" t="n"/>
      <c r="Z290" s="689" t="n"/>
      <c r="AA290" s="689" t="n"/>
      <c r="AB290" s="689" t="n"/>
      <c r="AC290" s="689" t="n"/>
      <c r="AD290" s="689" t="n"/>
      <c r="AF290" s="233" t="n"/>
      <c r="AG290" s="233" t="n"/>
      <c r="AH290" s="233" t="n"/>
      <c r="AI290" s="233" t="n"/>
      <c r="AJ290" s="233" t="n"/>
      <c r="AK290" s="233" t="n"/>
      <c r="AL290" s="233" t="n"/>
      <c r="AM290" s="233" t="n"/>
      <c r="AN290" s="233" t="n"/>
      <c r="AO290" s="233" t="n"/>
      <c r="AP290" s="233" t="n"/>
      <c r="AQ290" s="233" t="n"/>
      <c r="AR290" s="233" t="n"/>
      <c r="AS290" s="233" t="n"/>
      <c r="AT290" s="233" t="n"/>
      <c r="AU290" s="233" t="n"/>
      <c r="AV290" s="233" t="n"/>
      <c r="AW290" s="233" t="n"/>
      <c r="AX290" s="158" t="n"/>
      <c r="AY290" s="692" t="n"/>
      <c r="AZ290" s="692" t="n"/>
      <c r="BA290" s="692" t="n"/>
      <c r="BB290" s="692" t="n"/>
      <c r="BC290" s="692" t="n"/>
      <c r="BD290" s="692" t="n"/>
      <c r="BE290" s="692" t="n"/>
      <c r="BF290" s="692" t="n"/>
      <c r="BG290" s="692" t="n"/>
      <c r="BH290" s="692" t="n"/>
      <c r="BI290" s="692" t="n"/>
      <c r="BJ290" s="692" t="n"/>
      <c r="BK290" s="692" t="n"/>
      <c r="BL290" s="692" t="n"/>
      <c r="BM290" s="692" t="n"/>
      <c r="BN290" s="692" t="n"/>
      <c r="BO290" s="692" t="n"/>
      <c r="BP290" s="692" t="n"/>
      <c r="BQ290" s="692" t="n"/>
    </row>
    <row r="291">
      <c r="A291" s="220" t="inlineStr">
        <is>
          <t>Male</t>
        </is>
      </c>
      <c r="B291" s="211" t="inlineStr">
        <is>
          <t>400 Medley Relay</t>
        </is>
      </c>
      <c r="C291" s="190" t="n">
        <v>2019</v>
      </c>
      <c r="D291" s="211" t="inlineStr">
        <is>
          <t>IND</t>
        </is>
      </c>
      <c r="E291" s="221" t="n">
        <v>2</v>
      </c>
      <c r="F291" s="211" t="inlineStr">
        <is>
          <t>3:43.27</t>
        </is>
      </c>
      <c r="G291" s="211" t="n"/>
      <c r="H291" s="211" t="n"/>
      <c r="I291" s="211" t="n"/>
      <c r="J291" s="211" t="n"/>
      <c r="K291" s="211" t="n"/>
      <c r="L291" s="213" t="n"/>
      <c r="M291" s="689" t="n"/>
      <c r="N291" s="689" t="n"/>
      <c r="O291" s="689" t="n"/>
      <c r="P291" s="227" t="n"/>
      <c r="Q291" s="689" t="n"/>
      <c r="R291" s="689" t="n"/>
      <c r="S291" s="689" t="n"/>
      <c r="T291" s="689" t="n"/>
      <c r="U291" s="689" t="n"/>
      <c r="V291" s="689" t="n"/>
      <c r="W291" s="689" t="n"/>
      <c r="X291" s="689" t="n"/>
      <c r="Y291" s="689" t="n"/>
      <c r="Z291" s="689" t="n"/>
      <c r="AA291" s="689" t="n"/>
      <c r="AB291" s="689" t="n"/>
      <c r="AC291" s="689" t="n"/>
      <c r="AD291" s="689" t="n"/>
      <c r="AF291" s="233" t="n"/>
      <c r="AG291" s="233" t="n"/>
      <c r="AH291" s="233" t="n"/>
      <c r="AI291" s="233" t="n"/>
      <c r="AJ291" s="233" t="n"/>
      <c r="AK291" s="233" t="n"/>
      <c r="AL291" s="233" t="n"/>
      <c r="AM291" s="233" t="n"/>
      <c r="AN291" s="233" t="n"/>
      <c r="AO291" s="233" t="n"/>
      <c r="AP291" s="233" t="n"/>
      <c r="AQ291" s="233" t="n"/>
      <c r="AR291" s="233" t="n"/>
      <c r="AS291" s="233" t="n"/>
      <c r="AT291" s="233" t="n"/>
      <c r="AU291" s="233" t="n"/>
      <c r="AV291" s="233" t="n"/>
      <c r="AW291" s="233" t="n"/>
      <c r="AX291" s="692" t="n"/>
      <c r="AY291" s="692" t="n"/>
      <c r="AZ291" s="692" t="n"/>
      <c r="BA291" s="692" t="n"/>
      <c r="BB291" s="692" t="n"/>
      <c r="BC291" s="692" t="n"/>
      <c r="BD291" s="692" t="n"/>
      <c r="BE291" s="692" t="n"/>
      <c r="BF291" s="692" t="n"/>
      <c r="BG291" s="692" t="n"/>
      <c r="BH291" s="692" t="n"/>
      <c r="BI291" s="692" t="n"/>
      <c r="BJ291" s="692" t="n"/>
      <c r="BK291" s="692" t="n"/>
      <c r="BL291" s="692" t="n"/>
      <c r="BM291" s="692" t="n"/>
      <c r="BN291" s="692" t="n"/>
      <c r="BO291" s="692" t="n"/>
      <c r="BP291" s="692" t="n"/>
      <c r="BQ291" s="692" t="n"/>
    </row>
    <row r="292">
      <c r="A292" s="218" t="inlineStr">
        <is>
          <t>Male</t>
        </is>
      </c>
      <c r="B292" s="215" t="inlineStr">
        <is>
          <t>400 Medley Relay</t>
        </is>
      </c>
      <c r="C292" s="189" t="n">
        <v>2019</v>
      </c>
      <c r="D292" s="215" t="inlineStr">
        <is>
          <t>VIE</t>
        </is>
      </c>
      <c r="E292" s="219" t="n">
        <v>3</v>
      </c>
      <c r="F292" s="215" t="inlineStr">
        <is>
          <t>3:44.36</t>
        </is>
      </c>
      <c r="G292" s="215" t="n"/>
      <c r="H292" s="215" t="n"/>
      <c r="I292" s="215" t="n"/>
      <c r="J292" s="215" t="n"/>
      <c r="K292" s="215" t="n"/>
      <c r="L292" s="217" t="n"/>
      <c r="M292" s="689" t="n"/>
      <c r="N292" s="689" t="n"/>
      <c r="O292" s="689" t="n"/>
      <c r="P292" s="227" t="n"/>
      <c r="Q292" s="689" t="n"/>
      <c r="R292" s="689" t="n"/>
      <c r="S292" s="689" t="n"/>
      <c r="T292" s="689" t="n"/>
      <c r="U292" s="689" t="n"/>
      <c r="V292" s="689" t="n"/>
      <c r="W292" s="689" t="n"/>
      <c r="X292" s="689" t="n"/>
      <c r="Y292" s="689" t="n"/>
      <c r="Z292" s="689" t="n"/>
      <c r="AA292" s="689" t="n"/>
      <c r="AB292" s="689" t="n"/>
      <c r="AC292" s="689" t="n"/>
      <c r="AD292" s="689" t="n"/>
      <c r="AF292" s="233" t="n"/>
      <c r="AG292" s="233" t="n"/>
      <c r="AH292" s="233" t="n"/>
      <c r="AI292" s="233" t="n"/>
      <c r="AJ292" s="233" t="n"/>
      <c r="AK292" s="233" t="n"/>
      <c r="AL292" s="233" t="n"/>
      <c r="AM292" s="233" t="n"/>
      <c r="AN292" s="233" t="n"/>
      <c r="AO292" s="233" t="n"/>
      <c r="AP292" s="233" t="n"/>
      <c r="AQ292" s="233" t="n"/>
      <c r="AR292" s="233" t="n"/>
      <c r="AS292" s="233" t="n"/>
      <c r="AT292" s="233" t="n"/>
      <c r="AU292" s="233" t="n"/>
      <c r="AV292" s="233" t="n"/>
      <c r="AW292" s="233" t="n"/>
      <c r="AX292" s="692" t="n"/>
      <c r="AY292" s="692" t="n"/>
      <c r="AZ292" s="692" t="n"/>
      <c r="BA292" s="692" t="n"/>
      <c r="BB292" s="692" t="n"/>
      <c r="BC292" s="692" t="n"/>
      <c r="BD292" s="692" t="n"/>
      <c r="BE292" s="692" t="n"/>
      <c r="BF292" s="692" t="n"/>
      <c r="BG292" s="692" t="n"/>
      <c r="BH292" s="692" t="n"/>
      <c r="BI292" s="692" t="n"/>
      <c r="BJ292" s="692" t="n"/>
      <c r="BK292" s="692" t="n"/>
      <c r="BL292" s="692" t="n"/>
      <c r="BM292" s="692" t="n"/>
      <c r="BN292" s="692" t="n"/>
      <c r="BO292" s="692" t="n"/>
      <c r="BP292" s="692" t="n"/>
      <c r="BQ292" s="692" t="n"/>
    </row>
    <row r="293">
      <c r="A293" s="220" t="inlineStr">
        <is>
          <t>Male</t>
        </is>
      </c>
      <c r="B293" s="211" t="inlineStr">
        <is>
          <t>400 Medley Relay</t>
        </is>
      </c>
      <c r="C293" s="190" t="n">
        <v>2022</v>
      </c>
      <c r="D293" s="211" t="inlineStr">
        <is>
          <t>SGP</t>
        </is>
      </c>
      <c r="E293" s="221" t="n">
        <v>1</v>
      </c>
      <c r="F293" s="211" t="inlineStr">
        <is>
          <t>3:37.69</t>
        </is>
      </c>
      <c r="G293" s="211" t="n"/>
      <c r="H293" s="211" t="n"/>
      <c r="I293" s="211" t="n"/>
      <c r="J293" s="211" t="n"/>
      <c r="K293" s="211" t="n"/>
      <c r="L293" s="213" t="n"/>
      <c r="M293" s="689" t="n"/>
      <c r="N293" s="689" t="n"/>
      <c r="O293" s="689" t="n"/>
      <c r="P293" s="227" t="n"/>
      <c r="Q293" s="689" t="n"/>
      <c r="R293" s="689" t="n"/>
      <c r="S293" s="689" t="n"/>
      <c r="T293" s="689" t="n"/>
      <c r="U293" s="689" t="n"/>
      <c r="V293" s="689" t="n"/>
      <c r="W293" s="689" t="n"/>
      <c r="X293" s="689" t="n"/>
      <c r="Y293" s="689" t="n"/>
      <c r="Z293" s="689" t="n"/>
      <c r="AA293" s="689" t="n"/>
      <c r="AB293" s="689" t="n"/>
      <c r="AC293" s="689" t="n"/>
      <c r="AD293" s="689" t="n"/>
      <c r="AF293" s="233" t="n"/>
      <c r="AG293" s="233" t="n"/>
      <c r="AH293" s="233" t="n"/>
      <c r="AI293" s="233" t="n"/>
      <c r="AJ293" s="233" t="n"/>
      <c r="AK293" s="233" t="n"/>
      <c r="AL293" s="233" t="n"/>
      <c r="AM293" s="233" t="n"/>
      <c r="AN293" s="233" t="n"/>
      <c r="AO293" s="233" t="n"/>
      <c r="AP293" s="233" t="n"/>
      <c r="AQ293" s="233" t="n"/>
      <c r="AR293" s="233" t="n"/>
      <c r="AS293" s="233" t="n"/>
      <c r="AT293" s="233" t="n"/>
      <c r="AU293" s="233" t="n"/>
      <c r="AV293" s="233" t="n"/>
      <c r="AW293" s="233" t="n"/>
      <c r="AX293" s="692" t="n"/>
      <c r="AY293" s="692" t="n"/>
      <c r="AZ293" s="692" t="n"/>
      <c r="BA293" s="692" t="n"/>
      <c r="BB293" s="692" t="n"/>
      <c r="BC293" s="692" t="n"/>
      <c r="BD293" s="692" t="n"/>
      <c r="BE293" s="692" t="n"/>
      <c r="BF293" s="692" t="n"/>
      <c r="BG293" s="692" t="n"/>
      <c r="BH293" s="692" t="n"/>
      <c r="BI293" s="692" t="n"/>
      <c r="BJ293" s="692" t="n"/>
      <c r="BK293" s="692" t="n"/>
      <c r="BL293" s="692" t="n"/>
      <c r="BM293" s="692" t="n"/>
      <c r="BN293" s="692" t="n"/>
      <c r="BO293" s="692" t="n"/>
      <c r="BP293" s="692" t="n"/>
      <c r="BQ293" s="692" t="n"/>
    </row>
    <row r="294">
      <c r="A294" s="218" t="inlineStr">
        <is>
          <t>Male</t>
        </is>
      </c>
      <c r="B294" s="215" t="inlineStr">
        <is>
          <t>400 Medley Relay</t>
        </is>
      </c>
      <c r="C294" s="189" t="n">
        <v>2022</v>
      </c>
      <c r="D294" s="215" t="inlineStr">
        <is>
          <t>VIE</t>
        </is>
      </c>
      <c r="E294" s="219" t="n">
        <v>2</v>
      </c>
      <c r="F294" s="215" t="inlineStr">
        <is>
          <t>3:39.76</t>
        </is>
      </c>
      <c r="G294" s="215" t="n"/>
      <c r="H294" s="215" t="n"/>
      <c r="I294" s="215" t="n"/>
      <c r="J294" s="215" t="n"/>
      <c r="K294" s="215" t="n"/>
      <c r="L294" s="217" t="n"/>
      <c r="M294" s="689" t="n"/>
      <c r="N294" s="689" t="n"/>
      <c r="O294" s="689" t="n"/>
      <c r="P294" s="227" t="n"/>
      <c r="Q294" s="689" t="n"/>
      <c r="R294" s="689" t="n"/>
      <c r="S294" s="689" t="n"/>
      <c r="T294" s="689" t="n"/>
      <c r="U294" s="689" t="n"/>
      <c r="V294" s="689" t="n"/>
      <c r="W294" s="689" t="n"/>
      <c r="X294" s="689" t="n"/>
      <c r="Y294" s="689" t="n"/>
      <c r="Z294" s="689" t="n"/>
      <c r="AA294" s="689" t="n"/>
      <c r="AB294" s="689" t="n"/>
      <c r="AC294" s="689" t="n"/>
      <c r="AD294" s="689" t="n"/>
      <c r="AF294" s="233" t="n"/>
      <c r="AG294" s="233" t="n"/>
      <c r="AH294" s="233" t="n"/>
      <c r="AI294" s="233" t="n"/>
      <c r="AJ294" s="233" t="n"/>
      <c r="AK294" s="233" t="n"/>
      <c r="AL294" s="233" t="n"/>
      <c r="AM294" s="233" t="n"/>
      <c r="AN294" s="233" t="n"/>
      <c r="AO294" s="233" t="n"/>
      <c r="AP294" s="233" t="n"/>
      <c r="AQ294" s="233" t="n"/>
      <c r="AR294" s="233" t="n"/>
      <c r="AS294" s="233" t="n"/>
      <c r="AT294" s="233" t="n"/>
      <c r="AU294" s="233" t="n"/>
      <c r="AV294" s="233" t="n"/>
      <c r="AW294" s="233" t="n"/>
      <c r="AX294" s="158" t="n"/>
      <c r="AY294" s="692" t="n"/>
      <c r="AZ294" s="692" t="n"/>
      <c r="BA294" s="692" t="n"/>
      <c r="BB294" s="692" t="n"/>
      <c r="BC294" s="692" t="n"/>
      <c r="BD294" s="692" t="n"/>
      <c r="BE294" s="692" t="n"/>
      <c r="BF294" s="692" t="n"/>
      <c r="BG294" s="692" t="n"/>
      <c r="BH294" s="692" t="n"/>
      <c r="BI294" s="692" t="n"/>
      <c r="BJ294" s="692" t="n"/>
      <c r="BK294" s="692" t="n"/>
      <c r="BL294" s="692" t="n"/>
      <c r="BM294" s="692" t="n"/>
      <c r="BN294" s="692" t="n"/>
      <c r="BO294" s="692" t="n"/>
      <c r="BP294" s="692" t="n"/>
      <c r="BQ294" s="692" t="n"/>
    </row>
    <row r="295">
      <c r="A295" s="220" t="inlineStr">
        <is>
          <t>Male</t>
        </is>
      </c>
      <c r="B295" s="211" t="inlineStr">
        <is>
          <t>400 Medley Relay</t>
        </is>
      </c>
      <c r="C295" s="190" t="n">
        <v>2022</v>
      </c>
      <c r="D295" s="211" t="inlineStr">
        <is>
          <t>THA</t>
        </is>
      </c>
      <c r="E295" s="221" t="n">
        <v>3</v>
      </c>
      <c r="F295" s="211" t="inlineStr">
        <is>
          <t>3:43.67</t>
        </is>
      </c>
      <c r="G295" s="211" t="n"/>
      <c r="H295" s="211" t="n"/>
      <c r="I295" s="211" t="n"/>
      <c r="J295" s="211" t="n"/>
      <c r="K295" s="211" t="n"/>
      <c r="L295" s="213" t="n"/>
      <c r="M295" s="689" t="n"/>
      <c r="N295" s="689" t="n"/>
      <c r="O295" s="689" t="n"/>
      <c r="P295" s="227" t="n"/>
      <c r="Q295" s="689" t="n"/>
      <c r="R295" s="689" t="n"/>
      <c r="S295" s="689" t="n"/>
      <c r="T295" s="689" t="n"/>
      <c r="U295" s="689" t="n"/>
      <c r="V295" s="689" t="n"/>
      <c r="W295" s="689" t="n"/>
      <c r="X295" s="689" t="n"/>
      <c r="Y295" s="689" t="n"/>
      <c r="Z295" s="689" t="n"/>
      <c r="AA295" s="689" t="n"/>
      <c r="AB295" s="689" t="n"/>
      <c r="AC295" s="689" t="n"/>
      <c r="AD295" s="689" t="n"/>
      <c r="AF295" s="233" t="n"/>
      <c r="AG295" s="233" t="n"/>
      <c r="AH295" s="233" t="n"/>
      <c r="AI295" s="233" t="n"/>
      <c r="AJ295" s="233" t="n"/>
      <c r="AK295" s="233" t="n"/>
      <c r="AL295" s="233" t="n"/>
      <c r="AM295" s="233" t="n"/>
      <c r="AN295" s="233" t="n"/>
      <c r="AO295" s="233" t="n"/>
      <c r="AP295" s="233" t="n"/>
      <c r="AQ295" s="233" t="n"/>
      <c r="AR295" s="233" t="n"/>
      <c r="AS295" s="233" t="n"/>
      <c r="AT295" s="233" t="n"/>
      <c r="AU295" s="233" t="n"/>
      <c r="AV295" s="233" t="n"/>
      <c r="AW295" s="233" t="n"/>
      <c r="AX295" s="692" t="n"/>
    </row>
    <row r="296">
      <c r="A296" s="218" t="inlineStr">
        <is>
          <t>Male</t>
        </is>
      </c>
      <c r="B296" s="215" t="inlineStr">
        <is>
          <t>400 Medley Relay</t>
        </is>
      </c>
      <c r="C296" s="189" t="n">
        <v>2023</v>
      </c>
      <c r="D296" s="215" t="inlineStr">
        <is>
          <t>SGP</t>
        </is>
      </c>
      <c r="E296" s="219" t="n">
        <v>1</v>
      </c>
      <c r="F296" s="215" t="inlineStr">
        <is>
          <t>3:37.45</t>
        </is>
      </c>
      <c r="G296" s="215" t="n"/>
      <c r="H296" s="215" t="n"/>
      <c r="I296" s="215" t="n"/>
      <c r="J296" s="215" t="n"/>
      <c r="K296" s="215" t="n"/>
      <c r="L296" s="217" t="n"/>
      <c r="M296" s="689" t="n"/>
      <c r="N296" s="689" t="n"/>
      <c r="O296" s="689" t="n"/>
      <c r="P296" s="227" t="n"/>
      <c r="Q296" s="689" t="n"/>
      <c r="R296" s="689" t="n"/>
      <c r="S296" s="689" t="n"/>
      <c r="T296" s="689" t="n"/>
      <c r="U296" s="689" t="n"/>
      <c r="V296" s="689" t="n"/>
      <c r="W296" s="689" t="n"/>
      <c r="X296" s="689" t="n"/>
      <c r="Y296" s="689" t="n"/>
      <c r="Z296" s="689" t="n"/>
      <c r="AA296" s="689" t="n"/>
      <c r="AB296" s="689" t="n"/>
      <c r="AC296" s="689" t="n"/>
      <c r="AD296" s="689" t="n"/>
      <c r="AF296" s="233" t="n"/>
      <c r="AG296" s="233" t="n"/>
      <c r="AH296" s="233" t="n"/>
      <c r="AI296" s="233" t="n"/>
      <c r="AJ296" s="233" t="n"/>
      <c r="AK296" s="233" t="n"/>
      <c r="AL296" s="233" t="n"/>
      <c r="AM296" s="233" t="n"/>
      <c r="AN296" s="233" t="n"/>
      <c r="AO296" s="233" t="n"/>
      <c r="AP296" s="233" t="n"/>
      <c r="AQ296" s="233" t="n"/>
      <c r="AR296" s="233" t="n"/>
      <c r="AS296" s="233" t="n"/>
      <c r="AT296" s="233" t="n"/>
      <c r="AU296" s="233" t="n"/>
      <c r="AV296" s="233" t="n"/>
      <c r="AW296" s="233" t="n"/>
      <c r="AX296" s="692" t="n"/>
      <c r="AY296" s="692" t="n"/>
      <c r="AZ296" s="692" t="n"/>
      <c r="BA296" s="692" t="n"/>
      <c r="BB296" s="692" t="n"/>
      <c r="BC296" s="692" t="n"/>
      <c r="BD296" s="692" t="n"/>
      <c r="BE296" s="692" t="n"/>
      <c r="BF296" s="692" t="n"/>
      <c r="BG296" s="692" t="n"/>
      <c r="BH296" s="692" t="n"/>
      <c r="BI296" s="692" t="n"/>
      <c r="BJ296" s="692" t="n"/>
      <c r="BK296" s="692" t="n"/>
      <c r="BL296" s="692" t="n"/>
      <c r="BM296" s="692" t="n"/>
      <c r="BN296" s="692" t="n"/>
      <c r="BO296" s="692" t="n"/>
      <c r="BP296" s="692" t="n"/>
      <c r="BQ296" s="692" t="n"/>
    </row>
    <row r="297">
      <c r="A297" s="220" t="inlineStr">
        <is>
          <t>Male</t>
        </is>
      </c>
      <c r="B297" s="211" t="inlineStr">
        <is>
          <t>400 Medley Relay</t>
        </is>
      </c>
      <c r="C297" s="190" t="n">
        <v>2023</v>
      </c>
      <c r="D297" s="211" t="inlineStr">
        <is>
          <t>THA</t>
        </is>
      </c>
      <c r="E297" s="221" t="n">
        <v>2</v>
      </c>
      <c r="F297" s="211" t="inlineStr">
        <is>
          <t>3:41.75</t>
        </is>
      </c>
      <c r="G297" s="211" t="n"/>
      <c r="H297" s="211" t="n"/>
      <c r="I297" s="211" t="n"/>
      <c r="J297" s="211" t="n"/>
      <c r="K297" s="211" t="n"/>
      <c r="L297" s="213" t="n"/>
      <c r="M297" s="689" t="n"/>
      <c r="N297" s="689" t="n"/>
      <c r="O297" s="689" t="n"/>
      <c r="P297" s="227" t="n"/>
      <c r="Q297" s="689" t="n"/>
      <c r="R297" s="689" t="n"/>
      <c r="S297" s="689" t="n"/>
      <c r="T297" s="689" t="n"/>
      <c r="U297" s="689" t="n"/>
      <c r="V297" s="689" t="n"/>
      <c r="W297" s="689" t="n"/>
      <c r="X297" s="689" t="n"/>
      <c r="Y297" s="689" t="n"/>
      <c r="Z297" s="689" t="n"/>
      <c r="AA297" s="689" t="n"/>
      <c r="AB297" s="689" t="n"/>
      <c r="AC297" s="689" t="n"/>
      <c r="AD297" s="689" t="n"/>
      <c r="AF297" s="233" t="n"/>
      <c r="AG297" s="233" t="n"/>
      <c r="AH297" s="233" t="n"/>
      <c r="AI297" s="233" t="n"/>
      <c r="AJ297" s="233" t="n"/>
      <c r="AK297" s="233" t="n"/>
      <c r="AL297" s="233" t="n"/>
      <c r="AM297" s="233" t="n"/>
      <c r="AN297" s="233" t="n"/>
      <c r="AO297" s="233" t="n"/>
      <c r="AP297" s="233" t="n"/>
      <c r="AQ297" s="233" t="n"/>
      <c r="AR297" s="233" t="n"/>
      <c r="AS297" s="233" t="n"/>
      <c r="AT297" s="233" t="n"/>
      <c r="AU297" s="233" t="n"/>
      <c r="AV297" s="233" t="n"/>
      <c r="AW297" s="233" t="n"/>
      <c r="AX297" s="129" t="n"/>
      <c r="AY297" s="692" t="n"/>
      <c r="AZ297" s="692" t="n"/>
      <c r="BA297" s="692" t="n"/>
      <c r="BB297" s="692" t="n"/>
      <c r="BC297" s="692" t="n"/>
      <c r="BD297" s="692" t="n"/>
      <c r="BE297" s="692" t="n"/>
      <c r="BF297" s="692" t="n"/>
      <c r="BG297" s="692" t="n"/>
      <c r="BH297" s="692" t="n"/>
      <c r="BI297" s="692" t="n"/>
      <c r="BJ297" s="692" t="n"/>
      <c r="BK297" s="692" t="n"/>
      <c r="BL297" s="692" t="n"/>
      <c r="BM297" s="692" t="n"/>
      <c r="BN297" s="692" t="n"/>
      <c r="BO297" s="692" t="n"/>
      <c r="BP297" s="692" t="n"/>
      <c r="BQ297" s="692" t="n"/>
    </row>
    <row r="298">
      <c r="A298" s="218" t="inlineStr">
        <is>
          <t>Male</t>
        </is>
      </c>
      <c r="B298" s="215" t="inlineStr">
        <is>
          <t>400 Medley Relay</t>
        </is>
      </c>
      <c r="C298" s="189" t="n">
        <v>2023</v>
      </c>
      <c r="D298" s="215" t="inlineStr">
        <is>
          <t>IND</t>
        </is>
      </c>
      <c r="E298" s="219" t="n">
        <v>3</v>
      </c>
      <c r="F298" s="215" t="inlineStr">
        <is>
          <t>3:41.92</t>
        </is>
      </c>
      <c r="G298" s="215" t="n"/>
      <c r="H298" s="215" t="n"/>
      <c r="I298" s="215" t="n"/>
      <c r="J298" s="215" t="n"/>
      <c r="K298" s="215" t="n"/>
      <c r="L298" s="217" t="n"/>
      <c r="M298" s="689" t="n"/>
      <c r="N298" s="689" t="n"/>
      <c r="O298" s="689" t="n"/>
      <c r="P298" s="227" t="n"/>
      <c r="Q298" s="689" t="n"/>
      <c r="R298" s="689" t="n"/>
      <c r="S298" s="689" t="n"/>
      <c r="T298" s="689" t="n"/>
      <c r="U298" s="689" t="n"/>
      <c r="V298" s="689" t="n"/>
      <c r="W298" s="689" t="n"/>
      <c r="X298" s="689" t="n"/>
      <c r="Y298" s="689" t="n"/>
      <c r="Z298" s="689" t="n"/>
      <c r="AA298" s="689" t="n"/>
      <c r="AB298" s="689" t="n"/>
      <c r="AC298" s="689" t="n"/>
      <c r="AD298" s="689" t="n"/>
      <c r="AF298" s="233" t="n"/>
      <c r="AG298" s="233" t="n"/>
      <c r="AH298" s="233" t="n"/>
      <c r="AI298" s="233" t="n"/>
      <c r="AJ298" s="233" t="n"/>
      <c r="AK298" s="233" t="n"/>
      <c r="AL298" s="233" t="n"/>
      <c r="AM298" s="233" t="n"/>
      <c r="AN298" s="233" t="n"/>
      <c r="AO298" s="233" t="n"/>
      <c r="AP298" s="233" t="n"/>
      <c r="AQ298" s="233" t="n"/>
      <c r="AR298" s="233" t="n"/>
      <c r="AS298" s="233" t="n"/>
      <c r="AT298" s="233" t="n"/>
      <c r="AU298" s="233" t="n"/>
      <c r="AV298" s="233" t="n"/>
      <c r="AW298" s="233" t="n"/>
      <c r="AX298" s="692" t="n"/>
      <c r="AY298" s="692" t="n"/>
      <c r="AZ298" s="692" t="n"/>
      <c r="BA298" s="692" t="n"/>
      <c r="BB298" s="692" t="n"/>
      <c r="BC298" s="692" t="n"/>
      <c r="BD298" s="692" t="n"/>
      <c r="BE298" s="692" t="n"/>
      <c r="BF298" s="692" t="n"/>
      <c r="BG298" s="692" t="n"/>
      <c r="BH298" s="692" t="n"/>
      <c r="BI298" s="692" t="n"/>
      <c r="BJ298" s="692" t="n"/>
      <c r="BK298" s="692" t="n"/>
      <c r="BL298" s="692" t="n"/>
      <c r="BM298" s="692" t="n"/>
      <c r="BN298" s="692" t="n"/>
      <c r="BO298" s="692" t="n"/>
      <c r="BP298" s="692" t="n"/>
      <c r="BQ298" s="692" t="n"/>
    </row>
    <row r="299">
      <c r="A299" s="220" t="inlineStr">
        <is>
          <t>Male</t>
        </is>
      </c>
      <c r="B299" s="211" t="inlineStr">
        <is>
          <t>50 Back</t>
        </is>
      </c>
      <c r="C299" s="190" t="n">
        <v>2019</v>
      </c>
      <c r="D299" s="211" t="inlineStr">
        <is>
          <t>IND</t>
        </is>
      </c>
      <c r="E299" s="221" t="n">
        <v>1</v>
      </c>
      <c r="F299" s="211" t="inlineStr">
        <is>
          <t>25.12</t>
        </is>
      </c>
      <c r="G299" s="215" t="n">
        <v>1994</v>
      </c>
      <c r="H299" s="215">
        <f>C299-G299</f>
        <v/>
      </c>
      <c r="I299" s="215" t="inlineStr">
        <is>
          <t>I Gede Siman Sudartawa</t>
        </is>
      </c>
      <c r="J299" s="215" t="n"/>
      <c r="K299" s="215" t="n"/>
      <c r="L299" s="213" t="n"/>
      <c r="M299" s="689" t="n"/>
      <c r="N299" s="689" t="n"/>
      <c r="O299" s="689" t="n"/>
      <c r="P299" s="227" t="n"/>
      <c r="Q299" s="689" t="n"/>
      <c r="R299" s="689" t="n"/>
      <c r="S299" s="689" t="n"/>
      <c r="T299" s="689" t="n"/>
      <c r="U299" s="689" t="n"/>
      <c r="V299" s="689" t="n"/>
      <c r="W299" s="689" t="n"/>
      <c r="X299" s="689" t="n"/>
      <c r="Y299" s="689" t="n"/>
      <c r="Z299" s="689" t="n"/>
      <c r="AA299" s="689" t="n"/>
      <c r="AB299" s="689" t="n"/>
      <c r="AC299" s="689" t="n"/>
      <c r="AD299" s="689" t="n"/>
      <c r="AF299" s="233" t="n"/>
      <c r="AG299" s="233" t="n"/>
      <c r="AH299" s="233" t="n"/>
      <c r="AI299" s="233" t="n"/>
      <c r="AJ299" s="233" t="n"/>
      <c r="AK299" s="233" t="n"/>
      <c r="AL299" s="233" t="n"/>
      <c r="AM299" s="233" t="n"/>
      <c r="AN299" s="233" t="n"/>
      <c r="AO299" s="233" t="n"/>
      <c r="AP299" s="233" t="n"/>
      <c r="AQ299" s="233" t="n"/>
      <c r="AR299" s="233" t="n"/>
      <c r="AS299" s="233" t="n"/>
      <c r="AT299" s="233" t="n"/>
      <c r="AU299" s="233" t="n"/>
      <c r="AV299" s="233" t="n"/>
      <c r="AW299" s="233" t="n"/>
      <c r="AX299" s="692" t="n"/>
      <c r="AY299" s="692" t="n"/>
      <c r="AZ299" s="692" t="n"/>
      <c r="BA299" s="692" t="n"/>
      <c r="BB299" s="692" t="n"/>
      <c r="BC299" s="692" t="n"/>
      <c r="BD299" s="692" t="n"/>
      <c r="BE299" s="692" t="n"/>
      <c r="BF299" s="692" t="n"/>
      <c r="BG299" s="692" t="n"/>
      <c r="BH299" s="692" t="n"/>
      <c r="BI299" s="692" t="n"/>
      <c r="BJ299" s="692" t="n"/>
      <c r="BK299" s="692" t="n"/>
      <c r="BL299" s="692" t="n"/>
      <c r="BM299" s="692" t="n"/>
      <c r="BN299" s="692" t="n"/>
      <c r="BO299" s="692" t="n"/>
      <c r="BP299" s="692" t="n"/>
      <c r="BQ299" s="692" t="n"/>
    </row>
    <row r="300">
      <c r="A300" s="218" t="inlineStr">
        <is>
          <t>Male</t>
        </is>
      </c>
      <c r="B300" s="215" t="inlineStr">
        <is>
          <t>50 Back</t>
        </is>
      </c>
      <c r="C300" s="189" t="n">
        <v>2019</v>
      </c>
      <c r="D300" s="215" t="inlineStr">
        <is>
          <t>SGP</t>
        </is>
      </c>
      <c r="E300" s="219" t="n">
        <v>2</v>
      </c>
      <c r="F300" s="215" t="inlineStr">
        <is>
          <t>25.65</t>
        </is>
      </c>
      <c r="G300" s="197" t="n">
        <v>1996</v>
      </c>
      <c r="H300" s="197">
        <f>C300-G300</f>
        <v/>
      </c>
      <c r="I300" s="201" t="inlineStr">
        <is>
          <t>Zheng Wen Quah</t>
        </is>
      </c>
      <c r="J300" s="206" t="inlineStr">
        <is>
          <t>California Berkeley</t>
        </is>
      </c>
      <c r="K300" s="206" t="inlineStr">
        <is>
          <t>USA</t>
        </is>
      </c>
      <c r="L300" s="217" t="n"/>
      <c r="M300" s="689" t="n"/>
      <c r="N300" s="689" t="n"/>
      <c r="O300" s="689" t="n"/>
      <c r="P300" s="227" t="n"/>
      <c r="Q300" s="689" t="n"/>
      <c r="R300" s="689" t="n"/>
      <c r="S300" s="689" t="n"/>
      <c r="T300" s="689" t="n"/>
      <c r="U300" s="689" t="n"/>
      <c r="V300" s="689" t="n"/>
      <c r="W300" s="689" t="n"/>
      <c r="X300" s="689" t="n"/>
      <c r="Y300" s="689" t="n"/>
      <c r="Z300" s="689" t="n"/>
      <c r="AA300" s="689" t="n"/>
      <c r="AB300" s="689" t="n"/>
      <c r="AC300" s="689" t="n"/>
      <c r="AD300" s="689" t="n"/>
      <c r="AF300" s="233" t="n"/>
      <c r="AG300" s="233" t="n"/>
      <c r="AH300" s="233" t="n"/>
      <c r="AI300" s="233" t="n"/>
      <c r="AJ300" s="233" t="n"/>
      <c r="AK300" s="233" t="n"/>
      <c r="AL300" s="233" t="n"/>
      <c r="AM300" s="233" t="n"/>
      <c r="AN300" s="233" t="n"/>
      <c r="AO300" s="233" t="n"/>
      <c r="AP300" s="233" t="n"/>
      <c r="AQ300" s="233" t="n"/>
      <c r="AR300" s="233" t="n"/>
      <c r="AS300" s="233" t="n"/>
      <c r="AT300" s="233" t="n"/>
      <c r="AU300" s="233" t="n"/>
      <c r="AV300" s="233" t="n"/>
      <c r="AW300" s="233" t="n"/>
      <c r="AX300" s="158" t="n"/>
      <c r="AY300" s="692" t="n"/>
      <c r="AZ300" s="692" t="n"/>
      <c r="BA300" s="692" t="n"/>
      <c r="BB300" s="692" t="n"/>
      <c r="BC300" s="692" t="n"/>
      <c r="BD300" s="692" t="n"/>
      <c r="BE300" s="692" t="n"/>
      <c r="BF300" s="692" t="n"/>
      <c r="BG300" s="692" t="n"/>
      <c r="BH300" s="692" t="n"/>
      <c r="BI300" s="692" t="n"/>
      <c r="BJ300" s="692" t="n"/>
      <c r="BK300" s="692" t="n"/>
      <c r="BL300" s="692" t="n"/>
      <c r="BM300" s="692" t="n"/>
      <c r="BN300" s="692" t="n"/>
      <c r="BO300" s="692" t="n"/>
      <c r="BP300" s="692" t="n"/>
      <c r="BQ300" s="692" t="n"/>
    </row>
    <row r="301">
      <c r="A301" s="220" t="inlineStr">
        <is>
          <t>Male</t>
        </is>
      </c>
      <c r="B301" s="211" t="inlineStr">
        <is>
          <t>50 Back</t>
        </is>
      </c>
      <c r="C301" s="190" t="n">
        <v>2019</v>
      </c>
      <c r="D301" s="211" t="inlineStr">
        <is>
          <t>VIE</t>
        </is>
      </c>
      <c r="E301" s="221" t="n">
        <v>3</v>
      </c>
      <c r="F301" s="211" t="inlineStr">
        <is>
          <t>25.73</t>
        </is>
      </c>
      <c r="G301" s="197" t="n">
        <v>1992</v>
      </c>
      <c r="H301" s="197">
        <f>C301-G301</f>
        <v/>
      </c>
      <c r="I301" s="201" t="inlineStr">
        <is>
          <t>Paul LE Nguyen</t>
        </is>
      </c>
      <c r="J301" s="201" t="inlineStr">
        <is>
          <t>Missouri State</t>
        </is>
      </c>
      <c r="K301" s="201" t="inlineStr">
        <is>
          <t>USA</t>
        </is>
      </c>
      <c r="L301" s="203" t="inlineStr">
        <is>
          <t>USA</t>
        </is>
      </c>
      <c r="M301" s="689" t="n"/>
      <c r="N301" s="689" t="n"/>
      <c r="O301" s="689" t="n"/>
      <c r="P301" s="227" t="n"/>
      <c r="Q301" s="689" t="n"/>
      <c r="R301" s="689" t="n"/>
      <c r="S301" s="689" t="n"/>
      <c r="T301" s="689" t="n"/>
      <c r="U301" s="689" t="n"/>
      <c r="V301" s="689" t="n"/>
      <c r="W301" s="689" t="n"/>
      <c r="X301" s="689" t="n"/>
      <c r="Y301" s="689" t="n"/>
      <c r="Z301" s="689" t="n"/>
      <c r="AA301" s="689" t="n"/>
      <c r="AB301" s="689" t="n"/>
      <c r="AC301" s="689" t="n"/>
      <c r="AD301" s="689" t="n"/>
      <c r="AF301" s="233" t="n"/>
      <c r="AG301" s="233" t="n"/>
      <c r="AH301" s="233" t="n"/>
      <c r="AI301" s="233" t="n"/>
      <c r="AJ301" s="233" t="n"/>
      <c r="AK301" s="233" t="n"/>
      <c r="AL301" s="233" t="n"/>
      <c r="AM301" s="233" t="n"/>
      <c r="AN301" s="233" t="n"/>
      <c r="AO301" s="233" t="n"/>
      <c r="AP301" s="233" t="n"/>
      <c r="AQ301" s="233" t="n"/>
      <c r="AR301" s="233" t="n"/>
      <c r="AS301" s="233" t="n"/>
      <c r="AT301" s="233" t="n"/>
      <c r="AU301" s="233" t="n"/>
      <c r="AV301" s="233" t="n"/>
      <c r="AW301" s="233" t="n"/>
      <c r="AX301" s="158" t="n"/>
      <c r="AY301" s="692" t="n"/>
      <c r="AZ301" s="692" t="n"/>
      <c r="BA301" s="692" t="n"/>
      <c r="BB301" s="692" t="n"/>
      <c r="BC301" s="692" t="n"/>
      <c r="BD301" s="692" t="n"/>
      <c r="BE301" s="692" t="n"/>
      <c r="BF301" s="692" t="n"/>
      <c r="BG301" s="692" t="n"/>
      <c r="BH301" s="692" t="n"/>
      <c r="BI301" s="692" t="n"/>
      <c r="BJ301" s="692" t="n"/>
      <c r="BK301" s="692" t="n"/>
      <c r="BL301" s="692" t="n"/>
      <c r="BM301" s="692" t="n"/>
      <c r="BN301" s="692" t="n"/>
      <c r="BO301" s="692" t="n"/>
      <c r="BP301" s="692" t="n"/>
      <c r="BQ301" s="692" t="n"/>
    </row>
    <row r="302">
      <c r="A302" s="218" t="inlineStr">
        <is>
          <t>Male</t>
        </is>
      </c>
      <c r="B302" s="215" t="inlineStr">
        <is>
          <t>50 Back</t>
        </is>
      </c>
      <c r="C302" s="189" t="n">
        <v>2022</v>
      </c>
      <c r="D302" s="215" t="inlineStr">
        <is>
          <t>SGP</t>
        </is>
      </c>
      <c r="E302" s="219" t="n">
        <v>1</v>
      </c>
      <c r="F302" s="215" t="inlineStr">
        <is>
          <t>25.83</t>
        </is>
      </c>
      <c r="G302" s="202" t="n">
        <v>1996</v>
      </c>
      <c r="H302" s="202">
        <f>C302-G302</f>
        <v/>
      </c>
      <c r="I302" s="206" t="inlineStr">
        <is>
          <t>Zheng Wen Quah</t>
        </is>
      </c>
      <c r="J302" s="206" t="inlineStr">
        <is>
          <t>California Berkeley</t>
        </is>
      </c>
      <c r="K302" s="206" t="inlineStr">
        <is>
          <t>USA</t>
        </is>
      </c>
      <c r="L302" s="217" t="n"/>
      <c r="M302" s="689" t="n"/>
      <c r="N302" s="689" t="n"/>
      <c r="O302" s="689" t="n"/>
      <c r="P302" s="227" t="n"/>
      <c r="Q302" s="689" t="n"/>
      <c r="R302" s="689" t="n"/>
      <c r="S302" s="689" t="n"/>
      <c r="T302" s="689" t="n"/>
      <c r="U302" s="689" t="n"/>
      <c r="V302" s="689" t="n"/>
      <c r="W302" s="689" t="n"/>
      <c r="X302" s="689" t="n"/>
      <c r="Y302" s="689" t="n"/>
      <c r="Z302" s="689" t="n"/>
      <c r="AA302" s="689" t="n"/>
      <c r="AB302" s="689" t="n"/>
      <c r="AC302" s="689" t="n"/>
      <c r="AD302" s="689" t="n"/>
      <c r="AF302" s="233" t="n"/>
      <c r="AG302" s="233" t="n"/>
      <c r="AH302" s="233" t="n"/>
      <c r="AI302" s="233" t="n"/>
      <c r="AJ302" s="233" t="n"/>
      <c r="AK302" s="233" t="n"/>
      <c r="AL302" s="233" t="n"/>
      <c r="AM302" s="233" t="n"/>
      <c r="AN302" s="233" t="n"/>
      <c r="AO302" s="233" t="n"/>
      <c r="AP302" s="233" t="n"/>
      <c r="AQ302" s="233" t="n"/>
      <c r="AR302" s="233" t="n"/>
      <c r="AS302" s="233" t="n"/>
      <c r="AT302" s="233" t="n"/>
      <c r="AU302" s="233" t="n"/>
      <c r="AV302" s="233" t="n"/>
      <c r="AW302" s="233" t="n"/>
      <c r="AX302" s="692" t="n"/>
      <c r="AY302" s="692" t="n"/>
      <c r="AZ302" s="692" t="n"/>
      <c r="BA302" s="692" t="n"/>
      <c r="BB302" s="692" t="n"/>
      <c r="BC302" s="692" t="n"/>
      <c r="BD302" s="692" t="n"/>
      <c r="BE302" s="692" t="n"/>
      <c r="BF302" s="692" t="n"/>
      <c r="BG302" s="692" t="n"/>
      <c r="BH302" s="692" t="n"/>
      <c r="BI302" s="692" t="n"/>
      <c r="BJ302" s="692" t="n"/>
      <c r="BK302" s="692" t="n"/>
      <c r="BL302" s="692" t="n"/>
      <c r="BM302" s="692" t="n"/>
      <c r="BN302" s="692" t="n"/>
      <c r="BO302" s="692" t="n"/>
      <c r="BP302" s="692" t="n"/>
      <c r="BQ302" s="692" t="n"/>
    </row>
    <row r="303">
      <c r="A303" s="220" t="inlineStr">
        <is>
          <t>Male</t>
        </is>
      </c>
      <c r="B303" s="211" t="inlineStr">
        <is>
          <t>50 Back</t>
        </is>
      </c>
      <c r="C303" s="190" t="n">
        <v>2022</v>
      </c>
      <c r="D303" s="211" t="inlineStr">
        <is>
          <t>VIE</t>
        </is>
      </c>
      <c r="E303" s="221" t="n">
        <v>2</v>
      </c>
      <c r="F303" s="211" t="inlineStr">
        <is>
          <t>25.86</t>
        </is>
      </c>
      <c r="G303" s="197" t="n">
        <v>1992</v>
      </c>
      <c r="H303" s="197">
        <f>C303-G303</f>
        <v/>
      </c>
      <c r="I303" s="201" t="inlineStr">
        <is>
          <t>Paul LE Nguyen</t>
        </is>
      </c>
      <c r="J303" s="201" t="inlineStr">
        <is>
          <t>Missouri State</t>
        </is>
      </c>
      <c r="K303" s="201" t="inlineStr">
        <is>
          <t>USA</t>
        </is>
      </c>
      <c r="L303" s="203" t="inlineStr">
        <is>
          <t>USA</t>
        </is>
      </c>
      <c r="M303" s="689" t="n"/>
      <c r="N303" s="689" t="n"/>
      <c r="O303" s="689" t="n"/>
      <c r="P303" s="227" t="n"/>
      <c r="Q303" s="689" t="n"/>
      <c r="R303" s="689" t="n"/>
      <c r="S303" s="689" t="n"/>
      <c r="T303" s="689" t="n"/>
      <c r="U303" s="689" t="n"/>
      <c r="V303" s="689" t="n"/>
      <c r="W303" s="689" t="n"/>
      <c r="X303" s="689" t="n"/>
      <c r="Y303" s="689" t="n"/>
      <c r="Z303" s="689" t="n"/>
      <c r="AA303" s="689" t="n"/>
      <c r="AB303" s="689" t="n"/>
      <c r="AC303" s="689" t="n"/>
      <c r="AD303" s="689" t="n"/>
      <c r="AF303" s="233" t="n"/>
      <c r="AG303" s="233" t="n"/>
      <c r="AH303" s="233" t="n"/>
      <c r="AI303" s="233" t="n"/>
      <c r="AJ303" s="233" t="n"/>
      <c r="AK303" s="233" t="n"/>
      <c r="AL303" s="233" t="n"/>
      <c r="AM303" s="233" t="n"/>
      <c r="AN303" s="233" t="n"/>
      <c r="AO303" s="233" t="n"/>
      <c r="AP303" s="233" t="n"/>
      <c r="AQ303" s="233" t="n"/>
      <c r="AR303" s="233" t="n"/>
      <c r="AS303" s="233" t="n"/>
      <c r="AT303" s="233" t="n"/>
      <c r="AU303" s="233" t="n"/>
      <c r="AV303" s="233" t="n"/>
      <c r="AW303" s="233" t="n"/>
      <c r="AX303" s="692" t="n"/>
      <c r="AY303" s="692" t="n"/>
      <c r="AZ303" s="692" t="n"/>
      <c r="BA303" s="692" t="n"/>
      <c r="BB303" s="692" t="n"/>
      <c r="BC303" s="692" t="n"/>
      <c r="BD303" s="692" t="n"/>
      <c r="BE303" s="692" t="n"/>
      <c r="BF303" s="692" t="n"/>
      <c r="BG303" s="692" t="n"/>
      <c r="BH303" s="692" t="n"/>
      <c r="BI303" s="692" t="n"/>
      <c r="BJ303" s="692" t="n"/>
      <c r="BK303" s="692" t="n"/>
      <c r="BL303" s="692" t="n"/>
      <c r="BM303" s="692" t="n"/>
      <c r="BN303" s="692" t="n"/>
      <c r="BO303" s="692" t="n"/>
      <c r="BP303" s="692" t="n"/>
      <c r="BQ303" s="692" t="n"/>
    </row>
    <row r="304">
      <c r="A304" s="218" t="inlineStr">
        <is>
          <t>Male</t>
        </is>
      </c>
      <c r="B304" s="215" t="inlineStr">
        <is>
          <t>50 Back</t>
        </is>
      </c>
      <c r="C304" s="189" t="n">
        <v>2022</v>
      </c>
      <c r="D304" s="215" t="inlineStr">
        <is>
          <t>IND</t>
        </is>
      </c>
      <c r="E304" s="219" t="n">
        <v>3</v>
      </c>
      <c r="F304" s="215" t="inlineStr">
        <is>
          <t>25.88</t>
        </is>
      </c>
      <c r="G304" s="215" t="n">
        <v>1994</v>
      </c>
      <c r="H304" s="202">
        <f>C304-G304</f>
        <v/>
      </c>
      <c r="I304" s="215" t="inlineStr">
        <is>
          <t>Siman SUDARTAWA I</t>
        </is>
      </c>
      <c r="J304" s="215" t="n"/>
      <c r="K304" s="215" t="n"/>
      <c r="L304" s="217" t="n"/>
      <c r="M304" s="689" t="n"/>
      <c r="N304" s="689" t="n"/>
      <c r="O304" s="689" t="n"/>
      <c r="P304" s="227" t="n"/>
      <c r="Q304" s="689" t="n"/>
      <c r="R304" s="689" t="n"/>
      <c r="S304" s="689" t="n"/>
      <c r="T304" s="689" t="n"/>
      <c r="U304" s="689" t="n"/>
      <c r="V304" s="689" t="n"/>
      <c r="W304" s="689" t="n"/>
      <c r="X304" s="689" t="n"/>
      <c r="Y304" s="689" t="n"/>
      <c r="Z304" s="689" t="n"/>
      <c r="AA304" s="689" t="n"/>
      <c r="AB304" s="689" t="n"/>
      <c r="AC304" s="689" t="n"/>
      <c r="AD304" s="689" t="n"/>
      <c r="AF304" s="233" t="n"/>
      <c r="AG304" s="233" t="n"/>
      <c r="AH304" s="233" t="n"/>
      <c r="AI304" s="233" t="n"/>
      <c r="AJ304" s="233" t="n"/>
      <c r="AK304" s="233" t="n"/>
      <c r="AL304" s="233" t="n"/>
      <c r="AM304" s="233" t="n"/>
      <c r="AN304" s="233" t="n"/>
      <c r="AO304" s="233" t="n"/>
      <c r="AP304" s="233" t="n"/>
      <c r="AQ304" s="233" t="n"/>
      <c r="AR304" s="233" t="n"/>
      <c r="AS304" s="233" t="n"/>
      <c r="AT304" s="233" t="n"/>
      <c r="AU304" s="233" t="n"/>
      <c r="AV304" s="233" t="n"/>
      <c r="AW304" s="233" t="n"/>
      <c r="AX304" s="692" t="n"/>
      <c r="AY304" s="692" t="n"/>
      <c r="AZ304" s="692" t="n"/>
      <c r="BA304" s="692" t="n"/>
      <c r="BB304" s="692" t="n"/>
      <c r="BC304" s="692" t="n"/>
      <c r="BD304" s="692" t="n"/>
      <c r="BE304" s="692" t="n"/>
      <c r="BF304" s="692" t="n"/>
      <c r="BG304" s="692" t="n"/>
      <c r="BH304" s="692" t="n"/>
      <c r="BI304" s="692" t="n"/>
      <c r="BJ304" s="692" t="n"/>
      <c r="BK304" s="692" t="n"/>
      <c r="BL304" s="692" t="n"/>
      <c r="BM304" s="692" t="n"/>
      <c r="BN304" s="692" t="n"/>
      <c r="BO304" s="692" t="n"/>
      <c r="BP304" s="692" t="n"/>
      <c r="BQ304" s="692" t="n"/>
    </row>
    <row r="305">
      <c r="A305" s="220" t="inlineStr">
        <is>
          <t>Male</t>
        </is>
      </c>
      <c r="B305" s="211" t="inlineStr">
        <is>
          <t>50 Back</t>
        </is>
      </c>
      <c r="C305" s="190" t="n">
        <v>2023</v>
      </c>
      <c r="D305" s="211" t="inlineStr">
        <is>
          <t>IND</t>
        </is>
      </c>
      <c r="E305" s="221" t="n">
        <v>1</v>
      </c>
      <c r="F305" s="211" t="inlineStr">
        <is>
          <t>25.16</t>
        </is>
      </c>
      <c r="G305" s="211" t="n">
        <v>1994</v>
      </c>
      <c r="H305" s="211">
        <f>C305-G305</f>
        <v/>
      </c>
      <c r="I305" s="211" t="inlineStr">
        <is>
          <t>I Gede Siman Sudartawa</t>
        </is>
      </c>
      <c r="J305" s="211" t="n"/>
      <c r="K305" s="211" t="n"/>
      <c r="L305" s="213" t="n"/>
      <c r="M305" s="689" t="n"/>
      <c r="N305" s="689" t="n"/>
      <c r="O305" s="689" t="n"/>
      <c r="P305" s="227" t="n"/>
      <c r="Q305" s="689" t="n"/>
      <c r="R305" s="689" t="n"/>
      <c r="S305" s="689" t="n"/>
      <c r="T305" s="689" t="n"/>
      <c r="U305" s="689" t="n"/>
      <c r="V305" s="689" t="n"/>
      <c r="W305" s="689" t="n"/>
      <c r="X305" s="689" t="n"/>
      <c r="Y305" s="689" t="n"/>
      <c r="Z305" s="689" t="n"/>
      <c r="AA305" s="689" t="n"/>
      <c r="AB305" s="689" t="n"/>
      <c r="AC305" s="689" t="n"/>
      <c r="AD305" s="689" t="n"/>
      <c r="AF305" s="233" t="n"/>
      <c r="AG305" s="233" t="n"/>
      <c r="AH305" s="233" t="n"/>
      <c r="AI305" s="233" t="n"/>
      <c r="AJ305" s="233" t="n"/>
      <c r="AK305" s="233" t="n"/>
      <c r="AL305" s="233" t="n"/>
      <c r="AM305" s="233" t="n"/>
      <c r="AN305" s="233" t="n"/>
      <c r="AO305" s="233" t="n"/>
      <c r="AP305" s="233" t="n"/>
      <c r="AQ305" s="233" t="n"/>
      <c r="AR305" s="233" t="n"/>
      <c r="AS305" s="233" t="n"/>
      <c r="AT305" s="233" t="n"/>
      <c r="AU305" s="233" t="n"/>
      <c r="AV305" s="233" t="n"/>
      <c r="AW305" s="233" t="n"/>
      <c r="AX305" s="692" t="n"/>
      <c r="AY305" s="692" t="n"/>
      <c r="AZ305" s="692" t="n"/>
      <c r="BA305" s="692" t="n"/>
      <c r="BB305" s="692" t="n"/>
      <c r="BC305" s="692" t="n"/>
      <c r="BD305" s="692" t="n"/>
      <c r="BE305" s="692" t="n"/>
      <c r="BF305" s="692" t="n"/>
      <c r="BG305" s="692" t="n"/>
      <c r="BH305" s="692" t="n"/>
      <c r="BI305" s="692" t="n"/>
      <c r="BJ305" s="692" t="n"/>
      <c r="BK305" s="692" t="n"/>
      <c r="BL305" s="692" t="n"/>
      <c r="BM305" s="692" t="n"/>
      <c r="BN305" s="692" t="n"/>
      <c r="BO305" s="692" t="n"/>
      <c r="BP305" s="692" t="n"/>
      <c r="BQ305" s="692" t="n"/>
    </row>
    <row r="306">
      <c r="A306" s="218" t="inlineStr">
        <is>
          <t>Male</t>
        </is>
      </c>
      <c r="B306" s="215" t="inlineStr">
        <is>
          <t>50 Back</t>
        </is>
      </c>
      <c r="C306" s="189" t="n">
        <v>2023</v>
      </c>
      <c r="D306" s="215" t="inlineStr">
        <is>
          <t>PHI</t>
        </is>
      </c>
      <c r="E306" s="219" t="n">
        <v>2</v>
      </c>
      <c r="F306" s="215" t="inlineStr">
        <is>
          <t>25.56</t>
        </is>
      </c>
      <c r="G306" s="215" t="n">
        <v>2001</v>
      </c>
      <c r="H306" s="215">
        <f>C306-G306</f>
        <v/>
      </c>
      <c r="I306" s="215" t="inlineStr">
        <is>
          <t>Jerard Dominic Jacinto</t>
        </is>
      </c>
      <c r="J306" s="215" t="inlineStr">
        <is>
          <t>A&amp;M</t>
        </is>
      </c>
      <c r="K306" s="215" t="inlineStr">
        <is>
          <t>USA</t>
        </is>
      </c>
      <c r="L306" s="217" t="n"/>
      <c r="M306" s="689" t="n"/>
      <c r="N306" s="689" t="n"/>
      <c r="O306" s="689" t="n"/>
      <c r="P306" s="227" t="n"/>
      <c r="Q306" s="689" t="n"/>
      <c r="R306" s="689" t="n"/>
      <c r="S306" s="689" t="n"/>
      <c r="T306" s="689" t="n"/>
      <c r="U306" s="689" t="n"/>
      <c r="V306" s="689" t="n"/>
      <c r="W306" s="689" t="n"/>
      <c r="X306" s="689" t="n"/>
      <c r="Y306" s="689" t="n"/>
      <c r="Z306" s="689" t="n"/>
      <c r="AA306" s="689" t="n"/>
      <c r="AB306" s="689" t="n"/>
      <c r="AC306" s="689" t="n"/>
      <c r="AD306" s="689" t="n"/>
      <c r="AF306" s="233" t="n"/>
      <c r="AG306" s="233" t="n"/>
      <c r="AH306" s="233" t="n"/>
      <c r="AI306" s="233" t="n"/>
      <c r="AJ306" s="233" t="n"/>
      <c r="AK306" s="233" t="n"/>
      <c r="AL306" s="233" t="n"/>
      <c r="AM306" s="233" t="n"/>
      <c r="AN306" s="233" t="n"/>
      <c r="AO306" s="233" t="n"/>
      <c r="AP306" s="233" t="n"/>
      <c r="AQ306" s="233" t="n"/>
      <c r="AR306" s="233" t="n"/>
      <c r="AS306" s="233" t="n"/>
      <c r="AT306" s="233" t="n"/>
      <c r="AU306" s="233" t="n"/>
      <c r="AV306" s="233" t="n"/>
      <c r="AW306" s="233" t="n"/>
      <c r="AX306" s="692" t="n"/>
      <c r="AY306" s="692" t="n"/>
      <c r="AZ306" s="692" t="n"/>
      <c r="BA306" s="692" t="n"/>
      <c r="BB306" s="692" t="n"/>
      <c r="BC306" s="692" t="n"/>
      <c r="BD306" s="692" t="n"/>
      <c r="BE306" s="692" t="n"/>
      <c r="BF306" s="692" t="n"/>
      <c r="BG306" s="692" t="n"/>
      <c r="BH306" s="692" t="n"/>
      <c r="BI306" s="692" t="n"/>
      <c r="BJ306" s="692" t="n"/>
      <c r="BK306" s="692" t="n"/>
      <c r="BL306" s="692" t="n"/>
      <c r="BM306" s="692" t="n"/>
      <c r="BN306" s="692" t="n"/>
      <c r="BO306" s="692" t="n"/>
      <c r="BP306" s="692" t="n"/>
      <c r="BQ306" s="692" t="n"/>
    </row>
    <row r="307">
      <c r="A307" s="220" t="inlineStr">
        <is>
          <t>Male</t>
        </is>
      </c>
      <c r="B307" s="211" t="inlineStr">
        <is>
          <t>50 Back</t>
        </is>
      </c>
      <c r="C307" s="190" t="n">
        <v>2023</v>
      </c>
      <c r="D307" s="211" t="inlineStr">
        <is>
          <t>SGP</t>
        </is>
      </c>
      <c r="E307" s="221" t="n">
        <v>3</v>
      </c>
      <c r="F307" s="211" t="inlineStr">
        <is>
          <t>25.61</t>
        </is>
      </c>
      <c r="G307" s="211" t="n">
        <v>1996</v>
      </c>
      <c r="H307" s="211">
        <f>C307-G307</f>
        <v/>
      </c>
      <c r="I307" s="211" t="inlineStr">
        <is>
          <t>Zheng Wen Quah</t>
        </is>
      </c>
      <c r="J307" s="211" t="inlineStr">
        <is>
          <t>California Berkeley</t>
        </is>
      </c>
      <c r="K307" s="211" t="inlineStr">
        <is>
          <t>USA</t>
        </is>
      </c>
      <c r="L307" s="213" t="n"/>
      <c r="M307" s="689" t="n"/>
      <c r="N307" s="689" t="n"/>
      <c r="O307" s="689" t="n"/>
      <c r="P307" s="227" t="n"/>
      <c r="Q307" s="689" t="n"/>
      <c r="R307" s="689" t="n"/>
      <c r="S307" s="689" t="n"/>
      <c r="T307" s="689" t="n"/>
      <c r="U307" s="689" t="n"/>
      <c r="V307" s="689" t="n"/>
      <c r="W307" s="689" t="n"/>
      <c r="X307" s="689" t="n"/>
      <c r="Y307" s="689" t="n"/>
      <c r="Z307" s="689" t="n"/>
      <c r="AA307" s="689" t="n"/>
      <c r="AB307" s="689" t="n"/>
      <c r="AC307" s="689" t="n"/>
      <c r="AD307" s="689" t="n"/>
      <c r="AF307" s="233" t="n"/>
      <c r="AG307" s="233" t="n"/>
      <c r="AH307" s="233" t="n"/>
      <c r="AI307" s="233" t="n"/>
      <c r="AJ307" s="233" t="n"/>
      <c r="AK307" s="233" t="n"/>
      <c r="AL307" s="233" t="n"/>
      <c r="AM307" s="233" t="n"/>
      <c r="AN307" s="233" t="n"/>
      <c r="AO307" s="233" t="n"/>
      <c r="AP307" s="233" t="n"/>
      <c r="AQ307" s="233" t="n"/>
      <c r="AR307" s="233" t="n"/>
      <c r="AS307" s="233" t="n"/>
      <c r="AT307" s="233" t="n"/>
      <c r="AU307" s="233" t="n"/>
      <c r="AV307" s="233" t="n"/>
      <c r="AW307" s="233" t="n"/>
      <c r="AX307" s="692" t="n"/>
      <c r="AY307" s="692" t="n"/>
      <c r="AZ307" s="692" t="n"/>
      <c r="BA307" s="692" t="n"/>
      <c r="BB307" s="692" t="n"/>
      <c r="BC307" s="692" t="n"/>
      <c r="BD307" s="692" t="n"/>
      <c r="BE307" s="692" t="n"/>
      <c r="BF307" s="692" t="n"/>
      <c r="BG307" s="692" t="n"/>
      <c r="BH307" s="692" t="n"/>
      <c r="BI307" s="692" t="n"/>
      <c r="BJ307" s="692" t="n"/>
      <c r="BK307" s="692" t="n"/>
      <c r="BL307" s="692" t="n"/>
      <c r="BM307" s="692" t="n"/>
      <c r="BN307" s="692" t="n"/>
      <c r="BO307" s="692" t="n"/>
      <c r="BP307" s="692" t="n"/>
      <c r="BQ307" s="692" t="n"/>
    </row>
    <row r="308">
      <c r="A308" s="218" t="inlineStr">
        <is>
          <t>Male</t>
        </is>
      </c>
      <c r="B308" s="215" t="inlineStr">
        <is>
          <t>50 Breast</t>
        </is>
      </c>
      <c r="C308" s="189" t="n">
        <v>2019</v>
      </c>
      <c r="D308" s="215" t="inlineStr">
        <is>
          <t>SGP</t>
        </is>
      </c>
      <c r="E308" s="219" t="n">
        <v>1</v>
      </c>
      <c r="F308" s="215" t="inlineStr">
        <is>
          <t>28.15</t>
        </is>
      </c>
      <c r="G308" s="215" t="n">
        <v>1995</v>
      </c>
      <c r="H308" s="202">
        <f>C308-G308</f>
        <v/>
      </c>
      <c r="I308" s="215" t="inlineStr">
        <is>
          <t>Lionel Khoo</t>
        </is>
      </c>
      <c r="J308" s="215" t="inlineStr">
        <is>
          <t>South Carolina</t>
        </is>
      </c>
      <c r="K308" s="215" t="inlineStr">
        <is>
          <t>USA</t>
        </is>
      </c>
      <c r="L308" s="217" t="n"/>
      <c r="M308" s="689" t="n"/>
      <c r="N308" s="689" t="n"/>
      <c r="O308" s="689" t="n"/>
      <c r="P308" s="227" t="n"/>
      <c r="Q308" s="689" t="n"/>
      <c r="R308" s="689" t="n"/>
      <c r="S308" s="689" t="n"/>
      <c r="T308" s="689" t="n"/>
      <c r="U308" s="689" t="n"/>
      <c r="V308" s="689" t="n"/>
      <c r="W308" s="689" t="n"/>
      <c r="X308" s="689" t="n"/>
      <c r="Y308" s="689" t="n"/>
      <c r="Z308" s="689" t="n"/>
      <c r="AA308" s="689" t="n"/>
      <c r="AB308" s="689" t="n"/>
      <c r="AC308" s="689" t="n"/>
      <c r="AD308" s="689" t="n"/>
      <c r="AF308" s="233" t="n"/>
      <c r="AG308" s="233" t="n"/>
      <c r="AH308" s="233" t="n"/>
      <c r="AI308" s="233" t="n"/>
      <c r="AJ308" s="233" t="n"/>
      <c r="AK308" s="233" t="n"/>
      <c r="AL308" s="233" t="n"/>
      <c r="AM308" s="233" t="n"/>
      <c r="AN308" s="233" t="n"/>
      <c r="AO308" s="233" t="n"/>
      <c r="AP308" s="233" t="n"/>
      <c r="AQ308" s="233" t="n"/>
      <c r="AR308" s="233" t="n"/>
      <c r="AS308" s="233" t="n"/>
      <c r="AT308" s="233" t="n"/>
      <c r="AU308" s="233" t="n"/>
      <c r="AV308" s="233" t="n"/>
      <c r="AW308" s="233" t="n"/>
      <c r="AX308" s="692" t="n"/>
      <c r="AY308" s="692" t="n"/>
      <c r="AZ308" s="692" t="n"/>
      <c r="BA308" s="692" t="n"/>
      <c r="BB308" s="692" t="n"/>
      <c r="BC308" s="692" t="n"/>
      <c r="BD308" s="692" t="n"/>
      <c r="BE308" s="692" t="n"/>
      <c r="BF308" s="692" t="n"/>
      <c r="BG308" s="692" t="n"/>
      <c r="BH308" s="692" t="n"/>
      <c r="BI308" s="692" t="n"/>
      <c r="BJ308" s="692" t="n"/>
      <c r="BK308" s="692" t="n"/>
      <c r="BL308" s="692" t="n"/>
      <c r="BM308" s="692" t="n"/>
      <c r="BN308" s="692" t="n"/>
      <c r="BO308" s="692" t="n"/>
      <c r="BP308" s="692" t="n"/>
      <c r="BQ308" s="692" t="n"/>
    </row>
    <row r="309">
      <c r="A309" s="220" t="inlineStr">
        <is>
          <t>Male</t>
        </is>
      </c>
      <c r="B309" s="211" t="inlineStr">
        <is>
          <t>50 Breast</t>
        </is>
      </c>
      <c r="C309" s="190" t="n">
        <v>2019</v>
      </c>
      <c r="D309" s="211" t="inlineStr">
        <is>
          <t>PHI</t>
        </is>
      </c>
      <c r="E309" s="221" t="n">
        <v>2</v>
      </c>
      <c r="F309" s="211" t="inlineStr">
        <is>
          <t>28.32</t>
        </is>
      </c>
      <c r="G309" s="211" t="n">
        <v>1993</v>
      </c>
      <c r="H309" s="211">
        <f>C309-G309</f>
        <v/>
      </c>
      <c r="I309" s="211" t="inlineStr">
        <is>
          <t>James Deiparine</t>
        </is>
      </c>
      <c r="J309" s="211" t="inlineStr">
        <is>
          <t>Cal Poy</t>
        </is>
      </c>
      <c r="K309" s="211" t="inlineStr">
        <is>
          <t>USA</t>
        </is>
      </c>
      <c r="L309" s="213" t="inlineStr">
        <is>
          <t>USA</t>
        </is>
      </c>
      <c r="M309" s="689" t="n"/>
      <c r="N309" s="689" t="n"/>
      <c r="O309" s="689" t="n"/>
      <c r="P309" s="227" t="n"/>
      <c r="Q309" s="689" t="n"/>
      <c r="R309" s="689" t="n"/>
      <c r="S309" s="689" t="n"/>
      <c r="T309" s="689" t="n"/>
      <c r="U309" s="689" t="n"/>
      <c r="V309" s="689" t="n"/>
      <c r="W309" s="689" t="n"/>
      <c r="X309" s="689" t="n"/>
      <c r="Y309" s="689" t="n"/>
      <c r="Z309" s="689" t="n"/>
      <c r="AA309" s="689" t="n"/>
      <c r="AB309" s="689" t="n"/>
      <c r="AC309" s="689" t="n"/>
      <c r="AD309" s="689" t="n"/>
      <c r="AF309" s="233" t="n"/>
      <c r="AG309" s="233" t="n"/>
      <c r="AH309" s="233" t="n"/>
      <c r="AI309" s="233" t="n"/>
      <c r="AJ309" s="233" t="n"/>
      <c r="AK309" s="233" t="n"/>
      <c r="AL309" s="233" t="n"/>
      <c r="AM309" s="233" t="n"/>
      <c r="AN309" s="233" t="n"/>
      <c r="AO309" s="233" t="n"/>
      <c r="AP309" s="233" t="n"/>
      <c r="AQ309" s="233" t="n"/>
      <c r="AR309" s="233" t="n"/>
      <c r="AS309" s="233" t="n"/>
      <c r="AT309" s="233" t="n"/>
      <c r="AU309" s="233" t="n"/>
      <c r="AV309" s="233" t="n"/>
      <c r="AW309" s="233" t="n"/>
      <c r="AX309" s="158" t="n"/>
      <c r="AY309" s="692" t="n"/>
      <c r="AZ309" s="692" t="n"/>
      <c r="BA309" s="692" t="n"/>
      <c r="BB309" s="692" t="n"/>
      <c r="BC309" s="692" t="n"/>
      <c r="BD309" s="692" t="n"/>
      <c r="BE309" s="692" t="n"/>
      <c r="BF309" s="692" t="n"/>
      <c r="BG309" s="692" t="n"/>
      <c r="BH309" s="692" t="n"/>
      <c r="BI309" s="692" t="n"/>
      <c r="BJ309" s="692" t="n"/>
      <c r="BK309" s="692" t="n"/>
      <c r="BL309" s="692" t="n"/>
      <c r="BM309" s="692" t="n"/>
      <c r="BN309" s="692" t="n"/>
      <c r="BO309" s="692" t="n"/>
      <c r="BP309" s="692" t="n"/>
      <c r="BQ309" s="692" t="n"/>
    </row>
    <row r="310">
      <c r="A310" s="218" t="inlineStr">
        <is>
          <t>Male</t>
        </is>
      </c>
      <c r="B310" s="215" t="inlineStr">
        <is>
          <t>50 Breast</t>
        </is>
      </c>
      <c r="C310" s="189" t="n">
        <v>2019</v>
      </c>
      <c r="D310" s="215" t="inlineStr">
        <is>
          <t>IND</t>
        </is>
      </c>
      <c r="E310" s="219" t="n">
        <v>3</v>
      </c>
      <c r="F310" s="215" t="inlineStr">
        <is>
          <t>28.52</t>
        </is>
      </c>
      <c r="G310" s="202" t="n">
        <v>1995</v>
      </c>
      <c r="H310" s="202">
        <f>C310-G310</f>
        <v/>
      </c>
      <c r="I310" s="206" t="inlineStr">
        <is>
          <t>Gagarin Nathaniel Yus</t>
        </is>
      </c>
      <c r="J310" s="215" t="n"/>
      <c r="K310" s="215" t="n"/>
      <c r="L310" s="217" t="n"/>
      <c r="M310" s="689" t="n"/>
      <c r="N310" s="689" t="n"/>
      <c r="O310" s="689" t="n"/>
      <c r="P310" s="227" t="n"/>
      <c r="Q310" s="689" t="n"/>
      <c r="R310" s="689" t="n"/>
      <c r="S310" s="689" t="n"/>
      <c r="T310" s="689" t="n"/>
      <c r="U310" s="689" t="n"/>
      <c r="V310" s="689" t="n"/>
      <c r="W310" s="689" t="n"/>
      <c r="X310" s="689" t="n"/>
      <c r="Y310" s="689" t="n"/>
      <c r="Z310" s="689" t="n"/>
      <c r="AA310" s="689" t="n"/>
      <c r="AB310" s="689" t="n"/>
      <c r="AC310" s="689" t="n"/>
      <c r="AD310" s="689" t="n"/>
      <c r="AF310" s="233" t="n"/>
      <c r="AG310" s="233" t="n"/>
      <c r="AH310" s="233" t="n"/>
      <c r="AI310" s="233" t="n"/>
      <c r="AJ310" s="233" t="n"/>
      <c r="AK310" s="233" t="n"/>
      <c r="AL310" s="233" t="n"/>
      <c r="AM310" s="233" t="n"/>
      <c r="AN310" s="233" t="n"/>
      <c r="AO310" s="233" t="n"/>
      <c r="AP310" s="233" t="n"/>
      <c r="AQ310" s="233" t="n"/>
      <c r="AR310" s="233" t="n"/>
      <c r="AS310" s="233" t="n"/>
      <c r="AT310" s="233" t="n"/>
      <c r="AU310" s="233" t="n"/>
      <c r="AV310" s="233" t="n"/>
      <c r="AW310" s="233" t="n"/>
      <c r="AX310" s="158" t="n"/>
      <c r="AY310" s="692" t="n"/>
      <c r="AZ310" s="692" t="n"/>
      <c r="BA310" s="692" t="n"/>
    </row>
    <row r="311">
      <c r="A311" s="220" t="inlineStr">
        <is>
          <t>Male</t>
        </is>
      </c>
      <c r="B311" s="211" t="inlineStr">
        <is>
          <t>50 Breast</t>
        </is>
      </c>
      <c r="C311" s="190" t="n">
        <v>2022</v>
      </c>
      <c r="D311" s="211" t="inlineStr">
        <is>
          <t>VIE</t>
        </is>
      </c>
      <c r="E311" s="221" t="n">
        <v>1</v>
      </c>
      <c r="F311" s="211" t="inlineStr">
        <is>
          <t>28.28</t>
        </is>
      </c>
      <c r="G311" s="197" t="n">
        <v>2001</v>
      </c>
      <c r="H311" s="197">
        <f>C311-G311</f>
        <v/>
      </c>
      <c r="I311" s="201" t="inlineStr">
        <is>
          <t>Thanh Bao Pham</t>
        </is>
      </c>
      <c r="J311" s="211" t="n"/>
      <c r="K311" s="211" t="n"/>
      <c r="L311" s="213" t="n"/>
      <c r="M311" s="689" t="n"/>
      <c r="N311" s="689" t="n"/>
      <c r="O311" s="689" t="n"/>
      <c r="P311" s="227" t="n"/>
      <c r="Q311" s="689" t="n"/>
      <c r="R311" s="689" t="n"/>
      <c r="S311" s="689" t="n"/>
      <c r="T311" s="689" t="n"/>
      <c r="U311" s="689" t="n"/>
      <c r="V311" s="689" t="n"/>
      <c r="W311" s="689" t="n"/>
      <c r="X311" s="689" t="n"/>
      <c r="Y311" s="689" t="n"/>
      <c r="Z311" s="689" t="n"/>
      <c r="AA311" s="689" t="n"/>
      <c r="AB311" s="689" t="n"/>
      <c r="AC311" s="689" t="n"/>
      <c r="AD311" s="689" t="n"/>
      <c r="AF311" s="233" t="n"/>
      <c r="AG311" s="233" t="n"/>
      <c r="AH311" s="233" t="n"/>
      <c r="AI311" s="233" t="n"/>
      <c r="AJ311" s="233" t="n"/>
      <c r="AK311" s="233" t="n"/>
      <c r="AL311" s="233" t="n"/>
      <c r="AM311" s="233" t="n"/>
      <c r="AN311" s="233" t="n"/>
      <c r="AO311" s="233" t="n"/>
      <c r="AP311" s="233" t="n"/>
      <c r="AQ311" s="233" t="n"/>
      <c r="AR311" s="233" t="n"/>
      <c r="AS311" s="233" t="n"/>
      <c r="AT311" s="233" t="n"/>
      <c r="AU311" s="233" t="n"/>
      <c r="AV311" s="233" t="n"/>
      <c r="AW311" s="233" t="n"/>
      <c r="AX311" s="158" t="n"/>
      <c r="AY311" s="692" t="n"/>
      <c r="AZ311" s="692" t="n"/>
      <c r="BA311" s="692" t="n"/>
    </row>
    <row r="312">
      <c r="A312" s="218" t="inlineStr">
        <is>
          <t>Male</t>
        </is>
      </c>
      <c r="B312" s="215" t="inlineStr">
        <is>
          <t>50 Breast</t>
        </is>
      </c>
      <c r="C312" s="189" t="n">
        <v>2022</v>
      </c>
      <c r="D312" s="215" t="inlineStr">
        <is>
          <t>IND</t>
        </is>
      </c>
      <c r="E312" s="219" t="n">
        <v>2</v>
      </c>
      <c r="F312" s="215" t="inlineStr">
        <is>
          <t>28.31</t>
        </is>
      </c>
      <c r="G312" s="202" t="n">
        <v>1995</v>
      </c>
      <c r="H312" s="202">
        <f>C312-G312</f>
        <v/>
      </c>
      <c r="I312" s="206" t="inlineStr">
        <is>
          <t>Gagarin Nathaniel Yus</t>
        </is>
      </c>
      <c r="J312" s="215" t="n"/>
      <c r="K312" s="215" t="n"/>
      <c r="L312" s="217" t="n"/>
      <c r="M312" s="689" t="n"/>
      <c r="N312" s="689" t="n"/>
      <c r="O312" s="689" t="n"/>
      <c r="P312" s="227" t="n"/>
      <c r="Q312" s="689" t="n"/>
      <c r="R312" s="689" t="n"/>
      <c r="S312" s="689" t="n"/>
      <c r="T312" s="689" t="n"/>
      <c r="U312" s="689" t="n"/>
      <c r="V312" s="689" t="n"/>
      <c r="W312" s="689" t="n"/>
      <c r="X312" s="689" t="n"/>
      <c r="Y312" s="689" t="n"/>
      <c r="Z312" s="689" t="n"/>
      <c r="AA312" s="689" t="n"/>
      <c r="AB312" s="689" t="n"/>
      <c r="AC312" s="689" t="n"/>
      <c r="AD312" s="689" t="n"/>
      <c r="AF312" s="233" t="n"/>
      <c r="AG312" s="233" t="n"/>
      <c r="AH312" s="233" t="n"/>
      <c r="AI312" s="233" t="n"/>
      <c r="AJ312" s="233" t="n"/>
      <c r="AK312" s="233" t="n"/>
      <c r="AL312" s="233" t="n"/>
      <c r="AM312" s="233" t="n"/>
      <c r="AN312" s="233" t="n"/>
      <c r="AO312" s="233" t="n"/>
      <c r="AP312" s="233" t="n"/>
      <c r="AQ312" s="233" t="n"/>
      <c r="AR312" s="233" t="n"/>
      <c r="AS312" s="233" t="n"/>
      <c r="AT312" s="233" t="n"/>
      <c r="AU312" s="233" t="n"/>
      <c r="AV312" s="233" t="n"/>
      <c r="AW312" s="233" t="n"/>
      <c r="AX312" s="158" t="n"/>
      <c r="AY312" s="692" t="n"/>
      <c r="AZ312" s="692" t="n"/>
      <c r="BA312" s="692" t="n"/>
    </row>
    <row r="313">
      <c r="A313" s="220" t="inlineStr">
        <is>
          <t>Male</t>
        </is>
      </c>
      <c r="B313" s="211" t="inlineStr">
        <is>
          <t>50 Breast</t>
        </is>
      </c>
      <c r="C313" s="190" t="n">
        <v>2022</v>
      </c>
      <c r="D313" s="211" t="inlineStr">
        <is>
          <t>SGP</t>
        </is>
      </c>
      <c r="E313" s="221" t="n">
        <v>3</v>
      </c>
      <c r="F313" s="211" t="inlineStr">
        <is>
          <t>28.32</t>
        </is>
      </c>
      <c r="G313" s="196" t="n">
        <v>2001</v>
      </c>
      <c r="H313" s="196">
        <f>C313-G313</f>
        <v/>
      </c>
      <c r="I313" s="198" t="inlineStr">
        <is>
          <t>Maximillan Wei Ang</t>
        </is>
      </c>
      <c r="J313" s="211" t="n"/>
      <c r="K313" s="211" t="n"/>
      <c r="L313" s="213" t="n"/>
      <c r="M313" s="689" t="n"/>
      <c r="N313" s="689" t="n"/>
      <c r="O313" s="689" t="n"/>
      <c r="P313" s="227" t="n"/>
      <c r="Q313" s="689" t="n"/>
      <c r="R313" s="689" t="n"/>
      <c r="S313" s="689" t="n"/>
      <c r="T313" s="689" t="n"/>
      <c r="U313" s="689" t="n"/>
      <c r="V313" s="689" t="n"/>
      <c r="W313" s="689" t="n"/>
      <c r="X313" s="689" t="n"/>
      <c r="Y313" s="689" t="n"/>
      <c r="Z313" s="689" t="n"/>
      <c r="AA313" s="689" t="n"/>
      <c r="AB313" s="689" t="n"/>
      <c r="AC313" s="689" t="n"/>
      <c r="AD313" s="689" t="n"/>
      <c r="AF313" s="234" t="n"/>
      <c r="AG313" s="234" t="n"/>
      <c r="AH313" s="234" t="n"/>
      <c r="AI313" s="234" t="n"/>
      <c r="AJ313" s="234" t="n"/>
      <c r="AK313" s="234" t="n"/>
      <c r="AL313" s="234" t="n"/>
      <c r="AM313" s="234" t="n"/>
      <c r="AN313" s="234" t="n"/>
      <c r="AO313" s="234" t="n"/>
      <c r="AP313" s="234" t="n"/>
      <c r="AQ313" s="234" t="n"/>
      <c r="AR313" s="234" t="n"/>
      <c r="AS313" s="234" t="n"/>
      <c r="AT313" s="234" t="n"/>
      <c r="AU313" s="234" t="n"/>
      <c r="AV313" s="234" t="n"/>
      <c r="AW313" s="234" t="n"/>
      <c r="AX313" s="692" t="n"/>
      <c r="AY313" s="692" t="n"/>
      <c r="AZ313" s="692" t="n"/>
      <c r="BA313" s="692" t="n"/>
    </row>
    <row r="314">
      <c r="A314" s="218" t="inlineStr">
        <is>
          <t>Male</t>
        </is>
      </c>
      <c r="B314" s="215" t="inlineStr">
        <is>
          <t>50 Breast</t>
        </is>
      </c>
      <c r="C314" s="189" t="n">
        <v>2023</v>
      </c>
      <c r="D314" s="215" t="inlineStr">
        <is>
          <t>IND</t>
        </is>
      </c>
      <c r="E314" s="219" t="n">
        <v>1</v>
      </c>
      <c r="F314" s="215" t="inlineStr">
        <is>
          <t>27.70</t>
        </is>
      </c>
      <c r="G314" s="215" t="n">
        <v>2005</v>
      </c>
      <c r="H314" s="215">
        <f>C314-G314</f>
        <v/>
      </c>
      <c r="I314" s="215" t="inlineStr">
        <is>
          <t>Felix Viktor Iberle</t>
        </is>
      </c>
      <c r="J314" s="215" t="n"/>
      <c r="K314" s="215" t="n"/>
      <c r="L314" s="217" t="n"/>
      <c r="M314" s="689" t="n"/>
      <c r="N314" s="689" t="n"/>
      <c r="O314" s="689" t="n"/>
      <c r="P314" s="227" t="n"/>
      <c r="Q314" s="689" t="n"/>
      <c r="R314" s="689" t="n"/>
      <c r="S314" s="689" t="n"/>
      <c r="T314" s="689" t="n"/>
      <c r="U314" s="689" t="n"/>
      <c r="V314" s="689" t="n"/>
      <c r="W314" s="689" t="n"/>
      <c r="X314" s="689" t="n"/>
      <c r="Y314" s="689" t="n"/>
      <c r="Z314" s="689" t="n"/>
      <c r="AA314" s="689" t="n"/>
      <c r="AB314" s="689" t="n"/>
      <c r="AC314" s="689" t="n"/>
      <c r="AD314" s="689" t="n"/>
      <c r="AF314" s="236" t="n"/>
      <c r="AG314" s="236" t="n"/>
      <c r="AH314" s="236" t="n"/>
      <c r="AI314" s="236" t="n"/>
      <c r="AJ314" s="236" t="n"/>
      <c r="AK314" s="236" t="n"/>
      <c r="AL314" s="236" t="n"/>
      <c r="AM314" s="236" t="n"/>
      <c r="AN314" s="236" t="n"/>
      <c r="AO314" s="236" t="n"/>
      <c r="AP314" s="236" t="n"/>
      <c r="AQ314" s="236" t="n"/>
      <c r="AR314" s="236" t="n"/>
      <c r="AS314" s="236" t="n"/>
      <c r="AT314" s="236" t="n"/>
      <c r="AU314" s="236" t="n"/>
      <c r="AV314" s="236" t="n"/>
      <c r="AW314" s="236" t="n"/>
      <c r="AX314" s="692" t="n"/>
      <c r="AY314" s="692" t="n"/>
      <c r="AZ314" s="692" t="n"/>
      <c r="BA314" s="692" t="n"/>
    </row>
    <row r="315">
      <c r="A315" s="220" t="inlineStr">
        <is>
          <t>Male</t>
        </is>
      </c>
      <c r="B315" s="211" t="inlineStr">
        <is>
          <t>50 Breast</t>
        </is>
      </c>
      <c r="C315" s="190" t="n">
        <v>2023</v>
      </c>
      <c r="D315" s="211" t="inlineStr">
        <is>
          <t>SGP</t>
        </is>
      </c>
      <c r="E315" s="221" t="n">
        <v>2</v>
      </c>
      <c r="F315" s="211" t="inlineStr">
        <is>
          <t>27.91</t>
        </is>
      </c>
      <c r="G315" s="211" t="n">
        <v>2005</v>
      </c>
      <c r="H315" s="211">
        <f>C315-G315</f>
        <v/>
      </c>
      <c r="I315" s="211" t="inlineStr">
        <is>
          <t>Nicholas Rui Karsten Mahabir</t>
        </is>
      </c>
      <c r="J315" s="211" t="inlineStr">
        <is>
          <t>California Berkeley</t>
        </is>
      </c>
      <c r="K315" s="211" t="inlineStr">
        <is>
          <t>USA</t>
        </is>
      </c>
      <c r="L315" s="213" t="inlineStr">
        <is>
          <t>USA</t>
        </is>
      </c>
      <c r="M315" s="689" t="n"/>
      <c r="N315" s="689" t="n"/>
      <c r="O315" s="689" t="n"/>
      <c r="P315" s="227" t="n"/>
      <c r="Q315" s="689" t="n"/>
      <c r="R315" s="689" t="n"/>
      <c r="S315" s="689" t="n"/>
      <c r="T315" s="689" t="n"/>
      <c r="U315" s="689" t="n"/>
      <c r="V315" s="689" t="n"/>
      <c r="W315" s="689" t="n"/>
      <c r="X315" s="689" t="n"/>
      <c r="Y315" s="689" t="n"/>
      <c r="Z315" s="689" t="n"/>
      <c r="AA315" s="689" t="n"/>
      <c r="AB315" s="689" t="n"/>
      <c r="AC315" s="689" t="n"/>
      <c r="AD315" s="689" t="n"/>
      <c r="AF315" s="236" t="n"/>
      <c r="AG315" s="236" t="n"/>
      <c r="AH315" s="236" t="n"/>
      <c r="AI315" s="236" t="n"/>
      <c r="AJ315" s="236" t="n"/>
      <c r="AK315" s="236" t="n"/>
      <c r="AL315" s="236" t="n"/>
      <c r="AM315" s="236" t="n"/>
      <c r="AN315" s="236" t="n"/>
      <c r="AO315" s="236" t="n"/>
      <c r="AP315" s="236" t="n"/>
      <c r="AQ315" s="236" t="n"/>
      <c r="AR315" s="236" t="n"/>
      <c r="AS315" s="236" t="n"/>
      <c r="AT315" s="236" t="n"/>
      <c r="AU315" s="236" t="n"/>
      <c r="AV315" s="236" t="n"/>
      <c r="AW315" s="236" t="n"/>
      <c r="AX315" s="692" t="n"/>
      <c r="AY315" s="692" t="n"/>
      <c r="AZ315" s="692" t="n"/>
      <c r="BA315" s="692" t="n"/>
    </row>
    <row r="316">
      <c r="A316" s="218" t="inlineStr">
        <is>
          <t>Male</t>
        </is>
      </c>
      <c r="B316" s="215" t="inlineStr">
        <is>
          <t>50 Breast</t>
        </is>
      </c>
      <c r="C316" s="189" t="n">
        <v>2023</v>
      </c>
      <c r="D316" s="215" t="inlineStr">
        <is>
          <t>IND</t>
        </is>
      </c>
      <c r="E316" s="219" t="n">
        <v>3</v>
      </c>
      <c r="F316" s="215" t="inlineStr">
        <is>
          <t>28.01</t>
        </is>
      </c>
      <c r="G316" s="215" t="n">
        <v>2000</v>
      </c>
      <c r="H316" s="215">
        <f>C316-G316</f>
        <v/>
      </c>
      <c r="I316" s="215" t="inlineStr">
        <is>
          <t>Muhammad Dwiky Raharjo</t>
        </is>
      </c>
      <c r="J316" s="215" t="n"/>
      <c r="K316" s="215" t="n"/>
      <c r="L316" s="217" t="n"/>
      <c r="M316" s="689" t="n"/>
      <c r="N316" s="689" t="n"/>
      <c r="O316" s="689" t="n"/>
      <c r="P316" s="227" t="n"/>
      <c r="Q316" s="689" t="n"/>
      <c r="R316" s="689" t="n"/>
      <c r="S316" s="689" t="n"/>
      <c r="T316" s="689" t="n"/>
      <c r="U316" s="689" t="n"/>
      <c r="V316" s="689" t="n"/>
      <c r="W316" s="689" t="n"/>
      <c r="X316" s="689" t="n"/>
      <c r="Y316" s="689" t="n"/>
      <c r="Z316" s="689" t="n"/>
      <c r="AA316" s="689" t="n"/>
      <c r="AB316" s="689" t="n"/>
      <c r="AC316" s="689" t="n"/>
      <c r="AD316" s="689" t="n"/>
      <c r="AF316" s="236" t="n"/>
      <c r="AG316" s="236" t="n"/>
      <c r="AH316" s="236" t="n"/>
      <c r="AI316" s="236" t="n"/>
      <c r="AJ316" s="236" t="n"/>
      <c r="AK316" s="236" t="n"/>
      <c r="AL316" s="236" t="n"/>
      <c r="AM316" s="236" t="n"/>
      <c r="AN316" s="236" t="n"/>
      <c r="AO316" s="236" t="n"/>
      <c r="AP316" s="236" t="n"/>
      <c r="AQ316" s="236" t="n"/>
      <c r="AR316" s="236" t="n"/>
      <c r="AS316" s="236" t="n"/>
      <c r="AT316" s="236" t="n"/>
      <c r="AU316" s="236" t="n"/>
      <c r="AV316" s="236" t="n"/>
      <c r="AW316" s="236" t="n"/>
      <c r="AX316" s="692" t="n"/>
      <c r="AY316" s="692" t="n"/>
      <c r="AZ316" s="692" t="n"/>
      <c r="BA316" s="692" t="n"/>
    </row>
    <row r="317">
      <c r="A317" s="220" t="inlineStr">
        <is>
          <t>Male</t>
        </is>
      </c>
      <c r="B317" s="211" t="inlineStr">
        <is>
          <t>50 Fly</t>
        </is>
      </c>
      <c r="C317" s="190" t="n">
        <v>2019</v>
      </c>
      <c r="D317" s="211" t="inlineStr">
        <is>
          <t>SGP</t>
        </is>
      </c>
      <c r="E317" s="221" t="n">
        <v>1</v>
      </c>
      <c r="F317" s="211" t="inlineStr">
        <is>
          <t>23.55</t>
        </is>
      </c>
      <c r="G317" s="197" t="n">
        <v>1997</v>
      </c>
      <c r="H317" s="197">
        <f>C317-G317</f>
        <v/>
      </c>
      <c r="I317" s="201" t="inlineStr">
        <is>
          <t>Tzen Wei Teong</t>
        </is>
      </c>
      <c r="J317" s="211" t="n"/>
      <c r="K317" s="211" t="n"/>
      <c r="L317" s="213" t="n"/>
      <c r="M317" s="689" t="n"/>
      <c r="N317" s="689" t="n"/>
      <c r="O317" s="689" t="n"/>
      <c r="P317" s="227" t="n"/>
      <c r="Q317" s="689" t="n"/>
      <c r="R317" s="689" t="n"/>
      <c r="S317" s="689" t="n"/>
      <c r="T317" s="689" t="n"/>
      <c r="U317" s="689" t="n"/>
      <c r="V317" s="689" t="n"/>
      <c r="W317" s="689" t="n"/>
      <c r="X317" s="689" t="n"/>
      <c r="Y317" s="689" t="n"/>
      <c r="Z317" s="689" t="n"/>
      <c r="AA317" s="689" t="n"/>
      <c r="AB317" s="689" t="n"/>
      <c r="AC317" s="689" t="n"/>
      <c r="AD317" s="689" t="n"/>
      <c r="AF317" s="236" t="n"/>
      <c r="AG317" s="236" t="n"/>
      <c r="AH317" s="236" t="n"/>
      <c r="AI317" s="236" t="n"/>
      <c r="AJ317" s="236" t="n"/>
      <c r="AK317" s="236" t="n"/>
      <c r="AL317" s="236" t="n"/>
      <c r="AM317" s="236" t="n"/>
      <c r="AN317" s="236" t="n"/>
      <c r="AO317" s="236" t="n"/>
      <c r="AP317" s="236" t="n"/>
      <c r="AQ317" s="236" t="n"/>
      <c r="AR317" s="236" t="n"/>
      <c r="AS317" s="236" t="n"/>
      <c r="AT317" s="236" t="n"/>
      <c r="AU317" s="236" t="n"/>
      <c r="AV317" s="236" t="n"/>
      <c r="AW317" s="236" t="n"/>
      <c r="AX317" s="692" t="n"/>
      <c r="AY317" s="692" t="n"/>
      <c r="AZ317" s="692" t="n"/>
      <c r="BA317" s="692" t="n"/>
    </row>
    <row r="318">
      <c r="A318" s="218" t="inlineStr">
        <is>
          <t>Male</t>
        </is>
      </c>
      <c r="B318" s="215" t="inlineStr">
        <is>
          <t>50 Fly</t>
        </is>
      </c>
      <c r="C318" s="189" t="n">
        <v>2019</v>
      </c>
      <c r="D318" s="215" t="inlineStr">
        <is>
          <t>SGP</t>
        </is>
      </c>
      <c r="E318" s="219" t="n">
        <v>2</v>
      </c>
      <c r="F318" s="215" t="inlineStr">
        <is>
          <t>23.61</t>
        </is>
      </c>
      <c r="G318" s="215" t="n">
        <v>1995</v>
      </c>
      <c r="H318" s="202">
        <f>C318-G318</f>
        <v/>
      </c>
      <c r="I318" s="215" t="inlineStr">
        <is>
          <t>Joseph Schooling</t>
        </is>
      </c>
      <c r="J318" s="215" t="inlineStr">
        <is>
          <t>Texas</t>
        </is>
      </c>
      <c r="K318" s="215" t="inlineStr">
        <is>
          <t>USA</t>
        </is>
      </c>
      <c r="L318" s="217" t="inlineStr">
        <is>
          <t>Prep School (Bolles)</t>
        </is>
      </c>
      <c r="M318" s="689" t="n"/>
      <c r="N318" s="689" t="n"/>
      <c r="O318" s="689" t="n"/>
      <c r="P318" s="227" t="n"/>
      <c r="Q318" s="689" t="n"/>
      <c r="R318" s="689" t="n"/>
      <c r="S318" s="689" t="n"/>
      <c r="T318" s="689" t="n"/>
      <c r="U318" s="689" t="n"/>
      <c r="V318" s="689" t="n"/>
      <c r="W318" s="689" t="n"/>
      <c r="X318" s="689" t="n"/>
      <c r="Y318" s="689" t="n"/>
      <c r="Z318" s="689" t="n"/>
      <c r="AA318" s="689" t="n"/>
      <c r="AB318" s="689" t="n"/>
      <c r="AC318" s="689" t="n"/>
      <c r="AD318" s="689" t="n"/>
      <c r="AF318" s="236" t="n"/>
      <c r="AG318" s="236" t="n"/>
      <c r="AH318" s="236" t="n"/>
      <c r="AI318" s="236" t="n"/>
      <c r="AJ318" s="236" t="n"/>
      <c r="AK318" s="236" t="n"/>
      <c r="AL318" s="236" t="n"/>
      <c r="AM318" s="236" t="n"/>
      <c r="AN318" s="236" t="n"/>
      <c r="AO318" s="236" t="n"/>
      <c r="AP318" s="236" t="n"/>
      <c r="AQ318" s="236" t="n"/>
      <c r="AR318" s="236" t="n"/>
      <c r="AS318" s="236" t="n"/>
      <c r="AT318" s="236" t="n"/>
      <c r="AU318" s="236" t="n"/>
      <c r="AV318" s="236" t="n"/>
      <c r="AW318" s="236" t="n"/>
      <c r="AX318" s="692" t="n"/>
      <c r="AY318" s="692" t="n"/>
      <c r="AZ318" s="692" t="n"/>
      <c r="BA318" s="692" t="n"/>
    </row>
    <row r="319">
      <c r="A319" s="220" t="inlineStr">
        <is>
          <t>Male</t>
        </is>
      </c>
      <c r="B319" s="211" t="inlineStr">
        <is>
          <t>50 Fly</t>
        </is>
      </c>
      <c r="C319" s="190" t="n">
        <v>2019</v>
      </c>
      <c r="D319" s="211" t="inlineStr">
        <is>
          <t>IND</t>
        </is>
      </c>
      <c r="E319" s="221" t="n">
        <v>3</v>
      </c>
      <c r="F319" s="211" t="inlineStr">
        <is>
          <t>23.84</t>
        </is>
      </c>
      <c r="G319" s="215" t="n">
        <v>1989</v>
      </c>
      <c r="H319" s="202">
        <f>C319-G319</f>
        <v/>
      </c>
      <c r="I319" s="215" t="inlineStr">
        <is>
          <t>Glenn Victor Sutanto</t>
        </is>
      </c>
      <c r="J319" s="211" t="n"/>
      <c r="K319" s="211" t="n"/>
      <c r="L319" s="213" t="n"/>
      <c r="M319" s="689" t="n"/>
      <c r="N319" s="689" t="n"/>
      <c r="O319" s="689" t="n"/>
      <c r="P319" s="227" t="n"/>
      <c r="Q319" s="689" t="n"/>
      <c r="R319" s="689" t="n"/>
      <c r="S319" s="689" t="n"/>
      <c r="T319" s="689" t="n"/>
      <c r="U319" s="689" t="n"/>
      <c r="V319" s="689" t="n"/>
      <c r="W319" s="689" t="n"/>
      <c r="X319" s="689" t="n"/>
      <c r="Y319" s="689" t="n"/>
      <c r="Z319" s="689" t="n"/>
      <c r="AA319" s="689" t="n"/>
      <c r="AB319" s="689" t="n"/>
      <c r="AC319" s="689" t="n"/>
      <c r="AD319" s="689" t="n"/>
      <c r="AF319" s="236" t="n"/>
      <c r="AG319" s="236" t="n"/>
      <c r="AH319" s="236" t="n"/>
      <c r="AI319" s="236" t="n"/>
      <c r="AJ319" s="236" t="n"/>
      <c r="AK319" s="236" t="n"/>
      <c r="AL319" s="236" t="n"/>
      <c r="AM319" s="236" t="n"/>
      <c r="AN319" s="236" t="n"/>
      <c r="AO319" s="236" t="n"/>
      <c r="AP319" s="236" t="n"/>
      <c r="AQ319" s="236" t="n"/>
      <c r="AR319" s="236" t="n"/>
      <c r="AS319" s="236" t="n"/>
      <c r="AT319" s="236" t="n"/>
      <c r="AU319" s="236" t="n"/>
      <c r="AV319" s="236" t="n"/>
      <c r="AW319" s="236" t="n"/>
      <c r="AX319" s="692" t="n"/>
      <c r="AY319" s="692" t="n"/>
      <c r="AZ319" s="692" t="n"/>
      <c r="BA319" s="692" t="n"/>
    </row>
    <row r="320">
      <c r="A320" s="218" t="inlineStr">
        <is>
          <t>Male</t>
        </is>
      </c>
      <c r="B320" s="215" t="inlineStr">
        <is>
          <t>50 Fly</t>
        </is>
      </c>
      <c r="C320" s="189" t="n">
        <v>2022</v>
      </c>
      <c r="D320" s="215" t="inlineStr">
        <is>
          <t>SGP</t>
        </is>
      </c>
      <c r="E320" s="219" t="n">
        <v>1</v>
      </c>
      <c r="F320" s="215" t="inlineStr">
        <is>
          <t>23.04</t>
        </is>
      </c>
      <c r="G320" s="202" t="n">
        <v>1997</v>
      </c>
      <c r="H320" s="202">
        <f>C320-G320</f>
        <v/>
      </c>
      <c r="I320" s="206" t="inlineStr">
        <is>
          <t>Tzen Wei Teong</t>
        </is>
      </c>
      <c r="J320" s="215" t="n"/>
      <c r="K320" s="215" t="n"/>
      <c r="L320" s="217" t="n"/>
      <c r="M320" s="689" t="n"/>
      <c r="N320" s="689" t="n"/>
      <c r="O320" s="689" t="n"/>
      <c r="P320" s="227" t="n"/>
      <c r="Q320" s="689" t="n"/>
      <c r="R320" s="689" t="n"/>
      <c r="S320" s="689" t="n"/>
      <c r="T320" s="689" t="n"/>
      <c r="U320" s="689" t="n"/>
      <c r="V320" s="689" t="n"/>
      <c r="W320" s="689" t="n"/>
      <c r="X320" s="689" t="n"/>
      <c r="Y320" s="689" t="n"/>
      <c r="Z320" s="689" t="n"/>
      <c r="AA320" s="689" t="n"/>
      <c r="AB320" s="689" t="n"/>
      <c r="AC320" s="689" t="n"/>
      <c r="AD320" s="689" t="n"/>
      <c r="AF320" s="236" t="n"/>
      <c r="AG320" s="236" t="n"/>
      <c r="AH320" s="236" t="n"/>
      <c r="AI320" s="236" t="n"/>
      <c r="AJ320" s="236" t="n"/>
      <c r="AK320" s="236" t="n"/>
      <c r="AL320" s="236" t="n"/>
      <c r="AM320" s="236" t="n"/>
      <c r="AN320" s="236" t="n"/>
      <c r="AO320" s="236" t="n"/>
      <c r="AP320" s="236" t="n"/>
      <c r="AQ320" s="236" t="n"/>
      <c r="AR320" s="236" t="n"/>
      <c r="AS320" s="236" t="n"/>
      <c r="AT320" s="236" t="n"/>
      <c r="AU320" s="236" t="n"/>
      <c r="AV320" s="236" t="n"/>
      <c r="AW320" s="236" t="n"/>
      <c r="AX320" s="692" t="n"/>
      <c r="AY320" s="692" t="n"/>
      <c r="AZ320" s="692" t="n"/>
      <c r="BA320" s="692" t="n"/>
    </row>
    <row r="321">
      <c r="A321" s="220" t="inlineStr">
        <is>
          <t>Male</t>
        </is>
      </c>
      <c r="B321" s="211" t="inlineStr">
        <is>
          <t>50 Fly</t>
        </is>
      </c>
      <c r="C321" s="190" t="n">
        <v>2022</v>
      </c>
      <c r="D321" s="211" t="inlineStr">
        <is>
          <t>SGP</t>
        </is>
      </c>
      <c r="E321" s="221" t="n">
        <v>2</v>
      </c>
      <c r="F321" s="211" t="inlineStr">
        <is>
          <t>23.67</t>
        </is>
      </c>
      <c r="G321" s="196" t="n">
        <v>2002</v>
      </c>
      <c r="H321" s="196">
        <f>C321-G321</f>
        <v/>
      </c>
      <c r="I321" s="198" t="inlineStr">
        <is>
          <t>Mikkel Jun Jie Lee</t>
        </is>
      </c>
      <c r="J321" s="198" t="inlineStr">
        <is>
          <t>Wisconsin</t>
        </is>
      </c>
      <c r="K321" s="198" t="inlineStr">
        <is>
          <t>USA</t>
        </is>
      </c>
      <c r="L321" s="213" t="n"/>
      <c r="M321" s="689" t="n"/>
      <c r="N321" s="689" t="n"/>
      <c r="O321" s="689" t="n"/>
      <c r="P321" s="227" t="n"/>
      <c r="Q321" s="689" t="n"/>
      <c r="R321" s="689" t="n"/>
      <c r="S321" s="689" t="n"/>
      <c r="T321" s="689" t="n"/>
      <c r="U321" s="689" t="n"/>
      <c r="V321" s="689" t="n"/>
      <c r="W321" s="689" t="n"/>
      <c r="X321" s="689" t="n"/>
      <c r="Y321" s="689" t="n"/>
      <c r="Z321" s="689" t="n"/>
      <c r="AA321" s="689" t="n"/>
      <c r="AB321" s="689" t="n"/>
      <c r="AC321" s="689" t="n"/>
      <c r="AD321" s="689" t="n"/>
      <c r="AF321" s="236" t="n"/>
      <c r="AG321" s="236" t="n"/>
      <c r="AH321" s="236" t="n"/>
      <c r="AI321" s="236" t="n"/>
      <c r="AJ321" s="236" t="n"/>
      <c r="AK321" s="236" t="n"/>
      <c r="AL321" s="236" t="n"/>
      <c r="AM321" s="236" t="n"/>
      <c r="AN321" s="236" t="n"/>
      <c r="AO321" s="236" t="n"/>
      <c r="AP321" s="236" t="n"/>
      <c r="AQ321" s="236" t="n"/>
      <c r="AR321" s="236" t="n"/>
      <c r="AS321" s="236" t="n"/>
      <c r="AT321" s="236" t="n"/>
      <c r="AU321" s="236" t="n"/>
      <c r="AV321" s="236" t="n"/>
      <c r="AW321" s="236" t="n"/>
      <c r="AX321" s="692" t="n"/>
      <c r="AY321" s="692" t="n"/>
      <c r="AZ321" s="692" t="n"/>
      <c r="BA321" s="692" t="n"/>
    </row>
    <row r="322">
      <c r="A322" s="218" t="inlineStr">
        <is>
          <t>Male</t>
        </is>
      </c>
      <c r="B322" s="215" t="inlineStr">
        <is>
          <t>50 Fly</t>
        </is>
      </c>
      <c r="C322" s="189" t="n">
        <v>2022</v>
      </c>
      <c r="D322" s="215" t="inlineStr">
        <is>
          <t>IND</t>
        </is>
      </c>
      <c r="E322" s="219" t="n">
        <v>3</v>
      </c>
      <c r="F322" s="215" t="inlineStr">
        <is>
          <t>24.30</t>
        </is>
      </c>
      <c r="G322" s="215" t="n">
        <v>1989</v>
      </c>
      <c r="H322" s="195">
        <f>C322-G322</f>
        <v/>
      </c>
      <c r="I322" s="215" t="inlineStr">
        <is>
          <t>Glenn Victor SUTANTO</t>
        </is>
      </c>
      <c r="J322" s="215" t="n"/>
      <c r="K322" s="215" t="n"/>
      <c r="L322" s="217" t="n"/>
      <c r="M322" s="689" t="n"/>
      <c r="N322" s="689" t="n"/>
      <c r="O322" s="689" t="n"/>
      <c r="P322" s="227" t="n"/>
      <c r="Q322" s="689" t="n"/>
      <c r="R322" s="689" t="n"/>
      <c r="S322" s="689" t="n"/>
      <c r="T322" s="689" t="n"/>
      <c r="U322" s="689" t="n"/>
      <c r="V322" s="689" t="n"/>
      <c r="W322" s="689" t="n"/>
      <c r="X322" s="689" t="n"/>
      <c r="Y322" s="689" t="n"/>
      <c r="Z322" s="689" t="n"/>
      <c r="AA322" s="689" t="n"/>
      <c r="AB322" s="689" t="n"/>
      <c r="AC322" s="689" t="n"/>
      <c r="AD322" s="689" t="n"/>
      <c r="AF322" s="236" t="n"/>
      <c r="AG322" s="236" t="n"/>
      <c r="AH322" s="236" t="n"/>
      <c r="AI322" s="236" t="n"/>
      <c r="AJ322" s="236" t="n"/>
      <c r="AK322" s="236" t="n"/>
      <c r="AL322" s="236" t="n"/>
      <c r="AM322" s="236" t="n"/>
      <c r="AN322" s="236" t="n"/>
      <c r="AO322" s="236" t="n"/>
      <c r="AP322" s="236" t="n"/>
      <c r="AQ322" s="236" t="n"/>
      <c r="AR322" s="236" t="n"/>
      <c r="AS322" s="236" t="n"/>
      <c r="AT322" s="236" t="n"/>
      <c r="AU322" s="236" t="n"/>
      <c r="AV322" s="236" t="n"/>
      <c r="AW322" s="236" t="n"/>
      <c r="AX322" s="692" t="n"/>
      <c r="AY322" s="692" t="n"/>
      <c r="AZ322" s="692" t="n"/>
      <c r="BA322" s="692" t="n"/>
    </row>
    <row r="323">
      <c r="A323" s="220" t="inlineStr">
        <is>
          <t>Male</t>
        </is>
      </c>
      <c r="B323" s="211" t="inlineStr">
        <is>
          <t>50 Fly</t>
        </is>
      </c>
      <c r="C323" s="190" t="n">
        <v>2023</v>
      </c>
      <c r="D323" s="211" t="inlineStr">
        <is>
          <t>SGP</t>
        </is>
      </c>
      <c r="E323" s="221" t="n">
        <v>1</v>
      </c>
      <c r="F323" s="211" t="inlineStr">
        <is>
          <t>23.45</t>
        </is>
      </c>
      <c r="G323" s="211" t="n">
        <v>2002</v>
      </c>
      <c r="H323" s="211">
        <f>C323-G323</f>
        <v/>
      </c>
      <c r="I323" s="211" t="inlineStr">
        <is>
          <t>Mikkel Jun Jie Lee</t>
        </is>
      </c>
      <c r="J323" s="211" t="inlineStr">
        <is>
          <t>Wisconsin</t>
        </is>
      </c>
      <c r="K323" s="211" t="inlineStr">
        <is>
          <t>USA</t>
        </is>
      </c>
      <c r="L323" s="213" t="n"/>
      <c r="M323" s="689" t="n"/>
      <c r="N323" s="689" t="n"/>
      <c r="O323" s="689" t="n"/>
      <c r="P323" s="227" t="n"/>
      <c r="Q323" s="689" t="n"/>
      <c r="R323" s="689" t="n"/>
      <c r="S323" s="689" t="n"/>
      <c r="T323" s="689" t="n"/>
      <c r="U323" s="689" t="n"/>
      <c r="V323" s="689" t="n"/>
      <c r="W323" s="689" t="n"/>
      <c r="X323" s="689" t="n"/>
      <c r="Y323" s="689" t="n"/>
      <c r="Z323" s="689" t="n"/>
      <c r="AA323" s="689" t="n"/>
      <c r="AB323" s="689" t="n"/>
      <c r="AC323" s="689" t="n"/>
      <c r="AD323" s="689" t="n"/>
      <c r="AF323" s="236" t="n"/>
      <c r="AG323" s="236" t="n"/>
      <c r="AH323" s="236" t="n"/>
      <c r="AI323" s="236" t="n"/>
      <c r="AJ323" s="236" t="n"/>
      <c r="AK323" s="236" t="n"/>
      <c r="AL323" s="236" t="n"/>
      <c r="AM323" s="236" t="n"/>
      <c r="AN323" s="236" t="n"/>
      <c r="AO323" s="236" t="n"/>
      <c r="AP323" s="236" t="n"/>
      <c r="AQ323" s="236" t="n"/>
      <c r="AR323" s="236" t="n"/>
      <c r="AS323" s="236" t="n"/>
      <c r="AT323" s="236" t="n"/>
      <c r="AU323" s="236" t="n"/>
      <c r="AV323" s="236" t="n"/>
      <c r="AW323" s="236" t="n"/>
      <c r="AX323" s="692" t="n"/>
      <c r="AY323" s="692" t="n"/>
      <c r="AZ323" s="692" t="n"/>
      <c r="BA323" s="692" t="n"/>
    </row>
    <row r="324">
      <c r="A324" s="218" t="inlineStr">
        <is>
          <t>Male</t>
        </is>
      </c>
      <c r="B324" s="215" t="inlineStr">
        <is>
          <t>50 Fly</t>
        </is>
      </c>
      <c r="C324" s="189" t="n">
        <v>2023</v>
      </c>
      <c r="D324" s="215" t="inlineStr">
        <is>
          <t>SGP</t>
        </is>
      </c>
      <c r="E324" s="219" t="n">
        <v>2</v>
      </c>
      <c r="F324" s="215" t="inlineStr">
        <is>
          <t>23.67</t>
        </is>
      </c>
      <c r="G324" s="215" t="n">
        <v>1997</v>
      </c>
      <c r="H324" s="215">
        <f>C324-G324</f>
        <v/>
      </c>
      <c r="I324" s="215" t="inlineStr">
        <is>
          <t>Tzen Wei Teong</t>
        </is>
      </c>
      <c r="J324" s="215" t="n"/>
      <c r="K324" s="215" t="n"/>
      <c r="L324" s="217" t="n"/>
      <c r="M324" s="689" t="n"/>
      <c r="N324" s="689" t="n"/>
      <c r="O324" s="689" t="n"/>
      <c r="P324" s="227" t="n"/>
      <c r="Q324" s="689" t="n"/>
      <c r="R324" s="689" t="n"/>
      <c r="S324" s="689" t="n"/>
      <c r="T324" s="689" t="n"/>
      <c r="U324" s="689" t="n"/>
      <c r="V324" s="689" t="n"/>
      <c r="W324" s="689" t="n"/>
      <c r="X324" s="689" t="n"/>
      <c r="Y324" s="689" t="n"/>
      <c r="Z324" s="689" t="n"/>
      <c r="AA324" s="689" t="n"/>
      <c r="AB324" s="689" t="n"/>
      <c r="AC324" s="689" t="n"/>
      <c r="AD324" s="689" t="n"/>
      <c r="AF324" s="236" t="n"/>
      <c r="AG324" s="236" t="n"/>
      <c r="AH324" s="236" t="n"/>
      <c r="AI324" s="236" t="n"/>
      <c r="AJ324" s="236" t="n"/>
      <c r="AK324" s="236" t="n"/>
      <c r="AL324" s="236" t="n"/>
      <c r="AM324" s="236" t="n"/>
      <c r="AN324" s="236" t="n"/>
      <c r="AO324" s="236" t="n"/>
      <c r="AP324" s="236" t="n"/>
      <c r="AQ324" s="236" t="n"/>
      <c r="AR324" s="236" t="n"/>
      <c r="AS324" s="236" t="n"/>
      <c r="AT324" s="236" t="n"/>
      <c r="AU324" s="236" t="n"/>
      <c r="AV324" s="236" t="n"/>
      <c r="AW324" s="236" t="n"/>
      <c r="AX324" s="692" t="n"/>
      <c r="AY324" s="692" t="n"/>
      <c r="AZ324" s="692" t="n"/>
      <c r="BA324" s="692" t="n"/>
      <c r="BB324" s="692" t="n"/>
      <c r="BC324" s="692" t="n"/>
      <c r="BD324" s="692" t="n"/>
      <c r="BE324" s="692" t="n"/>
      <c r="BF324" s="692" t="n"/>
      <c r="BG324" s="692" t="n"/>
      <c r="BH324" s="692" t="n"/>
      <c r="BI324" s="692" t="n"/>
      <c r="BJ324" s="692" t="n"/>
      <c r="BK324" s="692" t="n"/>
      <c r="BL324" s="692" t="n"/>
      <c r="BM324" s="692" t="n"/>
      <c r="BN324" s="692" t="n"/>
      <c r="BO324" s="692" t="n"/>
      <c r="BP324" s="692" t="n"/>
      <c r="BQ324" s="692" t="n"/>
    </row>
    <row r="325">
      <c r="A325" s="220" t="inlineStr">
        <is>
          <t>Male</t>
        </is>
      </c>
      <c r="B325" s="211" t="inlineStr">
        <is>
          <t>50 Fly</t>
        </is>
      </c>
      <c r="C325" s="190" t="n">
        <v>2023</v>
      </c>
      <c r="D325" s="211" t="inlineStr">
        <is>
          <t>PHI</t>
        </is>
      </c>
      <c r="E325" s="221" t="n">
        <v>3</v>
      </c>
      <c r="F325" s="211" t="inlineStr">
        <is>
          <t>23.89</t>
        </is>
      </c>
      <c r="G325" s="211" t="n">
        <v>1998</v>
      </c>
      <c r="H325" s="211">
        <f>C325-G325</f>
        <v/>
      </c>
      <c r="I325" s="211" t="inlineStr">
        <is>
          <t>Jarod Hatch</t>
        </is>
      </c>
      <c r="J325" s="211" t="inlineStr">
        <is>
          <t>California Berkeley</t>
        </is>
      </c>
      <c r="K325" s="211" t="inlineStr">
        <is>
          <t>USA</t>
        </is>
      </c>
      <c r="L325" s="213" t="n"/>
      <c r="M325" s="689" t="n"/>
      <c r="N325" s="689" t="n"/>
      <c r="O325" s="689" t="n"/>
      <c r="P325" s="227" t="n"/>
      <c r="Q325" s="689" t="n"/>
      <c r="R325" s="689" t="n"/>
      <c r="S325" s="689" t="n"/>
      <c r="T325" s="689" t="n"/>
      <c r="U325" s="689" t="n"/>
      <c r="V325" s="689" t="n"/>
      <c r="W325" s="689" t="n"/>
      <c r="X325" s="689" t="n"/>
      <c r="Y325" s="689" t="n"/>
      <c r="Z325" s="689" t="n"/>
      <c r="AA325" s="689" t="n"/>
      <c r="AB325" s="689" t="n"/>
      <c r="AC325" s="689" t="n"/>
      <c r="AD325" s="689" t="n"/>
      <c r="AF325" s="236" t="n"/>
      <c r="AG325" s="236" t="n"/>
      <c r="AH325" s="236" t="n"/>
      <c r="AI325" s="236" t="n"/>
      <c r="AJ325" s="236" t="n"/>
      <c r="AK325" s="236" t="n"/>
      <c r="AL325" s="236" t="n"/>
      <c r="AM325" s="236" t="n"/>
      <c r="AN325" s="236" t="n"/>
      <c r="AO325" s="236" t="n"/>
      <c r="AP325" s="236" t="n"/>
      <c r="AQ325" s="236" t="n"/>
      <c r="AR325" s="236" t="n"/>
      <c r="AS325" s="236" t="n"/>
      <c r="AT325" s="236" t="n"/>
      <c r="AU325" s="236" t="n"/>
      <c r="AV325" s="236" t="n"/>
      <c r="AW325" s="236" t="n"/>
      <c r="AX325" s="692" t="n"/>
      <c r="AY325" s="692" t="n"/>
      <c r="AZ325" s="692" t="n"/>
      <c r="BA325" s="692" t="n"/>
      <c r="BB325" s="692" t="n"/>
      <c r="BC325" s="692" t="n"/>
      <c r="BD325" s="692" t="n"/>
      <c r="BE325" s="692" t="n"/>
      <c r="BF325" s="692" t="n"/>
      <c r="BG325" s="692" t="n"/>
      <c r="BH325" s="692" t="n"/>
      <c r="BI325" s="692" t="n"/>
      <c r="BJ325" s="692" t="n"/>
      <c r="BK325" s="692" t="n"/>
      <c r="BL325" s="692" t="n"/>
      <c r="BM325" s="692" t="n"/>
      <c r="BN325" s="692" t="n"/>
      <c r="BO325" s="692" t="n"/>
      <c r="BP325" s="692" t="n"/>
      <c r="BQ325" s="692" t="n"/>
    </row>
    <row r="326">
      <c r="A326" s="218" t="inlineStr">
        <is>
          <t>Male</t>
        </is>
      </c>
      <c r="B326" s="215" t="inlineStr">
        <is>
          <t>50 Free</t>
        </is>
      </c>
      <c r="C326" s="189" t="n">
        <v>2019</v>
      </c>
      <c r="D326" s="215" t="inlineStr">
        <is>
          <t>SGP</t>
        </is>
      </c>
      <c r="E326" s="219" t="n">
        <v>1</v>
      </c>
      <c r="F326" s="215" t="inlineStr">
        <is>
          <t>22.25</t>
        </is>
      </c>
      <c r="G326" s="202" t="n">
        <v>2002</v>
      </c>
      <c r="H326" s="202">
        <f>C326-G326</f>
        <v/>
      </c>
      <c r="I326" s="206" t="inlineStr">
        <is>
          <t>Jonathan EU Jin Tan</t>
        </is>
      </c>
      <c r="J326" s="206" t="inlineStr">
        <is>
          <t>Stanford</t>
        </is>
      </c>
      <c r="K326" s="206" t="inlineStr">
        <is>
          <t>USA</t>
        </is>
      </c>
      <c r="L326" s="217" t="n"/>
      <c r="M326" s="689" t="n"/>
      <c r="N326" s="689" t="n"/>
      <c r="O326" s="689" t="n"/>
      <c r="P326" s="227" t="n"/>
      <c r="Q326" s="689" t="n"/>
      <c r="R326" s="689" t="n"/>
      <c r="S326" s="689" t="n"/>
      <c r="T326" s="689" t="n"/>
      <c r="U326" s="689" t="n"/>
      <c r="V326" s="689" t="n"/>
      <c r="W326" s="689" t="n"/>
      <c r="X326" s="689" t="n"/>
      <c r="Y326" s="689" t="n"/>
      <c r="Z326" s="689" t="n"/>
      <c r="AA326" s="689" t="n"/>
      <c r="AB326" s="689" t="n"/>
      <c r="AC326" s="689" t="n"/>
      <c r="AD326" s="689" t="n"/>
      <c r="AF326" s="236" t="n"/>
      <c r="AG326" s="236" t="n"/>
      <c r="AH326" s="236" t="n"/>
      <c r="AI326" s="236" t="n"/>
      <c r="AJ326" s="236" t="n"/>
      <c r="AK326" s="236" t="n"/>
      <c r="AL326" s="236" t="n"/>
      <c r="AM326" s="236" t="n"/>
      <c r="AN326" s="236" t="n"/>
      <c r="AO326" s="236" t="n"/>
      <c r="AP326" s="236" t="n"/>
      <c r="AQ326" s="236" t="n"/>
      <c r="AR326" s="236" t="n"/>
      <c r="AS326" s="236" t="n"/>
      <c r="AT326" s="236" t="n"/>
      <c r="AU326" s="236" t="n"/>
      <c r="AV326" s="236" t="n"/>
      <c r="AW326" s="236" t="n"/>
      <c r="AX326" s="692" t="n"/>
      <c r="AY326" s="692" t="n"/>
      <c r="AZ326" s="692" t="n"/>
      <c r="BA326" s="692" t="n"/>
      <c r="BB326" s="692" t="n"/>
      <c r="BC326" s="692" t="n"/>
      <c r="BD326" s="692" t="n"/>
      <c r="BE326" s="692" t="n"/>
      <c r="BF326" s="692" t="n"/>
      <c r="BG326" s="692" t="n"/>
      <c r="BH326" s="692" t="n"/>
      <c r="BI326" s="692" t="n"/>
      <c r="BJ326" s="692" t="n"/>
      <c r="BK326" s="692" t="n"/>
      <c r="BL326" s="692" t="n"/>
      <c r="BM326" s="692" t="n"/>
      <c r="BN326" s="692" t="n"/>
      <c r="BO326" s="692" t="n"/>
      <c r="BP326" s="692" t="n"/>
      <c r="BQ326" s="692" t="n"/>
    </row>
    <row r="327">
      <c r="A327" s="220" t="inlineStr">
        <is>
          <t>Male</t>
        </is>
      </c>
      <c r="B327" s="211" t="inlineStr">
        <is>
          <t>50 Free</t>
        </is>
      </c>
      <c r="C327" s="190" t="n">
        <v>2019</v>
      </c>
      <c r="D327" s="211" t="inlineStr">
        <is>
          <t>SGP</t>
        </is>
      </c>
      <c r="E327" s="221" t="n">
        <v>2</v>
      </c>
      <c r="F327" s="211" t="inlineStr">
        <is>
          <t>22.4</t>
        </is>
      </c>
      <c r="G327" s="196" t="n">
        <v>1997</v>
      </c>
      <c r="H327" s="196">
        <f>C327-G327</f>
        <v/>
      </c>
      <c r="I327" s="198" t="inlineStr">
        <is>
          <t>Tzen Wei Teong</t>
        </is>
      </c>
      <c r="J327" s="211" t="n"/>
      <c r="K327" s="211" t="n"/>
      <c r="L327" s="213" t="n"/>
      <c r="M327" s="689" t="n"/>
      <c r="N327" s="689" t="n"/>
      <c r="O327" s="689" t="n"/>
      <c r="P327" s="227" t="n"/>
      <c r="Q327" s="689" t="n"/>
      <c r="R327" s="689" t="n"/>
      <c r="S327" s="689" t="n"/>
      <c r="T327" s="689" t="n"/>
      <c r="U327" s="689" t="n"/>
      <c r="V327" s="689" t="n"/>
      <c r="W327" s="689" t="n"/>
      <c r="X327" s="689" t="n"/>
      <c r="Y327" s="689" t="n"/>
      <c r="Z327" s="689" t="n"/>
      <c r="AA327" s="689" t="n"/>
      <c r="AB327" s="689" t="n"/>
      <c r="AC327" s="689" t="n"/>
      <c r="AD327" s="689" t="n"/>
      <c r="AF327" s="236" t="n"/>
      <c r="AG327" s="236" t="n"/>
      <c r="AH327" s="236" t="n"/>
      <c r="AI327" s="236" t="n"/>
      <c r="AJ327" s="236" t="n"/>
      <c r="AK327" s="236" t="n"/>
      <c r="AL327" s="236" t="n"/>
      <c r="AM327" s="236" t="n"/>
      <c r="AN327" s="236" t="n"/>
      <c r="AO327" s="236" t="n"/>
      <c r="AP327" s="236" t="n"/>
      <c r="AQ327" s="236" t="n"/>
      <c r="AR327" s="236" t="n"/>
      <c r="AS327" s="236" t="n"/>
      <c r="AT327" s="236" t="n"/>
      <c r="AU327" s="236" t="n"/>
      <c r="AV327" s="236" t="n"/>
      <c r="AW327" s="236" t="n"/>
      <c r="AX327" s="692" t="n"/>
      <c r="AY327" s="692" t="n"/>
      <c r="AZ327" s="692" t="n"/>
      <c r="BA327" s="692" t="n"/>
      <c r="BB327" s="692" t="n"/>
      <c r="BC327" s="692" t="n"/>
      <c r="BD327" s="692" t="n"/>
      <c r="BE327" s="692" t="n"/>
      <c r="BF327" s="692" t="n"/>
      <c r="BG327" s="692" t="n"/>
      <c r="BH327" s="692" t="n"/>
      <c r="BI327" s="692" t="n"/>
      <c r="BJ327" s="692" t="n"/>
      <c r="BK327" s="692" t="n"/>
      <c r="BL327" s="692" t="n"/>
      <c r="BM327" s="692" t="n"/>
      <c r="BN327" s="692" t="n"/>
      <c r="BO327" s="692" t="n"/>
      <c r="BP327" s="692" t="n"/>
      <c r="BQ327" s="692" t="n"/>
    </row>
    <row r="328">
      <c r="A328" s="218" t="inlineStr">
        <is>
          <t>Male</t>
        </is>
      </c>
      <c r="B328" s="215" t="inlineStr">
        <is>
          <t>50 Free</t>
        </is>
      </c>
      <c r="C328" s="189" t="n">
        <v>2019</v>
      </c>
      <c r="D328" s="215" t="inlineStr">
        <is>
          <t>PHI</t>
        </is>
      </c>
      <c r="E328" s="219" t="n">
        <v>3</v>
      </c>
      <c r="F328" s="215" t="inlineStr">
        <is>
          <t>22.62</t>
        </is>
      </c>
      <c r="G328" s="215" t="n">
        <v>1996</v>
      </c>
      <c r="H328" s="195">
        <f>C328-G328</f>
        <v/>
      </c>
      <c r="I328" s="215" t="inlineStr">
        <is>
          <t>Luke Michael Gebbie</t>
        </is>
      </c>
      <c r="J328" s="215" t="inlineStr">
        <is>
          <t>Melbourne</t>
        </is>
      </c>
      <c r="K328" s="215" t="inlineStr">
        <is>
          <t>Australia</t>
        </is>
      </c>
      <c r="L328" s="217" t="inlineStr">
        <is>
          <t>Thailand</t>
        </is>
      </c>
      <c r="M328" s="689" t="n"/>
      <c r="N328" s="689" t="n"/>
      <c r="O328" s="689" t="n"/>
      <c r="P328" s="227" t="n"/>
      <c r="Q328" s="689" t="n"/>
      <c r="R328" s="689" t="n"/>
      <c r="S328" s="689" t="n"/>
      <c r="T328" s="689" t="n"/>
      <c r="U328" s="689" t="n"/>
      <c r="V328" s="689" t="n"/>
      <c r="W328" s="689" t="n"/>
      <c r="X328" s="689" t="n"/>
      <c r="Y328" s="689" t="n"/>
      <c r="Z328" s="689" t="n"/>
      <c r="AA328" s="689" t="n"/>
      <c r="AB328" s="689" t="n"/>
      <c r="AC328" s="689" t="n"/>
      <c r="AD328" s="689" t="n"/>
      <c r="AF328" s="236" t="n"/>
      <c r="AG328" s="236" t="n"/>
      <c r="AH328" s="236" t="n"/>
      <c r="AI328" s="236" t="n"/>
      <c r="AJ328" s="236" t="n"/>
      <c r="AK328" s="236" t="n"/>
      <c r="AL328" s="236" t="n"/>
      <c r="AM328" s="236" t="n"/>
      <c r="AN328" s="236" t="n"/>
      <c r="AO328" s="236" t="n"/>
      <c r="AP328" s="236" t="n"/>
      <c r="AQ328" s="236" t="n"/>
      <c r="AR328" s="236" t="n"/>
      <c r="AS328" s="236" t="n"/>
      <c r="AT328" s="236" t="n"/>
      <c r="AU328" s="236" t="n"/>
      <c r="AV328" s="236" t="n"/>
      <c r="AW328" s="236" t="n"/>
      <c r="AX328" s="692" t="n"/>
      <c r="AY328" s="692" t="n"/>
      <c r="AZ328" s="692" t="n"/>
      <c r="BA328" s="692" t="n"/>
      <c r="BB328" s="692" t="n"/>
      <c r="BC328" s="692" t="n"/>
      <c r="BD328" s="692" t="n"/>
      <c r="BE328" s="692" t="n"/>
      <c r="BF328" s="692" t="n"/>
      <c r="BG328" s="692" t="n"/>
      <c r="BH328" s="692" t="n"/>
      <c r="BI328" s="692" t="n"/>
      <c r="BJ328" s="692" t="n"/>
      <c r="BK328" s="692" t="n"/>
      <c r="BL328" s="692" t="n"/>
      <c r="BM328" s="692" t="n"/>
      <c r="BN328" s="692" t="n"/>
      <c r="BO328" s="692" t="n"/>
      <c r="BP328" s="692" t="n"/>
      <c r="BQ328" s="692" t="n"/>
    </row>
    <row r="329">
      <c r="A329" s="220" t="inlineStr">
        <is>
          <t>Male</t>
        </is>
      </c>
      <c r="B329" s="211" t="inlineStr">
        <is>
          <t>50 Free</t>
        </is>
      </c>
      <c r="C329" s="190" t="n">
        <v>2022</v>
      </c>
      <c r="D329" s="211" t="inlineStr">
        <is>
          <t>SGP</t>
        </is>
      </c>
      <c r="E329" s="221" t="n">
        <v>1</v>
      </c>
      <c r="F329" s="211" t="inlineStr">
        <is>
          <t>21.93</t>
        </is>
      </c>
      <c r="G329" s="197" t="n">
        <v>1997</v>
      </c>
      <c r="H329" s="197">
        <f>C329-G329</f>
        <v/>
      </c>
      <c r="I329" s="201" t="inlineStr">
        <is>
          <t>Tzen Wei Teong</t>
        </is>
      </c>
      <c r="J329" s="211" t="n"/>
      <c r="K329" s="211" t="n"/>
      <c r="L329" s="213" t="n"/>
      <c r="M329" s="689" t="n"/>
      <c r="N329" s="689" t="n"/>
      <c r="O329" s="689" t="n"/>
      <c r="P329" s="227" t="n"/>
      <c r="Q329" s="689" t="n"/>
      <c r="R329" s="689" t="n"/>
      <c r="S329" s="689" t="n"/>
      <c r="T329" s="689" t="n"/>
      <c r="U329" s="689" t="n"/>
      <c r="V329" s="689" t="n"/>
      <c r="W329" s="689" t="n"/>
      <c r="X329" s="689" t="n"/>
      <c r="Y329" s="689" t="n"/>
      <c r="Z329" s="689" t="n"/>
      <c r="AA329" s="689" t="n"/>
      <c r="AB329" s="689" t="n"/>
      <c r="AC329" s="689" t="n"/>
      <c r="AD329" s="689" t="n"/>
      <c r="AF329" s="236" t="n"/>
      <c r="AG329" s="236" t="n"/>
      <c r="AH329" s="236" t="n"/>
      <c r="AI329" s="236" t="n"/>
      <c r="AJ329" s="236" t="n"/>
      <c r="AK329" s="236" t="n"/>
      <c r="AL329" s="236" t="n"/>
      <c r="AM329" s="236" t="n"/>
      <c r="AN329" s="236" t="n"/>
      <c r="AO329" s="236" t="n"/>
      <c r="AP329" s="236" t="n"/>
      <c r="AQ329" s="236" t="n"/>
      <c r="AR329" s="236" t="n"/>
      <c r="AS329" s="236" t="n"/>
      <c r="AT329" s="236" t="n"/>
      <c r="AU329" s="236" t="n"/>
      <c r="AV329" s="236" t="n"/>
      <c r="AW329" s="236" t="n"/>
      <c r="AX329" s="692" t="n"/>
      <c r="AY329" s="692" t="n"/>
      <c r="AZ329" s="692" t="n"/>
      <c r="BA329" s="692" t="n"/>
      <c r="BB329" s="692" t="n"/>
      <c r="BC329" s="692" t="n"/>
      <c r="BD329" s="692" t="n"/>
      <c r="BE329" s="692" t="n"/>
      <c r="BF329" s="692" t="n"/>
      <c r="BG329" s="692" t="n"/>
      <c r="BH329" s="692" t="n"/>
      <c r="BI329" s="692" t="n"/>
      <c r="BJ329" s="692" t="n"/>
      <c r="BK329" s="692" t="n"/>
      <c r="BL329" s="692" t="n"/>
      <c r="BM329" s="692" t="n"/>
      <c r="BN329" s="692" t="n"/>
      <c r="BO329" s="692" t="n"/>
      <c r="BP329" s="692" t="n"/>
      <c r="BQ329" s="692" t="n"/>
    </row>
    <row r="330">
      <c r="A330" s="218" t="inlineStr">
        <is>
          <t>Male</t>
        </is>
      </c>
      <c r="B330" s="215" t="inlineStr">
        <is>
          <t>50 Free</t>
        </is>
      </c>
      <c r="C330" s="189" t="n">
        <v>2022</v>
      </c>
      <c r="D330" s="215" t="inlineStr">
        <is>
          <t>SGP</t>
        </is>
      </c>
      <c r="E330" s="219" t="n">
        <v>2</v>
      </c>
      <c r="F330" s="215" t="inlineStr">
        <is>
          <t>22.24</t>
        </is>
      </c>
      <c r="G330" s="202" t="n">
        <v>2002</v>
      </c>
      <c r="H330" s="202">
        <f>C330-G330</f>
        <v/>
      </c>
      <c r="I330" s="206" t="inlineStr">
        <is>
          <t>Jonathan EU Jin Tan</t>
        </is>
      </c>
      <c r="J330" s="206" t="inlineStr">
        <is>
          <t>Stanford</t>
        </is>
      </c>
      <c r="K330" s="206" t="inlineStr">
        <is>
          <t>USA</t>
        </is>
      </c>
      <c r="L330" s="217" t="n"/>
      <c r="M330" s="689" t="n"/>
      <c r="N330" s="689" t="n"/>
      <c r="O330" s="689" t="n"/>
      <c r="P330" s="227" t="n"/>
      <c r="Q330" s="689" t="n"/>
      <c r="R330" s="689" t="n"/>
      <c r="S330" s="689" t="n"/>
      <c r="T330" s="689" t="n"/>
      <c r="U330" s="689" t="n"/>
      <c r="V330" s="689" t="n"/>
      <c r="W330" s="689" t="n"/>
      <c r="X330" s="689" t="n"/>
      <c r="Y330" s="689" t="n"/>
      <c r="Z330" s="689" t="n"/>
      <c r="AA330" s="689" t="n"/>
      <c r="AB330" s="689" t="n"/>
      <c r="AC330" s="689" t="n"/>
      <c r="AD330" s="689" t="n"/>
      <c r="AF330" s="236" t="n"/>
      <c r="AG330" s="236" t="n"/>
      <c r="AH330" s="236" t="n"/>
      <c r="AI330" s="236" t="n"/>
      <c r="AJ330" s="236" t="n"/>
      <c r="AK330" s="236" t="n"/>
      <c r="AL330" s="236" t="n"/>
      <c r="AM330" s="236" t="n"/>
      <c r="AN330" s="236" t="n"/>
      <c r="AO330" s="236" t="n"/>
      <c r="AP330" s="236" t="n"/>
      <c r="AQ330" s="236" t="n"/>
      <c r="AR330" s="236" t="n"/>
      <c r="AS330" s="236" t="n"/>
      <c r="AT330" s="236" t="n"/>
      <c r="AU330" s="236" t="n"/>
      <c r="AV330" s="236" t="n"/>
      <c r="AW330" s="236" t="n"/>
      <c r="AX330" s="692" t="n"/>
      <c r="AY330" s="692" t="n"/>
      <c r="AZ330" s="692" t="n"/>
      <c r="BA330" s="692" t="n"/>
      <c r="BB330" s="692" t="n"/>
      <c r="BC330" s="692" t="n"/>
      <c r="BD330" s="692" t="n"/>
      <c r="BE330" s="692" t="n"/>
      <c r="BF330" s="692" t="n"/>
      <c r="BG330" s="692" t="n"/>
      <c r="BH330" s="692" t="n"/>
      <c r="BI330" s="692" t="n"/>
      <c r="BJ330" s="692" t="n"/>
      <c r="BK330" s="692" t="n"/>
      <c r="BL330" s="692" t="n"/>
      <c r="BM330" s="692" t="n"/>
      <c r="BN330" s="692" t="n"/>
      <c r="BO330" s="692" t="n"/>
      <c r="BP330" s="692" t="n"/>
      <c r="BQ330" s="692" t="n"/>
    </row>
    <row r="331">
      <c r="A331" s="220" t="inlineStr">
        <is>
          <t>Male</t>
        </is>
      </c>
      <c r="B331" s="211" t="inlineStr">
        <is>
          <t>50 Free</t>
        </is>
      </c>
      <c r="C331" s="190" t="n">
        <v>2022</v>
      </c>
      <c r="D331" s="211" t="inlineStr">
        <is>
          <t>VIE</t>
        </is>
      </c>
      <c r="E331" s="221" t="n">
        <v>3</v>
      </c>
      <c r="F331" s="211" t="inlineStr">
        <is>
          <t>22.85</t>
        </is>
      </c>
      <c r="G331" s="197" t="n">
        <v>2000</v>
      </c>
      <c r="H331" s="197">
        <f>C331-G331</f>
        <v/>
      </c>
      <c r="I331" s="201" t="inlineStr">
        <is>
          <t>Jeremie Loic Nino Luong</t>
        </is>
      </c>
      <c r="J331" s="201" t="inlineStr">
        <is>
          <t>Michigan</t>
        </is>
      </c>
      <c r="K331" s="201" t="inlineStr">
        <is>
          <t>USA</t>
        </is>
      </c>
      <c r="L331" s="203" t="inlineStr">
        <is>
          <t>France (10)</t>
        </is>
      </c>
      <c r="M331" s="689" t="n"/>
      <c r="N331" s="689" t="n"/>
      <c r="O331" s="689" t="n"/>
      <c r="P331" s="227" t="n"/>
      <c r="Q331" s="689" t="n"/>
      <c r="R331" s="689" t="n"/>
      <c r="S331" s="689" t="n"/>
      <c r="T331" s="689" t="n"/>
      <c r="U331" s="689" t="n"/>
      <c r="V331" s="689" t="n"/>
      <c r="W331" s="689" t="n"/>
      <c r="X331" s="689" t="n"/>
      <c r="Y331" s="689" t="n"/>
      <c r="Z331" s="689" t="n"/>
      <c r="AA331" s="689" t="n"/>
      <c r="AB331" s="689" t="n"/>
      <c r="AC331" s="689" t="n"/>
      <c r="AD331" s="689" t="n"/>
      <c r="AF331" s="236" t="n"/>
      <c r="AG331" s="236" t="n"/>
      <c r="AH331" s="236" t="n"/>
      <c r="AI331" s="236" t="n"/>
      <c r="AJ331" s="236" t="n"/>
      <c r="AK331" s="236" t="n"/>
      <c r="AL331" s="236" t="n"/>
      <c r="AM331" s="236" t="n"/>
      <c r="AN331" s="236" t="n"/>
      <c r="AO331" s="236" t="n"/>
      <c r="AP331" s="236" t="n"/>
      <c r="AQ331" s="236" t="n"/>
      <c r="AR331" s="236" t="n"/>
      <c r="AS331" s="236" t="n"/>
      <c r="AT331" s="236" t="n"/>
      <c r="AU331" s="236" t="n"/>
      <c r="AV331" s="236" t="n"/>
      <c r="AW331" s="236" t="n"/>
      <c r="AX331" s="692" t="n"/>
      <c r="AY331" s="692" t="n"/>
      <c r="AZ331" s="692" t="n"/>
      <c r="BA331" s="692" t="n"/>
      <c r="BB331" s="692" t="n"/>
      <c r="BC331" s="692" t="n"/>
      <c r="BD331" s="692" t="n"/>
      <c r="BE331" s="692" t="n"/>
      <c r="BF331" s="692" t="n"/>
      <c r="BG331" s="692" t="n"/>
      <c r="BH331" s="692" t="n"/>
      <c r="BI331" s="692" t="n"/>
      <c r="BJ331" s="692" t="n"/>
      <c r="BK331" s="692" t="n"/>
      <c r="BL331" s="692" t="n"/>
      <c r="BM331" s="692" t="n"/>
      <c r="BN331" s="692" t="n"/>
      <c r="BO331" s="692" t="n"/>
      <c r="BP331" s="692" t="n"/>
      <c r="BQ331" s="692" t="n"/>
    </row>
    <row r="332">
      <c r="A332" s="218" t="inlineStr">
        <is>
          <t>Male</t>
        </is>
      </c>
      <c r="B332" s="215" t="inlineStr">
        <is>
          <t>50 Free</t>
        </is>
      </c>
      <c r="C332" s="189" t="n">
        <v>2023</v>
      </c>
      <c r="D332" s="215" t="inlineStr">
        <is>
          <t>SGP</t>
        </is>
      </c>
      <c r="E332" s="219" t="n">
        <v>1</v>
      </c>
      <c r="F332" s="215" t="inlineStr">
        <is>
          <t>21.95</t>
        </is>
      </c>
      <c r="G332" s="215" t="n">
        <v>2002</v>
      </c>
      <c r="H332" s="215">
        <f>C332-G332</f>
        <v/>
      </c>
      <c r="I332" s="215" t="inlineStr">
        <is>
          <t>Jonathan EU Jin Tan</t>
        </is>
      </c>
      <c r="J332" s="215" t="inlineStr">
        <is>
          <t>Stanford</t>
        </is>
      </c>
      <c r="K332" s="215" t="inlineStr">
        <is>
          <t>USA</t>
        </is>
      </c>
      <c r="L332" s="217" t="n"/>
      <c r="M332" s="689" t="n"/>
      <c r="N332" s="689" t="n"/>
      <c r="O332" s="689" t="n"/>
      <c r="P332" s="227" t="n"/>
      <c r="Q332" s="689" t="n"/>
      <c r="R332" s="689" t="n"/>
      <c r="S332" s="689" t="n"/>
      <c r="T332" s="689" t="n"/>
      <c r="U332" s="689" t="n"/>
      <c r="V332" s="689" t="n"/>
      <c r="W332" s="689" t="n"/>
      <c r="X332" s="689" t="n"/>
      <c r="Y332" s="689" t="n"/>
      <c r="Z332" s="689" t="n"/>
      <c r="AA332" s="689" t="n"/>
      <c r="AB332" s="689" t="n"/>
      <c r="AC332" s="689" t="n"/>
      <c r="AD332" s="689" t="n"/>
      <c r="AF332" s="236" t="n"/>
      <c r="AG332" s="236" t="n"/>
      <c r="AH332" s="236" t="n"/>
      <c r="AI332" s="236" t="n"/>
      <c r="AJ332" s="236" t="n"/>
      <c r="AK332" s="236" t="n"/>
      <c r="AL332" s="236" t="n"/>
      <c r="AM332" s="236" t="n"/>
      <c r="AN332" s="236" t="n"/>
      <c r="AO332" s="236" t="n"/>
      <c r="AP332" s="236" t="n"/>
      <c r="AQ332" s="236" t="n"/>
      <c r="AR332" s="236" t="n"/>
      <c r="AS332" s="236" t="n"/>
      <c r="AT332" s="236" t="n"/>
      <c r="AU332" s="236" t="n"/>
      <c r="AV332" s="236" t="n"/>
      <c r="AW332" s="236" t="n"/>
      <c r="AX332" s="692" t="n"/>
      <c r="AY332" s="692" t="n"/>
      <c r="AZ332" s="692" t="n"/>
      <c r="BA332" s="692" t="n"/>
      <c r="BB332" s="692" t="n"/>
      <c r="BC332" s="692" t="n"/>
      <c r="BD332" s="692" t="n"/>
      <c r="BE332" s="692" t="n"/>
      <c r="BF332" s="692" t="n"/>
      <c r="BG332" s="692" t="n"/>
      <c r="BH332" s="692" t="n"/>
      <c r="BI332" s="692" t="n"/>
      <c r="BJ332" s="692" t="n"/>
      <c r="BK332" s="692" t="n"/>
      <c r="BL332" s="692" t="n"/>
      <c r="BM332" s="692" t="n"/>
      <c r="BN332" s="692" t="n"/>
      <c r="BO332" s="692" t="n"/>
      <c r="BP332" s="692" t="n"/>
      <c r="BQ332" s="692" t="n"/>
    </row>
    <row r="333">
      <c r="A333" s="220" t="inlineStr">
        <is>
          <t>Male</t>
        </is>
      </c>
      <c r="B333" s="211" t="inlineStr">
        <is>
          <t>50 Free</t>
        </is>
      </c>
      <c r="C333" s="190" t="n">
        <v>2023</v>
      </c>
      <c r="D333" s="211" t="inlineStr">
        <is>
          <t>SGP</t>
        </is>
      </c>
      <c r="E333" s="221" t="n">
        <v>2</v>
      </c>
      <c r="F333" s="211" t="inlineStr">
        <is>
          <t>22.50</t>
        </is>
      </c>
      <c r="G333" s="211" t="n">
        <v>1997</v>
      </c>
      <c r="H333" s="211">
        <f>C333-G333</f>
        <v/>
      </c>
      <c r="I333" s="211" t="inlineStr">
        <is>
          <t>Tzen Wei Teong</t>
        </is>
      </c>
      <c r="J333" s="211" t="n"/>
      <c r="K333" s="211" t="n"/>
      <c r="L333" s="213" t="n"/>
      <c r="M333" s="689" t="n"/>
      <c r="N333" s="689" t="n"/>
      <c r="O333" s="689" t="n"/>
      <c r="P333" s="227" t="n"/>
      <c r="Q333" s="689" t="n"/>
      <c r="R333" s="689" t="n"/>
      <c r="S333" s="689" t="n"/>
      <c r="T333" s="689" t="n"/>
      <c r="U333" s="689" t="n"/>
      <c r="V333" s="689" t="n"/>
      <c r="W333" s="689" t="n"/>
      <c r="X333" s="689" t="n"/>
      <c r="Y333" s="689" t="n"/>
      <c r="Z333" s="689" t="n"/>
      <c r="AA333" s="689" t="n"/>
      <c r="AB333" s="689" t="n"/>
      <c r="AC333" s="689" t="n"/>
      <c r="AD333" s="689" t="n"/>
      <c r="AF333" s="236" t="n"/>
      <c r="AG333" s="236" t="n"/>
      <c r="AH333" s="236" t="n"/>
      <c r="AI333" s="236" t="n"/>
      <c r="AJ333" s="236" t="n"/>
      <c r="AK333" s="236" t="n"/>
      <c r="AL333" s="236" t="n"/>
      <c r="AM333" s="236" t="n"/>
      <c r="AN333" s="236" t="n"/>
      <c r="AO333" s="236" t="n"/>
      <c r="AP333" s="236" t="n"/>
      <c r="AQ333" s="236" t="n"/>
      <c r="AR333" s="236" t="n"/>
      <c r="AS333" s="236" t="n"/>
      <c r="AT333" s="236" t="n"/>
      <c r="AU333" s="236" t="n"/>
      <c r="AV333" s="236" t="n"/>
      <c r="AW333" s="236" t="n"/>
      <c r="AX333" s="692" t="n"/>
      <c r="AY333" s="692" t="n"/>
      <c r="AZ333" s="692" t="n"/>
      <c r="BA333" s="692" t="n"/>
      <c r="BB333" s="692" t="n"/>
      <c r="BC333" s="692" t="n"/>
      <c r="BD333" s="692" t="n"/>
      <c r="BE333" s="692" t="n"/>
      <c r="BF333" s="692" t="n"/>
      <c r="BG333" s="692" t="n"/>
      <c r="BH333" s="692" t="n"/>
      <c r="BI333" s="692" t="n"/>
      <c r="BJ333" s="692" t="n"/>
      <c r="BK333" s="692" t="n"/>
      <c r="BL333" s="692" t="n"/>
      <c r="BM333" s="692" t="n"/>
      <c r="BN333" s="692" t="n"/>
      <c r="BO333" s="692" t="n"/>
      <c r="BP333" s="692" t="n"/>
      <c r="BQ333" s="692" t="n"/>
    </row>
    <row r="334">
      <c r="A334" s="218" t="inlineStr">
        <is>
          <t>Male</t>
        </is>
      </c>
      <c r="B334" s="215" t="inlineStr">
        <is>
          <t>50 Free</t>
        </is>
      </c>
      <c r="C334" s="189" t="n">
        <v>2023</v>
      </c>
      <c r="D334" s="215" t="inlineStr">
        <is>
          <t>VIE</t>
        </is>
      </c>
      <c r="E334" s="219" t="n">
        <v>3</v>
      </c>
      <c r="F334" s="215" t="inlineStr">
        <is>
          <t>22.84</t>
        </is>
      </c>
      <c r="G334" s="215" t="n">
        <v>2000</v>
      </c>
      <c r="H334" s="215">
        <f>C334-G334</f>
        <v/>
      </c>
      <c r="I334" s="215" t="inlineStr">
        <is>
          <t>Jeremie Loic Nino Luong</t>
        </is>
      </c>
      <c r="J334" s="215" t="inlineStr">
        <is>
          <t>Michigan</t>
        </is>
      </c>
      <c r="K334" s="215" t="inlineStr">
        <is>
          <t>USA</t>
        </is>
      </c>
      <c r="L334" s="217" t="inlineStr">
        <is>
          <t>France (10)</t>
        </is>
      </c>
      <c r="M334" s="689" t="n"/>
      <c r="N334" s="689" t="n"/>
      <c r="O334" s="689" t="n"/>
      <c r="P334" s="227" t="n"/>
      <c r="Q334" s="689" t="n"/>
      <c r="R334" s="689" t="n"/>
      <c r="S334" s="689" t="n"/>
      <c r="T334" s="689" t="n"/>
      <c r="U334" s="689" t="n"/>
      <c r="V334" s="689" t="n"/>
      <c r="W334" s="689" t="n"/>
      <c r="X334" s="689" t="n"/>
      <c r="Y334" s="689" t="n"/>
      <c r="Z334" s="689" t="n"/>
      <c r="AA334" s="689" t="n"/>
      <c r="AB334" s="689" t="n"/>
      <c r="AC334" s="689" t="n"/>
      <c r="AD334" s="689" t="n"/>
      <c r="AF334" s="236" t="n"/>
      <c r="AG334" s="236" t="n"/>
      <c r="AH334" s="236" t="n"/>
      <c r="AI334" s="236" t="n"/>
      <c r="AJ334" s="236" t="n"/>
      <c r="AK334" s="236" t="n"/>
      <c r="AL334" s="236" t="n"/>
      <c r="AM334" s="236" t="n"/>
      <c r="AN334" s="236" t="n"/>
      <c r="AO334" s="236" t="n"/>
      <c r="AP334" s="236" t="n"/>
      <c r="AQ334" s="236" t="n"/>
      <c r="AR334" s="236" t="n"/>
      <c r="AS334" s="236" t="n"/>
      <c r="AT334" s="236" t="n"/>
      <c r="AU334" s="236" t="n"/>
      <c r="AV334" s="236" t="n"/>
      <c r="AW334" s="236" t="n"/>
      <c r="AX334" s="692" t="n"/>
      <c r="AY334" s="692" t="n"/>
      <c r="AZ334" s="692" t="n"/>
      <c r="BA334" s="692" t="n"/>
      <c r="BB334" s="692" t="n"/>
      <c r="BC334" s="692" t="n"/>
      <c r="BD334" s="692" t="n"/>
      <c r="BE334" s="692" t="n"/>
      <c r="BF334" s="692" t="n"/>
      <c r="BG334" s="692" t="n"/>
      <c r="BH334" s="692" t="n"/>
      <c r="BI334" s="692" t="n"/>
      <c r="BJ334" s="692" t="n"/>
      <c r="BK334" s="692" t="n"/>
      <c r="BL334" s="692" t="n"/>
      <c r="BM334" s="692" t="n"/>
      <c r="BN334" s="692" t="n"/>
      <c r="BO334" s="692" t="n"/>
      <c r="BP334" s="692" t="n"/>
      <c r="BQ334" s="692" t="n"/>
    </row>
    <row r="335">
      <c r="A335" s="220" t="inlineStr">
        <is>
          <t>Male</t>
        </is>
      </c>
      <c r="B335" s="211" t="inlineStr">
        <is>
          <t>800 Free Relay</t>
        </is>
      </c>
      <c r="C335" s="190" t="n">
        <v>2019</v>
      </c>
      <c r="D335" s="211" t="inlineStr">
        <is>
          <t>SGP</t>
        </is>
      </c>
      <c r="E335" s="221" t="n">
        <v>1</v>
      </c>
      <c r="F335" s="211" t="inlineStr">
        <is>
          <t>7:17.88</t>
        </is>
      </c>
      <c r="G335" s="211" t="n"/>
      <c r="H335" s="211" t="n"/>
      <c r="I335" s="211" t="n"/>
      <c r="J335" s="211" t="n"/>
      <c r="K335" s="211" t="n"/>
      <c r="L335" s="213" t="n"/>
      <c r="M335" s="689" t="n"/>
      <c r="N335" s="689" t="n"/>
      <c r="O335" s="689" t="n"/>
      <c r="P335" s="227" t="n"/>
      <c r="Q335" s="689" t="n"/>
      <c r="R335" s="689" t="n"/>
      <c r="S335" s="689" t="n"/>
      <c r="T335" s="689" t="n"/>
      <c r="U335" s="689" t="n"/>
      <c r="V335" s="689" t="n"/>
      <c r="W335" s="689" t="n"/>
      <c r="X335" s="689" t="n"/>
      <c r="Y335" s="689" t="n"/>
      <c r="Z335" s="689" t="n"/>
      <c r="AA335" s="689" t="n"/>
      <c r="AB335" s="689" t="n"/>
      <c r="AC335" s="689" t="n"/>
      <c r="AD335" s="689" t="n"/>
      <c r="AF335" s="236" t="n"/>
      <c r="AG335" s="236" t="n"/>
      <c r="AH335" s="236" t="n"/>
      <c r="AI335" s="236" t="n"/>
      <c r="AJ335" s="236" t="n"/>
      <c r="AK335" s="236" t="n"/>
      <c r="AL335" s="236" t="n"/>
      <c r="AM335" s="236" t="n"/>
      <c r="AN335" s="236" t="n"/>
      <c r="AO335" s="236" t="n"/>
      <c r="AP335" s="236" t="n"/>
      <c r="AQ335" s="236" t="n"/>
      <c r="AR335" s="236" t="n"/>
      <c r="AS335" s="236" t="n"/>
      <c r="AT335" s="236" t="n"/>
      <c r="AU335" s="236" t="n"/>
      <c r="AV335" s="236" t="n"/>
      <c r="AW335" s="236" t="n"/>
      <c r="AX335" s="692" t="n"/>
      <c r="AY335" s="692" t="n"/>
      <c r="AZ335" s="692" t="n"/>
      <c r="BA335" s="692" t="n"/>
      <c r="BB335" s="692" t="n"/>
      <c r="BC335" s="692" t="n"/>
      <c r="BD335" s="692" t="n"/>
      <c r="BE335" s="692" t="n"/>
      <c r="BF335" s="692" t="n"/>
      <c r="BG335" s="692" t="n"/>
      <c r="BH335" s="692" t="n"/>
      <c r="BI335" s="692" t="n"/>
      <c r="BJ335" s="692" t="n"/>
      <c r="BK335" s="692" t="n"/>
      <c r="BL335" s="692" t="n"/>
      <c r="BM335" s="692" t="n"/>
      <c r="BN335" s="692" t="n"/>
      <c r="BO335" s="692" t="n"/>
      <c r="BP335" s="692" t="n"/>
      <c r="BQ335" s="692" t="n"/>
    </row>
    <row r="336">
      <c r="A336" s="218" t="inlineStr">
        <is>
          <t>Male</t>
        </is>
      </c>
      <c r="B336" s="215" t="inlineStr">
        <is>
          <t>800 Free Relay</t>
        </is>
      </c>
      <c r="C336" s="189" t="n">
        <v>2019</v>
      </c>
      <c r="D336" s="215" t="inlineStr">
        <is>
          <t>VIE</t>
        </is>
      </c>
      <c r="E336" s="219" t="n">
        <v>2</v>
      </c>
      <c r="F336" s="215" t="inlineStr">
        <is>
          <t>7:21.51</t>
        </is>
      </c>
      <c r="G336" s="215" t="n"/>
      <c r="H336" s="215" t="n"/>
      <c r="I336" s="215" t="n"/>
      <c r="J336" s="215" t="n"/>
      <c r="K336" s="215" t="n"/>
      <c r="L336" s="217" t="n"/>
      <c r="M336" s="689" t="n"/>
      <c r="N336" s="689" t="n"/>
      <c r="O336" s="689" t="n"/>
      <c r="P336" s="227" t="n"/>
      <c r="Q336" s="689" t="n"/>
      <c r="R336" s="689" t="n"/>
      <c r="S336" s="689" t="n"/>
      <c r="T336" s="689" t="n"/>
      <c r="U336" s="689" t="n"/>
      <c r="V336" s="689" t="n"/>
      <c r="W336" s="689" t="n"/>
      <c r="X336" s="689" t="n"/>
      <c r="Y336" s="689" t="n"/>
      <c r="Z336" s="689" t="n"/>
      <c r="AA336" s="689" t="n"/>
      <c r="AB336" s="689" t="n"/>
      <c r="AC336" s="689" t="n"/>
      <c r="AD336" s="689" t="n"/>
      <c r="AF336" s="236" t="n"/>
      <c r="AG336" s="236" t="n"/>
      <c r="AH336" s="236" t="n"/>
      <c r="AI336" s="236" t="n"/>
      <c r="AJ336" s="236" t="n"/>
      <c r="AK336" s="236" t="n"/>
      <c r="AL336" s="236" t="n"/>
      <c r="AM336" s="236" t="n"/>
      <c r="AN336" s="236" t="n"/>
      <c r="AO336" s="236" t="n"/>
      <c r="AP336" s="236" t="n"/>
      <c r="AQ336" s="236" t="n"/>
      <c r="AR336" s="236" t="n"/>
      <c r="AS336" s="236" t="n"/>
      <c r="AT336" s="236" t="n"/>
      <c r="AU336" s="236" t="n"/>
      <c r="AV336" s="236" t="n"/>
      <c r="AW336" s="236" t="n"/>
      <c r="AX336" s="692" t="n"/>
      <c r="AY336" s="692" t="n"/>
      <c r="AZ336" s="692" t="n"/>
      <c r="BA336" s="692" t="n"/>
      <c r="BB336" s="692" t="n"/>
      <c r="BC336" s="692" t="n"/>
      <c r="BD336" s="692" t="n"/>
      <c r="BE336" s="692" t="n"/>
      <c r="BF336" s="692" t="n"/>
      <c r="BG336" s="692" t="n"/>
      <c r="BH336" s="692" t="n"/>
      <c r="BI336" s="692" t="n"/>
      <c r="BJ336" s="692" t="n"/>
      <c r="BK336" s="692" t="n"/>
      <c r="BL336" s="692" t="n"/>
      <c r="BM336" s="692" t="n"/>
      <c r="BN336" s="692" t="n"/>
      <c r="BO336" s="692" t="n"/>
      <c r="BP336" s="692" t="n"/>
      <c r="BQ336" s="692" t="n"/>
    </row>
    <row r="337">
      <c r="A337" s="220" t="inlineStr">
        <is>
          <t>Male</t>
        </is>
      </c>
      <c r="B337" s="211" t="inlineStr">
        <is>
          <t>800 Free Relay</t>
        </is>
      </c>
      <c r="C337" s="190" t="n">
        <v>2019</v>
      </c>
      <c r="D337" s="211" t="inlineStr">
        <is>
          <t>MAS</t>
        </is>
      </c>
      <c r="E337" s="221" t="n">
        <v>3</v>
      </c>
      <c r="F337" s="211" t="inlineStr">
        <is>
          <t>7:27.55</t>
        </is>
      </c>
      <c r="G337" s="211" t="n"/>
      <c r="H337" s="211" t="n"/>
      <c r="I337" s="211" t="n"/>
      <c r="J337" s="211" t="n"/>
      <c r="K337" s="211" t="n"/>
      <c r="L337" s="213" t="n"/>
      <c r="M337" s="689" t="n"/>
      <c r="N337" s="689" t="n"/>
      <c r="O337" s="689" t="n"/>
      <c r="P337" s="227" t="n"/>
      <c r="Q337" s="689" t="n"/>
      <c r="R337" s="689" t="n"/>
      <c r="S337" s="689" t="n"/>
      <c r="T337" s="689" t="n"/>
      <c r="U337" s="689" t="n"/>
      <c r="V337" s="689" t="n"/>
      <c r="W337" s="689" t="n"/>
      <c r="X337" s="689" t="n"/>
      <c r="Y337" s="689" t="n"/>
      <c r="Z337" s="689" t="n"/>
      <c r="AA337" s="689" t="n"/>
      <c r="AB337" s="689" t="n"/>
      <c r="AC337" s="689" t="n"/>
      <c r="AD337" s="689" t="n"/>
      <c r="AF337" s="236" t="n"/>
      <c r="AG337" s="236" t="n"/>
      <c r="AH337" s="236" t="n"/>
      <c r="AI337" s="236" t="n"/>
      <c r="AJ337" s="236" t="n"/>
      <c r="AK337" s="236" t="n"/>
      <c r="AL337" s="236" t="n"/>
      <c r="AM337" s="236" t="n"/>
      <c r="AN337" s="236" t="n"/>
      <c r="AO337" s="236" t="n"/>
      <c r="AP337" s="236" t="n"/>
      <c r="AQ337" s="236" t="n"/>
      <c r="AR337" s="236" t="n"/>
      <c r="AS337" s="236" t="n"/>
      <c r="AT337" s="236" t="n"/>
      <c r="AU337" s="236" t="n"/>
      <c r="AV337" s="236" t="n"/>
      <c r="AW337" s="236" t="n"/>
      <c r="AX337" s="692" t="n"/>
      <c r="AY337" s="692" t="n"/>
      <c r="AZ337" s="692" t="n"/>
      <c r="BA337" s="692" t="n"/>
      <c r="BB337" s="692" t="n"/>
      <c r="BC337" s="692" t="n"/>
      <c r="BD337" s="692" t="n"/>
      <c r="BE337" s="692" t="n"/>
      <c r="BF337" s="692" t="n"/>
      <c r="BG337" s="692" t="n"/>
      <c r="BH337" s="692" t="n"/>
      <c r="BI337" s="692" t="n"/>
      <c r="BJ337" s="692" t="n"/>
      <c r="BK337" s="692" t="n"/>
      <c r="BL337" s="692" t="n"/>
      <c r="BM337" s="692" t="n"/>
      <c r="BN337" s="692" t="n"/>
      <c r="BO337" s="692" t="n"/>
      <c r="BP337" s="692" t="n"/>
      <c r="BQ337" s="692" t="n"/>
    </row>
    <row r="338">
      <c r="A338" s="218" t="inlineStr">
        <is>
          <t>Male</t>
        </is>
      </c>
      <c r="B338" s="215" t="inlineStr">
        <is>
          <t>800 Free Relay</t>
        </is>
      </c>
      <c r="C338" s="189" t="n">
        <v>2022</v>
      </c>
      <c r="D338" s="215" t="inlineStr">
        <is>
          <t>VIE</t>
        </is>
      </c>
      <c r="E338" s="219" t="n">
        <v>1</v>
      </c>
      <c r="F338" s="215" t="inlineStr">
        <is>
          <t>7:16.31</t>
        </is>
      </c>
      <c r="G338" s="215" t="n"/>
      <c r="H338" s="215" t="n"/>
      <c r="I338" s="215" t="n"/>
      <c r="J338" s="215" t="n"/>
      <c r="K338" s="215" t="n"/>
      <c r="L338" s="217" t="n"/>
      <c r="M338" s="689" t="n"/>
      <c r="N338" s="689" t="n"/>
      <c r="O338" s="689" t="n"/>
      <c r="P338" s="227" t="n"/>
      <c r="Q338" s="689" t="n"/>
      <c r="R338" s="689" t="n"/>
      <c r="S338" s="689" t="n"/>
      <c r="T338" s="689" t="n"/>
      <c r="U338" s="689" t="n"/>
      <c r="V338" s="689" t="n"/>
      <c r="W338" s="689" t="n"/>
      <c r="X338" s="689" t="n"/>
      <c r="Y338" s="689" t="n"/>
      <c r="Z338" s="689" t="n"/>
      <c r="AA338" s="689" t="n"/>
      <c r="AB338" s="689" t="n"/>
      <c r="AC338" s="689" t="n"/>
      <c r="AD338" s="689" t="n"/>
      <c r="AF338" s="236" t="n"/>
      <c r="AG338" s="236" t="n"/>
      <c r="AH338" s="236" t="n"/>
      <c r="AI338" s="236" t="n"/>
      <c r="AJ338" s="236" t="n"/>
      <c r="AK338" s="236" t="n"/>
      <c r="AL338" s="236" t="n"/>
      <c r="AM338" s="236" t="n"/>
      <c r="AN338" s="236" t="n"/>
      <c r="AO338" s="236" t="n"/>
      <c r="AP338" s="236" t="n"/>
      <c r="AQ338" s="236" t="n"/>
      <c r="AR338" s="236" t="n"/>
      <c r="AS338" s="236" t="n"/>
      <c r="AT338" s="236" t="n"/>
      <c r="AU338" s="236" t="n"/>
      <c r="AV338" s="236" t="n"/>
      <c r="AW338" s="236" t="n"/>
      <c r="AX338" s="692" t="n"/>
      <c r="AY338" s="158" t="n"/>
      <c r="AZ338" s="692" t="n"/>
      <c r="BA338" s="692" t="n"/>
      <c r="BB338" s="692" t="n"/>
      <c r="BC338" s="692" t="n"/>
      <c r="BD338" s="692" t="n"/>
      <c r="BE338" s="692" t="n"/>
      <c r="BF338" s="692" t="n"/>
      <c r="BG338" s="692" t="n"/>
      <c r="BH338" s="692" t="n"/>
      <c r="BI338" s="692" t="n"/>
      <c r="BJ338" s="692" t="n"/>
      <c r="BK338" s="692" t="n"/>
      <c r="BL338" s="692" t="n"/>
      <c r="BM338" s="692" t="n"/>
      <c r="BN338" s="692" t="n"/>
      <c r="BO338" s="692" t="n"/>
      <c r="BP338" s="692" t="n"/>
      <c r="BQ338" s="692" t="n"/>
    </row>
    <row r="339">
      <c r="A339" s="220" t="inlineStr">
        <is>
          <t>Male</t>
        </is>
      </c>
      <c r="B339" s="211" t="inlineStr">
        <is>
          <t>800 Free Relay</t>
        </is>
      </c>
      <c r="C339" s="190" t="n">
        <v>2022</v>
      </c>
      <c r="D339" s="211" t="inlineStr">
        <is>
          <t>MAS</t>
        </is>
      </c>
      <c r="E339" s="221" t="n">
        <v>2</v>
      </c>
      <c r="F339" s="211" t="inlineStr">
        <is>
          <t>7:19.75</t>
        </is>
      </c>
      <c r="G339" s="211" t="n"/>
      <c r="H339" s="211" t="n"/>
      <c r="I339" s="211" t="n"/>
      <c r="J339" s="211" t="n"/>
      <c r="K339" s="211" t="n"/>
      <c r="L339" s="213" t="n"/>
      <c r="M339" s="689" t="n"/>
      <c r="N339" s="689" t="n"/>
      <c r="O339" s="689" t="n"/>
      <c r="P339" s="227" t="n"/>
      <c r="Q339" s="689" t="n"/>
      <c r="R339" s="689" t="n"/>
      <c r="S339" s="689" t="n"/>
      <c r="T339" s="689" t="n"/>
      <c r="U339" s="689" t="n"/>
      <c r="V339" s="689" t="n"/>
      <c r="W339" s="689" t="n"/>
      <c r="X339" s="689" t="n"/>
      <c r="Y339" s="689" t="n"/>
      <c r="Z339" s="689" t="n"/>
      <c r="AA339" s="689" t="n"/>
      <c r="AB339" s="689" t="n"/>
      <c r="AC339" s="689" t="n"/>
      <c r="AD339" s="689" t="n"/>
      <c r="AF339" s="236" t="n"/>
      <c r="AG339" s="236" t="n"/>
      <c r="AH339" s="236" t="n"/>
      <c r="AI339" s="236" t="n"/>
      <c r="AJ339" s="236" t="n"/>
      <c r="AK339" s="236" t="n"/>
      <c r="AL339" s="236" t="n"/>
      <c r="AM339" s="236" t="n"/>
      <c r="AN339" s="236" t="n"/>
      <c r="AO339" s="236" t="n"/>
      <c r="AP339" s="236" t="n"/>
      <c r="AQ339" s="236" t="n"/>
      <c r="AR339" s="236" t="n"/>
      <c r="AS339" s="236" t="n"/>
      <c r="AT339" s="236" t="n"/>
      <c r="AU339" s="236" t="n"/>
      <c r="AV339" s="236" t="n"/>
      <c r="AW339" s="236" t="n"/>
      <c r="AX339" s="692" t="n"/>
      <c r="AY339" s="692" t="n"/>
      <c r="AZ339" s="692" t="n"/>
      <c r="BA339" s="692" t="n"/>
      <c r="BB339" s="692" t="n"/>
      <c r="BC339" s="692" t="n"/>
      <c r="BD339" s="692" t="n"/>
      <c r="BE339" s="692" t="n"/>
      <c r="BF339" s="692" t="n"/>
      <c r="BG339" s="692" t="n"/>
      <c r="BH339" s="692" t="n"/>
      <c r="BI339" s="692" t="n"/>
      <c r="BJ339" s="692" t="n"/>
      <c r="BK339" s="692" t="n"/>
      <c r="BL339" s="692" t="n"/>
      <c r="BM339" s="692" t="n"/>
      <c r="BN339" s="692" t="n"/>
      <c r="BO339" s="692" t="n"/>
      <c r="BP339" s="692" t="n"/>
      <c r="BQ339" s="692" t="n"/>
    </row>
    <row r="340">
      <c r="A340" s="218" t="inlineStr">
        <is>
          <t>Male</t>
        </is>
      </c>
      <c r="B340" s="215" t="inlineStr">
        <is>
          <t>800 Free Relay</t>
        </is>
      </c>
      <c r="C340" s="189" t="n">
        <v>2022</v>
      </c>
      <c r="D340" s="215" t="inlineStr">
        <is>
          <t>SGP</t>
        </is>
      </c>
      <c r="E340" s="219" t="n">
        <v>3</v>
      </c>
      <c r="F340" s="215" t="inlineStr">
        <is>
          <t>7:21.49</t>
        </is>
      </c>
      <c r="G340" s="215" t="n"/>
      <c r="H340" s="215" t="n"/>
      <c r="I340" s="215" t="n"/>
      <c r="J340" s="215" t="n"/>
      <c r="K340" s="215" t="n"/>
      <c r="L340" s="217" t="n"/>
      <c r="M340" s="689" t="n"/>
      <c r="N340" s="689" t="n"/>
      <c r="O340" s="689" t="n"/>
      <c r="P340" s="227" t="n"/>
      <c r="Q340" s="689" t="n"/>
      <c r="R340" s="689" t="n"/>
      <c r="S340" s="689" t="n"/>
      <c r="T340" s="689" t="n"/>
      <c r="U340" s="689" t="n"/>
      <c r="V340" s="689" t="n"/>
      <c r="W340" s="689" t="n"/>
      <c r="X340" s="689" t="n"/>
      <c r="Y340" s="689" t="n"/>
      <c r="Z340" s="689" t="n"/>
      <c r="AA340" s="689" t="n"/>
      <c r="AB340" s="689" t="n"/>
      <c r="AC340" s="689" t="n"/>
      <c r="AD340" s="689" t="n"/>
      <c r="AF340" s="236" t="n"/>
      <c r="AG340" s="236" t="n"/>
      <c r="AH340" s="236" t="n"/>
      <c r="AI340" s="236" t="n"/>
      <c r="AJ340" s="236" t="n"/>
      <c r="AK340" s="236" t="n"/>
      <c r="AL340" s="236" t="n"/>
      <c r="AM340" s="236" t="n"/>
      <c r="AN340" s="236" t="n"/>
      <c r="AO340" s="236" t="n"/>
      <c r="AP340" s="236" t="n"/>
      <c r="AQ340" s="236" t="n"/>
      <c r="AR340" s="236" t="n"/>
      <c r="AS340" s="236" t="n"/>
      <c r="AT340" s="236" t="n"/>
      <c r="AU340" s="236" t="n"/>
      <c r="AV340" s="236" t="n"/>
      <c r="AW340" s="236" t="n"/>
      <c r="AX340" s="692" t="n"/>
      <c r="AY340" s="692" t="n"/>
      <c r="AZ340" s="692" t="n"/>
      <c r="BA340" s="692" t="n"/>
      <c r="BB340" s="692" t="n"/>
      <c r="BC340" s="692" t="n"/>
      <c r="BD340" s="692" t="n"/>
      <c r="BE340" s="692" t="n"/>
      <c r="BF340" s="692" t="n"/>
      <c r="BG340" s="692" t="n"/>
      <c r="BH340" s="692" t="n"/>
      <c r="BI340" s="692" t="n"/>
      <c r="BJ340" s="692" t="n"/>
      <c r="BK340" s="692" t="n"/>
      <c r="BL340" s="692" t="n"/>
      <c r="BM340" s="692" t="n"/>
      <c r="BN340" s="692" t="n"/>
      <c r="BO340" s="692" t="n"/>
      <c r="BP340" s="692" t="n"/>
      <c r="BQ340" s="692" t="n"/>
    </row>
    <row r="341">
      <c r="A341" s="220" t="inlineStr">
        <is>
          <t>Male</t>
        </is>
      </c>
      <c r="B341" s="211" t="inlineStr">
        <is>
          <t>800 Free Relay</t>
        </is>
      </c>
      <c r="C341" s="190" t="n">
        <v>2023</v>
      </c>
      <c r="D341" s="211" t="inlineStr">
        <is>
          <t>VIE</t>
        </is>
      </c>
      <c r="E341" s="221" t="n">
        <v>1</v>
      </c>
      <c r="F341" s="211" t="inlineStr">
        <is>
          <t>7:18.51</t>
        </is>
      </c>
      <c r="G341" s="211" t="n"/>
      <c r="H341" s="211" t="n"/>
      <c r="I341" s="211" t="n"/>
      <c r="J341" s="211" t="n"/>
      <c r="K341" s="211" t="n"/>
      <c r="L341" s="213" t="n"/>
      <c r="M341" s="689" t="n"/>
      <c r="N341" s="689" t="n"/>
      <c r="O341" s="689" t="n"/>
      <c r="P341" s="227" t="n"/>
      <c r="Q341" s="689" t="n"/>
      <c r="R341" s="689" t="n"/>
      <c r="S341" s="689" t="n"/>
      <c r="T341" s="689" t="n"/>
      <c r="U341" s="689" t="n"/>
      <c r="V341" s="689" t="n"/>
      <c r="W341" s="689" t="n"/>
      <c r="X341" s="689" t="n"/>
      <c r="Y341" s="689" t="n"/>
      <c r="Z341" s="689" t="n"/>
      <c r="AA341" s="689" t="n"/>
      <c r="AB341" s="689" t="n"/>
      <c r="AC341" s="689" t="n"/>
      <c r="AD341" s="689" t="n"/>
      <c r="AF341" s="236" t="n"/>
      <c r="AG341" s="236" t="n"/>
      <c r="AH341" s="236" t="n"/>
      <c r="AI341" s="236" t="n"/>
      <c r="AJ341" s="236" t="n"/>
      <c r="AK341" s="236" t="n"/>
      <c r="AL341" s="236" t="n"/>
      <c r="AM341" s="236" t="n"/>
      <c r="AN341" s="236" t="n"/>
      <c r="AO341" s="236" t="n"/>
      <c r="AP341" s="236" t="n"/>
      <c r="AQ341" s="236" t="n"/>
      <c r="AR341" s="236" t="n"/>
      <c r="AS341" s="236" t="n"/>
      <c r="AT341" s="236" t="n"/>
      <c r="AU341" s="236" t="n"/>
      <c r="AV341" s="236" t="n"/>
      <c r="AW341" s="236" t="n"/>
      <c r="AX341" s="692" t="n"/>
      <c r="AY341" s="129" t="n"/>
      <c r="AZ341" s="692" t="n"/>
      <c r="BA341" s="692" t="n"/>
      <c r="BB341" s="692" t="n"/>
      <c r="BC341" s="692" t="n"/>
      <c r="BD341" s="692" t="n"/>
      <c r="BE341" s="692" t="n"/>
      <c r="BF341" s="692" t="n"/>
      <c r="BG341" s="692" t="n"/>
      <c r="BH341" s="692" t="n"/>
      <c r="BI341" s="692" t="n"/>
      <c r="BJ341" s="692" t="n"/>
      <c r="BK341" s="692" t="n"/>
      <c r="BL341" s="692" t="n"/>
      <c r="BM341" s="692" t="n"/>
      <c r="BN341" s="692" t="n"/>
      <c r="BO341" s="692" t="n"/>
      <c r="BP341" s="692" t="n"/>
      <c r="BQ341" s="692" t="n"/>
    </row>
    <row r="342">
      <c r="A342" s="218" t="inlineStr">
        <is>
          <t>Male</t>
        </is>
      </c>
      <c r="B342" s="215" t="inlineStr">
        <is>
          <t>800 Free Relay</t>
        </is>
      </c>
      <c r="C342" s="189" t="n">
        <v>2023</v>
      </c>
      <c r="D342" s="215" t="inlineStr">
        <is>
          <t>SGP</t>
        </is>
      </c>
      <c r="E342" s="219" t="n">
        <v>2</v>
      </c>
      <c r="F342" s="215" t="inlineStr">
        <is>
          <t>7:21.50</t>
        </is>
      </c>
      <c r="G342" s="215" t="n"/>
      <c r="H342" s="215" t="n"/>
      <c r="I342" s="215" t="n"/>
      <c r="J342" s="215" t="n"/>
      <c r="K342" s="215" t="n"/>
      <c r="L342" s="217" t="n"/>
      <c r="M342" s="689" t="n"/>
      <c r="N342" s="689" t="n"/>
      <c r="O342" s="689" t="n"/>
      <c r="P342" s="227" t="n"/>
      <c r="Q342" s="689" t="n"/>
      <c r="R342" s="689" t="n"/>
      <c r="S342" s="689" t="n"/>
      <c r="T342" s="689" t="n"/>
      <c r="U342" s="689" t="n"/>
      <c r="V342" s="689" t="n"/>
      <c r="W342" s="689" t="n"/>
      <c r="X342" s="689" t="n"/>
      <c r="Y342" s="689" t="n"/>
      <c r="Z342" s="689" t="n"/>
      <c r="AA342" s="689" t="n"/>
      <c r="AB342" s="689" t="n"/>
      <c r="AC342" s="689" t="n"/>
      <c r="AD342" s="689" t="n"/>
      <c r="AF342" s="236" t="n"/>
      <c r="AG342" s="236" t="n"/>
      <c r="AH342" s="236" t="n"/>
      <c r="AI342" s="236" t="n"/>
      <c r="AJ342" s="236" t="n"/>
      <c r="AK342" s="236" t="n"/>
      <c r="AL342" s="236" t="n"/>
      <c r="AM342" s="236" t="n"/>
      <c r="AN342" s="236" t="n"/>
      <c r="AO342" s="236" t="n"/>
      <c r="AP342" s="236" t="n"/>
      <c r="AQ342" s="236" t="n"/>
      <c r="AR342" s="236" t="n"/>
      <c r="AS342" s="236" t="n"/>
      <c r="AT342" s="236" t="n"/>
      <c r="AU342" s="236" t="n"/>
      <c r="AV342" s="236" t="n"/>
      <c r="AW342" s="236" t="n"/>
      <c r="AX342" s="692" t="n"/>
      <c r="AY342" s="692" t="n"/>
      <c r="AZ342" s="692" t="n"/>
      <c r="BA342" s="692" t="n"/>
      <c r="BB342" s="692" t="n"/>
      <c r="BC342" s="692" t="n"/>
      <c r="BD342" s="692" t="n"/>
      <c r="BE342" s="692" t="n"/>
      <c r="BF342" s="692" t="n"/>
      <c r="BG342" s="692" t="n"/>
      <c r="BH342" s="692" t="n"/>
      <c r="BI342" s="692" t="n"/>
      <c r="BJ342" s="692" t="n"/>
      <c r="BK342" s="692" t="n"/>
      <c r="BL342" s="692" t="n"/>
      <c r="BM342" s="692" t="n"/>
      <c r="BN342" s="692" t="n"/>
      <c r="BO342" s="692" t="n"/>
      <c r="BP342" s="692" t="n"/>
      <c r="BQ342" s="692" t="n"/>
    </row>
    <row r="343">
      <c r="A343" s="220" t="inlineStr">
        <is>
          <t>Male</t>
        </is>
      </c>
      <c r="B343" s="211" t="inlineStr">
        <is>
          <t>800 Free Relay</t>
        </is>
      </c>
      <c r="C343" s="190" t="n">
        <v>2023</v>
      </c>
      <c r="D343" s="211" t="inlineStr">
        <is>
          <t>MAS</t>
        </is>
      </c>
      <c r="E343" s="221" t="n">
        <v>3</v>
      </c>
      <c r="F343" s="211" t="inlineStr">
        <is>
          <t>7:21.55</t>
        </is>
      </c>
      <c r="G343" s="211" t="n"/>
      <c r="H343" s="211" t="n"/>
      <c r="I343" s="211" t="n"/>
      <c r="J343" s="211" t="n"/>
      <c r="K343" s="211" t="n"/>
      <c r="L343" s="213" t="n"/>
      <c r="M343" s="689" t="n"/>
      <c r="N343" s="689" t="n"/>
      <c r="O343" s="689" t="n"/>
      <c r="P343" s="227" t="n"/>
      <c r="Q343" s="689" t="n"/>
      <c r="R343" s="689" t="n"/>
      <c r="S343" s="689" t="n"/>
      <c r="T343" s="689" t="n"/>
      <c r="U343" s="689" t="n"/>
      <c r="V343" s="689" t="n"/>
      <c r="W343" s="689" t="n"/>
      <c r="X343" s="689" t="n"/>
      <c r="Y343" s="689" t="n"/>
      <c r="Z343" s="689" t="n"/>
      <c r="AA343" s="689" t="n"/>
      <c r="AB343" s="689" t="n"/>
      <c r="AC343" s="689" t="n"/>
      <c r="AD343" s="689" t="n"/>
      <c r="AF343" s="236" t="n"/>
      <c r="AG343" s="236" t="n"/>
      <c r="AH343" s="236" t="n"/>
      <c r="AI343" s="236" t="n"/>
      <c r="AJ343" s="236" t="n"/>
      <c r="AK343" s="236" t="n"/>
      <c r="AL343" s="236" t="n"/>
      <c r="AM343" s="236" t="n"/>
      <c r="AN343" s="236" t="n"/>
      <c r="AO343" s="236" t="n"/>
      <c r="AP343" s="236" t="n"/>
      <c r="AQ343" s="236" t="n"/>
      <c r="AR343" s="236" t="n"/>
      <c r="AS343" s="236" t="n"/>
      <c r="AT343" s="236" t="n"/>
      <c r="AU343" s="236" t="n"/>
      <c r="AV343" s="236" t="n"/>
      <c r="AW343" s="236" t="n"/>
      <c r="AX343" s="692" t="n"/>
      <c r="AY343" s="158" t="n"/>
      <c r="AZ343" s="692" t="n"/>
      <c r="BA343" s="692" t="n"/>
      <c r="BB343" s="692" t="n"/>
      <c r="BC343" s="692" t="n"/>
      <c r="BD343" s="692" t="n"/>
      <c r="BE343" s="692" t="n"/>
      <c r="BF343" s="692" t="n"/>
      <c r="BG343" s="692" t="n"/>
      <c r="BH343" s="692" t="n"/>
      <c r="BI343" s="692" t="n"/>
      <c r="BJ343" s="692" t="n"/>
      <c r="BK343" s="692" t="n"/>
      <c r="BL343" s="692" t="n"/>
      <c r="BM343" s="692" t="n"/>
      <c r="BN343" s="692" t="n"/>
      <c r="BO343" s="692" t="n"/>
      <c r="BP343" s="692" t="n"/>
      <c r="BQ343" s="692" t="n"/>
    </row>
    <row r="344">
      <c r="A344" s="218" t="n"/>
      <c r="B344" s="215" t="n"/>
      <c r="C344" s="215" t="n"/>
      <c r="D344" s="215" t="n"/>
      <c r="E344" s="219" t="n"/>
      <c r="F344" s="215" t="n"/>
      <c r="G344" s="215" t="n"/>
      <c r="H344" s="215" t="n"/>
      <c r="I344" s="215" t="n"/>
      <c r="J344" s="215" t="n"/>
      <c r="K344" s="215" t="n"/>
      <c r="L344" s="217" t="n"/>
      <c r="M344" s="689" t="n"/>
      <c r="N344" s="689" t="n"/>
      <c r="O344" s="689" t="n"/>
      <c r="P344" s="227" t="n"/>
      <c r="Q344" s="689" t="n"/>
      <c r="R344" s="689" t="n"/>
      <c r="S344" s="689" t="n"/>
      <c r="T344" s="689" t="n"/>
      <c r="U344" s="689" t="n"/>
      <c r="V344" s="689" t="n"/>
      <c r="W344" s="689" t="n"/>
      <c r="X344" s="689" t="n"/>
      <c r="Y344" s="689" t="n"/>
      <c r="Z344" s="689" t="n"/>
      <c r="AA344" s="689" t="n"/>
      <c r="AB344" s="689" t="n"/>
      <c r="AC344" s="689" t="n"/>
      <c r="AD344" s="689" t="n"/>
      <c r="AF344" s="236" t="n"/>
      <c r="AG344" s="236" t="n"/>
      <c r="AH344" s="236" t="n"/>
      <c r="AI344" s="236" t="n"/>
      <c r="AJ344" s="236" t="n"/>
      <c r="AK344" s="236" t="n"/>
      <c r="AL344" s="236" t="n"/>
      <c r="AM344" s="236" t="n"/>
      <c r="AN344" s="236" t="n"/>
      <c r="AO344" s="236" t="n"/>
      <c r="AP344" s="236" t="n"/>
      <c r="AQ344" s="236" t="n"/>
      <c r="AR344" s="236" t="n"/>
      <c r="AS344" s="236" t="n"/>
      <c r="AT344" s="236" t="n"/>
      <c r="AU344" s="236" t="n"/>
      <c r="AV344" s="236" t="n"/>
      <c r="AW344" s="236" t="n"/>
      <c r="AX344" s="692" t="n"/>
      <c r="AY344" s="692" t="n"/>
      <c r="AZ344" s="692" t="n"/>
      <c r="BA344" s="692" t="n"/>
      <c r="BB344" s="692" t="n"/>
      <c r="BC344" s="692" t="n"/>
      <c r="BD344" s="692" t="n"/>
      <c r="BE344" s="692" t="n"/>
      <c r="BF344" s="692" t="n"/>
      <c r="BG344" s="692" t="n"/>
      <c r="BH344" s="692" t="n"/>
      <c r="BI344" s="692" t="n"/>
      <c r="BJ344" s="692" t="n"/>
      <c r="BK344" s="692" t="n"/>
      <c r="BL344" s="692" t="n"/>
      <c r="BM344" s="692" t="n"/>
      <c r="BN344" s="692" t="n"/>
      <c r="BO344" s="692" t="n"/>
      <c r="BP344" s="692" t="n"/>
      <c r="BQ344" s="692" t="n"/>
    </row>
    <row r="345">
      <c r="A345" s="220" t="n"/>
      <c r="B345" s="211" t="n"/>
      <c r="C345" s="211" t="n"/>
      <c r="D345" s="211" t="n"/>
      <c r="E345" s="221" t="n"/>
      <c r="F345" s="211" t="n"/>
      <c r="G345" s="211" t="n"/>
      <c r="H345" s="211" t="n"/>
      <c r="I345" s="211" t="n"/>
      <c r="J345" s="211" t="n"/>
      <c r="K345" s="211" t="n"/>
      <c r="L345" s="213" t="n"/>
      <c r="M345" s="689" t="n"/>
      <c r="N345" s="689" t="n"/>
      <c r="O345" s="689" t="n"/>
      <c r="P345" s="227" t="n"/>
      <c r="Q345" s="689" t="n"/>
      <c r="R345" s="689" t="n"/>
      <c r="S345" s="689" t="n"/>
      <c r="T345" s="689" t="n"/>
      <c r="U345" s="689" t="n"/>
      <c r="V345" s="689" t="n"/>
      <c r="W345" s="689" t="n"/>
      <c r="X345" s="689" t="n"/>
      <c r="Y345" s="689" t="n"/>
      <c r="Z345" s="689" t="n"/>
      <c r="AA345" s="689" t="n"/>
      <c r="AB345" s="689" t="n"/>
      <c r="AC345" s="689" t="n"/>
      <c r="AD345" s="689" t="n"/>
      <c r="AF345" s="236" t="n"/>
      <c r="AG345" s="236" t="n"/>
      <c r="AH345" s="236" t="n"/>
      <c r="AI345" s="236" t="n"/>
      <c r="AJ345" s="236" t="n"/>
      <c r="AK345" s="236" t="n"/>
      <c r="AL345" s="236" t="n"/>
      <c r="AM345" s="236" t="n"/>
      <c r="AN345" s="236" t="n"/>
      <c r="AO345" s="236" t="n"/>
      <c r="AP345" s="236" t="n"/>
      <c r="AQ345" s="236" t="n"/>
      <c r="AR345" s="236" t="n"/>
      <c r="AS345" s="236" t="n"/>
      <c r="AT345" s="236" t="n"/>
      <c r="AU345" s="236" t="n"/>
      <c r="AV345" s="236" t="n"/>
      <c r="AW345" s="236" t="n"/>
      <c r="AX345" s="692" t="n"/>
      <c r="AY345" s="692" t="n"/>
      <c r="AZ345" s="692" t="n"/>
      <c r="BA345" s="692" t="n"/>
      <c r="BB345" s="692" t="n"/>
      <c r="BC345" s="692" t="n"/>
      <c r="BD345" s="692" t="n"/>
      <c r="BE345" s="692" t="n"/>
      <c r="BF345" s="692" t="n"/>
      <c r="BG345" s="692" t="n"/>
      <c r="BH345" s="692" t="n"/>
      <c r="BI345" s="692" t="n"/>
      <c r="BJ345" s="692" t="n"/>
      <c r="BK345" s="692" t="n"/>
      <c r="BL345" s="692" t="n"/>
      <c r="BM345" s="692" t="n"/>
      <c r="BN345" s="692" t="n"/>
      <c r="BO345" s="692" t="n"/>
      <c r="BP345" s="692" t="n"/>
      <c r="BQ345" s="692" t="n"/>
    </row>
    <row r="346">
      <c r="A346" s="218" t="n"/>
      <c r="B346" s="215" t="n"/>
      <c r="C346" s="215" t="n"/>
      <c r="D346" s="215" t="n"/>
      <c r="E346" s="219" t="n"/>
      <c r="F346" s="215" t="n"/>
      <c r="G346" s="215" t="n"/>
      <c r="H346" s="215" t="n"/>
      <c r="I346" s="215" t="n"/>
      <c r="J346" s="215" t="n"/>
      <c r="K346" s="215" t="n"/>
      <c r="L346" s="217" t="n"/>
      <c r="M346" s="689" t="n"/>
      <c r="N346" s="689" t="n"/>
      <c r="O346" s="689" t="n"/>
      <c r="P346" s="227" t="n"/>
      <c r="Q346" s="689" t="n"/>
      <c r="R346" s="689" t="n"/>
      <c r="S346" s="689" t="n"/>
      <c r="T346" s="689" t="n"/>
      <c r="U346" s="689" t="n"/>
      <c r="V346" s="689" t="n"/>
      <c r="W346" s="689" t="n"/>
      <c r="X346" s="689" t="n"/>
      <c r="Y346" s="689" t="n"/>
      <c r="Z346" s="689" t="n"/>
      <c r="AA346" s="689" t="n"/>
      <c r="AB346" s="689" t="n"/>
      <c r="AC346" s="689" t="n"/>
      <c r="AD346" s="689" t="n"/>
      <c r="AF346" s="236" t="n"/>
      <c r="AG346" s="236" t="n"/>
      <c r="AH346" s="236" t="n"/>
      <c r="AI346" s="236" t="n"/>
      <c r="AJ346" s="236" t="n"/>
      <c r="AK346" s="236" t="n"/>
      <c r="AL346" s="236" t="n"/>
      <c r="AM346" s="236" t="n"/>
      <c r="AN346" s="236" t="n"/>
      <c r="AO346" s="236" t="n"/>
      <c r="AP346" s="236" t="n"/>
      <c r="AQ346" s="236" t="n"/>
      <c r="AR346" s="236" t="n"/>
      <c r="AS346" s="236" t="n"/>
      <c r="AT346" s="236" t="n"/>
      <c r="AU346" s="236" t="n"/>
      <c r="AV346" s="236" t="n"/>
      <c r="AW346" s="236" t="n"/>
      <c r="AX346" s="692" t="n"/>
      <c r="AY346" s="692" t="n"/>
      <c r="AZ346" s="692" t="n"/>
      <c r="BA346" s="692" t="n"/>
      <c r="BB346" s="692" t="n"/>
      <c r="BC346" s="692" t="n"/>
      <c r="BD346" s="692" t="n"/>
      <c r="BE346" s="692" t="n"/>
      <c r="BF346" s="692" t="n"/>
      <c r="BG346" s="692" t="n"/>
      <c r="BH346" s="692" t="n"/>
      <c r="BI346" s="692" t="n"/>
      <c r="BJ346" s="692" t="n"/>
      <c r="BK346" s="692" t="n"/>
      <c r="BL346" s="692" t="n"/>
      <c r="BM346" s="692" t="n"/>
      <c r="BN346" s="692" t="n"/>
      <c r="BO346" s="692" t="n"/>
      <c r="BP346" s="692" t="n"/>
      <c r="BQ346" s="692" t="n"/>
    </row>
    <row r="347">
      <c r="A347" s="220" t="n"/>
      <c r="B347" s="211" t="n"/>
      <c r="C347" s="211" t="n"/>
      <c r="D347" s="211" t="n"/>
      <c r="E347" s="221" t="n"/>
      <c r="F347" s="211" t="n"/>
      <c r="G347" s="211" t="n"/>
      <c r="H347" s="211" t="n"/>
      <c r="I347" s="211" t="n"/>
      <c r="J347" s="211" t="n"/>
      <c r="K347" s="211" t="n"/>
      <c r="L347" s="213" t="n"/>
      <c r="M347" s="689" t="n"/>
      <c r="N347" s="689" t="n"/>
      <c r="O347" s="689" t="n"/>
      <c r="P347" s="227" t="n"/>
      <c r="Q347" s="689" t="n"/>
      <c r="R347" s="689" t="n"/>
      <c r="S347" s="689" t="n"/>
      <c r="T347" s="689" t="n"/>
      <c r="U347" s="689" t="n"/>
      <c r="V347" s="689" t="n"/>
      <c r="W347" s="689" t="n"/>
      <c r="X347" s="689" t="n"/>
      <c r="Y347" s="689" t="n"/>
      <c r="Z347" s="689" t="n"/>
      <c r="AA347" s="689" t="n"/>
      <c r="AB347" s="689" t="n"/>
      <c r="AC347" s="689" t="n"/>
      <c r="AD347" s="689" t="n"/>
      <c r="AF347" s="236" t="n"/>
      <c r="AG347" s="236" t="n"/>
      <c r="AH347" s="236" t="n"/>
      <c r="AI347" s="236" t="n"/>
      <c r="AJ347" s="236" t="n"/>
      <c r="AK347" s="236" t="n"/>
      <c r="AL347" s="236" t="n"/>
      <c r="AM347" s="236" t="n"/>
      <c r="AN347" s="236" t="n"/>
      <c r="AO347" s="236" t="n"/>
      <c r="AP347" s="236" t="n"/>
      <c r="AQ347" s="236" t="n"/>
      <c r="AR347" s="236" t="n"/>
      <c r="AS347" s="236" t="n"/>
      <c r="AT347" s="236" t="n"/>
      <c r="AU347" s="236" t="n"/>
      <c r="AV347" s="236" t="n"/>
      <c r="AW347" s="236" t="n"/>
      <c r="AX347" s="692" t="n"/>
      <c r="AY347" s="692" t="n"/>
      <c r="AZ347" s="692" t="n"/>
      <c r="BA347" s="692" t="n"/>
      <c r="BB347" s="692" t="n"/>
      <c r="BC347" s="692" t="n"/>
      <c r="BD347" s="692" t="n"/>
      <c r="BE347" s="692" t="n"/>
      <c r="BF347" s="692" t="n"/>
      <c r="BG347" s="692" t="n"/>
      <c r="BH347" s="692" t="n"/>
      <c r="BI347" s="692" t="n"/>
      <c r="BJ347" s="692" t="n"/>
      <c r="BK347" s="692" t="n"/>
      <c r="BL347" s="692" t="n"/>
      <c r="BM347" s="692" t="n"/>
      <c r="BN347" s="692" t="n"/>
      <c r="BO347" s="692" t="n"/>
      <c r="BP347" s="692" t="n"/>
      <c r="BQ347" s="692" t="n"/>
    </row>
    <row r="348">
      <c r="A348" s="218" t="n"/>
      <c r="B348" s="215" t="n"/>
      <c r="C348" s="215" t="n"/>
      <c r="D348" s="215" t="n"/>
      <c r="E348" s="219" t="n"/>
      <c r="F348" s="215" t="n"/>
      <c r="G348" s="215" t="n"/>
      <c r="H348" s="215" t="n"/>
      <c r="I348" s="215" t="n"/>
      <c r="J348" s="215" t="n"/>
      <c r="K348" s="215" t="n"/>
      <c r="L348" s="217" t="n"/>
      <c r="M348" s="689" t="n"/>
      <c r="N348" s="689" t="n"/>
      <c r="O348" s="689" t="n"/>
      <c r="P348" s="227" t="n"/>
      <c r="Q348" s="689" t="n"/>
      <c r="R348" s="689" t="n"/>
      <c r="S348" s="689" t="n"/>
      <c r="T348" s="689" t="n"/>
      <c r="U348" s="689" t="n"/>
      <c r="V348" s="689" t="n"/>
      <c r="W348" s="689" t="n"/>
      <c r="X348" s="689" t="n"/>
      <c r="Y348" s="689" t="n"/>
      <c r="Z348" s="689" t="n"/>
      <c r="AA348" s="689" t="n"/>
      <c r="AB348" s="689" t="n"/>
      <c r="AC348" s="689" t="n"/>
      <c r="AD348" s="689" t="n"/>
      <c r="AF348" s="236" t="n"/>
      <c r="AG348" s="236" t="n"/>
      <c r="AH348" s="236" t="n"/>
      <c r="AI348" s="236" t="n"/>
      <c r="AJ348" s="236" t="n"/>
      <c r="AK348" s="236" t="n"/>
      <c r="AL348" s="236" t="n"/>
      <c r="AM348" s="236" t="n"/>
      <c r="AN348" s="236" t="n"/>
      <c r="AO348" s="236" t="n"/>
      <c r="AP348" s="236" t="n"/>
      <c r="AQ348" s="236" t="n"/>
      <c r="AR348" s="236" t="n"/>
      <c r="AS348" s="236" t="n"/>
      <c r="AT348" s="236" t="n"/>
      <c r="AU348" s="236" t="n"/>
      <c r="AV348" s="236" t="n"/>
      <c r="AW348" s="236" t="n"/>
      <c r="AX348" s="692" t="n"/>
      <c r="AY348" s="692" t="n"/>
      <c r="AZ348" s="692" t="n"/>
      <c r="BA348" s="692" t="n"/>
      <c r="BB348" s="692" t="n"/>
      <c r="BC348" s="692" t="n"/>
      <c r="BD348" s="692" t="n"/>
      <c r="BE348" s="692" t="n"/>
      <c r="BF348" s="692" t="n"/>
      <c r="BG348" s="692" t="n"/>
      <c r="BH348" s="692" t="n"/>
      <c r="BI348" s="692" t="n"/>
      <c r="BJ348" s="692" t="n"/>
      <c r="BK348" s="692" t="n"/>
      <c r="BL348" s="692" t="n"/>
      <c r="BM348" s="692" t="n"/>
      <c r="BN348" s="692" t="n"/>
      <c r="BO348" s="692" t="n"/>
      <c r="BP348" s="692" t="n"/>
      <c r="BQ348" s="692" t="n"/>
    </row>
    <row r="349">
      <c r="A349" s="220" t="n"/>
      <c r="B349" s="211" t="n"/>
      <c r="C349" s="211" t="n"/>
      <c r="D349" s="211" t="n"/>
      <c r="E349" s="221" t="n"/>
      <c r="F349" s="211" t="n"/>
      <c r="G349" s="211" t="n"/>
      <c r="H349" s="211" t="n"/>
      <c r="I349" s="211" t="n"/>
      <c r="J349" s="211" t="n"/>
      <c r="K349" s="211" t="n"/>
      <c r="L349" s="213" t="n"/>
      <c r="M349" s="689" t="n"/>
      <c r="N349" s="689" t="n"/>
      <c r="O349" s="689" t="n"/>
      <c r="P349" s="227" t="n"/>
      <c r="Q349" s="689" t="n"/>
      <c r="R349" s="689" t="n"/>
      <c r="S349" s="689" t="n"/>
      <c r="T349" s="689" t="n"/>
      <c r="U349" s="689" t="n"/>
      <c r="V349" s="689" t="n"/>
      <c r="W349" s="689" t="n"/>
      <c r="X349" s="689" t="n"/>
      <c r="Y349" s="689" t="n"/>
      <c r="Z349" s="689" t="n"/>
      <c r="AA349" s="689" t="n"/>
      <c r="AB349" s="689" t="n"/>
      <c r="AC349" s="689" t="n"/>
      <c r="AD349" s="689" t="n"/>
      <c r="AF349" s="236" t="n"/>
      <c r="AG349" s="236" t="n"/>
      <c r="AH349" s="236" t="n"/>
      <c r="AI349" s="236" t="n"/>
      <c r="AJ349" s="236" t="n"/>
      <c r="AK349" s="236" t="n"/>
      <c r="AL349" s="236" t="n"/>
      <c r="AM349" s="236" t="n"/>
      <c r="AN349" s="236" t="n"/>
      <c r="AO349" s="236" t="n"/>
      <c r="AP349" s="236" t="n"/>
      <c r="AQ349" s="236" t="n"/>
      <c r="AR349" s="236" t="n"/>
      <c r="AS349" s="236" t="n"/>
      <c r="AT349" s="236" t="n"/>
      <c r="AU349" s="236" t="n"/>
      <c r="AV349" s="236" t="n"/>
      <c r="AW349" s="236" t="n"/>
      <c r="AX349" s="692" t="n"/>
      <c r="AY349" s="692" t="n"/>
      <c r="AZ349" s="692" t="n"/>
      <c r="BA349" s="692" t="n"/>
      <c r="BB349" s="692" t="n"/>
      <c r="BC349" s="692" t="n"/>
      <c r="BD349" s="692" t="n"/>
      <c r="BE349" s="692" t="n"/>
      <c r="BF349" s="692" t="n"/>
      <c r="BG349" s="692" t="n"/>
      <c r="BH349" s="692" t="n"/>
      <c r="BI349" s="692" t="n"/>
      <c r="BJ349" s="692" t="n"/>
      <c r="BK349" s="692" t="n"/>
      <c r="BL349" s="692" t="n"/>
      <c r="BM349" s="692" t="n"/>
      <c r="BN349" s="692" t="n"/>
      <c r="BO349" s="692" t="n"/>
      <c r="BP349" s="692" t="n"/>
      <c r="BQ349" s="692" t="n"/>
    </row>
    <row r="350">
      <c r="A350" s="218" t="n"/>
      <c r="B350" s="215" t="n"/>
      <c r="C350" s="215" t="n"/>
      <c r="D350" s="215" t="n"/>
      <c r="E350" s="219" t="n"/>
      <c r="F350" s="215" t="n"/>
      <c r="G350" s="215" t="n"/>
      <c r="H350" s="215" t="n"/>
      <c r="I350" s="215" t="n"/>
      <c r="J350" s="215" t="n"/>
      <c r="K350" s="215" t="n"/>
      <c r="L350" s="217" t="n"/>
      <c r="M350" s="689" t="n"/>
      <c r="N350" s="689" t="n"/>
      <c r="O350" s="689" t="n"/>
      <c r="P350" s="227" t="n"/>
      <c r="Q350" s="689" t="n"/>
      <c r="R350" s="689" t="n"/>
      <c r="S350" s="689" t="n"/>
      <c r="T350" s="689" t="n"/>
      <c r="U350" s="689" t="n"/>
      <c r="V350" s="689" t="n"/>
      <c r="W350" s="689" t="n"/>
      <c r="X350" s="689" t="n"/>
      <c r="Y350" s="689" t="n"/>
      <c r="Z350" s="689" t="n"/>
      <c r="AA350" s="689" t="n"/>
      <c r="AB350" s="689" t="n"/>
      <c r="AC350" s="689" t="n"/>
      <c r="AD350" s="689" t="n"/>
      <c r="AF350" s="236" t="n"/>
      <c r="AG350" s="236" t="n"/>
      <c r="AH350" s="236" t="n"/>
      <c r="AI350" s="236" t="n"/>
      <c r="AJ350" s="236" t="n"/>
      <c r="AK350" s="236" t="n"/>
      <c r="AL350" s="236" t="n"/>
      <c r="AM350" s="236" t="n"/>
      <c r="AN350" s="236" t="n"/>
      <c r="AO350" s="236" t="n"/>
      <c r="AP350" s="236" t="n"/>
      <c r="AQ350" s="236" t="n"/>
      <c r="AR350" s="236" t="n"/>
      <c r="AS350" s="236" t="n"/>
      <c r="AT350" s="236" t="n"/>
      <c r="AU350" s="236" t="n"/>
      <c r="AV350" s="236" t="n"/>
      <c r="AW350" s="236" t="n"/>
      <c r="AX350" s="692" t="n"/>
      <c r="AY350" s="692" t="n"/>
      <c r="AZ350" s="692" t="n"/>
      <c r="BA350" s="692" t="n"/>
      <c r="BB350" s="692" t="n"/>
      <c r="BC350" s="692" t="n"/>
      <c r="BD350" s="692" t="n"/>
      <c r="BE350" s="692" t="n"/>
      <c r="BF350" s="692" t="n"/>
      <c r="BG350" s="692" t="n"/>
      <c r="BH350" s="692" t="n"/>
      <c r="BI350" s="692" t="n"/>
      <c r="BJ350" s="692" t="n"/>
      <c r="BK350" s="692" t="n"/>
      <c r="BL350" s="692" t="n"/>
      <c r="BM350" s="692" t="n"/>
      <c r="BN350" s="692" t="n"/>
      <c r="BO350" s="692" t="n"/>
      <c r="BP350" s="692" t="n"/>
      <c r="BQ350" s="692" t="n"/>
    </row>
    <row r="351">
      <c r="A351" s="220" t="n"/>
      <c r="B351" s="211" t="n"/>
      <c r="C351" s="211" t="n"/>
      <c r="D351" s="211" t="n"/>
      <c r="E351" s="221" t="n"/>
      <c r="F351" s="211" t="n"/>
      <c r="G351" s="211" t="n"/>
      <c r="H351" s="211" t="n"/>
      <c r="I351" s="211" t="n"/>
      <c r="J351" s="211" t="n"/>
      <c r="K351" s="211" t="n"/>
      <c r="L351" s="213" t="n"/>
      <c r="M351" s="689" t="n"/>
      <c r="N351" s="689" t="n"/>
      <c r="O351" s="689" t="n"/>
      <c r="P351" s="227" t="n"/>
      <c r="Q351" s="689" t="n"/>
      <c r="R351" s="689" t="n"/>
      <c r="S351" s="689" t="n"/>
      <c r="T351" s="689" t="n"/>
      <c r="U351" s="689" t="n"/>
      <c r="V351" s="689" t="n"/>
      <c r="W351" s="689" t="n"/>
      <c r="X351" s="689" t="n"/>
      <c r="Y351" s="689" t="n"/>
      <c r="Z351" s="689" t="n"/>
      <c r="AA351" s="689" t="n"/>
      <c r="AB351" s="689" t="n"/>
      <c r="AC351" s="689" t="n"/>
      <c r="AD351" s="689" t="n"/>
      <c r="AF351" s="236" t="n"/>
      <c r="AG351" s="236" t="n"/>
      <c r="AH351" s="236" t="n"/>
      <c r="AI351" s="236" t="n"/>
      <c r="AJ351" s="236" t="n"/>
      <c r="AK351" s="236" t="n"/>
      <c r="AL351" s="236" t="n"/>
      <c r="AM351" s="236" t="n"/>
      <c r="AN351" s="236" t="n"/>
      <c r="AO351" s="236" t="n"/>
      <c r="AP351" s="236" t="n"/>
      <c r="AQ351" s="236" t="n"/>
      <c r="AR351" s="236" t="n"/>
      <c r="AS351" s="236" t="n"/>
      <c r="AT351" s="236" t="n"/>
      <c r="AU351" s="236" t="n"/>
      <c r="AV351" s="236" t="n"/>
      <c r="AW351" s="236" t="n"/>
      <c r="AX351" s="692" t="n"/>
      <c r="AY351" s="692" t="n"/>
      <c r="AZ351" s="692" t="n"/>
      <c r="BA351" s="692" t="n"/>
      <c r="BB351" s="692" t="n"/>
      <c r="BC351" s="692" t="n"/>
      <c r="BD351" s="692" t="n"/>
      <c r="BE351" s="692" t="n"/>
      <c r="BF351" s="692" t="n"/>
      <c r="BG351" s="692" t="n"/>
      <c r="BH351" s="692" t="n"/>
      <c r="BI351" s="692" t="n"/>
      <c r="BJ351" s="692" t="n"/>
      <c r="BK351" s="692" t="n"/>
      <c r="BL351" s="692" t="n"/>
      <c r="BM351" s="692" t="n"/>
      <c r="BN351" s="692" t="n"/>
      <c r="BO351" s="692" t="n"/>
      <c r="BP351" s="692" t="n"/>
      <c r="BQ351" s="692" t="n"/>
    </row>
    <row r="352">
      <c r="A352" s="218" t="n"/>
      <c r="B352" s="215" t="n"/>
      <c r="C352" s="215" t="n"/>
      <c r="D352" s="215" t="n"/>
      <c r="E352" s="219" t="n"/>
      <c r="F352" s="215" t="n"/>
      <c r="G352" s="215" t="n"/>
      <c r="H352" s="215" t="n"/>
      <c r="I352" s="215" t="n"/>
      <c r="J352" s="215" t="n"/>
      <c r="K352" s="215" t="n"/>
      <c r="L352" s="217" t="n"/>
      <c r="M352" s="689" t="n"/>
      <c r="N352" s="689" t="n"/>
      <c r="O352" s="689" t="n"/>
      <c r="P352" s="227" t="n"/>
      <c r="Q352" s="689" t="n"/>
      <c r="R352" s="689" t="n"/>
      <c r="S352" s="689" t="n"/>
      <c r="T352" s="689" t="n"/>
      <c r="U352" s="689" t="n"/>
      <c r="V352" s="689" t="n"/>
      <c r="W352" s="689" t="n"/>
      <c r="X352" s="689" t="n"/>
      <c r="Y352" s="689" t="n"/>
      <c r="Z352" s="689" t="n"/>
      <c r="AA352" s="689" t="n"/>
      <c r="AB352" s="689" t="n"/>
      <c r="AC352" s="689" t="n"/>
      <c r="AD352" s="689" t="n"/>
      <c r="AF352" s="236" t="n"/>
      <c r="AG352" s="236" t="n"/>
      <c r="AH352" s="236" t="n"/>
      <c r="AI352" s="236" t="n"/>
      <c r="AJ352" s="236" t="n"/>
      <c r="AK352" s="236" t="n"/>
      <c r="AL352" s="236" t="n"/>
      <c r="AM352" s="236" t="n"/>
      <c r="AN352" s="236" t="n"/>
      <c r="AO352" s="236" t="n"/>
      <c r="AP352" s="236" t="n"/>
      <c r="AQ352" s="236" t="n"/>
      <c r="AR352" s="236" t="n"/>
      <c r="AS352" s="236" t="n"/>
      <c r="AT352" s="236" t="n"/>
      <c r="AU352" s="236" t="n"/>
      <c r="AV352" s="236" t="n"/>
      <c r="AW352" s="236" t="n"/>
      <c r="AX352" s="692" t="n"/>
      <c r="AY352" s="692" t="n"/>
      <c r="AZ352" s="692" t="n"/>
      <c r="BA352" s="692" t="n"/>
      <c r="BB352" s="692" t="n"/>
      <c r="BC352" s="692" t="n"/>
      <c r="BD352" s="692" t="n"/>
      <c r="BE352" s="692" t="n"/>
      <c r="BF352" s="692" t="n"/>
      <c r="BG352" s="692" t="n"/>
      <c r="BH352" s="692" t="n"/>
      <c r="BI352" s="692" t="n"/>
      <c r="BJ352" s="692" t="n"/>
      <c r="BK352" s="692" t="n"/>
      <c r="BL352" s="692" t="n"/>
      <c r="BM352" s="692" t="n"/>
      <c r="BN352" s="692" t="n"/>
      <c r="BO352" s="692" t="n"/>
      <c r="BP352" s="692" t="n"/>
      <c r="BQ352" s="692" t="n"/>
    </row>
    <row r="353">
      <c r="A353" s="220" t="n"/>
      <c r="B353" s="211" t="n"/>
      <c r="C353" s="211" t="n"/>
      <c r="D353" s="211" t="n"/>
      <c r="E353" s="221" t="n"/>
      <c r="F353" s="211" t="n"/>
      <c r="G353" s="211" t="n"/>
      <c r="H353" s="211" t="n"/>
      <c r="I353" s="211" t="n"/>
      <c r="J353" s="211" t="n"/>
      <c r="K353" s="211" t="n"/>
      <c r="L353" s="213" t="n"/>
      <c r="M353" s="689" t="n"/>
      <c r="N353" s="689" t="n"/>
      <c r="O353" s="689" t="n"/>
      <c r="P353" s="227" t="n"/>
      <c r="Q353" s="689" t="n"/>
      <c r="R353" s="689" t="n"/>
      <c r="S353" s="689" t="n"/>
      <c r="T353" s="689" t="n"/>
      <c r="U353" s="689" t="n"/>
      <c r="V353" s="689" t="n"/>
      <c r="W353" s="689" t="n"/>
      <c r="X353" s="689" t="n"/>
      <c r="Y353" s="689" t="n"/>
      <c r="Z353" s="689" t="n"/>
      <c r="AA353" s="689" t="n"/>
      <c r="AB353" s="689" t="n"/>
      <c r="AC353" s="689" t="n"/>
      <c r="AD353" s="689" t="n"/>
      <c r="AF353" s="236" t="n"/>
      <c r="AG353" s="236" t="n"/>
      <c r="AH353" s="236" t="n"/>
      <c r="AI353" s="236" t="n"/>
      <c r="AJ353" s="236" t="n"/>
      <c r="AK353" s="236" t="n"/>
      <c r="AL353" s="236" t="n"/>
      <c r="AM353" s="236" t="n"/>
      <c r="AN353" s="236" t="n"/>
      <c r="AO353" s="236" t="n"/>
      <c r="AP353" s="236" t="n"/>
      <c r="AQ353" s="236" t="n"/>
      <c r="AR353" s="236" t="n"/>
      <c r="AS353" s="236" t="n"/>
      <c r="AT353" s="236" t="n"/>
      <c r="AU353" s="236" t="n"/>
      <c r="AV353" s="236" t="n"/>
      <c r="AW353" s="236" t="n"/>
      <c r="AX353" s="692" t="n"/>
      <c r="AY353" s="692" t="n"/>
      <c r="AZ353" s="692" t="n"/>
      <c r="BA353" s="692" t="n"/>
      <c r="BB353" s="692" t="n"/>
      <c r="BC353" s="692" t="n"/>
      <c r="BD353" s="692" t="n"/>
      <c r="BE353" s="692" t="n"/>
      <c r="BF353" s="692" t="n"/>
      <c r="BG353" s="692" t="n"/>
      <c r="BH353" s="692" t="n"/>
      <c r="BI353" s="692" t="n"/>
      <c r="BJ353" s="692" t="n"/>
      <c r="BK353" s="692" t="n"/>
      <c r="BL353" s="692" t="n"/>
      <c r="BM353" s="692" t="n"/>
      <c r="BN353" s="692" t="n"/>
      <c r="BO353" s="692" t="n"/>
      <c r="BP353" s="692" t="n"/>
      <c r="BQ353" s="692" t="n"/>
    </row>
    <row r="354">
      <c r="A354" s="218" t="n"/>
      <c r="B354" s="215" t="n"/>
      <c r="C354" s="215" t="n"/>
      <c r="D354" s="215" t="n"/>
      <c r="E354" s="219" t="n"/>
      <c r="F354" s="215" t="n"/>
      <c r="G354" s="215" t="n"/>
      <c r="H354" s="215" t="n"/>
      <c r="I354" s="215" t="n"/>
      <c r="J354" s="215" t="n"/>
      <c r="K354" s="215" t="n"/>
      <c r="L354" s="217" t="n"/>
      <c r="M354" s="689" t="n"/>
      <c r="N354" s="689" t="n"/>
      <c r="O354" s="689" t="n"/>
      <c r="P354" s="227" t="n"/>
      <c r="Q354" s="689" t="n"/>
      <c r="R354" s="689" t="n"/>
      <c r="S354" s="689" t="n"/>
      <c r="T354" s="689" t="n"/>
      <c r="U354" s="689" t="n"/>
      <c r="V354" s="689" t="n"/>
      <c r="W354" s="689" t="n"/>
      <c r="X354" s="689" t="n"/>
      <c r="Y354" s="689" t="n"/>
      <c r="Z354" s="689" t="n"/>
      <c r="AA354" s="689" t="n"/>
      <c r="AB354" s="689" t="n"/>
      <c r="AC354" s="689" t="n"/>
      <c r="AD354" s="689" t="n"/>
      <c r="AF354" s="236" t="n"/>
      <c r="AG354" s="236" t="n"/>
      <c r="AH354" s="236" t="n"/>
      <c r="AI354" s="236" t="n"/>
      <c r="AJ354" s="236" t="n"/>
      <c r="AK354" s="236" t="n"/>
      <c r="AL354" s="236" t="n"/>
      <c r="AM354" s="236" t="n"/>
      <c r="AN354" s="236" t="n"/>
      <c r="AO354" s="236" t="n"/>
      <c r="AP354" s="236" t="n"/>
      <c r="AQ354" s="236" t="n"/>
      <c r="AR354" s="236" t="n"/>
      <c r="AS354" s="236" t="n"/>
      <c r="AT354" s="236" t="n"/>
      <c r="AU354" s="236" t="n"/>
      <c r="AV354" s="236" t="n"/>
      <c r="AW354" s="236" t="n"/>
      <c r="AX354" s="692" t="n"/>
      <c r="AY354" s="692" t="n"/>
      <c r="AZ354" s="692" t="n"/>
      <c r="BA354" s="692" t="n"/>
      <c r="BB354" s="692" t="n"/>
      <c r="BC354" s="692" t="n"/>
      <c r="BD354" s="692" t="n"/>
      <c r="BE354" s="692" t="n"/>
      <c r="BF354" s="692" t="n"/>
      <c r="BG354" s="692" t="n"/>
      <c r="BH354" s="692" t="n"/>
      <c r="BI354" s="692" t="n"/>
      <c r="BJ354" s="692" t="n"/>
      <c r="BK354" s="692" t="n"/>
      <c r="BL354" s="692" t="n"/>
      <c r="BM354" s="692" t="n"/>
      <c r="BN354" s="692" t="n"/>
      <c r="BO354" s="692" t="n"/>
      <c r="BP354" s="692" t="n"/>
      <c r="BQ354" s="692" t="n"/>
    </row>
    <row r="355">
      <c r="A355" s="220" t="n"/>
      <c r="B355" s="211" t="n"/>
      <c r="C355" s="211" t="n"/>
      <c r="D355" s="211" t="n"/>
      <c r="E355" s="221" t="n"/>
      <c r="F355" s="211" t="n"/>
      <c r="G355" s="211" t="n"/>
      <c r="H355" s="211" t="n"/>
      <c r="I355" s="211" t="n"/>
      <c r="J355" s="211" t="n"/>
      <c r="K355" s="211" t="n"/>
      <c r="L355" s="213" t="n"/>
      <c r="M355" s="689" t="n"/>
      <c r="N355" s="689" t="n"/>
      <c r="O355" s="689" t="n"/>
      <c r="P355" s="227" t="n"/>
      <c r="Q355" s="689" t="n"/>
      <c r="R355" s="689" t="n"/>
      <c r="S355" s="689" t="n"/>
      <c r="T355" s="689" t="n"/>
      <c r="U355" s="689" t="n"/>
      <c r="V355" s="689" t="n"/>
      <c r="W355" s="689" t="n"/>
      <c r="X355" s="689" t="n"/>
      <c r="Y355" s="689" t="n"/>
      <c r="Z355" s="689" t="n"/>
      <c r="AA355" s="689" t="n"/>
      <c r="AB355" s="689" t="n"/>
      <c r="AC355" s="689" t="n"/>
      <c r="AD355" s="689" t="n"/>
      <c r="AF355" s="236" t="n"/>
      <c r="AG355" s="236" t="n"/>
      <c r="AH355" s="236" t="n"/>
      <c r="AI355" s="236" t="n"/>
      <c r="AJ355" s="236" t="n"/>
      <c r="AK355" s="236" t="n"/>
      <c r="AL355" s="236" t="n"/>
      <c r="AM355" s="236" t="n"/>
      <c r="AN355" s="236" t="n"/>
      <c r="AO355" s="236" t="n"/>
      <c r="AP355" s="236" t="n"/>
      <c r="AQ355" s="236" t="n"/>
      <c r="AR355" s="236" t="n"/>
      <c r="AS355" s="236" t="n"/>
      <c r="AT355" s="236" t="n"/>
      <c r="AU355" s="236" t="n"/>
      <c r="AV355" s="236" t="n"/>
      <c r="AW355" s="236" t="n"/>
      <c r="AX355" s="692" t="n"/>
      <c r="AY355" s="692" t="n"/>
      <c r="AZ355" s="692" t="n"/>
      <c r="BA355" s="692" t="n"/>
      <c r="BB355" s="692" t="n"/>
      <c r="BC355" s="692" t="n"/>
      <c r="BD355" s="692" t="n"/>
      <c r="BE355" s="692" t="n"/>
      <c r="BF355" s="692" t="n"/>
      <c r="BG355" s="692" t="n"/>
      <c r="BH355" s="692" t="n"/>
      <c r="BI355" s="692" t="n"/>
      <c r="BJ355" s="692" t="n"/>
      <c r="BK355" s="692" t="n"/>
      <c r="BL355" s="692" t="n"/>
      <c r="BM355" s="692" t="n"/>
      <c r="BN355" s="692" t="n"/>
      <c r="BO355" s="692" t="n"/>
      <c r="BP355" s="692" t="n"/>
      <c r="BQ355" s="692" t="n"/>
    </row>
    <row r="356">
      <c r="A356" s="218" t="n"/>
      <c r="B356" s="215" t="n"/>
      <c r="C356" s="215" t="n"/>
      <c r="D356" s="215" t="n"/>
      <c r="E356" s="219" t="n"/>
      <c r="F356" s="215" t="n"/>
      <c r="G356" s="215" t="n"/>
      <c r="H356" s="215" t="n"/>
      <c r="I356" s="215" t="n"/>
      <c r="J356" s="215" t="n"/>
      <c r="K356" s="215" t="n"/>
      <c r="L356" s="217" t="n"/>
      <c r="M356" s="689" t="n"/>
      <c r="N356" s="689" t="n"/>
      <c r="O356" s="689" t="n"/>
      <c r="P356" s="227" t="n"/>
      <c r="Q356" s="689" t="n"/>
      <c r="R356" s="689" t="n"/>
      <c r="S356" s="689" t="n"/>
      <c r="T356" s="689" t="n"/>
      <c r="U356" s="689" t="n"/>
      <c r="V356" s="689" t="n"/>
      <c r="W356" s="689" t="n"/>
      <c r="X356" s="689" t="n"/>
      <c r="Y356" s="689" t="n"/>
      <c r="Z356" s="689" t="n"/>
      <c r="AA356" s="689" t="n"/>
      <c r="AB356" s="689" t="n"/>
      <c r="AC356" s="689" t="n"/>
      <c r="AD356" s="689" t="n"/>
      <c r="AF356" s="236" t="n"/>
      <c r="AG356" s="236" t="n"/>
      <c r="AH356" s="236" t="n"/>
      <c r="AI356" s="236" t="n"/>
      <c r="AJ356" s="236" t="n"/>
      <c r="AK356" s="236" t="n"/>
      <c r="AL356" s="236" t="n"/>
      <c r="AM356" s="236" t="n"/>
      <c r="AN356" s="236" t="n"/>
      <c r="AO356" s="236" t="n"/>
      <c r="AP356" s="236" t="n"/>
      <c r="AQ356" s="236" t="n"/>
      <c r="AR356" s="236" t="n"/>
      <c r="AS356" s="236" t="n"/>
      <c r="AT356" s="236" t="n"/>
      <c r="AU356" s="236" t="n"/>
      <c r="AV356" s="236" t="n"/>
      <c r="AW356" s="236" t="n"/>
      <c r="AX356" s="692" t="n"/>
      <c r="AY356" s="692" t="n"/>
      <c r="AZ356" s="692" t="n"/>
      <c r="BA356" s="692" t="n"/>
      <c r="BB356" s="692" t="n"/>
      <c r="BC356" s="692" t="n"/>
      <c r="BD356" s="692" t="n"/>
      <c r="BE356" s="692" t="n"/>
      <c r="BF356" s="692" t="n"/>
      <c r="BG356" s="692" t="n"/>
      <c r="BH356" s="692" t="n"/>
      <c r="BI356" s="692" t="n"/>
      <c r="BJ356" s="692" t="n"/>
      <c r="BK356" s="692" t="n"/>
      <c r="BL356" s="692" t="n"/>
      <c r="BM356" s="692" t="n"/>
      <c r="BN356" s="692" t="n"/>
      <c r="BO356" s="692" t="n"/>
      <c r="BP356" s="692" t="n"/>
      <c r="BQ356" s="692" t="n"/>
    </row>
    <row r="357">
      <c r="A357" s="220" t="n"/>
      <c r="B357" s="211" t="n"/>
      <c r="C357" s="211" t="n"/>
      <c r="D357" s="211" t="n"/>
      <c r="E357" s="221" t="n"/>
      <c r="F357" s="211" t="n"/>
      <c r="G357" s="211" t="n"/>
      <c r="H357" s="211" t="n"/>
      <c r="I357" s="211" t="n"/>
      <c r="J357" s="211" t="n"/>
      <c r="K357" s="211" t="n"/>
      <c r="L357" s="213" t="n"/>
      <c r="M357" s="689" t="n"/>
      <c r="N357" s="689" t="n"/>
      <c r="O357" s="689" t="n"/>
      <c r="P357" s="227" t="n"/>
      <c r="Q357" s="689" t="n"/>
      <c r="R357" s="689" t="n"/>
      <c r="S357" s="689" t="n"/>
      <c r="T357" s="689" t="n"/>
      <c r="U357" s="689" t="n"/>
      <c r="V357" s="689" t="n"/>
      <c r="W357" s="689" t="n"/>
      <c r="X357" s="689" t="n"/>
      <c r="Y357" s="689" t="n"/>
      <c r="Z357" s="689" t="n"/>
      <c r="AA357" s="689" t="n"/>
      <c r="AB357" s="689" t="n"/>
      <c r="AC357" s="689" t="n"/>
      <c r="AD357" s="689" t="n"/>
      <c r="AF357" s="236" t="n"/>
      <c r="AG357" s="236" t="n"/>
      <c r="AH357" s="236" t="n"/>
      <c r="AI357" s="236" t="n"/>
      <c r="AJ357" s="236" t="n"/>
      <c r="AK357" s="236" t="n"/>
      <c r="AL357" s="236" t="n"/>
      <c r="AM357" s="236" t="n"/>
      <c r="AN357" s="236" t="n"/>
      <c r="AO357" s="236" t="n"/>
      <c r="AP357" s="236" t="n"/>
      <c r="AQ357" s="236" t="n"/>
      <c r="AR357" s="236" t="n"/>
      <c r="AS357" s="236" t="n"/>
      <c r="AT357" s="236" t="n"/>
      <c r="AU357" s="236" t="n"/>
      <c r="AV357" s="236" t="n"/>
      <c r="AW357" s="236" t="n"/>
      <c r="AX357" s="692" t="n"/>
      <c r="AY357" s="692" t="n"/>
      <c r="AZ357" s="692" t="n"/>
      <c r="BA357" s="692" t="n"/>
      <c r="BB357" s="692" t="n"/>
      <c r="BC357" s="692" t="n"/>
      <c r="BD357" s="692" t="n"/>
      <c r="BE357" s="692" t="n"/>
      <c r="BF357" s="692" t="n"/>
      <c r="BG357" s="692" t="n"/>
      <c r="BH357" s="692" t="n"/>
      <c r="BI357" s="692" t="n"/>
      <c r="BJ357" s="692" t="n"/>
      <c r="BK357" s="692" t="n"/>
      <c r="BL357" s="692" t="n"/>
      <c r="BM357" s="692" t="n"/>
      <c r="BN357" s="692" t="n"/>
      <c r="BO357" s="692" t="n"/>
      <c r="BP357" s="692" t="n"/>
      <c r="BQ357" s="692" t="n"/>
    </row>
    <row r="358">
      <c r="A358" s="218" t="n"/>
      <c r="B358" s="215" t="n"/>
      <c r="C358" s="215" t="n"/>
      <c r="D358" s="215" t="n"/>
      <c r="E358" s="219" t="n"/>
      <c r="F358" s="215" t="n"/>
      <c r="G358" s="215" t="n"/>
      <c r="H358" s="215" t="n"/>
      <c r="I358" s="215" t="n"/>
      <c r="J358" s="215" t="n"/>
      <c r="K358" s="215" t="n"/>
      <c r="L358" s="217" t="n"/>
      <c r="M358" s="689" t="n"/>
      <c r="N358" s="689" t="n"/>
      <c r="O358" s="689" t="n"/>
      <c r="P358" s="227" t="n"/>
      <c r="Q358" s="689" t="n"/>
      <c r="R358" s="689" t="n"/>
      <c r="S358" s="689" t="n"/>
      <c r="T358" s="689" t="n"/>
      <c r="U358" s="689" t="n"/>
      <c r="V358" s="689" t="n"/>
      <c r="W358" s="689" t="n"/>
      <c r="X358" s="689" t="n"/>
      <c r="Y358" s="689" t="n"/>
      <c r="Z358" s="689" t="n"/>
      <c r="AA358" s="689" t="n"/>
      <c r="AB358" s="689" t="n"/>
      <c r="AC358" s="689" t="n"/>
      <c r="AD358" s="689" t="n"/>
      <c r="AF358" s="236" t="n"/>
      <c r="AG358" s="236" t="n"/>
      <c r="AH358" s="236" t="n"/>
      <c r="AI358" s="236" t="n"/>
      <c r="AJ358" s="236" t="n"/>
      <c r="AK358" s="236" t="n"/>
      <c r="AL358" s="236" t="n"/>
      <c r="AM358" s="236" t="n"/>
      <c r="AN358" s="236" t="n"/>
      <c r="AO358" s="236" t="n"/>
      <c r="AP358" s="236" t="n"/>
      <c r="AQ358" s="236" t="n"/>
      <c r="AR358" s="236" t="n"/>
      <c r="AS358" s="236" t="n"/>
      <c r="AT358" s="236" t="n"/>
      <c r="AU358" s="236" t="n"/>
      <c r="AV358" s="236" t="n"/>
      <c r="AW358" s="236" t="n"/>
      <c r="AX358" s="692" t="n"/>
      <c r="AY358" s="692" t="n"/>
      <c r="AZ358" s="692" t="n"/>
      <c r="BA358" s="692" t="n"/>
      <c r="BB358" s="692" t="n"/>
      <c r="BC358" s="692" t="n"/>
      <c r="BD358" s="692" t="n"/>
      <c r="BE358" s="692" t="n"/>
      <c r="BF358" s="692" t="n"/>
      <c r="BG358" s="692" t="n"/>
      <c r="BH358" s="692" t="n"/>
      <c r="BI358" s="692" t="n"/>
      <c r="BJ358" s="692" t="n"/>
      <c r="BK358" s="692" t="n"/>
      <c r="BL358" s="692" t="n"/>
      <c r="BM358" s="692" t="n"/>
      <c r="BN358" s="692" t="n"/>
      <c r="BO358" s="692" t="n"/>
      <c r="BP358" s="692" t="n"/>
      <c r="BQ358" s="692" t="n"/>
    </row>
    <row r="359">
      <c r="A359" s="220" t="n"/>
      <c r="B359" s="211" t="n"/>
      <c r="C359" s="211" t="n"/>
      <c r="D359" s="211" t="n"/>
      <c r="E359" s="221" t="n"/>
      <c r="F359" s="211" t="n"/>
      <c r="G359" s="211" t="n"/>
      <c r="H359" s="211" t="n"/>
      <c r="I359" s="211" t="n"/>
      <c r="J359" s="211" t="n"/>
      <c r="K359" s="211" t="n"/>
      <c r="L359" s="213" t="n"/>
      <c r="M359" s="689" t="n"/>
      <c r="N359" s="689" t="n"/>
      <c r="O359" s="689" t="n"/>
      <c r="P359" s="227" t="n"/>
      <c r="Q359" s="689" t="n"/>
      <c r="R359" s="689" t="n"/>
      <c r="S359" s="689" t="n"/>
      <c r="T359" s="689" t="n"/>
      <c r="U359" s="689" t="n"/>
      <c r="V359" s="689" t="n"/>
      <c r="W359" s="689" t="n"/>
      <c r="X359" s="689" t="n"/>
      <c r="Y359" s="689" t="n"/>
      <c r="Z359" s="689" t="n"/>
      <c r="AA359" s="689" t="n"/>
      <c r="AB359" s="689" t="n"/>
      <c r="AC359" s="689" t="n"/>
      <c r="AD359" s="689" t="n"/>
      <c r="AF359" s="236" t="n"/>
      <c r="AG359" s="236" t="n"/>
      <c r="AH359" s="236" t="n"/>
      <c r="AI359" s="236" t="n"/>
      <c r="AJ359" s="236" t="n"/>
      <c r="AK359" s="236" t="n"/>
      <c r="AL359" s="236" t="n"/>
      <c r="AM359" s="236" t="n"/>
      <c r="AN359" s="236" t="n"/>
      <c r="AO359" s="236" t="n"/>
      <c r="AP359" s="236" t="n"/>
      <c r="AQ359" s="236" t="n"/>
      <c r="AR359" s="236" t="n"/>
      <c r="AS359" s="236" t="n"/>
      <c r="AT359" s="236" t="n"/>
      <c r="AU359" s="236" t="n"/>
      <c r="AV359" s="236" t="n"/>
      <c r="AW359" s="236" t="n"/>
      <c r="AX359" s="692" t="n"/>
      <c r="AY359" s="692" t="n"/>
      <c r="AZ359" s="692" t="n"/>
      <c r="BA359" s="692" t="n"/>
      <c r="BB359" s="692" t="n"/>
      <c r="BC359" s="692" t="n"/>
      <c r="BD359" s="692" t="n"/>
      <c r="BE359" s="692" t="n"/>
      <c r="BF359" s="692" t="n"/>
      <c r="BG359" s="692" t="n"/>
      <c r="BH359" s="692" t="n"/>
      <c r="BI359" s="692" t="n"/>
      <c r="BJ359" s="692" t="n"/>
      <c r="BK359" s="692" t="n"/>
      <c r="BL359" s="692" t="n"/>
      <c r="BM359" s="692" t="n"/>
      <c r="BN359" s="692" t="n"/>
      <c r="BO359" s="692" t="n"/>
      <c r="BP359" s="692" t="n"/>
      <c r="BQ359" s="692" t="n"/>
    </row>
    <row r="360">
      <c r="A360" s="218" t="n"/>
      <c r="B360" s="215" t="n"/>
      <c r="C360" s="215" t="n"/>
      <c r="D360" s="215" t="n"/>
      <c r="E360" s="219" t="n"/>
      <c r="F360" s="215" t="n"/>
      <c r="G360" s="215" t="n"/>
      <c r="H360" s="215" t="n"/>
      <c r="I360" s="215" t="n"/>
      <c r="J360" s="215" t="n"/>
      <c r="K360" s="215" t="n"/>
      <c r="L360" s="217" t="n"/>
      <c r="M360" s="689" t="n"/>
      <c r="N360" s="689" t="n"/>
      <c r="O360" s="689" t="n"/>
      <c r="P360" s="227" t="n"/>
      <c r="Q360" s="689" t="n"/>
      <c r="R360" s="689" t="n"/>
      <c r="S360" s="689" t="n"/>
      <c r="T360" s="689" t="n"/>
      <c r="U360" s="689" t="n"/>
      <c r="V360" s="689" t="n"/>
      <c r="W360" s="689" t="n"/>
      <c r="X360" s="689" t="n"/>
      <c r="Y360" s="689" t="n"/>
      <c r="Z360" s="689" t="n"/>
      <c r="AA360" s="689" t="n"/>
      <c r="AB360" s="689" t="n"/>
      <c r="AC360" s="689" t="n"/>
      <c r="AD360" s="689" t="n"/>
      <c r="AF360" s="236" t="n"/>
      <c r="AG360" s="236" t="n"/>
      <c r="AH360" s="236" t="n"/>
      <c r="AI360" s="236" t="n"/>
      <c r="AJ360" s="236" t="n"/>
      <c r="AK360" s="236" t="n"/>
      <c r="AL360" s="236" t="n"/>
      <c r="AM360" s="236" t="n"/>
      <c r="AN360" s="236" t="n"/>
      <c r="AO360" s="236" t="n"/>
      <c r="AP360" s="236" t="n"/>
      <c r="AQ360" s="236" t="n"/>
      <c r="AR360" s="236" t="n"/>
      <c r="AS360" s="236" t="n"/>
      <c r="AT360" s="236" t="n"/>
      <c r="AU360" s="236" t="n"/>
      <c r="AV360" s="236" t="n"/>
      <c r="AW360" s="236" t="n"/>
      <c r="AX360" s="692" t="n"/>
      <c r="AY360" s="692" t="n"/>
      <c r="AZ360" s="692" t="n"/>
      <c r="BA360" s="692" t="n"/>
      <c r="BB360" s="692" t="n"/>
      <c r="BC360" s="692" t="n"/>
      <c r="BD360" s="692" t="n"/>
      <c r="BE360" s="692" t="n"/>
      <c r="BF360" s="692" t="n"/>
      <c r="BG360" s="692" t="n"/>
      <c r="BH360" s="692" t="n"/>
      <c r="BI360" s="692" t="n"/>
      <c r="BJ360" s="692" t="n"/>
      <c r="BK360" s="692" t="n"/>
      <c r="BL360" s="692" t="n"/>
      <c r="BM360" s="692" t="n"/>
      <c r="BN360" s="692" t="n"/>
      <c r="BO360" s="692" t="n"/>
      <c r="BP360" s="692" t="n"/>
      <c r="BQ360" s="692" t="n"/>
    </row>
    <row r="361">
      <c r="A361" s="220" t="n"/>
      <c r="B361" s="211" t="n"/>
      <c r="C361" s="211" t="n"/>
      <c r="D361" s="211" t="n"/>
      <c r="E361" s="221" t="n"/>
      <c r="F361" s="211" t="n"/>
      <c r="G361" s="211" t="n"/>
      <c r="H361" s="211" t="n"/>
      <c r="I361" s="211" t="n"/>
      <c r="J361" s="211" t="n"/>
      <c r="K361" s="211" t="n"/>
      <c r="L361" s="213" t="n"/>
      <c r="M361" s="689" t="n"/>
      <c r="N361" s="689" t="n"/>
      <c r="O361" s="689" t="n"/>
      <c r="P361" s="227" t="n"/>
      <c r="Q361" s="689" t="n"/>
      <c r="R361" s="689" t="n"/>
      <c r="S361" s="689" t="n"/>
      <c r="T361" s="689" t="n"/>
      <c r="U361" s="689" t="n"/>
      <c r="V361" s="689" t="n"/>
      <c r="W361" s="689" t="n"/>
      <c r="X361" s="689" t="n"/>
      <c r="Y361" s="689" t="n"/>
      <c r="Z361" s="689" t="n"/>
      <c r="AA361" s="689" t="n"/>
      <c r="AB361" s="689" t="n"/>
      <c r="AC361" s="689" t="n"/>
      <c r="AD361" s="689" t="n"/>
      <c r="AF361" s="236" t="n"/>
      <c r="AG361" s="236" t="n"/>
      <c r="AH361" s="236" t="n"/>
      <c r="AI361" s="236" t="n"/>
      <c r="AJ361" s="236" t="n"/>
      <c r="AK361" s="236" t="n"/>
      <c r="AL361" s="236" t="n"/>
      <c r="AM361" s="236" t="n"/>
      <c r="AN361" s="236" t="n"/>
      <c r="AO361" s="236" t="n"/>
      <c r="AP361" s="236" t="n"/>
      <c r="AQ361" s="236" t="n"/>
      <c r="AR361" s="236" t="n"/>
      <c r="AS361" s="236" t="n"/>
      <c r="AT361" s="236" t="n"/>
      <c r="AU361" s="236" t="n"/>
      <c r="AV361" s="236" t="n"/>
      <c r="AW361" s="236" t="n"/>
      <c r="AX361" s="692" t="n"/>
      <c r="AY361" s="692" t="n"/>
      <c r="AZ361" s="692" t="n"/>
      <c r="BA361" s="692" t="n"/>
      <c r="BB361" s="692" t="n"/>
      <c r="BC361" s="692" t="n"/>
      <c r="BD361" s="692" t="n"/>
      <c r="BE361" s="692" t="n"/>
      <c r="BF361" s="692" t="n"/>
      <c r="BG361" s="692" t="n"/>
      <c r="BH361" s="692" t="n"/>
      <c r="BI361" s="692" t="n"/>
      <c r="BJ361" s="692" t="n"/>
      <c r="BK361" s="692" t="n"/>
      <c r="BL361" s="692" t="n"/>
      <c r="BM361" s="692" t="n"/>
      <c r="BN361" s="692" t="n"/>
      <c r="BO361" s="692" t="n"/>
      <c r="BP361" s="692" t="n"/>
      <c r="BQ361" s="692" t="n"/>
    </row>
    <row r="362">
      <c r="A362" s="218" t="n"/>
      <c r="B362" s="215" t="n"/>
      <c r="C362" s="215" t="n"/>
      <c r="D362" s="215" t="n"/>
      <c r="E362" s="219" t="n"/>
      <c r="F362" s="215" t="n"/>
      <c r="G362" s="215" t="n"/>
      <c r="H362" s="215" t="n"/>
      <c r="I362" s="215" t="n"/>
      <c r="J362" s="215" t="n"/>
      <c r="K362" s="215" t="n"/>
      <c r="L362" s="217" t="n"/>
      <c r="M362" s="689" t="n"/>
      <c r="N362" s="689" t="n"/>
      <c r="O362" s="689" t="n"/>
      <c r="P362" s="227" t="n"/>
      <c r="Q362" s="689" t="n"/>
      <c r="R362" s="689" t="n"/>
      <c r="S362" s="689" t="n"/>
      <c r="T362" s="689" t="n"/>
      <c r="U362" s="689" t="n"/>
      <c r="V362" s="689" t="n"/>
      <c r="W362" s="689" t="n"/>
      <c r="X362" s="689" t="n"/>
      <c r="Y362" s="689" t="n"/>
      <c r="Z362" s="689" t="n"/>
      <c r="AA362" s="689" t="n"/>
      <c r="AB362" s="689" t="n"/>
      <c r="AC362" s="689" t="n"/>
      <c r="AD362" s="689" t="n"/>
      <c r="AF362" s="236" t="n"/>
      <c r="AG362" s="236" t="n"/>
      <c r="AH362" s="236" t="n"/>
      <c r="AI362" s="236" t="n"/>
      <c r="AJ362" s="236" t="n"/>
      <c r="AK362" s="236" t="n"/>
      <c r="AL362" s="236" t="n"/>
      <c r="AM362" s="236" t="n"/>
      <c r="AN362" s="236" t="n"/>
      <c r="AO362" s="236" t="n"/>
      <c r="AP362" s="236" t="n"/>
      <c r="AQ362" s="236" t="n"/>
      <c r="AR362" s="236" t="n"/>
      <c r="AS362" s="236" t="n"/>
      <c r="AT362" s="236" t="n"/>
      <c r="AU362" s="236" t="n"/>
      <c r="AV362" s="236" t="n"/>
      <c r="AW362" s="236" t="n"/>
      <c r="AX362" s="692" t="n"/>
      <c r="AY362" s="692" t="n"/>
      <c r="AZ362" s="692" t="n"/>
      <c r="BA362" s="692" t="n"/>
      <c r="BB362" s="692" t="n"/>
      <c r="BC362" s="692" t="n"/>
      <c r="BD362" s="692" t="n"/>
      <c r="BE362" s="692" t="n"/>
      <c r="BF362" s="692" t="n"/>
      <c r="BG362" s="692" t="n"/>
      <c r="BH362" s="692" t="n"/>
      <c r="BI362" s="692" t="n"/>
      <c r="BJ362" s="692" t="n"/>
      <c r="BK362" s="692" t="n"/>
      <c r="BL362" s="692" t="n"/>
      <c r="BM362" s="692" t="n"/>
      <c r="BN362" s="692" t="n"/>
      <c r="BO362" s="692" t="n"/>
      <c r="BP362" s="692" t="n"/>
      <c r="BQ362" s="692" t="n"/>
    </row>
    <row r="363">
      <c r="A363" s="220" t="n"/>
      <c r="B363" s="211" t="n"/>
      <c r="C363" s="211" t="n"/>
      <c r="D363" s="211" t="n"/>
      <c r="E363" s="221" t="n"/>
      <c r="F363" s="211" t="n"/>
      <c r="G363" s="211" t="n"/>
      <c r="H363" s="211" t="n"/>
      <c r="I363" s="211" t="n"/>
      <c r="J363" s="211" t="n"/>
      <c r="K363" s="211" t="n"/>
      <c r="L363" s="213" t="n"/>
      <c r="M363" s="689" t="n"/>
      <c r="N363" s="689" t="n"/>
      <c r="O363" s="689" t="n"/>
      <c r="P363" s="227" t="n"/>
      <c r="Q363" s="689" t="n"/>
      <c r="R363" s="689" t="n"/>
      <c r="S363" s="689" t="n"/>
      <c r="T363" s="689" t="n"/>
      <c r="U363" s="689" t="n"/>
      <c r="V363" s="689" t="n"/>
      <c r="W363" s="689" t="n"/>
      <c r="X363" s="689" t="n"/>
      <c r="Y363" s="689" t="n"/>
      <c r="Z363" s="689" t="n"/>
      <c r="AA363" s="689" t="n"/>
      <c r="AB363" s="689" t="n"/>
      <c r="AC363" s="689" t="n"/>
      <c r="AD363" s="689" t="n"/>
      <c r="AF363" s="236" t="n"/>
      <c r="AG363" s="236" t="n"/>
      <c r="AH363" s="236" t="n"/>
      <c r="AI363" s="236" t="n"/>
      <c r="AJ363" s="236" t="n"/>
      <c r="AK363" s="236" t="n"/>
      <c r="AL363" s="236" t="n"/>
      <c r="AM363" s="236" t="n"/>
      <c r="AN363" s="236" t="n"/>
      <c r="AO363" s="236" t="n"/>
      <c r="AP363" s="236" t="n"/>
      <c r="AQ363" s="236" t="n"/>
      <c r="AR363" s="236" t="n"/>
      <c r="AS363" s="236" t="n"/>
      <c r="AT363" s="236" t="n"/>
      <c r="AU363" s="236" t="n"/>
      <c r="AV363" s="236" t="n"/>
      <c r="AW363" s="236" t="n"/>
      <c r="AX363" s="692" t="n"/>
      <c r="AY363" s="692" t="n"/>
      <c r="AZ363" s="692" t="n"/>
      <c r="BA363" s="692" t="n"/>
      <c r="BB363" s="692" t="n"/>
      <c r="BC363" s="692" t="n"/>
      <c r="BD363" s="692" t="n"/>
      <c r="BE363" s="692" t="n"/>
      <c r="BF363" s="692" t="n"/>
      <c r="BG363" s="692" t="n"/>
      <c r="BH363" s="692" t="n"/>
      <c r="BI363" s="692" t="n"/>
      <c r="BJ363" s="692" t="n"/>
      <c r="BK363" s="692" t="n"/>
      <c r="BL363" s="692" t="n"/>
      <c r="BM363" s="692" t="n"/>
      <c r="BN363" s="692" t="n"/>
      <c r="BO363" s="692" t="n"/>
      <c r="BP363" s="692" t="n"/>
      <c r="BQ363" s="692" t="n"/>
    </row>
    <row r="364">
      <c r="A364" s="218" t="n"/>
      <c r="B364" s="215" t="n"/>
      <c r="C364" s="215" t="n"/>
      <c r="D364" s="215" t="n"/>
      <c r="E364" s="219" t="n"/>
      <c r="F364" s="215" t="n"/>
      <c r="G364" s="215" t="n"/>
      <c r="H364" s="215" t="n"/>
      <c r="I364" s="215" t="n"/>
      <c r="J364" s="215" t="n"/>
      <c r="K364" s="215" t="n"/>
      <c r="L364" s="217" t="n"/>
      <c r="M364" s="689" t="n"/>
      <c r="N364" s="689" t="n"/>
      <c r="O364" s="689" t="n"/>
      <c r="P364" s="227" t="n"/>
      <c r="Q364" s="689" t="n"/>
      <c r="R364" s="689" t="n"/>
      <c r="S364" s="689" t="n"/>
      <c r="T364" s="689" t="n"/>
      <c r="U364" s="689" t="n"/>
      <c r="V364" s="689" t="n"/>
      <c r="W364" s="689" t="n"/>
      <c r="X364" s="689" t="n"/>
      <c r="Y364" s="689" t="n"/>
      <c r="Z364" s="689" t="n"/>
      <c r="AA364" s="689" t="n"/>
      <c r="AB364" s="689" t="n"/>
      <c r="AC364" s="689" t="n"/>
      <c r="AD364" s="689" t="n"/>
      <c r="AF364" s="236" t="n"/>
      <c r="AG364" s="236" t="n"/>
      <c r="AH364" s="236" t="n"/>
      <c r="AI364" s="236" t="n"/>
      <c r="AJ364" s="236" t="n"/>
      <c r="AK364" s="236" t="n"/>
      <c r="AL364" s="236" t="n"/>
      <c r="AM364" s="236" t="n"/>
      <c r="AN364" s="236" t="n"/>
      <c r="AO364" s="236" t="n"/>
      <c r="AP364" s="236" t="n"/>
      <c r="AQ364" s="236" t="n"/>
      <c r="AR364" s="236" t="n"/>
      <c r="AS364" s="236" t="n"/>
      <c r="AT364" s="236" t="n"/>
      <c r="AU364" s="236" t="n"/>
      <c r="AV364" s="236" t="n"/>
      <c r="AW364" s="236" t="n"/>
      <c r="AX364" s="692" t="n"/>
      <c r="AY364" s="692" t="n"/>
      <c r="AZ364" s="692" t="n"/>
      <c r="BA364" s="692" t="n"/>
      <c r="BB364" s="692" t="n"/>
      <c r="BC364" s="692" t="n"/>
      <c r="BD364" s="692" t="n"/>
      <c r="BE364" s="692" t="n"/>
      <c r="BF364" s="692" t="n"/>
      <c r="BG364" s="692" t="n"/>
      <c r="BH364" s="692" t="n"/>
      <c r="BI364" s="692" t="n"/>
      <c r="BJ364" s="692" t="n"/>
      <c r="BK364" s="692" t="n"/>
      <c r="BL364" s="692" t="n"/>
      <c r="BM364" s="692" t="n"/>
      <c r="BN364" s="692" t="n"/>
      <c r="BO364" s="692" t="n"/>
      <c r="BP364" s="692" t="n"/>
      <c r="BQ364" s="692" t="n"/>
    </row>
    <row r="365">
      <c r="A365" s="220" t="n"/>
      <c r="B365" s="211" t="n"/>
      <c r="C365" s="211" t="n"/>
      <c r="D365" s="211" t="n"/>
      <c r="E365" s="221" t="n"/>
      <c r="F365" s="211" t="n"/>
      <c r="G365" s="211" t="n"/>
      <c r="H365" s="211" t="n"/>
      <c r="I365" s="211" t="n"/>
      <c r="J365" s="211" t="n"/>
      <c r="K365" s="211" t="n"/>
      <c r="L365" s="213" t="n"/>
      <c r="M365" s="689" t="n"/>
      <c r="N365" s="689" t="n"/>
      <c r="O365" s="689" t="n"/>
      <c r="P365" s="227" t="n"/>
      <c r="Q365" s="689" t="n"/>
      <c r="R365" s="689" t="n"/>
      <c r="S365" s="689" t="n"/>
      <c r="T365" s="689" t="n"/>
      <c r="U365" s="689" t="n"/>
      <c r="V365" s="689" t="n"/>
      <c r="W365" s="689" t="n"/>
      <c r="X365" s="689" t="n"/>
      <c r="Y365" s="689" t="n"/>
      <c r="Z365" s="689" t="n"/>
      <c r="AA365" s="689" t="n"/>
      <c r="AB365" s="689" t="n"/>
      <c r="AC365" s="689" t="n"/>
      <c r="AD365" s="689" t="n"/>
      <c r="AF365" s="236" t="n"/>
      <c r="AG365" s="236" t="n"/>
      <c r="AH365" s="236" t="n"/>
      <c r="AI365" s="236" t="n"/>
      <c r="AJ365" s="236" t="n"/>
      <c r="AK365" s="236" t="n"/>
      <c r="AL365" s="236" t="n"/>
      <c r="AM365" s="236" t="n"/>
      <c r="AN365" s="236" t="n"/>
      <c r="AO365" s="236" t="n"/>
      <c r="AP365" s="236" t="n"/>
      <c r="AQ365" s="236" t="n"/>
      <c r="AR365" s="236" t="n"/>
      <c r="AS365" s="236" t="n"/>
      <c r="AT365" s="236" t="n"/>
      <c r="AU365" s="236" t="n"/>
      <c r="AV365" s="236" t="n"/>
      <c r="AW365" s="236" t="n"/>
      <c r="AX365" s="692" t="n"/>
      <c r="AY365" s="692" t="n"/>
      <c r="AZ365" s="692" t="n"/>
      <c r="BA365" s="692" t="n"/>
      <c r="BB365" s="692" t="n"/>
      <c r="BC365" s="692" t="n"/>
      <c r="BD365" s="692" t="n"/>
      <c r="BE365" s="692" t="n"/>
      <c r="BF365" s="692" t="n"/>
      <c r="BG365" s="692" t="n"/>
      <c r="BH365" s="692" t="n"/>
      <c r="BI365" s="692" t="n"/>
      <c r="BJ365" s="692" t="n"/>
      <c r="BK365" s="692" t="n"/>
      <c r="BL365" s="692" t="n"/>
      <c r="BM365" s="692" t="n"/>
      <c r="BN365" s="692" t="n"/>
      <c r="BO365" s="692" t="n"/>
      <c r="BP365" s="692" t="n"/>
      <c r="BQ365" s="692" t="n"/>
    </row>
    <row r="366">
      <c r="A366" s="218" t="n"/>
      <c r="B366" s="215" t="n"/>
      <c r="C366" s="215" t="n"/>
      <c r="D366" s="215" t="n"/>
      <c r="E366" s="219" t="n"/>
      <c r="F366" s="215" t="n"/>
      <c r="G366" s="215" t="n"/>
      <c r="H366" s="215" t="n"/>
      <c r="I366" s="215" t="n"/>
      <c r="J366" s="215" t="n"/>
      <c r="K366" s="215" t="n"/>
      <c r="L366" s="217" t="n"/>
      <c r="M366" s="689" t="n"/>
      <c r="N366" s="689" t="n"/>
      <c r="O366" s="689" t="n"/>
      <c r="P366" s="227" t="n"/>
      <c r="Q366" s="689" t="n"/>
      <c r="R366" s="689" t="n"/>
      <c r="S366" s="689" t="n"/>
      <c r="T366" s="689" t="n"/>
      <c r="U366" s="689" t="n"/>
      <c r="V366" s="689" t="n"/>
      <c r="W366" s="689" t="n"/>
      <c r="X366" s="689" t="n"/>
      <c r="Y366" s="689" t="n"/>
      <c r="Z366" s="689" t="n"/>
      <c r="AA366" s="689" t="n"/>
      <c r="AB366" s="689" t="n"/>
      <c r="AC366" s="689" t="n"/>
      <c r="AD366" s="689" t="n"/>
      <c r="AF366" s="236" t="n"/>
      <c r="AG366" s="236" t="n"/>
      <c r="AH366" s="236" t="n"/>
      <c r="AI366" s="236" t="n"/>
      <c r="AJ366" s="236" t="n"/>
      <c r="AK366" s="236" t="n"/>
      <c r="AL366" s="236" t="n"/>
      <c r="AM366" s="236" t="n"/>
      <c r="AN366" s="236" t="n"/>
      <c r="AO366" s="236" t="n"/>
      <c r="AP366" s="236" t="n"/>
      <c r="AQ366" s="236" t="n"/>
      <c r="AR366" s="236" t="n"/>
      <c r="AS366" s="236" t="n"/>
      <c r="AT366" s="236" t="n"/>
      <c r="AU366" s="236" t="n"/>
      <c r="AV366" s="236" t="n"/>
      <c r="AW366" s="236" t="n"/>
      <c r="AX366" s="692" t="n"/>
      <c r="AY366" s="692" t="n"/>
      <c r="AZ366" s="692" t="n"/>
      <c r="BA366" s="692" t="n"/>
      <c r="BB366" s="692" t="n"/>
      <c r="BC366" s="692" t="n"/>
      <c r="BD366" s="692" t="n"/>
      <c r="BE366" s="692" t="n"/>
      <c r="BF366" s="692" t="n"/>
      <c r="BG366" s="692" t="n"/>
      <c r="BH366" s="692" t="n"/>
      <c r="BI366" s="692" t="n"/>
      <c r="BJ366" s="692" t="n"/>
      <c r="BK366" s="692" t="n"/>
      <c r="BL366" s="692" t="n"/>
      <c r="BM366" s="692" t="n"/>
      <c r="BN366" s="692" t="n"/>
      <c r="BO366" s="692" t="n"/>
      <c r="BP366" s="692" t="n"/>
      <c r="BQ366" s="692" t="n"/>
    </row>
    <row r="367">
      <c r="A367" s="220" t="n"/>
      <c r="B367" s="211" t="n"/>
      <c r="C367" s="211" t="n"/>
      <c r="D367" s="211" t="n"/>
      <c r="E367" s="221" t="n"/>
      <c r="F367" s="211" t="n"/>
      <c r="G367" s="211" t="n"/>
      <c r="H367" s="211" t="n"/>
      <c r="I367" s="211" t="n"/>
      <c r="J367" s="211" t="n"/>
      <c r="K367" s="211" t="n"/>
      <c r="L367" s="213" t="n"/>
      <c r="M367" s="689" t="n"/>
      <c r="N367" s="689" t="n"/>
      <c r="O367" s="689" t="n"/>
      <c r="P367" s="227" t="n"/>
      <c r="Q367" s="689" t="n"/>
      <c r="R367" s="689" t="n"/>
      <c r="S367" s="689" t="n"/>
      <c r="T367" s="689" t="n"/>
      <c r="U367" s="689" t="n"/>
      <c r="V367" s="689" t="n"/>
      <c r="W367" s="689" t="n"/>
      <c r="X367" s="689" t="n"/>
      <c r="Y367" s="689" t="n"/>
      <c r="Z367" s="689" t="n"/>
      <c r="AA367" s="689" t="n"/>
      <c r="AB367" s="689" t="n"/>
      <c r="AC367" s="689" t="n"/>
      <c r="AD367" s="689" t="n"/>
      <c r="AF367" s="236" t="n"/>
      <c r="AG367" s="236" t="n"/>
      <c r="AH367" s="236" t="n"/>
      <c r="AI367" s="236" t="n"/>
      <c r="AJ367" s="236" t="n"/>
      <c r="AK367" s="236" t="n"/>
      <c r="AL367" s="236" t="n"/>
      <c r="AM367" s="236" t="n"/>
      <c r="AN367" s="236" t="n"/>
      <c r="AO367" s="236" t="n"/>
      <c r="AP367" s="236" t="n"/>
      <c r="AQ367" s="236" t="n"/>
      <c r="AR367" s="236" t="n"/>
      <c r="AS367" s="236" t="n"/>
      <c r="AT367" s="236" t="n"/>
      <c r="AU367" s="236" t="n"/>
      <c r="AV367" s="236" t="n"/>
      <c r="AW367" s="236" t="n"/>
      <c r="AX367" s="692" t="n"/>
      <c r="AY367" s="692" t="n"/>
      <c r="AZ367" s="692" t="n"/>
      <c r="BA367" s="692" t="n"/>
      <c r="BB367" s="692" t="n"/>
      <c r="BC367" s="692" t="n"/>
      <c r="BD367" s="692" t="n"/>
      <c r="BE367" s="692" t="n"/>
      <c r="BF367" s="692" t="n"/>
      <c r="BG367" s="692" t="n"/>
      <c r="BH367" s="692" t="n"/>
      <c r="BI367" s="692" t="n"/>
      <c r="BJ367" s="692" t="n"/>
      <c r="BK367" s="692" t="n"/>
      <c r="BL367" s="692" t="n"/>
      <c r="BM367" s="692" t="n"/>
      <c r="BN367" s="692" t="n"/>
      <c r="BO367" s="692" t="n"/>
      <c r="BP367" s="692" t="n"/>
      <c r="BQ367" s="692" t="n"/>
    </row>
    <row r="368">
      <c r="A368" s="218" t="n"/>
      <c r="B368" s="215" t="n"/>
      <c r="C368" s="215" t="n"/>
      <c r="D368" s="215" t="n"/>
      <c r="E368" s="219" t="n"/>
      <c r="F368" s="215" t="n"/>
      <c r="G368" s="215" t="n"/>
      <c r="H368" s="215" t="n"/>
      <c r="I368" s="215" t="n"/>
      <c r="J368" s="215" t="n"/>
      <c r="K368" s="215" t="n"/>
      <c r="L368" s="217" t="n"/>
      <c r="M368" s="689" t="n"/>
      <c r="N368" s="689" t="n"/>
      <c r="O368" s="689" t="n"/>
      <c r="P368" s="227" t="n"/>
      <c r="Q368" s="689" t="n"/>
      <c r="R368" s="689" t="n"/>
      <c r="S368" s="689" t="n"/>
      <c r="T368" s="689" t="n"/>
      <c r="U368" s="689" t="n"/>
      <c r="V368" s="689" t="n"/>
      <c r="W368" s="689" t="n"/>
      <c r="X368" s="689" t="n"/>
      <c r="Y368" s="689" t="n"/>
      <c r="Z368" s="689" t="n"/>
      <c r="AA368" s="689" t="n"/>
      <c r="AB368" s="689" t="n"/>
      <c r="AC368" s="689" t="n"/>
      <c r="AD368" s="689" t="n"/>
      <c r="AF368" s="236" t="n"/>
      <c r="AG368" s="236" t="n"/>
      <c r="AH368" s="236" t="n"/>
      <c r="AI368" s="236" t="n"/>
      <c r="AJ368" s="236" t="n"/>
      <c r="AK368" s="236" t="n"/>
      <c r="AL368" s="236" t="n"/>
      <c r="AM368" s="236" t="n"/>
      <c r="AN368" s="236" t="n"/>
      <c r="AO368" s="236" t="n"/>
      <c r="AP368" s="236" t="n"/>
      <c r="AQ368" s="236" t="n"/>
      <c r="AR368" s="236" t="n"/>
      <c r="AS368" s="236" t="n"/>
      <c r="AT368" s="236" t="n"/>
      <c r="AU368" s="236" t="n"/>
      <c r="AV368" s="236" t="n"/>
      <c r="AW368" s="236" t="n"/>
      <c r="AX368" s="692" t="n"/>
      <c r="AY368" s="692" t="n"/>
      <c r="AZ368" s="692" t="n"/>
      <c r="BA368" s="692" t="n"/>
      <c r="BB368" s="692" t="n"/>
      <c r="BC368" s="692" t="n"/>
      <c r="BD368" s="692" t="n"/>
      <c r="BE368" s="692" t="n"/>
      <c r="BF368" s="692" t="n"/>
      <c r="BG368" s="692" t="n"/>
      <c r="BH368" s="692" t="n"/>
      <c r="BI368" s="692" t="n"/>
      <c r="BJ368" s="692" t="n"/>
      <c r="BK368" s="692" t="n"/>
      <c r="BL368" s="692" t="n"/>
      <c r="BM368" s="692" t="n"/>
      <c r="BN368" s="692" t="n"/>
      <c r="BO368" s="692" t="n"/>
      <c r="BP368" s="692" t="n"/>
      <c r="BQ368" s="692" t="n"/>
    </row>
    <row r="369">
      <c r="A369" s="220" t="n"/>
      <c r="B369" s="211" t="n"/>
      <c r="C369" s="211" t="n"/>
      <c r="D369" s="211" t="n"/>
      <c r="E369" s="221" t="n"/>
      <c r="F369" s="211" t="n"/>
      <c r="G369" s="211" t="n"/>
      <c r="H369" s="211" t="n"/>
      <c r="I369" s="211" t="n"/>
      <c r="J369" s="211" t="n"/>
      <c r="K369" s="211" t="n"/>
      <c r="L369" s="213" t="n"/>
      <c r="M369" s="689" t="n"/>
      <c r="N369" s="689" t="n"/>
      <c r="O369" s="689" t="n"/>
      <c r="P369" s="227" t="n"/>
      <c r="Q369" s="689" t="n"/>
      <c r="R369" s="689" t="n"/>
      <c r="S369" s="689" t="n"/>
      <c r="T369" s="689" t="n"/>
      <c r="U369" s="689" t="n"/>
      <c r="V369" s="689" t="n"/>
      <c r="W369" s="689" t="n"/>
      <c r="X369" s="689" t="n"/>
      <c r="Y369" s="689" t="n"/>
      <c r="Z369" s="689" t="n"/>
      <c r="AA369" s="689" t="n"/>
      <c r="AB369" s="689" t="n"/>
      <c r="AC369" s="689" t="n"/>
      <c r="AD369" s="689" t="n"/>
      <c r="AF369" s="236" t="n"/>
      <c r="AG369" s="236" t="n"/>
      <c r="AH369" s="236" t="n"/>
      <c r="AI369" s="236" t="n"/>
      <c r="AJ369" s="236" t="n"/>
      <c r="AK369" s="236" t="n"/>
      <c r="AL369" s="236" t="n"/>
      <c r="AM369" s="236" t="n"/>
      <c r="AN369" s="236" t="n"/>
      <c r="AO369" s="236" t="n"/>
      <c r="AP369" s="236" t="n"/>
      <c r="AQ369" s="236" t="n"/>
      <c r="AR369" s="236" t="n"/>
      <c r="AS369" s="236" t="n"/>
      <c r="AT369" s="236" t="n"/>
      <c r="AU369" s="236" t="n"/>
      <c r="AV369" s="236" t="n"/>
      <c r="AW369" s="236" t="n"/>
      <c r="AX369" s="692" t="n"/>
      <c r="AY369" s="692" t="n"/>
      <c r="AZ369" s="692" t="n"/>
      <c r="BA369" s="692" t="n"/>
      <c r="BB369" s="692" t="n"/>
      <c r="BC369" s="692" t="n"/>
      <c r="BD369" s="692" t="n"/>
      <c r="BE369" s="692" t="n"/>
      <c r="BF369" s="692" t="n"/>
      <c r="BG369" s="692" t="n"/>
      <c r="BH369" s="692" t="n"/>
      <c r="BI369" s="692" t="n"/>
      <c r="BJ369" s="692" t="n"/>
      <c r="BK369" s="692" t="n"/>
      <c r="BL369" s="692" t="n"/>
      <c r="BM369" s="692" t="n"/>
      <c r="BN369" s="692" t="n"/>
      <c r="BO369" s="692" t="n"/>
      <c r="BP369" s="692" t="n"/>
      <c r="BQ369" s="692" t="n"/>
    </row>
    <row r="370">
      <c r="A370" s="218" t="n"/>
      <c r="B370" s="215" t="n"/>
      <c r="C370" s="215" t="n"/>
      <c r="D370" s="215" t="n"/>
      <c r="E370" s="219" t="n"/>
      <c r="F370" s="215" t="n"/>
      <c r="G370" s="215" t="n"/>
      <c r="H370" s="215" t="n"/>
      <c r="I370" s="215" t="n"/>
      <c r="J370" s="215" t="n"/>
      <c r="K370" s="215" t="n"/>
      <c r="L370" s="217" t="n"/>
      <c r="M370" s="689" t="n"/>
      <c r="N370" s="689" t="n"/>
      <c r="O370" s="689" t="n"/>
      <c r="P370" s="227" t="n"/>
      <c r="Q370" s="689" t="n"/>
      <c r="R370" s="689" t="n"/>
      <c r="S370" s="689" t="n"/>
      <c r="T370" s="689" t="n"/>
      <c r="U370" s="689" t="n"/>
      <c r="V370" s="689" t="n"/>
      <c r="W370" s="689" t="n"/>
      <c r="X370" s="689" t="n"/>
      <c r="Y370" s="689" t="n"/>
      <c r="Z370" s="689" t="n"/>
      <c r="AA370" s="689" t="n"/>
      <c r="AB370" s="689" t="n"/>
      <c r="AC370" s="689" t="n"/>
      <c r="AD370" s="689" t="n"/>
      <c r="AF370" s="236" t="n"/>
      <c r="AG370" s="236" t="n"/>
      <c r="AH370" s="236" t="n"/>
      <c r="AI370" s="236" t="n"/>
      <c r="AJ370" s="236" t="n"/>
      <c r="AK370" s="236" t="n"/>
      <c r="AL370" s="236" t="n"/>
      <c r="AM370" s="236" t="n"/>
      <c r="AN370" s="236" t="n"/>
      <c r="AO370" s="236" t="n"/>
      <c r="AP370" s="236" t="n"/>
      <c r="AQ370" s="236" t="n"/>
      <c r="AR370" s="236" t="n"/>
      <c r="AS370" s="236" t="n"/>
      <c r="AT370" s="236" t="n"/>
      <c r="AU370" s="236" t="n"/>
      <c r="AV370" s="236" t="n"/>
      <c r="AW370" s="236" t="n"/>
      <c r="AX370" s="692" t="n"/>
      <c r="AY370" s="692" t="n"/>
      <c r="AZ370" s="692" t="n"/>
      <c r="BA370" s="692" t="n"/>
      <c r="BB370" s="692" t="n"/>
      <c r="BC370" s="692" t="n"/>
      <c r="BD370" s="692" t="n"/>
      <c r="BE370" s="692" t="n"/>
      <c r="BF370" s="692" t="n"/>
      <c r="BG370" s="692" t="n"/>
      <c r="BH370" s="692" t="n"/>
      <c r="BI370" s="692" t="n"/>
      <c r="BJ370" s="692" t="n"/>
      <c r="BK370" s="692" t="n"/>
      <c r="BL370" s="692" t="n"/>
      <c r="BM370" s="692" t="n"/>
      <c r="BN370" s="692" t="n"/>
      <c r="BO370" s="692" t="n"/>
      <c r="BP370" s="692" t="n"/>
      <c r="BQ370" s="692" t="n"/>
    </row>
    <row r="371">
      <c r="A371" s="220" t="n"/>
      <c r="B371" s="211" t="n"/>
      <c r="C371" s="211" t="n"/>
      <c r="D371" s="211" t="n"/>
      <c r="E371" s="221" t="n"/>
      <c r="F371" s="211" t="n"/>
      <c r="G371" s="211" t="n"/>
      <c r="H371" s="211" t="n"/>
      <c r="I371" s="211" t="n"/>
      <c r="J371" s="211" t="n"/>
      <c r="K371" s="211" t="n"/>
      <c r="L371" s="213" t="n"/>
      <c r="M371" s="689" t="n"/>
      <c r="N371" s="689" t="n"/>
      <c r="O371" s="689" t="n"/>
      <c r="P371" s="227" t="n"/>
      <c r="Q371" s="689" t="n"/>
      <c r="R371" s="689" t="n"/>
      <c r="S371" s="689" t="n"/>
      <c r="T371" s="689" t="n"/>
      <c r="U371" s="689" t="n"/>
      <c r="V371" s="689" t="n"/>
      <c r="W371" s="689" t="n"/>
      <c r="X371" s="689" t="n"/>
      <c r="Y371" s="689" t="n"/>
      <c r="Z371" s="689" t="n"/>
      <c r="AA371" s="689" t="n"/>
      <c r="AB371" s="689" t="n"/>
      <c r="AC371" s="689" t="n"/>
      <c r="AD371" s="689" t="n"/>
      <c r="AF371" s="236" t="n"/>
      <c r="AG371" s="236" t="n"/>
      <c r="AH371" s="236" t="n"/>
      <c r="AI371" s="236" t="n"/>
      <c r="AJ371" s="236" t="n"/>
      <c r="AK371" s="236" t="n"/>
      <c r="AL371" s="236" t="n"/>
      <c r="AM371" s="236" t="n"/>
      <c r="AN371" s="236" t="n"/>
      <c r="AO371" s="236" t="n"/>
      <c r="AP371" s="236" t="n"/>
      <c r="AQ371" s="236" t="n"/>
      <c r="AR371" s="236" t="n"/>
      <c r="AS371" s="236" t="n"/>
      <c r="AT371" s="236" t="n"/>
      <c r="AU371" s="236" t="n"/>
      <c r="AV371" s="236" t="n"/>
      <c r="AW371" s="236" t="n"/>
      <c r="AX371" s="692" t="n"/>
      <c r="AY371" s="692" t="n"/>
      <c r="AZ371" s="692" t="n"/>
      <c r="BA371" s="692" t="n"/>
      <c r="BB371" s="692" t="n"/>
      <c r="BC371" s="692" t="n"/>
      <c r="BD371" s="692" t="n"/>
      <c r="BE371" s="692" t="n"/>
      <c r="BF371" s="692" t="n"/>
      <c r="BG371" s="692" t="n"/>
      <c r="BH371" s="692" t="n"/>
      <c r="BI371" s="692" t="n"/>
      <c r="BJ371" s="692" t="n"/>
      <c r="BK371" s="692" t="n"/>
      <c r="BL371" s="692" t="n"/>
      <c r="BM371" s="692" t="n"/>
      <c r="BN371" s="692" t="n"/>
      <c r="BO371" s="692" t="n"/>
      <c r="BP371" s="692" t="n"/>
      <c r="BQ371" s="692" t="n"/>
    </row>
    <row r="372">
      <c r="A372" s="218" t="n"/>
      <c r="B372" s="215" t="n"/>
      <c r="C372" s="215" t="n"/>
      <c r="D372" s="215" t="n"/>
      <c r="E372" s="219" t="n"/>
      <c r="F372" s="215" t="n"/>
      <c r="G372" s="215" t="n"/>
      <c r="H372" s="215" t="n"/>
      <c r="I372" s="215" t="n"/>
      <c r="J372" s="215" t="n"/>
      <c r="K372" s="215" t="n"/>
      <c r="L372" s="217" t="n"/>
      <c r="M372" s="689" t="n"/>
      <c r="N372" s="689" t="n"/>
      <c r="O372" s="689" t="n"/>
      <c r="P372" s="227" t="n"/>
      <c r="Q372" s="689" t="n"/>
      <c r="R372" s="689" t="n"/>
      <c r="S372" s="689" t="n"/>
      <c r="T372" s="689" t="n"/>
      <c r="U372" s="689" t="n"/>
      <c r="V372" s="689" t="n"/>
      <c r="W372" s="689" t="n"/>
      <c r="X372" s="689" t="n"/>
      <c r="Y372" s="689" t="n"/>
      <c r="Z372" s="689" t="n"/>
      <c r="AA372" s="689" t="n"/>
      <c r="AB372" s="689" t="n"/>
      <c r="AC372" s="689" t="n"/>
      <c r="AD372" s="689" t="n"/>
      <c r="AF372" s="236" t="n"/>
      <c r="AG372" s="236" t="n"/>
      <c r="AH372" s="236" t="n"/>
      <c r="AI372" s="236" t="n"/>
      <c r="AJ372" s="236" t="n"/>
      <c r="AK372" s="236" t="n"/>
      <c r="AL372" s="236" t="n"/>
      <c r="AM372" s="236" t="n"/>
      <c r="AN372" s="236" t="n"/>
      <c r="AO372" s="236" t="n"/>
      <c r="AP372" s="236" t="n"/>
      <c r="AQ372" s="236" t="n"/>
      <c r="AR372" s="236" t="n"/>
      <c r="AS372" s="236" t="n"/>
      <c r="AT372" s="236" t="n"/>
      <c r="AU372" s="236" t="n"/>
      <c r="AV372" s="236" t="n"/>
      <c r="AW372" s="236" t="n"/>
      <c r="AX372" s="692" t="n"/>
      <c r="AY372" s="692" t="n"/>
      <c r="AZ372" s="692" t="n"/>
      <c r="BA372" s="692" t="n"/>
      <c r="BB372" s="692" t="n"/>
      <c r="BC372" s="692" t="n"/>
      <c r="BD372" s="692" t="n"/>
      <c r="BE372" s="692" t="n"/>
      <c r="BF372" s="692" t="n"/>
      <c r="BG372" s="692" t="n"/>
      <c r="BH372" s="692" t="n"/>
      <c r="BI372" s="692" t="n"/>
      <c r="BJ372" s="692" t="n"/>
      <c r="BK372" s="692" t="n"/>
      <c r="BL372" s="692" t="n"/>
      <c r="BM372" s="692" t="n"/>
      <c r="BN372" s="692" t="n"/>
      <c r="BO372" s="692" t="n"/>
      <c r="BP372" s="692" t="n"/>
      <c r="BQ372" s="692" t="n"/>
    </row>
    <row r="373">
      <c r="A373" s="220" t="n"/>
      <c r="B373" s="211" t="n"/>
      <c r="C373" s="211" t="n"/>
      <c r="D373" s="211" t="n"/>
      <c r="E373" s="221" t="n"/>
      <c r="F373" s="211" t="n"/>
      <c r="G373" s="211" t="n"/>
      <c r="H373" s="211" t="n"/>
      <c r="I373" s="211" t="n"/>
      <c r="J373" s="211" t="n"/>
      <c r="K373" s="211" t="n"/>
      <c r="L373" s="213" t="n"/>
      <c r="M373" s="689" t="n"/>
      <c r="N373" s="689" t="n"/>
      <c r="O373" s="689" t="n"/>
      <c r="P373" s="227" t="n"/>
      <c r="Q373" s="689" t="n"/>
      <c r="R373" s="689" t="n"/>
      <c r="S373" s="689" t="n"/>
      <c r="T373" s="689" t="n"/>
      <c r="U373" s="689" t="n"/>
      <c r="V373" s="689" t="n"/>
      <c r="W373" s="689" t="n"/>
      <c r="X373" s="689" t="n"/>
      <c r="Y373" s="689" t="n"/>
      <c r="Z373" s="689" t="n"/>
      <c r="AA373" s="689" t="n"/>
      <c r="AB373" s="689" t="n"/>
      <c r="AC373" s="689" t="n"/>
      <c r="AD373" s="689" t="n"/>
      <c r="AF373" s="236" t="n"/>
      <c r="AG373" s="236" t="n"/>
      <c r="AH373" s="236" t="n"/>
      <c r="AI373" s="236" t="n"/>
      <c r="AJ373" s="236" t="n"/>
      <c r="AK373" s="236" t="n"/>
      <c r="AL373" s="236" t="n"/>
      <c r="AM373" s="236" t="n"/>
      <c r="AN373" s="236" t="n"/>
      <c r="AO373" s="236" t="n"/>
      <c r="AP373" s="236" t="n"/>
      <c r="AQ373" s="236" t="n"/>
      <c r="AR373" s="236" t="n"/>
      <c r="AS373" s="236" t="n"/>
      <c r="AT373" s="236" t="n"/>
      <c r="AU373" s="236" t="n"/>
      <c r="AV373" s="236" t="n"/>
      <c r="AW373" s="236" t="n"/>
      <c r="AX373" s="692" t="n"/>
      <c r="AY373" s="692" t="n"/>
      <c r="AZ373" s="692" t="n"/>
      <c r="BA373" s="692" t="n"/>
      <c r="BB373" s="692" t="n"/>
      <c r="BC373" s="692" t="n"/>
      <c r="BD373" s="692" t="n"/>
      <c r="BE373" s="692" t="n"/>
      <c r="BF373" s="692" t="n"/>
      <c r="BG373" s="692" t="n"/>
      <c r="BH373" s="692" t="n"/>
      <c r="BI373" s="692" t="n"/>
      <c r="BJ373" s="692" t="n"/>
      <c r="BK373" s="692" t="n"/>
      <c r="BL373" s="692" t="n"/>
      <c r="BM373" s="692" t="n"/>
      <c r="BN373" s="692" t="n"/>
      <c r="BO373" s="692" t="n"/>
      <c r="BP373" s="692" t="n"/>
      <c r="BQ373" s="692" t="n"/>
    </row>
    <row r="374">
      <c r="A374" s="218" t="n"/>
      <c r="B374" s="215" t="n"/>
      <c r="C374" s="215" t="n"/>
      <c r="D374" s="215" t="n"/>
      <c r="E374" s="219" t="n"/>
      <c r="F374" s="215" t="n"/>
      <c r="G374" s="215" t="n"/>
      <c r="H374" s="215" t="n"/>
      <c r="I374" s="215" t="n"/>
      <c r="J374" s="215" t="n"/>
      <c r="K374" s="215" t="n"/>
      <c r="L374" s="217" t="n"/>
      <c r="M374" s="689" t="n"/>
      <c r="N374" s="689" t="n"/>
      <c r="O374" s="689" t="n"/>
      <c r="P374" s="227" t="n"/>
      <c r="Q374" s="689" t="n"/>
      <c r="R374" s="689" t="n"/>
      <c r="S374" s="689" t="n"/>
      <c r="T374" s="689" t="n"/>
      <c r="U374" s="689" t="n"/>
      <c r="V374" s="689" t="n"/>
      <c r="W374" s="689" t="n"/>
      <c r="X374" s="689" t="n"/>
      <c r="Y374" s="689" t="n"/>
      <c r="Z374" s="689" t="n"/>
      <c r="AA374" s="689" t="n"/>
      <c r="AB374" s="689" t="n"/>
      <c r="AC374" s="689" t="n"/>
      <c r="AD374" s="689" t="n"/>
      <c r="AF374" s="236" t="n"/>
      <c r="AG374" s="236" t="n"/>
      <c r="AH374" s="236" t="n"/>
      <c r="AI374" s="236" t="n"/>
      <c r="AJ374" s="236" t="n"/>
      <c r="AK374" s="236" t="n"/>
      <c r="AL374" s="236" t="n"/>
      <c r="AM374" s="236" t="n"/>
      <c r="AN374" s="236" t="n"/>
      <c r="AO374" s="236" t="n"/>
      <c r="AP374" s="236" t="n"/>
      <c r="AQ374" s="236" t="n"/>
      <c r="AR374" s="236" t="n"/>
      <c r="AS374" s="236" t="n"/>
      <c r="AT374" s="236" t="n"/>
      <c r="AU374" s="236" t="n"/>
      <c r="AV374" s="236" t="n"/>
      <c r="AW374" s="236" t="n"/>
      <c r="AX374" s="692" t="n"/>
      <c r="AY374" s="692" t="n"/>
      <c r="AZ374" s="692" t="n"/>
      <c r="BA374" s="692" t="n"/>
      <c r="BB374" s="692" t="n"/>
      <c r="BC374" s="692" t="n"/>
      <c r="BD374" s="692" t="n"/>
      <c r="BE374" s="692" t="n"/>
      <c r="BF374" s="692" t="n"/>
      <c r="BG374" s="692" t="n"/>
      <c r="BH374" s="692" t="n"/>
      <c r="BI374" s="692" t="n"/>
      <c r="BJ374" s="692" t="n"/>
      <c r="BK374" s="692" t="n"/>
      <c r="BL374" s="692" t="n"/>
      <c r="BM374" s="692" t="n"/>
      <c r="BN374" s="692" t="n"/>
      <c r="BO374" s="692" t="n"/>
      <c r="BP374" s="692" t="n"/>
      <c r="BQ374" s="692" t="n"/>
    </row>
    <row r="375">
      <c r="A375" s="220" t="n"/>
      <c r="B375" s="211" t="n"/>
      <c r="C375" s="211" t="n"/>
      <c r="D375" s="211" t="n"/>
      <c r="E375" s="221" t="n"/>
      <c r="F375" s="211" t="n"/>
      <c r="G375" s="211" t="n"/>
      <c r="H375" s="211" t="n"/>
      <c r="I375" s="211" t="n"/>
      <c r="J375" s="211" t="n"/>
      <c r="K375" s="211" t="n"/>
      <c r="L375" s="213" t="n"/>
      <c r="M375" s="689" t="n"/>
      <c r="N375" s="689" t="n"/>
      <c r="O375" s="689" t="n"/>
      <c r="P375" s="227" t="n"/>
      <c r="Q375" s="689" t="n"/>
      <c r="R375" s="689" t="n"/>
      <c r="S375" s="689" t="n"/>
      <c r="T375" s="689" t="n"/>
      <c r="U375" s="689" t="n"/>
      <c r="V375" s="689" t="n"/>
      <c r="W375" s="689" t="n"/>
      <c r="X375" s="689" t="n"/>
      <c r="Y375" s="689" t="n"/>
      <c r="Z375" s="689" t="n"/>
      <c r="AA375" s="689" t="n"/>
      <c r="AB375" s="689" t="n"/>
      <c r="AC375" s="689" t="n"/>
      <c r="AD375" s="689" t="n"/>
      <c r="AF375" s="236" t="n"/>
      <c r="AG375" s="236" t="n"/>
      <c r="AH375" s="236" t="n"/>
      <c r="AI375" s="236" t="n"/>
      <c r="AJ375" s="236" t="n"/>
      <c r="AK375" s="236" t="n"/>
      <c r="AL375" s="236" t="n"/>
      <c r="AM375" s="236" t="n"/>
      <c r="AN375" s="236" t="n"/>
      <c r="AO375" s="236" t="n"/>
      <c r="AP375" s="236" t="n"/>
      <c r="AQ375" s="236" t="n"/>
      <c r="AR375" s="236" t="n"/>
      <c r="AS375" s="236" t="n"/>
      <c r="AT375" s="236" t="n"/>
      <c r="AU375" s="236" t="n"/>
      <c r="AV375" s="236" t="n"/>
      <c r="AW375" s="236" t="n"/>
      <c r="AX375" s="692" t="n"/>
      <c r="AY375" s="692" t="n"/>
      <c r="AZ375" s="692" t="n"/>
      <c r="BA375" s="692" t="n"/>
      <c r="BB375" s="692" t="n"/>
      <c r="BC375" s="692" t="n"/>
      <c r="BD375" s="692" t="n"/>
      <c r="BE375" s="692" t="n"/>
      <c r="BF375" s="692" t="n"/>
      <c r="BG375" s="692" t="n"/>
      <c r="BH375" s="692" t="n"/>
      <c r="BI375" s="692" t="n"/>
      <c r="BJ375" s="692" t="n"/>
      <c r="BK375" s="692" t="n"/>
      <c r="BL375" s="692" t="n"/>
      <c r="BM375" s="692" t="n"/>
      <c r="BN375" s="692" t="n"/>
      <c r="BO375" s="692" t="n"/>
      <c r="BP375" s="692" t="n"/>
      <c r="BQ375" s="692" t="n"/>
    </row>
    <row r="376">
      <c r="A376" s="218" t="n"/>
      <c r="B376" s="215" t="n"/>
      <c r="C376" s="215" t="n"/>
      <c r="D376" s="215" t="n"/>
      <c r="E376" s="219" t="n"/>
      <c r="F376" s="215" t="n"/>
      <c r="G376" s="215" t="n"/>
      <c r="H376" s="215" t="n"/>
      <c r="I376" s="215" t="n"/>
      <c r="J376" s="215" t="n"/>
      <c r="K376" s="215" t="n"/>
      <c r="L376" s="217" t="n"/>
      <c r="M376" s="689" t="n"/>
      <c r="N376" s="689" t="n"/>
      <c r="O376" s="689" t="n"/>
      <c r="P376" s="227" t="n"/>
      <c r="Q376" s="689" t="n"/>
      <c r="R376" s="689" t="n"/>
      <c r="S376" s="689" t="n"/>
      <c r="T376" s="689" t="n"/>
      <c r="U376" s="689" t="n"/>
      <c r="V376" s="689" t="n"/>
      <c r="W376" s="689" t="n"/>
      <c r="X376" s="689" t="n"/>
      <c r="Y376" s="689" t="n"/>
      <c r="Z376" s="689" t="n"/>
      <c r="AA376" s="689" t="n"/>
      <c r="AB376" s="689" t="n"/>
      <c r="AC376" s="689" t="n"/>
      <c r="AD376" s="689" t="n"/>
      <c r="AF376" s="236" t="n"/>
      <c r="AG376" s="236" t="n"/>
      <c r="AH376" s="236" t="n"/>
      <c r="AI376" s="236" t="n"/>
      <c r="AJ376" s="236" t="n"/>
      <c r="AK376" s="236" t="n"/>
      <c r="AL376" s="236" t="n"/>
      <c r="AM376" s="236" t="n"/>
      <c r="AN376" s="236" t="n"/>
      <c r="AO376" s="236" t="n"/>
      <c r="AP376" s="236" t="n"/>
      <c r="AQ376" s="236" t="n"/>
      <c r="AR376" s="236" t="n"/>
      <c r="AS376" s="236" t="n"/>
      <c r="AT376" s="236" t="n"/>
      <c r="AU376" s="236" t="n"/>
      <c r="AV376" s="236" t="n"/>
      <c r="AW376" s="236" t="n"/>
      <c r="AX376" s="692" t="n"/>
      <c r="AY376" s="692" t="n"/>
      <c r="AZ376" s="692" t="n"/>
      <c r="BA376" s="692" t="n"/>
      <c r="BB376" s="692" t="n"/>
      <c r="BC376" s="692" t="n"/>
      <c r="BD376" s="692" t="n"/>
      <c r="BE376" s="692" t="n"/>
      <c r="BF376" s="692" t="n"/>
      <c r="BG376" s="692" t="n"/>
      <c r="BH376" s="692" t="n"/>
      <c r="BI376" s="692" t="n"/>
      <c r="BJ376" s="692" t="n"/>
      <c r="BK376" s="692" t="n"/>
      <c r="BL376" s="692" t="n"/>
      <c r="BM376" s="692" t="n"/>
      <c r="BN376" s="692" t="n"/>
      <c r="BO376" s="692" t="n"/>
      <c r="BP376" s="692" t="n"/>
      <c r="BQ376" s="692" t="n"/>
    </row>
    <row r="377">
      <c r="A377" s="220" t="n"/>
      <c r="B377" s="211" t="n"/>
      <c r="C377" s="211" t="n"/>
      <c r="D377" s="211" t="n"/>
      <c r="E377" s="221" t="n"/>
      <c r="F377" s="211" t="n"/>
      <c r="G377" s="211" t="n"/>
      <c r="H377" s="211" t="n"/>
      <c r="I377" s="211" t="n"/>
      <c r="J377" s="211" t="n"/>
      <c r="K377" s="211" t="n"/>
      <c r="L377" s="213" t="n"/>
      <c r="M377" s="689" t="n"/>
      <c r="N377" s="689" t="n"/>
      <c r="O377" s="689" t="n"/>
      <c r="P377" s="227" t="n"/>
      <c r="Q377" s="689" t="n"/>
      <c r="R377" s="689" t="n"/>
      <c r="S377" s="689" t="n"/>
      <c r="T377" s="689" t="n"/>
      <c r="U377" s="689" t="n"/>
      <c r="V377" s="689" t="n"/>
      <c r="W377" s="689" t="n"/>
      <c r="X377" s="689" t="n"/>
      <c r="Y377" s="689" t="n"/>
      <c r="Z377" s="689" t="n"/>
      <c r="AA377" s="689" t="n"/>
      <c r="AB377" s="689" t="n"/>
      <c r="AC377" s="689" t="n"/>
      <c r="AD377" s="689" t="n"/>
      <c r="AF377" s="236" t="n"/>
      <c r="AG377" s="236" t="n"/>
      <c r="AH377" s="236" t="n"/>
      <c r="AI377" s="236" t="n"/>
      <c r="AJ377" s="236" t="n"/>
      <c r="AK377" s="236" t="n"/>
      <c r="AL377" s="236" t="n"/>
      <c r="AM377" s="236" t="n"/>
      <c r="AN377" s="236" t="n"/>
      <c r="AO377" s="236" t="n"/>
      <c r="AP377" s="236" t="n"/>
      <c r="AQ377" s="236" t="n"/>
      <c r="AR377" s="236" t="n"/>
      <c r="AS377" s="236" t="n"/>
      <c r="AT377" s="236" t="n"/>
      <c r="AU377" s="236" t="n"/>
      <c r="AV377" s="236" t="n"/>
      <c r="AW377" s="236" t="n"/>
      <c r="AX377" s="692" t="n"/>
      <c r="AY377" s="692" t="n"/>
      <c r="AZ377" s="692" t="n"/>
      <c r="BA377" s="692" t="n"/>
      <c r="BB377" s="692" t="n"/>
      <c r="BC377" s="692" t="n"/>
      <c r="BD377" s="692" t="n"/>
      <c r="BE377" s="692" t="n"/>
      <c r="BF377" s="692" t="n"/>
      <c r="BG377" s="692" t="n"/>
      <c r="BH377" s="692" t="n"/>
      <c r="BI377" s="692" t="n"/>
      <c r="BJ377" s="692" t="n"/>
      <c r="BK377" s="692" t="n"/>
      <c r="BL377" s="692" t="n"/>
      <c r="BM377" s="692" t="n"/>
      <c r="BN377" s="692" t="n"/>
      <c r="BO377" s="692" t="n"/>
      <c r="BP377" s="692" t="n"/>
      <c r="BQ377" s="692" t="n"/>
    </row>
    <row r="378">
      <c r="A378" s="218" t="n"/>
      <c r="B378" s="215" t="n"/>
      <c r="C378" s="215" t="n"/>
      <c r="D378" s="215" t="n"/>
      <c r="E378" s="219" t="n"/>
      <c r="F378" s="215" t="n"/>
      <c r="G378" s="215" t="n"/>
      <c r="H378" s="215" t="n"/>
      <c r="I378" s="215" t="n"/>
      <c r="J378" s="215" t="n"/>
      <c r="K378" s="215" t="n"/>
      <c r="L378" s="217" t="n"/>
      <c r="M378" s="689" t="n"/>
      <c r="N378" s="689" t="n"/>
      <c r="O378" s="689" t="n"/>
      <c r="P378" s="227" t="n"/>
      <c r="Q378" s="689" t="n"/>
      <c r="R378" s="689" t="n"/>
      <c r="S378" s="689" t="n"/>
      <c r="T378" s="689" t="n"/>
      <c r="U378" s="689" t="n"/>
      <c r="V378" s="689" t="n"/>
      <c r="W378" s="689" t="n"/>
      <c r="X378" s="689" t="n"/>
      <c r="Y378" s="689" t="n"/>
      <c r="Z378" s="689" t="n"/>
      <c r="AA378" s="689" t="n"/>
      <c r="AB378" s="689" t="n"/>
      <c r="AC378" s="689" t="n"/>
      <c r="AD378" s="689" t="n"/>
      <c r="AF378" s="236" t="n"/>
      <c r="AG378" s="236" t="n"/>
      <c r="AH378" s="236" t="n"/>
      <c r="AI378" s="236" t="n"/>
      <c r="AJ378" s="236" t="n"/>
      <c r="AK378" s="236" t="n"/>
      <c r="AL378" s="236" t="n"/>
      <c r="AM378" s="236" t="n"/>
      <c r="AN378" s="236" t="n"/>
      <c r="AO378" s="236" t="n"/>
      <c r="AP378" s="236" t="n"/>
      <c r="AQ378" s="236" t="n"/>
      <c r="AR378" s="236" t="n"/>
      <c r="AS378" s="236" t="n"/>
      <c r="AT378" s="236" t="n"/>
      <c r="AU378" s="236" t="n"/>
      <c r="AV378" s="236" t="n"/>
      <c r="AW378" s="236" t="n"/>
      <c r="AX378" s="692" t="n"/>
      <c r="AY378" s="692" t="n"/>
      <c r="AZ378" s="692" t="n"/>
      <c r="BA378" s="692" t="n"/>
      <c r="BB378" s="692" t="n"/>
      <c r="BC378" s="692" t="n"/>
      <c r="BD378" s="692" t="n"/>
      <c r="BE378" s="692" t="n"/>
      <c r="BF378" s="692" t="n"/>
      <c r="BG378" s="692" t="n"/>
      <c r="BH378" s="692" t="n"/>
      <c r="BI378" s="692" t="n"/>
      <c r="BJ378" s="692" t="n"/>
      <c r="BK378" s="692" t="n"/>
      <c r="BL378" s="692" t="n"/>
      <c r="BM378" s="692" t="n"/>
      <c r="BN378" s="692" t="n"/>
      <c r="BO378" s="692" t="n"/>
      <c r="BP378" s="692" t="n"/>
      <c r="BQ378" s="692" t="n"/>
    </row>
    <row r="379">
      <c r="A379" s="220" t="n"/>
      <c r="B379" s="211" t="n"/>
      <c r="C379" s="211" t="n"/>
      <c r="D379" s="211" t="n"/>
      <c r="E379" s="221" t="n"/>
      <c r="F379" s="211" t="n"/>
      <c r="G379" s="211" t="n"/>
      <c r="H379" s="211" t="n"/>
      <c r="I379" s="211" t="n"/>
      <c r="J379" s="211" t="n"/>
      <c r="K379" s="211" t="n"/>
      <c r="L379" s="213" t="n"/>
      <c r="M379" s="689" t="n"/>
      <c r="N379" s="689" t="n"/>
      <c r="O379" s="689" t="n"/>
      <c r="P379" s="227" t="n"/>
      <c r="Q379" s="689" t="n"/>
      <c r="R379" s="689" t="n"/>
      <c r="S379" s="689" t="n"/>
      <c r="T379" s="689" t="n"/>
      <c r="U379" s="689" t="n"/>
      <c r="V379" s="689" t="n"/>
      <c r="W379" s="689" t="n"/>
      <c r="X379" s="689" t="n"/>
      <c r="Y379" s="689" t="n"/>
      <c r="Z379" s="689" t="n"/>
      <c r="AA379" s="689" t="n"/>
      <c r="AB379" s="689" t="n"/>
      <c r="AC379" s="689" t="n"/>
      <c r="AD379" s="689" t="n"/>
      <c r="AF379" s="236" t="n"/>
      <c r="AG379" s="236" t="n"/>
      <c r="AH379" s="236" t="n"/>
      <c r="AI379" s="236" t="n"/>
      <c r="AJ379" s="236" t="n"/>
      <c r="AK379" s="236" t="n"/>
      <c r="AL379" s="236" t="n"/>
      <c r="AM379" s="236" t="n"/>
      <c r="AN379" s="236" t="n"/>
      <c r="AO379" s="236" t="n"/>
      <c r="AP379" s="236" t="n"/>
      <c r="AQ379" s="236" t="n"/>
      <c r="AR379" s="236" t="n"/>
      <c r="AS379" s="236" t="n"/>
      <c r="AT379" s="236" t="n"/>
      <c r="AU379" s="236" t="n"/>
      <c r="AV379" s="236" t="n"/>
      <c r="AW379" s="236" t="n"/>
      <c r="AX379" s="692" t="n"/>
      <c r="AY379" s="692" t="n"/>
      <c r="AZ379" s="692" t="n"/>
      <c r="BA379" s="692" t="n"/>
      <c r="BB379" s="692" t="n"/>
      <c r="BC379" s="692" t="n"/>
      <c r="BD379" s="692" t="n"/>
      <c r="BE379" s="692" t="n"/>
      <c r="BF379" s="692" t="n"/>
      <c r="BG379" s="692" t="n"/>
      <c r="BH379" s="692" t="n"/>
      <c r="BI379" s="692" t="n"/>
      <c r="BJ379" s="692" t="n"/>
      <c r="BK379" s="692" t="n"/>
      <c r="BL379" s="692" t="n"/>
      <c r="BM379" s="692" t="n"/>
      <c r="BN379" s="692" t="n"/>
      <c r="BO379" s="692" t="n"/>
      <c r="BP379" s="692" t="n"/>
      <c r="BQ379" s="692" t="n"/>
    </row>
    <row r="380">
      <c r="A380" s="218" t="n"/>
      <c r="B380" s="215" t="n"/>
      <c r="C380" s="215" t="n"/>
      <c r="D380" s="215" t="n"/>
      <c r="E380" s="219" t="n"/>
      <c r="F380" s="215" t="n"/>
      <c r="G380" s="215" t="n"/>
      <c r="H380" s="215" t="n"/>
      <c r="I380" s="215" t="n"/>
      <c r="J380" s="215" t="n"/>
      <c r="K380" s="215" t="n"/>
      <c r="L380" s="217" t="n"/>
      <c r="M380" s="689" t="n"/>
      <c r="N380" s="689" t="n"/>
      <c r="O380" s="689" t="n"/>
      <c r="P380" s="227" t="n"/>
      <c r="Q380" s="689" t="n"/>
      <c r="R380" s="689" t="n"/>
      <c r="S380" s="689" t="n"/>
      <c r="T380" s="689" t="n"/>
      <c r="U380" s="689" t="n"/>
      <c r="V380" s="689" t="n"/>
      <c r="W380" s="689" t="n"/>
      <c r="X380" s="689" t="n"/>
      <c r="Y380" s="689" t="n"/>
      <c r="Z380" s="689" t="n"/>
      <c r="AA380" s="689" t="n"/>
      <c r="AB380" s="689" t="n"/>
      <c r="AC380" s="689" t="n"/>
      <c r="AD380" s="689" t="n"/>
      <c r="AF380" s="236" t="n"/>
      <c r="AG380" s="236" t="n"/>
      <c r="AH380" s="236" t="n"/>
      <c r="AI380" s="236" t="n"/>
      <c r="AJ380" s="236" t="n"/>
      <c r="AK380" s="236" t="n"/>
      <c r="AL380" s="236" t="n"/>
      <c r="AM380" s="236" t="n"/>
      <c r="AN380" s="236" t="n"/>
      <c r="AO380" s="236" t="n"/>
      <c r="AP380" s="236" t="n"/>
      <c r="AQ380" s="236" t="n"/>
      <c r="AR380" s="236" t="n"/>
      <c r="AS380" s="236" t="n"/>
      <c r="AT380" s="236" t="n"/>
      <c r="AU380" s="236" t="n"/>
      <c r="AV380" s="236" t="n"/>
      <c r="AW380" s="236" t="n"/>
      <c r="AX380" s="692" t="n"/>
      <c r="AY380" s="692" t="n"/>
      <c r="AZ380" s="692" t="n"/>
      <c r="BA380" s="692" t="n"/>
      <c r="BB380" s="692" t="n"/>
      <c r="BC380" s="692" t="n"/>
      <c r="BD380" s="692" t="n"/>
      <c r="BE380" s="692" t="n"/>
      <c r="BF380" s="692" t="n"/>
      <c r="BG380" s="692" t="n"/>
      <c r="BH380" s="692" t="n"/>
      <c r="BI380" s="692" t="n"/>
      <c r="BJ380" s="692" t="n"/>
      <c r="BK380" s="692" t="n"/>
      <c r="BL380" s="692" t="n"/>
      <c r="BM380" s="692" t="n"/>
      <c r="BN380" s="692" t="n"/>
      <c r="BO380" s="692" t="n"/>
      <c r="BP380" s="692" t="n"/>
      <c r="BQ380" s="692" t="n"/>
    </row>
    <row r="381">
      <c r="A381" s="220" t="n"/>
      <c r="B381" s="211" t="n"/>
      <c r="C381" s="211" t="n"/>
      <c r="D381" s="211" t="n"/>
      <c r="E381" s="221" t="n"/>
      <c r="F381" s="211" t="n"/>
      <c r="G381" s="211" t="n"/>
      <c r="H381" s="211" t="n"/>
      <c r="I381" s="211" t="n"/>
      <c r="J381" s="211" t="n"/>
      <c r="K381" s="211" t="n"/>
      <c r="L381" s="213" t="n"/>
      <c r="M381" s="689" t="n"/>
      <c r="N381" s="689" t="n"/>
      <c r="O381" s="689" t="n"/>
      <c r="P381" s="227" t="n"/>
      <c r="Q381" s="689" t="n"/>
      <c r="R381" s="689" t="n"/>
      <c r="S381" s="689" t="n"/>
      <c r="T381" s="689" t="n"/>
      <c r="U381" s="689" t="n"/>
      <c r="V381" s="689" t="n"/>
      <c r="W381" s="689" t="n"/>
      <c r="X381" s="689" t="n"/>
      <c r="Y381" s="689" t="n"/>
      <c r="Z381" s="689" t="n"/>
      <c r="AA381" s="689" t="n"/>
      <c r="AB381" s="689" t="n"/>
      <c r="AC381" s="689" t="n"/>
      <c r="AD381" s="689" t="n"/>
      <c r="AF381" s="236" t="n"/>
      <c r="AG381" s="236" t="n"/>
      <c r="AH381" s="236" t="n"/>
      <c r="AI381" s="236" t="n"/>
      <c r="AJ381" s="236" t="n"/>
      <c r="AK381" s="236" t="n"/>
      <c r="AL381" s="236" t="n"/>
      <c r="AM381" s="236" t="n"/>
      <c r="AN381" s="236" t="n"/>
      <c r="AO381" s="236" t="n"/>
      <c r="AP381" s="236" t="n"/>
      <c r="AQ381" s="236" t="n"/>
      <c r="AR381" s="236" t="n"/>
      <c r="AS381" s="236" t="n"/>
      <c r="AT381" s="236" t="n"/>
      <c r="AU381" s="236" t="n"/>
      <c r="AV381" s="236" t="n"/>
      <c r="AW381" s="236" t="n"/>
      <c r="AX381" s="692" t="n"/>
      <c r="AY381" s="692" t="n"/>
      <c r="AZ381" s="692" t="n"/>
      <c r="BA381" s="692" t="n"/>
      <c r="BB381" s="692" t="n"/>
      <c r="BC381" s="692" t="n"/>
      <c r="BD381" s="692" t="n"/>
      <c r="BE381" s="692" t="n"/>
      <c r="BF381" s="692" t="n"/>
      <c r="BG381" s="692" t="n"/>
      <c r="BH381" s="692" t="n"/>
      <c r="BI381" s="692" t="n"/>
      <c r="BJ381" s="692" t="n"/>
      <c r="BK381" s="692" t="n"/>
      <c r="BL381" s="692" t="n"/>
      <c r="BM381" s="692" t="n"/>
      <c r="BN381" s="692" t="n"/>
      <c r="BO381" s="692" t="n"/>
      <c r="BP381" s="692" t="n"/>
      <c r="BQ381" s="692" t="n"/>
    </row>
    <row r="382">
      <c r="A382" s="218" t="n"/>
      <c r="B382" s="215" t="n"/>
      <c r="C382" s="215" t="n"/>
      <c r="D382" s="215" t="n"/>
      <c r="E382" s="219" t="n"/>
      <c r="F382" s="215" t="n"/>
      <c r="G382" s="215" t="n"/>
      <c r="H382" s="215" t="n"/>
      <c r="I382" s="215" t="n"/>
      <c r="J382" s="215" t="n"/>
      <c r="K382" s="215" t="n"/>
      <c r="L382" s="217" t="n"/>
      <c r="M382" s="689" t="n"/>
      <c r="N382" s="689" t="n"/>
      <c r="O382" s="689" t="n"/>
      <c r="P382" s="227" t="n"/>
      <c r="Q382" s="689" t="n"/>
      <c r="R382" s="689" t="n"/>
      <c r="S382" s="689" t="n"/>
      <c r="T382" s="689" t="n"/>
      <c r="U382" s="689" t="n"/>
      <c r="V382" s="689" t="n"/>
      <c r="W382" s="689" t="n"/>
      <c r="X382" s="689" t="n"/>
      <c r="Y382" s="689" t="n"/>
      <c r="Z382" s="689" t="n"/>
      <c r="AA382" s="689" t="n"/>
      <c r="AB382" s="689" t="n"/>
      <c r="AC382" s="689" t="n"/>
      <c r="AD382" s="689" t="n"/>
      <c r="AF382" s="236" t="n"/>
      <c r="AG382" s="236" t="n"/>
      <c r="AH382" s="236" t="n"/>
      <c r="AI382" s="236" t="n"/>
      <c r="AJ382" s="236" t="n"/>
      <c r="AK382" s="236" t="n"/>
      <c r="AL382" s="236" t="n"/>
      <c r="AM382" s="236" t="n"/>
      <c r="AN382" s="236" t="n"/>
      <c r="AO382" s="236" t="n"/>
      <c r="AP382" s="236" t="n"/>
      <c r="AQ382" s="236" t="n"/>
      <c r="AR382" s="236" t="n"/>
      <c r="AS382" s="236" t="n"/>
      <c r="AT382" s="236" t="n"/>
      <c r="AU382" s="236" t="n"/>
      <c r="AV382" s="236" t="n"/>
      <c r="AW382" s="236" t="n"/>
      <c r="AX382" s="692" t="n"/>
      <c r="AY382" s="692" t="n"/>
      <c r="AZ382" s="692" t="n"/>
      <c r="BA382" s="692" t="n"/>
      <c r="BB382" s="692" t="n"/>
      <c r="BC382" s="692" t="n"/>
      <c r="BD382" s="692" t="n"/>
      <c r="BE382" s="692" t="n"/>
      <c r="BF382" s="692" t="n"/>
      <c r="BG382" s="692" t="n"/>
      <c r="BH382" s="692" t="n"/>
      <c r="BI382" s="692" t="n"/>
      <c r="BJ382" s="692" t="n"/>
      <c r="BK382" s="692" t="n"/>
      <c r="BL382" s="692" t="n"/>
      <c r="BM382" s="692" t="n"/>
      <c r="BN382" s="692" t="n"/>
      <c r="BO382" s="692" t="n"/>
      <c r="BP382" s="692" t="n"/>
      <c r="BQ382" s="692" t="n"/>
    </row>
    <row r="383">
      <c r="A383" s="220" t="n"/>
      <c r="B383" s="211" t="n"/>
      <c r="C383" s="211" t="n"/>
      <c r="D383" s="211" t="n"/>
      <c r="E383" s="221" t="n"/>
      <c r="F383" s="211" t="n"/>
      <c r="G383" s="211" t="n"/>
      <c r="H383" s="211" t="n"/>
      <c r="I383" s="211" t="n"/>
      <c r="J383" s="211" t="n"/>
      <c r="K383" s="211" t="n"/>
      <c r="L383" s="213" t="n"/>
      <c r="M383" s="689" t="n"/>
      <c r="N383" s="689" t="n"/>
      <c r="O383" s="689" t="n"/>
      <c r="P383" s="227" t="n"/>
      <c r="Q383" s="689" t="n"/>
      <c r="R383" s="689" t="n"/>
      <c r="S383" s="689" t="n"/>
      <c r="T383" s="689" t="n"/>
      <c r="U383" s="689" t="n"/>
      <c r="V383" s="689" t="n"/>
      <c r="W383" s="689" t="n"/>
      <c r="X383" s="689" t="n"/>
      <c r="Y383" s="689" t="n"/>
      <c r="Z383" s="689" t="n"/>
      <c r="AA383" s="689" t="n"/>
      <c r="AB383" s="689" t="n"/>
      <c r="AC383" s="689" t="n"/>
      <c r="AD383" s="689" t="n"/>
      <c r="AF383" s="237" t="n"/>
      <c r="AG383" s="237" t="n"/>
      <c r="AH383" s="237" t="n"/>
      <c r="AI383" s="237" t="n"/>
      <c r="AJ383" s="237" t="n"/>
      <c r="AK383" s="237" t="n"/>
      <c r="AL383" s="237" t="n"/>
      <c r="AM383" s="237" t="n"/>
      <c r="AN383" s="237" t="n"/>
      <c r="AO383" s="237" t="n"/>
      <c r="AP383" s="237" t="n"/>
      <c r="AQ383" s="237" t="n"/>
      <c r="AR383" s="237" t="n"/>
      <c r="AS383" s="237" t="n"/>
      <c r="AT383" s="237" t="n"/>
      <c r="AU383" s="237" t="n"/>
      <c r="AV383" s="237" t="n"/>
      <c r="AW383" s="237" t="n"/>
      <c r="AX383" s="692" t="n"/>
      <c r="AY383" s="692" t="n"/>
      <c r="AZ383" s="692" t="n"/>
      <c r="BA383" s="692" t="n"/>
      <c r="BB383" s="692" t="n"/>
      <c r="BC383" s="692" t="n"/>
      <c r="BD383" s="692" t="n"/>
      <c r="BE383" s="692" t="n"/>
      <c r="BF383" s="692" t="n"/>
      <c r="BG383" s="692" t="n"/>
      <c r="BH383" s="692" t="n"/>
      <c r="BI383" s="692" t="n"/>
      <c r="BJ383" s="692" t="n"/>
      <c r="BK383" s="692" t="n"/>
      <c r="BL383" s="692" t="n"/>
      <c r="BM383" s="692" t="n"/>
      <c r="BN383" s="692" t="n"/>
      <c r="BO383" s="692" t="n"/>
      <c r="BP383" s="692" t="n"/>
      <c r="BQ383" s="692" t="n"/>
    </row>
    <row r="384">
      <c r="A384" s="218" t="n"/>
      <c r="B384" s="215" t="n"/>
      <c r="C384" s="215" t="n"/>
      <c r="D384" s="215" t="n"/>
      <c r="E384" s="219" t="n"/>
      <c r="F384" s="215" t="n"/>
      <c r="G384" s="215" t="n"/>
      <c r="H384" s="215" t="n"/>
      <c r="I384" s="215" t="n"/>
      <c r="J384" s="215" t="n"/>
      <c r="K384" s="215" t="n"/>
      <c r="L384" s="217" t="n"/>
      <c r="M384" s="689" t="n"/>
      <c r="N384" s="689" t="n"/>
      <c r="O384" s="689" t="n"/>
      <c r="P384" s="227" t="n"/>
      <c r="Q384" s="689" t="n"/>
      <c r="R384" s="689" t="n"/>
      <c r="S384" s="689" t="n"/>
      <c r="T384" s="689" t="n"/>
      <c r="U384" s="689" t="n"/>
      <c r="V384" s="689" t="n"/>
      <c r="W384" s="689" t="n"/>
      <c r="X384" s="689" t="n"/>
      <c r="Y384" s="689" t="n"/>
      <c r="Z384" s="689" t="n"/>
      <c r="AA384" s="689" t="n"/>
      <c r="AB384" s="689" t="n"/>
      <c r="AC384" s="689" t="n"/>
      <c r="AD384" s="689" t="n"/>
      <c r="AF384" s="233" t="n"/>
      <c r="AG384" s="233" t="n"/>
      <c r="AH384" s="233" t="n"/>
      <c r="AI384" s="233" t="n"/>
      <c r="AJ384" s="233" t="n"/>
      <c r="AK384" s="233" t="n"/>
      <c r="AL384" s="233" t="n"/>
      <c r="AM384" s="233" t="n"/>
      <c r="AN384" s="233" t="n"/>
      <c r="AO384" s="233" t="n"/>
      <c r="AP384" s="233" t="n"/>
      <c r="AQ384" s="233" t="n"/>
      <c r="AR384" s="233" t="n"/>
      <c r="AS384" s="233" t="n"/>
      <c r="AT384" s="233" t="n"/>
      <c r="AU384" s="233" t="n"/>
      <c r="AV384" s="233" t="n"/>
      <c r="AW384" s="233" t="n"/>
      <c r="AX384" s="692" t="n"/>
      <c r="AY384" s="692" t="n"/>
      <c r="AZ384" s="692" t="n"/>
      <c r="BA384" s="692" t="n"/>
      <c r="BB384" s="692" t="n"/>
      <c r="BC384" s="692" t="n"/>
      <c r="BD384" s="692" t="n"/>
      <c r="BE384" s="692" t="n"/>
      <c r="BF384" s="692" t="n"/>
      <c r="BG384" s="692" t="n"/>
      <c r="BH384" s="692" t="n"/>
      <c r="BI384" s="692" t="n"/>
      <c r="BJ384" s="692" t="n"/>
      <c r="BK384" s="692" t="n"/>
      <c r="BL384" s="692" t="n"/>
      <c r="BM384" s="692" t="n"/>
      <c r="BN384" s="692" t="n"/>
      <c r="BO384" s="692" t="n"/>
      <c r="BP384" s="692" t="n"/>
      <c r="BQ384" s="692" t="n"/>
    </row>
    <row r="385">
      <c r="A385" s="220" t="n"/>
      <c r="B385" s="211" t="n"/>
      <c r="C385" s="211" t="n"/>
      <c r="D385" s="211" t="n"/>
      <c r="E385" s="221" t="n"/>
      <c r="F385" s="211" t="n"/>
      <c r="G385" s="211" t="n"/>
      <c r="H385" s="211" t="n"/>
      <c r="I385" s="211" t="n"/>
      <c r="J385" s="211" t="n"/>
      <c r="K385" s="211" t="n"/>
      <c r="L385" s="213" t="n"/>
      <c r="M385" s="689" t="n"/>
      <c r="N385" s="689" t="n"/>
      <c r="O385" s="689" t="n"/>
      <c r="P385" s="227" t="n"/>
      <c r="Q385" s="689" t="n"/>
      <c r="R385" s="689" t="n"/>
      <c r="S385" s="689" t="n"/>
      <c r="T385" s="689" t="n"/>
      <c r="U385" s="689" t="n"/>
      <c r="V385" s="689" t="n"/>
      <c r="W385" s="689" t="n"/>
      <c r="X385" s="689" t="n"/>
      <c r="Y385" s="689" t="n"/>
      <c r="Z385" s="689" t="n"/>
      <c r="AA385" s="689" t="n"/>
      <c r="AB385" s="689" t="n"/>
      <c r="AC385" s="689" t="n"/>
      <c r="AD385" s="689" t="n"/>
      <c r="AF385" s="233" t="n"/>
      <c r="AG385" s="233" t="n"/>
      <c r="AH385" s="233" t="n"/>
      <c r="AI385" s="233" t="n"/>
      <c r="AJ385" s="233" t="n"/>
      <c r="AK385" s="233" t="n"/>
      <c r="AL385" s="233" t="n"/>
      <c r="AM385" s="233" t="n"/>
      <c r="AN385" s="233" t="n"/>
      <c r="AO385" s="233" t="n"/>
      <c r="AP385" s="233" t="n"/>
      <c r="AQ385" s="233" t="n"/>
      <c r="AR385" s="233" t="n"/>
      <c r="AS385" s="233" t="n"/>
      <c r="AT385" s="233" t="n"/>
      <c r="AU385" s="233" t="n"/>
      <c r="AV385" s="233" t="n"/>
      <c r="AW385" s="233" t="n"/>
      <c r="AX385" s="692" t="n"/>
      <c r="AY385" s="692" t="n"/>
      <c r="AZ385" s="692" t="n"/>
      <c r="BA385" s="692" t="n"/>
      <c r="BB385" s="692" t="n"/>
      <c r="BC385" s="692" t="n"/>
      <c r="BD385" s="692" t="n"/>
      <c r="BE385" s="692" t="n"/>
      <c r="BF385" s="692" t="n"/>
      <c r="BG385" s="692" t="n"/>
      <c r="BH385" s="692" t="n"/>
      <c r="BI385" s="692" t="n"/>
      <c r="BJ385" s="692" t="n"/>
      <c r="BK385" s="692" t="n"/>
      <c r="BL385" s="692" t="n"/>
      <c r="BM385" s="692" t="n"/>
      <c r="BN385" s="692" t="n"/>
      <c r="BO385" s="692" t="n"/>
      <c r="BP385" s="692" t="n"/>
      <c r="BQ385" s="692" t="n"/>
    </row>
    <row r="386">
      <c r="A386" s="218" t="n"/>
      <c r="B386" s="215" t="n"/>
      <c r="C386" s="215" t="n"/>
      <c r="D386" s="215" t="n"/>
      <c r="E386" s="219" t="n"/>
      <c r="F386" s="215" t="n"/>
      <c r="G386" s="215" t="n"/>
      <c r="H386" s="215" t="n"/>
      <c r="I386" s="215" t="n"/>
      <c r="J386" s="215" t="n"/>
      <c r="K386" s="215" t="n"/>
      <c r="L386" s="217" t="n"/>
      <c r="M386" s="689" t="n"/>
      <c r="N386" s="689" t="n"/>
      <c r="O386" s="689" t="n"/>
      <c r="P386" s="227" t="n"/>
      <c r="Q386" s="689" t="n"/>
      <c r="R386" s="689" t="n"/>
      <c r="S386" s="689" t="n"/>
      <c r="T386" s="689" t="n"/>
      <c r="U386" s="689" t="n"/>
      <c r="V386" s="689" t="n"/>
      <c r="W386" s="689" t="n"/>
      <c r="X386" s="689" t="n"/>
      <c r="Y386" s="689" t="n"/>
      <c r="Z386" s="689" t="n"/>
      <c r="AA386" s="689" t="n"/>
      <c r="AB386" s="689" t="n"/>
      <c r="AC386" s="689" t="n"/>
      <c r="AD386" s="689" t="n"/>
      <c r="AF386" s="233" t="n"/>
      <c r="AG386" s="233" t="n"/>
      <c r="AH386" s="233" t="n"/>
      <c r="AI386" s="233" t="n"/>
      <c r="AJ386" s="233" t="n"/>
      <c r="AK386" s="233" t="n"/>
      <c r="AL386" s="233" t="n"/>
      <c r="AM386" s="233" t="n"/>
      <c r="AN386" s="233" t="n"/>
      <c r="AO386" s="233" t="n"/>
      <c r="AP386" s="233" t="n"/>
      <c r="AQ386" s="233" t="n"/>
      <c r="AR386" s="233" t="n"/>
      <c r="AS386" s="233" t="n"/>
      <c r="AT386" s="233" t="n"/>
      <c r="AU386" s="233" t="n"/>
      <c r="AV386" s="233" t="n"/>
      <c r="AW386" s="233" t="n"/>
      <c r="AX386" s="692" t="n"/>
      <c r="AY386" s="692" t="n"/>
      <c r="AZ386" s="692" t="n"/>
      <c r="BA386" s="692" t="n"/>
      <c r="BB386" s="692" t="n"/>
      <c r="BC386" s="692" t="n"/>
      <c r="BD386" s="692" t="n"/>
      <c r="BE386" s="692" t="n"/>
      <c r="BF386" s="692" t="n"/>
      <c r="BG386" s="692" t="n"/>
      <c r="BH386" s="692" t="n"/>
      <c r="BI386" s="692" t="n"/>
      <c r="BJ386" s="692" t="n"/>
      <c r="BK386" s="692" t="n"/>
      <c r="BL386" s="692" t="n"/>
      <c r="BM386" s="692" t="n"/>
      <c r="BN386" s="692" t="n"/>
      <c r="BO386" s="692" t="n"/>
      <c r="BP386" s="692" t="n"/>
      <c r="BQ386" s="692" t="n"/>
    </row>
    <row r="387">
      <c r="A387" s="220" t="n"/>
      <c r="B387" s="211" t="n"/>
      <c r="C387" s="211" t="n"/>
      <c r="D387" s="211" t="n"/>
      <c r="E387" s="221" t="n"/>
      <c r="F387" s="211" t="n"/>
      <c r="G387" s="211" t="n"/>
      <c r="H387" s="211" t="n"/>
      <c r="I387" s="211" t="n"/>
      <c r="J387" s="211" t="n"/>
      <c r="K387" s="211" t="n"/>
      <c r="L387" s="213" t="n"/>
      <c r="M387" s="689" t="n"/>
      <c r="N387" s="689" t="n"/>
      <c r="O387" s="689" t="n"/>
      <c r="P387" s="227" t="n"/>
      <c r="Q387" s="689" t="n"/>
      <c r="R387" s="689" t="n"/>
      <c r="S387" s="689" t="n"/>
      <c r="T387" s="689" t="n"/>
      <c r="U387" s="689" t="n"/>
      <c r="V387" s="689" t="n"/>
      <c r="W387" s="689" t="n"/>
      <c r="X387" s="689" t="n"/>
      <c r="Y387" s="689" t="n"/>
      <c r="Z387" s="689" t="n"/>
      <c r="AA387" s="689" t="n"/>
      <c r="AB387" s="689" t="n"/>
      <c r="AC387" s="689" t="n"/>
      <c r="AD387" s="689" t="n"/>
      <c r="AF387" s="233" t="n"/>
      <c r="AG387" s="233" t="n"/>
      <c r="AH387" s="233" t="n"/>
      <c r="AI387" s="233" t="n"/>
      <c r="AJ387" s="233" t="n"/>
      <c r="AK387" s="233" t="n"/>
      <c r="AL387" s="233" t="n"/>
      <c r="AM387" s="233" t="n"/>
      <c r="AN387" s="233" t="n"/>
      <c r="AO387" s="233" t="n"/>
      <c r="AP387" s="233" t="n"/>
      <c r="AQ387" s="233" t="n"/>
      <c r="AR387" s="233" t="n"/>
      <c r="AS387" s="233" t="n"/>
      <c r="AT387" s="233" t="n"/>
      <c r="AU387" s="233" t="n"/>
      <c r="AV387" s="233" t="n"/>
      <c r="AW387" s="233" t="n"/>
      <c r="AX387" s="692" t="n"/>
      <c r="AY387" s="692" t="n"/>
      <c r="AZ387" s="692" t="n"/>
      <c r="BA387" s="692" t="n"/>
      <c r="BB387" s="692" t="n"/>
      <c r="BC387" s="692" t="n"/>
      <c r="BD387" s="692" t="n"/>
      <c r="BE387" s="692" t="n"/>
      <c r="BF387" s="692" t="n"/>
      <c r="BG387" s="692" t="n"/>
      <c r="BH387" s="692" t="n"/>
      <c r="BI387" s="692" t="n"/>
      <c r="BJ387" s="692" t="n"/>
      <c r="BK387" s="692" t="n"/>
      <c r="BL387" s="692" t="n"/>
      <c r="BM387" s="692" t="n"/>
      <c r="BN387" s="692" t="n"/>
      <c r="BO387" s="692" t="n"/>
      <c r="BP387" s="692" t="n"/>
      <c r="BQ387" s="692" t="n"/>
    </row>
    <row r="388">
      <c r="A388" s="218" t="n"/>
      <c r="B388" s="215" t="n"/>
      <c r="C388" s="215" t="n"/>
      <c r="D388" s="215" t="n"/>
      <c r="E388" s="219" t="n"/>
      <c r="F388" s="215" t="n"/>
      <c r="G388" s="215" t="n"/>
      <c r="H388" s="215" t="n"/>
      <c r="I388" s="215" t="n"/>
      <c r="J388" s="215" t="n"/>
      <c r="K388" s="215" t="n"/>
      <c r="L388" s="217" t="n"/>
      <c r="M388" s="689" t="n"/>
      <c r="N388" s="689" t="n"/>
      <c r="O388" s="689" t="n"/>
      <c r="P388" s="227" t="n"/>
      <c r="Q388" s="689" t="n"/>
      <c r="R388" s="689" t="n"/>
      <c r="S388" s="689" t="n"/>
      <c r="T388" s="689" t="n"/>
      <c r="U388" s="689" t="n"/>
      <c r="V388" s="689" t="n"/>
      <c r="W388" s="689" t="n"/>
      <c r="X388" s="689" t="n"/>
      <c r="Y388" s="689" t="n"/>
      <c r="Z388" s="689" t="n"/>
      <c r="AA388" s="689" t="n"/>
      <c r="AB388" s="689" t="n"/>
      <c r="AC388" s="689" t="n"/>
      <c r="AD388" s="689" t="n"/>
      <c r="AF388" s="233" t="n"/>
      <c r="AG388" s="233" t="n"/>
      <c r="AH388" s="233" t="n"/>
      <c r="AI388" s="233" t="n"/>
      <c r="AJ388" s="233" t="n"/>
      <c r="AK388" s="233" t="n"/>
      <c r="AL388" s="233" t="n"/>
      <c r="AM388" s="233" t="n"/>
      <c r="AN388" s="233" t="n"/>
      <c r="AO388" s="233" t="n"/>
      <c r="AP388" s="233" t="n"/>
      <c r="AQ388" s="233" t="n"/>
      <c r="AR388" s="233" t="n"/>
      <c r="AS388" s="233" t="n"/>
      <c r="AT388" s="233" t="n"/>
      <c r="AU388" s="233" t="n"/>
      <c r="AV388" s="233" t="n"/>
      <c r="AW388" s="233" t="n"/>
      <c r="AX388" s="692" t="n"/>
      <c r="AY388" s="692" t="n"/>
      <c r="AZ388" s="692" t="n"/>
      <c r="BA388" s="692" t="n"/>
      <c r="BB388" s="692" t="n"/>
      <c r="BC388" s="692" t="n"/>
      <c r="BD388" s="692" t="n"/>
      <c r="BE388" s="692" t="n"/>
      <c r="BF388" s="692" t="n"/>
      <c r="BG388" s="692" t="n"/>
      <c r="BH388" s="692" t="n"/>
      <c r="BI388" s="692" t="n"/>
      <c r="BJ388" s="692" t="n"/>
      <c r="BK388" s="692" t="n"/>
      <c r="BL388" s="692" t="n"/>
      <c r="BM388" s="692" t="n"/>
      <c r="BN388" s="692" t="n"/>
      <c r="BO388" s="692" t="n"/>
      <c r="BP388" s="692" t="n"/>
      <c r="BQ388" s="692" t="n"/>
    </row>
    <row r="389">
      <c r="A389" s="220" t="n"/>
      <c r="B389" s="211" t="n"/>
      <c r="C389" s="211" t="n"/>
      <c r="D389" s="211" t="n"/>
      <c r="E389" s="221" t="n"/>
      <c r="F389" s="211" t="n"/>
      <c r="G389" s="211" t="n"/>
      <c r="H389" s="211" t="n"/>
      <c r="I389" s="211" t="n"/>
      <c r="J389" s="211" t="n"/>
      <c r="K389" s="211" t="n"/>
      <c r="L389" s="213" t="n"/>
      <c r="M389" s="689" t="n"/>
      <c r="N389" s="689" t="n"/>
      <c r="O389" s="689" t="n"/>
      <c r="P389" s="227" t="n"/>
      <c r="Q389" s="689" t="n"/>
      <c r="R389" s="689" t="n"/>
      <c r="S389" s="689" t="n"/>
      <c r="T389" s="689" t="n"/>
      <c r="U389" s="689" t="n"/>
      <c r="V389" s="689" t="n"/>
      <c r="W389" s="689" t="n"/>
      <c r="X389" s="689" t="n"/>
      <c r="Y389" s="689" t="n"/>
      <c r="Z389" s="689" t="n"/>
      <c r="AA389" s="689" t="n"/>
      <c r="AB389" s="689" t="n"/>
      <c r="AC389" s="689" t="n"/>
      <c r="AD389" s="689" t="n"/>
      <c r="AF389" s="233" t="n"/>
      <c r="AG389" s="233" t="n"/>
      <c r="AH389" s="233" t="n"/>
      <c r="AI389" s="233" t="n"/>
      <c r="AJ389" s="233" t="n"/>
      <c r="AK389" s="233" t="n"/>
      <c r="AL389" s="233" t="n"/>
      <c r="AM389" s="233" t="n"/>
      <c r="AN389" s="233" t="n"/>
      <c r="AO389" s="233" t="n"/>
      <c r="AP389" s="233" t="n"/>
      <c r="AQ389" s="233" t="n"/>
      <c r="AR389" s="233" t="n"/>
      <c r="AS389" s="233" t="n"/>
      <c r="AT389" s="233" t="n"/>
      <c r="AU389" s="233" t="n"/>
      <c r="AV389" s="233" t="n"/>
      <c r="AW389" s="233" t="n"/>
      <c r="AX389" s="692" t="n"/>
      <c r="AY389" s="692" t="n"/>
      <c r="AZ389" s="692" t="n"/>
      <c r="BA389" s="692" t="n"/>
      <c r="BB389" s="692" t="n"/>
      <c r="BC389" s="692" t="n"/>
      <c r="BD389" s="692" t="n"/>
      <c r="BE389" s="692" t="n"/>
      <c r="BF389" s="692" t="n"/>
      <c r="BG389" s="692" t="n"/>
      <c r="BH389" s="692" t="n"/>
      <c r="BI389" s="692" t="n"/>
      <c r="BJ389" s="692" t="n"/>
      <c r="BK389" s="692" t="n"/>
      <c r="BL389" s="692" t="n"/>
      <c r="BM389" s="692" t="n"/>
      <c r="BN389" s="692" t="n"/>
      <c r="BO389" s="692" t="n"/>
      <c r="BP389" s="692" t="n"/>
      <c r="BQ389" s="692" t="n"/>
    </row>
    <row r="390">
      <c r="A390" s="218" t="n"/>
      <c r="B390" s="215" t="n"/>
      <c r="C390" s="215" t="n"/>
      <c r="D390" s="215" t="n"/>
      <c r="E390" s="219" t="n"/>
      <c r="F390" s="215" t="n"/>
      <c r="G390" s="215" t="n"/>
      <c r="H390" s="215" t="n"/>
      <c r="I390" s="215" t="n"/>
      <c r="J390" s="215" t="n"/>
      <c r="K390" s="215" t="n"/>
      <c r="L390" s="217" t="n"/>
      <c r="M390" s="689" t="n"/>
      <c r="N390" s="689" t="n"/>
      <c r="O390" s="689" t="n"/>
      <c r="P390" s="227" t="n"/>
      <c r="Q390" s="689" t="n"/>
      <c r="R390" s="689" t="n"/>
      <c r="S390" s="689" t="n"/>
      <c r="T390" s="689" t="n"/>
      <c r="U390" s="689" t="n"/>
      <c r="V390" s="689" t="n"/>
      <c r="W390" s="689" t="n"/>
      <c r="X390" s="689" t="n"/>
      <c r="Y390" s="689" t="n"/>
      <c r="Z390" s="689" t="n"/>
      <c r="AA390" s="689" t="n"/>
      <c r="AB390" s="689" t="n"/>
      <c r="AC390" s="689" t="n"/>
      <c r="AD390" s="689" t="n"/>
      <c r="AF390" s="233" t="n"/>
      <c r="AG390" s="233" t="n"/>
      <c r="AH390" s="233" t="n"/>
      <c r="AI390" s="233" t="n"/>
      <c r="AJ390" s="233" t="n"/>
      <c r="AK390" s="233" t="n"/>
      <c r="AL390" s="233" t="n"/>
      <c r="AM390" s="233" t="n"/>
      <c r="AN390" s="233" t="n"/>
      <c r="AO390" s="233" t="n"/>
      <c r="AP390" s="233" t="n"/>
      <c r="AQ390" s="233" t="n"/>
      <c r="AR390" s="233" t="n"/>
      <c r="AS390" s="233" t="n"/>
      <c r="AT390" s="233" t="n"/>
      <c r="AU390" s="233" t="n"/>
      <c r="AV390" s="233" t="n"/>
      <c r="AW390" s="233" t="n"/>
      <c r="AX390" s="692" t="n"/>
      <c r="AY390" s="692" t="n"/>
      <c r="AZ390" s="692" t="n"/>
      <c r="BA390" s="692" t="n"/>
      <c r="BB390" s="692" t="n"/>
      <c r="BC390" s="692" t="n"/>
      <c r="BD390" s="692" t="n"/>
      <c r="BE390" s="692" t="n"/>
      <c r="BF390" s="692" t="n"/>
      <c r="BG390" s="692" t="n"/>
      <c r="BH390" s="692" t="n"/>
      <c r="BI390" s="692" t="n"/>
      <c r="BJ390" s="692" t="n"/>
      <c r="BK390" s="692" t="n"/>
      <c r="BL390" s="692" t="n"/>
      <c r="BM390" s="692" t="n"/>
      <c r="BN390" s="692" t="n"/>
      <c r="BO390" s="692" t="n"/>
      <c r="BP390" s="692" t="n"/>
      <c r="BQ390" s="692" t="n"/>
    </row>
    <row r="391">
      <c r="A391" s="220" t="n"/>
      <c r="B391" s="211" t="n"/>
      <c r="C391" s="211" t="n"/>
      <c r="D391" s="211" t="n"/>
      <c r="E391" s="221" t="n"/>
      <c r="F391" s="211" t="n"/>
      <c r="G391" s="211" t="n"/>
      <c r="H391" s="211" t="n"/>
      <c r="I391" s="211" t="n"/>
      <c r="J391" s="211" t="n"/>
      <c r="K391" s="211" t="n"/>
      <c r="L391" s="213" t="n"/>
      <c r="M391" s="689" t="n"/>
      <c r="N391" s="689" t="n"/>
      <c r="O391" s="689" t="n"/>
      <c r="P391" s="227" t="n"/>
      <c r="Q391" s="689" t="n"/>
      <c r="R391" s="689" t="n"/>
      <c r="S391" s="689" t="n"/>
      <c r="T391" s="689" t="n"/>
      <c r="U391" s="689" t="n"/>
      <c r="V391" s="689" t="n"/>
      <c r="W391" s="689" t="n"/>
      <c r="X391" s="689" t="n"/>
      <c r="Y391" s="689" t="n"/>
      <c r="Z391" s="689" t="n"/>
      <c r="AA391" s="689" t="n"/>
      <c r="AB391" s="689" t="n"/>
      <c r="AC391" s="689" t="n"/>
      <c r="AD391" s="689" t="n"/>
      <c r="AF391" s="233" t="n"/>
      <c r="AG391" s="233" t="n"/>
      <c r="AH391" s="233" t="n"/>
      <c r="AI391" s="233" t="n"/>
      <c r="AJ391" s="233" t="n"/>
      <c r="AK391" s="233" t="n"/>
      <c r="AL391" s="233" t="n"/>
      <c r="AM391" s="233" t="n"/>
      <c r="AN391" s="233" t="n"/>
      <c r="AO391" s="233" t="n"/>
      <c r="AP391" s="233" t="n"/>
      <c r="AQ391" s="233" t="n"/>
      <c r="AR391" s="233" t="n"/>
      <c r="AS391" s="233" t="n"/>
      <c r="AT391" s="233" t="n"/>
      <c r="AU391" s="233" t="n"/>
      <c r="AV391" s="233" t="n"/>
      <c r="AW391" s="233" t="n"/>
      <c r="AX391" s="692" t="n"/>
      <c r="AY391" s="692" t="n"/>
      <c r="AZ391" s="692" t="n"/>
      <c r="BA391" s="692" t="n"/>
      <c r="BB391" s="692" t="n"/>
      <c r="BC391" s="692" t="n"/>
      <c r="BD391" s="692" t="n"/>
      <c r="BE391" s="692" t="n"/>
      <c r="BF391" s="692" t="n"/>
      <c r="BG391" s="692" t="n"/>
      <c r="BH391" s="692" t="n"/>
      <c r="BI391" s="692" t="n"/>
      <c r="BJ391" s="692" t="n"/>
      <c r="BK391" s="692" t="n"/>
      <c r="BL391" s="692" t="n"/>
      <c r="BM391" s="692" t="n"/>
      <c r="BN391" s="692" t="n"/>
      <c r="BO391" s="692" t="n"/>
      <c r="BP391" s="692" t="n"/>
      <c r="BQ391" s="692" t="n"/>
    </row>
    <row r="392">
      <c r="A392" s="218" t="n"/>
      <c r="B392" s="215" t="n"/>
      <c r="C392" s="215" t="n"/>
      <c r="D392" s="215" t="n"/>
      <c r="E392" s="219" t="n"/>
      <c r="F392" s="215" t="n"/>
      <c r="G392" s="215" t="n"/>
      <c r="H392" s="215" t="n"/>
      <c r="I392" s="215" t="n"/>
      <c r="J392" s="215" t="n"/>
      <c r="K392" s="215" t="n"/>
      <c r="L392" s="217" t="n"/>
      <c r="M392" s="689" t="n"/>
      <c r="N392" s="689" t="n"/>
      <c r="O392" s="689" t="n"/>
      <c r="P392" s="227" t="n"/>
      <c r="Q392" s="689" t="n"/>
      <c r="R392" s="689" t="n"/>
      <c r="S392" s="689" t="n"/>
      <c r="T392" s="689" t="n"/>
      <c r="U392" s="689" t="n"/>
      <c r="V392" s="689" t="n"/>
      <c r="W392" s="689" t="n"/>
      <c r="X392" s="689" t="n"/>
      <c r="Y392" s="689" t="n"/>
      <c r="Z392" s="689" t="n"/>
      <c r="AA392" s="689" t="n"/>
      <c r="AB392" s="689" t="n"/>
      <c r="AC392" s="689" t="n"/>
      <c r="AD392" s="689" t="n"/>
      <c r="AF392" s="233" t="n"/>
      <c r="AG392" s="233" t="n"/>
      <c r="AH392" s="233" t="n"/>
      <c r="AI392" s="233" t="n"/>
      <c r="AJ392" s="233" t="n"/>
      <c r="AK392" s="233" t="n"/>
      <c r="AL392" s="233" t="n"/>
      <c r="AM392" s="233" t="n"/>
      <c r="AN392" s="233" t="n"/>
      <c r="AO392" s="233" t="n"/>
      <c r="AP392" s="233" t="n"/>
      <c r="AQ392" s="233" t="n"/>
      <c r="AR392" s="233" t="n"/>
      <c r="AS392" s="233" t="n"/>
      <c r="AT392" s="233" t="n"/>
      <c r="AU392" s="233" t="n"/>
      <c r="AV392" s="233" t="n"/>
      <c r="AW392" s="233" t="n"/>
      <c r="AX392" s="692" t="n"/>
      <c r="AY392" s="692" t="n"/>
      <c r="AZ392" s="692" t="n"/>
      <c r="BA392" s="692" t="n"/>
      <c r="BB392" s="692" t="n"/>
      <c r="BC392" s="692" t="n"/>
      <c r="BD392" s="692" t="n"/>
      <c r="BE392" s="692" t="n"/>
      <c r="BF392" s="692" t="n"/>
      <c r="BG392" s="692" t="n"/>
      <c r="BH392" s="692" t="n"/>
      <c r="BI392" s="692" t="n"/>
      <c r="BJ392" s="692" t="n"/>
      <c r="BK392" s="692" t="n"/>
      <c r="BL392" s="692" t="n"/>
      <c r="BM392" s="692" t="n"/>
      <c r="BN392" s="692" t="n"/>
      <c r="BO392" s="692" t="n"/>
      <c r="BP392" s="692" t="n"/>
      <c r="BQ392" s="692" t="n"/>
    </row>
    <row r="393">
      <c r="A393" s="220" t="n"/>
      <c r="B393" s="211" t="n"/>
      <c r="C393" s="211" t="n"/>
      <c r="D393" s="211" t="n"/>
      <c r="E393" s="221" t="n"/>
      <c r="F393" s="211" t="n"/>
      <c r="G393" s="211" t="n"/>
      <c r="H393" s="211" t="n"/>
      <c r="I393" s="211" t="n"/>
      <c r="J393" s="211" t="n"/>
      <c r="K393" s="211" t="n"/>
      <c r="L393" s="213" t="n"/>
      <c r="M393" s="689" t="n"/>
      <c r="N393" s="689" t="n"/>
      <c r="O393" s="689" t="n"/>
      <c r="P393" s="227" t="n"/>
      <c r="Q393" s="689" t="n"/>
      <c r="R393" s="689" t="n"/>
      <c r="S393" s="689" t="n"/>
      <c r="T393" s="689" t="n"/>
      <c r="U393" s="689" t="n"/>
      <c r="V393" s="689" t="n"/>
      <c r="W393" s="689" t="n"/>
      <c r="X393" s="689" t="n"/>
      <c r="Y393" s="689" t="n"/>
      <c r="Z393" s="689" t="n"/>
      <c r="AA393" s="689" t="n"/>
      <c r="AB393" s="689" t="n"/>
      <c r="AC393" s="689" t="n"/>
      <c r="AD393" s="689" t="n"/>
      <c r="AF393" s="233" t="n"/>
      <c r="AG393" s="233" t="n"/>
      <c r="AH393" s="233" t="n"/>
      <c r="AI393" s="233" t="n"/>
      <c r="AJ393" s="233" t="n"/>
      <c r="AK393" s="233" t="n"/>
      <c r="AL393" s="233" t="n"/>
      <c r="AM393" s="233" t="n"/>
      <c r="AN393" s="233" t="n"/>
      <c r="AO393" s="233" t="n"/>
      <c r="AP393" s="233" t="n"/>
      <c r="AQ393" s="233" t="n"/>
      <c r="AR393" s="233" t="n"/>
      <c r="AS393" s="233" t="n"/>
      <c r="AT393" s="233" t="n"/>
      <c r="AU393" s="233" t="n"/>
      <c r="AV393" s="233" t="n"/>
      <c r="AW393" s="233" t="n"/>
      <c r="AX393" s="692" t="n"/>
      <c r="AY393" s="692" t="n"/>
      <c r="AZ393" s="692" t="n"/>
      <c r="BA393" s="692" t="n"/>
      <c r="BB393" s="692" t="n"/>
      <c r="BC393" s="692" t="n"/>
      <c r="BD393" s="692" t="n"/>
      <c r="BE393" s="692" t="n"/>
      <c r="BF393" s="692" t="n"/>
      <c r="BG393" s="692" t="n"/>
      <c r="BH393" s="692" t="n"/>
      <c r="BI393" s="692" t="n"/>
      <c r="BJ393" s="692" t="n"/>
      <c r="BK393" s="692" t="n"/>
      <c r="BL393" s="692" t="n"/>
      <c r="BM393" s="692" t="n"/>
      <c r="BN393" s="692" t="n"/>
      <c r="BO393" s="692" t="n"/>
      <c r="BP393" s="692" t="n"/>
      <c r="BQ393" s="692" t="n"/>
    </row>
    <row r="394">
      <c r="A394" s="218" t="n"/>
      <c r="B394" s="215" t="n"/>
      <c r="C394" s="215" t="n"/>
      <c r="D394" s="215" t="n"/>
      <c r="E394" s="219" t="n"/>
      <c r="F394" s="215" t="n"/>
      <c r="G394" s="215" t="n"/>
      <c r="H394" s="215" t="n"/>
      <c r="I394" s="215" t="n"/>
      <c r="J394" s="215" t="n"/>
      <c r="K394" s="215" t="n"/>
      <c r="L394" s="217" t="n"/>
      <c r="M394" s="689" t="n"/>
      <c r="N394" s="689" t="n"/>
      <c r="O394" s="689" t="n"/>
      <c r="P394" s="227" t="n"/>
      <c r="Q394" s="689" t="n"/>
      <c r="R394" s="689" t="n"/>
      <c r="S394" s="689" t="n"/>
      <c r="T394" s="689" t="n"/>
      <c r="U394" s="689" t="n"/>
      <c r="V394" s="689" t="n"/>
      <c r="W394" s="689" t="n"/>
      <c r="X394" s="689" t="n"/>
      <c r="Y394" s="689" t="n"/>
      <c r="Z394" s="689" t="n"/>
      <c r="AA394" s="689" t="n"/>
      <c r="AB394" s="689" t="n"/>
      <c r="AC394" s="689" t="n"/>
      <c r="AD394" s="689" t="n"/>
      <c r="AF394" s="233" t="n"/>
      <c r="AG394" s="233" t="n"/>
      <c r="AH394" s="233" t="n"/>
      <c r="AI394" s="233" t="n"/>
      <c r="AJ394" s="233" t="n"/>
      <c r="AK394" s="233" t="n"/>
      <c r="AL394" s="233" t="n"/>
      <c r="AM394" s="233" t="n"/>
      <c r="AN394" s="233" t="n"/>
      <c r="AO394" s="233" t="n"/>
      <c r="AP394" s="233" t="n"/>
      <c r="AQ394" s="233" t="n"/>
      <c r="AR394" s="233" t="n"/>
      <c r="AS394" s="233" t="n"/>
      <c r="AT394" s="233" t="n"/>
      <c r="AU394" s="233" t="n"/>
      <c r="AV394" s="233" t="n"/>
      <c r="AW394" s="233" t="n"/>
      <c r="AX394" s="692" t="n"/>
      <c r="AY394" s="692" t="n"/>
      <c r="AZ394" s="692" t="n"/>
      <c r="BA394" s="692" t="n"/>
      <c r="BB394" s="692" t="n"/>
      <c r="BC394" s="692" t="n"/>
      <c r="BD394" s="692" t="n"/>
      <c r="BE394" s="692" t="n"/>
      <c r="BF394" s="692" t="n"/>
      <c r="BG394" s="692" t="n"/>
      <c r="BH394" s="692" t="n"/>
      <c r="BI394" s="692" t="n"/>
      <c r="BJ394" s="692" t="n"/>
      <c r="BK394" s="692" t="n"/>
      <c r="BL394" s="692" t="n"/>
      <c r="BM394" s="692" t="n"/>
      <c r="BN394" s="692" t="n"/>
      <c r="BO394" s="692" t="n"/>
      <c r="BP394" s="692" t="n"/>
      <c r="BQ394" s="692" t="n"/>
    </row>
    <row r="395">
      <c r="A395" s="220" t="n"/>
      <c r="B395" s="211" t="n"/>
      <c r="C395" s="211" t="n"/>
      <c r="D395" s="211" t="n"/>
      <c r="E395" s="221" t="n"/>
      <c r="F395" s="211" t="n"/>
      <c r="G395" s="211" t="n"/>
      <c r="H395" s="211" t="n"/>
      <c r="I395" s="211" t="n"/>
      <c r="J395" s="211" t="n"/>
      <c r="K395" s="211" t="n"/>
      <c r="L395" s="213" t="n"/>
      <c r="M395" s="689" t="n"/>
      <c r="N395" s="689" t="n"/>
      <c r="O395" s="689" t="n"/>
      <c r="P395" s="227" t="n"/>
      <c r="Q395" s="689" t="n"/>
      <c r="R395" s="689" t="n"/>
      <c r="S395" s="689" t="n"/>
      <c r="T395" s="689" t="n"/>
      <c r="U395" s="689" t="n"/>
      <c r="V395" s="689" t="n"/>
      <c r="W395" s="689" t="n"/>
      <c r="X395" s="689" t="n"/>
      <c r="Y395" s="689" t="n"/>
      <c r="Z395" s="689" t="n"/>
      <c r="AA395" s="689" t="n"/>
      <c r="AB395" s="689" t="n"/>
      <c r="AC395" s="689" t="n"/>
      <c r="AD395" s="689" t="n"/>
      <c r="AF395" s="233" t="n"/>
      <c r="AG395" s="233" t="n"/>
      <c r="AH395" s="233" t="n"/>
      <c r="AI395" s="233" t="n"/>
      <c r="AJ395" s="233" t="n"/>
      <c r="AK395" s="233" t="n"/>
      <c r="AL395" s="233" t="n"/>
      <c r="AM395" s="233" t="n"/>
      <c r="AN395" s="233" t="n"/>
      <c r="AO395" s="233" t="n"/>
      <c r="AP395" s="233" t="n"/>
      <c r="AQ395" s="233" t="n"/>
      <c r="AR395" s="233" t="n"/>
      <c r="AS395" s="233" t="n"/>
      <c r="AT395" s="233" t="n"/>
      <c r="AU395" s="233" t="n"/>
      <c r="AV395" s="233" t="n"/>
      <c r="AW395" s="233" t="n"/>
      <c r="AX395" s="692" t="n"/>
      <c r="AY395" s="692" t="n"/>
      <c r="AZ395" s="692" t="n"/>
      <c r="BA395" s="692" t="n"/>
      <c r="BB395" s="692" t="n"/>
      <c r="BC395" s="692" t="n"/>
      <c r="BD395" s="692" t="n"/>
      <c r="BE395" s="692" t="n"/>
      <c r="BF395" s="692" t="n"/>
      <c r="BG395" s="692" t="n"/>
      <c r="BH395" s="692" t="n"/>
      <c r="BI395" s="692" t="n"/>
      <c r="BJ395" s="692" t="n"/>
      <c r="BK395" s="692" t="n"/>
      <c r="BL395" s="692" t="n"/>
      <c r="BM395" s="692" t="n"/>
      <c r="BN395" s="692" t="n"/>
      <c r="BO395" s="692" t="n"/>
      <c r="BP395" s="692" t="n"/>
      <c r="BQ395" s="692" t="n"/>
    </row>
    <row r="396">
      <c r="A396" s="218" t="n"/>
      <c r="B396" s="215" t="n"/>
      <c r="C396" s="215" t="n"/>
      <c r="D396" s="215" t="n"/>
      <c r="E396" s="219" t="n"/>
      <c r="F396" s="215" t="n"/>
      <c r="G396" s="215" t="n"/>
      <c r="H396" s="215" t="n"/>
      <c r="I396" s="215" t="n"/>
      <c r="J396" s="215" t="n"/>
      <c r="K396" s="215" t="n"/>
      <c r="L396" s="217" t="n"/>
      <c r="M396" s="689" t="n"/>
      <c r="N396" s="689" t="n"/>
      <c r="O396" s="689" t="n"/>
      <c r="P396" s="227" t="n"/>
      <c r="Q396" s="689" t="n"/>
      <c r="R396" s="689" t="n"/>
      <c r="S396" s="689" t="n"/>
      <c r="T396" s="689" t="n"/>
      <c r="U396" s="689" t="n"/>
      <c r="V396" s="689" t="n"/>
      <c r="W396" s="689" t="n"/>
      <c r="X396" s="689" t="n"/>
      <c r="Y396" s="689" t="n"/>
      <c r="Z396" s="689" t="n"/>
      <c r="AA396" s="689" t="n"/>
      <c r="AB396" s="689" t="n"/>
      <c r="AC396" s="689" t="n"/>
      <c r="AD396" s="689" t="n"/>
      <c r="AF396" s="233" t="n"/>
      <c r="AG396" s="233" t="n"/>
      <c r="AH396" s="233" t="n"/>
      <c r="AI396" s="233" t="n"/>
      <c r="AJ396" s="233" t="n"/>
      <c r="AK396" s="233" t="n"/>
      <c r="AL396" s="233" t="n"/>
      <c r="AM396" s="233" t="n"/>
      <c r="AN396" s="233" t="n"/>
      <c r="AO396" s="233" t="n"/>
      <c r="AP396" s="233" t="n"/>
      <c r="AQ396" s="233" t="n"/>
      <c r="AR396" s="233" t="n"/>
      <c r="AS396" s="233" t="n"/>
      <c r="AT396" s="233" t="n"/>
      <c r="AU396" s="233" t="n"/>
      <c r="AV396" s="233" t="n"/>
      <c r="AW396" s="233" t="n"/>
      <c r="AX396" s="692" t="n"/>
      <c r="AY396" s="692" t="n"/>
      <c r="AZ396" s="692" t="n"/>
      <c r="BA396" s="692" t="n"/>
      <c r="BB396" s="692" t="n"/>
      <c r="BC396" s="692" t="n"/>
      <c r="BD396" s="692" t="n"/>
      <c r="BE396" s="692" t="n"/>
      <c r="BF396" s="692" t="n"/>
      <c r="BG396" s="692" t="n"/>
      <c r="BH396" s="692" t="n"/>
      <c r="BI396" s="692" t="n"/>
      <c r="BJ396" s="692" t="n"/>
      <c r="BK396" s="692" t="n"/>
      <c r="BL396" s="692" t="n"/>
      <c r="BM396" s="692" t="n"/>
      <c r="BN396" s="692" t="n"/>
      <c r="BO396" s="692" t="n"/>
      <c r="BP396" s="692" t="n"/>
      <c r="BQ396" s="692" t="n"/>
    </row>
    <row r="397">
      <c r="A397" s="220" t="n"/>
      <c r="B397" s="211" t="n"/>
      <c r="C397" s="211" t="n"/>
      <c r="D397" s="211" t="n"/>
      <c r="E397" s="221" t="n"/>
      <c r="F397" s="211" t="n"/>
      <c r="G397" s="211" t="n"/>
      <c r="H397" s="211" t="n"/>
      <c r="I397" s="211" t="n"/>
      <c r="J397" s="211" t="n"/>
      <c r="K397" s="211" t="n"/>
      <c r="L397" s="213" t="n"/>
      <c r="M397" s="689" t="n"/>
      <c r="N397" s="689" t="n"/>
      <c r="O397" s="689" t="n"/>
      <c r="P397" s="227" t="n"/>
      <c r="Q397" s="689" t="n"/>
      <c r="R397" s="689" t="n"/>
      <c r="S397" s="689" t="n"/>
      <c r="T397" s="689" t="n"/>
      <c r="U397" s="689" t="n"/>
      <c r="V397" s="689" t="n"/>
      <c r="W397" s="689" t="n"/>
      <c r="X397" s="689" t="n"/>
      <c r="Y397" s="689" t="n"/>
      <c r="Z397" s="689" t="n"/>
      <c r="AA397" s="689" t="n"/>
      <c r="AB397" s="689" t="n"/>
      <c r="AC397" s="689" t="n"/>
      <c r="AD397" s="689" t="n"/>
      <c r="AF397" s="236" t="n"/>
      <c r="AG397" s="236" t="n"/>
      <c r="AH397" s="236" t="n"/>
      <c r="AI397" s="236" t="n"/>
      <c r="AJ397" s="236" t="n"/>
      <c r="AK397" s="236" t="n"/>
      <c r="AL397" s="236" t="n"/>
      <c r="AM397" s="236" t="n"/>
      <c r="AN397" s="236" t="n"/>
      <c r="AO397" s="236" t="n"/>
      <c r="AP397" s="236" t="n"/>
      <c r="AQ397" s="236" t="n"/>
      <c r="AR397" s="236" t="n"/>
      <c r="AS397" s="236" t="n"/>
      <c r="AT397" s="236" t="n"/>
      <c r="AU397" s="236" t="n"/>
      <c r="AV397" s="236" t="n"/>
      <c r="AW397" s="236" t="n"/>
      <c r="AX397" s="692" t="n"/>
      <c r="AY397" s="692" t="n"/>
      <c r="AZ397" s="692" t="n"/>
      <c r="BA397" s="692" t="n"/>
      <c r="BB397" s="692" t="n"/>
      <c r="BC397" s="692" t="n"/>
      <c r="BD397" s="692" t="n"/>
      <c r="BE397" s="692" t="n"/>
      <c r="BF397" s="692" t="n"/>
      <c r="BG397" s="692" t="n"/>
      <c r="BH397" s="692" t="n"/>
      <c r="BI397" s="692" t="n"/>
      <c r="BJ397" s="692" t="n"/>
      <c r="BK397" s="692" t="n"/>
      <c r="BL397" s="692" t="n"/>
      <c r="BM397" s="692" t="n"/>
      <c r="BN397" s="692" t="n"/>
      <c r="BO397" s="692" t="n"/>
      <c r="BP397" s="692" t="n"/>
      <c r="BQ397" s="692" t="n"/>
    </row>
    <row r="398">
      <c r="A398" s="218" t="n"/>
      <c r="B398" s="215" t="n"/>
      <c r="C398" s="215" t="n"/>
      <c r="D398" s="215" t="n"/>
      <c r="E398" s="219" t="n"/>
      <c r="F398" s="215" t="n"/>
      <c r="G398" s="215" t="n"/>
      <c r="H398" s="215" t="n"/>
      <c r="I398" s="215" t="n"/>
      <c r="J398" s="215" t="n"/>
      <c r="K398" s="215" t="n"/>
      <c r="L398" s="217" t="n"/>
      <c r="M398" s="689" t="n"/>
      <c r="N398" s="689" t="n"/>
      <c r="O398" s="689" t="n"/>
      <c r="P398" s="227" t="n"/>
      <c r="Q398" s="689" t="n"/>
      <c r="R398" s="689" t="n"/>
      <c r="S398" s="689" t="n"/>
      <c r="T398" s="689" t="n"/>
      <c r="U398" s="689" t="n"/>
      <c r="V398" s="689" t="n"/>
      <c r="W398" s="689" t="n"/>
      <c r="X398" s="689" t="n"/>
      <c r="Y398" s="689" t="n"/>
      <c r="Z398" s="689" t="n"/>
      <c r="AA398" s="689" t="n"/>
      <c r="AB398" s="689" t="n"/>
      <c r="AC398" s="689" t="n"/>
      <c r="AD398" s="689" t="n"/>
      <c r="AF398" s="236" t="n"/>
      <c r="AG398" s="236" t="n"/>
      <c r="AH398" s="236" t="n"/>
      <c r="AI398" s="236" t="n"/>
      <c r="AJ398" s="236" t="n"/>
      <c r="AK398" s="236" t="n"/>
      <c r="AL398" s="236" t="n"/>
      <c r="AM398" s="236" t="n"/>
      <c r="AN398" s="236" t="n"/>
      <c r="AO398" s="236" t="n"/>
      <c r="AP398" s="236" t="n"/>
      <c r="AQ398" s="236" t="n"/>
      <c r="AR398" s="236" t="n"/>
      <c r="AS398" s="236" t="n"/>
      <c r="AT398" s="236" t="n"/>
      <c r="AU398" s="236" t="n"/>
      <c r="AV398" s="236" t="n"/>
      <c r="AW398" s="236" t="n"/>
      <c r="AX398" s="692" t="n"/>
      <c r="AY398" s="692" t="n"/>
      <c r="AZ398" s="692" t="n"/>
      <c r="BA398" s="692" t="n"/>
      <c r="BB398" s="692" t="n"/>
      <c r="BC398" s="692" t="n"/>
      <c r="BD398" s="692" t="n"/>
      <c r="BE398" s="692" t="n"/>
      <c r="BF398" s="692" t="n"/>
      <c r="BG398" s="692" t="n"/>
      <c r="BH398" s="692" t="n"/>
      <c r="BI398" s="692" t="n"/>
      <c r="BJ398" s="692" t="n"/>
      <c r="BK398" s="692" t="n"/>
      <c r="BL398" s="692" t="n"/>
      <c r="BM398" s="692" t="n"/>
      <c r="BN398" s="692" t="n"/>
      <c r="BO398" s="692" t="n"/>
      <c r="BP398" s="692" t="n"/>
      <c r="BQ398" s="692" t="n"/>
    </row>
    <row r="399">
      <c r="A399" s="220" t="n"/>
      <c r="B399" s="211" t="n"/>
      <c r="C399" s="211" t="n"/>
      <c r="D399" s="211" t="n"/>
      <c r="E399" s="221" t="n"/>
      <c r="F399" s="211" t="n"/>
      <c r="G399" s="211" t="n"/>
      <c r="H399" s="211" t="n"/>
      <c r="I399" s="211" t="n"/>
      <c r="J399" s="211" t="n"/>
      <c r="K399" s="211" t="n"/>
      <c r="L399" s="213" t="n"/>
      <c r="M399" s="689" t="n"/>
      <c r="N399" s="689" t="n"/>
      <c r="O399" s="689" t="n"/>
      <c r="P399" s="227" t="n"/>
      <c r="Q399" s="689" t="n"/>
      <c r="R399" s="689" t="n"/>
      <c r="S399" s="689" t="n"/>
      <c r="T399" s="689" t="n"/>
      <c r="U399" s="689" t="n"/>
      <c r="V399" s="689" t="n"/>
      <c r="W399" s="689" t="n"/>
      <c r="X399" s="689" t="n"/>
      <c r="Y399" s="689" t="n"/>
      <c r="Z399" s="689" t="n"/>
      <c r="AA399" s="689" t="n"/>
      <c r="AB399" s="689" t="n"/>
      <c r="AC399" s="689" t="n"/>
      <c r="AD399" s="689" t="n"/>
      <c r="AF399" s="236" t="n"/>
      <c r="AG399" s="236" t="n"/>
      <c r="AH399" s="236" t="n"/>
      <c r="AI399" s="236" t="n"/>
      <c r="AJ399" s="236" t="n"/>
      <c r="AK399" s="236" t="n"/>
      <c r="AL399" s="236" t="n"/>
      <c r="AM399" s="236" t="n"/>
      <c r="AN399" s="236" t="n"/>
      <c r="AO399" s="236" t="n"/>
      <c r="AP399" s="236" t="n"/>
      <c r="AQ399" s="236" t="n"/>
      <c r="AR399" s="236" t="n"/>
      <c r="AS399" s="236" t="n"/>
      <c r="AT399" s="236" t="n"/>
      <c r="AU399" s="236" t="n"/>
      <c r="AV399" s="236" t="n"/>
      <c r="AW399" s="236" t="n"/>
      <c r="AX399" s="692" t="n"/>
      <c r="AY399" s="692" t="n"/>
      <c r="AZ399" s="692" t="n"/>
      <c r="BA399" s="692" t="n"/>
      <c r="BB399" s="692" t="n"/>
      <c r="BC399" s="692" t="n"/>
      <c r="BD399" s="692" t="n"/>
      <c r="BE399" s="692" t="n"/>
      <c r="BF399" s="692" t="n"/>
      <c r="BG399" s="692" t="n"/>
      <c r="BH399" s="692" t="n"/>
      <c r="BI399" s="692" t="n"/>
      <c r="BJ399" s="692" t="n"/>
      <c r="BK399" s="692" t="n"/>
      <c r="BL399" s="692" t="n"/>
      <c r="BM399" s="692" t="n"/>
      <c r="BN399" s="692" t="n"/>
      <c r="BO399" s="692" t="n"/>
      <c r="BP399" s="692" t="n"/>
      <c r="BQ399" s="692" t="n"/>
    </row>
    <row r="400">
      <c r="A400" s="218" t="n"/>
      <c r="B400" s="215" t="n"/>
      <c r="C400" s="215" t="n"/>
      <c r="D400" s="215" t="n"/>
      <c r="E400" s="219" t="n"/>
      <c r="F400" s="215" t="n"/>
      <c r="G400" s="215" t="n"/>
      <c r="H400" s="215" t="n"/>
      <c r="I400" s="215" t="n"/>
      <c r="J400" s="215" t="n"/>
      <c r="K400" s="215" t="n"/>
      <c r="L400" s="217" t="n"/>
      <c r="M400" s="689" t="n"/>
      <c r="N400" s="689" t="n"/>
      <c r="O400" s="689" t="n"/>
      <c r="P400" s="227" t="n"/>
      <c r="Q400" s="689" t="n"/>
      <c r="R400" s="689" t="n"/>
      <c r="S400" s="689" t="n"/>
      <c r="T400" s="689" t="n"/>
      <c r="U400" s="689" t="n"/>
      <c r="V400" s="689" t="n"/>
      <c r="W400" s="689" t="n"/>
      <c r="X400" s="689" t="n"/>
      <c r="Y400" s="689" t="n"/>
      <c r="Z400" s="689" t="n"/>
      <c r="AA400" s="689" t="n"/>
      <c r="AB400" s="689" t="n"/>
      <c r="AC400" s="689" t="n"/>
      <c r="AD400" s="689" t="n"/>
      <c r="AF400" s="236" t="n"/>
      <c r="AG400" s="236" t="n"/>
      <c r="AH400" s="236" t="n"/>
      <c r="AI400" s="236" t="n"/>
      <c r="AJ400" s="236" t="n"/>
      <c r="AK400" s="236" t="n"/>
      <c r="AL400" s="236" t="n"/>
      <c r="AM400" s="236" t="n"/>
      <c r="AN400" s="236" t="n"/>
      <c r="AO400" s="236" t="n"/>
      <c r="AP400" s="236" t="n"/>
      <c r="AQ400" s="236" t="n"/>
      <c r="AR400" s="236" t="n"/>
      <c r="AS400" s="236" t="n"/>
      <c r="AT400" s="236" t="n"/>
      <c r="AU400" s="236" t="n"/>
      <c r="AV400" s="236" t="n"/>
      <c r="AW400" s="236" t="n"/>
      <c r="AX400" s="692" t="n"/>
      <c r="AY400" s="692" t="n"/>
      <c r="AZ400" s="692" t="n"/>
      <c r="BA400" s="692" t="n"/>
      <c r="BB400" s="692" t="n"/>
      <c r="BC400" s="692" t="n"/>
      <c r="BD400" s="692" t="n"/>
      <c r="BE400" s="692" t="n"/>
      <c r="BF400" s="692" t="n"/>
      <c r="BG400" s="692" t="n"/>
      <c r="BH400" s="692" t="n"/>
      <c r="BI400" s="692" t="n"/>
      <c r="BJ400" s="692" t="n"/>
      <c r="BK400" s="692" t="n"/>
      <c r="BL400" s="692" t="n"/>
      <c r="BM400" s="692" t="n"/>
      <c r="BN400" s="692" t="n"/>
      <c r="BO400" s="692" t="n"/>
      <c r="BP400" s="692" t="n"/>
      <c r="BQ400" s="692" t="n"/>
    </row>
    <row r="401">
      <c r="A401" s="220" t="n"/>
      <c r="B401" s="211" t="n"/>
      <c r="C401" s="211" t="n"/>
      <c r="D401" s="211" t="n"/>
      <c r="E401" s="221" t="n"/>
      <c r="F401" s="211" t="n"/>
      <c r="G401" s="211" t="n"/>
      <c r="H401" s="211" t="n"/>
      <c r="I401" s="211" t="n"/>
      <c r="J401" s="211" t="n"/>
      <c r="K401" s="211" t="n"/>
      <c r="L401" s="213" t="n"/>
      <c r="M401" s="689" t="n"/>
      <c r="N401" s="689" t="n"/>
      <c r="O401" s="689" t="n"/>
      <c r="P401" s="227" t="n"/>
      <c r="Q401" s="689" t="n"/>
      <c r="R401" s="689" t="n"/>
      <c r="S401" s="689" t="n"/>
      <c r="T401" s="689" t="n"/>
      <c r="U401" s="689" t="n"/>
      <c r="V401" s="689" t="n"/>
      <c r="W401" s="689" t="n"/>
      <c r="X401" s="689" t="n"/>
      <c r="Y401" s="689" t="n"/>
      <c r="Z401" s="689" t="n"/>
      <c r="AA401" s="689" t="n"/>
      <c r="AB401" s="689" t="n"/>
      <c r="AC401" s="689" t="n"/>
      <c r="AD401" s="689" t="n"/>
      <c r="AF401" s="236" t="n"/>
      <c r="AG401" s="236" t="n"/>
      <c r="AH401" s="236" t="n"/>
      <c r="AI401" s="236" t="n"/>
      <c r="AJ401" s="236" t="n"/>
      <c r="AK401" s="236" t="n"/>
      <c r="AL401" s="236" t="n"/>
      <c r="AM401" s="236" t="n"/>
      <c r="AN401" s="236" t="n"/>
      <c r="AO401" s="236" t="n"/>
      <c r="AP401" s="236" t="n"/>
      <c r="AQ401" s="236" t="n"/>
      <c r="AR401" s="236" t="n"/>
      <c r="AS401" s="236" t="n"/>
      <c r="AT401" s="236" t="n"/>
      <c r="AU401" s="236" t="n"/>
      <c r="AV401" s="236" t="n"/>
      <c r="AW401" s="236" t="n"/>
      <c r="AX401" s="692" t="n"/>
      <c r="AY401" s="692" t="n"/>
      <c r="AZ401" s="692" t="n"/>
      <c r="BA401" s="692" t="n"/>
      <c r="BB401" s="692" t="n"/>
      <c r="BC401" s="692" t="n"/>
      <c r="BD401" s="692" t="n"/>
      <c r="BE401" s="692" t="n"/>
      <c r="BF401" s="692" t="n"/>
      <c r="BG401" s="692" t="n"/>
      <c r="BH401" s="692" t="n"/>
      <c r="BI401" s="692" t="n"/>
      <c r="BJ401" s="692" t="n"/>
      <c r="BK401" s="692" t="n"/>
      <c r="BL401" s="692" t="n"/>
      <c r="BM401" s="692" t="n"/>
      <c r="BN401" s="692" t="n"/>
      <c r="BO401" s="692" t="n"/>
      <c r="BP401" s="692" t="n"/>
      <c r="BQ401" s="692" t="n"/>
    </row>
    <row r="402">
      <c r="A402" s="218" t="n"/>
      <c r="B402" s="215" t="n"/>
      <c r="C402" s="215" t="n"/>
      <c r="D402" s="215" t="n"/>
      <c r="E402" s="219" t="n"/>
      <c r="F402" s="215" t="n"/>
      <c r="G402" s="215" t="n"/>
      <c r="H402" s="215" t="n"/>
      <c r="I402" s="215" t="n"/>
      <c r="J402" s="215" t="n"/>
      <c r="K402" s="215" t="n"/>
      <c r="L402" s="217" t="n"/>
      <c r="M402" s="689" t="n"/>
      <c r="N402" s="689" t="n"/>
      <c r="O402" s="689" t="n"/>
      <c r="P402" s="227" t="n"/>
      <c r="Q402" s="689" t="n"/>
      <c r="R402" s="689" t="n"/>
      <c r="S402" s="689" t="n"/>
      <c r="T402" s="689" t="n"/>
      <c r="U402" s="689" t="n"/>
      <c r="V402" s="689" t="n"/>
      <c r="W402" s="689" t="n"/>
      <c r="X402" s="689" t="n"/>
      <c r="Y402" s="689" t="n"/>
      <c r="Z402" s="689" t="n"/>
      <c r="AA402" s="689" t="n"/>
      <c r="AB402" s="689" t="n"/>
      <c r="AC402" s="689" t="n"/>
      <c r="AD402" s="689" t="n"/>
      <c r="AF402" s="236" t="n"/>
      <c r="AG402" s="236" t="n"/>
      <c r="AH402" s="236" t="n"/>
      <c r="AI402" s="236" t="n"/>
      <c r="AJ402" s="236" t="n"/>
      <c r="AK402" s="236" t="n"/>
      <c r="AL402" s="236" t="n"/>
      <c r="AM402" s="236" t="n"/>
      <c r="AN402" s="236" t="n"/>
      <c r="AO402" s="236" t="n"/>
      <c r="AP402" s="236" t="n"/>
      <c r="AQ402" s="236" t="n"/>
      <c r="AR402" s="236" t="n"/>
      <c r="AS402" s="236" t="n"/>
      <c r="AT402" s="236" t="n"/>
      <c r="AU402" s="236" t="n"/>
      <c r="AV402" s="236" t="n"/>
      <c r="AW402" s="236" t="n"/>
      <c r="AX402" s="692" t="n"/>
      <c r="AY402" s="692" t="n"/>
      <c r="AZ402" s="692" t="n"/>
      <c r="BA402" s="692" t="n"/>
      <c r="BB402" s="692" t="n"/>
      <c r="BC402" s="692" t="n"/>
      <c r="BD402" s="692" t="n"/>
      <c r="BE402" s="692" t="n"/>
      <c r="BF402" s="692" t="n"/>
      <c r="BG402" s="692" t="n"/>
      <c r="BH402" s="692" t="n"/>
      <c r="BI402" s="692" t="n"/>
      <c r="BJ402" s="692" t="n"/>
      <c r="BK402" s="692" t="n"/>
      <c r="BL402" s="692" t="n"/>
      <c r="BM402" s="692" t="n"/>
      <c r="BN402" s="692" t="n"/>
      <c r="BO402" s="692" t="n"/>
      <c r="BP402" s="692" t="n"/>
      <c r="BQ402" s="692" t="n"/>
    </row>
    <row r="403">
      <c r="A403" s="220" t="n"/>
      <c r="B403" s="211" t="n"/>
      <c r="C403" s="211" t="n"/>
      <c r="D403" s="211" t="n"/>
      <c r="E403" s="221" t="n"/>
      <c r="F403" s="211" t="n"/>
      <c r="G403" s="211" t="n"/>
      <c r="H403" s="211" t="n"/>
      <c r="I403" s="211" t="n"/>
      <c r="J403" s="211" t="n"/>
      <c r="K403" s="211" t="n"/>
      <c r="L403" s="213" t="n"/>
      <c r="M403" s="689" t="n"/>
      <c r="N403" s="689" t="n"/>
      <c r="O403" s="689" t="n"/>
      <c r="P403" s="227" t="n"/>
      <c r="Q403" s="689" t="n"/>
      <c r="R403" s="689" t="n"/>
      <c r="S403" s="689" t="n"/>
      <c r="T403" s="689" t="n"/>
      <c r="U403" s="689" t="n"/>
      <c r="V403" s="689" t="n"/>
      <c r="W403" s="689" t="n"/>
      <c r="X403" s="689" t="n"/>
      <c r="Y403" s="689" t="n"/>
      <c r="Z403" s="689" t="n"/>
      <c r="AA403" s="689" t="n"/>
      <c r="AB403" s="689" t="n"/>
      <c r="AC403" s="689" t="n"/>
      <c r="AD403" s="689" t="n"/>
      <c r="AF403" s="236" t="n"/>
      <c r="AG403" s="236" t="n"/>
      <c r="AH403" s="236" t="n"/>
      <c r="AI403" s="236" t="n"/>
      <c r="AJ403" s="236" t="n"/>
      <c r="AK403" s="236" t="n"/>
      <c r="AL403" s="236" t="n"/>
      <c r="AM403" s="236" t="n"/>
      <c r="AN403" s="236" t="n"/>
      <c r="AO403" s="236" t="n"/>
      <c r="AP403" s="236" t="n"/>
      <c r="AQ403" s="236" t="n"/>
      <c r="AR403" s="236" t="n"/>
      <c r="AS403" s="236" t="n"/>
      <c r="AT403" s="236" t="n"/>
      <c r="AU403" s="236" t="n"/>
      <c r="AV403" s="236" t="n"/>
      <c r="AW403" s="236" t="n"/>
      <c r="AX403" s="692" t="n"/>
      <c r="AY403" s="692" t="n"/>
      <c r="AZ403" s="692" t="n"/>
      <c r="BA403" s="692" t="n"/>
      <c r="BB403" s="692" t="n"/>
      <c r="BC403" s="692" t="n"/>
      <c r="BD403" s="692" t="n"/>
      <c r="BE403" s="692" t="n"/>
      <c r="BF403" s="692" t="n"/>
      <c r="BG403" s="692" t="n"/>
      <c r="BH403" s="692" t="n"/>
      <c r="BI403" s="692" t="n"/>
      <c r="BJ403" s="692" t="n"/>
      <c r="BK403" s="692" t="n"/>
      <c r="BL403" s="692" t="n"/>
      <c r="BM403" s="692" t="n"/>
      <c r="BN403" s="692" t="n"/>
      <c r="BO403" s="692" t="n"/>
      <c r="BP403" s="692" t="n"/>
      <c r="BQ403" s="692" t="n"/>
    </row>
    <row r="404">
      <c r="A404" s="218" t="n"/>
      <c r="B404" s="215" t="n"/>
      <c r="C404" s="215" t="n"/>
      <c r="D404" s="215" t="n"/>
      <c r="E404" s="219" t="n"/>
      <c r="F404" s="215" t="n"/>
      <c r="G404" s="215" t="n"/>
      <c r="H404" s="215" t="n"/>
      <c r="I404" s="215" t="n"/>
      <c r="J404" s="215" t="n"/>
      <c r="K404" s="215" t="n"/>
      <c r="L404" s="217" t="n"/>
      <c r="M404" s="689" t="n"/>
      <c r="N404" s="689" t="n"/>
      <c r="O404" s="689" t="n"/>
      <c r="P404" s="227" t="n"/>
      <c r="Q404" s="689" t="n"/>
      <c r="R404" s="689" t="n"/>
      <c r="S404" s="689" t="n"/>
      <c r="T404" s="689" t="n"/>
      <c r="U404" s="689" t="n"/>
      <c r="V404" s="689" t="n"/>
      <c r="W404" s="689" t="n"/>
      <c r="X404" s="689" t="n"/>
      <c r="Y404" s="689" t="n"/>
      <c r="Z404" s="689" t="n"/>
      <c r="AA404" s="689" t="n"/>
      <c r="AB404" s="689" t="n"/>
      <c r="AC404" s="689" t="n"/>
      <c r="AD404" s="689" t="n"/>
      <c r="AF404" s="236" t="n"/>
      <c r="AG404" s="236" t="n"/>
      <c r="AH404" s="236" t="n"/>
      <c r="AI404" s="236" t="n"/>
      <c r="AJ404" s="236" t="n"/>
      <c r="AK404" s="236" t="n"/>
      <c r="AL404" s="236" t="n"/>
      <c r="AM404" s="236" t="n"/>
      <c r="AN404" s="236" t="n"/>
      <c r="AO404" s="236" t="n"/>
      <c r="AP404" s="236" t="n"/>
      <c r="AQ404" s="236" t="n"/>
      <c r="AR404" s="236" t="n"/>
      <c r="AS404" s="236" t="n"/>
      <c r="AT404" s="236" t="n"/>
      <c r="AU404" s="236" t="n"/>
      <c r="AV404" s="236" t="n"/>
      <c r="AW404" s="236" t="n"/>
      <c r="AX404" s="692" t="n"/>
      <c r="AY404" s="692" t="n"/>
      <c r="AZ404" s="692" t="n"/>
      <c r="BA404" s="692" t="n"/>
      <c r="BB404" s="692" t="n"/>
      <c r="BC404" s="692" t="n"/>
      <c r="BD404" s="692" t="n"/>
      <c r="BE404" s="692" t="n"/>
      <c r="BF404" s="692" t="n"/>
      <c r="BG404" s="692" t="n"/>
      <c r="BH404" s="692" t="n"/>
      <c r="BI404" s="692" t="n"/>
      <c r="BJ404" s="692" t="n"/>
      <c r="BK404" s="692" t="n"/>
      <c r="BL404" s="692" t="n"/>
      <c r="BM404" s="692" t="n"/>
      <c r="BN404" s="692" t="n"/>
      <c r="BO404" s="692" t="n"/>
      <c r="BP404" s="692" t="n"/>
      <c r="BQ404" s="692" t="n"/>
    </row>
    <row r="405">
      <c r="A405" s="220" t="n"/>
      <c r="B405" s="211" t="n"/>
      <c r="C405" s="211" t="n"/>
      <c r="D405" s="211" t="n"/>
      <c r="E405" s="221" t="n"/>
      <c r="F405" s="211" t="n"/>
      <c r="G405" s="211" t="n"/>
      <c r="H405" s="211" t="n"/>
      <c r="I405" s="211" t="n"/>
      <c r="J405" s="211" t="n"/>
      <c r="K405" s="211" t="n"/>
      <c r="L405" s="213" t="n"/>
      <c r="M405" s="689" t="n"/>
      <c r="N405" s="689" t="n"/>
      <c r="O405" s="689" t="n"/>
      <c r="P405" s="227" t="n"/>
      <c r="Q405" s="689" t="n"/>
      <c r="R405" s="689" t="n"/>
      <c r="S405" s="689" t="n"/>
      <c r="T405" s="689" t="n"/>
      <c r="U405" s="689" t="n"/>
      <c r="V405" s="689" t="n"/>
      <c r="W405" s="689" t="n"/>
      <c r="X405" s="689" t="n"/>
      <c r="Y405" s="689" t="n"/>
      <c r="Z405" s="689" t="n"/>
      <c r="AA405" s="689" t="n"/>
      <c r="AB405" s="689" t="n"/>
      <c r="AC405" s="689" t="n"/>
      <c r="AD405" s="689" t="n"/>
      <c r="AF405" s="236" t="n"/>
      <c r="AG405" s="236" t="n"/>
      <c r="AH405" s="236" t="n"/>
      <c r="AI405" s="236" t="n"/>
      <c r="AJ405" s="236" t="n"/>
      <c r="AK405" s="236" t="n"/>
      <c r="AL405" s="236" t="n"/>
      <c r="AM405" s="236" t="n"/>
      <c r="AN405" s="236" t="n"/>
      <c r="AO405" s="236" t="n"/>
      <c r="AP405" s="236" t="n"/>
      <c r="AQ405" s="236" t="n"/>
      <c r="AR405" s="236" t="n"/>
      <c r="AS405" s="236" t="n"/>
      <c r="AT405" s="236" t="n"/>
      <c r="AU405" s="236" t="n"/>
      <c r="AV405" s="236" t="n"/>
      <c r="AW405" s="236" t="n"/>
      <c r="AX405" s="692" t="n"/>
      <c r="AY405" s="692" t="n"/>
      <c r="AZ405" s="692" t="n"/>
      <c r="BA405" s="692" t="n"/>
      <c r="BB405" s="692" t="n"/>
      <c r="BC405" s="692" t="n"/>
      <c r="BD405" s="692" t="n"/>
      <c r="BE405" s="692" t="n"/>
      <c r="BF405" s="692" t="n"/>
      <c r="BG405" s="692" t="n"/>
      <c r="BH405" s="692" t="n"/>
      <c r="BI405" s="692" t="n"/>
      <c r="BJ405" s="692" t="n"/>
      <c r="BK405" s="692" t="n"/>
      <c r="BL405" s="692" t="n"/>
      <c r="BM405" s="692" t="n"/>
      <c r="BN405" s="692" t="n"/>
      <c r="BO405" s="692" t="n"/>
      <c r="BP405" s="692" t="n"/>
      <c r="BQ405" s="692" t="n"/>
    </row>
    <row r="406">
      <c r="A406" s="218" t="n"/>
      <c r="B406" s="215" t="n"/>
      <c r="C406" s="215" t="n"/>
      <c r="D406" s="215" t="n"/>
      <c r="E406" s="219" t="n"/>
      <c r="F406" s="215" t="n"/>
      <c r="G406" s="215" t="n"/>
      <c r="H406" s="215" t="n"/>
      <c r="I406" s="215" t="n"/>
      <c r="J406" s="215" t="n"/>
      <c r="K406" s="215" t="n"/>
      <c r="L406" s="217" t="n"/>
      <c r="M406" s="689" t="n"/>
      <c r="N406" s="689" t="n"/>
      <c r="O406" s="689" t="n"/>
      <c r="P406" s="227" t="n"/>
      <c r="Q406" s="689" t="n"/>
      <c r="R406" s="689" t="n"/>
      <c r="S406" s="689" t="n"/>
      <c r="T406" s="689" t="n"/>
      <c r="U406" s="689" t="n"/>
      <c r="V406" s="689" t="n"/>
      <c r="W406" s="689" t="n"/>
      <c r="X406" s="689" t="n"/>
      <c r="Y406" s="689" t="n"/>
      <c r="Z406" s="689" t="n"/>
      <c r="AA406" s="689" t="n"/>
      <c r="AB406" s="689" t="n"/>
      <c r="AC406" s="689" t="n"/>
      <c r="AD406" s="689" t="n"/>
      <c r="AF406" s="236" t="n"/>
      <c r="AG406" s="236" t="n"/>
      <c r="AH406" s="236" t="n"/>
      <c r="AI406" s="236" t="n"/>
      <c r="AJ406" s="236" t="n"/>
      <c r="AK406" s="236" t="n"/>
      <c r="AL406" s="236" t="n"/>
      <c r="AM406" s="236" t="n"/>
      <c r="AN406" s="236" t="n"/>
      <c r="AO406" s="236" t="n"/>
      <c r="AP406" s="236" t="n"/>
      <c r="AQ406" s="236" t="n"/>
      <c r="AR406" s="236" t="n"/>
      <c r="AS406" s="236" t="n"/>
      <c r="AT406" s="236" t="n"/>
      <c r="AU406" s="236" t="n"/>
      <c r="AV406" s="236" t="n"/>
      <c r="AW406" s="236" t="n"/>
      <c r="AX406" s="692" t="n"/>
      <c r="AY406" s="692" t="n"/>
      <c r="AZ406" s="692" t="n"/>
      <c r="BA406" s="692" t="n"/>
      <c r="BB406" s="692" t="n"/>
      <c r="BC406" s="692" t="n"/>
      <c r="BD406" s="692" t="n"/>
      <c r="BE406" s="692" t="n"/>
      <c r="BF406" s="692" t="n"/>
      <c r="BG406" s="692" t="n"/>
      <c r="BH406" s="692" t="n"/>
      <c r="BI406" s="692" t="n"/>
      <c r="BJ406" s="692" t="n"/>
      <c r="BK406" s="692" t="n"/>
      <c r="BL406" s="692" t="n"/>
      <c r="BM406" s="692" t="n"/>
      <c r="BN406" s="692" t="n"/>
      <c r="BO406" s="692" t="n"/>
      <c r="BP406" s="692" t="n"/>
      <c r="BQ406" s="692" t="n"/>
    </row>
    <row r="407">
      <c r="A407" s="220" t="n"/>
      <c r="B407" s="211" t="n"/>
      <c r="C407" s="211" t="n"/>
      <c r="D407" s="211" t="n"/>
      <c r="E407" s="221" t="n"/>
      <c r="F407" s="211" t="n"/>
      <c r="G407" s="211" t="n"/>
      <c r="H407" s="211" t="n"/>
      <c r="I407" s="211" t="n"/>
      <c r="J407" s="211" t="n"/>
      <c r="K407" s="211" t="n"/>
      <c r="L407" s="213" t="n"/>
      <c r="M407" s="689" t="n"/>
      <c r="N407" s="689" t="n"/>
      <c r="O407" s="689" t="n"/>
      <c r="P407" s="227" t="n"/>
      <c r="Q407" s="689" t="n"/>
      <c r="R407" s="689" t="n"/>
      <c r="S407" s="689" t="n"/>
      <c r="T407" s="689" t="n"/>
      <c r="U407" s="689" t="n"/>
      <c r="V407" s="689" t="n"/>
      <c r="W407" s="689" t="n"/>
      <c r="X407" s="689" t="n"/>
      <c r="Y407" s="689" t="n"/>
      <c r="Z407" s="689" t="n"/>
      <c r="AA407" s="689" t="n"/>
      <c r="AB407" s="689" t="n"/>
      <c r="AC407" s="689" t="n"/>
      <c r="AD407" s="689" t="n"/>
      <c r="AF407" s="236" t="n"/>
      <c r="AG407" s="236" t="n"/>
      <c r="AH407" s="236" t="n"/>
      <c r="AI407" s="236" t="n"/>
      <c r="AJ407" s="236" t="n"/>
      <c r="AK407" s="236" t="n"/>
      <c r="AL407" s="236" t="n"/>
      <c r="AM407" s="236" t="n"/>
      <c r="AN407" s="236" t="n"/>
      <c r="AO407" s="236" t="n"/>
      <c r="AP407" s="236" t="n"/>
      <c r="AQ407" s="236" t="n"/>
      <c r="AR407" s="236" t="n"/>
      <c r="AS407" s="236" t="n"/>
      <c r="AT407" s="236" t="n"/>
      <c r="AU407" s="236" t="n"/>
      <c r="AV407" s="236" t="n"/>
      <c r="AW407" s="236" t="n"/>
      <c r="AX407" s="692" t="n"/>
      <c r="AY407" s="692" t="n"/>
      <c r="AZ407" s="692" t="n"/>
      <c r="BA407" s="692" t="n"/>
      <c r="BB407" s="692" t="n"/>
      <c r="BC407" s="692" t="n"/>
      <c r="BD407" s="692" t="n"/>
      <c r="BE407" s="692" t="n"/>
      <c r="BF407" s="692" t="n"/>
      <c r="BG407" s="692" t="n"/>
      <c r="BH407" s="692" t="n"/>
      <c r="BI407" s="692" t="n"/>
      <c r="BJ407" s="692" t="n"/>
      <c r="BK407" s="692" t="n"/>
      <c r="BL407" s="692" t="n"/>
      <c r="BM407" s="692" t="n"/>
      <c r="BN407" s="692" t="n"/>
      <c r="BO407" s="692" t="n"/>
      <c r="BP407" s="692" t="n"/>
      <c r="BQ407" s="692" t="n"/>
    </row>
    <row r="408">
      <c r="A408" s="218" t="n"/>
      <c r="B408" s="215" t="n"/>
      <c r="C408" s="215" t="n"/>
      <c r="D408" s="215" t="n"/>
      <c r="E408" s="219" t="n"/>
      <c r="F408" s="215" t="n"/>
      <c r="G408" s="215" t="n"/>
      <c r="H408" s="215" t="n"/>
      <c r="I408" s="215" t="n"/>
      <c r="J408" s="215" t="n"/>
      <c r="K408" s="215" t="n"/>
      <c r="L408" s="217" t="n"/>
      <c r="M408" s="689" t="n"/>
      <c r="N408" s="689" t="n"/>
      <c r="O408" s="689" t="n"/>
      <c r="P408" s="227" t="n"/>
      <c r="Q408" s="689" t="n"/>
      <c r="R408" s="689" t="n"/>
      <c r="S408" s="689" t="n"/>
      <c r="T408" s="689" t="n"/>
      <c r="U408" s="689" t="n"/>
      <c r="V408" s="689" t="n"/>
      <c r="W408" s="689" t="n"/>
      <c r="X408" s="689" t="n"/>
      <c r="Y408" s="689" t="n"/>
      <c r="Z408" s="689" t="n"/>
      <c r="AA408" s="689" t="n"/>
      <c r="AB408" s="689" t="n"/>
      <c r="AC408" s="689" t="n"/>
      <c r="AD408" s="689" t="n"/>
      <c r="AF408" s="236" t="n"/>
      <c r="AG408" s="236" t="n"/>
      <c r="AH408" s="236" t="n"/>
      <c r="AI408" s="236" t="n"/>
      <c r="AJ408" s="236" t="n"/>
      <c r="AK408" s="236" t="n"/>
      <c r="AL408" s="236" t="n"/>
      <c r="AM408" s="236" t="n"/>
      <c r="AN408" s="236" t="n"/>
      <c r="AO408" s="236" t="n"/>
      <c r="AP408" s="236" t="n"/>
      <c r="AQ408" s="236" t="n"/>
      <c r="AR408" s="236" t="n"/>
      <c r="AS408" s="236" t="n"/>
      <c r="AT408" s="236" t="n"/>
      <c r="AU408" s="236" t="n"/>
      <c r="AV408" s="236" t="n"/>
      <c r="AW408" s="236" t="n"/>
      <c r="AX408" s="692" t="n"/>
      <c r="AY408" s="692" t="n"/>
      <c r="AZ408" s="692" t="n"/>
      <c r="BA408" s="692" t="n"/>
      <c r="BB408" s="692" t="n"/>
      <c r="BC408" s="692" t="n"/>
      <c r="BD408" s="692" t="n"/>
      <c r="BE408" s="692" t="n"/>
      <c r="BF408" s="692" t="n"/>
      <c r="BG408" s="692" t="n"/>
      <c r="BH408" s="692" t="n"/>
      <c r="BI408" s="692" t="n"/>
      <c r="BJ408" s="692" t="n"/>
      <c r="BK408" s="692" t="n"/>
      <c r="BL408" s="692" t="n"/>
      <c r="BM408" s="692" t="n"/>
      <c r="BN408" s="692" t="n"/>
      <c r="BO408" s="692" t="n"/>
      <c r="BP408" s="692" t="n"/>
    </row>
    <row r="409">
      <c r="A409" s="220" t="n"/>
      <c r="B409" s="211" t="n"/>
      <c r="C409" s="211" t="n"/>
      <c r="D409" s="211" t="n"/>
      <c r="E409" s="221" t="n"/>
      <c r="F409" s="211" t="n"/>
      <c r="G409" s="211" t="n"/>
      <c r="H409" s="211" t="n"/>
      <c r="I409" s="211" t="n"/>
      <c r="J409" s="211" t="n"/>
      <c r="K409" s="211" t="n"/>
      <c r="L409" s="213" t="n"/>
      <c r="M409" s="689" t="n"/>
      <c r="N409" s="689" t="n"/>
      <c r="O409" s="689" t="n"/>
      <c r="P409" s="227" t="n"/>
      <c r="Q409" s="689" t="n"/>
      <c r="R409" s="689" t="n"/>
      <c r="S409" s="689" t="n"/>
      <c r="T409" s="689" t="n"/>
      <c r="U409" s="689" t="n"/>
      <c r="V409" s="689" t="n"/>
      <c r="W409" s="689" t="n"/>
      <c r="X409" s="689" t="n"/>
      <c r="Y409" s="689" t="n"/>
      <c r="Z409" s="689" t="n"/>
      <c r="AA409" s="689" t="n"/>
      <c r="AB409" s="689" t="n"/>
      <c r="AC409" s="689" t="n"/>
      <c r="AD409" s="689" t="n"/>
      <c r="AF409" s="236" t="n"/>
      <c r="AG409" s="236" t="n"/>
      <c r="AH409" s="236" t="n"/>
      <c r="AI409" s="236" t="n"/>
      <c r="AJ409" s="236" t="n"/>
      <c r="AK409" s="236" t="n"/>
      <c r="AL409" s="236" t="n"/>
      <c r="AM409" s="236" t="n"/>
      <c r="AN409" s="236" t="n"/>
      <c r="AO409" s="236" t="n"/>
      <c r="AP409" s="236" t="n"/>
      <c r="AQ409" s="236" t="n"/>
      <c r="AR409" s="236" t="n"/>
      <c r="AS409" s="236" t="n"/>
      <c r="AT409" s="236" t="n"/>
      <c r="AU409" s="236" t="n"/>
      <c r="AV409" s="236" t="n"/>
      <c r="AW409" s="236" t="n"/>
      <c r="AX409" s="692" t="n"/>
      <c r="AY409" s="692" t="n"/>
      <c r="AZ409" s="692" t="n"/>
      <c r="BA409" s="692" t="n"/>
      <c r="BB409" s="692" t="n"/>
      <c r="BC409" s="692" t="n"/>
      <c r="BD409" s="692" t="n"/>
      <c r="BE409" s="692" t="n"/>
      <c r="BF409" s="692" t="n"/>
      <c r="BG409" s="692" t="n"/>
      <c r="BH409" s="692" t="n"/>
    </row>
    <row r="410">
      <c r="A410" s="218" t="n"/>
      <c r="B410" s="215" t="n"/>
      <c r="C410" s="215" t="n"/>
      <c r="D410" s="215" t="n"/>
      <c r="E410" s="219" t="n"/>
      <c r="F410" s="215" t="n"/>
      <c r="G410" s="215" t="n"/>
      <c r="H410" s="215" t="n"/>
      <c r="I410" s="215" t="n"/>
      <c r="J410" s="215" t="n"/>
      <c r="K410" s="215" t="n"/>
      <c r="L410" s="217" t="n"/>
      <c r="M410" s="689" t="n"/>
      <c r="N410" s="689" t="n"/>
      <c r="O410" s="689" t="n"/>
      <c r="P410" s="227" t="n"/>
      <c r="Q410" s="689" t="n"/>
      <c r="R410" s="689" t="n"/>
      <c r="S410" s="689" t="n"/>
      <c r="T410" s="689" t="n"/>
      <c r="U410" s="689" t="n"/>
      <c r="V410" s="689" t="n"/>
      <c r="W410" s="689" t="n"/>
      <c r="X410" s="689" t="n"/>
      <c r="Y410" s="689" t="n"/>
      <c r="Z410" s="689" t="n"/>
      <c r="AA410" s="689" t="n"/>
      <c r="AB410" s="689" t="n"/>
      <c r="AC410" s="689" t="n"/>
      <c r="AD410" s="689" t="n"/>
      <c r="AF410" s="236" t="n"/>
      <c r="AG410" s="236" t="n"/>
      <c r="AH410" s="236" t="n"/>
      <c r="AI410" s="236" t="n"/>
      <c r="AJ410" s="236" t="n"/>
      <c r="AK410" s="236" t="n"/>
      <c r="AL410" s="236" t="n"/>
      <c r="AM410" s="236" t="n"/>
      <c r="AN410" s="236" t="n"/>
      <c r="AO410" s="236" t="n"/>
      <c r="AP410" s="236" t="n"/>
      <c r="AQ410" s="236" t="n"/>
      <c r="AR410" s="236" t="n"/>
      <c r="AS410" s="236" t="n"/>
      <c r="AT410" s="236" t="n"/>
      <c r="AU410" s="236" t="n"/>
      <c r="AV410" s="236" t="n"/>
      <c r="AW410" s="236" t="n"/>
      <c r="AX410" s="692" t="n"/>
      <c r="AY410" s="692" t="n"/>
      <c r="AZ410" s="692" t="n"/>
      <c r="BA410" s="692" t="n"/>
    </row>
    <row r="411">
      <c r="A411" s="220" t="n"/>
      <c r="B411" s="211" t="n"/>
      <c r="C411" s="211" t="n"/>
      <c r="D411" s="211" t="n"/>
      <c r="E411" s="221" t="n"/>
      <c r="F411" s="211" t="n"/>
      <c r="G411" s="211" t="n"/>
      <c r="H411" s="211" t="n"/>
      <c r="I411" s="211" t="n"/>
      <c r="J411" s="211" t="n"/>
      <c r="K411" s="211" t="n"/>
      <c r="L411" s="213" t="n"/>
      <c r="M411" s="689" t="n"/>
      <c r="N411" s="689" t="n"/>
      <c r="O411" s="689" t="n"/>
      <c r="P411" s="227" t="n"/>
      <c r="Q411" s="689" t="n"/>
      <c r="R411" s="689" t="n"/>
      <c r="S411" s="689" t="n"/>
      <c r="T411" s="689" t="n"/>
      <c r="U411" s="689" t="n"/>
      <c r="V411" s="689" t="n"/>
      <c r="W411" s="689" t="n"/>
      <c r="X411" s="689" t="n"/>
      <c r="Y411" s="689" t="n"/>
      <c r="Z411" s="689" t="n"/>
      <c r="AA411" s="689" t="n"/>
      <c r="AB411" s="689" t="n"/>
      <c r="AC411" s="689" t="n"/>
      <c r="AD411" s="689" t="n"/>
      <c r="AF411" s="236" t="n"/>
      <c r="AG411" s="236" t="n"/>
      <c r="AH411" s="236" t="n"/>
      <c r="AI411" s="236" t="n"/>
      <c r="AJ411" s="236" t="n"/>
      <c r="AK411" s="236" t="n"/>
      <c r="AL411" s="236" t="n"/>
      <c r="AM411" s="236" t="n"/>
      <c r="AN411" s="236" t="n"/>
      <c r="AO411" s="236" t="n"/>
      <c r="AP411" s="236" t="n"/>
      <c r="AQ411" s="236" t="n"/>
      <c r="AR411" s="236" t="n"/>
      <c r="AS411" s="236" t="n"/>
      <c r="AT411" s="236" t="n"/>
      <c r="AU411" s="236" t="n"/>
      <c r="AV411" s="236" t="n"/>
      <c r="AW411" s="236" t="n"/>
      <c r="AX411" s="692" t="n"/>
      <c r="AY411" s="692" t="n"/>
      <c r="AZ411" s="692" t="n"/>
      <c r="BA411" s="692" t="n"/>
    </row>
    <row r="412">
      <c r="A412" s="218" t="n"/>
      <c r="B412" s="215" t="n"/>
      <c r="C412" s="215" t="n"/>
      <c r="D412" s="215" t="n"/>
      <c r="E412" s="219" t="n"/>
      <c r="F412" s="215" t="n"/>
      <c r="G412" s="215" t="n"/>
      <c r="H412" s="215" t="n"/>
      <c r="I412" s="215" t="n"/>
      <c r="J412" s="215" t="n"/>
      <c r="K412" s="215" t="n"/>
      <c r="L412" s="217" t="n"/>
      <c r="M412" s="689" t="n"/>
      <c r="N412" s="689" t="n"/>
      <c r="O412" s="689" t="n"/>
      <c r="P412" s="227" t="n"/>
      <c r="Q412" s="689" t="n"/>
      <c r="R412" s="689" t="n"/>
      <c r="S412" s="689" t="n"/>
      <c r="T412" s="689" t="n"/>
      <c r="U412" s="689" t="n"/>
      <c r="V412" s="689" t="n"/>
      <c r="W412" s="689" t="n"/>
      <c r="X412" s="689" t="n"/>
      <c r="Y412" s="689" t="n"/>
      <c r="Z412" s="689" t="n"/>
      <c r="AA412" s="689" t="n"/>
      <c r="AB412" s="689" t="n"/>
      <c r="AC412" s="689" t="n"/>
      <c r="AD412" s="689" t="n"/>
      <c r="AF412" s="236" t="n"/>
      <c r="AG412" s="236" t="n"/>
      <c r="AH412" s="236" t="n"/>
      <c r="AI412" s="236" t="n"/>
      <c r="AJ412" s="236" t="n"/>
      <c r="AK412" s="236" t="n"/>
      <c r="AL412" s="236" t="n"/>
      <c r="AM412" s="236" t="n"/>
      <c r="AN412" s="236" t="n"/>
      <c r="AO412" s="236" t="n"/>
      <c r="AP412" s="236" t="n"/>
      <c r="AQ412" s="236" t="n"/>
      <c r="AR412" s="236" t="n"/>
      <c r="AS412" s="236" t="n"/>
      <c r="AT412" s="236" t="n"/>
      <c r="AU412" s="236" t="n"/>
      <c r="AV412" s="236" t="n"/>
      <c r="AW412" s="236" t="n"/>
      <c r="AX412" s="692" t="n"/>
      <c r="AY412" s="692" t="n"/>
      <c r="AZ412" s="692" t="n"/>
      <c r="BA412" s="692" t="n"/>
    </row>
    <row r="413">
      <c r="A413" s="220" t="n"/>
      <c r="B413" s="211" t="n"/>
      <c r="C413" s="211" t="n"/>
      <c r="D413" s="211" t="n"/>
      <c r="E413" s="221" t="n"/>
      <c r="F413" s="211" t="n"/>
      <c r="G413" s="211" t="n"/>
      <c r="H413" s="211" t="n"/>
      <c r="I413" s="211" t="n"/>
      <c r="J413" s="211" t="n"/>
      <c r="K413" s="211" t="n"/>
      <c r="L413" s="213" t="n"/>
      <c r="M413" s="689" t="n"/>
      <c r="N413" s="689" t="n"/>
      <c r="O413" s="689" t="n"/>
      <c r="P413" s="227" t="n"/>
      <c r="Q413" s="689" t="n"/>
      <c r="R413" s="689" t="n"/>
      <c r="S413" s="689" t="n"/>
      <c r="T413" s="689" t="n"/>
      <c r="U413" s="689" t="n"/>
      <c r="V413" s="689" t="n"/>
      <c r="W413" s="689" t="n"/>
      <c r="X413" s="689" t="n"/>
      <c r="Y413" s="689" t="n"/>
      <c r="Z413" s="689" t="n"/>
      <c r="AA413" s="689" t="n"/>
      <c r="AB413" s="689" t="n"/>
      <c r="AC413" s="689" t="n"/>
      <c r="AD413" s="689" t="n"/>
      <c r="AF413" s="236" t="n"/>
      <c r="AG413" s="236" t="n"/>
      <c r="AH413" s="236" t="n"/>
      <c r="AI413" s="236" t="n"/>
      <c r="AJ413" s="236" t="n"/>
      <c r="AK413" s="236" t="n"/>
      <c r="AL413" s="236" t="n"/>
      <c r="AM413" s="236" t="n"/>
      <c r="AN413" s="236" t="n"/>
      <c r="AO413" s="236" t="n"/>
      <c r="AP413" s="236" t="n"/>
      <c r="AQ413" s="236" t="n"/>
      <c r="AR413" s="236" t="n"/>
      <c r="AS413" s="236" t="n"/>
      <c r="AT413" s="236" t="n"/>
      <c r="AU413" s="236" t="n"/>
      <c r="AV413" s="236" t="n"/>
      <c r="AW413" s="236" t="n"/>
      <c r="AX413" s="692" t="n"/>
      <c r="AY413" s="692" t="n"/>
      <c r="AZ413" s="692" t="n"/>
      <c r="BA413" s="692" t="n"/>
    </row>
    <row r="414">
      <c r="A414" s="218" t="n"/>
      <c r="B414" s="215" t="n"/>
      <c r="C414" s="215" t="n"/>
      <c r="D414" s="215" t="n"/>
      <c r="E414" s="219" t="n"/>
      <c r="F414" s="215" t="n"/>
      <c r="G414" s="215" t="n"/>
      <c r="H414" s="215" t="n"/>
      <c r="I414" s="215" t="n"/>
      <c r="J414" s="215" t="n"/>
      <c r="K414" s="215" t="n"/>
      <c r="L414" s="217" t="n"/>
      <c r="M414" s="689" t="n"/>
      <c r="N414" s="689" t="n"/>
      <c r="O414" s="689" t="n"/>
      <c r="P414" s="227" t="n"/>
      <c r="Q414" s="689" t="n"/>
      <c r="R414" s="689" t="n"/>
      <c r="S414" s="689" t="n"/>
      <c r="T414" s="689" t="n"/>
      <c r="U414" s="689" t="n"/>
      <c r="V414" s="689" t="n"/>
      <c r="W414" s="689" t="n"/>
      <c r="X414" s="689" t="n"/>
      <c r="Y414" s="689" t="n"/>
      <c r="Z414" s="689" t="n"/>
      <c r="AA414" s="689" t="n"/>
      <c r="AB414" s="689" t="n"/>
      <c r="AC414" s="689" t="n"/>
      <c r="AD414" s="689" t="n"/>
      <c r="AF414" s="236" t="n"/>
      <c r="AG414" s="236" t="n"/>
      <c r="AH414" s="236" t="n"/>
      <c r="AI414" s="236" t="n"/>
      <c r="AJ414" s="236" t="n"/>
      <c r="AK414" s="236" t="n"/>
      <c r="AL414" s="236" t="n"/>
      <c r="AM414" s="236" t="n"/>
      <c r="AN414" s="236" t="n"/>
      <c r="AO414" s="236" t="n"/>
      <c r="AP414" s="236" t="n"/>
      <c r="AQ414" s="236" t="n"/>
      <c r="AR414" s="236" t="n"/>
      <c r="AS414" s="236" t="n"/>
      <c r="AT414" s="236" t="n"/>
      <c r="AU414" s="236" t="n"/>
      <c r="AV414" s="236" t="n"/>
      <c r="AW414" s="236" t="n"/>
      <c r="AX414" s="692" t="n"/>
      <c r="AY414" s="692" t="n"/>
      <c r="AZ414" s="692" t="n"/>
      <c r="BA414" s="692" t="n"/>
    </row>
    <row r="415">
      <c r="A415" s="220" t="n"/>
      <c r="B415" s="211" t="n"/>
      <c r="C415" s="211" t="n"/>
      <c r="D415" s="211" t="n"/>
      <c r="E415" s="221" t="n"/>
      <c r="F415" s="211" t="n"/>
      <c r="G415" s="211" t="n"/>
      <c r="H415" s="211" t="n"/>
      <c r="I415" s="211" t="n"/>
      <c r="J415" s="211" t="n"/>
      <c r="K415" s="211" t="n"/>
      <c r="L415" s="213" t="n"/>
      <c r="M415" s="689" t="n"/>
      <c r="N415" s="689" t="n"/>
      <c r="O415" s="689" t="n"/>
      <c r="P415" s="227" t="n"/>
      <c r="Q415" s="689" t="n"/>
      <c r="R415" s="689" t="n"/>
      <c r="S415" s="689" t="n"/>
      <c r="T415" s="689" t="n"/>
      <c r="U415" s="689" t="n"/>
      <c r="V415" s="689" t="n"/>
      <c r="W415" s="689" t="n"/>
      <c r="X415" s="689" t="n"/>
      <c r="Y415" s="689" t="n"/>
      <c r="Z415" s="689" t="n"/>
      <c r="AA415" s="689" t="n"/>
      <c r="AB415" s="689" t="n"/>
      <c r="AC415" s="689" t="n"/>
      <c r="AD415" s="689" t="n"/>
      <c r="AF415" s="236" t="n"/>
      <c r="AG415" s="236" t="n"/>
      <c r="AH415" s="236" t="n"/>
      <c r="AI415" s="236" t="n"/>
      <c r="AJ415" s="236" t="n"/>
      <c r="AK415" s="236" t="n"/>
      <c r="AL415" s="236" t="n"/>
      <c r="AM415" s="236" t="n"/>
      <c r="AN415" s="236" t="n"/>
      <c r="AO415" s="236" t="n"/>
      <c r="AP415" s="236" t="n"/>
      <c r="AQ415" s="236" t="n"/>
      <c r="AR415" s="236" t="n"/>
      <c r="AS415" s="236" t="n"/>
      <c r="AT415" s="236" t="n"/>
      <c r="AU415" s="236" t="n"/>
      <c r="AV415" s="236" t="n"/>
      <c r="AW415" s="236" t="n"/>
      <c r="AX415" s="692" t="n"/>
      <c r="AY415" s="692" t="n"/>
      <c r="AZ415" s="692" t="n"/>
      <c r="BA415" s="692" t="n"/>
    </row>
    <row r="416">
      <c r="A416" s="218" t="n"/>
      <c r="B416" s="215" t="n"/>
      <c r="C416" s="215" t="n"/>
      <c r="D416" s="215" t="n"/>
      <c r="E416" s="219" t="n"/>
      <c r="F416" s="215" t="n"/>
      <c r="G416" s="215" t="n"/>
      <c r="H416" s="215" t="n"/>
      <c r="I416" s="215" t="n"/>
      <c r="J416" s="215" t="n"/>
      <c r="K416" s="215" t="n"/>
      <c r="L416" s="217" t="n"/>
      <c r="M416" s="689" t="n"/>
      <c r="N416" s="689" t="n"/>
      <c r="O416" s="689" t="n"/>
      <c r="P416" s="227" t="n"/>
      <c r="Q416" s="689" t="n"/>
      <c r="R416" s="689" t="n"/>
      <c r="S416" s="689" t="n"/>
      <c r="T416" s="689" t="n"/>
      <c r="U416" s="689" t="n"/>
      <c r="V416" s="689" t="n"/>
      <c r="W416" s="689" t="n"/>
      <c r="X416" s="689" t="n"/>
      <c r="Y416" s="689" t="n"/>
      <c r="Z416" s="689" t="n"/>
      <c r="AA416" s="689" t="n"/>
      <c r="AB416" s="689" t="n"/>
      <c r="AC416" s="689" t="n"/>
      <c r="AD416" s="689" t="n"/>
      <c r="AF416" s="236" t="n"/>
      <c r="AG416" s="236" t="n"/>
      <c r="AH416" s="236" t="n"/>
      <c r="AI416" s="236" t="n"/>
      <c r="AJ416" s="236" t="n"/>
      <c r="AK416" s="236" t="n"/>
      <c r="AL416" s="236" t="n"/>
      <c r="AM416" s="236" t="n"/>
      <c r="AN416" s="236" t="n"/>
      <c r="AO416" s="236" t="n"/>
      <c r="AP416" s="236" t="n"/>
      <c r="AQ416" s="236" t="n"/>
      <c r="AR416" s="236" t="n"/>
      <c r="AS416" s="236" t="n"/>
      <c r="AT416" s="236" t="n"/>
      <c r="AU416" s="236" t="n"/>
      <c r="AV416" s="236" t="n"/>
      <c r="AW416" s="236" t="n"/>
      <c r="AX416" s="692" t="n"/>
      <c r="AY416" s="692" t="n"/>
      <c r="AZ416" s="692" t="n"/>
      <c r="BA416" s="692" t="n"/>
    </row>
    <row r="417">
      <c r="A417" s="220" t="n"/>
      <c r="B417" s="211" t="n"/>
      <c r="C417" s="211" t="n"/>
      <c r="D417" s="211" t="n"/>
      <c r="E417" s="221" t="n"/>
      <c r="F417" s="211" t="n"/>
      <c r="G417" s="211" t="n"/>
      <c r="H417" s="211" t="n"/>
      <c r="I417" s="211" t="n"/>
      <c r="J417" s="211" t="n"/>
      <c r="K417" s="211" t="n"/>
      <c r="L417" s="213" t="n"/>
      <c r="M417" s="689" t="n"/>
      <c r="N417" s="689" t="n"/>
      <c r="O417" s="689" t="n"/>
      <c r="P417" s="227" t="n"/>
      <c r="Q417" s="689" t="n"/>
      <c r="R417" s="689" t="n"/>
      <c r="S417" s="689" t="n"/>
      <c r="T417" s="689" t="n"/>
      <c r="U417" s="689" t="n"/>
      <c r="V417" s="689" t="n"/>
      <c r="W417" s="689" t="n"/>
      <c r="X417" s="689" t="n"/>
      <c r="Y417" s="689" t="n"/>
      <c r="Z417" s="689" t="n"/>
      <c r="AA417" s="689" t="n"/>
      <c r="AB417" s="689" t="n"/>
      <c r="AC417" s="689" t="n"/>
      <c r="AD417" s="689" t="n"/>
      <c r="AF417" s="236" t="n"/>
      <c r="AG417" s="236" t="n"/>
      <c r="AH417" s="236" t="n"/>
      <c r="AI417" s="236" t="n"/>
      <c r="AJ417" s="236" t="n"/>
      <c r="AK417" s="236" t="n"/>
      <c r="AL417" s="236" t="n"/>
      <c r="AM417" s="236" t="n"/>
      <c r="AN417" s="236" t="n"/>
      <c r="AO417" s="236" t="n"/>
      <c r="AP417" s="236" t="n"/>
      <c r="AQ417" s="236" t="n"/>
      <c r="AR417" s="236" t="n"/>
      <c r="AS417" s="236" t="n"/>
      <c r="AT417" s="236" t="n"/>
      <c r="AU417" s="236" t="n"/>
      <c r="AV417" s="236" t="n"/>
      <c r="AW417" s="236" t="n"/>
      <c r="AX417" s="692" t="n"/>
      <c r="AY417" s="692" t="n"/>
      <c r="AZ417" s="692" t="n"/>
      <c r="BA417" s="692" t="n"/>
    </row>
    <row r="418">
      <c r="A418" s="218" t="n"/>
      <c r="B418" s="215" t="n"/>
      <c r="C418" s="215" t="n"/>
      <c r="D418" s="215" t="n"/>
      <c r="E418" s="219" t="n"/>
      <c r="F418" s="215" t="n"/>
      <c r="G418" s="215" t="n"/>
      <c r="H418" s="215" t="n"/>
      <c r="I418" s="215" t="n"/>
      <c r="J418" s="215" t="n"/>
      <c r="K418" s="215" t="n"/>
      <c r="L418" s="217" t="n"/>
      <c r="M418" s="689" t="n"/>
      <c r="N418" s="689" t="n"/>
      <c r="O418" s="689" t="n"/>
      <c r="P418" s="227" t="n"/>
      <c r="Q418" s="689" t="n"/>
      <c r="R418" s="689" t="n"/>
      <c r="S418" s="689" t="n"/>
      <c r="T418" s="689" t="n"/>
      <c r="U418" s="689" t="n"/>
      <c r="V418" s="689" t="n"/>
      <c r="W418" s="689" t="n"/>
      <c r="X418" s="689" t="n"/>
      <c r="Y418" s="689" t="n"/>
      <c r="Z418" s="689" t="n"/>
      <c r="AA418" s="689" t="n"/>
      <c r="AB418" s="689" t="n"/>
      <c r="AC418" s="689" t="n"/>
      <c r="AD418" s="689" t="n"/>
      <c r="AF418" s="236" t="n"/>
      <c r="AG418" s="236" t="n"/>
      <c r="AH418" s="236" t="n"/>
      <c r="AI418" s="236" t="n"/>
      <c r="AJ418" s="236" t="n"/>
      <c r="AK418" s="236" t="n"/>
      <c r="AL418" s="236" t="n"/>
      <c r="AM418" s="236" t="n"/>
      <c r="AN418" s="236" t="n"/>
      <c r="AO418" s="236" t="n"/>
      <c r="AP418" s="236" t="n"/>
      <c r="AQ418" s="236" t="n"/>
      <c r="AR418" s="236" t="n"/>
      <c r="AS418" s="236" t="n"/>
      <c r="AT418" s="236" t="n"/>
      <c r="AU418" s="236" t="n"/>
      <c r="AV418" s="236" t="n"/>
      <c r="AW418" s="236" t="n"/>
      <c r="AX418" s="692" t="n"/>
      <c r="AY418" s="692" t="n"/>
      <c r="AZ418" s="692" t="n"/>
      <c r="BA418" s="692" t="n"/>
    </row>
    <row r="419">
      <c r="A419" s="220" t="n"/>
      <c r="B419" s="211" t="n"/>
      <c r="C419" s="211" t="n"/>
      <c r="D419" s="211" t="n"/>
      <c r="E419" s="221" t="n"/>
      <c r="F419" s="211" t="n"/>
      <c r="G419" s="211" t="n"/>
      <c r="H419" s="211" t="n"/>
      <c r="I419" s="211" t="n"/>
      <c r="J419" s="211" t="n"/>
      <c r="K419" s="211" t="n"/>
      <c r="L419" s="213" t="n"/>
      <c r="M419" s="689" t="n"/>
      <c r="N419" s="689" t="n"/>
      <c r="O419" s="689" t="n"/>
      <c r="P419" s="227" t="n"/>
      <c r="Q419" s="689" t="n"/>
      <c r="R419" s="689" t="n"/>
      <c r="S419" s="689" t="n"/>
      <c r="T419" s="689" t="n"/>
      <c r="U419" s="689" t="n"/>
      <c r="V419" s="689" t="n"/>
      <c r="W419" s="689" t="n"/>
      <c r="X419" s="689" t="n"/>
      <c r="Y419" s="689" t="n"/>
      <c r="Z419" s="689" t="n"/>
      <c r="AA419" s="689" t="n"/>
      <c r="AB419" s="689" t="n"/>
      <c r="AC419" s="689" t="n"/>
      <c r="AD419" s="689" t="n"/>
      <c r="AF419" s="236" t="n"/>
      <c r="AG419" s="236" t="n"/>
      <c r="AH419" s="236" t="n"/>
      <c r="AI419" s="236" t="n"/>
      <c r="AJ419" s="236" t="n"/>
      <c r="AK419" s="236" t="n"/>
      <c r="AL419" s="236" t="n"/>
      <c r="AM419" s="236" t="n"/>
      <c r="AN419" s="236" t="n"/>
      <c r="AO419" s="236" t="n"/>
      <c r="AP419" s="236" t="n"/>
      <c r="AQ419" s="236" t="n"/>
      <c r="AR419" s="236" t="n"/>
      <c r="AS419" s="236" t="n"/>
      <c r="AT419" s="236" t="n"/>
      <c r="AU419" s="236" t="n"/>
      <c r="AV419" s="236" t="n"/>
      <c r="AW419" s="236" t="n"/>
      <c r="AX419" s="692" t="n"/>
      <c r="AY419" s="692" t="n"/>
      <c r="AZ419" s="692" t="n"/>
      <c r="BA419" s="692" t="n"/>
    </row>
    <row r="420">
      <c r="A420" s="218" t="n"/>
      <c r="B420" s="215" t="n"/>
      <c r="C420" s="215" t="n"/>
      <c r="D420" s="215" t="n"/>
      <c r="E420" s="219" t="n"/>
      <c r="F420" s="215" t="n"/>
      <c r="G420" s="215" t="n"/>
      <c r="H420" s="215" t="n"/>
      <c r="I420" s="215" t="n"/>
      <c r="J420" s="215" t="n"/>
      <c r="K420" s="215" t="n"/>
      <c r="L420" s="217" t="n"/>
      <c r="M420" s="689" t="n"/>
      <c r="N420" s="689" t="n"/>
      <c r="O420" s="689" t="n"/>
      <c r="P420" s="227" t="n"/>
      <c r="Q420" s="689" t="n"/>
      <c r="R420" s="689" t="n"/>
      <c r="S420" s="689" t="n"/>
      <c r="T420" s="689" t="n"/>
      <c r="U420" s="689" t="n"/>
      <c r="V420" s="689" t="n"/>
      <c r="W420" s="689" t="n"/>
      <c r="X420" s="689" t="n"/>
      <c r="Y420" s="689" t="n"/>
      <c r="Z420" s="689" t="n"/>
      <c r="AA420" s="689" t="n"/>
      <c r="AB420" s="689" t="n"/>
      <c r="AC420" s="689" t="n"/>
      <c r="AD420" s="689" t="n"/>
      <c r="AF420" s="236" t="n"/>
      <c r="AG420" s="236" t="n"/>
      <c r="AH420" s="236" t="n"/>
      <c r="AI420" s="236" t="n"/>
      <c r="AJ420" s="236" t="n"/>
      <c r="AK420" s="236" t="n"/>
      <c r="AL420" s="236" t="n"/>
      <c r="AM420" s="236" t="n"/>
      <c r="AN420" s="236" t="n"/>
      <c r="AO420" s="236" t="n"/>
      <c r="AP420" s="236" t="n"/>
      <c r="AQ420" s="236" t="n"/>
      <c r="AR420" s="236" t="n"/>
      <c r="AS420" s="236" t="n"/>
      <c r="AT420" s="236" t="n"/>
      <c r="AU420" s="236" t="n"/>
      <c r="AV420" s="236" t="n"/>
      <c r="AW420" s="236" t="n"/>
      <c r="AX420" s="692" t="n"/>
      <c r="AY420" s="692" t="n"/>
      <c r="AZ420" s="692" t="n"/>
      <c r="BA420" s="692" t="n"/>
    </row>
    <row r="421">
      <c r="A421" s="220" t="n"/>
      <c r="B421" s="211" t="n"/>
      <c r="C421" s="211" t="n"/>
      <c r="D421" s="211" t="n"/>
      <c r="E421" s="221" t="n"/>
      <c r="F421" s="211" t="n"/>
      <c r="G421" s="211" t="n"/>
      <c r="H421" s="211" t="n"/>
      <c r="I421" s="211" t="n"/>
      <c r="J421" s="211" t="n"/>
      <c r="K421" s="211" t="n"/>
      <c r="L421" s="213" t="n"/>
      <c r="M421" s="689" t="n"/>
      <c r="N421" s="689" t="n"/>
      <c r="O421" s="689" t="n"/>
      <c r="P421" s="227" t="n"/>
      <c r="Q421" s="689" t="n"/>
      <c r="R421" s="689" t="n"/>
      <c r="S421" s="689" t="n"/>
      <c r="T421" s="689" t="n"/>
      <c r="U421" s="689" t="n"/>
      <c r="V421" s="689" t="n"/>
      <c r="W421" s="689" t="n"/>
      <c r="X421" s="689" t="n"/>
      <c r="Y421" s="689" t="n"/>
      <c r="Z421" s="689" t="n"/>
      <c r="AA421" s="689" t="n"/>
      <c r="AB421" s="689" t="n"/>
      <c r="AC421" s="689" t="n"/>
      <c r="AD421" s="689" t="n"/>
      <c r="AF421" s="236" t="n"/>
      <c r="AG421" s="236" t="n"/>
      <c r="AH421" s="236" t="n"/>
      <c r="AI421" s="236" t="n"/>
      <c r="AJ421" s="236" t="n"/>
      <c r="AK421" s="236" t="n"/>
      <c r="AL421" s="236" t="n"/>
      <c r="AM421" s="236" t="n"/>
      <c r="AN421" s="236" t="n"/>
      <c r="AO421" s="236" t="n"/>
      <c r="AP421" s="236" t="n"/>
      <c r="AQ421" s="236" t="n"/>
      <c r="AR421" s="236" t="n"/>
      <c r="AS421" s="236" t="n"/>
      <c r="AT421" s="236" t="n"/>
      <c r="AU421" s="236" t="n"/>
      <c r="AV421" s="236" t="n"/>
      <c r="AW421" s="236" t="n"/>
      <c r="AX421" s="692" t="n"/>
      <c r="AY421" s="692" t="n"/>
      <c r="AZ421" s="692" t="n"/>
      <c r="BA421" s="692" t="n"/>
    </row>
    <row r="422">
      <c r="A422" s="218" t="n"/>
      <c r="B422" s="215" t="n"/>
      <c r="C422" s="215" t="n"/>
      <c r="D422" s="215" t="n"/>
      <c r="E422" s="219" t="n"/>
      <c r="F422" s="215" t="n"/>
      <c r="G422" s="215" t="n"/>
      <c r="H422" s="215" t="n"/>
      <c r="I422" s="215" t="n"/>
      <c r="J422" s="215" t="n"/>
      <c r="K422" s="215" t="n"/>
      <c r="L422" s="217" t="n"/>
      <c r="M422" s="689" t="n"/>
      <c r="N422" s="689" t="n"/>
      <c r="O422" s="689" t="n"/>
      <c r="P422" s="227" t="n"/>
      <c r="Q422" s="689" t="n"/>
      <c r="R422" s="689" t="n"/>
      <c r="S422" s="689" t="n"/>
      <c r="T422" s="689" t="n"/>
      <c r="U422" s="689" t="n"/>
      <c r="V422" s="689" t="n"/>
      <c r="W422" s="689" t="n"/>
      <c r="X422" s="689" t="n"/>
      <c r="Y422" s="689" t="n"/>
      <c r="Z422" s="689" t="n"/>
      <c r="AA422" s="689" t="n"/>
      <c r="AB422" s="689" t="n"/>
      <c r="AC422" s="689" t="n"/>
      <c r="AD422" s="689" t="n"/>
      <c r="AF422" s="236" t="n"/>
      <c r="AG422" s="236" t="n"/>
      <c r="AH422" s="236" t="n"/>
      <c r="AI422" s="236" t="n"/>
      <c r="AJ422" s="236" t="n"/>
      <c r="AK422" s="236" t="n"/>
      <c r="AL422" s="236" t="n"/>
      <c r="AM422" s="236" t="n"/>
      <c r="AN422" s="236" t="n"/>
      <c r="AO422" s="236" t="n"/>
      <c r="AP422" s="236" t="n"/>
      <c r="AQ422" s="236" t="n"/>
      <c r="AR422" s="236" t="n"/>
      <c r="AS422" s="236" t="n"/>
      <c r="AT422" s="236" t="n"/>
      <c r="AU422" s="236" t="n"/>
      <c r="AV422" s="236" t="n"/>
      <c r="AW422" s="236" t="n"/>
      <c r="AX422" s="692" t="n"/>
      <c r="AY422" s="692" t="n"/>
      <c r="AZ422" s="692" t="n"/>
      <c r="BA422" s="692" t="n"/>
    </row>
    <row r="423">
      <c r="A423" s="220" t="n"/>
      <c r="B423" s="211" t="n"/>
      <c r="C423" s="211" t="n"/>
      <c r="D423" s="211" t="n"/>
      <c r="E423" s="221" t="n"/>
      <c r="F423" s="211" t="n"/>
      <c r="G423" s="211" t="n"/>
      <c r="H423" s="211" t="n"/>
      <c r="I423" s="211" t="n"/>
      <c r="J423" s="211" t="n"/>
      <c r="K423" s="211" t="n"/>
      <c r="L423" s="213" t="n"/>
      <c r="M423" s="689" t="n"/>
      <c r="N423" s="689" t="n"/>
      <c r="O423" s="689" t="n"/>
      <c r="P423" s="227" t="n"/>
      <c r="Q423" s="689" t="n"/>
      <c r="R423" s="689" t="n"/>
      <c r="S423" s="689" t="n"/>
      <c r="T423" s="689" t="n"/>
      <c r="U423" s="689" t="n"/>
      <c r="V423" s="689" t="n"/>
      <c r="W423" s="689" t="n"/>
      <c r="X423" s="689" t="n"/>
      <c r="Y423" s="689" t="n"/>
      <c r="Z423" s="689" t="n"/>
      <c r="AA423" s="689" t="n"/>
      <c r="AB423" s="689" t="n"/>
      <c r="AC423" s="689" t="n"/>
      <c r="AD423" s="689" t="n"/>
      <c r="AF423" s="236" t="n"/>
      <c r="AG423" s="236" t="n"/>
      <c r="AH423" s="236" t="n"/>
      <c r="AI423" s="236" t="n"/>
      <c r="AJ423" s="236" t="n"/>
      <c r="AK423" s="236" t="n"/>
      <c r="AL423" s="236" t="n"/>
      <c r="AM423" s="236" t="n"/>
      <c r="AN423" s="236" t="n"/>
      <c r="AO423" s="236" t="n"/>
      <c r="AP423" s="236" t="n"/>
      <c r="AQ423" s="236" t="n"/>
      <c r="AR423" s="236" t="n"/>
      <c r="AS423" s="236" t="n"/>
      <c r="AT423" s="236" t="n"/>
      <c r="AU423" s="236" t="n"/>
      <c r="AV423" s="236" t="n"/>
      <c r="AW423" s="236" t="n"/>
      <c r="AX423" s="692" t="n"/>
      <c r="AY423" s="692" t="n"/>
      <c r="AZ423" s="692" t="n"/>
      <c r="BA423" s="692" t="n"/>
    </row>
    <row r="424">
      <c r="A424" s="218" t="n"/>
      <c r="B424" s="215" t="n"/>
      <c r="C424" s="215" t="n"/>
      <c r="D424" s="215" t="n"/>
      <c r="E424" s="219" t="n"/>
      <c r="F424" s="215" t="n"/>
      <c r="G424" s="215" t="n"/>
      <c r="H424" s="215" t="n"/>
      <c r="I424" s="215" t="n"/>
      <c r="J424" s="215" t="n"/>
      <c r="K424" s="215" t="n"/>
      <c r="L424" s="217" t="n"/>
      <c r="M424" s="689" t="n"/>
      <c r="N424" s="689" t="n"/>
      <c r="O424" s="689" t="n"/>
      <c r="P424" s="227" t="n"/>
      <c r="Q424" s="689" t="n"/>
      <c r="R424" s="689" t="n"/>
      <c r="S424" s="689" t="n"/>
      <c r="T424" s="689" t="n"/>
      <c r="U424" s="689" t="n"/>
      <c r="V424" s="689" t="n"/>
      <c r="W424" s="689" t="n"/>
      <c r="X424" s="689" t="n"/>
      <c r="Y424" s="689" t="n"/>
      <c r="Z424" s="689" t="n"/>
      <c r="AA424" s="689" t="n"/>
      <c r="AB424" s="689" t="n"/>
      <c r="AC424" s="689" t="n"/>
      <c r="AD424" s="689" t="n"/>
      <c r="AF424" s="236" t="n"/>
      <c r="AG424" s="236" t="n"/>
      <c r="AH424" s="236" t="n"/>
      <c r="AI424" s="236" t="n"/>
      <c r="AJ424" s="236" t="n"/>
      <c r="AK424" s="236" t="n"/>
      <c r="AL424" s="236" t="n"/>
      <c r="AM424" s="236" t="n"/>
      <c r="AN424" s="236" t="n"/>
      <c r="AO424" s="236" t="n"/>
      <c r="AP424" s="236" t="n"/>
      <c r="AQ424" s="236" t="n"/>
      <c r="AR424" s="236" t="n"/>
      <c r="AS424" s="236" t="n"/>
      <c r="AT424" s="236" t="n"/>
      <c r="AU424" s="236" t="n"/>
      <c r="AV424" s="236" t="n"/>
      <c r="AW424" s="236" t="n"/>
      <c r="AX424" s="692" t="n"/>
      <c r="AY424" s="692" t="n"/>
      <c r="AZ424" s="692" t="n"/>
      <c r="BA424" s="692" t="n"/>
    </row>
    <row r="425">
      <c r="A425" s="220" t="n"/>
      <c r="B425" s="211" t="n"/>
      <c r="C425" s="211" t="n"/>
      <c r="D425" s="211" t="n"/>
      <c r="E425" s="221" t="n"/>
      <c r="F425" s="211" t="n"/>
      <c r="G425" s="211" t="n"/>
      <c r="H425" s="211" t="n"/>
      <c r="I425" s="211" t="n"/>
      <c r="J425" s="211" t="n"/>
      <c r="K425" s="211" t="n"/>
      <c r="L425" s="213" t="n"/>
      <c r="M425" s="689" t="n"/>
      <c r="N425" s="689" t="n"/>
      <c r="O425" s="689" t="n"/>
      <c r="P425" s="227" t="n"/>
      <c r="Q425" s="689" t="n"/>
      <c r="R425" s="689" t="n"/>
      <c r="S425" s="689" t="n"/>
      <c r="T425" s="689" t="n"/>
      <c r="U425" s="689" t="n"/>
      <c r="V425" s="689" t="n"/>
      <c r="W425" s="689" t="n"/>
      <c r="X425" s="689" t="n"/>
      <c r="Y425" s="689" t="n"/>
      <c r="Z425" s="689" t="n"/>
      <c r="AA425" s="689" t="n"/>
      <c r="AB425" s="689" t="n"/>
      <c r="AC425" s="689" t="n"/>
      <c r="AD425" s="689" t="n"/>
      <c r="AF425" s="236" t="n"/>
      <c r="AG425" s="236" t="n"/>
      <c r="AH425" s="236" t="n"/>
      <c r="AI425" s="236" t="n"/>
      <c r="AJ425" s="236" t="n"/>
      <c r="AK425" s="236" t="n"/>
      <c r="AL425" s="236" t="n"/>
      <c r="AM425" s="236" t="n"/>
      <c r="AN425" s="236" t="n"/>
      <c r="AO425" s="236" t="n"/>
      <c r="AP425" s="236" t="n"/>
      <c r="AQ425" s="236" t="n"/>
      <c r="AR425" s="236" t="n"/>
      <c r="AS425" s="236" t="n"/>
      <c r="AT425" s="236" t="n"/>
      <c r="AU425" s="236" t="n"/>
      <c r="AV425" s="236" t="n"/>
      <c r="AW425" s="236" t="n"/>
      <c r="AX425" s="692" t="n"/>
      <c r="AY425" s="692" t="n"/>
      <c r="AZ425" s="692" t="n"/>
      <c r="BA425" s="692" t="n"/>
      <c r="BB425" s="692" t="n"/>
      <c r="BC425" s="692" t="n"/>
      <c r="BD425" s="692" t="n"/>
      <c r="BE425" s="692" t="n"/>
      <c r="BF425" s="692" t="n"/>
      <c r="BG425" s="692" t="n"/>
      <c r="BH425" s="692" t="n"/>
      <c r="BI425" s="692" t="n"/>
      <c r="BJ425" s="692" t="n"/>
      <c r="BK425" s="692" t="n"/>
      <c r="BL425" s="692" t="n"/>
      <c r="BM425" s="692" t="n"/>
      <c r="BN425" s="692" t="n"/>
      <c r="BO425" s="692" t="n"/>
      <c r="BP425" s="692" t="n"/>
    </row>
    <row r="426">
      <c r="A426" s="218" t="n"/>
      <c r="B426" s="215" t="n"/>
      <c r="C426" s="215" t="n"/>
      <c r="D426" s="215" t="n"/>
      <c r="E426" s="219" t="n"/>
      <c r="F426" s="215" t="n"/>
      <c r="G426" s="215" t="n"/>
      <c r="H426" s="215" t="n"/>
      <c r="I426" s="215" t="n"/>
      <c r="J426" s="215" t="n"/>
      <c r="K426" s="215" t="n"/>
      <c r="L426" s="217" t="n"/>
      <c r="M426" s="689" t="n"/>
      <c r="N426" s="689" t="n"/>
      <c r="O426" s="689" t="n"/>
      <c r="P426" s="227" t="n"/>
      <c r="Q426" s="689" t="n"/>
      <c r="R426" s="689" t="n"/>
      <c r="S426" s="689" t="n"/>
      <c r="T426" s="689" t="n"/>
      <c r="U426" s="689" t="n"/>
      <c r="V426" s="689" t="n"/>
      <c r="W426" s="689" t="n"/>
      <c r="X426" s="689" t="n"/>
      <c r="Y426" s="689" t="n"/>
      <c r="Z426" s="689" t="n"/>
      <c r="AA426" s="689" t="n"/>
      <c r="AB426" s="689" t="n"/>
      <c r="AC426" s="689" t="n"/>
      <c r="AD426" s="689" t="n"/>
      <c r="AF426" s="236" t="n"/>
      <c r="AG426" s="236" t="n"/>
      <c r="AH426" s="236" t="n"/>
      <c r="AI426" s="236" t="n"/>
      <c r="AJ426" s="236" t="n"/>
      <c r="AK426" s="236" t="n"/>
      <c r="AL426" s="236" t="n"/>
      <c r="AM426" s="236" t="n"/>
      <c r="AN426" s="236" t="n"/>
      <c r="AO426" s="236" t="n"/>
      <c r="AP426" s="236" t="n"/>
      <c r="AQ426" s="236" t="n"/>
      <c r="AR426" s="236" t="n"/>
      <c r="AS426" s="236" t="n"/>
      <c r="AT426" s="236" t="n"/>
      <c r="AU426" s="236" t="n"/>
      <c r="AV426" s="236" t="n"/>
      <c r="AW426" s="236" t="n"/>
      <c r="AX426" s="692" t="n"/>
      <c r="AY426" s="692" t="n"/>
      <c r="AZ426" s="692" t="n"/>
      <c r="BA426" s="692" t="n"/>
      <c r="BB426" s="692" t="n"/>
      <c r="BC426" s="692" t="n"/>
      <c r="BD426" s="692" t="n"/>
      <c r="BE426" s="692" t="n"/>
      <c r="BF426" s="692" t="n"/>
      <c r="BG426" s="692" t="n"/>
      <c r="BH426" s="692" t="n"/>
      <c r="BI426" s="692" t="n"/>
      <c r="BJ426" s="692" t="n"/>
      <c r="BK426" s="692" t="n"/>
      <c r="BL426" s="692" t="n"/>
      <c r="BM426" s="692" t="n"/>
      <c r="BN426" s="692" t="n"/>
      <c r="BO426" s="692" t="n"/>
      <c r="BP426" s="692" t="n"/>
      <c r="BQ426" s="692" t="n"/>
    </row>
    <row r="427">
      <c r="A427" s="220" t="n"/>
      <c r="B427" s="211" t="n"/>
      <c r="C427" s="211" t="n"/>
      <c r="D427" s="211" t="n"/>
      <c r="E427" s="221" t="n"/>
      <c r="F427" s="211" t="n"/>
      <c r="G427" s="211" t="n"/>
      <c r="H427" s="211" t="n"/>
      <c r="I427" s="211" t="n"/>
      <c r="J427" s="211" t="n"/>
      <c r="K427" s="211" t="n"/>
      <c r="L427" s="213" t="n"/>
      <c r="M427" s="689" t="n"/>
      <c r="N427" s="689" t="n"/>
      <c r="O427" s="689" t="n"/>
      <c r="P427" s="227" t="n"/>
      <c r="Q427" s="689" t="n"/>
      <c r="R427" s="689" t="n"/>
      <c r="S427" s="689" t="n"/>
      <c r="T427" s="689" t="n"/>
      <c r="U427" s="689" t="n"/>
      <c r="V427" s="689" t="n"/>
      <c r="W427" s="689" t="n"/>
      <c r="X427" s="689" t="n"/>
      <c r="Y427" s="689" t="n"/>
      <c r="Z427" s="689" t="n"/>
      <c r="AA427" s="689" t="n"/>
      <c r="AB427" s="689" t="n"/>
      <c r="AC427" s="689" t="n"/>
      <c r="AD427" s="689" t="n"/>
      <c r="AF427" s="236" t="n"/>
      <c r="AG427" s="236" t="n"/>
      <c r="AH427" s="236" t="n"/>
      <c r="AI427" s="236" t="n"/>
      <c r="AJ427" s="236" t="n"/>
      <c r="AK427" s="236" t="n"/>
      <c r="AL427" s="236" t="n"/>
      <c r="AM427" s="236" t="n"/>
      <c r="AN427" s="236" t="n"/>
      <c r="AO427" s="236" t="n"/>
      <c r="AP427" s="236" t="n"/>
      <c r="AQ427" s="236" t="n"/>
      <c r="AR427" s="236" t="n"/>
      <c r="AS427" s="236" t="n"/>
      <c r="AT427" s="236" t="n"/>
      <c r="AU427" s="236" t="n"/>
      <c r="AV427" s="236" t="n"/>
      <c r="AW427" s="236" t="n"/>
      <c r="AX427" s="692" t="n"/>
      <c r="AY427" s="692" t="n"/>
      <c r="AZ427" s="692" t="n"/>
      <c r="BA427" s="692" t="n"/>
      <c r="BB427" s="692" t="n"/>
      <c r="BC427" s="692" t="n"/>
      <c r="BD427" s="692" t="n"/>
      <c r="BE427" s="692" t="n"/>
      <c r="BF427" s="692" t="n"/>
      <c r="BG427" s="692" t="n"/>
      <c r="BH427" s="692" t="n"/>
      <c r="BI427" s="692" t="n"/>
      <c r="BJ427" s="692" t="n"/>
      <c r="BK427" s="692" t="n"/>
      <c r="BL427" s="692" t="n"/>
      <c r="BM427" s="692" t="n"/>
      <c r="BN427" s="692" t="n"/>
      <c r="BO427" s="692" t="n"/>
      <c r="BP427" s="692" t="n"/>
      <c r="BQ427" s="692" t="n"/>
    </row>
    <row r="428">
      <c r="A428" s="218" t="n"/>
      <c r="B428" s="215" t="n"/>
      <c r="C428" s="215" t="n"/>
      <c r="D428" s="215" t="n"/>
      <c r="E428" s="219" t="n"/>
      <c r="F428" s="215" t="n"/>
      <c r="G428" s="215" t="n"/>
      <c r="H428" s="215" t="n"/>
      <c r="I428" s="215" t="n"/>
      <c r="J428" s="215" t="n"/>
      <c r="K428" s="215" t="n"/>
      <c r="L428" s="217" t="n"/>
      <c r="M428" s="689" t="n"/>
      <c r="N428" s="689" t="n"/>
      <c r="O428" s="689" t="n"/>
      <c r="P428" s="227" t="n"/>
      <c r="Q428" s="689" t="n"/>
      <c r="R428" s="689" t="n"/>
      <c r="S428" s="689" t="n"/>
      <c r="T428" s="689" t="n"/>
      <c r="U428" s="689" t="n"/>
      <c r="V428" s="689" t="n"/>
      <c r="W428" s="689" t="n"/>
      <c r="X428" s="689" t="n"/>
      <c r="Y428" s="689" t="n"/>
      <c r="Z428" s="689" t="n"/>
      <c r="AA428" s="689" t="n"/>
      <c r="AB428" s="689" t="n"/>
      <c r="AC428" s="689" t="n"/>
      <c r="AD428" s="689" t="n"/>
      <c r="AF428" s="236" t="n"/>
      <c r="AG428" s="236" t="n"/>
      <c r="AH428" s="236" t="n"/>
      <c r="AI428" s="236" t="n"/>
      <c r="AJ428" s="236" t="n"/>
      <c r="AK428" s="236" t="n"/>
      <c r="AL428" s="236" t="n"/>
      <c r="AM428" s="236" t="n"/>
      <c r="AN428" s="236" t="n"/>
      <c r="AO428" s="236" t="n"/>
      <c r="AP428" s="236" t="n"/>
      <c r="AQ428" s="236" t="n"/>
      <c r="AR428" s="236" t="n"/>
      <c r="AS428" s="236" t="n"/>
      <c r="AT428" s="236" t="n"/>
      <c r="AU428" s="236" t="n"/>
      <c r="AV428" s="236" t="n"/>
      <c r="AW428" s="236" t="n"/>
      <c r="AX428" s="692" t="n"/>
      <c r="AY428" s="692" t="n"/>
      <c r="AZ428" s="692" t="n"/>
      <c r="BA428" s="692" t="n"/>
      <c r="BB428" s="692" t="n"/>
      <c r="BC428" s="692" t="n"/>
      <c r="BD428" s="692" t="n"/>
      <c r="BE428" s="692" t="n"/>
      <c r="BF428" s="692" t="n"/>
      <c r="BG428" s="692" t="n"/>
      <c r="BH428" s="692" t="n"/>
      <c r="BI428" s="692" t="n"/>
      <c r="BJ428" s="692" t="n"/>
      <c r="BK428" s="692" t="n"/>
      <c r="BL428" s="692" t="n"/>
      <c r="BM428" s="692" t="n"/>
      <c r="BN428" s="692" t="n"/>
      <c r="BO428" s="692" t="n"/>
      <c r="BP428" s="692" t="n"/>
      <c r="BQ428" s="692" t="n"/>
    </row>
    <row r="429">
      <c r="A429" s="220" t="n"/>
      <c r="B429" s="211" t="n"/>
      <c r="C429" s="211" t="n"/>
      <c r="D429" s="211" t="n"/>
      <c r="E429" s="221" t="n"/>
      <c r="F429" s="211" t="n"/>
      <c r="G429" s="211" t="n"/>
      <c r="H429" s="211" t="n"/>
      <c r="I429" s="211" t="n"/>
      <c r="J429" s="211" t="n"/>
      <c r="K429" s="211" t="n"/>
      <c r="L429" s="213" t="n"/>
      <c r="M429" s="689" t="n"/>
      <c r="N429" s="689" t="n"/>
      <c r="O429" s="689" t="n"/>
      <c r="P429" s="227" t="n"/>
      <c r="Q429" s="689" t="n"/>
      <c r="R429" s="689" t="n"/>
      <c r="S429" s="689" t="n"/>
      <c r="T429" s="689" t="n"/>
      <c r="U429" s="689" t="n"/>
      <c r="V429" s="689" t="n"/>
      <c r="W429" s="689" t="n"/>
      <c r="X429" s="689" t="n"/>
      <c r="Y429" s="689" t="n"/>
      <c r="Z429" s="689" t="n"/>
      <c r="AA429" s="689" t="n"/>
      <c r="AB429" s="689" t="n"/>
      <c r="AC429" s="689" t="n"/>
      <c r="AD429" s="689" t="n"/>
      <c r="AF429" s="236" t="n"/>
      <c r="AG429" s="236" t="n"/>
      <c r="AH429" s="236" t="n"/>
      <c r="AI429" s="236" t="n"/>
      <c r="AJ429" s="236" t="n"/>
      <c r="AK429" s="236" t="n"/>
      <c r="AL429" s="236" t="n"/>
      <c r="AM429" s="236" t="n"/>
      <c r="AN429" s="236" t="n"/>
      <c r="AO429" s="236" t="n"/>
      <c r="AP429" s="236" t="n"/>
      <c r="AQ429" s="236" t="n"/>
      <c r="AR429" s="236" t="n"/>
      <c r="AS429" s="236" t="n"/>
      <c r="AT429" s="236" t="n"/>
      <c r="AU429" s="236" t="n"/>
      <c r="AV429" s="236" t="n"/>
      <c r="AW429" s="236" t="n"/>
      <c r="AX429" s="692" t="n"/>
      <c r="AY429" s="692" t="n"/>
      <c r="AZ429" s="692" t="n"/>
      <c r="BA429" s="692" t="n"/>
      <c r="BB429" s="692" t="n"/>
      <c r="BC429" s="692" t="n"/>
      <c r="BD429" s="692" t="n"/>
      <c r="BE429" s="692" t="n"/>
      <c r="BF429" s="692" t="n"/>
      <c r="BG429" s="692" t="n"/>
      <c r="BH429" s="692" t="n"/>
      <c r="BI429" s="692" t="n"/>
      <c r="BJ429" s="692" t="n"/>
      <c r="BK429" s="692" t="n"/>
      <c r="BL429" s="692" t="n"/>
      <c r="BM429" s="692" t="n"/>
      <c r="BN429" s="692" t="n"/>
      <c r="BO429" s="692" t="n"/>
      <c r="BP429" s="692" t="n"/>
      <c r="BQ429" s="692" t="n"/>
    </row>
    <row r="430">
      <c r="A430" s="218" t="n"/>
      <c r="B430" s="215" t="n"/>
      <c r="C430" s="215" t="n"/>
      <c r="D430" s="215" t="n"/>
      <c r="E430" s="219" t="n"/>
      <c r="F430" s="215" t="n"/>
      <c r="G430" s="215" t="n"/>
      <c r="H430" s="215" t="n"/>
      <c r="I430" s="215" t="n"/>
      <c r="J430" s="215" t="n"/>
      <c r="K430" s="215" t="n"/>
      <c r="L430" s="217" t="n"/>
      <c r="M430" s="689" t="n"/>
      <c r="N430" s="689" t="n"/>
      <c r="O430" s="689" t="n"/>
      <c r="P430" s="227" t="n"/>
      <c r="Q430" s="689" t="n"/>
      <c r="R430" s="689" t="n"/>
      <c r="S430" s="689" t="n"/>
      <c r="T430" s="689" t="n"/>
      <c r="U430" s="689" t="n"/>
      <c r="V430" s="689" t="n"/>
      <c r="W430" s="689" t="n"/>
      <c r="X430" s="689" t="n"/>
      <c r="Y430" s="689" t="n"/>
      <c r="Z430" s="689" t="n"/>
      <c r="AA430" s="689" t="n"/>
      <c r="AB430" s="689" t="n"/>
      <c r="AC430" s="689" t="n"/>
      <c r="AD430" s="689" t="n"/>
      <c r="AF430" s="236" t="n"/>
      <c r="AG430" s="236" t="n"/>
      <c r="AH430" s="236" t="n"/>
      <c r="AI430" s="236" t="n"/>
      <c r="AJ430" s="236" t="n"/>
      <c r="AK430" s="236" t="n"/>
      <c r="AL430" s="236" t="n"/>
      <c r="AM430" s="236" t="n"/>
      <c r="AN430" s="236" t="n"/>
      <c r="AO430" s="236" t="n"/>
      <c r="AP430" s="236" t="n"/>
      <c r="AQ430" s="236" t="n"/>
      <c r="AR430" s="236" t="n"/>
      <c r="AS430" s="236" t="n"/>
      <c r="AT430" s="236" t="n"/>
      <c r="AU430" s="236" t="n"/>
      <c r="AV430" s="236" t="n"/>
      <c r="AW430" s="236" t="n"/>
      <c r="AX430" s="692" t="n"/>
      <c r="AY430" s="692" t="n"/>
      <c r="AZ430" s="692" t="n"/>
      <c r="BA430" s="692" t="n"/>
      <c r="BB430" s="692" t="n"/>
      <c r="BC430" s="692" t="n"/>
      <c r="BD430" s="692" t="n"/>
      <c r="BE430" s="692" t="n"/>
      <c r="BF430" s="692" t="n"/>
      <c r="BG430" s="692" t="n"/>
      <c r="BH430" s="692" t="n"/>
      <c r="BI430" s="692" t="n"/>
      <c r="BJ430" s="692" t="n"/>
      <c r="BK430" s="692" t="n"/>
      <c r="BL430" s="692" t="n"/>
      <c r="BM430" s="692" t="n"/>
      <c r="BN430" s="692" t="n"/>
      <c r="BO430" s="692" t="n"/>
      <c r="BP430" s="692" t="n"/>
      <c r="BQ430" s="692" t="n"/>
    </row>
    <row r="431">
      <c r="A431" s="220" t="n"/>
      <c r="B431" s="211" t="n"/>
      <c r="C431" s="211" t="n"/>
      <c r="D431" s="211" t="n"/>
      <c r="E431" s="221" t="n"/>
      <c r="F431" s="211" t="n"/>
      <c r="G431" s="211" t="n"/>
      <c r="H431" s="211" t="n"/>
      <c r="I431" s="211" t="n"/>
      <c r="J431" s="211" t="n"/>
      <c r="K431" s="211" t="n"/>
      <c r="L431" s="213" t="n"/>
      <c r="M431" s="689" t="n"/>
      <c r="N431" s="689" t="n"/>
      <c r="O431" s="689" t="n"/>
      <c r="P431" s="227" t="n"/>
      <c r="Q431" s="689" t="n"/>
      <c r="R431" s="689" t="n"/>
      <c r="S431" s="689" t="n"/>
      <c r="T431" s="689" t="n"/>
      <c r="U431" s="689" t="n"/>
      <c r="V431" s="689" t="n"/>
      <c r="W431" s="689" t="n"/>
      <c r="X431" s="689" t="n"/>
      <c r="Y431" s="689" t="n"/>
      <c r="Z431" s="689" t="n"/>
      <c r="AA431" s="689" t="n"/>
      <c r="AB431" s="689" t="n"/>
      <c r="AC431" s="689" t="n"/>
      <c r="AD431" s="689" t="n"/>
      <c r="AF431" s="236" t="n"/>
      <c r="AG431" s="236" t="n"/>
      <c r="AH431" s="236" t="n"/>
      <c r="AI431" s="236" t="n"/>
      <c r="AJ431" s="236" t="n"/>
      <c r="AK431" s="236" t="n"/>
      <c r="AL431" s="236" t="n"/>
      <c r="AM431" s="236" t="n"/>
      <c r="AN431" s="236" t="n"/>
      <c r="AO431" s="236" t="n"/>
      <c r="AP431" s="236" t="n"/>
      <c r="AQ431" s="236" t="n"/>
      <c r="AR431" s="236" t="n"/>
      <c r="AS431" s="236" t="n"/>
      <c r="AT431" s="236" t="n"/>
      <c r="AU431" s="236" t="n"/>
      <c r="AV431" s="236" t="n"/>
      <c r="AW431" s="236" t="n"/>
      <c r="AX431" s="692" t="n"/>
      <c r="AY431" s="692" t="n"/>
      <c r="AZ431" s="692" t="n"/>
      <c r="BA431" s="692" t="n"/>
      <c r="BB431" s="692" t="n"/>
      <c r="BC431" s="692" t="n"/>
      <c r="BD431" s="692" t="n"/>
      <c r="BE431" s="692" t="n"/>
      <c r="BF431" s="692" t="n"/>
      <c r="BG431" s="692" t="n"/>
      <c r="BH431" s="692" t="n"/>
      <c r="BI431" s="692" t="n"/>
      <c r="BJ431" s="692" t="n"/>
      <c r="BK431" s="692" t="n"/>
      <c r="BL431" s="692" t="n"/>
      <c r="BM431" s="692" t="n"/>
      <c r="BN431" s="692" t="n"/>
      <c r="BO431" s="692" t="n"/>
      <c r="BP431" s="692" t="n"/>
      <c r="BQ431" s="692" t="n"/>
    </row>
    <row r="432">
      <c r="A432" s="218" t="n"/>
      <c r="B432" s="215" t="n"/>
      <c r="C432" s="215" t="n"/>
      <c r="D432" s="215" t="n"/>
      <c r="E432" s="219" t="n"/>
      <c r="F432" s="215" t="n"/>
      <c r="G432" s="215" t="n"/>
      <c r="H432" s="215" t="n"/>
      <c r="I432" s="215" t="n"/>
      <c r="J432" s="215" t="n"/>
      <c r="K432" s="215" t="n"/>
      <c r="L432" s="217" t="n"/>
      <c r="M432" s="689" t="n"/>
      <c r="N432" s="689" t="n"/>
      <c r="O432" s="689" t="n"/>
      <c r="P432" s="227" t="n"/>
      <c r="Q432" s="689" t="n"/>
      <c r="R432" s="689" t="n"/>
      <c r="S432" s="689" t="n"/>
      <c r="T432" s="689" t="n"/>
      <c r="U432" s="689" t="n"/>
      <c r="V432" s="689" t="n"/>
      <c r="W432" s="689" t="n"/>
      <c r="X432" s="689" t="n"/>
      <c r="Y432" s="689" t="n"/>
      <c r="Z432" s="689" t="n"/>
      <c r="AA432" s="689" t="n"/>
      <c r="AB432" s="689" t="n"/>
      <c r="AC432" s="689" t="n"/>
      <c r="AD432" s="689" t="n"/>
      <c r="AF432" s="236" t="n"/>
      <c r="AG432" s="236" t="n"/>
      <c r="AH432" s="236" t="n"/>
      <c r="AI432" s="236" t="n"/>
      <c r="AJ432" s="236" t="n"/>
      <c r="AK432" s="236" t="n"/>
      <c r="AL432" s="236" t="n"/>
      <c r="AM432" s="236" t="n"/>
      <c r="AN432" s="236" t="n"/>
      <c r="AO432" s="236" t="n"/>
      <c r="AP432" s="236" t="n"/>
      <c r="AQ432" s="236" t="n"/>
      <c r="AR432" s="236" t="n"/>
      <c r="AS432" s="236" t="n"/>
      <c r="AT432" s="236" t="n"/>
      <c r="AU432" s="236" t="n"/>
      <c r="AV432" s="236" t="n"/>
      <c r="AW432" s="236" t="n"/>
      <c r="AX432" s="692" t="n"/>
      <c r="AY432" s="692" t="n"/>
      <c r="AZ432" s="692" t="n"/>
      <c r="BA432" s="692" t="n"/>
      <c r="BB432" s="692" t="n"/>
      <c r="BC432" s="692" t="n"/>
      <c r="BD432" s="692" t="n"/>
      <c r="BE432" s="692" t="n"/>
      <c r="BF432" s="692" t="n"/>
      <c r="BG432" s="692" t="n"/>
      <c r="BH432" s="692" t="n"/>
      <c r="BI432" s="692" t="n"/>
      <c r="BJ432" s="692" t="n"/>
      <c r="BK432" s="692" t="n"/>
      <c r="BL432" s="692" t="n"/>
      <c r="BM432" s="692" t="n"/>
      <c r="BN432" s="692" t="n"/>
      <c r="BO432" s="692" t="n"/>
      <c r="BP432" s="692" t="n"/>
      <c r="BQ432" s="692" t="n"/>
    </row>
    <row r="433">
      <c r="A433" s="220" t="n"/>
      <c r="B433" s="211" t="n"/>
      <c r="C433" s="211" t="n"/>
      <c r="D433" s="211" t="n"/>
      <c r="E433" s="221" t="n"/>
      <c r="F433" s="211" t="n"/>
      <c r="G433" s="211" t="n"/>
      <c r="H433" s="211" t="n"/>
      <c r="I433" s="211" t="n"/>
      <c r="J433" s="211" t="n"/>
      <c r="K433" s="211" t="n"/>
      <c r="L433" s="213" t="n"/>
      <c r="M433" s="689" t="n"/>
      <c r="N433" s="689" t="n"/>
      <c r="O433" s="689" t="n"/>
      <c r="P433" s="227" t="n"/>
      <c r="Q433" s="689" t="n"/>
      <c r="R433" s="689" t="n"/>
      <c r="S433" s="689" t="n"/>
      <c r="T433" s="689" t="n"/>
      <c r="U433" s="689" t="n"/>
      <c r="V433" s="689" t="n"/>
      <c r="W433" s="689" t="n"/>
      <c r="X433" s="689" t="n"/>
      <c r="Y433" s="689" t="n"/>
      <c r="Z433" s="689" t="n"/>
      <c r="AA433" s="689" t="n"/>
      <c r="AB433" s="689" t="n"/>
      <c r="AC433" s="689" t="n"/>
      <c r="AD433" s="689" t="n"/>
      <c r="AF433" s="236" t="n"/>
      <c r="AG433" s="236" t="n"/>
      <c r="AH433" s="236" t="n"/>
      <c r="AI433" s="236" t="n"/>
      <c r="AJ433" s="236" t="n"/>
      <c r="AK433" s="236" t="n"/>
      <c r="AL433" s="236" t="n"/>
      <c r="AM433" s="236" t="n"/>
      <c r="AN433" s="236" t="n"/>
      <c r="AO433" s="236" t="n"/>
      <c r="AP433" s="236" t="n"/>
      <c r="AQ433" s="236" t="n"/>
      <c r="AR433" s="236" t="n"/>
      <c r="AS433" s="236" t="n"/>
      <c r="AT433" s="236" t="n"/>
      <c r="AU433" s="236" t="n"/>
      <c r="AV433" s="236" t="n"/>
      <c r="AW433" s="236" t="n"/>
      <c r="AX433" s="692" t="n"/>
      <c r="AY433" s="692" t="n"/>
      <c r="AZ433" s="692" t="n"/>
      <c r="BA433" s="692" t="n"/>
      <c r="BB433" s="692" t="n"/>
      <c r="BC433" s="692" t="n"/>
      <c r="BD433" s="692" t="n"/>
      <c r="BE433" s="692" t="n"/>
      <c r="BF433" s="692" t="n"/>
      <c r="BG433" s="692" t="n"/>
      <c r="BH433" s="692" t="n"/>
      <c r="BI433" s="692" t="n"/>
      <c r="BJ433" s="692" t="n"/>
      <c r="BK433" s="692" t="n"/>
      <c r="BL433" s="692" t="n"/>
      <c r="BM433" s="692" t="n"/>
      <c r="BN433" s="692" t="n"/>
      <c r="BO433" s="692" t="n"/>
      <c r="BP433" s="692" t="n"/>
      <c r="BQ433" s="692" t="n"/>
    </row>
    <row r="434">
      <c r="A434" s="218" t="n"/>
      <c r="B434" s="215" t="n"/>
      <c r="C434" s="215" t="n"/>
      <c r="D434" s="215" t="n"/>
      <c r="E434" s="219" t="n"/>
      <c r="F434" s="215" t="n"/>
      <c r="G434" s="215" t="n"/>
      <c r="H434" s="215" t="n"/>
      <c r="I434" s="215" t="n"/>
      <c r="J434" s="215" t="n"/>
      <c r="K434" s="215" t="n"/>
      <c r="L434" s="217" t="n"/>
      <c r="M434" s="689" t="n"/>
      <c r="N434" s="689" t="n"/>
      <c r="O434" s="689" t="n"/>
      <c r="P434" s="227" t="n"/>
      <c r="Q434" s="689" t="n"/>
      <c r="R434" s="689" t="n"/>
      <c r="S434" s="689" t="n"/>
      <c r="T434" s="689" t="n"/>
      <c r="U434" s="689" t="n"/>
      <c r="V434" s="689" t="n"/>
      <c r="W434" s="689" t="n"/>
      <c r="X434" s="689" t="n"/>
      <c r="Y434" s="689" t="n"/>
      <c r="Z434" s="689" t="n"/>
      <c r="AA434" s="689" t="n"/>
      <c r="AB434" s="689" t="n"/>
      <c r="AC434" s="689" t="n"/>
      <c r="AD434" s="689" t="n"/>
      <c r="AF434" s="236" t="n"/>
      <c r="AG434" s="236" t="n"/>
      <c r="AH434" s="236" t="n"/>
      <c r="AI434" s="236" t="n"/>
      <c r="AJ434" s="236" t="n"/>
      <c r="AK434" s="236" t="n"/>
      <c r="AL434" s="236" t="n"/>
      <c r="AM434" s="236" t="n"/>
      <c r="AN434" s="236" t="n"/>
      <c r="AO434" s="236" t="n"/>
      <c r="AP434" s="236" t="n"/>
      <c r="AQ434" s="236" t="n"/>
      <c r="AR434" s="236" t="n"/>
      <c r="AS434" s="236" t="n"/>
      <c r="AT434" s="236" t="n"/>
      <c r="AU434" s="236" t="n"/>
      <c r="AV434" s="236" t="n"/>
      <c r="AW434" s="236" t="n"/>
      <c r="AX434" s="692" t="n"/>
      <c r="AY434" s="692" t="n"/>
      <c r="AZ434" s="692" t="n"/>
      <c r="BA434" s="692" t="n"/>
      <c r="BB434" s="692" t="n"/>
      <c r="BC434" s="692" t="n"/>
      <c r="BD434" s="692" t="n"/>
      <c r="BE434" s="692" t="n"/>
      <c r="BF434" s="692" t="n"/>
      <c r="BG434" s="692" t="n"/>
      <c r="BH434" s="692" t="n"/>
      <c r="BI434" s="692" t="n"/>
      <c r="BJ434" s="692" t="n"/>
      <c r="BK434" s="692" t="n"/>
      <c r="BL434" s="692" t="n"/>
      <c r="BM434" s="692" t="n"/>
      <c r="BN434" s="692" t="n"/>
      <c r="BO434" s="692" t="n"/>
      <c r="BP434" s="692" t="n"/>
      <c r="BQ434" s="692" t="n"/>
    </row>
    <row r="435">
      <c r="A435" s="220" t="n"/>
      <c r="B435" s="211" t="n"/>
      <c r="C435" s="211" t="n"/>
      <c r="D435" s="211" t="n"/>
      <c r="E435" s="221" t="n"/>
      <c r="F435" s="211" t="n"/>
      <c r="G435" s="211" t="n"/>
      <c r="H435" s="211" t="n"/>
      <c r="I435" s="211" t="n"/>
      <c r="J435" s="211" t="n"/>
      <c r="K435" s="211" t="n"/>
      <c r="L435" s="213" t="n"/>
      <c r="M435" s="689" t="n"/>
      <c r="N435" s="689" t="n"/>
      <c r="O435" s="689" t="n"/>
      <c r="P435" s="227" t="n"/>
      <c r="Q435" s="689" t="n"/>
      <c r="R435" s="689" t="n"/>
      <c r="S435" s="689" t="n"/>
      <c r="T435" s="689" t="n"/>
      <c r="U435" s="689" t="n"/>
      <c r="V435" s="689" t="n"/>
      <c r="W435" s="689" t="n"/>
      <c r="X435" s="689" t="n"/>
      <c r="Y435" s="689" t="n"/>
      <c r="Z435" s="689" t="n"/>
      <c r="AA435" s="689" t="n"/>
      <c r="AB435" s="689" t="n"/>
      <c r="AC435" s="689" t="n"/>
      <c r="AD435" s="689" t="n"/>
      <c r="AF435" s="236" t="n"/>
      <c r="AG435" s="236" t="n"/>
      <c r="AH435" s="236" t="n"/>
      <c r="AI435" s="236" t="n"/>
      <c r="AJ435" s="236" t="n"/>
      <c r="AK435" s="236" t="n"/>
      <c r="AL435" s="236" t="n"/>
      <c r="AM435" s="236" t="n"/>
      <c r="AN435" s="236" t="n"/>
      <c r="AO435" s="236" t="n"/>
      <c r="AP435" s="236" t="n"/>
      <c r="AQ435" s="236" t="n"/>
      <c r="AR435" s="236" t="n"/>
      <c r="AS435" s="236" t="n"/>
      <c r="AT435" s="236" t="n"/>
      <c r="AU435" s="236" t="n"/>
      <c r="AV435" s="236" t="n"/>
      <c r="AW435" s="236" t="n"/>
      <c r="AX435" s="692" t="n"/>
      <c r="AY435" s="692" t="n"/>
      <c r="AZ435" s="692" t="n"/>
      <c r="BA435" s="692" t="n"/>
      <c r="BB435" s="692" t="n"/>
      <c r="BC435" s="692" t="n"/>
      <c r="BD435" s="692" t="n"/>
      <c r="BE435" s="692" t="n"/>
      <c r="BF435" s="692" t="n"/>
      <c r="BG435" s="692" t="n"/>
      <c r="BH435" s="692" t="n"/>
      <c r="BI435" s="692" t="n"/>
      <c r="BJ435" s="692" t="n"/>
      <c r="BK435" s="692" t="n"/>
      <c r="BL435" s="692" t="n"/>
      <c r="BM435" s="692" t="n"/>
      <c r="BN435" s="692" t="n"/>
      <c r="BO435" s="692" t="n"/>
      <c r="BP435" s="692" t="n"/>
      <c r="BQ435" s="692" t="n"/>
    </row>
    <row r="436">
      <c r="A436" s="218" t="n"/>
      <c r="B436" s="215" t="n"/>
      <c r="C436" s="215" t="n"/>
      <c r="D436" s="215" t="n"/>
      <c r="E436" s="219" t="n"/>
      <c r="F436" s="215" t="n"/>
      <c r="G436" s="215" t="n"/>
      <c r="H436" s="215" t="n"/>
      <c r="I436" s="215" t="n"/>
      <c r="J436" s="215" t="n"/>
      <c r="K436" s="215" t="n"/>
      <c r="L436" s="217" t="n"/>
      <c r="M436" s="689" t="n"/>
      <c r="N436" s="689" t="n"/>
      <c r="O436" s="689" t="n"/>
      <c r="P436" s="227" t="n"/>
      <c r="Q436" s="689" t="n"/>
      <c r="R436" s="689" t="n"/>
      <c r="S436" s="689" t="n"/>
      <c r="T436" s="689" t="n"/>
      <c r="U436" s="689" t="n"/>
      <c r="V436" s="689" t="n"/>
      <c r="W436" s="689" t="n"/>
      <c r="X436" s="689" t="n"/>
      <c r="Y436" s="689" t="n"/>
      <c r="Z436" s="689" t="n"/>
      <c r="AA436" s="689" t="n"/>
      <c r="AB436" s="689" t="n"/>
      <c r="AC436" s="689" t="n"/>
      <c r="AD436" s="689" t="n"/>
      <c r="AF436" s="236" t="n"/>
      <c r="AG436" s="236" t="n"/>
      <c r="AH436" s="236" t="n"/>
      <c r="AI436" s="236" t="n"/>
      <c r="AJ436" s="236" t="n"/>
      <c r="AK436" s="236" t="n"/>
      <c r="AL436" s="236" t="n"/>
      <c r="AM436" s="236" t="n"/>
      <c r="AN436" s="236" t="n"/>
      <c r="AO436" s="236" t="n"/>
      <c r="AP436" s="236" t="n"/>
      <c r="AQ436" s="236" t="n"/>
      <c r="AR436" s="236" t="n"/>
      <c r="AS436" s="236" t="n"/>
      <c r="AT436" s="236" t="n"/>
      <c r="AU436" s="236" t="n"/>
      <c r="AV436" s="236" t="n"/>
      <c r="AW436" s="236" t="n"/>
      <c r="AX436" s="692" t="n"/>
      <c r="AY436" s="692" t="n"/>
      <c r="AZ436" s="692" t="n"/>
      <c r="BA436" s="692" t="n"/>
      <c r="BB436" s="692" t="n"/>
      <c r="BC436" s="692" t="n"/>
      <c r="BD436" s="692" t="n"/>
      <c r="BE436" s="692" t="n"/>
      <c r="BF436" s="692" t="n"/>
      <c r="BG436" s="692" t="n"/>
      <c r="BH436" s="692" t="n"/>
      <c r="BI436" s="692" t="n"/>
      <c r="BJ436" s="692" t="n"/>
      <c r="BK436" s="692" t="n"/>
      <c r="BL436" s="692" t="n"/>
      <c r="BM436" s="692" t="n"/>
      <c r="BN436" s="692" t="n"/>
      <c r="BO436" s="692" t="n"/>
      <c r="BP436" s="692" t="n"/>
      <c r="BQ436" s="692" t="n"/>
    </row>
    <row r="437">
      <c r="A437" s="220" t="n"/>
      <c r="B437" s="211" t="n"/>
      <c r="C437" s="211" t="n"/>
      <c r="D437" s="211" t="n"/>
      <c r="E437" s="221" t="n"/>
      <c r="F437" s="211" t="n"/>
      <c r="G437" s="211" t="n"/>
      <c r="H437" s="211" t="n"/>
      <c r="I437" s="211" t="n"/>
      <c r="J437" s="211" t="n"/>
      <c r="K437" s="211" t="n"/>
      <c r="L437" s="213" t="n"/>
      <c r="M437" s="689" t="n"/>
      <c r="N437" s="689" t="n"/>
      <c r="O437" s="689" t="n"/>
      <c r="P437" s="227" t="n"/>
      <c r="Q437" s="689" t="n"/>
      <c r="R437" s="689" t="n"/>
      <c r="S437" s="689" t="n"/>
      <c r="T437" s="689" t="n"/>
      <c r="U437" s="689" t="n"/>
      <c r="V437" s="689" t="n"/>
      <c r="W437" s="689" t="n"/>
      <c r="X437" s="689" t="n"/>
      <c r="Y437" s="689" t="n"/>
      <c r="Z437" s="689" t="n"/>
      <c r="AA437" s="689" t="n"/>
      <c r="AB437" s="689" t="n"/>
      <c r="AC437" s="689" t="n"/>
      <c r="AD437" s="689" t="n"/>
      <c r="AF437" s="236" t="n"/>
      <c r="AG437" s="236" t="n"/>
      <c r="AH437" s="236" t="n"/>
      <c r="AI437" s="236" t="n"/>
      <c r="AJ437" s="236" t="n"/>
      <c r="AK437" s="236" t="n"/>
      <c r="AL437" s="236" t="n"/>
      <c r="AM437" s="236" t="n"/>
      <c r="AN437" s="236" t="n"/>
      <c r="AO437" s="236" t="n"/>
      <c r="AP437" s="236" t="n"/>
      <c r="AQ437" s="236" t="n"/>
      <c r="AR437" s="236" t="n"/>
      <c r="AS437" s="236" t="n"/>
      <c r="AT437" s="236" t="n"/>
      <c r="AU437" s="236" t="n"/>
      <c r="AV437" s="236" t="n"/>
      <c r="AW437" s="236" t="n"/>
      <c r="AX437" s="692" t="n"/>
      <c r="AY437" s="692" t="n"/>
      <c r="AZ437" s="692" t="n"/>
      <c r="BA437" s="692" t="n"/>
      <c r="BB437" s="692" t="n"/>
      <c r="BC437" s="692" t="n"/>
      <c r="BD437" s="692" t="n"/>
      <c r="BE437" s="692" t="n"/>
      <c r="BF437" s="692" t="n"/>
      <c r="BG437" s="692" t="n"/>
      <c r="BH437" s="692" t="n"/>
      <c r="BI437" s="692" t="n"/>
      <c r="BJ437" s="692" t="n"/>
      <c r="BK437" s="692" t="n"/>
      <c r="BL437" s="692" t="n"/>
      <c r="BM437" s="692" t="n"/>
      <c r="BN437" s="692" t="n"/>
      <c r="BO437" s="692" t="n"/>
      <c r="BP437" s="692" t="n"/>
      <c r="BQ437" s="692" t="n"/>
    </row>
    <row r="438">
      <c r="A438" s="218" t="n"/>
      <c r="B438" s="215" t="n"/>
      <c r="C438" s="215" t="n"/>
      <c r="D438" s="215" t="n"/>
      <c r="E438" s="219" t="n"/>
      <c r="F438" s="215" t="n"/>
      <c r="G438" s="215" t="n"/>
      <c r="H438" s="215" t="n"/>
      <c r="I438" s="215" t="n"/>
      <c r="J438" s="215" t="n"/>
      <c r="K438" s="215" t="n"/>
      <c r="L438" s="217" t="n"/>
      <c r="M438" s="689" t="n"/>
      <c r="N438" s="689" t="n"/>
      <c r="O438" s="689" t="n"/>
      <c r="P438" s="227" t="n"/>
      <c r="Q438" s="689" t="n"/>
      <c r="R438" s="689" t="n"/>
      <c r="S438" s="689" t="n"/>
      <c r="T438" s="689" t="n"/>
      <c r="U438" s="689" t="n"/>
      <c r="V438" s="689" t="n"/>
      <c r="W438" s="689" t="n"/>
      <c r="X438" s="689" t="n"/>
      <c r="Y438" s="689" t="n"/>
      <c r="Z438" s="689" t="n"/>
      <c r="AA438" s="689" t="n"/>
      <c r="AB438" s="689" t="n"/>
      <c r="AC438" s="689" t="n"/>
      <c r="AD438" s="689" t="n"/>
      <c r="AF438" s="236" t="n"/>
      <c r="AG438" s="236" t="n"/>
      <c r="AH438" s="236" t="n"/>
      <c r="AI438" s="236" t="n"/>
      <c r="AJ438" s="236" t="n"/>
      <c r="AK438" s="236" t="n"/>
      <c r="AL438" s="236" t="n"/>
      <c r="AM438" s="236" t="n"/>
      <c r="AN438" s="236" t="n"/>
      <c r="AO438" s="236" t="n"/>
      <c r="AP438" s="236" t="n"/>
      <c r="AQ438" s="236" t="n"/>
      <c r="AR438" s="236" t="n"/>
      <c r="AS438" s="236" t="n"/>
      <c r="AT438" s="236" t="n"/>
      <c r="AU438" s="236" t="n"/>
      <c r="AV438" s="236" t="n"/>
      <c r="AW438" s="236" t="n"/>
      <c r="AX438" s="692" t="n"/>
      <c r="AY438" s="692" t="n"/>
      <c r="AZ438" s="692" t="n"/>
      <c r="BA438" s="692" t="n"/>
      <c r="BB438" s="692" t="n"/>
      <c r="BC438" s="692" t="n"/>
      <c r="BD438" s="692" t="n"/>
      <c r="BE438" s="692" t="n"/>
      <c r="BF438" s="692" t="n"/>
      <c r="BG438" s="692" t="n"/>
      <c r="BH438" s="692" t="n"/>
      <c r="BI438" s="692" t="n"/>
      <c r="BJ438" s="692" t="n"/>
      <c r="BK438" s="692" t="n"/>
      <c r="BL438" s="692" t="n"/>
      <c r="BM438" s="692" t="n"/>
      <c r="BN438" s="692" t="n"/>
      <c r="BO438" s="692" t="n"/>
      <c r="BP438" s="692" t="n"/>
      <c r="BQ438" s="692" t="n"/>
    </row>
    <row r="439">
      <c r="A439" s="220" t="n"/>
      <c r="B439" s="211" t="n"/>
      <c r="C439" s="211" t="n"/>
      <c r="D439" s="211" t="n"/>
      <c r="E439" s="221" t="n"/>
      <c r="F439" s="211" t="n"/>
      <c r="G439" s="211" t="n"/>
      <c r="H439" s="211" t="n"/>
      <c r="I439" s="211" t="n"/>
      <c r="J439" s="211" t="n"/>
      <c r="K439" s="211" t="n"/>
      <c r="L439" s="213" t="n"/>
      <c r="M439" s="689" t="n"/>
      <c r="N439" s="689" t="n"/>
      <c r="O439" s="689" t="n"/>
      <c r="P439" s="227" t="n"/>
      <c r="Q439" s="689" t="n"/>
      <c r="R439" s="689" t="n"/>
      <c r="S439" s="689" t="n"/>
      <c r="T439" s="689" t="n"/>
      <c r="U439" s="689" t="n"/>
      <c r="V439" s="689" t="n"/>
      <c r="W439" s="689" t="n"/>
      <c r="X439" s="689" t="n"/>
      <c r="Y439" s="689" t="n"/>
      <c r="Z439" s="689" t="n"/>
      <c r="AA439" s="689" t="n"/>
      <c r="AB439" s="689" t="n"/>
      <c r="AC439" s="689" t="n"/>
      <c r="AD439" s="689" t="n"/>
      <c r="AF439" s="236" t="n"/>
      <c r="AG439" s="236" t="n"/>
      <c r="AH439" s="236" t="n"/>
      <c r="AI439" s="236" t="n"/>
      <c r="AJ439" s="236" t="n"/>
      <c r="AK439" s="236" t="n"/>
      <c r="AL439" s="236" t="n"/>
      <c r="AM439" s="236" t="n"/>
      <c r="AN439" s="236" t="n"/>
      <c r="AO439" s="236" t="n"/>
      <c r="AP439" s="236" t="n"/>
      <c r="AQ439" s="236" t="n"/>
      <c r="AR439" s="236" t="n"/>
      <c r="AS439" s="236" t="n"/>
      <c r="AT439" s="236" t="n"/>
      <c r="AU439" s="236" t="n"/>
      <c r="AV439" s="236" t="n"/>
      <c r="AW439" s="236" t="n"/>
      <c r="AX439" s="692" t="n"/>
      <c r="AY439" s="692" t="n"/>
      <c r="AZ439" s="692" t="n"/>
      <c r="BA439" s="692" t="n"/>
      <c r="BB439" s="692" t="n"/>
      <c r="BC439" s="692" t="n"/>
      <c r="BD439" s="692" t="n"/>
      <c r="BE439" s="692" t="n"/>
      <c r="BF439" s="692" t="n"/>
      <c r="BG439" s="692" t="n"/>
      <c r="BH439" s="692" t="n"/>
      <c r="BI439" s="692" t="n"/>
      <c r="BJ439" s="692" t="n"/>
      <c r="BK439" s="692" t="n"/>
      <c r="BL439" s="692" t="n"/>
      <c r="BM439" s="692" t="n"/>
      <c r="BN439" s="692" t="n"/>
      <c r="BO439" s="692" t="n"/>
      <c r="BP439" s="692" t="n"/>
      <c r="BQ439" s="692" t="n"/>
    </row>
    <row r="440">
      <c r="A440" s="218" t="n"/>
      <c r="B440" s="215" t="n"/>
      <c r="C440" s="215" t="n"/>
      <c r="D440" s="215" t="n"/>
      <c r="E440" s="219" t="n"/>
      <c r="F440" s="215" t="n"/>
      <c r="G440" s="215" t="n"/>
      <c r="H440" s="215" t="n"/>
      <c r="I440" s="215" t="n"/>
      <c r="J440" s="215" t="n"/>
      <c r="K440" s="215" t="n"/>
      <c r="L440" s="217" t="n"/>
      <c r="M440" s="689" t="n"/>
      <c r="N440" s="689" t="n"/>
      <c r="O440" s="689" t="n"/>
      <c r="P440" s="227" t="n"/>
      <c r="Q440" s="689" t="n"/>
      <c r="R440" s="689" t="n"/>
      <c r="S440" s="689" t="n"/>
      <c r="T440" s="689" t="n"/>
      <c r="U440" s="689" t="n"/>
      <c r="V440" s="689" t="n"/>
      <c r="W440" s="689" t="n"/>
      <c r="X440" s="689" t="n"/>
      <c r="Y440" s="689" t="n"/>
      <c r="Z440" s="689" t="n"/>
      <c r="AA440" s="689" t="n"/>
      <c r="AB440" s="689" t="n"/>
      <c r="AC440" s="689" t="n"/>
      <c r="AD440" s="689" t="n"/>
      <c r="AF440" s="236" t="n"/>
      <c r="AG440" s="236" t="n"/>
      <c r="AH440" s="236" t="n"/>
      <c r="AI440" s="236" t="n"/>
      <c r="AJ440" s="236" t="n"/>
      <c r="AK440" s="236" t="n"/>
      <c r="AL440" s="236" t="n"/>
      <c r="AM440" s="236" t="n"/>
      <c r="AN440" s="236" t="n"/>
      <c r="AO440" s="236" t="n"/>
      <c r="AP440" s="236" t="n"/>
      <c r="AQ440" s="236" t="n"/>
      <c r="AR440" s="236" t="n"/>
      <c r="AS440" s="236" t="n"/>
      <c r="AT440" s="236" t="n"/>
      <c r="AU440" s="236" t="n"/>
      <c r="AV440" s="236" t="n"/>
      <c r="AW440" s="236" t="n"/>
      <c r="AX440" s="692" t="n"/>
      <c r="AY440" s="692" t="n"/>
      <c r="AZ440" s="692" t="n"/>
      <c r="BA440" s="692" t="n"/>
      <c r="BB440" s="692" t="n"/>
      <c r="BC440" s="692" t="n"/>
      <c r="BD440" s="692" t="n"/>
      <c r="BE440" s="692" t="n"/>
      <c r="BF440" s="692" t="n"/>
      <c r="BG440" s="692" t="n"/>
      <c r="BH440" s="692" t="n"/>
      <c r="BI440" s="692" t="n"/>
      <c r="BJ440" s="692" t="n"/>
      <c r="BK440" s="692" t="n"/>
      <c r="BL440" s="692" t="n"/>
      <c r="BM440" s="692" t="n"/>
      <c r="BN440" s="692" t="n"/>
      <c r="BO440" s="692" t="n"/>
      <c r="BP440" s="692" t="n"/>
      <c r="BQ440" s="692" t="n"/>
    </row>
    <row r="441">
      <c r="A441" s="220" t="n"/>
      <c r="B441" s="211" t="n"/>
      <c r="C441" s="211" t="n"/>
      <c r="D441" s="211" t="n"/>
      <c r="E441" s="221" t="n"/>
      <c r="F441" s="211" t="n"/>
      <c r="G441" s="211" t="n"/>
      <c r="H441" s="211" t="n"/>
      <c r="I441" s="211" t="n"/>
      <c r="J441" s="211" t="n"/>
      <c r="K441" s="211" t="n"/>
      <c r="L441" s="213" t="n"/>
      <c r="M441" s="689" t="n"/>
      <c r="N441" s="689" t="n"/>
      <c r="O441" s="689" t="n"/>
      <c r="P441" s="227" t="n"/>
      <c r="Q441" s="689" t="n"/>
      <c r="R441" s="689" t="n"/>
      <c r="S441" s="689" t="n"/>
      <c r="T441" s="689" t="n"/>
      <c r="U441" s="689" t="n"/>
      <c r="V441" s="689" t="n"/>
      <c r="W441" s="689" t="n"/>
      <c r="X441" s="689" t="n"/>
      <c r="Y441" s="689" t="n"/>
      <c r="Z441" s="689" t="n"/>
      <c r="AA441" s="689" t="n"/>
      <c r="AB441" s="689" t="n"/>
      <c r="AC441" s="689" t="n"/>
      <c r="AD441" s="689" t="n"/>
      <c r="AF441" s="236" t="n"/>
      <c r="AG441" s="236" t="n"/>
      <c r="AH441" s="236" t="n"/>
      <c r="AI441" s="236" t="n"/>
      <c r="AJ441" s="236" t="n"/>
      <c r="AK441" s="236" t="n"/>
      <c r="AL441" s="236" t="n"/>
      <c r="AM441" s="236" t="n"/>
      <c r="AN441" s="236" t="n"/>
      <c r="AO441" s="236" t="n"/>
      <c r="AP441" s="236" t="n"/>
      <c r="AQ441" s="236" t="n"/>
      <c r="AR441" s="236" t="n"/>
      <c r="AS441" s="236" t="n"/>
      <c r="AT441" s="236" t="n"/>
      <c r="AU441" s="236" t="n"/>
      <c r="AV441" s="236" t="n"/>
      <c r="AW441" s="236" t="n"/>
      <c r="AX441" s="692" t="n"/>
      <c r="AY441" s="692" t="n"/>
      <c r="AZ441" s="692" t="n"/>
      <c r="BA441" s="692" t="n"/>
      <c r="BB441" s="692" t="n"/>
      <c r="BC441" s="692" t="n"/>
      <c r="BD441" s="692" t="n"/>
      <c r="BE441" s="692" t="n"/>
      <c r="BF441" s="692" t="n"/>
      <c r="BG441" s="692" t="n"/>
      <c r="BH441" s="692" t="n"/>
      <c r="BI441" s="692" t="n"/>
      <c r="BJ441" s="692" t="n"/>
      <c r="BK441" s="692" t="n"/>
      <c r="BL441" s="692" t="n"/>
      <c r="BM441" s="692" t="n"/>
      <c r="BN441" s="692" t="n"/>
      <c r="BO441" s="692" t="n"/>
      <c r="BP441" s="692" t="n"/>
      <c r="BQ441" s="692" t="n"/>
    </row>
    <row r="442">
      <c r="A442" s="218" t="n"/>
      <c r="B442" s="215" t="n"/>
      <c r="C442" s="215" t="n"/>
      <c r="D442" s="215" t="n"/>
      <c r="E442" s="219" t="n"/>
      <c r="F442" s="215" t="n"/>
      <c r="G442" s="215" t="n"/>
      <c r="H442" s="215" t="n"/>
      <c r="I442" s="215" t="n"/>
      <c r="J442" s="215" t="n"/>
      <c r="K442" s="215" t="n"/>
      <c r="L442" s="217" t="n"/>
      <c r="M442" s="689" t="n"/>
      <c r="N442" s="689" t="n"/>
      <c r="O442" s="689" t="n"/>
      <c r="P442" s="227" t="n"/>
      <c r="Q442" s="689" t="n"/>
      <c r="R442" s="689" t="n"/>
      <c r="S442" s="689" t="n"/>
      <c r="T442" s="689" t="n"/>
      <c r="U442" s="689" t="n"/>
      <c r="V442" s="689" t="n"/>
      <c r="W442" s="689" t="n"/>
      <c r="X442" s="689" t="n"/>
      <c r="Y442" s="689" t="n"/>
      <c r="Z442" s="689" t="n"/>
      <c r="AA442" s="689" t="n"/>
      <c r="AB442" s="689" t="n"/>
      <c r="AC442" s="689" t="n"/>
      <c r="AD442" s="689" t="n"/>
      <c r="AF442" s="236" t="n"/>
      <c r="AG442" s="236" t="n"/>
      <c r="AH442" s="236" t="n"/>
      <c r="AI442" s="236" t="n"/>
      <c r="AJ442" s="236" t="n"/>
      <c r="AK442" s="236" t="n"/>
      <c r="AL442" s="236" t="n"/>
      <c r="AM442" s="236" t="n"/>
      <c r="AN442" s="236" t="n"/>
      <c r="AO442" s="236" t="n"/>
      <c r="AP442" s="236" t="n"/>
      <c r="AQ442" s="236" t="n"/>
      <c r="AR442" s="236" t="n"/>
      <c r="AS442" s="236" t="n"/>
      <c r="AT442" s="236" t="n"/>
      <c r="AU442" s="236" t="n"/>
      <c r="AV442" s="236" t="n"/>
      <c r="AW442" s="236" t="n"/>
      <c r="AX442" s="692" t="n"/>
      <c r="AY442" s="692" t="n"/>
      <c r="AZ442" s="692" t="n"/>
      <c r="BA442" s="692" t="n"/>
      <c r="BB442" s="692" t="n"/>
      <c r="BC442" s="692" t="n"/>
      <c r="BD442" s="692" t="n"/>
      <c r="BE442" s="692" t="n"/>
      <c r="BF442" s="692" t="n"/>
      <c r="BG442" s="692" t="n"/>
      <c r="BH442" s="692" t="n"/>
      <c r="BI442" s="692" t="n"/>
      <c r="BJ442" s="692" t="n"/>
      <c r="BK442" s="692" t="n"/>
      <c r="BL442" s="692" t="n"/>
      <c r="BM442" s="692" t="n"/>
      <c r="BN442" s="692" t="n"/>
      <c r="BO442" s="692" t="n"/>
      <c r="BP442" s="692" t="n"/>
      <c r="BQ442" s="692" t="n"/>
    </row>
    <row r="443">
      <c r="A443" s="220" t="n"/>
      <c r="B443" s="211" t="n"/>
      <c r="C443" s="211" t="n"/>
      <c r="D443" s="211" t="n"/>
      <c r="E443" s="221" t="n"/>
      <c r="F443" s="211" t="n"/>
      <c r="G443" s="211" t="n"/>
      <c r="H443" s="211" t="n"/>
      <c r="I443" s="211" t="n"/>
      <c r="J443" s="211" t="n"/>
      <c r="K443" s="211" t="n"/>
      <c r="L443" s="213" t="n"/>
      <c r="M443" s="689" t="n"/>
      <c r="N443" s="689" t="n"/>
      <c r="O443" s="689" t="n"/>
      <c r="P443" s="227" t="n"/>
      <c r="Q443" s="689" t="n"/>
      <c r="R443" s="689" t="n"/>
      <c r="S443" s="689" t="n"/>
      <c r="T443" s="689" t="n"/>
      <c r="U443" s="689" t="n"/>
      <c r="V443" s="689" t="n"/>
      <c r="W443" s="689" t="n"/>
      <c r="X443" s="689" t="n"/>
      <c r="Y443" s="689" t="n"/>
      <c r="Z443" s="689" t="n"/>
      <c r="AA443" s="689" t="n"/>
      <c r="AB443" s="689" t="n"/>
      <c r="AC443" s="689" t="n"/>
      <c r="AD443" s="689" t="n"/>
      <c r="AF443" s="236" t="n"/>
      <c r="AG443" s="236" t="n"/>
      <c r="AH443" s="236" t="n"/>
      <c r="AI443" s="236" t="n"/>
      <c r="AJ443" s="236" t="n"/>
      <c r="AK443" s="236" t="n"/>
      <c r="AL443" s="236" t="n"/>
      <c r="AM443" s="236" t="n"/>
      <c r="AN443" s="236" t="n"/>
      <c r="AO443" s="236" t="n"/>
      <c r="AP443" s="236" t="n"/>
      <c r="AQ443" s="236" t="n"/>
      <c r="AR443" s="236" t="n"/>
      <c r="AS443" s="236" t="n"/>
      <c r="AT443" s="236" t="n"/>
      <c r="AU443" s="236" t="n"/>
      <c r="AV443" s="236" t="n"/>
      <c r="AW443" s="236" t="n"/>
      <c r="AX443" s="692" t="n"/>
      <c r="AY443" s="692" t="n"/>
      <c r="AZ443" s="692" t="n"/>
      <c r="BA443" s="692" t="n"/>
      <c r="BB443" s="692" t="n"/>
      <c r="BC443" s="692" t="n"/>
      <c r="BD443" s="692" t="n"/>
      <c r="BE443" s="692" t="n"/>
      <c r="BF443" s="692" t="n"/>
      <c r="BG443" s="692" t="n"/>
      <c r="BH443" s="692" t="n"/>
      <c r="BI443" s="692" t="n"/>
      <c r="BJ443" s="692" t="n"/>
      <c r="BK443" s="692" t="n"/>
      <c r="BL443" s="692" t="n"/>
      <c r="BM443" s="692" t="n"/>
      <c r="BN443" s="692" t="n"/>
      <c r="BO443" s="692" t="n"/>
      <c r="BP443" s="692" t="n"/>
      <c r="BQ443" s="692" t="n"/>
    </row>
    <row r="444">
      <c r="A444" s="218" t="n"/>
      <c r="B444" s="215" t="n"/>
      <c r="C444" s="215" t="n"/>
      <c r="D444" s="215" t="n"/>
      <c r="E444" s="219" t="n"/>
      <c r="F444" s="215" t="n"/>
      <c r="G444" s="215" t="n"/>
      <c r="H444" s="215" t="n"/>
      <c r="I444" s="215" t="n"/>
      <c r="J444" s="215" t="n"/>
      <c r="K444" s="215" t="n"/>
      <c r="L444" s="217" t="n"/>
      <c r="M444" s="689" t="n"/>
      <c r="N444" s="689" t="n"/>
      <c r="O444" s="689" t="n"/>
      <c r="P444" s="227" t="n"/>
      <c r="Q444" s="689" t="n"/>
      <c r="R444" s="689" t="n"/>
      <c r="S444" s="689" t="n"/>
      <c r="T444" s="689" t="n"/>
      <c r="U444" s="689" t="n"/>
      <c r="V444" s="689" t="n"/>
      <c r="W444" s="689" t="n"/>
      <c r="X444" s="689" t="n"/>
      <c r="Y444" s="689" t="n"/>
      <c r="Z444" s="689" t="n"/>
      <c r="AA444" s="689" t="n"/>
      <c r="AB444" s="689" t="n"/>
      <c r="AC444" s="689" t="n"/>
      <c r="AD444" s="689" t="n"/>
      <c r="AF444" s="236" t="n"/>
      <c r="AG444" s="236" t="n"/>
      <c r="AH444" s="236" t="n"/>
      <c r="AI444" s="236" t="n"/>
      <c r="AJ444" s="236" t="n"/>
      <c r="AK444" s="236" t="n"/>
      <c r="AL444" s="236" t="n"/>
      <c r="AM444" s="236" t="n"/>
      <c r="AN444" s="236" t="n"/>
      <c r="AO444" s="236" t="n"/>
      <c r="AP444" s="236" t="n"/>
      <c r="AQ444" s="236" t="n"/>
      <c r="AR444" s="236" t="n"/>
      <c r="AS444" s="236" t="n"/>
      <c r="AT444" s="236" t="n"/>
      <c r="AU444" s="236" t="n"/>
      <c r="AV444" s="236" t="n"/>
      <c r="AW444" s="236" t="n"/>
      <c r="AX444" s="692" t="n"/>
      <c r="AY444" s="692" t="n"/>
      <c r="AZ444" s="692" t="n"/>
      <c r="BA444" s="692" t="n"/>
      <c r="BB444" s="692" t="n"/>
      <c r="BC444" s="692" t="n"/>
      <c r="BD444" s="692" t="n"/>
      <c r="BE444" s="692" t="n"/>
      <c r="BF444" s="692" t="n"/>
      <c r="BG444" s="692" t="n"/>
      <c r="BH444" s="692" t="n"/>
      <c r="BI444" s="692" t="n"/>
      <c r="BJ444" s="692" t="n"/>
      <c r="BK444" s="692" t="n"/>
      <c r="BL444" s="692" t="n"/>
      <c r="BM444" s="692" t="n"/>
      <c r="BN444" s="692" t="n"/>
      <c r="BO444" s="692" t="n"/>
      <c r="BP444" s="692" t="n"/>
      <c r="BQ444" s="692" t="n"/>
    </row>
    <row r="445">
      <c r="A445" s="220" t="n"/>
      <c r="B445" s="211" t="n"/>
      <c r="C445" s="211" t="n"/>
      <c r="D445" s="211" t="n"/>
      <c r="E445" s="221" t="n"/>
      <c r="F445" s="211" t="n"/>
      <c r="G445" s="211" t="n"/>
      <c r="H445" s="211" t="n"/>
      <c r="I445" s="211" t="n"/>
      <c r="J445" s="211" t="n"/>
      <c r="K445" s="211" t="n"/>
      <c r="L445" s="213" t="n"/>
      <c r="M445" s="689" t="n"/>
      <c r="N445" s="689" t="n"/>
      <c r="O445" s="689" t="n"/>
      <c r="P445" s="227" t="n"/>
      <c r="Q445" s="689" t="n"/>
      <c r="R445" s="689" t="n"/>
      <c r="S445" s="689" t="n"/>
      <c r="T445" s="689" t="n"/>
      <c r="U445" s="689" t="n"/>
      <c r="V445" s="689" t="n"/>
      <c r="W445" s="689" t="n"/>
      <c r="X445" s="689" t="n"/>
      <c r="Y445" s="689" t="n"/>
      <c r="Z445" s="689" t="n"/>
      <c r="AA445" s="689" t="n"/>
      <c r="AB445" s="689" t="n"/>
      <c r="AC445" s="689" t="n"/>
      <c r="AD445" s="689" t="n"/>
      <c r="AF445" s="236" t="n"/>
      <c r="AG445" s="236" t="n"/>
      <c r="AH445" s="236" t="n"/>
      <c r="AI445" s="236" t="n"/>
      <c r="AJ445" s="236" t="n"/>
      <c r="AK445" s="236" t="n"/>
      <c r="AL445" s="236" t="n"/>
      <c r="AM445" s="236" t="n"/>
      <c r="AN445" s="236" t="n"/>
      <c r="AO445" s="236" t="n"/>
      <c r="AP445" s="236" t="n"/>
      <c r="AQ445" s="236" t="n"/>
      <c r="AR445" s="236" t="n"/>
      <c r="AS445" s="236" t="n"/>
      <c r="AT445" s="236" t="n"/>
      <c r="AU445" s="236" t="n"/>
      <c r="AV445" s="236" t="n"/>
      <c r="AW445" s="236" t="n"/>
      <c r="AX445" s="692" t="n"/>
      <c r="AY445" s="692" t="n"/>
      <c r="AZ445" s="692" t="n"/>
      <c r="BA445" s="692" t="n"/>
      <c r="BB445" s="692" t="n"/>
      <c r="BC445" s="692" t="n"/>
      <c r="BD445" s="692" t="n"/>
      <c r="BE445" s="692" t="n"/>
      <c r="BF445" s="692" t="n"/>
      <c r="BG445" s="692" t="n"/>
      <c r="BH445" s="692" t="n"/>
      <c r="BI445" s="692" t="n"/>
      <c r="BJ445" s="692" t="n"/>
      <c r="BK445" s="692" t="n"/>
      <c r="BL445" s="692" t="n"/>
      <c r="BM445" s="692" t="n"/>
      <c r="BN445" s="692" t="n"/>
      <c r="BO445" s="692" t="n"/>
      <c r="BP445" s="692" t="n"/>
      <c r="BQ445" s="692" t="n"/>
    </row>
    <row r="446">
      <c r="A446" s="218" t="n"/>
      <c r="B446" s="215" t="n"/>
      <c r="C446" s="215" t="n"/>
      <c r="D446" s="215" t="n"/>
      <c r="E446" s="219" t="n"/>
      <c r="F446" s="215" t="n"/>
      <c r="G446" s="215" t="n"/>
      <c r="H446" s="215" t="n"/>
      <c r="I446" s="215" t="n"/>
      <c r="J446" s="215" t="n"/>
      <c r="K446" s="215" t="n"/>
      <c r="L446" s="217" t="n"/>
      <c r="M446" s="689" t="n"/>
      <c r="N446" s="689" t="n"/>
      <c r="O446" s="689" t="n"/>
      <c r="P446" s="227" t="n"/>
      <c r="Q446" s="689" t="n"/>
      <c r="R446" s="689" t="n"/>
      <c r="S446" s="689" t="n"/>
      <c r="T446" s="689" t="n"/>
      <c r="U446" s="689" t="n"/>
      <c r="V446" s="689" t="n"/>
      <c r="W446" s="689" t="n"/>
      <c r="X446" s="689" t="n"/>
      <c r="Y446" s="689" t="n"/>
      <c r="Z446" s="689" t="n"/>
      <c r="AA446" s="689" t="n"/>
      <c r="AB446" s="689" t="n"/>
      <c r="AC446" s="689" t="n"/>
      <c r="AD446" s="689" t="n"/>
      <c r="AF446" s="236" t="n"/>
      <c r="AG446" s="236" t="n"/>
      <c r="AH446" s="236" t="n"/>
      <c r="AI446" s="236" t="n"/>
      <c r="AJ446" s="236" t="n"/>
      <c r="AK446" s="236" t="n"/>
      <c r="AL446" s="236" t="n"/>
      <c r="AM446" s="236" t="n"/>
      <c r="AN446" s="236" t="n"/>
      <c r="AO446" s="236" t="n"/>
      <c r="AP446" s="236" t="n"/>
      <c r="AQ446" s="236" t="n"/>
      <c r="AR446" s="236" t="n"/>
      <c r="AS446" s="236" t="n"/>
      <c r="AT446" s="236" t="n"/>
      <c r="AU446" s="236" t="n"/>
      <c r="AV446" s="236" t="n"/>
      <c r="AW446" s="236" t="n"/>
      <c r="AX446" s="692" t="n"/>
      <c r="AY446" s="692" t="n"/>
      <c r="AZ446" s="692" t="n"/>
      <c r="BA446" s="692" t="n"/>
      <c r="BB446" s="692" t="n"/>
      <c r="BC446" s="692" t="n"/>
      <c r="BD446" s="692" t="n"/>
      <c r="BE446" s="692" t="n"/>
      <c r="BF446" s="692" t="n"/>
      <c r="BG446" s="692" t="n"/>
      <c r="BH446" s="692" t="n"/>
      <c r="BI446" s="692" t="n"/>
      <c r="BJ446" s="692" t="n"/>
      <c r="BK446" s="692" t="n"/>
      <c r="BL446" s="692" t="n"/>
      <c r="BM446" s="692" t="n"/>
      <c r="BN446" s="692" t="n"/>
      <c r="BO446" s="692" t="n"/>
      <c r="BP446" s="692" t="n"/>
      <c r="BQ446" s="692" t="n"/>
    </row>
    <row r="447">
      <c r="A447" s="220" t="n"/>
      <c r="B447" s="211" t="n"/>
      <c r="C447" s="211" t="n"/>
      <c r="D447" s="211" t="n"/>
      <c r="E447" s="221" t="n"/>
      <c r="F447" s="211" t="n"/>
      <c r="G447" s="211" t="n"/>
      <c r="H447" s="211" t="n"/>
      <c r="I447" s="211" t="n"/>
      <c r="J447" s="211" t="n"/>
      <c r="K447" s="211" t="n"/>
      <c r="L447" s="213" t="n"/>
      <c r="M447" s="689" t="n"/>
      <c r="N447" s="689" t="n"/>
      <c r="O447" s="689" t="n"/>
      <c r="P447" s="227" t="n"/>
      <c r="Q447" s="689" t="n"/>
      <c r="R447" s="689" t="n"/>
      <c r="S447" s="689" t="n"/>
      <c r="T447" s="689" t="n"/>
      <c r="U447" s="689" t="n"/>
      <c r="V447" s="689" t="n"/>
      <c r="W447" s="689" t="n"/>
      <c r="X447" s="689" t="n"/>
      <c r="Y447" s="689" t="n"/>
      <c r="Z447" s="689" t="n"/>
      <c r="AA447" s="689" t="n"/>
      <c r="AB447" s="689" t="n"/>
      <c r="AC447" s="689" t="n"/>
      <c r="AD447" s="689" t="n"/>
      <c r="AF447" s="236" t="n"/>
      <c r="AG447" s="236" t="n"/>
      <c r="AH447" s="236" t="n"/>
      <c r="AI447" s="236" t="n"/>
      <c r="AJ447" s="236" t="n"/>
      <c r="AK447" s="236" t="n"/>
      <c r="AL447" s="236" t="n"/>
      <c r="AM447" s="236" t="n"/>
      <c r="AN447" s="236" t="n"/>
      <c r="AO447" s="236" t="n"/>
      <c r="AP447" s="236" t="n"/>
      <c r="AQ447" s="236" t="n"/>
      <c r="AR447" s="236" t="n"/>
      <c r="AS447" s="236" t="n"/>
      <c r="AT447" s="236" t="n"/>
      <c r="AU447" s="236" t="n"/>
      <c r="AV447" s="236" t="n"/>
      <c r="AW447" s="236" t="n"/>
      <c r="AX447" s="692" t="n"/>
      <c r="AY447" s="692" t="n"/>
      <c r="AZ447" s="692" t="n"/>
      <c r="BA447" s="692" t="n"/>
      <c r="BB447" s="692" t="n"/>
      <c r="BC447" s="692" t="n"/>
      <c r="BD447" s="692" t="n"/>
      <c r="BE447" s="692" t="n"/>
      <c r="BF447" s="692" t="n"/>
      <c r="BG447" s="692" t="n"/>
      <c r="BH447" s="692" t="n"/>
      <c r="BI447" s="692" t="n"/>
      <c r="BJ447" s="692" t="n"/>
      <c r="BK447" s="692" t="n"/>
      <c r="BL447" s="692" t="n"/>
      <c r="BM447" s="692" t="n"/>
      <c r="BN447" s="692" t="n"/>
      <c r="BO447" s="692" t="n"/>
      <c r="BP447" s="692" t="n"/>
      <c r="BQ447" s="692" t="n"/>
    </row>
    <row r="448">
      <c r="A448" s="218" t="n"/>
      <c r="B448" s="215" t="n"/>
      <c r="C448" s="215" t="n"/>
      <c r="D448" s="215" t="n"/>
      <c r="E448" s="219" t="n"/>
      <c r="F448" s="215" t="n"/>
      <c r="G448" s="215" t="n"/>
      <c r="H448" s="215" t="n"/>
      <c r="I448" s="215" t="n"/>
      <c r="J448" s="215" t="n"/>
      <c r="K448" s="215" t="n"/>
      <c r="L448" s="217" t="n"/>
      <c r="M448" s="689" t="n"/>
      <c r="N448" s="689" t="n"/>
      <c r="O448" s="689" t="n"/>
      <c r="P448" s="227" t="n"/>
      <c r="Q448" s="689" t="n"/>
      <c r="R448" s="689" t="n"/>
      <c r="S448" s="689" t="n"/>
      <c r="T448" s="689" t="n"/>
      <c r="U448" s="689" t="n"/>
      <c r="V448" s="689" t="n"/>
      <c r="W448" s="689" t="n"/>
      <c r="X448" s="689" t="n"/>
      <c r="Y448" s="689" t="n"/>
      <c r="Z448" s="689" t="n"/>
      <c r="AA448" s="689" t="n"/>
      <c r="AB448" s="689" t="n"/>
      <c r="AC448" s="689" t="n"/>
      <c r="AD448" s="689" t="n"/>
      <c r="AF448" s="236" t="n"/>
      <c r="AG448" s="236" t="n"/>
      <c r="AH448" s="236" t="n"/>
      <c r="AI448" s="236" t="n"/>
      <c r="AJ448" s="236" t="n"/>
      <c r="AK448" s="236" t="n"/>
      <c r="AL448" s="236" t="n"/>
      <c r="AM448" s="236" t="n"/>
      <c r="AN448" s="236" t="n"/>
      <c r="AO448" s="236" t="n"/>
      <c r="AP448" s="236" t="n"/>
      <c r="AQ448" s="236" t="n"/>
      <c r="AR448" s="236" t="n"/>
      <c r="AS448" s="236" t="n"/>
      <c r="AT448" s="236" t="n"/>
      <c r="AU448" s="236" t="n"/>
      <c r="AV448" s="236" t="n"/>
      <c r="AW448" s="236" t="n"/>
      <c r="AX448" s="692" t="n"/>
      <c r="AY448" s="692" t="n"/>
      <c r="AZ448" s="692" t="n"/>
      <c r="BA448" s="692" t="n"/>
      <c r="BB448" s="692" t="n"/>
      <c r="BC448" s="692" t="n"/>
      <c r="BD448" s="692" t="n"/>
      <c r="BE448" s="692" t="n"/>
      <c r="BF448" s="692" t="n"/>
      <c r="BG448" s="692" t="n"/>
      <c r="BH448" s="692" t="n"/>
      <c r="BI448" s="692" t="n"/>
      <c r="BJ448" s="692" t="n"/>
      <c r="BK448" s="692" t="n"/>
      <c r="BL448" s="692" t="n"/>
      <c r="BM448" s="692" t="n"/>
      <c r="BN448" s="692" t="n"/>
      <c r="BO448" s="692" t="n"/>
      <c r="BP448" s="692" t="n"/>
      <c r="BQ448" s="692" t="n"/>
    </row>
    <row r="449">
      <c r="A449" s="220" t="n"/>
      <c r="B449" s="211" t="n"/>
      <c r="C449" s="211" t="n"/>
      <c r="D449" s="211" t="n"/>
      <c r="E449" s="221" t="n"/>
      <c r="F449" s="211" t="n"/>
      <c r="G449" s="211" t="n"/>
      <c r="H449" s="211" t="n"/>
      <c r="I449" s="211" t="n"/>
      <c r="J449" s="211" t="n"/>
      <c r="K449" s="211" t="n"/>
      <c r="L449" s="213" t="n"/>
      <c r="M449" s="689" t="n"/>
      <c r="N449" s="689" t="n"/>
      <c r="O449" s="689" t="n"/>
      <c r="P449" s="227" t="n"/>
      <c r="Q449" s="689" t="n"/>
      <c r="R449" s="689" t="n"/>
      <c r="S449" s="689" t="n"/>
      <c r="T449" s="689" t="n"/>
      <c r="U449" s="689" t="n"/>
      <c r="V449" s="689" t="n"/>
      <c r="W449" s="689" t="n"/>
      <c r="X449" s="689" t="n"/>
      <c r="Y449" s="689" t="n"/>
      <c r="Z449" s="689" t="n"/>
      <c r="AA449" s="689" t="n"/>
      <c r="AB449" s="689" t="n"/>
      <c r="AC449" s="689" t="n"/>
      <c r="AD449" s="689" t="n"/>
      <c r="AF449" s="236" t="n"/>
      <c r="AG449" s="236" t="n"/>
      <c r="AH449" s="236" t="n"/>
      <c r="AI449" s="236" t="n"/>
      <c r="AJ449" s="236" t="n"/>
      <c r="AK449" s="236" t="n"/>
      <c r="AL449" s="236" t="n"/>
      <c r="AM449" s="236" t="n"/>
      <c r="AN449" s="236" t="n"/>
      <c r="AO449" s="236" t="n"/>
      <c r="AP449" s="236" t="n"/>
      <c r="AQ449" s="236" t="n"/>
      <c r="AR449" s="236" t="n"/>
      <c r="AS449" s="236" t="n"/>
      <c r="AT449" s="236" t="n"/>
      <c r="AU449" s="236" t="n"/>
      <c r="AV449" s="236" t="n"/>
      <c r="AW449" s="236" t="n"/>
      <c r="AX449" s="692" t="n"/>
      <c r="AY449" s="692" t="n"/>
      <c r="AZ449" s="692" t="n"/>
      <c r="BA449" s="692" t="n"/>
      <c r="BB449" s="692" t="n"/>
      <c r="BC449" s="692" t="n"/>
      <c r="BD449" s="692" t="n"/>
      <c r="BE449" s="692" t="n"/>
      <c r="BF449" s="692" t="n"/>
      <c r="BG449" s="692" t="n"/>
      <c r="BH449" s="692" t="n"/>
      <c r="BI449" s="692" t="n"/>
      <c r="BJ449" s="692" t="n"/>
      <c r="BK449" s="692" t="n"/>
      <c r="BL449" s="692" t="n"/>
      <c r="BM449" s="692" t="n"/>
      <c r="BN449" s="692" t="n"/>
      <c r="BO449" s="692" t="n"/>
      <c r="BP449" s="692" t="n"/>
      <c r="BQ449" s="692" t="n"/>
    </row>
    <row r="450">
      <c r="A450" s="218" t="n"/>
      <c r="B450" s="215" t="n"/>
      <c r="C450" s="215" t="n"/>
      <c r="D450" s="215" t="n"/>
      <c r="E450" s="219" t="n"/>
      <c r="F450" s="215" t="n"/>
      <c r="G450" s="215" t="n"/>
      <c r="H450" s="215" t="n"/>
      <c r="I450" s="215" t="n"/>
      <c r="J450" s="215" t="n"/>
      <c r="K450" s="215" t="n"/>
      <c r="L450" s="217" t="n"/>
      <c r="M450" s="689" t="n"/>
      <c r="N450" s="689" t="n"/>
      <c r="O450" s="689" t="n"/>
      <c r="P450" s="227" t="n"/>
      <c r="Q450" s="689" t="n"/>
      <c r="R450" s="689" t="n"/>
      <c r="S450" s="689" t="n"/>
      <c r="T450" s="689" t="n"/>
      <c r="U450" s="689" t="n"/>
      <c r="V450" s="689" t="n"/>
      <c r="W450" s="689" t="n"/>
      <c r="X450" s="689" t="n"/>
      <c r="Y450" s="689" t="n"/>
      <c r="Z450" s="689" t="n"/>
      <c r="AA450" s="689" t="n"/>
      <c r="AB450" s="689" t="n"/>
      <c r="AC450" s="689" t="n"/>
      <c r="AD450" s="689" t="n"/>
      <c r="AF450" s="236" t="n"/>
      <c r="AG450" s="236" t="n"/>
      <c r="AH450" s="236" t="n"/>
      <c r="AI450" s="236" t="n"/>
      <c r="AJ450" s="236" t="n"/>
      <c r="AK450" s="236" t="n"/>
      <c r="AL450" s="236" t="n"/>
      <c r="AM450" s="236" t="n"/>
      <c r="AN450" s="236" t="n"/>
      <c r="AO450" s="236" t="n"/>
      <c r="AP450" s="236" t="n"/>
      <c r="AQ450" s="236" t="n"/>
      <c r="AR450" s="236" t="n"/>
      <c r="AS450" s="236" t="n"/>
      <c r="AT450" s="236" t="n"/>
      <c r="AU450" s="236" t="n"/>
      <c r="AV450" s="236" t="n"/>
      <c r="AW450" s="236" t="n"/>
      <c r="AX450" s="692" t="n"/>
      <c r="AY450" s="692" t="n"/>
      <c r="AZ450" s="692" t="n"/>
      <c r="BA450" s="692" t="n"/>
      <c r="BB450" s="692" t="n"/>
      <c r="BC450" s="692" t="n"/>
      <c r="BD450" s="692" t="n"/>
      <c r="BE450" s="692" t="n"/>
      <c r="BF450" s="692" t="n"/>
      <c r="BG450" s="692" t="n"/>
      <c r="BH450" s="692" t="n"/>
      <c r="BI450" s="692" t="n"/>
      <c r="BJ450" s="692" t="n"/>
      <c r="BK450" s="692" t="n"/>
      <c r="BL450" s="692" t="n"/>
      <c r="BM450" s="692" t="n"/>
      <c r="BN450" s="692" t="n"/>
      <c r="BO450" s="692" t="n"/>
      <c r="BP450" s="692" t="n"/>
      <c r="BQ450" s="692" t="n"/>
    </row>
    <row r="451">
      <c r="A451" s="220" t="n"/>
      <c r="B451" s="211" t="n"/>
      <c r="C451" s="211" t="n"/>
      <c r="D451" s="211" t="n"/>
      <c r="E451" s="221" t="n"/>
      <c r="F451" s="211" t="n"/>
      <c r="G451" s="211" t="n"/>
      <c r="H451" s="211" t="n"/>
      <c r="I451" s="211" t="n"/>
      <c r="J451" s="211" t="n"/>
      <c r="K451" s="211" t="n"/>
      <c r="L451" s="213" t="n"/>
      <c r="M451" s="689" t="n"/>
      <c r="N451" s="689" t="n"/>
      <c r="O451" s="689" t="n"/>
      <c r="P451" s="227" t="n"/>
      <c r="Q451" s="689" t="n"/>
      <c r="R451" s="689" t="n"/>
      <c r="S451" s="689" t="n"/>
      <c r="T451" s="689" t="n"/>
      <c r="U451" s="689" t="n"/>
      <c r="V451" s="689" t="n"/>
      <c r="W451" s="689" t="n"/>
      <c r="X451" s="689" t="n"/>
      <c r="Y451" s="689" t="n"/>
      <c r="Z451" s="689" t="n"/>
      <c r="AA451" s="689" t="n"/>
      <c r="AB451" s="689" t="n"/>
      <c r="AC451" s="689" t="n"/>
      <c r="AD451" s="689" t="n"/>
      <c r="AF451" s="236" t="n"/>
      <c r="AG451" s="236" t="n"/>
      <c r="AH451" s="236" t="n"/>
      <c r="AI451" s="236" t="n"/>
      <c r="AJ451" s="236" t="n"/>
      <c r="AK451" s="236" t="n"/>
      <c r="AL451" s="236" t="n"/>
      <c r="AM451" s="236" t="n"/>
      <c r="AN451" s="236" t="n"/>
      <c r="AO451" s="236" t="n"/>
      <c r="AP451" s="236" t="n"/>
      <c r="AQ451" s="236" t="n"/>
      <c r="AR451" s="236" t="n"/>
      <c r="AS451" s="236" t="n"/>
      <c r="AT451" s="236" t="n"/>
      <c r="AU451" s="236" t="n"/>
      <c r="AV451" s="236" t="n"/>
      <c r="AW451" s="236" t="n"/>
      <c r="AX451" s="692" t="n"/>
      <c r="AY451" s="692" t="n"/>
      <c r="AZ451" s="692" t="n"/>
      <c r="BA451" s="692" t="n"/>
      <c r="BB451" s="692" t="n"/>
      <c r="BC451" s="692" t="n"/>
      <c r="BD451" s="692" t="n"/>
      <c r="BE451" s="692" t="n"/>
      <c r="BF451" s="692" t="n"/>
      <c r="BG451" s="692" t="n"/>
      <c r="BH451" s="692" t="n"/>
      <c r="BI451" s="692" t="n"/>
      <c r="BJ451" s="692" t="n"/>
      <c r="BK451" s="692" t="n"/>
      <c r="BL451" s="692" t="n"/>
      <c r="BM451" s="692" t="n"/>
      <c r="BN451" s="692" t="n"/>
      <c r="BO451" s="692" t="n"/>
      <c r="BP451" s="692" t="n"/>
      <c r="BQ451" s="692" t="n"/>
    </row>
    <row r="452">
      <c r="A452" s="218" t="n"/>
      <c r="B452" s="215" t="n"/>
      <c r="C452" s="215" t="n"/>
      <c r="D452" s="215" t="n"/>
      <c r="E452" s="219" t="n"/>
      <c r="F452" s="215" t="n"/>
      <c r="G452" s="215" t="n"/>
      <c r="H452" s="215" t="n"/>
      <c r="I452" s="215" t="n"/>
      <c r="J452" s="215" t="n"/>
      <c r="K452" s="215" t="n"/>
      <c r="L452" s="217" t="n"/>
      <c r="M452" s="689" t="n"/>
      <c r="N452" s="689" t="n"/>
      <c r="O452" s="689" t="n"/>
      <c r="P452" s="227" t="n"/>
      <c r="Q452" s="689" t="n"/>
      <c r="R452" s="689" t="n"/>
      <c r="S452" s="689" t="n"/>
      <c r="T452" s="689" t="n"/>
      <c r="U452" s="689" t="n"/>
      <c r="V452" s="689" t="n"/>
      <c r="W452" s="689" t="n"/>
      <c r="X452" s="689" t="n"/>
      <c r="Y452" s="689" t="n"/>
      <c r="Z452" s="689" t="n"/>
      <c r="AA452" s="689" t="n"/>
      <c r="AB452" s="689" t="n"/>
      <c r="AC452" s="689" t="n"/>
      <c r="AD452" s="689" t="n"/>
      <c r="AF452" s="236" t="n"/>
      <c r="AG452" s="236" t="n"/>
      <c r="AH452" s="236" t="n"/>
      <c r="AI452" s="236" t="n"/>
      <c r="AJ452" s="236" t="n"/>
      <c r="AK452" s="236" t="n"/>
      <c r="AL452" s="236" t="n"/>
      <c r="AM452" s="236" t="n"/>
      <c r="AN452" s="236" t="n"/>
      <c r="AO452" s="236" t="n"/>
      <c r="AP452" s="236" t="n"/>
      <c r="AQ452" s="236" t="n"/>
      <c r="AR452" s="236" t="n"/>
      <c r="AS452" s="236" t="n"/>
      <c r="AT452" s="236" t="n"/>
      <c r="AU452" s="236" t="n"/>
      <c r="AV452" s="236" t="n"/>
      <c r="AW452" s="236" t="n"/>
      <c r="AX452" s="692" t="n"/>
      <c r="AY452" s="692" t="n"/>
      <c r="AZ452" s="692" t="n"/>
      <c r="BA452" s="692" t="n"/>
      <c r="BB452" s="692" t="n"/>
      <c r="BC452" s="692" t="n"/>
      <c r="BD452" s="692" t="n"/>
      <c r="BE452" s="692" t="n"/>
      <c r="BF452" s="692" t="n"/>
      <c r="BG452" s="692" t="n"/>
      <c r="BH452" s="692" t="n"/>
      <c r="BI452" s="692" t="n"/>
      <c r="BJ452" s="692" t="n"/>
      <c r="BK452" s="692" t="n"/>
      <c r="BL452" s="692" t="n"/>
      <c r="BM452" s="692" t="n"/>
      <c r="BN452" s="692" t="n"/>
      <c r="BO452" s="692" t="n"/>
      <c r="BP452" s="692" t="n"/>
      <c r="BQ452" s="692" t="n"/>
    </row>
    <row r="453">
      <c r="A453" s="220" t="n"/>
      <c r="B453" s="211" t="n"/>
      <c r="C453" s="211" t="n"/>
      <c r="D453" s="211" t="n"/>
      <c r="E453" s="221" t="n"/>
      <c r="F453" s="211" t="n"/>
      <c r="G453" s="211" t="n"/>
      <c r="H453" s="211" t="n"/>
      <c r="I453" s="211" t="n"/>
      <c r="J453" s="211" t="n"/>
      <c r="K453" s="211" t="n"/>
      <c r="L453" s="213" t="n"/>
      <c r="M453" s="689" t="n"/>
      <c r="N453" s="689" t="n"/>
      <c r="O453" s="689" t="n"/>
      <c r="P453" s="227" t="n"/>
      <c r="Q453" s="689" t="n"/>
      <c r="R453" s="689" t="n"/>
      <c r="S453" s="689" t="n"/>
      <c r="T453" s="689" t="n"/>
      <c r="U453" s="689" t="n"/>
      <c r="V453" s="689" t="n"/>
      <c r="W453" s="689" t="n"/>
      <c r="X453" s="689" t="n"/>
      <c r="Y453" s="689" t="n"/>
      <c r="Z453" s="689" t="n"/>
      <c r="AA453" s="689" t="n"/>
      <c r="AB453" s="689" t="n"/>
      <c r="AC453" s="689" t="n"/>
      <c r="AD453" s="689" t="n"/>
      <c r="AF453" s="236" t="n"/>
      <c r="AG453" s="236" t="n"/>
      <c r="AH453" s="236" t="n"/>
      <c r="AI453" s="236" t="n"/>
      <c r="AJ453" s="236" t="n"/>
      <c r="AK453" s="236" t="n"/>
      <c r="AL453" s="236" t="n"/>
      <c r="AM453" s="236" t="n"/>
      <c r="AN453" s="236" t="n"/>
      <c r="AO453" s="236" t="n"/>
      <c r="AP453" s="236" t="n"/>
      <c r="AQ453" s="236" t="n"/>
      <c r="AR453" s="236" t="n"/>
      <c r="AS453" s="236" t="n"/>
      <c r="AT453" s="236" t="n"/>
      <c r="AU453" s="236" t="n"/>
      <c r="AV453" s="236" t="n"/>
      <c r="AW453" s="236" t="n"/>
      <c r="AX453" s="692" t="n"/>
      <c r="AY453" s="692" t="n"/>
      <c r="AZ453" s="692" t="n"/>
      <c r="BA453" s="692" t="n"/>
      <c r="BB453" s="692" t="n"/>
      <c r="BC453" s="692" t="n"/>
      <c r="BD453" s="692" t="n"/>
      <c r="BE453" s="692" t="n"/>
      <c r="BF453" s="692" t="n"/>
      <c r="BG453" s="692" t="n"/>
      <c r="BH453" s="692" t="n"/>
      <c r="BI453" s="692" t="n"/>
      <c r="BJ453" s="692" t="n"/>
      <c r="BK453" s="692" t="n"/>
      <c r="BL453" s="692" t="n"/>
      <c r="BM453" s="692" t="n"/>
      <c r="BN453" s="692" t="n"/>
      <c r="BO453" s="692" t="n"/>
      <c r="BP453" s="692" t="n"/>
      <c r="BQ453" s="692" t="n"/>
    </row>
    <row r="454">
      <c r="A454" s="218" t="n"/>
      <c r="B454" s="215" t="n"/>
      <c r="C454" s="215" t="n"/>
      <c r="D454" s="215" t="n"/>
      <c r="E454" s="219" t="n"/>
      <c r="F454" s="215" t="n"/>
      <c r="G454" s="215" t="n"/>
      <c r="H454" s="215" t="n"/>
      <c r="I454" s="215" t="n"/>
      <c r="J454" s="215" t="n"/>
      <c r="K454" s="215" t="n"/>
      <c r="L454" s="217" t="n"/>
      <c r="M454" s="689" t="n"/>
      <c r="N454" s="689" t="n"/>
      <c r="O454" s="689" t="n"/>
      <c r="P454" s="227" t="n"/>
      <c r="Q454" s="689" t="n"/>
      <c r="R454" s="689" t="n"/>
      <c r="S454" s="689" t="n"/>
      <c r="T454" s="689" t="n"/>
      <c r="U454" s="689" t="n"/>
      <c r="V454" s="689" t="n"/>
      <c r="W454" s="689" t="n"/>
      <c r="X454" s="689" t="n"/>
      <c r="Y454" s="689" t="n"/>
      <c r="Z454" s="689" t="n"/>
      <c r="AA454" s="689" t="n"/>
      <c r="AB454" s="689" t="n"/>
      <c r="AC454" s="689" t="n"/>
      <c r="AD454" s="689" t="n"/>
      <c r="AF454" s="236" t="n"/>
      <c r="AG454" s="236" t="n"/>
      <c r="AH454" s="236" t="n"/>
      <c r="AI454" s="236" t="n"/>
      <c r="AJ454" s="236" t="n"/>
      <c r="AK454" s="236" t="n"/>
      <c r="AL454" s="236" t="n"/>
      <c r="AM454" s="236" t="n"/>
      <c r="AN454" s="236" t="n"/>
      <c r="AO454" s="236" t="n"/>
      <c r="AP454" s="236" t="n"/>
      <c r="AQ454" s="236" t="n"/>
      <c r="AR454" s="236" t="n"/>
      <c r="AS454" s="236" t="n"/>
      <c r="AT454" s="236" t="n"/>
      <c r="AU454" s="236" t="n"/>
      <c r="AV454" s="236" t="n"/>
      <c r="AW454" s="236" t="n"/>
      <c r="AX454" s="692" t="n"/>
      <c r="AY454" s="692" t="n"/>
      <c r="AZ454" s="692" t="n"/>
      <c r="BA454" s="692" t="n"/>
      <c r="BB454" s="692" t="n"/>
      <c r="BC454" s="692" t="n"/>
      <c r="BD454" s="692" t="n"/>
      <c r="BE454" s="692" t="n"/>
      <c r="BF454" s="692" t="n"/>
      <c r="BG454" s="692" t="n"/>
      <c r="BH454" s="692" t="n"/>
      <c r="BI454" s="692" t="n"/>
      <c r="BJ454" s="692" t="n"/>
      <c r="BK454" s="692" t="n"/>
      <c r="BL454" s="692" t="n"/>
      <c r="BM454" s="692" t="n"/>
      <c r="BN454" s="692" t="n"/>
      <c r="BO454" s="692" t="n"/>
      <c r="BP454" s="692" t="n"/>
      <c r="BQ454" s="692" t="n"/>
    </row>
    <row r="455">
      <c r="A455" s="220" t="n"/>
      <c r="B455" s="211" t="n"/>
      <c r="C455" s="211" t="n"/>
      <c r="D455" s="211" t="n"/>
      <c r="E455" s="221" t="n"/>
      <c r="F455" s="211" t="n"/>
      <c r="G455" s="211" t="n"/>
      <c r="H455" s="211" t="n"/>
      <c r="I455" s="211" t="n"/>
      <c r="J455" s="211" t="n"/>
      <c r="K455" s="211" t="n"/>
      <c r="L455" s="213" t="n"/>
      <c r="M455" s="689" t="n"/>
      <c r="N455" s="689" t="n"/>
      <c r="O455" s="689" t="n"/>
      <c r="P455" s="227" t="n"/>
      <c r="Q455" s="689" t="n"/>
      <c r="R455" s="689" t="n"/>
      <c r="S455" s="689" t="n"/>
      <c r="T455" s="689" t="n"/>
      <c r="U455" s="689" t="n"/>
      <c r="V455" s="689" t="n"/>
      <c r="W455" s="689" t="n"/>
      <c r="X455" s="689" t="n"/>
      <c r="Y455" s="689" t="n"/>
      <c r="Z455" s="689" t="n"/>
      <c r="AA455" s="689" t="n"/>
      <c r="AB455" s="689" t="n"/>
      <c r="AC455" s="689" t="n"/>
      <c r="AD455" s="689" t="n"/>
      <c r="AF455" s="236" t="n"/>
      <c r="AG455" s="236" t="n"/>
      <c r="AH455" s="236" t="n"/>
      <c r="AI455" s="236" t="n"/>
      <c r="AJ455" s="236" t="n"/>
      <c r="AK455" s="236" t="n"/>
      <c r="AL455" s="236" t="n"/>
      <c r="AM455" s="236" t="n"/>
      <c r="AN455" s="236" t="n"/>
      <c r="AO455" s="236" t="n"/>
      <c r="AP455" s="236" t="n"/>
      <c r="AQ455" s="236" t="n"/>
      <c r="AR455" s="236" t="n"/>
      <c r="AS455" s="236" t="n"/>
      <c r="AT455" s="236" t="n"/>
      <c r="AU455" s="236" t="n"/>
      <c r="AV455" s="236" t="n"/>
      <c r="AW455" s="236" t="n"/>
      <c r="AX455" s="692" t="n"/>
      <c r="AY455" s="692" t="n"/>
      <c r="AZ455" s="692" t="n"/>
      <c r="BA455" s="692" t="n"/>
      <c r="BB455" s="692" t="n"/>
      <c r="BC455" s="692" t="n"/>
      <c r="BD455" s="692" t="n"/>
      <c r="BE455" s="692" t="n"/>
      <c r="BF455" s="692" t="n"/>
      <c r="BG455" s="692" t="n"/>
      <c r="BH455" s="692" t="n"/>
      <c r="BI455" s="692" t="n"/>
      <c r="BJ455" s="692" t="n"/>
      <c r="BK455" s="692" t="n"/>
      <c r="BL455" s="692" t="n"/>
      <c r="BM455" s="692" t="n"/>
      <c r="BN455" s="692" t="n"/>
      <c r="BO455" s="692" t="n"/>
      <c r="BP455" s="692" t="n"/>
      <c r="BQ455" s="692" t="n"/>
    </row>
    <row r="456">
      <c r="A456" s="218" t="n"/>
      <c r="B456" s="215" t="n"/>
      <c r="C456" s="215" t="n"/>
      <c r="D456" s="215" t="n"/>
      <c r="E456" s="219" t="n"/>
      <c r="F456" s="215" t="n"/>
      <c r="G456" s="215" t="n"/>
      <c r="H456" s="215" t="n"/>
      <c r="I456" s="215" t="n"/>
      <c r="J456" s="215" t="n"/>
      <c r="K456" s="215" t="n"/>
      <c r="L456" s="217" t="n"/>
      <c r="M456" s="689" t="n"/>
      <c r="N456" s="689" t="n"/>
      <c r="O456" s="689" t="n"/>
      <c r="P456" s="227" t="n"/>
      <c r="Q456" s="689" t="n"/>
      <c r="R456" s="689" t="n"/>
      <c r="S456" s="689" t="n"/>
      <c r="T456" s="689" t="n"/>
      <c r="U456" s="689" t="n"/>
      <c r="V456" s="689" t="n"/>
      <c r="W456" s="689" t="n"/>
      <c r="X456" s="689" t="n"/>
      <c r="Y456" s="689" t="n"/>
      <c r="Z456" s="689" t="n"/>
      <c r="AA456" s="689" t="n"/>
      <c r="AB456" s="689" t="n"/>
      <c r="AC456" s="689" t="n"/>
      <c r="AD456" s="689" t="n"/>
      <c r="AF456" s="236" t="n"/>
      <c r="AG456" s="236" t="n"/>
      <c r="AH456" s="236" t="n"/>
      <c r="AI456" s="236" t="n"/>
      <c r="AJ456" s="236" t="n"/>
      <c r="AK456" s="236" t="n"/>
      <c r="AL456" s="236" t="n"/>
      <c r="AM456" s="236" t="n"/>
      <c r="AN456" s="236" t="n"/>
      <c r="AO456" s="236" t="n"/>
      <c r="AP456" s="236" t="n"/>
      <c r="AQ456" s="236" t="n"/>
      <c r="AR456" s="236" t="n"/>
      <c r="AS456" s="236" t="n"/>
      <c r="AT456" s="236" t="n"/>
      <c r="AU456" s="236" t="n"/>
      <c r="AV456" s="236" t="n"/>
      <c r="AW456" s="236" t="n"/>
      <c r="AX456" s="692" t="n"/>
      <c r="AY456" s="692" t="n"/>
      <c r="AZ456" s="692" t="n"/>
      <c r="BA456" s="692" t="n"/>
      <c r="BB456" s="692" t="n"/>
      <c r="BC456" s="692" t="n"/>
      <c r="BD456" s="692" t="n"/>
      <c r="BE456" s="692" t="n"/>
      <c r="BF456" s="692" t="n"/>
      <c r="BG456" s="692" t="n"/>
      <c r="BH456" s="692" t="n"/>
      <c r="BI456" s="692" t="n"/>
      <c r="BJ456" s="692" t="n"/>
      <c r="BK456" s="692" t="n"/>
      <c r="BL456" s="692" t="n"/>
      <c r="BM456" s="692" t="n"/>
      <c r="BN456" s="692" t="n"/>
      <c r="BO456" s="692" t="n"/>
      <c r="BP456" s="692" t="n"/>
      <c r="BQ456" s="692" t="n"/>
    </row>
    <row r="457">
      <c r="A457" s="220" t="n"/>
      <c r="B457" s="211" t="n"/>
      <c r="C457" s="211" t="n"/>
      <c r="D457" s="211" t="n"/>
      <c r="E457" s="221" t="n"/>
      <c r="F457" s="211" t="n"/>
      <c r="G457" s="211" t="n"/>
      <c r="H457" s="211" t="n"/>
      <c r="I457" s="211" t="n"/>
      <c r="J457" s="211" t="n"/>
      <c r="K457" s="211" t="n"/>
      <c r="L457" s="213" t="n"/>
      <c r="M457" s="689" t="n"/>
      <c r="N457" s="689" t="n"/>
      <c r="O457" s="689" t="n"/>
      <c r="P457" s="227" t="n"/>
      <c r="Q457" s="689" t="n"/>
      <c r="R457" s="689" t="n"/>
      <c r="S457" s="689" t="n"/>
      <c r="T457" s="689" t="n"/>
      <c r="U457" s="689" t="n"/>
      <c r="V457" s="689" t="n"/>
      <c r="W457" s="689" t="n"/>
      <c r="X457" s="689" t="n"/>
      <c r="Y457" s="689" t="n"/>
      <c r="Z457" s="689" t="n"/>
      <c r="AA457" s="689" t="n"/>
      <c r="AB457" s="689" t="n"/>
      <c r="AC457" s="689" t="n"/>
      <c r="AD457" s="689" t="n"/>
      <c r="AF457" s="236" t="n"/>
      <c r="AG457" s="236" t="n"/>
      <c r="AH457" s="236" t="n"/>
      <c r="AI457" s="236" t="n"/>
      <c r="AJ457" s="236" t="n"/>
      <c r="AK457" s="236" t="n"/>
      <c r="AL457" s="236" t="n"/>
      <c r="AM457" s="236" t="n"/>
      <c r="AN457" s="236" t="n"/>
      <c r="AO457" s="236" t="n"/>
      <c r="AP457" s="236" t="n"/>
      <c r="AQ457" s="236" t="n"/>
      <c r="AR457" s="236" t="n"/>
      <c r="AS457" s="236" t="n"/>
      <c r="AT457" s="236" t="n"/>
      <c r="AU457" s="236" t="n"/>
      <c r="AV457" s="236" t="n"/>
      <c r="AW457" s="236" t="n"/>
      <c r="AX457" s="692" t="n"/>
      <c r="AY457" s="692" t="n"/>
      <c r="AZ457" s="692" t="n"/>
      <c r="BA457" s="692" t="n"/>
      <c r="BB457" s="692" t="n"/>
      <c r="BC457" s="692" t="n"/>
      <c r="BD457" s="692" t="n"/>
      <c r="BE457" s="692" t="n"/>
      <c r="BF457" s="692" t="n"/>
      <c r="BG457" s="692" t="n"/>
      <c r="BH457" s="692" t="n"/>
      <c r="BI457" s="692" t="n"/>
      <c r="BJ457" s="692" t="n"/>
      <c r="BK457" s="692" t="n"/>
      <c r="BL457" s="692" t="n"/>
      <c r="BM457" s="692" t="n"/>
      <c r="BN457" s="692" t="n"/>
      <c r="BO457" s="692" t="n"/>
      <c r="BP457" s="692" t="n"/>
      <c r="BQ457" s="692" t="n"/>
    </row>
    <row r="458">
      <c r="A458" s="218" t="n"/>
      <c r="B458" s="215" t="n"/>
      <c r="C458" s="215" t="n"/>
      <c r="D458" s="215" t="n"/>
      <c r="E458" s="219" t="n"/>
      <c r="F458" s="215" t="n"/>
      <c r="G458" s="215" t="n"/>
      <c r="H458" s="215" t="n"/>
      <c r="I458" s="215" t="n"/>
      <c r="J458" s="215" t="n"/>
      <c r="K458" s="215" t="n"/>
      <c r="L458" s="217" t="n"/>
      <c r="M458" s="689" t="n"/>
      <c r="N458" s="689" t="n"/>
      <c r="O458" s="689" t="n"/>
      <c r="P458" s="227" t="n"/>
      <c r="Q458" s="689" t="n"/>
      <c r="R458" s="689" t="n"/>
      <c r="S458" s="689" t="n"/>
      <c r="T458" s="689" t="n"/>
      <c r="U458" s="689" t="n"/>
      <c r="V458" s="689" t="n"/>
      <c r="W458" s="689" t="n"/>
      <c r="X458" s="689" t="n"/>
      <c r="Y458" s="689" t="n"/>
      <c r="Z458" s="689" t="n"/>
      <c r="AA458" s="689" t="n"/>
      <c r="AB458" s="689" t="n"/>
      <c r="AC458" s="689" t="n"/>
      <c r="AD458" s="689" t="n"/>
      <c r="AF458" s="236" t="n"/>
      <c r="AG458" s="236" t="n"/>
      <c r="AH458" s="236" t="n"/>
      <c r="AI458" s="236" t="n"/>
      <c r="AJ458" s="236" t="n"/>
      <c r="AK458" s="236" t="n"/>
      <c r="AL458" s="236" t="n"/>
      <c r="AM458" s="236" t="n"/>
      <c r="AN458" s="236" t="n"/>
      <c r="AO458" s="236" t="n"/>
      <c r="AP458" s="236" t="n"/>
      <c r="AQ458" s="236" t="n"/>
      <c r="AR458" s="236" t="n"/>
      <c r="AS458" s="236" t="n"/>
      <c r="AT458" s="236" t="n"/>
      <c r="AU458" s="236" t="n"/>
      <c r="AV458" s="236" t="n"/>
      <c r="AW458" s="236" t="n"/>
      <c r="AX458" s="692" t="n"/>
      <c r="AY458" s="692" t="n"/>
      <c r="AZ458" s="692" t="n"/>
      <c r="BA458" s="692" t="n"/>
      <c r="BB458" s="692" t="n"/>
      <c r="BC458" s="692" t="n"/>
      <c r="BD458" s="692" t="n"/>
      <c r="BE458" s="692" t="n"/>
      <c r="BF458" s="692" t="n"/>
      <c r="BG458" s="692" t="n"/>
      <c r="BH458" s="692" t="n"/>
      <c r="BI458" s="692" t="n"/>
      <c r="BJ458" s="692" t="n"/>
      <c r="BK458" s="692" t="n"/>
      <c r="BL458" s="692" t="n"/>
      <c r="BM458" s="692" t="n"/>
      <c r="BN458" s="692" t="n"/>
      <c r="BO458" s="692" t="n"/>
      <c r="BP458" s="692" t="n"/>
      <c r="BQ458" s="692" t="n"/>
    </row>
    <row r="459">
      <c r="A459" s="220" t="n"/>
      <c r="B459" s="211" t="n"/>
      <c r="C459" s="211" t="n"/>
      <c r="D459" s="211" t="n"/>
      <c r="E459" s="221" t="n"/>
      <c r="F459" s="211" t="n"/>
      <c r="G459" s="211" t="n"/>
      <c r="H459" s="211" t="n"/>
      <c r="I459" s="211" t="n"/>
      <c r="J459" s="211" t="n"/>
      <c r="K459" s="211" t="n"/>
      <c r="L459" s="213" t="n"/>
      <c r="M459" s="689" t="n"/>
      <c r="N459" s="689" t="n"/>
      <c r="O459" s="689" t="n"/>
      <c r="P459" s="227" t="n"/>
      <c r="Q459" s="689" t="n"/>
      <c r="R459" s="689" t="n"/>
      <c r="S459" s="689" t="n"/>
      <c r="T459" s="689" t="n"/>
      <c r="U459" s="689" t="n"/>
      <c r="V459" s="689" t="n"/>
      <c r="W459" s="689" t="n"/>
      <c r="X459" s="689" t="n"/>
      <c r="Y459" s="689" t="n"/>
      <c r="Z459" s="689" t="n"/>
      <c r="AA459" s="689" t="n"/>
      <c r="AB459" s="689" t="n"/>
      <c r="AC459" s="689" t="n"/>
      <c r="AD459" s="689" t="n"/>
      <c r="AF459" s="236" t="n"/>
      <c r="AG459" s="236" t="n"/>
      <c r="AH459" s="236" t="n"/>
      <c r="AI459" s="236" t="n"/>
      <c r="AJ459" s="236" t="n"/>
      <c r="AK459" s="236" t="n"/>
      <c r="AL459" s="236" t="n"/>
      <c r="AM459" s="236" t="n"/>
      <c r="AN459" s="236" t="n"/>
      <c r="AO459" s="236" t="n"/>
      <c r="AP459" s="236" t="n"/>
      <c r="AQ459" s="236" t="n"/>
      <c r="AR459" s="236" t="n"/>
      <c r="AS459" s="236" t="n"/>
      <c r="AT459" s="236" t="n"/>
      <c r="AU459" s="236" t="n"/>
      <c r="AV459" s="236" t="n"/>
      <c r="AW459" s="236" t="n"/>
      <c r="AX459" s="692" t="n"/>
      <c r="AY459" s="692" t="n"/>
      <c r="AZ459" s="692" t="n"/>
      <c r="BA459" s="692" t="n"/>
      <c r="BB459" s="692" t="n"/>
      <c r="BC459" s="692" t="n"/>
      <c r="BD459" s="692" t="n"/>
      <c r="BE459" s="692" t="n"/>
      <c r="BF459" s="692" t="n"/>
      <c r="BG459" s="692" t="n"/>
      <c r="BH459" s="692" t="n"/>
      <c r="BI459" s="692" t="n"/>
      <c r="BJ459" s="692" t="n"/>
      <c r="BK459" s="692" t="n"/>
      <c r="BL459" s="692" t="n"/>
      <c r="BM459" s="692" t="n"/>
      <c r="BN459" s="692" t="n"/>
      <c r="BO459" s="692" t="n"/>
      <c r="BP459" s="692" t="n"/>
      <c r="BQ459" s="692" t="n"/>
    </row>
    <row r="460">
      <c r="A460" s="218" t="n"/>
      <c r="B460" s="215" t="n"/>
      <c r="C460" s="215" t="n"/>
      <c r="D460" s="215" t="n"/>
      <c r="E460" s="219" t="n"/>
      <c r="F460" s="215" t="n"/>
      <c r="G460" s="215" t="n"/>
      <c r="H460" s="215" t="n"/>
      <c r="I460" s="215" t="n"/>
      <c r="J460" s="215" t="n"/>
      <c r="K460" s="215" t="n"/>
      <c r="L460" s="217" t="n"/>
      <c r="M460" s="689" t="n"/>
      <c r="N460" s="689" t="n"/>
      <c r="O460" s="689" t="n"/>
      <c r="P460" s="227" t="n"/>
      <c r="Q460" s="689" t="n"/>
      <c r="R460" s="689" t="n"/>
      <c r="S460" s="689" t="n"/>
      <c r="T460" s="689" t="n"/>
      <c r="U460" s="689" t="n"/>
      <c r="V460" s="689" t="n"/>
      <c r="W460" s="689" t="n"/>
      <c r="X460" s="689" t="n"/>
      <c r="Y460" s="689" t="n"/>
      <c r="Z460" s="689" t="n"/>
      <c r="AA460" s="689" t="n"/>
      <c r="AB460" s="689" t="n"/>
      <c r="AC460" s="689" t="n"/>
      <c r="AD460" s="689" t="n"/>
      <c r="AF460" s="236" t="n"/>
      <c r="AG460" s="236" t="n"/>
      <c r="AH460" s="236" t="n"/>
      <c r="AI460" s="236" t="n"/>
      <c r="AJ460" s="236" t="n"/>
      <c r="AK460" s="236" t="n"/>
      <c r="AL460" s="236" t="n"/>
      <c r="AM460" s="236" t="n"/>
      <c r="AN460" s="236" t="n"/>
      <c r="AO460" s="236" t="n"/>
      <c r="AP460" s="236" t="n"/>
      <c r="AQ460" s="236" t="n"/>
      <c r="AR460" s="236" t="n"/>
      <c r="AS460" s="236" t="n"/>
      <c r="AT460" s="236" t="n"/>
      <c r="AU460" s="236" t="n"/>
      <c r="AV460" s="236" t="n"/>
      <c r="AW460" s="236" t="n"/>
      <c r="AX460" s="692" t="n"/>
      <c r="AY460" s="692" t="n"/>
      <c r="AZ460" s="692" t="n"/>
      <c r="BA460" s="692" t="n"/>
      <c r="BB460" s="692" t="n"/>
      <c r="BC460" s="692" t="n"/>
      <c r="BD460" s="692" t="n"/>
      <c r="BE460" s="692" t="n"/>
      <c r="BF460" s="692" t="n"/>
      <c r="BG460" s="692" t="n"/>
      <c r="BH460" s="692" t="n"/>
      <c r="BI460" s="692" t="n"/>
      <c r="BJ460" s="692" t="n"/>
      <c r="BK460" s="692" t="n"/>
      <c r="BL460" s="692" t="n"/>
      <c r="BM460" s="692" t="n"/>
      <c r="BN460" s="692" t="n"/>
      <c r="BO460" s="692" t="n"/>
      <c r="BP460" s="692" t="n"/>
      <c r="BQ460" s="692" t="n"/>
    </row>
    <row r="461">
      <c r="A461" s="220" t="n"/>
      <c r="B461" s="211" t="n"/>
      <c r="C461" s="211" t="n"/>
      <c r="D461" s="211" t="n"/>
      <c r="E461" s="221" t="n"/>
      <c r="F461" s="211" t="n"/>
      <c r="G461" s="211" t="n"/>
      <c r="H461" s="211" t="n"/>
      <c r="I461" s="211" t="n"/>
      <c r="J461" s="211" t="n"/>
      <c r="K461" s="211" t="n"/>
      <c r="L461" s="213" t="n"/>
      <c r="M461" s="689" t="n"/>
      <c r="N461" s="689" t="n"/>
      <c r="O461" s="689" t="n"/>
      <c r="P461" s="227" t="n"/>
      <c r="Q461" s="689" t="n"/>
      <c r="R461" s="689" t="n"/>
      <c r="S461" s="689" t="n"/>
      <c r="T461" s="689" t="n"/>
      <c r="U461" s="689" t="n"/>
      <c r="V461" s="689" t="n"/>
      <c r="W461" s="689" t="n"/>
      <c r="X461" s="689" t="n"/>
      <c r="Y461" s="689" t="n"/>
      <c r="Z461" s="689" t="n"/>
      <c r="AA461" s="689" t="n"/>
      <c r="AB461" s="689" t="n"/>
      <c r="AC461" s="689" t="n"/>
      <c r="AD461" s="689" t="n"/>
      <c r="AF461" s="236" t="n"/>
      <c r="AG461" s="236" t="n"/>
      <c r="AH461" s="236" t="n"/>
      <c r="AI461" s="236" t="n"/>
      <c r="AJ461" s="236" t="n"/>
      <c r="AK461" s="236" t="n"/>
      <c r="AL461" s="236" t="n"/>
      <c r="AM461" s="236" t="n"/>
      <c r="AN461" s="236" t="n"/>
      <c r="AO461" s="236" t="n"/>
      <c r="AP461" s="236" t="n"/>
      <c r="AQ461" s="236" t="n"/>
      <c r="AR461" s="236" t="n"/>
      <c r="AS461" s="236" t="n"/>
      <c r="AT461" s="236" t="n"/>
      <c r="AU461" s="236" t="n"/>
      <c r="AV461" s="236" t="n"/>
      <c r="AW461" s="236" t="n"/>
      <c r="AX461" s="692" t="n"/>
      <c r="AY461" s="692" t="n"/>
      <c r="AZ461" s="692" t="n"/>
      <c r="BA461" s="692" t="n"/>
      <c r="BB461" s="692" t="n"/>
      <c r="BC461" s="692" t="n"/>
      <c r="BD461" s="692" t="n"/>
      <c r="BE461" s="692" t="n"/>
      <c r="BF461" s="692" t="n"/>
      <c r="BG461" s="692" t="n"/>
      <c r="BH461" s="692" t="n"/>
      <c r="BI461" s="692" t="n"/>
      <c r="BJ461" s="692" t="n"/>
      <c r="BK461" s="692" t="n"/>
      <c r="BL461" s="692" t="n"/>
      <c r="BM461" s="692" t="n"/>
      <c r="BN461" s="692" t="n"/>
      <c r="BO461" s="692" t="n"/>
      <c r="BP461" s="692" t="n"/>
      <c r="BQ461" s="692" t="n"/>
    </row>
    <row r="462">
      <c r="A462" s="218" t="n"/>
      <c r="B462" s="215" t="n"/>
      <c r="C462" s="215" t="n"/>
      <c r="D462" s="215" t="n"/>
      <c r="E462" s="219" t="n"/>
      <c r="F462" s="215" t="n"/>
      <c r="G462" s="215" t="n"/>
      <c r="H462" s="215" t="n"/>
      <c r="I462" s="215" t="n"/>
      <c r="J462" s="215" t="n"/>
      <c r="K462" s="215" t="n"/>
      <c r="L462" s="217" t="n"/>
      <c r="M462" s="689" t="n"/>
      <c r="N462" s="689" t="n"/>
      <c r="O462" s="689" t="n"/>
      <c r="P462" s="227" t="n"/>
      <c r="Q462" s="689" t="n"/>
      <c r="R462" s="689" t="n"/>
      <c r="S462" s="689" t="n"/>
      <c r="T462" s="689" t="n"/>
      <c r="U462" s="689" t="n"/>
      <c r="V462" s="689" t="n"/>
      <c r="W462" s="689" t="n"/>
      <c r="X462" s="689" t="n"/>
      <c r="Y462" s="689" t="n"/>
      <c r="Z462" s="689" t="n"/>
      <c r="AA462" s="689" t="n"/>
      <c r="AB462" s="689" t="n"/>
      <c r="AC462" s="689" t="n"/>
      <c r="AD462" s="689" t="n"/>
      <c r="AF462" s="236" t="n"/>
      <c r="AG462" s="236" t="n"/>
      <c r="AH462" s="236" t="n"/>
      <c r="AI462" s="236" t="n"/>
      <c r="AJ462" s="236" t="n"/>
      <c r="AK462" s="236" t="n"/>
      <c r="AL462" s="236" t="n"/>
      <c r="AM462" s="236" t="n"/>
      <c r="AN462" s="236" t="n"/>
      <c r="AO462" s="236" t="n"/>
      <c r="AP462" s="236" t="n"/>
      <c r="AQ462" s="236" t="n"/>
      <c r="AR462" s="236" t="n"/>
      <c r="AS462" s="236" t="n"/>
      <c r="AT462" s="236" t="n"/>
      <c r="AU462" s="236" t="n"/>
      <c r="AV462" s="236" t="n"/>
      <c r="AW462" s="236" t="n"/>
      <c r="AX462" s="692" t="n"/>
      <c r="AY462" s="692" t="n"/>
      <c r="AZ462" s="692" t="n"/>
      <c r="BA462" s="692" t="n"/>
      <c r="BB462" s="692" t="n"/>
      <c r="BC462" s="692" t="n"/>
      <c r="BD462" s="692" t="n"/>
      <c r="BE462" s="692" t="n"/>
      <c r="BF462" s="692" t="n"/>
      <c r="BG462" s="692" t="n"/>
      <c r="BH462" s="692" t="n"/>
      <c r="BI462" s="692" t="n"/>
      <c r="BJ462" s="692" t="n"/>
      <c r="BK462" s="692" t="n"/>
      <c r="BL462" s="692" t="n"/>
      <c r="BM462" s="692" t="n"/>
      <c r="BN462" s="692" t="n"/>
      <c r="BO462" s="692" t="n"/>
      <c r="BP462" s="692" t="n"/>
      <c r="BQ462" s="692" t="n"/>
    </row>
    <row r="463">
      <c r="A463" s="220" t="n"/>
      <c r="B463" s="211" t="n"/>
      <c r="C463" s="211" t="n"/>
      <c r="D463" s="211" t="n"/>
      <c r="E463" s="221" t="n"/>
      <c r="F463" s="211" t="n"/>
      <c r="G463" s="211" t="n"/>
      <c r="H463" s="211" t="n"/>
      <c r="I463" s="211" t="n"/>
      <c r="J463" s="211" t="n"/>
      <c r="K463" s="211" t="n"/>
      <c r="L463" s="213" t="n"/>
      <c r="M463" s="689" t="n"/>
      <c r="N463" s="689" t="n"/>
      <c r="O463" s="689" t="n"/>
      <c r="P463" s="227" t="n"/>
      <c r="Q463" s="689" t="n"/>
      <c r="R463" s="689" t="n"/>
      <c r="S463" s="689" t="n"/>
      <c r="T463" s="689" t="n"/>
      <c r="U463" s="689" t="n"/>
      <c r="V463" s="689" t="n"/>
      <c r="W463" s="689" t="n"/>
      <c r="X463" s="689" t="n"/>
      <c r="Y463" s="689" t="n"/>
      <c r="Z463" s="689" t="n"/>
      <c r="AA463" s="689" t="n"/>
      <c r="AB463" s="689" t="n"/>
      <c r="AC463" s="689" t="n"/>
      <c r="AD463" s="689" t="n"/>
      <c r="AF463" s="236" t="n"/>
      <c r="AG463" s="236" t="n"/>
      <c r="AH463" s="236" t="n"/>
      <c r="AI463" s="236" t="n"/>
      <c r="AJ463" s="236" t="n"/>
      <c r="AK463" s="236" t="n"/>
      <c r="AL463" s="236" t="n"/>
      <c r="AM463" s="236" t="n"/>
      <c r="AN463" s="236" t="n"/>
      <c r="AO463" s="236" t="n"/>
      <c r="AP463" s="236" t="n"/>
      <c r="AQ463" s="236" t="n"/>
      <c r="AR463" s="236" t="n"/>
      <c r="AS463" s="236" t="n"/>
      <c r="AT463" s="236" t="n"/>
      <c r="AU463" s="236" t="n"/>
      <c r="AV463" s="236" t="n"/>
      <c r="AW463" s="236" t="n"/>
      <c r="AX463" s="692" t="n"/>
      <c r="AY463" s="692" t="n"/>
      <c r="AZ463" s="692" t="n"/>
      <c r="BA463" s="692" t="n"/>
      <c r="BB463" s="692" t="n"/>
      <c r="BC463" s="692" t="n"/>
      <c r="BD463" s="692" t="n"/>
      <c r="BE463" s="692" t="n"/>
      <c r="BF463" s="692" t="n"/>
      <c r="BG463" s="692" t="n"/>
      <c r="BH463" s="692" t="n"/>
      <c r="BI463" s="692" t="n"/>
      <c r="BJ463" s="692" t="n"/>
      <c r="BK463" s="692" t="n"/>
      <c r="BL463" s="692" t="n"/>
      <c r="BM463" s="692" t="n"/>
      <c r="BN463" s="692" t="n"/>
      <c r="BO463" s="692" t="n"/>
      <c r="BP463" s="692" t="n"/>
      <c r="BQ463" s="692" t="n"/>
    </row>
    <row r="464">
      <c r="A464" s="218" t="n"/>
      <c r="B464" s="215" t="n"/>
      <c r="C464" s="215" t="n"/>
      <c r="D464" s="215" t="n"/>
      <c r="E464" s="219" t="n"/>
      <c r="F464" s="215" t="n"/>
      <c r="G464" s="215" t="n"/>
      <c r="H464" s="215" t="n"/>
      <c r="I464" s="215" t="n"/>
      <c r="J464" s="215" t="n"/>
      <c r="K464" s="215" t="n"/>
      <c r="L464" s="217" t="n"/>
      <c r="M464" s="689" t="n"/>
      <c r="N464" s="689" t="n"/>
      <c r="O464" s="689" t="n"/>
      <c r="P464" s="227" t="n"/>
      <c r="Q464" s="689" t="n"/>
      <c r="R464" s="689" t="n"/>
      <c r="S464" s="689" t="n"/>
      <c r="T464" s="689" t="n"/>
      <c r="U464" s="689" t="n"/>
      <c r="V464" s="689" t="n"/>
      <c r="W464" s="689" t="n"/>
      <c r="X464" s="689" t="n"/>
      <c r="Y464" s="689" t="n"/>
      <c r="Z464" s="689" t="n"/>
      <c r="AA464" s="689" t="n"/>
      <c r="AB464" s="689" t="n"/>
      <c r="AC464" s="689" t="n"/>
      <c r="AD464" s="689" t="n"/>
      <c r="AF464" s="236" t="n"/>
      <c r="AG464" s="236" t="n"/>
      <c r="AH464" s="236" t="n"/>
      <c r="AI464" s="236" t="n"/>
      <c r="AJ464" s="236" t="n"/>
      <c r="AK464" s="236" t="n"/>
      <c r="AL464" s="236" t="n"/>
      <c r="AM464" s="236" t="n"/>
      <c r="AN464" s="236" t="n"/>
      <c r="AO464" s="236" t="n"/>
      <c r="AP464" s="236" t="n"/>
      <c r="AQ464" s="236" t="n"/>
      <c r="AR464" s="236" t="n"/>
      <c r="AS464" s="236" t="n"/>
      <c r="AT464" s="236" t="n"/>
      <c r="AU464" s="236" t="n"/>
      <c r="AV464" s="236" t="n"/>
      <c r="AW464" s="236" t="n"/>
      <c r="AX464" s="692" t="n"/>
      <c r="AY464" s="692" t="n"/>
      <c r="AZ464" s="692" t="n"/>
      <c r="BA464" s="692" t="n"/>
      <c r="BB464" s="692" t="n"/>
      <c r="BC464" s="692" t="n"/>
      <c r="BD464" s="692" t="n"/>
      <c r="BE464" s="692" t="n"/>
      <c r="BF464" s="692" t="n"/>
      <c r="BG464" s="692" t="n"/>
      <c r="BH464" s="692" t="n"/>
      <c r="BI464" s="692" t="n"/>
      <c r="BJ464" s="692" t="n"/>
      <c r="BK464" s="692" t="n"/>
      <c r="BL464" s="692" t="n"/>
      <c r="BM464" s="692" t="n"/>
      <c r="BN464" s="692" t="n"/>
      <c r="BO464" s="692" t="n"/>
      <c r="BP464" s="692" t="n"/>
      <c r="BQ464" s="692" t="n"/>
    </row>
    <row r="465">
      <c r="A465" s="220" t="n"/>
      <c r="B465" s="211" t="n"/>
      <c r="C465" s="211" t="n"/>
      <c r="D465" s="211" t="n"/>
      <c r="E465" s="221" t="n"/>
      <c r="F465" s="211" t="n"/>
      <c r="G465" s="211" t="n"/>
      <c r="H465" s="211" t="n"/>
      <c r="I465" s="211" t="n"/>
      <c r="J465" s="211" t="n"/>
      <c r="K465" s="211" t="n"/>
      <c r="L465" s="213" t="n"/>
      <c r="M465" s="689" t="n"/>
      <c r="N465" s="689" t="n"/>
      <c r="O465" s="689" t="n"/>
      <c r="P465" s="227" t="n"/>
      <c r="Q465" s="689" t="n"/>
      <c r="R465" s="689" t="n"/>
      <c r="S465" s="689" t="n"/>
      <c r="T465" s="689" t="n"/>
      <c r="U465" s="689" t="n"/>
      <c r="V465" s="689" t="n"/>
      <c r="W465" s="689" t="n"/>
      <c r="X465" s="689" t="n"/>
      <c r="Y465" s="689" t="n"/>
      <c r="Z465" s="689" t="n"/>
      <c r="AA465" s="689" t="n"/>
      <c r="AB465" s="689" t="n"/>
      <c r="AC465" s="689" t="n"/>
      <c r="AD465" s="689" t="n"/>
      <c r="AF465" s="236" t="n"/>
      <c r="AG465" s="236" t="n"/>
      <c r="AH465" s="236" t="n"/>
      <c r="AI465" s="236" t="n"/>
      <c r="AJ465" s="236" t="n"/>
      <c r="AK465" s="236" t="n"/>
      <c r="AL465" s="236" t="n"/>
      <c r="AM465" s="236" t="n"/>
      <c r="AN465" s="236" t="n"/>
      <c r="AO465" s="236" t="n"/>
      <c r="AP465" s="236" t="n"/>
      <c r="AQ465" s="236" t="n"/>
      <c r="AR465" s="236" t="n"/>
      <c r="AS465" s="236" t="n"/>
      <c r="AT465" s="236" t="n"/>
      <c r="AU465" s="236" t="n"/>
      <c r="AV465" s="236" t="n"/>
      <c r="AW465" s="236" t="n"/>
      <c r="AX465" s="692" t="n"/>
      <c r="AY465" s="692" t="n"/>
      <c r="AZ465" s="692" t="n"/>
      <c r="BA465" s="692" t="n"/>
      <c r="BB465" s="692" t="n"/>
      <c r="BC465" s="692" t="n"/>
      <c r="BD465" s="692" t="n"/>
      <c r="BE465" s="692" t="n"/>
      <c r="BF465" s="692" t="n"/>
      <c r="BG465" s="692" t="n"/>
      <c r="BH465" s="692" t="n"/>
      <c r="BI465" s="692" t="n"/>
      <c r="BJ465" s="692" t="n"/>
      <c r="BK465" s="692" t="n"/>
      <c r="BL465" s="692" t="n"/>
      <c r="BM465" s="692" t="n"/>
      <c r="BN465" s="692" t="n"/>
      <c r="BO465" s="692" t="n"/>
      <c r="BP465" s="692" t="n"/>
      <c r="BQ465" s="692" t="n"/>
    </row>
    <row r="466">
      <c r="A466" s="218" t="n"/>
      <c r="B466" s="215" t="n"/>
      <c r="C466" s="215" t="n"/>
      <c r="D466" s="215" t="n"/>
      <c r="E466" s="219" t="n"/>
      <c r="F466" s="215" t="n"/>
      <c r="G466" s="215" t="n"/>
      <c r="H466" s="215" t="n"/>
      <c r="I466" s="215" t="n"/>
      <c r="J466" s="215" t="n"/>
      <c r="K466" s="215" t="n"/>
      <c r="L466" s="217" t="n"/>
      <c r="M466" s="689" t="n"/>
      <c r="N466" s="689" t="n"/>
      <c r="O466" s="689" t="n"/>
      <c r="P466" s="227" t="n"/>
      <c r="Q466" s="689" t="n"/>
      <c r="R466" s="689" t="n"/>
      <c r="S466" s="689" t="n"/>
      <c r="T466" s="689" t="n"/>
      <c r="U466" s="689" t="n"/>
      <c r="V466" s="689" t="n"/>
      <c r="W466" s="689" t="n"/>
      <c r="X466" s="689" t="n"/>
      <c r="Y466" s="689" t="n"/>
      <c r="Z466" s="689" t="n"/>
      <c r="AA466" s="689" t="n"/>
      <c r="AB466" s="689" t="n"/>
      <c r="AC466" s="689" t="n"/>
      <c r="AD466" s="689" t="n"/>
      <c r="AF466" s="236" t="n"/>
      <c r="AG466" s="236" t="n"/>
      <c r="AH466" s="236" t="n"/>
      <c r="AI466" s="236" t="n"/>
      <c r="AJ466" s="236" t="n"/>
      <c r="AK466" s="236" t="n"/>
      <c r="AL466" s="236" t="n"/>
      <c r="AM466" s="236" t="n"/>
      <c r="AN466" s="236" t="n"/>
      <c r="AO466" s="236" t="n"/>
      <c r="AP466" s="236" t="n"/>
      <c r="AQ466" s="236" t="n"/>
      <c r="AR466" s="236" t="n"/>
      <c r="AS466" s="236" t="n"/>
      <c r="AT466" s="236" t="n"/>
      <c r="AU466" s="236" t="n"/>
      <c r="AV466" s="236" t="n"/>
      <c r="AW466" s="236" t="n"/>
      <c r="AX466" s="692" t="n"/>
      <c r="AY466" s="692" t="n"/>
      <c r="AZ466" s="692" t="n"/>
      <c r="BA466" s="692" t="n"/>
      <c r="BB466" s="692" t="n"/>
      <c r="BC466" s="692" t="n"/>
      <c r="BD466" s="692" t="n"/>
      <c r="BE466" s="692" t="n"/>
      <c r="BF466" s="692" t="n"/>
      <c r="BG466" s="692" t="n"/>
      <c r="BH466" s="692" t="n"/>
      <c r="BI466" s="692" t="n"/>
      <c r="BJ466" s="692" t="n"/>
      <c r="BK466" s="692" t="n"/>
      <c r="BL466" s="692" t="n"/>
      <c r="BM466" s="692" t="n"/>
      <c r="BN466" s="692" t="n"/>
      <c r="BO466" s="692" t="n"/>
      <c r="BP466" s="692" t="n"/>
      <c r="BQ466" s="692" t="n"/>
    </row>
    <row r="467">
      <c r="A467" s="220" t="n"/>
      <c r="B467" s="211" t="n"/>
      <c r="C467" s="211" t="n"/>
      <c r="D467" s="211" t="n"/>
      <c r="E467" s="221" t="n"/>
      <c r="F467" s="211" t="n"/>
      <c r="G467" s="211" t="n"/>
      <c r="H467" s="211" t="n"/>
      <c r="I467" s="211" t="n"/>
      <c r="J467" s="211" t="n"/>
      <c r="K467" s="211" t="n"/>
      <c r="L467" s="213" t="n"/>
      <c r="M467" s="689" t="n"/>
      <c r="N467" s="689" t="n"/>
      <c r="O467" s="689" t="n"/>
      <c r="P467" s="227" t="n"/>
      <c r="Q467" s="689" t="n"/>
      <c r="R467" s="689" t="n"/>
      <c r="S467" s="689" t="n"/>
      <c r="T467" s="689" t="n"/>
      <c r="U467" s="689" t="n"/>
      <c r="V467" s="689" t="n"/>
      <c r="W467" s="689" t="n"/>
      <c r="X467" s="689" t="n"/>
      <c r="Y467" s="689" t="n"/>
      <c r="Z467" s="689" t="n"/>
      <c r="AA467" s="689" t="n"/>
      <c r="AB467" s="689" t="n"/>
      <c r="AC467" s="689" t="n"/>
      <c r="AD467" s="689" t="n"/>
      <c r="AF467" s="236" t="n"/>
      <c r="AG467" s="236" t="n"/>
      <c r="AH467" s="236" t="n"/>
      <c r="AI467" s="236" t="n"/>
      <c r="AJ467" s="236" t="n"/>
      <c r="AK467" s="236" t="n"/>
      <c r="AL467" s="236" t="n"/>
      <c r="AM467" s="236" t="n"/>
      <c r="AN467" s="236" t="n"/>
      <c r="AO467" s="236" t="n"/>
      <c r="AP467" s="236" t="n"/>
      <c r="AQ467" s="236" t="n"/>
      <c r="AR467" s="236" t="n"/>
      <c r="AS467" s="236" t="n"/>
      <c r="AT467" s="236" t="n"/>
      <c r="AU467" s="236" t="n"/>
      <c r="AV467" s="236" t="n"/>
      <c r="AW467" s="236" t="n"/>
      <c r="AX467" s="692" t="n"/>
      <c r="AY467" s="692" t="n"/>
      <c r="AZ467" s="692" t="n"/>
      <c r="BA467" s="692" t="n"/>
      <c r="BB467" s="692" t="n"/>
      <c r="BC467" s="692" t="n"/>
      <c r="BD467" s="692" t="n"/>
      <c r="BE467" s="692" t="n"/>
      <c r="BF467" s="692" t="n"/>
      <c r="BG467" s="692" t="n"/>
      <c r="BH467" s="692" t="n"/>
      <c r="BI467" s="692" t="n"/>
      <c r="BJ467" s="692" t="n"/>
      <c r="BK467" s="692" t="n"/>
      <c r="BL467" s="692" t="n"/>
      <c r="BM467" s="692" t="n"/>
      <c r="BN467" s="692" t="n"/>
      <c r="BO467" s="692" t="n"/>
      <c r="BP467" s="692" t="n"/>
      <c r="BQ467" s="692" t="n"/>
    </row>
    <row r="468">
      <c r="A468" s="218" t="n"/>
      <c r="B468" s="215" t="n"/>
      <c r="C468" s="215" t="n"/>
      <c r="D468" s="215" t="n"/>
      <c r="E468" s="219" t="n"/>
      <c r="F468" s="215" t="n"/>
      <c r="G468" s="215" t="n"/>
      <c r="H468" s="215" t="n"/>
      <c r="I468" s="215" t="n"/>
      <c r="J468" s="215" t="n"/>
      <c r="K468" s="215" t="n"/>
      <c r="L468" s="217" t="n"/>
      <c r="M468" s="689" t="n"/>
      <c r="N468" s="689" t="n"/>
      <c r="O468" s="689" t="n"/>
      <c r="P468" s="227" t="n"/>
      <c r="Q468" s="689" t="n"/>
      <c r="R468" s="689" t="n"/>
      <c r="S468" s="689" t="n"/>
      <c r="T468" s="689" t="n"/>
      <c r="U468" s="689" t="n"/>
      <c r="V468" s="689" t="n"/>
      <c r="W468" s="689" t="n"/>
      <c r="X468" s="689" t="n"/>
      <c r="Y468" s="689" t="n"/>
      <c r="Z468" s="689" t="n"/>
      <c r="AA468" s="689" t="n"/>
      <c r="AB468" s="689" t="n"/>
      <c r="AC468" s="689" t="n"/>
      <c r="AD468" s="689" t="n"/>
      <c r="AF468" s="236" t="n"/>
      <c r="AG468" s="236" t="n"/>
      <c r="AH468" s="236" t="n"/>
      <c r="AI468" s="236" t="n"/>
      <c r="AJ468" s="236" t="n"/>
      <c r="AK468" s="236" t="n"/>
      <c r="AL468" s="236" t="n"/>
      <c r="AM468" s="236" t="n"/>
      <c r="AN468" s="236" t="n"/>
      <c r="AO468" s="236" t="n"/>
      <c r="AP468" s="236" t="n"/>
      <c r="AQ468" s="236" t="n"/>
      <c r="AR468" s="236" t="n"/>
      <c r="AS468" s="236" t="n"/>
      <c r="AT468" s="236" t="n"/>
      <c r="AU468" s="236" t="n"/>
      <c r="AV468" s="236" t="n"/>
      <c r="AW468" s="236" t="n"/>
      <c r="AX468" s="692" t="n"/>
      <c r="AY468" s="692" t="n"/>
      <c r="AZ468" s="692" t="n"/>
      <c r="BA468" s="692" t="n"/>
      <c r="BB468" s="692" t="n"/>
      <c r="BC468" s="692" t="n"/>
      <c r="BD468" s="692" t="n"/>
      <c r="BE468" s="692" t="n"/>
      <c r="BF468" s="692" t="n"/>
      <c r="BG468" s="692" t="n"/>
      <c r="BH468" s="692" t="n"/>
      <c r="BI468" s="692" t="n"/>
      <c r="BJ468" s="692" t="n"/>
      <c r="BK468" s="692" t="n"/>
      <c r="BL468" s="692" t="n"/>
      <c r="BM468" s="692" t="n"/>
      <c r="BN468" s="692" t="n"/>
      <c r="BO468" s="692" t="n"/>
      <c r="BP468" s="692" t="n"/>
      <c r="BQ468" s="692" t="n"/>
    </row>
    <row r="469">
      <c r="A469" s="220" t="n"/>
      <c r="B469" s="211" t="n"/>
      <c r="C469" s="211" t="n"/>
      <c r="D469" s="211" t="n"/>
      <c r="E469" s="221" t="n"/>
      <c r="F469" s="211" t="n"/>
      <c r="G469" s="211" t="n"/>
      <c r="H469" s="211" t="n"/>
      <c r="I469" s="211" t="n"/>
      <c r="J469" s="211" t="n"/>
      <c r="K469" s="211" t="n"/>
      <c r="L469" s="213" t="n"/>
      <c r="M469" s="689" t="n"/>
      <c r="N469" s="689" t="n"/>
      <c r="O469" s="689" t="n"/>
      <c r="P469" s="227" t="n"/>
      <c r="Q469" s="689" t="n"/>
      <c r="R469" s="689" t="n"/>
      <c r="S469" s="689" t="n"/>
      <c r="T469" s="689" t="n"/>
      <c r="U469" s="689" t="n"/>
      <c r="V469" s="689" t="n"/>
      <c r="W469" s="689" t="n"/>
      <c r="X469" s="689" t="n"/>
      <c r="Y469" s="689" t="n"/>
      <c r="Z469" s="689" t="n"/>
      <c r="AA469" s="689" t="n"/>
      <c r="AB469" s="689" t="n"/>
      <c r="AC469" s="689" t="n"/>
      <c r="AD469" s="689" t="n"/>
      <c r="AF469" s="236" t="n"/>
      <c r="AG469" s="236" t="n"/>
      <c r="AH469" s="236" t="n"/>
      <c r="AI469" s="236" t="n"/>
      <c r="AJ469" s="236" t="n"/>
      <c r="AK469" s="236" t="n"/>
      <c r="AL469" s="236" t="n"/>
      <c r="AM469" s="236" t="n"/>
      <c r="AN469" s="236" t="n"/>
      <c r="AO469" s="236" t="n"/>
      <c r="AP469" s="236" t="n"/>
      <c r="AQ469" s="236" t="n"/>
      <c r="AR469" s="236" t="n"/>
      <c r="AS469" s="236" t="n"/>
      <c r="AT469" s="236" t="n"/>
      <c r="AU469" s="236" t="n"/>
      <c r="AV469" s="236" t="n"/>
      <c r="AW469" s="236" t="n"/>
      <c r="AX469" s="692" t="n"/>
      <c r="AY469" s="692" t="n"/>
      <c r="AZ469" s="692" t="n"/>
      <c r="BA469" s="692" t="n"/>
      <c r="BB469" s="692" t="n"/>
      <c r="BC469" s="692" t="n"/>
      <c r="BD469" s="692" t="n"/>
      <c r="BE469" s="692" t="n"/>
      <c r="BF469" s="692" t="n"/>
      <c r="BG469" s="692" t="n"/>
      <c r="BH469" s="692" t="n"/>
      <c r="BI469" s="692" t="n"/>
      <c r="BJ469" s="692" t="n"/>
      <c r="BK469" s="692" t="n"/>
      <c r="BL469" s="692" t="n"/>
      <c r="BM469" s="692" t="n"/>
      <c r="BN469" s="692" t="n"/>
      <c r="BO469" s="692" t="n"/>
      <c r="BP469" s="692" t="n"/>
      <c r="BQ469" s="692" t="n"/>
    </row>
    <row r="470">
      <c r="A470" s="218" t="n"/>
      <c r="B470" s="215" t="n"/>
      <c r="C470" s="215" t="n"/>
      <c r="D470" s="215" t="n"/>
      <c r="E470" s="219" t="n"/>
      <c r="F470" s="215" t="n"/>
      <c r="G470" s="215" t="n"/>
      <c r="H470" s="215" t="n"/>
      <c r="I470" s="215" t="n"/>
      <c r="J470" s="215" t="n"/>
      <c r="K470" s="215" t="n"/>
      <c r="L470" s="217" t="n"/>
      <c r="M470" s="689" t="n"/>
      <c r="N470" s="689" t="n"/>
      <c r="O470" s="689" t="n"/>
      <c r="P470" s="227" t="n"/>
      <c r="Q470" s="689" t="n"/>
      <c r="R470" s="689" t="n"/>
      <c r="S470" s="689" t="n"/>
      <c r="T470" s="689" t="n"/>
      <c r="U470" s="689" t="n"/>
      <c r="V470" s="689" t="n"/>
      <c r="W470" s="689" t="n"/>
      <c r="X470" s="689" t="n"/>
      <c r="Y470" s="689" t="n"/>
      <c r="Z470" s="689" t="n"/>
      <c r="AA470" s="689" t="n"/>
      <c r="AB470" s="689" t="n"/>
      <c r="AC470" s="689" t="n"/>
      <c r="AD470" s="689" t="n"/>
      <c r="AF470" s="236" t="n"/>
      <c r="AG470" s="236" t="n"/>
      <c r="AH470" s="236" t="n"/>
      <c r="AI470" s="236" t="n"/>
      <c r="AJ470" s="236" t="n"/>
      <c r="AK470" s="236" t="n"/>
      <c r="AL470" s="236" t="n"/>
      <c r="AM470" s="236" t="n"/>
      <c r="AN470" s="236" t="n"/>
      <c r="AO470" s="236" t="n"/>
      <c r="AP470" s="236" t="n"/>
      <c r="AQ470" s="236" t="n"/>
      <c r="AR470" s="236" t="n"/>
      <c r="AS470" s="236" t="n"/>
      <c r="AT470" s="236" t="n"/>
      <c r="AU470" s="236" t="n"/>
      <c r="AV470" s="236" t="n"/>
      <c r="AW470" s="236" t="n"/>
      <c r="AX470" s="692" t="n"/>
      <c r="AY470" s="692" t="n"/>
      <c r="AZ470" s="692" t="n"/>
      <c r="BA470" s="692" t="n"/>
      <c r="BB470" s="692" t="n"/>
      <c r="BC470" s="692" t="n"/>
      <c r="BD470" s="692" t="n"/>
      <c r="BE470" s="692" t="n"/>
      <c r="BF470" s="692" t="n"/>
      <c r="BG470" s="692" t="n"/>
      <c r="BH470" s="692" t="n"/>
      <c r="BI470" s="692" t="n"/>
      <c r="BJ470" s="692" t="n"/>
      <c r="BK470" s="692" t="n"/>
      <c r="BL470" s="692" t="n"/>
      <c r="BM470" s="692" t="n"/>
      <c r="BN470" s="692" t="n"/>
      <c r="BO470" s="692" t="n"/>
      <c r="BP470" s="692" t="n"/>
      <c r="BQ470" s="692" t="n"/>
    </row>
    <row r="471">
      <c r="A471" s="220" t="n"/>
      <c r="B471" s="211" t="n"/>
      <c r="C471" s="211" t="n"/>
      <c r="D471" s="211" t="n"/>
      <c r="E471" s="221" t="n"/>
      <c r="F471" s="211" t="n"/>
      <c r="G471" s="211" t="n"/>
      <c r="H471" s="211" t="n"/>
      <c r="I471" s="211" t="n"/>
      <c r="J471" s="211" t="n"/>
      <c r="K471" s="211" t="n"/>
      <c r="L471" s="213" t="n"/>
      <c r="M471" s="689" t="n"/>
      <c r="N471" s="689" t="n"/>
      <c r="O471" s="689" t="n"/>
      <c r="P471" s="227" t="n"/>
      <c r="Q471" s="689" t="n"/>
      <c r="R471" s="689" t="n"/>
      <c r="S471" s="689" t="n"/>
      <c r="T471" s="689" t="n"/>
      <c r="U471" s="689" t="n"/>
      <c r="V471" s="689" t="n"/>
      <c r="W471" s="689" t="n"/>
      <c r="X471" s="689" t="n"/>
      <c r="Y471" s="689" t="n"/>
      <c r="Z471" s="689" t="n"/>
      <c r="AA471" s="689" t="n"/>
      <c r="AB471" s="689" t="n"/>
      <c r="AC471" s="689" t="n"/>
      <c r="AD471" s="689" t="n"/>
      <c r="AF471" s="236" t="n"/>
      <c r="AG471" s="236" t="n"/>
      <c r="AH471" s="236" t="n"/>
      <c r="AI471" s="236" t="n"/>
      <c r="AJ471" s="236" t="n"/>
      <c r="AK471" s="236" t="n"/>
      <c r="AL471" s="236" t="n"/>
      <c r="AM471" s="236" t="n"/>
      <c r="AN471" s="236" t="n"/>
      <c r="AO471" s="236" t="n"/>
      <c r="AP471" s="236" t="n"/>
      <c r="AQ471" s="236" t="n"/>
      <c r="AR471" s="236" t="n"/>
      <c r="AS471" s="236" t="n"/>
      <c r="AT471" s="236" t="n"/>
      <c r="AU471" s="236" t="n"/>
      <c r="AV471" s="236" t="n"/>
      <c r="AW471" s="236" t="n"/>
      <c r="AX471" s="692" t="n"/>
      <c r="AY471" s="692" t="n"/>
      <c r="AZ471" s="692" t="n"/>
      <c r="BA471" s="692" t="n"/>
      <c r="BB471" s="692" t="n"/>
      <c r="BC471" s="692" t="n"/>
      <c r="BD471" s="692" t="n"/>
      <c r="BE471" s="692" t="n"/>
      <c r="BF471" s="692" t="n"/>
      <c r="BG471" s="692" t="n"/>
      <c r="BH471" s="692" t="n"/>
      <c r="BI471" s="692" t="n"/>
      <c r="BJ471" s="692" t="n"/>
      <c r="BK471" s="692" t="n"/>
      <c r="BL471" s="692" t="n"/>
      <c r="BM471" s="692" t="n"/>
      <c r="BN471" s="692" t="n"/>
      <c r="BO471" s="692" t="n"/>
      <c r="BP471" s="692" t="n"/>
      <c r="BQ471" s="692" t="n"/>
    </row>
    <row r="472">
      <c r="A472" s="218" t="n"/>
      <c r="B472" s="215" t="n"/>
      <c r="C472" s="215" t="n"/>
      <c r="D472" s="215" t="n"/>
      <c r="E472" s="219" t="n"/>
      <c r="F472" s="215" t="n"/>
      <c r="G472" s="215" t="n"/>
      <c r="H472" s="215" t="n"/>
      <c r="I472" s="215" t="n"/>
      <c r="J472" s="215" t="n"/>
      <c r="K472" s="215" t="n"/>
      <c r="L472" s="217" t="n"/>
      <c r="M472" s="689" t="n"/>
      <c r="N472" s="689" t="n"/>
      <c r="O472" s="689" t="n"/>
      <c r="P472" s="227" t="n"/>
      <c r="Q472" s="689" t="n"/>
      <c r="R472" s="689" t="n"/>
      <c r="S472" s="689" t="n"/>
      <c r="T472" s="689" t="n"/>
      <c r="U472" s="689" t="n"/>
      <c r="V472" s="689" t="n"/>
      <c r="W472" s="689" t="n"/>
      <c r="X472" s="689" t="n"/>
      <c r="Y472" s="689" t="n"/>
      <c r="Z472" s="689" t="n"/>
      <c r="AA472" s="689" t="n"/>
      <c r="AB472" s="689" t="n"/>
      <c r="AC472" s="689" t="n"/>
      <c r="AD472" s="689" t="n"/>
      <c r="AF472" s="236" t="n"/>
      <c r="AG472" s="236" t="n"/>
      <c r="AH472" s="236" t="n"/>
      <c r="AI472" s="236" t="n"/>
      <c r="AJ472" s="236" t="n"/>
      <c r="AK472" s="236" t="n"/>
      <c r="AL472" s="236" t="n"/>
      <c r="AM472" s="236" t="n"/>
      <c r="AN472" s="236" t="n"/>
      <c r="AO472" s="236" t="n"/>
      <c r="AP472" s="236" t="n"/>
      <c r="AQ472" s="236" t="n"/>
      <c r="AR472" s="236" t="n"/>
      <c r="AS472" s="236" t="n"/>
      <c r="AT472" s="236" t="n"/>
      <c r="AU472" s="236" t="n"/>
      <c r="AV472" s="236" t="n"/>
      <c r="AW472" s="236" t="n"/>
      <c r="AX472" s="692" t="n"/>
      <c r="AY472" s="692" t="n"/>
      <c r="AZ472" s="692" t="n"/>
      <c r="BA472" s="692" t="n"/>
      <c r="BB472" s="692" t="n"/>
      <c r="BC472" s="692" t="n"/>
      <c r="BD472" s="692" t="n"/>
      <c r="BE472" s="692" t="n"/>
      <c r="BF472" s="692" t="n"/>
      <c r="BG472" s="692" t="n"/>
      <c r="BH472" s="692" t="n"/>
      <c r="BI472" s="692" t="n"/>
      <c r="BJ472" s="692" t="n"/>
      <c r="BK472" s="692" t="n"/>
      <c r="BL472" s="692" t="n"/>
      <c r="BM472" s="692" t="n"/>
      <c r="BN472" s="692" t="n"/>
      <c r="BO472" s="692" t="n"/>
      <c r="BP472" s="692" t="n"/>
      <c r="BQ472" s="692" t="n"/>
    </row>
    <row r="473">
      <c r="A473" s="220" t="n"/>
      <c r="B473" s="211" t="n"/>
      <c r="C473" s="211" t="n"/>
      <c r="D473" s="211" t="n"/>
      <c r="E473" s="221" t="n"/>
      <c r="F473" s="211" t="n"/>
      <c r="G473" s="211" t="n"/>
      <c r="H473" s="211" t="n"/>
      <c r="I473" s="211" t="n"/>
      <c r="J473" s="211" t="n"/>
      <c r="K473" s="211" t="n"/>
      <c r="L473" s="213" t="n"/>
      <c r="M473" s="689" t="n"/>
      <c r="N473" s="689" t="n"/>
      <c r="O473" s="689" t="n"/>
      <c r="P473" s="227" t="n"/>
      <c r="Q473" s="689" t="n"/>
      <c r="R473" s="689" t="n"/>
      <c r="S473" s="689" t="n"/>
      <c r="T473" s="689" t="n"/>
      <c r="U473" s="689" t="n"/>
      <c r="V473" s="689" t="n"/>
      <c r="W473" s="689" t="n"/>
      <c r="X473" s="689" t="n"/>
      <c r="Y473" s="689" t="n"/>
      <c r="Z473" s="689" t="n"/>
      <c r="AA473" s="689" t="n"/>
      <c r="AB473" s="689" t="n"/>
      <c r="AC473" s="689" t="n"/>
      <c r="AD473" s="689" t="n"/>
      <c r="AF473" s="236" t="n"/>
      <c r="AG473" s="236" t="n"/>
      <c r="AH473" s="236" t="n"/>
      <c r="AI473" s="236" t="n"/>
      <c r="AJ473" s="236" t="n"/>
      <c r="AK473" s="236" t="n"/>
      <c r="AL473" s="236" t="n"/>
      <c r="AM473" s="236" t="n"/>
      <c r="AN473" s="236" t="n"/>
      <c r="AO473" s="236" t="n"/>
      <c r="AP473" s="236" t="n"/>
      <c r="AQ473" s="236" t="n"/>
      <c r="AR473" s="236" t="n"/>
      <c r="AS473" s="236" t="n"/>
      <c r="AT473" s="236" t="n"/>
      <c r="AU473" s="236" t="n"/>
      <c r="AV473" s="236" t="n"/>
      <c r="AW473" s="236" t="n"/>
      <c r="AX473" s="692" t="n"/>
      <c r="AY473" s="692" t="n"/>
      <c r="AZ473" s="692" t="n"/>
      <c r="BA473" s="692" t="n"/>
      <c r="BB473" s="692" t="n"/>
      <c r="BC473" s="692" t="n"/>
      <c r="BD473" s="692" t="n"/>
      <c r="BE473" s="692" t="n"/>
      <c r="BF473" s="692" t="n"/>
      <c r="BG473" s="692" t="n"/>
      <c r="BH473" s="692" t="n"/>
      <c r="BI473" s="692" t="n"/>
      <c r="BJ473" s="692" t="n"/>
      <c r="BK473" s="692" t="n"/>
      <c r="BL473" s="692" t="n"/>
      <c r="BM473" s="692" t="n"/>
      <c r="BN473" s="692" t="n"/>
      <c r="BO473" s="692" t="n"/>
      <c r="BP473" s="692" t="n"/>
      <c r="BQ473" s="692" t="n"/>
    </row>
    <row r="474">
      <c r="A474" s="218" t="n"/>
      <c r="B474" s="215" t="n"/>
      <c r="C474" s="215" t="n"/>
      <c r="D474" s="215" t="n"/>
      <c r="E474" s="219" t="n"/>
      <c r="F474" s="215" t="n"/>
      <c r="G474" s="215" t="n"/>
      <c r="H474" s="215" t="n"/>
      <c r="I474" s="215" t="n"/>
      <c r="J474" s="215" t="n"/>
      <c r="K474" s="215" t="n"/>
      <c r="L474" s="217" t="n"/>
      <c r="M474" s="689" t="n"/>
      <c r="N474" s="689" t="n"/>
      <c r="O474" s="689" t="n"/>
      <c r="P474" s="227" t="n"/>
      <c r="Q474" s="689" t="n"/>
      <c r="R474" s="689" t="n"/>
      <c r="S474" s="689" t="n"/>
      <c r="T474" s="689" t="n"/>
      <c r="U474" s="689" t="n"/>
      <c r="V474" s="689" t="n"/>
      <c r="W474" s="689" t="n"/>
      <c r="X474" s="689" t="n"/>
      <c r="Y474" s="689" t="n"/>
      <c r="Z474" s="689" t="n"/>
      <c r="AA474" s="689" t="n"/>
      <c r="AB474" s="689" t="n"/>
      <c r="AC474" s="689" t="n"/>
      <c r="AD474" s="689" t="n"/>
      <c r="AF474" s="236" t="n"/>
      <c r="AG474" s="236" t="n"/>
      <c r="AH474" s="236" t="n"/>
      <c r="AI474" s="236" t="n"/>
      <c r="AJ474" s="236" t="n"/>
      <c r="AK474" s="236" t="n"/>
      <c r="AL474" s="236" t="n"/>
      <c r="AM474" s="236" t="n"/>
      <c r="AN474" s="236" t="n"/>
      <c r="AO474" s="236" t="n"/>
      <c r="AP474" s="236" t="n"/>
      <c r="AQ474" s="236" t="n"/>
      <c r="AR474" s="236" t="n"/>
      <c r="AS474" s="236" t="n"/>
      <c r="AT474" s="236" t="n"/>
      <c r="AU474" s="236" t="n"/>
      <c r="AV474" s="236" t="n"/>
      <c r="AW474" s="236" t="n"/>
      <c r="AX474" s="692" t="n"/>
      <c r="AY474" s="692" t="n"/>
      <c r="AZ474" s="692" t="n"/>
      <c r="BA474" s="692" t="n"/>
      <c r="BB474" s="692" t="n"/>
      <c r="BC474" s="692" t="n"/>
      <c r="BD474" s="692" t="n"/>
      <c r="BE474" s="692" t="n"/>
      <c r="BF474" s="692" t="n"/>
      <c r="BG474" s="692" t="n"/>
      <c r="BH474" s="692" t="n"/>
      <c r="BI474" s="692" t="n"/>
      <c r="BJ474" s="692" t="n"/>
      <c r="BK474" s="692" t="n"/>
      <c r="BL474" s="692" t="n"/>
      <c r="BM474" s="692" t="n"/>
      <c r="BN474" s="692" t="n"/>
      <c r="BO474" s="692" t="n"/>
      <c r="BP474" s="692" t="n"/>
      <c r="BQ474" s="692" t="n"/>
    </row>
    <row r="475">
      <c r="A475" s="220" t="n"/>
      <c r="B475" s="211" t="n"/>
      <c r="C475" s="211" t="n"/>
      <c r="D475" s="211" t="n"/>
      <c r="E475" s="221" t="n"/>
      <c r="F475" s="211" t="n"/>
      <c r="G475" s="211" t="n"/>
      <c r="H475" s="211" t="n"/>
      <c r="I475" s="211" t="n"/>
      <c r="J475" s="211" t="n"/>
      <c r="K475" s="211" t="n"/>
      <c r="L475" s="213" t="n"/>
      <c r="M475" s="689" t="n"/>
      <c r="N475" s="689" t="n"/>
      <c r="O475" s="689" t="n"/>
      <c r="P475" s="227" t="n"/>
      <c r="Q475" s="689" t="n"/>
      <c r="R475" s="689" t="n"/>
      <c r="S475" s="689" t="n"/>
      <c r="T475" s="689" t="n"/>
      <c r="U475" s="689" t="n"/>
      <c r="V475" s="689" t="n"/>
      <c r="W475" s="689" t="n"/>
      <c r="X475" s="689" t="n"/>
      <c r="Y475" s="689" t="n"/>
      <c r="Z475" s="689" t="n"/>
      <c r="AA475" s="689" t="n"/>
      <c r="AB475" s="689" t="n"/>
      <c r="AC475" s="689" t="n"/>
      <c r="AD475" s="689" t="n"/>
      <c r="AF475" s="236" t="n"/>
      <c r="AG475" s="236" t="n"/>
      <c r="AH475" s="236" t="n"/>
      <c r="AI475" s="236" t="n"/>
      <c r="AJ475" s="236" t="n"/>
      <c r="AK475" s="236" t="n"/>
      <c r="AL475" s="236" t="n"/>
      <c r="AM475" s="236" t="n"/>
      <c r="AN475" s="236" t="n"/>
      <c r="AO475" s="236" t="n"/>
      <c r="AP475" s="236" t="n"/>
      <c r="AQ475" s="236" t="n"/>
      <c r="AR475" s="236" t="n"/>
      <c r="AS475" s="236" t="n"/>
      <c r="AT475" s="236" t="n"/>
      <c r="AU475" s="236" t="n"/>
      <c r="AV475" s="236" t="n"/>
      <c r="AW475" s="236" t="n"/>
      <c r="AX475" s="692" t="n"/>
      <c r="AY475" s="692" t="n"/>
      <c r="AZ475" s="692" t="n"/>
      <c r="BA475" s="692" t="n"/>
      <c r="BB475" s="692" t="n"/>
      <c r="BC475" s="692" t="n"/>
      <c r="BD475" s="692" t="n"/>
      <c r="BE475" s="692" t="n"/>
      <c r="BF475" s="692" t="n"/>
      <c r="BG475" s="692" t="n"/>
      <c r="BH475" s="692" t="n"/>
      <c r="BI475" s="692" t="n"/>
      <c r="BJ475" s="692" t="n"/>
      <c r="BK475" s="692" t="n"/>
      <c r="BL475" s="692" t="n"/>
      <c r="BM475" s="692" t="n"/>
      <c r="BN475" s="692" t="n"/>
      <c r="BO475" s="692" t="n"/>
      <c r="BP475" s="692" t="n"/>
      <c r="BQ475" s="692" t="n"/>
    </row>
    <row r="476">
      <c r="A476" s="218" t="n"/>
      <c r="B476" s="215" t="n"/>
      <c r="C476" s="215" t="n"/>
      <c r="D476" s="215" t="n"/>
      <c r="E476" s="219" t="n"/>
      <c r="F476" s="215" t="n"/>
      <c r="G476" s="215" t="n"/>
      <c r="H476" s="215" t="n"/>
      <c r="I476" s="215" t="n"/>
      <c r="J476" s="215" t="n"/>
      <c r="K476" s="215" t="n"/>
      <c r="L476" s="217" t="n"/>
      <c r="M476" s="689" t="n"/>
      <c r="N476" s="689" t="n"/>
      <c r="O476" s="689" t="n"/>
      <c r="P476" s="227" t="n"/>
      <c r="Q476" s="689" t="n"/>
      <c r="R476" s="689" t="n"/>
      <c r="S476" s="689" t="n"/>
      <c r="T476" s="689" t="n"/>
      <c r="U476" s="689" t="n"/>
      <c r="V476" s="689" t="n"/>
      <c r="W476" s="689" t="n"/>
      <c r="X476" s="689" t="n"/>
      <c r="Y476" s="689" t="n"/>
      <c r="Z476" s="689" t="n"/>
      <c r="AA476" s="689" t="n"/>
      <c r="AB476" s="689" t="n"/>
      <c r="AC476" s="689" t="n"/>
      <c r="AD476" s="689" t="n"/>
      <c r="AF476" s="236" t="n"/>
      <c r="AG476" s="236" t="n"/>
      <c r="AH476" s="236" t="n"/>
      <c r="AI476" s="236" t="n"/>
      <c r="AJ476" s="236" t="n"/>
      <c r="AK476" s="236" t="n"/>
      <c r="AL476" s="236" t="n"/>
      <c r="AM476" s="236" t="n"/>
      <c r="AN476" s="236" t="n"/>
      <c r="AO476" s="236" t="n"/>
      <c r="AP476" s="236" t="n"/>
      <c r="AQ476" s="236" t="n"/>
      <c r="AR476" s="236" t="n"/>
      <c r="AS476" s="236" t="n"/>
      <c r="AT476" s="236" t="n"/>
      <c r="AU476" s="236" t="n"/>
      <c r="AV476" s="236" t="n"/>
      <c r="AW476" s="236" t="n"/>
      <c r="AX476" s="692" t="n"/>
      <c r="AY476" s="692" t="n"/>
      <c r="AZ476" s="692" t="n"/>
      <c r="BA476" s="692" t="n"/>
      <c r="BB476" s="692" t="n"/>
      <c r="BC476" s="692" t="n"/>
      <c r="BD476" s="692" t="n"/>
      <c r="BE476" s="692" t="n"/>
      <c r="BF476" s="692" t="n"/>
      <c r="BG476" s="692" t="n"/>
      <c r="BH476" s="692" t="n"/>
      <c r="BI476" s="692" t="n"/>
      <c r="BJ476" s="692" t="n"/>
      <c r="BK476" s="692" t="n"/>
      <c r="BL476" s="692" t="n"/>
      <c r="BM476" s="692" t="n"/>
      <c r="BN476" s="692" t="n"/>
      <c r="BO476" s="692" t="n"/>
      <c r="BP476" s="692" t="n"/>
      <c r="BQ476" s="692" t="n"/>
    </row>
    <row r="477">
      <c r="A477" s="220" t="n"/>
      <c r="B477" s="211" t="n"/>
      <c r="C477" s="211" t="n"/>
      <c r="D477" s="211" t="n"/>
      <c r="E477" s="221" t="n"/>
      <c r="F477" s="211" t="n"/>
      <c r="G477" s="211" t="n"/>
      <c r="H477" s="211" t="n"/>
      <c r="I477" s="211" t="n"/>
      <c r="J477" s="211" t="n"/>
      <c r="K477" s="211" t="n"/>
      <c r="L477" s="213" t="n"/>
      <c r="M477" s="689" t="n"/>
      <c r="N477" s="689" t="n"/>
      <c r="O477" s="689" t="n"/>
      <c r="P477" s="227" t="n"/>
      <c r="Q477" s="689" t="n"/>
      <c r="R477" s="689" t="n"/>
      <c r="S477" s="689" t="n"/>
      <c r="T477" s="689" t="n"/>
      <c r="U477" s="689" t="n"/>
      <c r="V477" s="689" t="n"/>
      <c r="W477" s="689" t="n"/>
      <c r="X477" s="689" t="n"/>
      <c r="Y477" s="689" t="n"/>
      <c r="Z477" s="689" t="n"/>
      <c r="AA477" s="689" t="n"/>
      <c r="AB477" s="689" t="n"/>
      <c r="AC477" s="689" t="n"/>
      <c r="AD477" s="689" t="n"/>
      <c r="AF477" s="236" t="n"/>
      <c r="AG477" s="236" t="n"/>
      <c r="AH477" s="236" t="n"/>
      <c r="AI477" s="236" t="n"/>
      <c r="AJ477" s="236" t="n"/>
      <c r="AK477" s="236" t="n"/>
      <c r="AL477" s="236" t="n"/>
      <c r="AM477" s="236" t="n"/>
      <c r="AN477" s="236" t="n"/>
      <c r="AO477" s="236" t="n"/>
      <c r="AP477" s="236" t="n"/>
      <c r="AQ477" s="236" t="n"/>
      <c r="AR477" s="236" t="n"/>
      <c r="AS477" s="236" t="n"/>
      <c r="AT477" s="236" t="n"/>
      <c r="AU477" s="236" t="n"/>
      <c r="AV477" s="236" t="n"/>
      <c r="AW477" s="236" t="n"/>
      <c r="AX477" s="692" t="n"/>
      <c r="AY477" s="692" t="n"/>
      <c r="AZ477" s="692" t="n"/>
      <c r="BA477" s="692" t="n"/>
      <c r="BB477" s="692" t="n"/>
      <c r="BC477" s="692" t="n"/>
      <c r="BD477" s="692" t="n"/>
      <c r="BE477" s="692" t="n"/>
      <c r="BF477" s="692" t="n"/>
      <c r="BG477" s="692" t="n"/>
      <c r="BH477" s="692" t="n"/>
      <c r="BI477" s="692" t="n"/>
      <c r="BJ477" s="692" t="n"/>
      <c r="BK477" s="692" t="n"/>
      <c r="BL477" s="692" t="n"/>
      <c r="BM477" s="692" t="n"/>
      <c r="BN477" s="692" t="n"/>
      <c r="BO477" s="692" t="n"/>
      <c r="BP477" s="692" t="n"/>
      <c r="BQ477" s="692" t="n"/>
    </row>
    <row r="478">
      <c r="A478" s="218" t="n"/>
      <c r="B478" s="215" t="n"/>
      <c r="C478" s="215" t="n"/>
      <c r="D478" s="215" t="n"/>
      <c r="E478" s="219" t="n"/>
      <c r="F478" s="215" t="n"/>
      <c r="G478" s="215" t="n"/>
      <c r="H478" s="215" t="n"/>
      <c r="I478" s="215" t="n"/>
      <c r="J478" s="215" t="n"/>
      <c r="K478" s="215" t="n"/>
      <c r="L478" s="217" t="n"/>
      <c r="M478" s="689" t="n"/>
      <c r="N478" s="689" t="n"/>
      <c r="O478" s="689" t="n"/>
      <c r="P478" s="227" t="n"/>
      <c r="Q478" s="689" t="n"/>
      <c r="R478" s="689" t="n"/>
      <c r="S478" s="689" t="n"/>
      <c r="T478" s="689" t="n"/>
      <c r="U478" s="689" t="n"/>
      <c r="V478" s="689" t="n"/>
      <c r="W478" s="689" t="n"/>
      <c r="X478" s="689" t="n"/>
      <c r="Y478" s="689" t="n"/>
      <c r="Z478" s="689" t="n"/>
      <c r="AA478" s="689" t="n"/>
      <c r="AB478" s="689" t="n"/>
      <c r="AC478" s="689" t="n"/>
      <c r="AD478" s="689" t="n"/>
      <c r="AF478" s="236" t="n"/>
      <c r="AG478" s="236" t="n"/>
      <c r="AH478" s="236" t="n"/>
      <c r="AI478" s="236" t="n"/>
      <c r="AJ478" s="236" t="n"/>
      <c r="AK478" s="236" t="n"/>
      <c r="AL478" s="236" t="n"/>
      <c r="AM478" s="236" t="n"/>
      <c r="AN478" s="236" t="n"/>
      <c r="AO478" s="236" t="n"/>
      <c r="AP478" s="236" t="n"/>
      <c r="AQ478" s="236" t="n"/>
      <c r="AR478" s="236" t="n"/>
      <c r="AS478" s="236" t="n"/>
      <c r="AT478" s="236" t="n"/>
      <c r="AU478" s="236" t="n"/>
      <c r="AV478" s="236" t="n"/>
      <c r="AW478" s="236" t="n"/>
      <c r="AX478" s="692" t="n"/>
      <c r="AY478" s="692" t="n"/>
      <c r="AZ478" s="692" t="n"/>
      <c r="BA478" s="692" t="n"/>
      <c r="BB478" s="692" t="n"/>
      <c r="BC478" s="692" t="n"/>
      <c r="BD478" s="692" t="n"/>
      <c r="BE478" s="692" t="n"/>
      <c r="BF478" s="692" t="n"/>
      <c r="BG478" s="692" t="n"/>
      <c r="BH478" s="692" t="n"/>
      <c r="BI478" s="692" t="n"/>
      <c r="BJ478" s="692" t="n"/>
      <c r="BK478" s="692" t="n"/>
      <c r="BL478" s="692" t="n"/>
      <c r="BM478" s="692" t="n"/>
      <c r="BN478" s="692" t="n"/>
      <c r="BO478" s="692" t="n"/>
      <c r="BP478" s="692" t="n"/>
      <c r="BQ478" s="692" t="n"/>
    </row>
    <row r="479">
      <c r="A479" s="220" t="n"/>
      <c r="B479" s="211" t="n"/>
      <c r="C479" s="211" t="n"/>
      <c r="D479" s="211" t="n"/>
      <c r="E479" s="221" t="n"/>
      <c r="F479" s="211" t="n"/>
      <c r="G479" s="211" t="n"/>
      <c r="H479" s="211" t="n"/>
      <c r="I479" s="211" t="n"/>
      <c r="J479" s="211" t="n"/>
      <c r="K479" s="211" t="n"/>
      <c r="L479" s="213" t="n"/>
      <c r="M479" s="689" t="n"/>
      <c r="N479" s="689" t="n"/>
      <c r="O479" s="689" t="n"/>
      <c r="P479" s="227" t="n"/>
      <c r="Q479" s="689" t="n"/>
      <c r="R479" s="689" t="n"/>
      <c r="S479" s="689" t="n"/>
      <c r="T479" s="689" t="n"/>
      <c r="U479" s="689" t="n"/>
      <c r="V479" s="689" t="n"/>
      <c r="W479" s="689" t="n"/>
      <c r="X479" s="689" t="n"/>
      <c r="Y479" s="689" t="n"/>
      <c r="Z479" s="689" t="n"/>
      <c r="AA479" s="689" t="n"/>
      <c r="AB479" s="689" t="n"/>
      <c r="AC479" s="689" t="n"/>
      <c r="AD479" s="689" t="n"/>
      <c r="AF479" s="236" t="n"/>
      <c r="AG479" s="234" t="n"/>
      <c r="AH479" s="236" t="n"/>
      <c r="AI479" s="236" t="n"/>
      <c r="AJ479" s="236" t="n"/>
      <c r="AK479" s="236" t="n"/>
      <c r="AL479" s="236" t="n"/>
      <c r="AM479" s="236" t="n"/>
      <c r="AN479" s="236" t="n"/>
      <c r="AO479" s="236" t="n"/>
      <c r="AP479" s="236" t="n"/>
      <c r="AQ479" s="236" t="n"/>
      <c r="AR479" s="236" t="n"/>
      <c r="AS479" s="236" t="n"/>
      <c r="AT479" s="236" t="n"/>
      <c r="AU479" s="236" t="n"/>
      <c r="AV479" s="236" t="n"/>
      <c r="AW479" s="236" t="n"/>
      <c r="AX479" s="692" t="n"/>
      <c r="AY479" s="692" t="n"/>
      <c r="AZ479" s="692" t="n"/>
      <c r="BA479" s="692" t="n"/>
      <c r="BB479" s="692" t="n"/>
      <c r="BC479" s="692" t="n"/>
      <c r="BD479" s="692" t="n"/>
      <c r="BE479" s="692" t="n"/>
      <c r="BF479" s="692" t="n"/>
      <c r="BG479" s="692" t="n"/>
      <c r="BH479" s="692" t="n"/>
      <c r="BI479" s="692" t="n"/>
      <c r="BJ479" s="692" t="n"/>
      <c r="BK479" s="692" t="n"/>
      <c r="BL479" s="692" t="n"/>
      <c r="BM479" s="692" t="n"/>
      <c r="BN479" s="692" t="n"/>
      <c r="BO479" s="692" t="n"/>
      <c r="BP479" s="692" t="n"/>
      <c r="BQ479" s="692" t="n"/>
    </row>
    <row r="480">
      <c r="A480" s="218" t="n"/>
      <c r="B480" s="215" t="n"/>
      <c r="C480" s="215" t="n"/>
      <c r="D480" s="215" t="n"/>
      <c r="E480" s="219" t="n"/>
      <c r="F480" s="215" t="n"/>
      <c r="G480" s="215" t="n"/>
      <c r="H480" s="215" t="n"/>
      <c r="I480" s="215" t="n"/>
      <c r="J480" s="215" t="n"/>
      <c r="K480" s="215" t="n"/>
      <c r="L480" s="217" t="n"/>
      <c r="M480" s="689" t="n"/>
      <c r="N480" s="689" t="n"/>
      <c r="O480" s="689" t="n"/>
      <c r="P480" s="227" t="n"/>
      <c r="Q480" s="689" t="n"/>
      <c r="R480" s="689" t="n"/>
      <c r="S480" s="689" t="n"/>
      <c r="T480" s="689" t="n"/>
      <c r="U480" s="689" t="n"/>
      <c r="V480" s="689" t="n"/>
      <c r="W480" s="689" t="n"/>
      <c r="X480" s="689" t="n"/>
      <c r="Y480" s="689" t="n"/>
      <c r="Z480" s="689" t="n"/>
      <c r="AA480" s="689" t="n"/>
      <c r="AB480" s="689" t="n"/>
      <c r="AC480" s="689" t="n"/>
      <c r="AD480" s="689" t="n"/>
      <c r="AF480" s="236" t="n"/>
      <c r="AG480" s="234" t="n"/>
      <c r="AH480" s="236" t="n"/>
      <c r="AI480" s="236" t="n"/>
      <c r="AJ480" s="236" t="n"/>
      <c r="AK480" s="236" t="n"/>
      <c r="AL480" s="236" t="n"/>
      <c r="AM480" s="236" t="n"/>
      <c r="AN480" s="236" t="n"/>
      <c r="AO480" s="236" t="n"/>
      <c r="AP480" s="236" t="n"/>
      <c r="AQ480" s="236" t="n"/>
      <c r="AR480" s="236" t="n"/>
      <c r="AS480" s="236" t="n"/>
      <c r="AT480" s="236" t="n"/>
      <c r="AU480" s="236" t="n"/>
      <c r="AV480" s="236" t="n"/>
      <c r="AW480" s="236" t="n"/>
      <c r="AX480" s="692" t="n"/>
      <c r="AY480" s="692" t="n"/>
      <c r="AZ480" s="692" t="n"/>
      <c r="BA480" s="692" t="n"/>
      <c r="BB480" s="692" t="n"/>
      <c r="BC480" s="692" t="n"/>
      <c r="BD480" s="692" t="n"/>
      <c r="BE480" s="692" t="n"/>
      <c r="BF480" s="692" t="n"/>
      <c r="BG480" s="692" t="n"/>
      <c r="BH480" s="692" t="n"/>
      <c r="BI480" s="692" t="n"/>
      <c r="BJ480" s="692" t="n"/>
      <c r="BK480" s="692" t="n"/>
      <c r="BL480" s="692" t="n"/>
      <c r="BM480" s="692" t="n"/>
      <c r="BN480" s="692" t="n"/>
      <c r="BO480" s="692" t="n"/>
      <c r="BP480" s="692" t="n"/>
      <c r="BQ480" s="692" t="n"/>
    </row>
    <row r="481">
      <c r="A481" s="220" t="n"/>
      <c r="B481" s="211" t="n"/>
      <c r="C481" s="211" t="n"/>
      <c r="D481" s="211" t="n"/>
      <c r="E481" s="221" t="n"/>
      <c r="F481" s="211" t="n"/>
      <c r="G481" s="211" t="n"/>
      <c r="H481" s="211" t="n"/>
      <c r="I481" s="211" t="n"/>
      <c r="J481" s="211" t="n"/>
      <c r="K481" s="211" t="n"/>
      <c r="L481" s="213" t="n"/>
      <c r="M481" s="689" t="n"/>
      <c r="N481" s="689" t="n"/>
      <c r="O481" s="689" t="n"/>
      <c r="P481" s="227" t="n"/>
      <c r="Q481" s="689" t="n"/>
      <c r="R481" s="689" t="n"/>
      <c r="S481" s="689" t="n"/>
      <c r="T481" s="689" t="n"/>
      <c r="U481" s="689" t="n"/>
      <c r="V481" s="689" t="n"/>
      <c r="W481" s="689" t="n"/>
      <c r="X481" s="689" t="n"/>
      <c r="Y481" s="689" t="n"/>
      <c r="Z481" s="689" t="n"/>
      <c r="AA481" s="689" t="n"/>
      <c r="AB481" s="689" t="n"/>
      <c r="AC481" s="689" t="n"/>
      <c r="AD481" s="689" t="n"/>
      <c r="AF481" s="236" t="n"/>
      <c r="AG481" s="234" t="n"/>
      <c r="AH481" s="236" t="n"/>
      <c r="AI481" s="236" t="n"/>
      <c r="AJ481" s="236" t="n"/>
      <c r="AK481" s="236" t="n"/>
      <c r="AL481" s="236" t="n"/>
      <c r="AM481" s="236" t="n"/>
      <c r="AN481" s="236" t="n"/>
      <c r="AO481" s="236" t="n"/>
      <c r="AP481" s="236" t="n"/>
      <c r="AQ481" s="236" t="n"/>
      <c r="AR481" s="236" t="n"/>
      <c r="AS481" s="236" t="n"/>
      <c r="AT481" s="236" t="n"/>
      <c r="AU481" s="236" t="n"/>
      <c r="AV481" s="236" t="n"/>
      <c r="AW481" s="236" t="n"/>
      <c r="AX481" s="692" t="n"/>
      <c r="AY481" s="692" t="n"/>
      <c r="AZ481" s="692" t="n"/>
      <c r="BA481" s="692" t="n"/>
      <c r="BB481" s="692" t="n"/>
      <c r="BC481" s="692" t="n"/>
      <c r="BD481" s="692" t="n"/>
      <c r="BE481" s="692" t="n"/>
      <c r="BF481" s="692" t="n"/>
      <c r="BG481" s="692" t="n"/>
      <c r="BH481" s="692" t="n"/>
      <c r="BI481" s="692" t="n"/>
      <c r="BJ481" s="692" t="n"/>
      <c r="BK481" s="692" t="n"/>
      <c r="BL481" s="692" t="n"/>
      <c r="BM481" s="692" t="n"/>
      <c r="BN481" s="692" t="n"/>
      <c r="BO481" s="692" t="n"/>
      <c r="BP481" s="692" t="n"/>
      <c r="BQ481" s="692" t="n"/>
    </row>
    <row r="482">
      <c r="A482" s="218" t="n"/>
      <c r="B482" s="215" t="n"/>
      <c r="C482" s="215" t="n"/>
      <c r="D482" s="215" t="n"/>
      <c r="E482" s="219" t="n"/>
      <c r="F482" s="215" t="n"/>
      <c r="G482" s="215" t="n"/>
      <c r="H482" s="215" t="n"/>
      <c r="I482" s="215" t="n"/>
      <c r="J482" s="215" t="n"/>
      <c r="K482" s="215" t="n"/>
      <c r="L482" s="217" t="n"/>
      <c r="M482" s="689" t="n"/>
      <c r="N482" s="689" t="n"/>
      <c r="O482" s="689" t="n"/>
      <c r="P482" s="227" t="n"/>
      <c r="Q482" s="689" t="n"/>
      <c r="R482" s="689" t="n"/>
      <c r="S482" s="689" t="n"/>
      <c r="T482" s="689" t="n"/>
      <c r="U482" s="689" t="n"/>
      <c r="V482" s="689" t="n"/>
      <c r="W482" s="689" t="n"/>
      <c r="X482" s="689" t="n"/>
      <c r="Y482" s="689" t="n"/>
      <c r="Z482" s="689" t="n"/>
      <c r="AA482" s="689" t="n"/>
      <c r="AB482" s="689" t="n"/>
      <c r="AC482" s="689" t="n"/>
      <c r="AD482" s="689" t="n"/>
      <c r="AF482" s="236" t="n"/>
      <c r="AG482" s="236" t="n"/>
      <c r="AH482" s="236" t="n"/>
      <c r="AI482" s="236" t="n"/>
      <c r="AJ482" s="236" t="n"/>
      <c r="AK482" s="236" t="n"/>
      <c r="AL482" s="236" t="n"/>
      <c r="AM482" s="236" t="n"/>
      <c r="AN482" s="236" t="n"/>
      <c r="AO482" s="236" t="n"/>
      <c r="AP482" s="236" t="n"/>
      <c r="AQ482" s="236" t="n"/>
      <c r="AR482" s="236" t="n"/>
      <c r="AS482" s="236" t="n"/>
      <c r="AT482" s="236" t="n"/>
      <c r="AU482" s="236" t="n"/>
      <c r="AV482" s="236" t="n"/>
      <c r="AW482" s="236" t="n"/>
      <c r="AX482" s="692" t="n"/>
      <c r="AY482" s="692" t="n"/>
      <c r="AZ482" s="692" t="n"/>
      <c r="BA482" s="692" t="n"/>
      <c r="BB482" s="692" t="n"/>
      <c r="BC482" s="692" t="n"/>
      <c r="BD482" s="692" t="n"/>
      <c r="BE482" s="692" t="n"/>
      <c r="BF482" s="692" t="n"/>
      <c r="BG482" s="692" t="n"/>
      <c r="BH482" s="692" t="n"/>
      <c r="BI482" s="692" t="n"/>
      <c r="BJ482" s="692" t="n"/>
      <c r="BK482" s="692" t="n"/>
      <c r="BL482" s="692" t="n"/>
      <c r="BM482" s="692" t="n"/>
      <c r="BN482" s="692" t="n"/>
      <c r="BO482" s="692" t="n"/>
      <c r="BP482" s="692" t="n"/>
      <c r="BQ482" s="692" t="n"/>
    </row>
    <row r="483">
      <c r="A483" s="220" t="n"/>
      <c r="B483" s="211" t="n"/>
      <c r="C483" s="211" t="n"/>
      <c r="D483" s="211" t="n"/>
      <c r="E483" s="221" t="n"/>
      <c r="F483" s="211" t="n"/>
      <c r="G483" s="211" t="n"/>
      <c r="H483" s="211" t="n"/>
      <c r="I483" s="211" t="n"/>
      <c r="J483" s="211" t="n"/>
      <c r="K483" s="211" t="n"/>
      <c r="L483" s="213" t="n"/>
      <c r="M483" s="689" t="n"/>
      <c r="N483" s="689" t="n"/>
      <c r="O483" s="689" t="n"/>
      <c r="P483" s="227" t="n"/>
      <c r="Q483" s="689" t="n"/>
      <c r="R483" s="689" t="n"/>
      <c r="S483" s="689" t="n"/>
      <c r="T483" s="689" t="n"/>
      <c r="U483" s="689" t="n"/>
      <c r="V483" s="689" t="n"/>
      <c r="W483" s="689" t="n"/>
      <c r="X483" s="689" t="n"/>
      <c r="Y483" s="689" t="n"/>
      <c r="Z483" s="689" t="n"/>
      <c r="AA483" s="689" t="n"/>
      <c r="AB483" s="689" t="n"/>
      <c r="AC483" s="689" t="n"/>
      <c r="AD483" s="689" t="n"/>
      <c r="AF483" s="236" t="n"/>
      <c r="AG483" s="236" t="n"/>
      <c r="AH483" s="236" t="n"/>
      <c r="AI483" s="236" t="n"/>
      <c r="AJ483" s="236" t="n"/>
      <c r="AK483" s="236" t="n"/>
      <c r="AL483" s="236" t="n"/>
      <c r="AM483" s="236" t="n"/>
      <c r="AN483" s="236" t="n"/>
      <c r="AO483" s="236" t="n"/>
      <c r="AP483" s="236" t="n"/>
      <c r="AQ483" s="236" t="n"/>
      <c r="AR483" s="236" t="n"/>
      <c r="AS483" s="236" t="n"/>
      <c r="AT483" s="236" t="n"/>
      <c r="AU483" s="236" t="n"/>
      <c r="AV483" s="236" t="n"/>
      <c r="AW483" s="236" t="n"/>
      <c r="AX483" s="692" t="n"/>
      <c r="AY483" s="692" t="n"/>
      <c r="AZ483" s="692" t="n"/>
      <c r="BA483" s="692" t="n"/>
      <c r="BB483" s="692" t="n"/>
      <c r="BC483" s="692" t="n"/>
      <c r="BD483" s="692" t="n"/>
      <c r="BE483" s="692" t="n"/>
      <c r="BF483" s="692" t="n"/>
      <c r="BG483" s="692" t="n"/>
      <c r="BH483" s="692" t="n"/>
      <c r="BI483" s="692" t="n"/>
      <c r="BJ483" s="692" t="n"/>
      <c r="BK483" s="692" t="n"/>
      <c r="BL483" s="692" t="n"/>
      <c r="BM483" s="692" t="n"/>
      <c r="BN483" s="692" t="n"/>
      <c r="BO483" s="692" t="n"/>
      <c r="BP483" s="692" t="n"/>
      <c r="BQ483" s="692" t="n"/>
    </row>
    <row r="484">
      <c r="A484" s="218" t="n"/>
      <c r="B484" s="215" t="n"/>
      <c r="C484" s="215" t="n"/>
      <c r="D484" s="215" t="n"/>
      <c r="E484" s="219" t="n"/>
      <c r="F484" s="215" t="n"/>
      <c r="G484" s="215" t="n"/>
      <c r="H484" s="215" t="n"/>
      <c r="I484" s="215" t="n"/>
      <c r="J484" s="215" t="n"/>
      <c r="K484" s="215" t="n"/>
      <c r="L484" s="217" t="n"/>
      <c r="M484" s="689" t="n"/>
      <c r="N484" s="689" t="n"/>
      <c r="O484" s="689" t="n"/>
      <c r="P484" s="227" t="n"/>
      <c r="Q484" s="689" t="n"/>
      <c r="R484" s="689" t="n"/>
      <c r="S484" s="689" t="n"/>
      <c r="T484" s="689" t="n"/>
      <c r="U484" s="689" t="n"/>
      <c r="V484" s="689" t="n"/>
      <c r="W484" s="689" t="n"/>
      <c r="X484" s="689" t="n"/>
      <c r="Y484" s="689" t="n"/>
      <c r="Z484" s="689" t="n"/>
      <c r="AA484" s="689" t="n"/>
      <c r="AB484" s="689" t="n"/>
      <c r="AC484" s="689" t="n"/>
      <c r="AD484" s="689" t="n"/>
      <c r="AF484" s="236" t="n"/>
      <c r="AG484" s="236" t="n"/>
      <c r="AH484" s="236" t="n"/>
      <c r="AI484" s="236" t="n"/>
      <c r="AJ484" s="236" t="n"/>
      <c r="AK484" s="236" t="n"/>
      <c r="AL484" s="236" t="n"/>
      <c r="AM484" s="236" t="n"/>
      <c r="AN484" s="236" t="n"/>
      <c r="AO484" s="236" t="n"/>
      <c r="AP484" s="236" t="n"/>
      <c r="AQ484" s="236" t="n"/>
      <c r="AR484" s="236" t="n"/>
      <c r="AS484" s="236" t="n"/>
      <c r="AT484" s="236" t="n"/>
      <c r="AU484" s="236" t="n"/>
      <c r="AV484" s="236" t="n"/>
      <c r="AW484" s="236" t="n"/>
      <c r="AX484" s="692" t="n"/>
      <c r="AY484" s="692" t="n"/>
      <c r="AZ484" s="692" t="n"/>
      <c r="BA484" s="692" t="n"/>
      <c r="BB484" s="692" t="n"/>
      <c r="BC484" s="692" t="n"/>
      <c r="BD484" s="692" t="n"/>
      <c r="BE484" s="692" t="n"/>
      <c r="BF484" s="692" t="n"/>
      <c r="BG484" s="692" t="n"/>
      <c r="BH484" s="692" t="n"/>
      <c r="BI484" s="692" t="n"/>
      <c r="BJ484" s="692" t="n"/>
      <c r="BK484" s="692" t="n"/>
      <c r="BL484" s="692" t="n"/>
      <c r="BM484" s="692" t="n"/>
      <c r="BN484" s="692" t="n"/>
      <c r="BO484" s="692" t="n"/>
      <c r="BP484" s="692" t="n"/>
      <c r="BQ484" s="692" t="n"/>
    </row>
    <row r="485">
      <c r="A485" s="220" t="n"/>
      <c r="B485" s="211" t="n"/>
      <c r="C485" s="211" t="n"/>
      <c r="D485" s="211" t="n"/>
      <c r="E485" s="221" t="n"/>
      <c r="F485" s="211" t="n"/>
      <c r="G485" s="211" t="n"/>
      <c r="H485" s="211" t="n"/>
      <c r="I485" s="211" t="n"/>
      <c r="J485" s="211" t="n"/>
      <c r="K485" s="211" t="n"/>
      <c r="L485" s="213" t="n"/>
      <c r="M485" s="689" t="n"/>
      <c r="N485" s="689" t="n"/>
      <c r="O485" s="689" t="n"/>
      <c r="P485" s="227" t="n"/>
      <c r="Q485" s="689" t="n"/>
      <c r="R485" s="689" t="n"/>
      <c r="S485" s="689" t="n"/>
      <c r="T485" s="689" t="n"/>
      <c r="U485" s="689" t="n"/>
      <c r="V485" s="689" t="n"/>
      <c r="W485" s="689" t="n"/>
      <c r="X485" s="689" t="n"/>
      <c r="Y485" s="689" t="n"/>
      <c r="Z485" s="689" t="n"/>
      <c r="AA485" s="689" t="n"/>
      <c r="AB485" s="689" t="n"/>
      <c r="AC485" s="689" t="n"/>
      <c r="AD485" s="689" t="n"/>
      <c r="AF485" s="236" t="n"/>
      <c r="AG485" s="236" t="n"/>
      <c r="AH485" s="236" t="n"/>
      <c r="AI485" s="236" t="n"/>
      <c r="AJ485" s="236" t="n"/>
      <c r="AK485" s="236" t="n"/>
      <c r="AL485" s="236" t="n"/>
      <c r="AM485" s="236" t="n"/>
      <c r="AN485" s="236" t="n"/>
      <c r="AO485" s="236" t="n"/>
      <c r="AP485" s="236" t="n"/>
      <c r="AQ485" s="236" t="n"/>
      <c r="AR485" s="236" t="n"/>
      <c r="AS485" s="236" t="n"/>
      <c r="AT485" s="236" t="n"/>
      <c r="AU485" s="236" t="n"/>
      <c r="AV485" s="236" t="n"/>
      <c r="AW485" s="236" t="n"/>
      <c r="AX485" s="692" t="n"/>
      <c r="AY485" s="692" t="n"/>
      <c r="AZ485" s="692" t="n"/>
      <c r="BA485" s="692" t="n"/>
      <c r="BB485" s="692" t="n"/>
      <c r="BC485" s="692" t="n"/>
      <c r="BD485" s="692" t="n"/>
      <c r="BE485" s="692" t="n"/>
      <c r="BF485" s="692" t="n"/>
      <c r="BG485" s="692" t="n"/>
      <c r="BH485" s="692" t="n"/>
      <c r="BI485" s="692" t="n"/>
      <c r="BJ485" s="692" t="n"/>
      <c r="BK485" s="692" t="n"/>
      <c r="BL485" s="692" t="n"/>
      <c r="BM485" s="692" t="n"/>
      <c r="BN485" s="692" t="n"/>
      <c r="BO485" s="692" t="n"/>
      <c r="BP485" s="692" t="n"/>
      <c r="BQ485" s="692" t="n"/>
    </row>
    <row r="486">
      <c r="A486" s="218" t="n"/>
      <c r="B486" s="215" t="n"/>
      <c r="C486" s="215" t="n"/>
      <c r="D486" s="215" t="n"/>
      <c r="E486" s="219" t="n"/>
      <c r="F486" s="215" t="n"/>
      <c r="G486" s="215" t="n"/>
      <c r="H486" s="215" t="n"/>
      <c r="I486" s="215" t="n"/>
      <c r="J486" s="215" t="n"/>
      <c r="K486" s="215" t="n"/>
      <c r="L486" s="217" t="n"/>
      <c r="M486" s="689" t="n"/>
      <c r="N486" s="689" t="n"/>
      <c r="O486" s="689" t="n"/>
      <c r="P486" s="227" t="n"/>
      <c r="Q486" s="689" t="n"/>
      <c r="R486" s="689" t="n"/>
      <c r="S486" s="689" t="n"/>
      <c r="T486" s="689" t="n"/>
      <c r="U486" s="689" t="n"/>
      <c r="V486" s="689" t="n"/>
      <c r="W486" s="689" t="n"/>
      <c r="X486" s="689" t="n"/>
      <c r="Y486" s="689" t="n"/>
      <c r="Z486" s="689" t="n"/>
      <c r="AA486" s="689" t="n"/>
      <c r="AB486" s="689" t="n"/>
      <c r="AC486" s="689" t="n"/>
      <c r="AD486" s="689" t="n"/>
      <c r="AF486" s="236" t="n"/>
      <c r="AG486" s="236" t="n"/>
      <c r="AH486" s="236" t="n"/>
      <c r="AI486" s="236" t="n"/>
      <c r="AJ486" s="236" t="n"/>
      <c r="AK486" s="236" t="n"/>
      <c r="AL486" s="236" t="n"/>
      <c r="AM486" s="236" t="n"/>
      <c r="AN486" s="236" t="n"/>
      <c r="AO486" s="236" t="n"/>
      <c r="AP486" s="236" t="n"/>
      <c r="AQ486" s="236" t="n"/>
      <c r="AR486" s="236" t="n"/>
      <c r="AS486" s="236" t="n"/>
      <c r="AT486" s="236" t="n"/>
      <c r="AU486" s="236" t="n"/>
      <c r="AV486" s="236" t="n"/>
      <c r="AW486" s="236" t="n"/>
      <c r="AX486" s="692" t="n"/>
      <c r="AY486" s="692" t="n"/>
      <c r="AZ486" s="692" t="n"/>
      <c r="BA486" s="692" t="n"/>
      <c r="BB486" s="692" t="n"/>
      <c r="BC486" s="692" t="n"/>
      <c r="BD486" s="692" t="n"/>
      <c r="BE486" s="692" t="n"/>
      <c r="BF486" s="692" t="n"/>
      <c r="BG486" s="692" t="n"/>
      <c r="BH486" s="692" t="n"/>
      <c r="BI486" s="692" t="n"/>
      <c r="BJ486" s="692" t="n"/>
      <c r="BK486" s="692" t="n"/>
      <c r="BL486" s="692" t="n"/>
      <c r="BM486" s="692" t="n"/>
      <c r="BN486" s="692" t="n"/>
      <c r="BO486" s="692" t="n"/>
      <c r="BP486" s="692" t="n"/>
      <c r="BQ486" s="692" t="n"/>
    </row>
    <row r="487">
      <c r="A487" s="220" t="n"/>
      <c r="B487" s="211" t="n"/>
      <c r="C487" s="211" t="n"/>
      <c r="D487" s="211" t="n"/>
      <c r="E487" s="221" t="n"/>
      <c r="F487" s="211" t="n"/>
      <c r="G487" s="211" t="n"/>
      <c r="H487" s="211" t="n"/>
      <c r="I487" s="211" t="n"/>
      <c r="J487" s="211" t="n"/>
      <c r="K487" s="211" t="n"/>
      <c r="L487" s="213" t="n"/>
      <c r="M487" s="689" t="n"/>
      <c r="N487" s="689" t="n"/>
      <c r="O487" s="689" t="n"/>
      <c r="P487" s="227" t="n"/>
      <c r="Q487" s="689" t="n"/>
      <c r="R487" s="689" t="n"/>
      <c r="S487" s="689" t="n"/>
      <c r="T487" s="689" t="n"/>
      <c r="U487" s="689" t="n"/>
      <c r="V487" s="689" t="n"/>
      <c r="W487" s="689" t="n"/>
      <c r="X487" s="689" t="n"/>
      <c r="Y487" s="689" t="n"/>
      <c r="Z487" s="689" t="n"/>
      <c r="AA487" s="689" t="n"/>
      <c r="AB487" s="689" t="n"/>
      <c r="AC487" s="689" t="n"/>
      <c r="AD487" s="689" t="n"/>
      <c r="AF487" s="236" t="n"/>
      <c r="AG487" s="236" t="n"/>
      <c r="AH487" s="236" t="n"/>
      <c r="AI487" s="236" t="n"/>
      <c r="AJ487" s="236" t="n"/>
      <c r="AK487" s="236" t="n"/>
      <c r="AL487" s="236" t="n"/>
      <c r="AM487" s="236" t="n"/>
      <c r="AN487" s="236" t="n"/>
      <c r="AO487" s="236" t="n"/>
      <c r="AP487" s="236" t="n"/>
      <c r="AQ487" s="236" t="n"/>
      <c r="AR487" s="236" t="n"/>
      <c r="AS487" s="236" t="n"/>
      <c r="AT487" s="236" t="n"/>
      <c r="AU487" s="236" t="n"/>
      <c r="AV487" s="236" t="n"/>
      <c r="AW487" s="236" t="n"/>
      <c r="AX487" s="692" t="n"/>
      <c r="AY487" s="692" t="n"/>
      <c r="AZ487" s="692" t="n"/>
      <c r="BA487" s="692" t="n"/>
      <c r="BB487" s="692" t="n"/>
      <c r="BC487" s="692" t="n"/>
      <c r="BD487" s="692" t="n"/>
      <c r="BE487" s="692" t="n"/>
      <c r="BF487" s="692" t="n"/>
      <c r="BG487" s="692" t="n"/>
      <c r="BH487" s="692" t="n"/>
      <c r="BI487" s="692" t="n"/>
      <c r="BJ487" s="692" t="n"/>
      <c r="BK487" s="692" t="n"/>
      <c r="BL487" s="692" t="n"/>
      <c r="BM487" s="692" t="n"/>
      <c r="BN487" s="692" t="n"/>
      <c r="BO487" s="692" t="n"/>
      <c r="BP487" s="692" t="n"/>
      <c r="BQ487" s="692" t="n"/>
    </row>
    <row r="488">
      <c r="A488" s="218" t="n"/>
      <c r="B488" s="215" t="n"/>
      <c r="C488" s="215" t="n"/>
      <c r="D488" s="215" t="n"/>
      <c r="E488" s="219" t="n"/>
      <c r="F488" s="215" t="n"/>
      <c r="G488" s="215" t="n"/>
      <c r="H488" s="215" t="n"/>
      <c r="I488" s="215" t="n"/>
      <c r="J488" s="215" t="n"/>
      <c r="K488" s="215" t="n"/>
      <c r="L488" s="217" t="n"/>
      <c r="M488" s="689" t="n"/>
      <c r="N488" s="689" t="n"/>
      <c r="O488" s="689" t="n"/>
      <c r="P488" s="227" t="n"/>
      <c r="Q488" s="689" t="n"/>
      <c r="R488" s="689" t="n"/>
      <c r="S488" s="689" t="n"/>
      <c r="T488" s="689" t="n"/>
      <c r="U488" s="689" t="n"/>
      <c r="V488" s="689" t="n"/>
      <c r="W488" s="689" t="n"/>
      <c r="X488" s="689" t="n"/>
      <c r="Y488" s="689" t="n"/>
      <c r="Z488" s="689" t="n"/>
      <c r="AA488" s="689" t="n"/>
      <c r="AB488" s="689" t="n"/>
      <c r="AC488" s="689" t="n"/>
      <c r="AD488" s="689" t="n"/>
      <c r="AF488" s="236" t="n"/>
      <c r="AG488" s="236" t="n"/>
      <c r="AH488" s="236" t="n"/>
      <c r="AI488" s="236" t="n"/>
      <c r="AJ488" s="236" t="n"/>
      <c r="AK488" s="236" t="n"/>
      <c r="AL488" s="236" t="n"/>
      <c r="AM488" s="236" t="n"/>
      <c r="AN488" s="236" t="n"/>
      <c r="AO488" s="236" t="n"/>
      <c r="AP488" s="236" t="n"/>
      <c r="AQ488" s="236" t="n"/>
      <c r="AR488" s="236" t="n"/>
      <c r="AS488" s="236" t="n"/>
      <c r="AT488" s="236" t="n"/>
      <c r="AU488" s="236" t="n"/>
      <c r="AV488" s="236" t="n"/>
      <c r="AW488" s="236" t="n"/>
      <c r="AX488" s="692" t="n"/>
      <c r="AY488" s="692" t="n"/>
      <c r="AZ488" s="692" t="n"/>
      <c r="BA488" s="692" t="n"/>
      <c r="BB488" s="692" t="n"/>
      <c r="BC488" s="692" t="n"/>
      <c r="BD488" s="692" t="n"/>
      <c r="BE488" s="692" t="n"/>
      <c r="BF488" s="692" t="n"/>
      <c r="BG488" s="692" t="n"/>
      <c r="BH488" s="692" t="n"/>
      <c r="BI488" s="692" t="n"/>
      <c r="BJ488" s="692" t="n"/>
      <c r="BK488" s="692" t="n"/>
      <c r="BL488" s="692" t="n"/>
      <c r="BM488" s="692" t="n"/>
      <c r="BN488" s="692" t="n"/>
      <c r="BO488" s="692" t="n"/>
      <c r="BP488" s="692" t="n"/>
      <c r="BQ488" s="692" t="n"/>
    </row>
    <row r="489">
      <c r="A489" s="220" t="n"/>
      <c r="B489" s="211" t="n"/>
      <c r="C489" s="211" t="n"/>
      <c r="D489" s="211" t="n"/>
      <c r="E489" s="221" t="n"/>
      <c r="F489" s="211" t="n"/>
      <c r="G489" s="211" t="n"/>
      <c r="H489" s="211" t="n"/>
      <c r="I489" s="211" t="n"/>
      <c r="J489" s="211" t="n"/>
      <c r="K489" s="211" t="n"/>
      <c r="L489" s="213" t="n"/>
      <c r="M489" s="689" t="n"/>
      <c r="N489" s="689" t="n"/>
      <c r="O489" s="689" t="n"/>
      <c r="P489" s="227" t="n"/>
      <c r="Q489" s="689" t="n"/>
      <c r="R489" s="689" t="n"/>
      <c r="S489" s="689" t="n"/>
      <c r="T489" s="689" t="n"/>
      <c r="U489" s="689" t="n"/>
      <c r="V489" s="689" t="n"/>
      <c r="W489" s="689" t="n"/>
      <c r="X489" s="689" t="n"/>
      <c r="Y489" s="689" t="n"/>
      <c r="Z489" s="689" t="n"/>
      <c r="AA489" s="689" t="n"/>
      <c r="AB489" s="689" t="n"/>
      <c r="AC489" s="689" t="n"/>
      <c r="AD489" s="689" t="n"/>
      <c r="AF489" s="236" t="n"/>
      <c r="AG489" s="236" t="n"/>
      <c r="AH489" s="236" t="n"/>
      <c r="AI489" s="236" t="n"/>
      <c r="AJ489" s="236" t="n"/>
      <c r="AK489" s="236" t="n"/>
      <c r="AL489" s="236" t="n"/>
      <c r="AM489" s="236" t="n"/>
      <c r="AN489" s="236" t="n"/>
      <c r="AO489" s="236" t="n"/>
      <c r="AP489" s="236" t="n"/>
      <c r="AQ489" s="236" t="n"/>
      <c r="AR489" s="236" t="n"/>
      <c r="AS489" s="236" t="n"/>
      <c r="AT489" s="236" t="n"/>
      <c r="AU489" s="236" t="n"/>
      <c r="AV489" s="236" t="n"/>
      <c r="AW489" s="236" t="n"/>
      <c r="AX489" s="692" t="n"/>
      <c r="AY489" s="692" t="n"/>
      <c r="AZ489" s="692" t="n"/>
      <c r="BA489" s="692" t="n"/>
      <c r="BB489" s="692" t="n"/>
      <c r="BC489" s="692" t="n"/>
      <c r="BD489" s="692" t="n"/>
      <c r="BE489" s="692" t="n"/>
      <c r="BF489" s="692" t="n"/>
      <c r="BG489" s="692" t="n"/>
      <c r="BH489" s="692" t="n"/>
      <c r="BI489" s="692" t="n"/>
      <c r="BJ489" s="692" t="n"/>
      <c r="BK489" s="692" t="n"/>
      <c r="BL489" s="692" t="n"/>
      <c r="BM489" s="692" t="n"/>
      <c r="BN489" s="692" t="n"/>
      <c r="BO489" s="692" t="n"/>
      <c r="BP489" s="692" t="n"/>
      <c r="BQ489" s="692" t="n"/>
    </row>
    <row r="490">
      <c r="A490" s="218" t="n"/>
      <c r="B490" s="215" t="n"/>
      <c r="C490" s="215" t="n"/>
      <c r="D490" s="215" t="n"/>
      <c r="E490" s="219" t="n"/>
      <c r="F490" s="215" t="n"/>
      <c r="G490" s="215" t="n"/>
      <c r="H490" s="215" t="n"/>
      <c r="I490" s="215" t="n"/>
      <c r="J490" s="215" t="n"/>
      <c r="K490" s="215" t="n"/>
      <c r="L490" s="217" t="n"/>
      <c r="M490" s="689" t="n"/>
      <c r="N490" s="689" t="n"/>
      <c r="O490" s="689" t="n"/>
      <c r="P490" s="227" t="n"/>
      <c r="Q490" s="689" t="n"/>
      <c r="R490" s="689" t="n"/>
      <c r="S490" s="689" t="n"/>
      <c r="T490" s="689" t="n"/>
      <c r="U490" s="689" t="n"/>
      <c r="V490" s="689" t="n"/>
      <c r="W490" s="689" t="n"/>
      <c r="X490" s="689" t="n"/>
      <c r="Y490" s="689" t="n"/>
      <c r="Z490" s="689" t="n"/>
      <c r="AA490" s="689" t="n"/>
      <c r="AB490" s="689" t="n"/>
      <c r="AC490" s="689" t="n"/>
      <c r="AD490" s="689" t="n"/>
      <c r="AF490" s="236" t="n"/>
      <c r="AG490" s="236" t="n"/>
      <c r="AH490" s="236" t="n"/>
      <c r="AI490" s="236" t="n"/>
      <c r="AJ490" s="236" t="n"/>
      <c r="AK490" s="236" t="n"/>
      <c r="AL490" s="236" t="n"/>
      <c r="AM490" s="236" t="n"/>
      <c r="AN490" s="236" t="n"/>
      <c r="AO490" s="236" t="n"/>
      <c r="AP490" s="236" t="n"/>
      <c r="AQ490" s="236" t="n"/>
      <c r="AR490" s="236" t="n"/>
      <c r="AS490" s="236" t="n"/>
      <c r="AT490" s="236" t="n"/>
      <c r="AU490" s="236" t="n"/>
      <c r="AV490" s="236" t="n"/>
      <c r="AW490" s="236" t="n"/>
      <c r="AX490" s="692" t="n"/>
      <c r="AY490" s="692" t="n"/>
      <c r="AZ490" s="692" t="n"/>
      <c r="BA490" s="692" t="n"/>
      <c r="BB490" s="692" t="n"/>
      <c r="BC490" s="692" t="n"/>
      <c r="BD490" s="692" t="n"/>
      <c r="BE490" s="692" t="n"/>
      <c r="BF490" s="692" t="n"/>
      <c r="BG490" s="692" t="n"/>
      <c r="BH490" s="692" t="n"/>
      <c r="BI490" s="692" t="n"/>
      <c r="BJ490" s="692" t="n"/>
      <c r="BK490" s="692" t="n"/>
      <c r="BL490" s="692" t="n"/>
      <c r="BM490" s="692" t="n"/>
      <c r="BN490" s="692" t="n"/>
      <c r="BO490" s="692" t="n"/>
      <c r="BP490" s="692" t="n"/>
      <c r="BQ490" s="692" t="n"/>
    </row>
    <row r="491">
      <c r="A491" s="220" t="n"/>
      <c r="B491" s="211" t="n"/>
      <c r="C491" s="211" t="n"/>
      <c r="D491" s="211" t="n"/>
      <c r="E491" s="221" t="n"/>
      <c r="F491" s="211" t="n"/>
      <c r="G491" s="211" t="n"/>
      <c r="H491" s="211" t="n"/>
      <c r="I491" s="211" t="n"/>
      <c r="J491" s="211" t="n"/>
      <c r="K491" s="211" t="n"/>
      <c r="L491" s="213" t="n"/>
      <c r="M491" s="689" t="n"/>
      <c r="N491" s="689" t="n"/>
      <c r="O491" s="689" t="n"/>
      <c r="P491" s="227" t="n"/>
      <c r="Q491" s="689" t="n"/>
      <c r="R491" s="689" t="n"/>
      <c r="S491" s="689" t="n"/>
      <c r="T491" s="689" t="n"/>
      <c r="U491" s="689" t="n"/>
      <c r="V491" s="689" t="n"/>
      <c r="W491" s="689" t="n"/>
      <c r="X491" s="689" t="n"/>
      <c r="Y491" s="689" t="n"/>
      <c r="Z491" s="689" t="n"/>
      <c r="AA491" s="689" t="n"/>
      <c r="AB491" s="689" t="n"/>
      <c r="AC491" s="689" t="n"/>
      <c r="AD491" s="689" t="n"/>
      <c r="AF491" s="236" t="n"/>
      <c r="AG491" s="236" t="n"/>
      <c r="AH491" s="236" t="n"/>
      <c r="AI491" s="236" t="n"/>
      <c r="AJ491" s="236" t="n"/>
      <c r="AK491" s="236" t="n"/>
      <c r="AL491" s="236" t="n"/>
      <c r="AM491" s="236" t="n"/>
      <c r="AN491" s="236" t="n"/>
      <c r="AO491" s="236" t="n"/>
      <c r="AP491" s="236" t="n"/>
      <c r="AQ491" s="236" t="n"/>
      <c r="AR491" s="236" t="n"/>
      <c r="AS491" s="236" t="n"/>
      <c r="AT491" s="236" t="n"/>
      <c r="AU491" s="236" t="n"/>
      <c r="AV491" s="236" t="n"/>
      <c r="AW491" s="236" t="n"/>
      <c r="AX491" s="692" t="n"/>
      <c r="AY491" s="692" t="n"/>
      <c r="AZ491" s="692" t="n"/>
      <c r="BA491" s="692" t="n"/>
      <c r="BB491" s="692" t="n"/>
      <c r="BC491" s="692" t="n"/>
      <c r="BD491" s="692" t="n"/>
      <c r="BE491" s="692" t="n"/>
      <c r="BF491" s="692" t="n"/>
      <c r="BG491" s="692" t="n"/>
      <c r="BH491" s="692" t="n"/>
      <c r="BI491" s="692" t="n"/>
      <c r="BJ491" s="692" t="n"/>
      <c r="BK491" s="692" t="n"/>
      <c r="BL491" s="692" t="n"/>
      <c r="BM491" s="692" t="n"/>
      <c r="BN491" s="692" t="n"/>
      <c r="BO491" s="692" t="n"/>
      <c r="BP491" s="692" t="n"/>
      <c r="BQ491" s="692" t="n"/>
    </row>
    <row r="492">
      <c r="A492" s="218" t="n"/>
      <c r="B492" s="215" t="n"/>
      <c r="C492" s="215" t="n"/>
      <c r="D492" s="215" t="n"/>
      <c r="E492" s="219" t="n"/>
      <c r="F492" s="215" t="n"/>
      <c r="G492" s="215" t="n"/>
      <c r="H492" s="215" t="n"/>
      <c r="I492" s="215" t="n"/>
      <c r="J492" s="215" t="n"/>
      <c r="K492" s="215" t="n"/>
      <c r="L492" s="217" t="n"/>
      <c r="M492" s="689" t="n"/>
      <c r="N492" s="689" t="n"/>
      <c r="O492" s="689" t="n"/>
      <c r="P492" s="227" t="n"/>
      <c r="Q492" s="689" t="n"/>
      <c r="R492" s="689" t="n"/>
      <c r="S492" s="689" t="n"/>
      <c r="T492" s="689" t="n"/>
      <c r="U492" s="689" t="n"/>
      <c r="V492" s="689" t="n"/>
      <c r="W492" s="689" t="n"/>
      <c r="X492" s="689" t="n"/>
      <c r="Y492" s="689" t="n"/>
      <c r="Z492" s="689" t="n"/>
      <c r="AA492" s="689" t="n"/>
      <c r="AB492" s="689" t="n"/>
      <c r="AC492" s="689" t="n"/>
      <c r="AD492" s="689" t="n"/>
      <c r="AF492" s="236" t="n"/>
      <c r="AG492" s="236" t="n"/>
      <c r="AH492" s="236" t="n"/>
      <c r="AI492" s="236" t="n"/>
      <c r="AJ492" s="236" t="n"/>
      <c r="AK492" s="236" t="n"/>
      <c r="AL492" s="236" t="n"/>
      <c r="AM492" s="236" t="n"/>
      <c r="AN492" s="236" t="n"/>
      <c r="AO492" s="236" t="n"/>
      <c r="AP492" s="236" t="n"/>
      <c r="AQ492" s="236" t="n"/>
      <c r="AR492" s="236" t="n"/>
      <c r="AS492" s="236" t="n"/>
      <c r="AT492" s="236" t="n"/>
      <c r="AU492" s="236" t="n"/>
      <c r="AV492" s="236" t="n"/>
      <c r="AW492" s="236" t="n"/>
      <c r="AX492" s="692" t="n"/>
      <c r="AY492" s="692" t="n"/>
      <c r="AZ492" s="692" t="n"/>
      <c r="BA492" s="692" t="n"/>
      <c r="BB492" s="692" t="n"/>
      <c r="BC492" s="692" t="n"/>
      <c r="BD492" s="692" t="n"/>
      <c r="BE492" s="692" t="n"/>
      <c r="BF492" s="692" t="n"/>
      <c r="BG492" s="692" t="n"/>
      <c r="BH492" s="692" t="n"/>
      <c r="BI492" s="692" t="n"/>
      <c r="BJ492" s="692" t="n"/>
      <c r="BK492" s="692" t="n"/>
      <c r="BL492" s="692" t="n"/>
      <c r="BM492" s="692" t="n"/>
      <c r="BN492" s="692" t="n"/>
      <c r="BO492" s="692" t="n"/>
      <c r="BP492" s="692" t="n"/>
      <c r="BQ492" s="692" t="n"/>
    </row>
    <row r="493">
      <c r="A493" s="220" t="n"/>
      <c r="B493" s="211" t="n"/>
      <c r="C493" s="211" t="n"/>
      <c r="D493" s="211" t="n"/>
      <c r="E493" s="221" t="n"/>
      <c r="F493" s="211" t="n"/>
      <c r="G493" s="211" t="n"/>
      <c r="H493" s="211" t="n"/>
      <c r="I493" s="211" t="n"/>
      <c r="J493" s="211" t="n"/>
      <c r="K493" s="211" t="n"/>
      <c r="L493" s="213" t="n"/>
      <c r="M493" s="689" t="n"/>
      <c r="N493" s="689" t="n"/>
      <c r="O493" s="689" t="n"/>
      <c r="P493" s="227" t="n"/>
      <c r="Q493" s="689" t="n"/>
      <c r="R493" s="689" t="n"/>
      <c r="S493" s="689" t="n"/>
      <c r="T493" s="689" t="n"/>
      <c r="U493" s="689" t="n"/>
      <c r="V493" s="689" t="n"/>
      <c r="W493" s="689" t="n"/>
      <c r="X493" s="689" t="n"/>
      <c r="Y493" s="689" t="n"/>
      <c r="Z493" s="689" t="n"/>
      <c r="AA493" s="689" t="n"/>
      <c r="AB493" s="689" t="n"/>
      <c r="AC493" s="689" t="n"/>
      <c r="AD493" s="689" t="n"/>
      <c r="AF493" s="236" t="n"/>
      <c r="AG493" s="236" t="n"/>
      <c r="AH493" s="236" t="n"/>
      <c r="AI493" s="236" t="n"/>
      <c r="AJ493" s="236" t="n"/>
      <c r="AK493" s="236" t="n"/>
      <c r="AL493" s="236" t="n"/>
      <c r="AM493" s="236" t="n"/>
      <c r="AN493" s="236" t="n"/>
      <c r="AO493" s="236" t="n"/>
      <c r="AP493" s="236" t="n"/>
      <c r="AQ493" s="236" t="n"/>
      <c r="AR493" s="236" t="n"/>
      <c r="AS493" s="236" t="n"/>
      <c r="AT493" s="236" t="n"/>
      <c r="AU493" s="236" t="n"/>
      <c r="AV493" s="236" t="n"/>
      <c r="AW493" s="236" t="n"/>
      <c r="AX493" s="692" t="n"/>
      <c r="AY493" s="692" t="n"/>
      <c r="AZ493" s="692" t="n"/>
      <c r="BA493" s="692" t="n"/>
      <c r="BB493" s="692" t="n"/>
      <c r="BC493" s="692" t="n"/>
      <c r="BD493" s="692" t="n"/>
      <c r="BE493" s="692" t="n"/>
      <c r="BF493" s="692" t="n"/>
      <c r="BG493" s="692" t="n"/>
      <c r="BH493" s="692" t="n"/>
      <c r="BI493" s="692" t="n"/>
      <c r="BJ493" s="692" t="n"/>
      <c r="BK493" s="692" t="n"/>
      <c r="BL493" s="692" t="n"/>
      <c r="BM493" s="692" t="n"/>
      <c r="BN493" s="692" t="n"/>
      <c r="BO493" s="692" t="n"/>
      <c r="BP493" s="692" t="n"/>
      <c r="BQ493" s="692" t="n"/>
    </row>
    <row r="494">
      <c r="A494" s="218" t="n"/>
      <c r="B494" s="215" t="n"/>
      <c r="C494" s="215" t="n"/>
      <c r="D494" s="215" t="n"/>
      <c r="E494" s="219" t="n"/>
      <c r="F494" s="215" t="n"/>
      <c r="G494" s="215" t="n"/>
      <c r="H494" s="215" t="n"/>
      <c r="I494" s="215" t="n"/>
      <c r="J494" s="215" t="n"/>
      <c r="K494" s="215" t="n"/>
      <c r="L494" s="217" t="n"/>
      <c r="M494" s="689" t="n"/>
      <c r="N494" s="689" t="n"/>
      <c r="O494" s="689" t="n"/>
      <c r="P494" s="227" t="n"/>
      <c r="Q494" s="689" t="n"/>
      <c r="R494" s="689" t="n"/>
      <c r="S494" s="689" t="n"/>
      <c r="T494" s="689" t="n"/>
      <c r="U494" s="689" t="n"/>
      <c r="V494" s="689" t="n"/>
      <c r="W494" s="689" t="n"/>
      <c r="X494" s="689" t="n"/>
      <c r="Y494" s="689" t="n"/>
      <c r="Z494" s="689" t="n"/>
      <c r="AA494" s="689" t="n"/>
      <c r="AB494" s="689" t="n"/>
      <c r="AC494" s="689" t="n"/>
      <c r="AD494" s="689" t="n"/>
      <c r="AF494" s="236" t="n"/>
      <c r="AG494" s="236" t="n"/>
      <c r="AH494" s="236" t="n"/>
      <c r="AI494" s="236" t="n"/>
      <c r="AJ494" s="236" t="n"/>
      <c r="AK494" s="236" t="n"/>
      <c r="AL494" s="236" t="n"/>
      <c r="AM494" s="236" t="n"/>
      <c r="AN494" s="236" t="n"/>
      <c r="AO494" s="236" t="n"/>
      <c r="AP494" s="236" t="n"/>
      <c r="AQ494" s="236" t="n"/>
      <c r="AR494" s="236" t="n"/>
      <c r="AS494" s="236" t="n"/>
      <c r="AT494" s="236" t="n"/>
      <c r="AU494" s="236" t="n"/>
      <c r="AV494" s="236" t="n"/>
      <c r="AW494" s="236" t="n"/>
      <c r="AX494" s="692" t="n"/>
      <c r="AY494" s="692" t="n"/>
      <c r="AZ494" s="692" t="n"/>
      <c r="BA494" s="692" t="n"/>
      <c r="BB494" s="692" t="n"/>
      <c r="BC494" s="692" t="n"/>
      <c r="BD494" s="692" t="n"/>
      <c r="BE494" s="692" t="n"/>
      <c r="BF494" s="692" t="n"/>
      <c r="BG494" s="692" t="n"/>
      <c r="BH494" s="692" t="n"/>
      <c r="BI494" s="692" t="n"/>
      <c r="BJ494" s="692" t="n"/>
      <c r="BK494" s="692" t="n"/>
      <c r="BL494" s="692" t="n"/>
      <c r="BM494" s="692" t="n"/>
      <c r="BN494" s="692" t="n"/>
      <c r="BO494" s="692" t="n"/>
      <c r="BP494" s="692" t="n"/>
      <c r="BQ494" s="692" t="n"/>
    </row>
    <row r="495">
      <c r="A495" s="220" t="n"/>
      <c r="B495" s="211" t="n"/>
      <c r="C495" s="211" t="n"/>
      <c r="D495" s="211" t="n"/>
      <c r="E495" s="221" t="n"/>
      <c r="F495" s="211" t="n"/>
      <c r="G495" s="211" t="n"/>
      <c r="H495" s="211" t="n"/>
      <c r="I495" s="211" t="n"/>
      <c r="J495" s="211" t="n"/>
      <c r="K495" s="211" t="n"/>
      <c r="L495" s="213" t="n"/>
      <c r="M495" s="689" t="n"/>
      <c r="N495" s="689" t="n"/>
      <c r="O495" s="689" t="n"/>
      <c r="P495" s="227" t="n"/>
      <c r="Q495" s="689" t="n"/>
      <c r="R495" s="689" t="n"/>
      <c r="S495" s="689" t="n"/>
      <c r="T495" s="689" t="n"/>
      <c r="U495" s="689" t="n"/>
      <c r="V495" s="689" t="n"/>
      <c r="W495" s="689" t="n"/>
      <c r="X495" s="689" t="n"/>
      <c r="Y495" s="689" t="n"/>
      <c r="Z495" s="689" t="n"/>
      <c r="AA495" s="689" t="n"/>
      <c r="AB495" s="689" t="n"/>
      <c r="AC495" s="689" t="n"/>
      <c r="AD495" s="689" t="n"/>
      <c r="AF495" s="236" t="n"/>
      <c r="AG495" s="236" t="n"/>
      <c r="AH495" s="236" t="n"/>
      <c r="AI495" s="236" t="n"/>
      <c r="AJ495" s="236" t="n"/>
      <c r="AK495" s="236" t="n"/>
      <c r="AL495" s="236" t="n"/>
      <c r="AM495" s="236" t="n"/>
      <c r="AN495" s="236" t="n"/>
      <c r="AO495" s="236" t="n"/>
      <c r="AP495" s="236" t="n"/>
      <c r="AQ495" s="236" t="n"/>
      <c r="AR495" s="236" t="n"/>
      <c r="AS495" s="236" t="n"/>
      <c r="AT495" s="236" t="n"/>
      <c r="AU495" s="236" t="n"/>
      <c r="AV495" s="236" t="n"/>
      <c r="AW495" s="236" t="n"/>
      <c r="AX495" s="692" t="n"/>
      <c r="AY495" s="692" t="n"/>
      <c r="AZ495" s="692" t="n"/>
      <c r="BA495" s="692" t="n"/>
      <c r="BB495" s="692" t="n"/>
      <c r="BC495" s="692" t="n"/>
      <c r="BD495" s="692" t="n"/>
      <c r="BE495" s="692" t="n"/>
      <c r="BF495" s="692" t="n"/>
      <c r="BG495" s="692" t="n"/>
      <c r="BH495" s="692" t="n"/>
      <c r="BI495" s="692" t="n"/>
      <c r="BJ495" s="692" t="n"/>
      <c r="BK495" s="692" t="n"/>
      <c r="BL495" s="692" t="n"/>
      <c r="BM495" s="692" t="n"/>
      <c r="BN495" s="692" t="n"/>
      <c r="BO495" s="692" t="n"/>
      <c r="BP495" s="692" t="n"/>
      <c r="BQ495" s="692" t="n"/>
    </row>
    <row r="496">
      <c r="A496" s="218" t="n"/>
      <c r="B496" s="215" t="n"/>
      <c r="C496" s="215" t="n"/>
      <c r="D496" s="215" t="n"/>
      <c r="E496" s="219" t="n"/>
      <c r="F496" s="215" t="n"/>
      <c r="G496" s="215" t="n"/>
      <c r="H496" s="215" t="n"/>
      <c r="I496" s="215" t="n"/>
      <c r="J496" s="215" t="n"/>
      <c r="K496" s="215" t="n"/>
      <c r="L496" s="217" t="n"/>
      <c r="M496" s="689" t="n"/>
      <c r="N496" s="689" t="n"/>
      <c r="O496" s="689" t="n"/>
      <c r="P496" s="227" t="n"/>
      <c r="Q496" s="689" t="n"/>
      <c r="R496" s="689" t="n"/>
      <c r="S496" s="689" t="n"/>
      <c r="T496" s="689" t="n"/>
      <c r="U496" s="689" t="n"/>
      <c r="V496" s="689" t="n"/>
      <c r="W496" s="689" t="n"/>
      <c r="X496" s="689" t="n"/>
      <c r="Y496" s="689" t="n"/>
      <c r="Z496" s="689" t="n"/>
      <c r="AA496" s="689" t="n"/>
      <c r="AB496" s="689" t="n"/>
      <c r="AC496" s="689" t="n"/>
      <c r="AD496" s="689" t="n"/>
      <c r="AF496" s="236" t="n"/>
      <c r="AG496" s="236" t="n"/>
      <c r="AH496" s="236" t="n"/>
      <c r="AI496" s="236" t="n"/>
      <c r="AJ496" s="236" t="n"/>
      <c r="AK496" s="236" t="n"/>
      <c r="AL496" s="236" t="n"/>
      <c r="AM496" s="236" t="n"/>
      <c r="AN496" s="236" t="n"/>
      <c r="AO496" s="236" t="n"/>
      <c r="AP496" s="236" t="n"/>
      <c r="AQ496" s="236" t="n"/>
      <c r="AR496" s="236" t="n"/>
      <c r="AS496" s="236" t="n"/>
      <c r="AT496" s="236" t="n"/>
      <c r="AU496" s="236" t="n"/>
      <c r="AV496" s="236" t="n"/>
      <c r="AW496" s="236" t="n"/>
      <c r="AX496" s="692" t="n"/>
      <c r="AY496" s="692" t="n"/>
      <c r="AZ496" s="692" t="n"/>
      <c r="BA496" s="692" t="n"/>
      <c r="BB496" s="692" t="n"/>
      <c r="BC496" s="692" t="n"/>
      <c r="BD496" s="692" t="n"/>
      <c r="BE496" s="692" t="n"/>
      <c r="BF496" s="692" t="n"/>
      <c r="BG496" s="692" t="n"/>
      <c r="BH496" s="692" t="n"/>
      <c r="BI496" s="692" t="n"/>
      <c r="BJ496" s="692" t="n"/>
      <c r="BK496" s="692" t="n"/>
      <c r="BL496" s="692" t="n"/>
      <c r="BM496" s="692" t="n"/>
      <c r="BN496" s="692" t="n"/>
      <c r="BO496" s="692" t="n"/>
      <c r="BP496" s="692" t="n"/>
      <c r="BQ496" s="692" t="n"/>
    </row>
    <row r="497">
      <c r="A497" s="220" t="n"/>
      <c r="B497" s="211" t="n"/>
      <c r="C497" s="211" t="n"/>
      <c r="D497" s="211" t="n"/>
      <c r="E497" s="221" t="n"/>
      <c r="F497" s="211" t="n"/>
      <c r="G497" s="211" t="n"/>
      <c r="H497" s="211" t="n"/>
      <c r="I497" s="211" t="n"/>
      <c r="J497" s="211" t="n"/>
      <c r="K497" s="211" t="n"/>
      <c r="L497" s="213" t="n"/>
      <c r="M497" s="689" t="n"/>
      <c r="N497" s="689" t="n"/>
      <c r="O497" s="689" t="n"/>
      <c r="P497" s="227" t="n"/>
      <c r="Q497" s="689" t="n"/>
      <c r="R497" s="689" t="n"/>
      <c r="S497" s="689" t="n"/>
      <c r="T497" s="689" t="n"/>
      <c r="U497" s="689" t="n"/>
      <c r="V497" s="689" t="n"/>
      <c r="W497" s="689" t="n"/>
      <c r="X497" s="689" t="n"/>
      <c r="Y497" s="689" t="n"/>
      <c r="Z497" s="689" t="n"/>
      <c r="AA497" s="689" t="n"/>
      <c r="AB497" s="689" t="n"/>
      <c r="AC497" s="689" t="n"/>
      <c r="AD497" s="689" t="n"/>
      <c r="AF497" s="236" t="n"/>
      <c r="AG497" s="236" t="n"/>
      <c r="AH497" s="236" t="n"/>
      <c r="AI497" s="236" t="n"/>
      <c r="AJ497" s="236" t="n"/>
      <c r="AK497" s="236" t="n"/>
      <c r="AL497" s="236" t="n"/>
      <c r="AM497" s="236" t="n"/>
      <c r="AN497" s="236" t="n"/>
      <c r="AO497" s="236" t="n"/>
      <c r="AP497" s="236" t="n"/>
      <c r="AQ497" s="236" t="n"/>
      <c r="AR497" s="236" t="n"/>
      <c r="AS497" s="236" t="n"/>
      <c r="AT497" s="236" t="n"/>
      <c r="AU497" s="236" t="n"/>
      <c r="AV497" s="236" t="n"/>
      <c r="AW497" s="236" t="n"/>
      <c r="AX497" s="692" t="n"/>
      <c r="AY497" s="692" t="n"/>
      <c r="AZ497" s="692" t="n"/>
      <c r="BA497" s="692" t="n"/>
      <c r="BB497" s="692" t="n"/>
      <c r="BC497" s="692" t="n"/>
      <c r="BD497" s="692" t="n"/>
      <c r="BE497" s="692" t="n"/>
      <c r="BF497" s="692" t="n"/>
      <c r="BG497" s="692" t="n"/>
      <c r="BH497" s="692" t="n"/>
      <c r="BI497" s="692" t="n"/>
      <c r="BJ497" s="692" t="n"/>
      <c r="BK497" s="692" t="n"/>
      <c r="BL497" s="692" t="n"/>
      <c r="BM497" s="692" t="n"/>
      <c r="BN497" s="692" t="n"/>
      <c r="BO497" s="692" t="n"/>
      <c r="BP497" s="692" t="n"/>
      <c r="BQ497" s="692" t="n"/>
    </row>
    <row r="498">
      <c r="A498" s="218" t="n"/>
      <c r="B498" s="215" t="n"/>
      <c r="C498" s="215" t="n"/>
      <c r="D498" s="215" t="n"/>
      <c r="E498" s="219" t="n"/>
      <c r="F498" s="215" t="n"/>
      <c r="G498" s="215" t="n"/>
      <c r="H498" s="215" t="n"/>
      <c r="I498" s="215" t="n"/>
      <c r="J498" s="215" t="n"/>
      <c r="K498" s="215" t="n"/>
      <c r="L498" s="217" t="n"/>
      <c r="M498" s="689" t="n"/>
      <c r="N498" s="689" t="n"/>
      <c r="O498" s="689" t="n"/>
      <c r="P498" s="227" t="n"/>
      <c r="Q498" s="689" t="n"/>
      <c r="R498" s="689" t="n"/>
      <c r="S498" s="689" t="n"/>
      <c r="T498" s="689" t="n"/>
      <c r="U498" s="689" t="n"/>
      <c r="V498" s="689" t="n"/>
      <c r="W498" s="689" t="n"/>
      <c r="X498" s="689" t="n"/>
      <c r="Y498" s="689" t="n"/>
      <c r="Z498" s="689" t="n"/>
      <c r="AA498" s="689" t="n"/>
      <c r="AB498" s="689" t="n"/>
      <c r="AC498" s="689" t="n"/>
      <c r="AD498" s="689" t="n"/>
      <c r="AF498" s="236" t="n"/>
      <c r="AG498" s="236" t="n"/>
      <c r="AH498" s="236" t="n"/>
      <c r="AI498" s="236" t="n"/>
      <c r="AJ498" s="236" t="n"/>
      <c r="AK498" s="236" t="n"/>
      <c r="AL498" s="236" t="n"/>
      <c r="AM498" s="236" t="n"/>
      <c r="AN498" s="236" t="n"/>
      <c r="AO498" s="236" t="n"/>
      <c r="AP498" s="236" t="n"/>
      <c r="AQ498" s="236" t="n"/>
      <c r="AR498" s="236" t="n"/>
      <c r="AS498" s="236" t="n"/>
      <c r="AT498" s="236" t="n"/>
      <c r="AU498" s="236" t="n"/>
      <c r="AV498" s="236" t="n"/>
      <c r="AW498" s="236" t="n"/>
      <c r="AX498" s="692" t="n"/>
      <c r="AY498" s="692" t="n"/>
      <c r="AZ498" s="692" t="n"/>
      <c r="BA498" s="692" t="n"/>
      <c r="BB498" s="692" t="n"/>
      <c r="BC498" s="692" t="n"/>
      <c r="BD498" s="692" t="n"/>
      <c r="BE498" s="692" t="n"/>
      <c r="BF498" s="692" t="n"/>
      <c r="BG498" s="692" t="n"/>
      <c r="BH498" s="692" t="n"/>
      <c r="BI498" s="692" t="n"/>
      <c r="BJ498" s="692" t="n"/>
      <c r="BK498" s="692" t="n"/>
      <c r="BL498" s="692" t="n"/>
      <c r="BM498" s="692" t="n"/>
      <c r="BN498" s="692" t="n"/>
      <c r="BO498" s="692" t="n"/>
      <c r="BP498" s="692" t="n"/>
      <c r="BQ498" s="692" t="n"/>
    </row>
    <row r="499">
      <c r="A499" s="220" t="n"/>
      <c r="B499" s="211" t="n"/>
      <c r="C499" s="211" t="n"/>
      <c r="D499" s="211" t="n"/>
      <c r="E499" s="221" t="n"/>
      <c r="F499" s="211" t="n"/>
      <c r="G499" s="211" t="n"/>
      <c r="H499" s="211" t="n"/>
      <c r="I499" s="211" t="n"/>
      <c r="J499" s="211" t="n"/>
      <c r="K499" s="211" t="n"/>
      <c r="L499" s="213" t="n"/>
      <c r="M499" s="689" t="n"/>
      <c r="N499" s="689" t="n"/>
      <c r="O499" s="689" t="n"/>
      <c r="P499" s="227" t="n"/>
      <c r="Q499" s="689" t="n"/>
      <c r="R499" s="689" t="n"/>
      <c r="S499" s="689" t="n"/>
      <c r="T499" s="689" t="n"/>
      <c r="U499" s="689" t="n"/>
      <c r="V499" s="689" t="n"/>
      <c r="W499" s="689" t="n"/>
      <c r="X499" s="689" t="n"/>
      <c r="Y499" s="689" t="n"/>
      <c r="Z499" s="689" t="n"/>
      <c r="AA499" s="689" t="n"/>
      <c r="AB499" s="689" t="n"/>
      <c r="AC499" s="689" t="n"/>
      <c r="AD499" s="689" t="n"/>
      <c r="AF499" s="236" t="n"/>
      <c r="AG499" s="236" t="n"/>
      <c r="AH499" s="236" t="n"/>
      <c r="AI499" s="236" t="n"/>
      <c r="AJ499" s="236" t="n"/>
      <c r="AK499" s="236" t="n"/>
      <c r="AL499" s="236" t="n"/>
      <c r="AM499" s="236" t="n"/>
      <c r="AN499" s="236" t="n"/>
      <c r="AO499" s="236" t="n"/>
      <c r="AP499" s="236" t="n"/>
      <c r="AQ499" s="236" t="n"/>
      <c r="AR499" s="236" t="n"/>
      <c r="AS499" s="236" t="n"/>
      <c r="AT499" s="236" t="n"/>
      <c r="AU499" s="236" t="n"/>
      <c r="AV499" s="236" t="n"/>
      <c r="AW499" s="236" t="n"/>
      <c r="AX499" s="692" t="n"/>
      <c r="AY499" s="692" t="n"/>
      <c r="AZ499" s="692" t="n"/>
      <c r="BA499" s="692" t="n"/>
      <c r="BB499" s="692" t="n"/>
      <c r="BC499" s="692" t="n"/>
      <c r="BD499" s="692" t="n"/>
      <c r="BE499" s="692" t="n"/>
      <c r="BF499" s="692" t="n"/>
      <c r="BG499" s="692" t="n"/>
      <c r="BH499" s="692" t="n"/>
      <c r="BI499" s="692" t="n"/>
      <c r="BJ499" s="692" t="n"/>
      <c r="BK499" s="692" t="n"/>
      <c r="BL499" s="692" t="n"/>
      <c r="BM499" s="692" t="n"/>
      <c r="BN499" s="692" t="n"/>
      <c r="BO499" s="692" t="n"/>
      <c r="BP499" s="692" t="n"/>
      <c r="BQ499" s="692" t="n"/>
    </row>
    <row r="500">
      <c r="A500" s="218" t="n"/>
      <c r="B500" s="215" t="n"/>
      <c r="C500" s="215" t="n"/>
      <c r="D500" s="215" t="n"/>
      <c r="E500" s="219" t="n"/>
      <c r="F500" s="215" t="n"/>
      <c r="G500" s="215" t="n"/>
      <c r="H500" s="215" t="n"/>
      <c r="I500" s="215" t="n"/>
      <c r="J500" s="215" t="n"/>
      <c r="K500" s="215" t="n"/>
      <c r="L500" s="217" t="n"/>
      <c r="M500" s="689" t="n"/>
      <c r="N500" s="689" t="n"/>
      <c r="O500" s="689" t="n"/>
      <c r="P500" s="227" t="n"/>
      <c r="Q500" s="689" t="n"/>
      <c r="R500" s="689" t="n"/>
      <c r="S500" s="689" t="n"/>
      <c r="T500" s="689" t="n"/>
      <c r="U500" s="689" t="n"/>
      <c r="V500" s="689" t="n"/>
      <c r="W500" s="689" t="n"/>
      <c r="X500" s="689" t="n"/>
      <c r="Y500" s="689" t="n"/>
      <c r="Z500" s="689" t="n"/>
      <c r="AA500" s="689" t="n"/>
      <c r="AB500" s="689" t="n"/>
      <c r="AC500" s="689" t="n"/>
      <c r="AD500" s="689" t="n"/>
      <c r="AF500" s="236" t="n"/>
      <c r="AG500" s="236" t="n"/>
      <c r="AH500" s="236" t="n"/>
      <c r="AI500" s="236" t="n"/>
      <c r="AJ500" s="236" t="n"/>
      <c r="AK500" s="236" t="n"/>
      <c r="AL500" s="236" t="n"/>
      <c r="AM500" s="236" t="n"/>
      <c r="AN500" s="236" t="n"/>
      <c r="AO500" s="236" t="n"/>
      <c r="AP500" s="236" t="n"/>
      <c r="AQ500" s="236" t="n"/>
      <c r="AR500" s="236" t="n"/>
      <c r="AS500" s="236" t="n"/>
      <c r="AT500" s="236" t="n"/>
      <c r="AU500" s="236" t="n"/>
      <c r="AV500" s="236" t="n"/>
      <c r="AW500" s="236" t="n"/>
      <c r="AX500" s="692" t="n"/>
      <c r="AY500" s="692" t="n"/>
      <c r="AZ500" s="692" t="n"/>
      <c r="BA500" s="692" t="n"/>
      <c r="BB500" s="692" t="n"/>
      <c r="BC500" s="692" t="n"/>
      <c r="BD500" s="692" t="n"/>
      <c r="BE500" s="692" t="n"/>
      <c r="BF500" s="692" t="n"/>
      <c r="BG500" s="692" t="n"/>
      <c r="BH500" s="692" t="n"/>
      <c r="BI500" s="692" t="n"/>
      <c r="BJ500" s="692" t="n"/>
      <c r="BK500" s="692" t="n"/>
      <c r="BL500" s="692" t="n"/>
      <c r="BM500" s="692" t="n"/>
      <c r="BN500" s="692" t="n"/>
      <c r="BO500" s="692" t="n"/>
      <c r="BP500" s="692" t="n"/>
      <c r="BQ500" s="692" t="n"/>
    </row>
    <row r="501">
      <c r="A501" s="220" t="n"/>
      <c r="B501" s="211" t="n"/>
      <c r="C501" s="211" t="n"/>
      <c r="D501" s="211" t="n"/>
      <c r="E501" s="221" t="n"/>
      <c r="F501" s="211" t="n"/>
      <c r="G501" s="211" t="n"/>
      <c r="H501" s="211" t="n"/>
      <c r="I501" s="211" t="n"/>
      <c r="J501" s="211" t="n"/>
      <c r="K501" s="211" t="n"/>
      <c r="L501" s="213" t="n"/>
      <c r="M501" s="689" t="n"/>
      <c r="N501" s="689" t="n"/>
      <c r="O501" s="689" t="n"/>
      <c r="P501" s="227" t="n"/>
      <c r="Q501" s="689" t="n"/>
      <c r="R501" s="689" t="n"/>
      <c r="S501" s="689" t="n"/>
      <c r="T501" s="689" t="n"/>
      <c r="U501" s="689" t="n"/>
      <c r="V501" s="689" t="n"/>
      <c r="W501" s="689" t="n"/>
      <c r="X501" s="689" t="n"/>
      <c r="Y501" s="689" t="n"/>
      <c r="Z501" s="689" t="n"/>
      <c r="AA501" s="689" t="n"/>
      <c r="AB501" s="689" t="n"/>
      <c r="AC501" s="689" t="n"/>
      <c r="AD501" s="689" t="n"/>
      <c r="AF501" s="236" t="n"/>
      <c r="AG501" s="236" t="n"/>
      <c r="AH501" s="236" t="n"/>
      <c r="AI501" s="236" t="n"/>
      <c r="AJ501" s="236" t="n"/>
      <c r="AK501" s="236" t="n"/>
      <c r="AL501" s="236" t="n"/>
      <c r="AM501" s="236" t="n"/>
      <c r="AN501" s="236" t="n"/>
      <c r="AO501" s="236" t="n"/>
      <c r="AP501" s="236" t="n"/>
      <c r="AQ501" s="236" t="n"/>
      <c r="AR501" s="236" t="n"/>
      <c r="AS501" s="236" t="n"/>
      <c r="AT501" s="236" t="n"/>
      <c r="AU501" s="236" t="n"/>
      <c r="AV501" s="236" t="n"/>
      <c r="AW501" s="236" t="n"/>
      <c r="AX501" s="692" t="n"/>
      <c r="AY501" s="692" t="n"/>
      <c r="AZ501" s="692" t="n"/>
      <c r="BA501" s="692" t="n"/>
      <c r="BB501" s="692" t="n"/>
      <c r="BC501" s="692" t="n"/>
      <c r="BD501" s="692" t="n"/>
      <c r="BE501" s="692" t="n"/>
      <c r="BF501" s="692" t="n"/>
      <c r="BG501" s="692" t="n"/>
      <c r="BH501" s="692" t="n"/>
      <c r="BI501" s="692" t="n"/>
      <c r="BJ501" s="692" t="n"/>
      <c r="BK501" s="692" t="n"/>
      <c r="BL501" s="692" t="n"/>
      <c r="BM501" s="692" t="n"/>
      <c r="BN501" s="692" t="n"/>
      <c r="BO501" s="692" t="n"/>
      <c r="BP501" s="692" t="n"/>
      <c r="BQ501" s="692" t="n"/>
    </row>
    <row r="502">
      <c r="A502" s="218" t="n"/>
      <c r="B502" s="215" t="n"/>
      <c r="C502" s="215" t="n"/>
      <c r="D502" s="215" t="n"/>
      <c r="E502" s="219" t="n"/>
      <c r="F502" s="215" t="n"/>
      <c r="G502" s="215" t="n"/>
      <c r="H502" s="215" t="n"/>
      <c r="I502" s="215" t="n"/>
      <c r="J502" s="215" t="n"/>
      <c r="K502" s="215" t="n"/>
      <c r="L502" s="217" t="n"/>
      <c r="M502" s="689" t="n"/>
      <c r="N502" s="689" t="n"/>
      <c r="O502" s="689" t="n"/>
      <c r="P502" s="227" t="n"/>
      <c r="Q502" s="689" t="n"/>
      <c r="R502" s="689" t="n"/>
      <c r="S502" s="689" t="n"/>
      <c r="T502" s="689" t="n"/>
      <c r="U502" s="689" t="n"/>
      <c r="V502" s="689" t="n"/>
      <c r="W502" s="689" t="n"/>
      <c r="X502" s="689" t="n"/>
      <c r="Y502" s="689" t="n"/>
      <c r="Z502" s="689" t="n"/>
      <c r="AA502" s="689" t="n"/>
      <c r="AB502" s="689" t="n"/>
      <c r="AC502" s="689" t="n"/>
      <c r="AD502" s="689" t="n"/>
      <c r="AF502" s="236" t="n"/>
      <c r="AG502" s="236" t="n"/>
      <c r="AH502" s="236" t="n"/>
      <c r="AI502" s="236" t="n"/>
      <c r="AJ502" s="236" t="n"/>
      <c r="AK502" s="236" t="n"/>
      <c r="AL502" s="236" t="n"/>
      <c r="AM502" s="236" t="n"/>
      <c r="AN502" s="236" t="n"/>
      <c r="AO502" s="236" t="n"/>
      <c r="AP502" s="236" t="n"/>
      <c r="AQ502" s="236" t="n"/>
      <c r="AR502" s="236" t="n"/>
      <c r="AS502" s="236" t="n"/>
      <c r="AT502" s="236" t="n"/>
      <c r="AU502" s="236" t="n"/>
      <c r="AV502" s="236" t="n"/>
      <c r="AW502" s="236" t="n"/>
      <c r="AX502" s="692" t="n"/>
      <c r="AY502" s="692" t="n"/>
      <c r="AZ502" s="692" t="n"/>
      <c r="BA502" s="692" t="n"/>
      <c r="BB502" s="692" t="n"/>
      <c r="BC502" s="692" t="n"/>
      <c r="BD502" s="692" t="n"/>
      <c r="BE502" s="692" t="n"/>
      <c r="BF502" s="692" t="n"/>
      <c r="BG502" s="692" t="n"/>
      <c r="BH502" s="692" t="n"/>
      <c r="BI502" s="692" t="n"/>
      <c r="BJ502" s="692" t="n"/>
      <c r="BK502" s="692" t="n"/>
      <c r="BL502" s="692" t="n"/>
      <c r="BM502" s="692" t="n"/>
      <c r="BN502" s="692" t="n"/>
      <c r="BO502" s="692" t="n"/>
      <c r="BP502" s="692" t="n"/>
      <c r="BQ502" s="692" t="n"/>
    </row>
    <row r="503">
      <c r="A503" s="220" t="n"/>
      <c r="B503" s="211" t="n"/>
      <c r="C503" s="211" t="n"/>
      <c r="D503" s="211" t="n"/>
      <c r="E503" s="221" t="n"/>
      <c r="F503" s="211" t="n"/>
      <c r="G503" s="211" t="n"/>
      <c r="H503" s="211" t="n"/>
      <c r="I503" s="211" t="n"/>
      <c r="J503" s="211" t="n"/>
      <c r="K503" s="211" t="n"/>
      <c r="L503" s="213" t="n"/>
      <c r="M503" s="689" t="n"/>
      <c r="N503" s="689" t="n"/>
      <c r="O503" s="689" t="n"/>
      <c r="P503" s="227" t="n"/>
      <c r="Q503" s="689" t="n"/>
      <c r="R503" s="689" t="n"/>
      <c r="S503" s="689" t="n"/>
      <c r="T503" s="689" t="n"/>
      <c r="U503" s="689" t="n"/>
      <c r="V503" s="689" t="n"/>
      <c r="W503" s="689" t="n"/>
      <c r="X503" s="689" t="n"/>
      <c r="Y503" s="689" t="n"/>
      <c r="Z503" s="689" t="n"/>
      <c r="AA503" s="689" t="n"/>
      <c r="AB503" s="689" t="n"/>
      <c r="AC503" s="689" t="n"/>
      <c r="AD503" s="689" t="n"/>
      <c r="AF503" s="236" t="n"/>
      <c r="AG503" s="236" t="n"/>
      <c r="AH503" s="236" t="n"/>
      <c r="AI503" s="236" t="n"/>
      <c r="AJ503" s="236" t="n"/>
      <c r="AK503" s="236" t="n"/>
      <c r="AL503" s="236" t="n"/>
      <c r="AM503" s="236" t="n"/>
      <c r="AN503" s="236" t="n"/>
      <c r="AO503" s="236" t="n"/>
      <c r="AP503" s="236" t="n"/>
      <c r="AQ503" s="236" t="n"/>
      <c r="AR503" s="236" t="n"/>
      <c r="AS503" s="236" t="n"/>
      <c r="AT503" s="236" t="n"/>
      <c r="AU503" s="236" t="n"/>
      <c r="AV503" s="236" t="n"/>
      <c r="AW503" s="236" t="n"/>
      <c r="AX503" s="692" t="n"/>
      <c r="AY503" s="692" t="n"/>
      <c r="AZ503" s="692" t="n"/>
      <c r="BA503" s="692" t="n"/>
      <c r="BB503" s="692" t="n"/>
      <c r="BC503" s="692" t="n"/>
      <c r="BD503" s="692" t="n"/>
      <c r="BE503" s="692" t="n"/>
      <c r="BF503" s="692" t="n"/>
      <c r="BG503" s="692" t="n"/>
      <c r="BH503" s="692" t="n"/>
      <c r="BI503" s="692" t="n"/>
      <c r="BJ503" s="692" t="n"/>
      <c r="BK503" s="692" t="n"/>
      <c r="BL503" s="692" t="n"/>
      <c r="BM503" s="692" t="n"/>
      <c r="BN503" s="692" t="n"/>
      <c r="BO503" s="692" t="n"/>
      <c r="BP503" s="692" t="n"/>
      <c r="BQ503" s="692" t="n"/>
    </row>
    <row r="504">
      <c r="A504" s="218" t="n"/>
      <c r="B504" s="215" t="n"/>
      <c r="C504" s="215" t="n"/>
      <c r="D504" s="215" t="n"/>
      <c r="E504" s="219" t="n"/>
      <c r="F504" s="215" t="n"/>
      <c r="G504" s="215" t="n"/>
      <c r="H504" s="215" t="n"/>
      <c r="I504" s="215" t="n"/>
      <c r="J504" s="215" t="n"/>
      <c r="K504" s="215" t="n"/>
      <c r="L504" s="217" t="n"/>
      <c r="M504" s="689" t="n"/>
      <c r="N504" s="689" t="n"/>
      <c r="O504" s="689" t="n"/>
      <c r="P504" s="227" t="n"/>
      <c r="Q504" s="689" t="n"/>
      <c r="R504" s="689" t="n"/>
      <c r="S504" s="689" t="n"/>
      <c r="T504" s="689" t="n"/>
      <c r="U504" s="689" t="n"/>
      <c r="V504" s="689" t="n"/>
      <c r="W504" s="689" t="n"/>
      <c r="X504" s="689" t="n"/>
      <c r="Y504" s="689" t="n"/>
      <c r="Z504" s="689" t="n"/>
      <c r="AA504" s="689" t="n"/>
      <c r="AB504" s="689" t="n"/>
      <c r="AC504" s="689" t="n"/>
      <c r="AD504" s="689" t="n"/>
      <c r="AF504" s="236" t="n"/>
      <c r="AG504" s="236" t="n"/>
      <c r="AH504" s="236" t="n"/>
      <c r="AI504" s="236" t="n"/>
      <c r="AJ504" s="236" t="n"/>
      <c r="AK504" s="236" t="n"/>
      <c r="AL504" s="236" t="n"/>
      <c r="AM504" s="236" t="n"/>
      <c r="AN504" s="236" t="n"/>
      <c r="AO504" s="236" t="n"/>
      <c r="AP504" s="236" t="n"/>
      <c r="AQ504" s="236" t="n"/>
      <c r="AR504" s="236" t="n"/>
      <c r="AS504" s="236" t="n"/>
      <c r="AT504" s="236" t="n"/>
      <c r="AU504" s="236" t="n"/>
      <c r="AV504" s="236" t="n"/>
      <c r="AW504" s="236" t="n"/>
      <c r="AX504" s="692" t="n"/>
      <c r="AY504" s="692" t="n"/>
      <c r="AZ504" s="692" t="n"/>
      <c r="BA504" s="692" t="n"/>
      <c r="BB504" s="692" t="n"/>
      <c r="BC504" s="692" t="n"/>
      <c r="BD504" s="692" t="n"/>
      <c r="BE504" s="692" t="n"/>
      <c r="BF504" s="692" t="n"/>
      <c r="BG504" s="692" t="n"/>
      <c r="BH504" s="692" t="n"/>
      <c r="BI504" s="692" t="n"/>
      <c r="BJ504" s="692" t="n"/>
      <c r="BK504" s="692" t="n"/>
      <c r="BL504" s="692" t="n"/>
      <c r="BM504" s="692" t="n"/>
      <c r="BN504" s="692" t="n"/>
      <c r="BO504" s="692" t="n"/>
      <c r="BP504" s="692" t="n"/>
      <c r="BQ504" s="692" t="n"/>
    </row>
    <row r="505">
      <c r="A505" s="220" t="n"/>
      <c r="B505" s="211" t="n"/>
      <c r="C505" s="211" t="n"/>
      <c r="D505" s="211" t="n"/>
      <c r="E505" s="221" t="n"/>
      <c r="F505" s="211" t="n"/>
      <c r="G505" s="211" t="n"/>
      <c r="H505" s="211" t="n"/>
      <c r="I505" s="211" t="n"/>
      <c r="J505" s="211" t="n"/>
      <c r="K505" s="211" t="n"/>
      <c r="L505" s="213" t="n"/>
      <c r="M505" s="689" t="n"/>
      <c r="N505" s="689" t="n"/>
      <c r="O505" s="689" t="n"/>
      <c r="P505" s="227" t="n"/>
      <c r="Q505" s="689" t="n"/>
      <c r="R505" s="689" t="n"/>
      <c r="S505" s="689" t="n"/>
      <c r="T505" s="689" t="n"/>
      <c r="U505" s="689" t="n"/>
      <c r="V505" s="689" t="n"/>
      <c r="W505" s="689" t="n"/>
      <c r="X505" s="689" t="n"/>
      <c r="Y505" s="689" t="n"/>
      <c r="Z505" s="689" t="n"/>
      <c r="AA505" s="689" t="n"/>
      <c r="AB505" s="689" t="n"/>
      <c r="AC505" s="689" t="n"/>
      <c r="AD505" s="689" t="n"/>
      <c r="AF505" s="236" t="n"/>
      <c r="AG505" s="236" t="n"/>
      <c r="AH505" s="236" t="n"/>
      <c r="AI505" s="236" t="n"/>
      <c r="AJ505" s="236" t="n"/>
      <c r="AK505" s="236" t="n"/>
      <c r="AL505" s="236" t="n"/>
      <c r="AM505" s="236" t="n"/>
      <c r="AN505" s="236" t="n"/>
      <c r="AO505" s="236" t="n"/>
      <c r="AP505" s="236" t="n"/>
      <c r="AQ505" s="236" t="n"/>
      <c r="AR505" s="236" t="n"/>
      <c r="AS505" s="236" t="n"/>
      <c r="AT505" s="236" t="n"/>
      <c r="AU505" s="236" t="n"/>
      <c r="AV505" s="236" t="n"/>
      <c r="AW505" s="236" t="n"/>
      <c r="AX505" s="692" t="n"/>
      <c r="AY505" s="692" t="n"/>
      <c r="AZ505" s="692" t="n"/>
      <c r="BA505" s="692" t="n"/>
      <c r="BB505" s="692" t="n"/>
      <c r="BC505" s="692" t="n"/>
      <c r="BD505" s="692" t="n"/>
      <c r="BE505" s="692" t="n"/>
      <c r="BF505" s="692" t="n"/>
      <c r="BG505" s="692" t="n"/>
      <c r="BH505" s="692" t="n"/>
      <c r="BI505" s="692" t="n"/>
      <c r="BJ505" s="692" t="n"/>
      <c r="BK505" s="692" t="n"/>
      <c r="BL505" s="692" t="n"/>
      <c r="BM505" s="692" t="n"/>
      <c r="BN505" s="692" t="n"/>
      <c r="BO505" s="692" t="n"/>
      <c r="BP505" s="692" t="n"/>
      <c r="BQ505" s="692" t="n"/>
    </row>
    <row r="506">
      <c r="A506" s="218" t="n"/>
      <c r="B506" s="215" t="n"/>
      <c r="C506" s="215" t="n"/>
      <c r="D506" s="215" t="n"/>
      <c r="E506" s="219" t="n"/>
      <c r="F506" s="215" t="n"/>
      <c r="G506" s="215" t="n"/>
      <c r="H506" s="215" t="n"/>
      <c r="I506" s="215" t="n"/>
      <c r="J506" s="215" t="n"/>
      <c r="K506" s="215" t="n"/>
      <c r="L506" s="217" t="n"/>
      <c r="M506" s="689" t="n"/>
      <c r="N506" s="689" t="n"/>
      <c r="O506" s="689" t="n"/>
      <c r="P506" s="227" t="n"/>
      <c r="Q506" s="689" t="n"/>
      <c r="R506" s="689" t="n"/>
      <c r="S506" s="689" t="n"/>
      <c r="T506" s="689" t="n"/>
      <c r="U506" s="689" t="n"/>
      <c r="V506" s="689" t="n"/>
      <c r="W506" s="689" t="n"/>
      <c r="X506" s="689" t="n"/>
      <c r="Y506" s="689" t="n"/>
      <c r="Z506" s="689" t="n"/>
      <c r="AA506" s="689" t="n"/>
      <c r="AB506" s="689" t="n"/>
      <c r="AC506" s="689" t="n"/>
      <c r="AD506" s="689" t="n"/>
      <c r="AF506" s="236" t="n"/>
      <c r="AG506" s="236" t="n"/>
      <c r="AH506" s="236" t="n"/>
      <c r="AI506" s="236" t="n"/>
      <c r="AJ506" s="236" t="n"/>
      <c r="AK506" s="236" t="n"/>
      <c r="AL506" s="236" t="n"/>
      <c r="AM506" s="236" t="n"/>
      <c r="AN506" s="236" t="n"/>
      <c r="AO506" s="236" t="n"/>
      <c r="AP506" s="236" t="n"/>
      <c r="AQ506" s="236" t="n"/>
      <c r="AR506" s="236" t="n"/>
      <c r="AS506" s="236" t="n"/>
      <c r="AT506" s="236" t="n"/>
      <c r="AU506" s="236" t="n"/>
      <c r="AV506" s="236" t="n"/>
      <c r="AW506" s="236" t="n"/>
      <c r="AX506" s="692" t="n"/>
      <c r="AY506" s="692" t="n"/>
      <c r="AZ506" s="692" t="n"/>
      <c r="BA506" s="692" t="n"/>
      <c r="BB506" s="692" t="n"/>
      <c r="BC506" s="692" t="n"/>
      <c r="BD506" s="692" t="n"/>
      <c r="BE506" s="692" t="n"/>
      <c r="BF506" s="692" t="n"/>
      <c r="BG506" s="692" t="n"/>
      <c r="BH506" s="692" t="n"/>
      <c r="BI506" s="692" t="n"/>
      <c r="BJ506" s="692" t="n"/>
      <c r="BK506" s="692" t="n"/>
      <c r="BL506" s="692" t="n"/>
      <c r="BM506" s="692" t="n"/>
      <c r="BN506" s="692" t="n"/>
      <c r="BO506" s="692" t="n"/>
      <c r="BP506" s="692" t="n"/>
      <c r="BQ506" s="692" t="n"/>
    </row>
    <row r="507">
      <c r="A507" s="220" t="n"/>
      <c r="B507" s="211" t="n"/>
      <c r="C507" s="211" t="n"/>
      <c r="D507" s="211" t="n"/>
      <c r="E507" s="221" t="n"/>
      <c r="F507" s="211" t="n"/>
      <c r="G507" s="211" t="n"/>
      <c r="H507" s="211" t="n"/>
      <c r="I507" s="211" t="n"/>
      <c r="J507" s="211" t="n"/>
      <c r="K507" s="211" t="n"/>
      <c r="L507" s="213" t="n"/>
      <c r="M507" s="689" t="n"/>
      <c r="N507" s="689" t="n"/>
      <c r="O507" s="689" t="n"/>
      <c r="P507" s="227" t="n"/>
      <c r="Q507" s="689" t="n"/>
      <c r="R507" s="689" t="n"/>
      <c r="S507" s="689" t="n"/>
      <c r="T507" s="689" t="n"/>
      <c r="U507" s="689" t="n"/>
      <c r="V507" s="689" t="n"/>
      <c r="W507" s="689" t="n"/>
      <c r="X507" s="689" t="n"/>
      <c r="Y507" s="689" t="n"/>
      <c r="Z507" s="689" t="n"/>
      <c r="AA507" s="689" t="n"/>
      <c r="AB507" s="689" t="n"/>
      <c r="AC507" s="689" t="n"/>
      <c r="AD507" s="689" t="n"/>
      <c r="AF507" s="236" t="n"/>
      <c r="AG507" s="236" t="n"/>
      <c r="AH507" s="236" t="n"/>
      <c r="AI507" s="236" t="n"/>
      <c r="AJ507" s="236" t="n"/>
      <c r="AK507" s="236" t="n"/>
      <c r="AL507" s="236" t="n"/>
      <c r="AM507" s="236" t="n"/>
      <c r="AN507" s="236" t="n"/>
      <c r="AO507" s="236" t="n"/>
      <c r="AP507" s="236" t="n"/>
      <c r="AQ507" s="236" t="n"/>
      <c r="AR507" s="236" t="n"/>
      <c r="AS507" s="236" t="n"/>
      <c r="AT507" s="236" t="n"/>
      <c r="AU507" s="236" t="n"/>
      <c r="AV507" s="236" t="n"/>
      <c r="AW507" s="236" t="n"/>
      <c r="AX507" s="692" t="n"/>
      <c r="AY507" s="692" t="n"/>
      <c r="AZ507" s="692" t="n"/>
      <c r="BA507" s="692" t="n"/>
      <c r="BB507" s="692" t="n"/>
      <c r="BC507" s="692" t="n"/>
      <c r="BD507" s="692" t="n"/>
      <c r="BE507" s="692" t="n"/>
      <c r="BF507" s="692" t="n"/>
      <c r="BG507" s="692" t="n"/>
      <c r="BH507" s="692" t="n"/>
      <c r="BI507" s="692" t="n"/>
      <c r="BJ507" s="692" t="n"/>
      <c r="BK507" s="692" t="n"/>
      <c r="BL507" s="692" t="n"/>
      <c r="BM507" s="692" t="n"/>
      <c r="BN507" s="692" t="n"/>
      <c r="BO507" s="692" t="n"/>
      <c r="BP507" s="692" t="n"/>
      <c r="BQ507" s="692" t="n"/>
    </row>
    <row r="508">
      <c r="A508" s="218" t="n"/>
      <c r="B508" s="215" t="n"/>
      <c r="C508" s="215" t="n"/>
      <c r="D508" s="215" t="n"/>
      <c r="E508" s="219" t="n"/>
      <c r="F508" s="215" t="n"/>
      <c r="G508" s="215" t="n"/>
      <c r="H508" s="215" t="n"/>
      <c r="I508" s="215" t="n"/>
      <c r="J508" s="215" t="n"/>
      <c r="K508" s="215" t="n"/>
      <c r="L508" s="217" t="n"/>
      <c r="M508" s="689" t="n"/>
      <c r="N508" s="689" t="n"/>
      <c r="O508" s="689" t="n"/>
      <c r="P508" s="227" t="n"/>
      <c r="Q508" s="689" t="n"/>
      <c r="R508" s="689" t="n"/>
      <c r="S508" s="689" t="n"/>
      <c r="T508" s="689" t="n"/>
      <c r="U508" s="689" t="n"/>
      <c r="V508" s="689" t="n"/>
      <c r="W508" s="689" t="n"/>
      <c r="X508" s="689" t="n"/>
      <c r="Y508" s="689" t="n"/>
      <c r="Z508" s="689" t="n"/>
      <c r="AA508" s="689" t="n"/>
      <c r="AB508" s="689" t="n"/>
      <c r="AC508" s="689" t="n"/>
      <c r="AD508" s="689" t="n"/>
      <c r="AF508" s="236" t="n"/>
      <c r="AG508" s="236" t="n"/>
      <c r="AH508" s="236" t="n"/>
      <c r="AI508" s="236" t="n"/>
      <c r="AJ508" s="236" t="n"/>
      <c r="AK508" s="236" t="n"/>
      <c r="AL508" s="236" t="n"/>
      <c r="AM508" s="236" t="n"/>
      <c r="AN508" s="236" t="n"/>
      <c r="AO508" s="236" t="n"/>
      <c r="AP508" s="236" t="n"/>
      <c r="AQ508" s="236" t="n"/>
      <c r="AR508" s="236" t="n"/>
      <c r="AS508" s="236" t="n"/>
      <c r="AT508" s="236" t="n"/>
      <c r="AU508" s="236" t="n"/>
      <c r="AV508" s="236" t="n"/>
      <c r="AW508" s="236" t="n"/>
      <c r="AX508" s="692" t="n"/>
      <c r="AY508" s="692" t="n"/>
      <c r="AZ508" s="692" t="n"/>
      <c r="BA508" s="692" t="n"/>
      <c r="BB508" s="692" t="n"/>
      <c r="BC508" s="692" t="n"/>
      <c r="BD508" s="692" t="n"/>
      <c r="BE508" s="692" t="n"/>
      <c r="BF508" s="692" t="n"/>
      <c r="BG508" s="692" t="n"/>
      <c r="BH508" s="692" t="n"/>
      <c r="BI508" s="692" t="n"/>
      <c r="BJ508" s="692" t="n"/>
      <c r="BK508" s="692" t="n"/>
      <c r="BL508" s="692" t="n"/>
      <c r="BM508" s="692" t="n"/>
      <c r="BN508" s="692" t="n"/>
      <c r="BO508" s="692" t="n"/>
      <c r="BP508" s="692" t="n"/>
      <c r="BQ508" s="692" t="n"/>
    </row>
    <row r="509">
      <c r="A509" s="220" t="n"/>
      <c r="B509" s="211" t="n"/>
      <c r="C509" s="211" t="n"/>
      <c r="D509" s="211" t="n"/>
      <c r="E509" s="221" t="n"/>
      <c r="F509" s="211" t="n"/>
      <c r="G509" s="211" t="n"/>
      <c r="H509" s="211" t="n"/>
      <c r="I509" s="211" t="n"/>
      <c r="J509" s="211" t="n"/>
      <c r="K509" s="211" t="n"/>
      <c r="L509" s="213" t="n"/>
      <c r="M509" s="689" t="n"/>
      <c r="N509" s="689" t="n"/>
      <c r="O509" s="689" t="n"/>
      <c r="P509" s="227" t="n"/>
      <c r="Q509" s="689" t="n"/>
      <c r="R509" s="689" t="n"/>
      <c r="S509" s="689" t="n"/>
      <c r="T509" s="689" t="n"/>
      <c r="U509" s="689" t="n"/>
      <c r="V509" s="689" t="n"/>
      <c r="W509" s="689" t="n"/>
      <c r="X509" s="689" t="n"/>
      <c r="Y509" s="689" t="n"/>
      <c r="Z509" s="689" t="n"/>
      <c r="AA509" s="689" t="n"/>
      <c r="AB509" s="689" t="n"/>
      <c r="AC509" s="689" t="n"/>
      <c r="AD509" s="689" t="n"/>
      <c r="AF509" s="236" t="n"/>
      <c r="AG509" s="236" t="n"/>
      <c r="AH509" s="236" t="n"/>
      <c r="AI509" s="236" t="n"/>
      <c r="AJ509" s="236" t="n"/>
      <c r="AK509" s="236" t="n"/>
      <c r="AL509" s="236" t="n"/>
      <c r="AM509" s="236" t="n"/>
      <c r="AN509" s="236" t="n"/>
      <c r="AO509" s="236" t="n"/>
      <c r="AP509" s="236" t="n"/>
      <c r="AQ509" s="236" t="n"/>
      <c r="AR509" s="236" t="n"/>
      <c r="AS509" s="236" t="n"/>
      <c r="AT509" s="236" t="n"/>
      <c r="AU509" s="236" t="n"/>
      <c r="AV509" s="236" t="n"/>
      <c r="AW509" s="236" t="n"/>
      <c r="AX509" s="692" t="n"/>
      <c r="AY509" s="692" t="n"/>
      <c r="AZ509" s="692" t="n"/>
      <c r="BA509" s="692" t="n"/>
      <c r="BB509" s="692" t="n"/>
      <c r="BC509" s="692" t="n"/>
      <c r="BD509" s="692" t="n"/>
      <c r="BE509" s="692" t="n"/>
      <c r="BF509" s="692" t="n"/>
      <c r="BG509" s="692" t="n"/>
      <c r="BH509" s="692" t="n"/>
      <c r="BI509" s="692" t="n"/>
      <c r="BJ509" s="692" t="n"/>
      <c r="BK509" s="692" t="n"/>
      <c r="BL509" s="692" t="n"/>
      <c r="BM509" s="692" t="n"/>
      <c r="BN509" s="692" t="n"/>
      <c r="BO509" s="692" t="n"/>
      <c r="BP509" s="692" t="n"/>
      <c r="BQ509" s="692" t="n"/>
    </row>
    <row r="510">
      <c r="A510" s="218" t="n"/>
      <c r="B510" s="215" t="n"/>
      <c r="C510" s="215" t="n"/>
      <c r="D510" s="215" t="n"/>
      <c r="E510" s="219" t="n"/>
      <c r="F510" s="215" t="n"/>
      <c r="G510" s="215" t="n"/>
      <c r="H510" s="215" t="n"/>
      <c r="I510" s="215" t="n"/>
      <c r="J510" s="215" t="n"/>
      <c r="K510" s="215" t="n"/>
      <c r="L510" s="217" t="n"/>
      <c r="M510" s="689" t="n"/>
      <c r="N510" s="689" t="n"/>
      <c r="O510" s="689" t="n"/>
      <c r="P510" s="227" t="n"/>
      <c r="Q510" s="689" t="n"/>
      <c r="R510" s="689" t="n"/>
      <c r="S510" s="689" t="n"/>
      <c r="T510" s="689" t="n"/>
      <c r="U510" s="689" t="n"/>
      <c r="V510" s="689" t="n"/>
      <c r="W510" s="689" t="n"/>
      <c r="X510" s="689" t="n"/>
      <c r="Y510" s="689" t="n"/>
      <c r="Z510" s="689" t="n"/>
      <c r="AA510" s="689" t="n"/>
      <c r="AB510" s="689" t="n"/>
      <c r="AC510" s="689" t="n"/>
      <c r="AD510" s="689" t="n"/>
      <c r="AF510" s="236" t="n"/>
      <c r="AG510" s="236" t="n"/>
      <c r="AH510" s="236" t="n"/>
      <c r="AI510" s="236" t="n"/>
      <c r="AJ510" s="236" t="n"/>
      <c r="AK510" s="236" t="n"/>
      <c r="AL510" s="236" t="n"/>
      <c r="AM510" s="236" t="n"/>
      <c r="AN510" s="236" t="n"/>
      <c r="AO510" s="236" t="n"/>
      <c r="AP510" s="236" t="n"/>
      <c r="AQ510" s="236" t="n"/>
      <c r="AR510" s="236" t="n"/>
      <c r="AS510" s="236" t="n"/>
      <c r="AT510" s="236" t="n"/>
      <c r="AU510" s="236" t="n"/>
      <c r="AV510" s="236" t="n"/>
      <c r="AW510" s="236" t="n"/>
      <c r="AX510" s="692" t="n"/>
      <c r="AY510" s="692" t="n"/>
      <c r="AZ510" s="692" t="n"/>
      <c r="BA510" s="692" t="n"/>
      <c r="BB510" s="692" t="n"/>
      <c r="BC510" s="692" t="n"/>
      <c r="BD510" s="692" t="n"/>
      <c r="BE510" s="692" t="n"/>
      <c r="BF510" s="692" t="n"/>
      <c r="BG510" s="692" t="n"/>
      <c r="BH510" s="692" t="n"/>
      <c r="BI510" s="692" t="n"/>
      <c r="BJ510" s="692" t="n"/>
      <c r="BK510" s="692" t="n"/>
      <c r="BL510" s="692" t="n"/>
      <c r="BM510" s="692" t="n"/>
      <c r="BN510" s="692" t="n"/>
      <c r="BO510" s="692" t="n"/>
      <c r="BP510" s="692" t="n"/>
      <c r="BQ510" s="692" t="n"/>
    </row>
    <row r="511">
      <c r="A511" s="220" t="n"/>
      <c r="B511" s="211" t="n"/>
      <c r="C511" s="211" t="n"/>
      <c r="D511" s="211" t="n"/>
      <c r="E511" s="221" t="n"/>
      <c r="F511" s="211" t="n"/>
      <c r="G511" s="211" t="n"/>
      <c r="H511" s="211" t="n"/>
      <c r="I511" s="211" t="n"/>
      <c r="J511" s="211" t="n"/>
      <c r="K511" s="211" t="n"/>
      <c r="L511" s="213" t="n"/>
      <c r="M511" s="689" t="n"/>
      <c r="N511" s="689" t="n"/>
      <c r="O511" s="689" t="n"/>
      <c r="P511" s="227" t="n"/>
      <c r="Q511" s="689" t="n"/>
      <c r="R511" s="689" t="n"/>
      <c r="S511" s="689" t="n"/>
      <c r="T511" s="689" t="n"/>
      <c r="U511" s="689" t="n"/>
      <c r="V511" s="689" t="n"/>
      <c r="W511" s="689" t="n"/>
      <c r="X511" s="689" t="n"/>
      <c r="Y511" s="689" t="n"/>
      <c r="Z511" s="689" t="n"/>
      <c r="AA511" s="689" t="n"/>
      <c r="AB511" s="689" t="n"/>
      <c r="AC511" s="689" t="n"/>
      <c r="AD511" s="689" t="n"/>
      <c r="AF511" s="236" t="n"/>
      <c r="AG511" s="236" t="n"/>
      <c r="AH511" s="236" t="n"/>
      <c r="AI511" s="236" t="n"/>
      <c r="AJ511" s="236" t="n"/>
      <c r="AK511" s="236" t="n"/>
      <c r="AL511" s="236" t="n"/>
      <c r="AM511" s="236" t="n"/>
      <c r="AN511" s="236" t="n"/>
      <c r="AO511" s="236" t="n"/>
      <c r="AP511" s="236" t="n"/>
      <c r="AQ511" s="236" t="n"/>
      <c r="AR511" s="236" t="n"/>
      <c r="AS511" s="236" t="n"/>
      <c r="AT511" s="236" t="n"/>
      <c r="AU511" s="236" t="n"/>
      <c r="AV511" s="236" t="n"/>
      <c r="AW511" s="236" t="n"/>
      <c r="AX511" s="692" t="n"/>
      <c r="AY511" s="692" t="n"/>
      <c r="AZ511" s="692" t="n"/>
      <c r="BA511" s="692" t="n"/>
      <c r="BB511" s="692" t="n"/>
      <c r="BC511" s="692" t="n"/>
      <c r="BD511" s="692" t="n"/>
      <c r="BE511" s="692" t="n"/>
      <c r="BF511" s="692" t="n"/>
      <c r="BG511" s="692" t="n"/>
      <c r="BH511" s="692" t="n"/>
      <c r="BI511" s="692" t="n"/>
      <c r="BJ511" s="692" t="n"/>
      <c r="BK511" s="692" t="n"/>
      <c r="BL511" s="692" t="n"/>
      <c r="BM511" s="692" t="n"/>
      <c r="BN511" s="692" t="n"/>
      <c r="BO511" s="692" t="n"/>
      <c r="BP511" s="692" t="n"/>
      <c r="BQ511" s="692" t="n"/>
    </row>
    <row r="512">
      <c r="A512" s="218" t="n"/>
      <c r="B512" s="215" t="n"/>
      <c r="C512" s="215" t="n"/>
      <c r="D512" s="215" t="n"/>
      <c r="E512" s="219" t="n"/>
      <c r="F512" s="215" t="n"/>
      <c r="G512" s="215" t="n"/>
      <c r="H512" s="215" t="n"/>
      <c r="I512" s="215" t="n"/>
      <c r="J512" s="215" t="n"/>
      <c r="K512" s="215" t="n"/>
      <c r="L512" s="217" t="n"/>
      <c r="M512" s="689" t="n"/>
      <c r="N512" s="689" t="n"/>
      <c r="O512" s="689" t="n"/>
      <c r="P512" s="227" t="n"/>
      <c r="Q512" s="689" t="n"/>
      <c r="R512" s="689" t="n"/>
      <c r="S512" s="689" t="n"/>
      <c r="T512" s="689" t="n"/>
      <c r="U512" s="689" t="n"/>
      <c r="V512" s="689" t="n"/>
      <c r="W512" s="689" t="n"/>
      <c r="X512" s="689" t="n"/>
      <c r="Y512" s="689" t="n"/>
      <c r="Z512" s="689" t="n"/>
      <c r="AA512" s="689" t="n"/>
      <c r="AB512" s="689" t="n"/>
      <c r="AC512" s="689" t="n"/>
      <c r="AD512" s="689" t="n"/>
      <c r="AF512" s="236" t="n"/>
      <c r="AG512" s="236" t="n"/>
      <c r="AH512" s="236" t="n"/>
      <c r="AI512" s="236" t="n"/>
      <c r="AJ512" s="236" t="n"/>
      <c r="AK512" s="236" t="n"/>
      <c r="AL512" s="236" t="n"/>
      <c r="AM512" s="236" t="n"/>
      <c r="AN512" s="236" t="n"/>
      <c r="AO512" s="236" t="n"/>
      <c r="AP512" s="236" t="n"/>
      <c r="AQ512" s="236" t="n"/>
      <c r="AR512" s="236" t="n"/>
      <c r="AS512" s="236" t="n"/>
      <c r="AT512" s="236" t="n"/>
      <c r="AU512" s="236" t="n"/>
      <c r="AV512" s="236" t="n"/>
      <c r="AW512" s="236" t="n"/>
      <c r="AX512" s="692" t="n"/>
      <c r="AY512" s="692" t="n"/>
      <c r="AZ512" s="692" t="n"/>
      <c r="BA512" s="692" t="n"/>
      <c r="BB512" s="692" t="n"/>
      <c r="BC512" s="692" t="n"/>
      <c r="BD512" s="692" t="n"/>
      <c r="BE512" s="692" t="n"/>
      <c r="BF512" s="692" t="n"/>
      <c r="BG512" s="692" t="n"/>
      <c r="BH512" s="692" t="n"/>
      <c r="BI512" s="692" t="n"/>
      <c r="BJ512" s="692" t="n"/>
      <c r="BK512" s="692" t="n"/>
      <c r="BL512" s="692" t="n"/>
      <c r="BM512" s="692" t="n"/>
      <c r="BN512" s="692" t="n"/>
      <c r="BO512" s="692" t="n"/>
      <c r="BP512" s="692" t="n"/>
      <c r="BQ512" s="692" t="n"/>
    </row>
    <row r="513">
      <c r="A513" s="220" t="n"/>
      <c r="B513" s="211" t="n"/>
      <c r="C513" s="211" t="n"/>
      <c r="D513" s="211" t="n"/>
      <c r="E513" s="221" t="n"/>
      <c r="F513" s="211" t="n"/>
      <c r="G513" s="211" t="n"/>
      <c r="H513" s="211" t="n"/>
      <c r="I513" s="211" t="n"/>
      <c r="J513" s="211" t="n"/>
      <c r="K513" s="211" t="n"/>
      <c r="L513" s="213" t="n"/>
      <c r="M513" s="689" t="n"/>
      <c r="N513" s="689" t="n"/>
      <c r="O513" s="689" t="n"/>
      <c r="P513" s="227" t="n"/>
      <c r="Q513" s="689" t="n"/>
      <c r="R513" s="689" t="n"/>
      <c r="S513" s="689" t="n"/>
      <c r="T513" s="689" t="n"/>
      <c r="U513" s="689" t="n"/>
      <c r="V513" s="689" t="n"/>
      <c r="W513" s="689" t="n"/>
      <c r="X513" s="689" t="n"/>
      <c r="Y513" s="689" t="n"/>
      <c r="Z513" s="689" t="n"/>
      <c r="AA513" s="689" t="n"/>
      <c r="AB513" s="689" t="n"/>
      <c r="AC513" s="689" t="n"/>
      <c r="AD513" s="689" t="n"/>
      <c r="AF513" s="236" t="n"/>
      <c r="AG513" s="236" t="n"/>
      <c r="AH513" s="236" t="n"/>
      <c r="AI513" s="236" t="n"/>
      <c r="AJ513" s="236" t="n"/>
      <c r="AK513" s="236" t="n"/>
      <c r="AL513" s="236" t="n"/>
      <c r="AM513" s="236" t="n"/>
      <c r="AN513" s="236" t="n"/>
      <c r="AO513" s="236" t="n"/>
      <c r="AP513" s="236" t="n"/>
      <c r="AQ513" s="236" t="n"/>
      <c r="AR513" s="236" t="n"/>
      <c r="AS513" s="236" t="n"/>
      <c r="AT513" s="236" t="n"/>
      <c r="AU513" s="236" t="n"/>
      <c r="AV513" s="236" t="n"/>
      <c r="AW513" s="236" t="n"/>
      <c r="AX513" s="692" t="n"/>
      <c r="AY513" s="692" t="n"/>
      <c r="AZ513" s="692" t="n"/>
      <c r="BA513" s="692" t="n"/>
      <c r="BB513" s="692" t="n"/>
      <c r="BC513" s="692" t="n"/>
      <c r="BD513" s="692" t="n"/>
      <c r="BE513" s="692" t="n"/>
      <c r="BF513" s="692" t="n"/>
      <c r="BG513" s="692" t="n"/>
      <c r="BH513" s="692" t="n"/>
      <c r="BI513" s="692" t="n"/>
      <c r="BJ513" s="692" t="n"/>
      <c r="BK513" s="692" t="n"/>
      <c r="BL513" s="692" t="n"/>
      <c r="BM513" s="692" t="n"/>
      <c r="BN513" s="692" t="n"/>
      <c r="BO513" s="692" t="n"/>
      <c r="BP513" s="692" t="n"/>
      <c r="BQ513" s="692" t="n"/>
    </row>
    <row r="514">
      <c r="A514" s="218" t="n"/>
      <c r="B514" s="215" t="n"/>
      <c r="C514" s="215" t="n"/>
      <c r="D514" s="215" t="n"/>
      <c r="E514" s="219" t="n"/>
      <c r="F514" s="215" t="n"/>
      <c r="G514" s="215" t="n"/>
      <c r="H514" s="215" t="n"/>
      <c r="I514" s="215" t="n"/>
      <c r="J514" s="215" t="n"/>
      <c r="K514" s="215" t="n"/>
      <c r="L514" s="217" t="n"/>
      <c r="M514" s="689" t="n"/>
      <c r="N514" s="689" t="n"/>
      <c r="O514" s="689" t="n"/>
      <c r="P514" s="227" t="n"/>
      <c r="Q514" s="689" t="n"/>
      <c r="R514" s="689" t="n"/>
      <c r="S514" s="689" t="n"/>
      <c r="T514" s="689" t="n"/>
      <c r="U514" s="689" t="n"/>
      <c r="V514" s="689" t="n"/>
      <c r="W514" s="689" t="n"/>
      <c r="X514" s="689" t="n"/>
      <c r="Y514" s="689" t="n"/>
      <c r="Z514" s="689" t="n"/>
      <c r="AA514" s="689" t="n"/>
      <c r="AB514" s="689" t="n"/>
      <c r="AC514" s="689" t="n"/>
      <c r="AD514" s="689" t="n"/>
      <c r="AF514" s="236" t="n"/>
      <c r="AG514" s="236" t="n"/>
      <c r="AH514" s="236" t="n"/>
      <c r="AI514" s="236" t="n"/>
      <c r="AJ514" s="236" t="n"/>
      <c r="AK514" s="236" t="n"/>
      <c r="AL514" s="236" t="n"/>
      <c r="AM514" s="236" t="n"/>
      <c r="AN514" s="236" t="n"/>
      <c r="AO514" s="236" t="n"/>
      <c r="AP514" s="236" t="n"/>
      <c r="AQ514" s="236" t="n"/>
      <c r="AR514" s="236" t="n"/>
      <c r="AS514" s="236" t="n"/>
      <c r="AT514" s="236" t="n"/>
      <c r="AU514" s="236" t="n"/>
      <c r="AV514" s="236" t="n"/>
      <c r="AW514" s="236" t="n"/>
      <c r="AX514" s="692" t="n"/>
      <c r="AY514" s="692" t="n"/>
      <c r="AZ514" s="692" t="n"/>
      <c r="BA514" s="692" t="n"/>
      <c r="BB514" s="692" t="n"/>
      <c r="BC514" s="692" t="n"/>
      <c r="BD514" s="692" t="n"/>
      <c r="BE514" s="692" t="n"/>
      <c r="BF514" s="692" t="n"/>
      <c r="BG514" s="692" t="n"/>
      <c r="BH514" s="692" t="n"/>
      <c r="BI514" s="692" t="n"/>
      <c r="BJ514" s="692" t="n"/>
      <c r="BK514" s="692" t="n"/>
      <c r="BL514" s="692" t="n"/>
      <c r="BM514" s="692" t="n"/>
      <c r="BN514" s="692" t="n"/>
      <c r="BO514" s="692" t="n"/>
      <c r="BP514" s="692" t="n"/>
      <c r="BQ514" s="692" t="n"/>
    </row>
    <row r="515">
      <c r="A515" s="220" t="n"/>
      <c r="B515" s="211" t="n"/>
      <c r="C515" s="211" t="n"/>
      <c r="D515" s="211" t="n"/>
      <c r="E515" s="221" t="n"/>
      <c r="F515" s="211" t="n"/>
      <c r="G515" s="211" t="n"/>
      <c r="H515" s="211" t="n"/>
      <c r="I515" s="211" t="n"/>
      <c r="J515" s="211" t="n"/>
      <c r="K515" s="211" t="n"/>
      <c r="L515" s="213" t="n"/>
      <c r="M515" s="689" t="n"/>
      <c r="N515" s="689" t="n"/>
      <c r="O515" s="689" t="n"/>
      <c r="P515" s="227" t="n"/>
      <c r="Q515" s="689" t="n"/>
      <c r="R515" s="689" t="n"/>
      <c r="S515" s="689" t="n"/>
      <c r="T515" s="689" t="n"/>
      <c r="U515" s="689" t="n"/>
      <c r="V515" s="689" t="n"/>
      <c r="W515" s="689" t="n"/>
      <c r="X515" s="689" t="n"/>
      <c r="Y515" s="689" t="n"/>
      <c r="Z515" s="689" t="n"/>
      <c r="AA515" s="689" t="n"/>
      <c r="AB515" s="689" t="n"/>
      <c r="AC515" s="689" t="n"/>
      <c r="AD515" s="689" t="n"/>
      <c r="AF515" s="236" t="n"/>
      <c r="AG515" s="236" t="n"/>
      <c r="AH515" s="236" t="n"/>
      <c r="AI515" s="236" t="n"/>
      <c r="AJ515" s="236" t="n"/>
      <c r="AK515" s="236" t="n"/>
      <c r="AL515" s="236" t="n"/>
      <c r="AM515" s="236" t="n"/>
      <c r="AN515" s="236" t="n"/>
      <c r="AO515" s="236" t="n"/>
      <c r="AP515" s="236" t="n"/>
      <c r="AQ515" s="236" t="n"/>
      <c r="AR515" s="236" t="n"/>
      <c r="AS515" s="236" t="n"/>
      <c r="AT515" s="236" t="n"/>
      <c r="AU515" s="236" t="n"/>
      <c r="AV515" s="236" t="n"/>
      <c r="AW515" s="236" t="n"/>
      <c r="AX515" s="692" t="n"/>
      <c r="AY515" s="692" t="n"/>
      <c r="AZ515" s="692" t="n"/>
      <c r="BA515" s="692" t="n"/>
      <c r="BB515" s="692" t="n"/>
      <c r="BC515" s="692" t="n"/>
      <c r="BD515" s="692" t="n"/>
      <c r="BE515" s="692" t="n"/>
      <c r="BF515" s="692" t="n"/>
      <c r="BG515" s="692" t="n"/>
      <c r="BH515" s="692" t="n"/>
      <c r="BI515" s="692" t="n"/>
      <c r="BJ515" s="692" t="n"/>
      <c r="BK515" s="692" t="n"/>
      <c r="BL515" s="692" t="n"/>
      <c r="BM515" s="692" t="n"/>
      <c r="BN515" s="692" t="n"/>
      <c r="BO515" s="692" t="n"/>
      <c r="BP515" s="692" t="n"/>
      <c r="BQ515" s="692" t="n"/>
    </row>
    <row r="516">
      <c r="A516" s="218" t="n"/>
      <c r="B516" s="215" t="n"/>
      <c r="C516" s="215" t="n"/>
      <c r="D516" s="215" t="n"/>
      <c r="E516" s="219" t="n"/>
      <c r="F516" s="215" t="n"/>
      <c r="G516" s="215" t="n"/>
      <c r="H516" s="215" t="n"/>
      <c r="I516" s="215" t="n"/>
      <c r="J516" s="215" t="n"/>
      <c r="K516" s="215" t="n"/>
      <c r="L516" s="217" t="n"/>
      <c r="M516" s="689" t="n"/>
      <c r="N516" s="689" t="n"/>
      <c r="O516" s="689" t="n"/>
      <c r="P516" s="227" t="n"/>
      <c r="Q516" s="689" t="n"/>
      <c r="R516" s="689" t="n"/>
      <c r="S516" s="689" t="n"/>
      <c r="T516" s="689" t="n"/>
      <c r="U516" s="689" t="n"/>
      <c r="V516" s="689" t="n"/>
      <c r="W516" s="689" t="n"/>
      <c r="X516" s="689" t="n"/>
      <c r="Y516" s="689" t="n"/>
      <c r="Z516" s="689" t="n"/>
      <c r="AA516" s="689" t="n"/>
      <c r="AB516" s="689" t="n"/>
      <c r="AC516" s="689" t="n"/>
      <c r="AD516" s="689" t="n"/>
      <c r="AF516" s="236" t="n"/>
      <c r="AG516" s="236" t="n"/>
      <c r="AH516" s="236" t="n"/>
      <c r="AI516" s="236" t="n"/>
      <c r="AJ516" s="236" t="n"/>
      <c r="AK516" s="236" t="n"/>
      <c r="AL516" s="236" t="n"/>
      <c r="AM516" s="236" t="n"/>
      <c r="AN516" s="236" t="n"/>
      <c r="AO516" s="236" t="n"/>
      <c r="AP516" s="236" t="n"/>
      <c r="AQ516" s="236" t="n"/>
      <c r="AR516" s="236" t="n"/>
      <c r="AS516" s="236" t="n"/>
      <c r="AT516" s="236" t="n"/>
      <c r="AU516" s="236" t="n"/>
      <c r="AV516" s="236" t="n"/>
      <c r="AW516" s="236" t="n"/>
      <c r="AX516" s="692" t="n"/>
      <c r="AY516" s="692" t="n"/>
      <c r="AZ516" s="692" t="n"/>
      <c r="BA516" s="692" t="n"/>
      <c r="BB516" s="692" t="n"/>
      <c r="BC516" s="692" t="n"/>
      <c r="BD516" s="692" t="n"/>
      <c r="BE516" s="692" t="n"/>
      <c r="BF516" s="692" t="n"/>
      <c r="BG516" s="692" t="n"/>
      <c r="BH516" s="692" t="n"/>
      <c r="BI516" s="692" t="n"/>
      <c r="BJ516" s="692" t="n"/>
      <c r="BK516" s="692" t="n"/>
      <c r="BL516" s="692" t="n"/>
      <c r="BM516" s="692" t="n"/>
      <c r="BN516" s="692" t="n"/>
      <c r="BO516" s="692" t="n"/>
      <c r="BP516" s="692" t="n"/>
      <c r="BQ516" s="692" t="n"/>
    </row>
    <row r="517">
      <c r="A517" s="220" t="n"/>
      <c r="B517" s="211" t="n"/>
      <c r="C517" s="211" t="n"/>
      <c r="D517" s="211" t="n"/>
      <c r="E517" s="221" t="n"/>
      <c r="F517" s="211" t="n"/>
      <c r="G517" s="211" t="n"/>
      <c r="H517" s="211" t="n"/>
      <c r="I517" s="211" t="n"/>
      <c r="J517" s="211" t="n"/>
      <c r="K517" s="211" t="n"/>
      <c r="L517" s="213" t="n"/>
      <c r="M517" s="689" t="n"/>
      <c r="N517" s="689" t="n"/>
      <c r="O517" s="689" t="n"/>
      <c r="P517" s="227" t="n"/>
      <c r="Q517" s="689" t="n"/>
      <c r="R517" s="689" t="n"/>
      <c r="S517" s="689" t="n"/>
      <c r="T517" s="689" t="n"/>
      <c r="U517" s="689" t="n"/>
      <c r="V517" s="689" t="n"/>
      <c r="W517" s="689" t="n"/>
      <c r="X517" s="689" t="n"/>
      <c r="Y517" s="689" t="n"/>
      <c r="Z517" s="689" t="n"/>
      <c r="AA517" s="689" t="n"/>
      <c r="AB517" s="689" t="n"/>
      <c r="AC517" s="689" t="n"/>
      <c r="AD517" s="689" t="n"/>
      <c r="AF517" s="236" t="n"/>
      <c r="AG517" s="236" t="n"/>
      <c r="AH517" s="236" t="n"/>
      <c r="AI517" s="236" t="n"/>
      <c r="AJ517" s="236" t="n"/>
      <c r="AK517" s="236" t="n"/>
      <c r="AL517" s="236" t="n"/>
      <c r="AM517" s="236" t="n"/>
      <c r="AN517" s="236" t="n"/>
      <c r="AO517" s="236" t="n"/>
      <c r="AP517" s="236" t="n"/>
      <c r="AQ517" s="236" t="n"/>
      <c r="AR517" s="236" t="n"/>
      <c r="AS517" s="236" t="n"/>
      <c r="AT517" s="236" t="n"/>
      <c r="AU517" s="236" t="n"/>
      <c r="AV517" s="236" t="n"/>
      <c r="AW517" s="236" t="n"/>
      <c r="AX517" s="692" t="n"/>
      <c r="AY517" s="692" t="n"/>
      <c r="AZ517" s="692" t="n"/>
      <c r="BA517" s="692" t="n"/>
      <c r="BB517" s="692" t="n"/>
      <c r="BC517" s="692" t="n"/>
      <c r="BD517" s="692" t="n"/>
      <c r="BE517" s="692" t="n"/>
      <c r="BF517" s="692" t="n"/>
      <c r="BG517" s="692" t="n"/>
      <c r="BH517" s="692" t="n"/>
      <c r="BI517" s="692" t="n"/>
      <c r="BJ517" s="692" t="n"/>
      <c r="BK517" s="692" t="n"/>
      <c r="BL517" s="692" t="n"/>
      <c r="BM517" s="692" t="n"/>
      <c r="BN517" s="692" t="n"/>
      <c r="BO517" s="692" t="n"/>
      <c r="BP517" s="692" t="n"/>
      <c r="BQ517" s="692" t="n"/>
    </row>
    <row r="518">
      <c r="A518" s="218" t="n"/>
      <c r="B518" s="215" t="n"/>
      <c r="C518" s="215" t="n"/>
      <c r="D518" s="215" t="n"/>
      <c r="E518" s="219" t="n"/>
      <c r="F518" s="215" t="n"/>
      <c r="G518" s="215" t="n"/>
      <c r="H518" s="215" t="n"/>
      <c r="I518" s="215" t="n"/>
      <c r="J518" s="215" t="n"/>
      <c r="K518" s="215" t="n"/>
      <c r="L518" s="217" t="n"/>
      <c r="M518" s="689" t="n"/>
      <c r="N518" s="689" t="n"/>
      <c r="O518" s="689" t="n"/>
      <c r="P518" s="227" t="n"/>
      <c r="Q518" s="689" t="n"/>
      <c r="R518" s="689" t="n"/>
      <c r="S518" s="689" t="n"/>
      <c r="T518" s="689" t="n"/>
      <c r="U518" s="689" t="n"/>
      <c r="V518" s="689" t="n"/>
      <c r="W518" s="689" t="n"/>
      <c r="X518" s="689" t="n"/>
      <c r="Y518" s="689" t="n"/>
      <c r="Z518" s="689" t="n"/>
      <c r="AA518" s="689" t="n"/>
      <c r="AB518" s="689" t="n"/>
      <c r="AC518" s="689" t="n"/>
      <c r="AD518" s="689" t="n"/>
      <c r="AF518" s="236" t="n"/>
      <c r="AG518" s="236" t="n"/>
      <c r="AH518" s="236" t="n"/>
      <c r="AI518" s="236" t="n"/>
      <c r="AJ518" s="236" t="n"/>
      <c r="AK518" s="236" t="n"/>
      <c r="AL518" s="236" t="n"/>
      <c r="AM518" s="236" t="n"/>
      <c r="AN518" s="236" t="n"/>
      <c r="AO518" s="236" t="n"/>
      <c r="AP518" s="236" t="n"/>
      <c r="AQ518" s="236" t="n"/>
      <c r="AR518" s="236" t="n"/>
      <c r="AS518" s="236" t="n"/>
      <c r="AT518" s="236" t="n"/>
      <c r="AU518" s="236" t="n"/>
      <c r="AV518" s="236" t="n"/>
      <c r="AW518" s="236" t="n"/>
      <c r="AX518" s="692" t="n"/>
      <c r="AY518" s="692" t="n"/>
      <c r="AZ518" s="692" t="n"/>
      <c r="BA518" s="692" t="n"/>
      <c r="BB518" s="692" t="n"/>
      <c r="BC518" s="692" t="n"/>
      <c r="BD518" s="692" t="n"/>
      <c r="BE518" s="692" t="n"/>
      <c r="BF518" s="692" t="n"/>
      <c r="BG518" s="692" t="n"/>
      <c r="BH518" s="692" t="n"/>
      <c r="BI518" s="692" t="n"/>
      <c r="BJ518" s="692" t="n"/>
      <c r="BK518" s="692" t="n"/>
      <c r="BL518" s="692" t="n"/>
      <c r="BM518" s="692" t="n"/>
      <c r="BN518" s="692" t="n"/>
      <c r="BO518" s="692" t="n"/>
      <c r="BP518" s="692" t="n"/>
      <c r="BQ518" s="692" t="n"/>
    </row>
    <row r="519">
      <c r="A519" s="220" t="n"/>
      <c r="B519" s="211" t="n"/>
      <c r="C519" s="211" t="n"/>
      <c r="D519" s="211" t="n"/>
      <c r="E519" s="221" t="n"/>
      <c r="F519" s="211" t="n"/>
      <c r="G519" s="211" t="n"/>
      <c r="H519" s="211" t="n"/>
      <c r="I519" s="211" t="n"/>
      <c r="J519" s="211" t="n"/>
      <c r="K519" s="211" t="n"/>
      <c r="L519" s="213" t="n"/>
      <c r="M519" s="689" t="n"/>
      <c r="N519" s="689" t="n"/>
      <c r="O519" s="689" t="n"/>
      <c r="P519" s="227" t="n"/>
      <c r="Q519" s="689" t="n"/>
      <c r="R519" s="689" t="n"/>
      <c r="S519" s="689" t="n"/>
      <c r="T519" s="689" t="n"/>
      <c r="U519" s="689" t="n"/>
      <c r="V519" s="689" t="n"/>
      <c r="W519" s="689" t="n"/>
      <c r="X519" s="689" t="n"/>
      <c r="Y519" s="689" t="n"/>
      <c r="Z519" s="689" t="n"/>
      <c r="AA519" s="689" t="n"/>
      <c r="AB519" s="689" t="n"/>
      <c r="AC519" s="689" t="n"/>
      <c r="AD519" s="689" t="n"/>
      <c r="AF519" s="236" t="n"/>
      <c r="AG519" s="236" t="n"/>
      <c r="AH519" s="236" t="n"/>
      <c r="AI519" s="236" t="n"/>
      <c r="AJ519" s="236" t="n"/>
      <c r="AK519" s="236" t="n"/>
      <c r="AL519" s="236" t="n"/>
      <c r="AM519" s="236" t="n"/>
      <c r="AN519" s="236" t="n"/>
      <c r="AO519" s="236" t="n"/>
      <c r="AP519" s="236" t="n"/>
      <c r="AQ519" s="236" t="n"/>
      <c r="AR519" s="236" t="n"/>
      <c r="AS519" s="236" t="n"/>
      <c r="AT519" s="236" t="n"/>
      <c r="AU519" s="236" t="n"/>
      <c r="AV519" s="236" t="n"/>
      <c r="AW519" s="236" t="n"/>
      <c r="AX519" s="692" t="n"/>
      <c r="AY519" s="692" t="n"/>
      <c r="AZ519" s="692" t="n"/>
      <c r="BA519" s="692" t="n"/>
      <c r="BB519" s="692" t="n"/>
      <c r="BC519" s="692" t="n"/>
      <c r="BD519" s="692" t="n"/>
      <c r="BE519" s="692" t="n"/>
    </row>
    <row r="520">
      <c r="A520" s="218" t="n"/>
      <c r="B520" s="215" t="n"/>
      <c r="C520" s="215" t="n"/>
      <c r="D520" s="215" t="n"/>
      <c r="E520" s="219" t="n"/>
      <c r="F520" s="215" t="n"/>
      <c r="G520" s="215" t="n"/>
      <c r="H520" s="215" t="n"/>
      <c r="I520" s="215" t="n"/>
      <c r="J520" s="215" t="n"/>
      <c r="K520" s="215" t="n"/>
      <c r="L520" s="217" t="n"/>
      <c r="M520" s="689" t="n"/>
      <c r="N520" s="689" t="n"/>
      <c r="O520" s="689" t="n"/>
      <c r="P520" s="227" t="n"/>
      <c r="Q520" s="689" t="n"/>
      <c r="R520" s="689" t="n"/>
      <c r="S520" s="689" t="n"/>
      <c r="T520" s="689" t="n"/>
      <c r="U520" s="689" t="n"/>
      <c r="V520" s="689" t="n"/>
      <c r="W520" s="689" t="n"/>
      <c r="X520" s="689" t="n"/>
      <c r="Y520" s="689" t="n"/>
      <c r="Z520" s="689" t="n"/>
      <c r="AA520" s="689" t="n"/>
      <c r="AB520" s="689" t="n"/>
      <c r="AC520" s="689" t="n"/>
      <c r="AD520" s="689" t="n"/>
      <c r="AF520" s="236" t="n"/>
      <c r="AG520" s="236" t="n"/>
      <c r="AH520" s="236" t="n"/>
      <c r="AI520" s="236" t="n"/>
      <c r="AJ520" s="236" t="n"/>
      <c r="AK520" s="236" t="n"/>
      <c r="AL520" s="236" t="n"/>
      <c r="AM520" s="236" t="n"/>
      <c r="AN520" s="236" t="n"/>
      <c r="AO520" s="236" t="n"/>
      <c r="AP520" s="236" t="n"/>
      <c r="AQ520" s="236" t="n"/>
      <c r="AR520" s="236" t="n"/>
      <c r="AS520" s="236" t="n"/>
      <c r="AT520" s="236" t="n"/>
      <c r="AU520" s="236" t="n"/>
      <c r="AV520" s="236" t="n"/>
      <c r="AW520" s="236" t="n"/>
      <c r="AX520" s="692" t="n"/>
      <c r="AY520" s="692" t="n"/>
      <c r="AZ520" s="692" t="n"/>
      <c r="BA520" s="692" t="n"/>
      <c r="BB520" s="692" t="n"/>
      <c r="BC520" s="692" t="n"/>
      <c r="BD520" s="692" t="n"/>
    </row>
    <row r="521">
      <c r="A521" s="220" t="n"/>
      <c r="B521" s="211" t="n"/>
      <c r="C521" s="211" t="n"/>
      <c r="D521" s="211" t="n"/>
      <c r="E521" s="221" t="n"/>
      <c r="F521" s="211" t="n"/>
      <c r="G521" s="211" t="n"/>
      <c r="H521" s="211" t="n"/>
      <c r="I521" s="211" t="n"/>
      <c r="J521" s="211" t="n"/>
      <c r="K521" s="211" t="n"/>
      <c r="L521" s="213" t="n"/>
      <c r="M521" s="689" t="n"/>
      <c r="N521" s="689" t="n"/>
      <c r="O521" s="689" t="n"/>
      <c r="P521" s="227" t="n"/>
      <c r="Q521" s="689" t="n"/>
      <c r="R521" s="689" t="n"/>
      <c r="S521" s="689" t="n"/>
      <c r="T521" s="689" t="n"/>
      <c r="U521" s="689" t="n"/>
      <c r="V521" s="689" t="n"/>
      <c r="W521" s="689" t="n"/>
      <c r="X521" s="689" t="n"/>
      <c r="Y521" s="689" t="n"/>
      <c r="Z521" s="689" t="n"/>
      <c r="AA521" s="689" t="n"/>
      <c r="AB521" s="689" t="n"/>
      <c r="AC521" s="689" t="n"/>
      <c r="AD521" s="689" t="n"/>
      <c r="AF521" s="236" t="n"/>
      <c r="AG521" s="236" t="n"/>
      <c r="AH521" s="236" t="n"/>
      <c r="AI521" s="236" t="n"/>
      <c r="AJ521" s="236" t="n"/>
      <c r="AK521" s="236" t="n"/>
      <c r="AL521" s="236" t="n"/>
      <c r="AM521" s="236" t="n"/>
      <c r="AN521" s="236" t="n"/>
      <c r="AO521" s="236" t="n"/>
      <c r="AP521" s="236" t="n"/>
      <c r="AQ521" s="236" t="n"/>
      <c r="AR521" s="236" t="n"/>
      <c r="AS521" s="236" t="n"/>
      <c r="AT521" s="236" t="n"/>
      <c r="AU521" s="236" t="n"/>
      <c r="AV521" s="236" t="n"/>
      <c r="AW521" s="236" t="n"/>
      <c r="AX521" s="692" t="n"/>
      <c r="AY521" s="692" t="n"/>
      <c r="AZ521" s="692" t="n"/>
      <c r="BA521" s="692" t="n"/>
      <c r="BB521" s="692" t="n"/>
      <c r="BC521" s="692" t="n"/>
      <c r="BD521" s="692" t="n"/>
    </row>
    <row r="522">
      <c r="A522" s="218" t="n"/>
      <c r="B522" s="215" t="n"/>
      <c r="C522" s="215" t="n"/>
      <c r="D522" s="215" t="n"/>
      <c r="E522" s="219" t="n"/>
      <c r="F522" s="215" t="n"/>
      <c r="G522" s="215" t="n"/>
      <c r="H522" s="215" t="n"/>
      <c r="I522" s="215" t="n"/>
      <c r="J522" s="215" t="n"/>
      <c r="K522" s="215" t="n"/>
      <c r="L522" s="217" t="n"/>
      <c r="M522" s="689" t="n"/>
      <c r="N522" s="689" t="n"/>
      <c r="O522" s="689" t="n"/>
      <c r="P522" s="227" t="n"/>
      <c r="Q522" s="689" t="n"/>
      <c r="R522" s="689" t="n"/>
      <c r="S522" s="689" t="n"/>
      <c r="T522" s="689" t="n"/>
      <c r="U522" s="689" t="n"/>
      <c r="V522" s="689" t="n"/>
      <c r="W522" s="689" t="n"/>
      <c r="X522" s="689" t="n"/>
      <c r="Y522" s="689" t="n"/>
      <c r="Z522" s="689" t="n"/>
      <c r="AA522" s="689" t="n"/>
      <c r="AB522" s="689" t="n"/>
      <c r="AC522" s="689" t="n"/>
      <c r="AD522" s="689" t="n"/>
      <c r="AF522" s="236" t="n"/>
      <c r="AG522" s="236" t="n"/>
      <c r="AH522" s="236" t="n"/>
      <c r="AI522" s="236" t="n"/>
      <c r="AJ522" s="236" t="n"/>
      <c r="AK522" s="236" t="n"/>
      <c r="AL522" s="236" t="n"/>
      <c r="AM522" s="236" t="n"/>
      <c r="AN522" s="236" t="n"/>
      <c r="AO522" s="236" t="n"/>
      <c r="AP522" s="236" t="n"/>
      <c r="AQ522" s="236" t="n"/>
      <c r="AR522" s="236" t="n"/>
      <c r="AS522" s="236" t="n"/>
      <c r="AT522" s="236" t="n"/>
      <c r="AU522" s="236" t="n"/>
      <c r="AV522" s="236" t="n"/>
      <c r="AW522" s="236" t="n"/>
      <c r="AX522" s="692" t="n"/>
      <c r="AY522" s="692" t="n"/>
      <c r="AZ522" s="692" t="n"/>
      <c r="BA522" s="692" t="n"/>
      <c r="BB522" s="692" t="n"/>
      <c r="BC522" s="692" t="n"/>
      <c r="BD522" s="692" t="n"/>
    </row>
    <row r="523">
      <c r="A523" s="220" t="n"/>
      <c r="B523" s="211" t="n"/>
      <c r="C523" s="211" t="n"/>
      <c r="D523" s="211" t="n"/>
      <c r="E523" s="221" t="n"/>
      <c r="F523" s="211" t="n"/>
      <c r="G523" s="211" t="n"/>
      <c r="H523" s="211" t="n"/>
      <c r="I523" s="211" t="n"/>
      <c r="J523" s="211" t="n"/>
      <c r="K523" s="211" t="n"/>
      <c r="L523" s="213" t="n"/>
      <c r="M523" s="689" t="n"/>
      <c r="N523" s="689" t="n"/>
      <c r="O523" s="689" t="n"/>
      <c r="P523" s="227" t="n"/>
      <c r="Q523" s="689" t="n"/>
      <c r="R523" s="689" t="n"/>
      <c r="S523" s="689" t="n"/>
      <c r="T523" s="689" t="n"/>
      <c r="U523" s="689" t="n"/>
      <c r="V523" s="689" t="n"/>
      <c r="W523" s="689" t="n"/>
      <c r="X523" s="689" t="n"/>
      <c r="Y523" s="689" t="n"/>
      <c r="Z523" s="689" t="n"/>
      <c r="AA523" s="689" t="n"/>
      <c r="AB523" s="689" t="n"/>
      <c r="AC523" s="689" t="n"/>
      <c r="AD523" s="689" t="n"/>
      <c r="AF523" s="236" t="n"/>
      <c r="AG523" s="236" t="n"/>
      <c r="AH523" s="236" t="n"/>
      <c r="AI523" s="236" t="n"/>
      <c r="AJ523" s="236" t="n"/>
      <c r="AK523" s="236" t="n"/>
      <c r="AL523" s="236" t="n"/>
      <c r="AM523" s="236" t="n"/>
      <c r="AN523" s="236" t="n"/>
      <c r="AO523" s="236" t="n"/>
      <c r="AP523" s="236" t="n"/>
      <c r="AQ523" s="236" t="n"/>
      <c r="AR523" s="236" t="n"/>
      <c r="AS523" s="236" t="n"/>
      <c r="AT523" s="236" t="n"/>
      <c r="AU523" s="236" t="n"/>
      <c r="AV523" s="236" t="n"/>
      <c r="AW523" s="236" t="n"/>
      <c r="AX523" s="692" t="n"/>
      <c r="AY523" s="692" t="n"/>
      <c r="AZ523" s="692" t="n"/>
      <c r="BA523" s="692" t="n"/>
      <c r="BB523" s="692" t="n"/>
      <c r="BC523" s="692" t="n"/>
      <c r="BD523" s="692" t="n"/>
    </row>
    <row r="524">
      <c r="A524" s="218" t="n"/>
      <c r="B524" s="215" t="n"/>
      <c r="C524" s="215" t="n"/>
      <c r="D524" s="215" t="n"/>
      <c r="E524" s="219" t="n"/>
      <c r="F524" s="215" t="n"/>
      <c r="G524" s="215" t="n"/>
      <c r="H524" s="215" t="n"/>
      <c r="I524" s="215" t="n"/>
      <c r="J524" s="215" t="n"/>
      <c r="K524" s="215" t="n"/>
      <c r="L524" s="217" t="n"/>
      <c r="M524" s="689" t="n"/>
      <c r="N524" s="689" t="n"/>
      <c r="O524" s="689" t="n"/>
      <c r="P524" s="227" t="n"/>
      <c r="Q524" s="689" t="n"/>
      <c r="R524" s="689" t="n"/>
      <c r="S524" s="689" t="n"/>
      <c r="T524" s="689" t="n"/>
      <c r="U524" s="689" t="n"/>
      <c r="V524" s="689" t="n"/>
      <c r="W524" s="689" t="n"/>
      <c r="X524" s="689" t="n"/>
      <c r="Y524" s="689" t="n"/>
      <c r="Z524" s="689" t="n"/>
      <c r="AA524" s="689" t="n"/>
      <c r="AB524" s="689" t="n"/>
      <c r="AC524" s="689" t="n"/>
      <c r="AD524" s="689" t="n"/>
      <c r="AF524" s="236" t="n"/>
      <c r="AG524" s="236" t="n"/>
      <c r="AH524" s="236" t="n"/>
      <c r="AI524" s="236" t="n"/>
      <c r="AJ524" s="236" t="n"/>
      <c r="AK524" s="236" t="n"/>
      <c r="AL524" s="236" t="n"/>
      <c r="AM524" s="236" t="n"/>
      <c r="AN524" s="236" t="n"/>
      <c r="AO524" s="236" t="n"/>
      <c r="AP524" s="236" t="n"/>
      <c r="AQ524" s="236" t="n"/>
      <c r="AR524" s="236" t="n"/>
      <c r="AS524" s="236" t="n"/>
      <c r="AT524" s="236" t="n"/>
      <c r="AU524" s="236" t="n"/>
      <c r="AV524" s="236" t="n"/>
      <c r="AW524" s="236" t="n"/>
      <c r="AX524" s="692" t="n"/>
      <c r="AY524" s="692" t="n"/>
      <c r="AZ524" s="692" t="n"/>
      <c r="BA524" s="692" t="n"/>
      <c r="BB524" s="692" t="n"/>
      <c r="BC524" s="692" t="n"/>
      <c r="BD524" s="692" t="n"/>
    </row>
    <row r="525">
      <c r="A525" s="220" t="n"/>
      <c r="B525" s="211" t="n"/>
      <c r="C525" s="211" t="n"/>
      <c r="D525" s="211" t="n"/>
      <c r="E525" s="221" t="n"/>
      <c r="F525" s="211" t="n"/>
      <c r="G525" s="211" t="n"/>
      <c r="H525" s="211" t="n"/>
      <c r="I525" s="211" t="n"/>
      <c r="J525" s="211" t="n"/>
      <c r="K525" s="211" t="n"/>
      <c r="L525" s="213" t="n"/>
      <c r="M525" s="689" t="n"/>
      <c r="N525" s="689" t="n"/>
      <c r="O525" s="689" t="n"/>
      <c r="P525" s="227" t="n"/>
      <c r="Q525" s="689" t="n"/>
      <c r="R525" s="689" t="n"/>
      <c r="S525" s="689" t="n"/>
      <c r="T525" s="689" t="n"/>
      <c r="U525" s="689" t="n"/>
      <c r="V525" s="689" t="n"/>
      <c r="W525" s="689" t="n"/>
      <c r="X525" s="689" t="n"/>
      <c r="Y525" s="689" t="n"/>
      <c r="Z525" s="689" t="n"/>
      <c r="AA525" s="689" t="n"/>
      <c r="AB525" s="689" t="n"/>
      <c r="AC525" s="689" t="n"/>
      <c r="AD525" s="689" t="n"/>
      <c r="AF525" s="236" t="n"/>
      <c r="AG525" s="236" t="n"/>
      <c r="AH525" s="236" t="n"/>
      <c r="AI525" s="236" t="n"/>
      <c r="AJ525" s="236" t="n"/>
      <c r="AK525" s="236" t="n"/>
      <c r="AL525" s="236" t="n"/>
      <c r="AM525" s="236" t="n"/>
      <c r="AN525" s="236" t="n"/>
      <c r="AO525" s="236" t="n"/>
      <c r="AP525" s="236" t="n"/>
      <c r="AQ525" s="236" t="n"/>
      <c r="AR525" s="236" t="n"/>
      <c r="AS525" s="236" t="n"/>
      <c r="AT525" s="236" t="n"/>
      <c r="AU525" s="236" t="n"/>
      <c r="AV525" s="236" t="n"/>
      <c r="AW525" s="236" t="n"/>
      <c r="AX525" s="692" t="n"/>
      <c r="AY525" s="692" t="n"/>
      <c r="AZ525" s="692" t="n"/>
      <c r="BA525" s="692" t="n"/>
      <c r="BB525" s="692" t="n"/>
      <c r="BC525" s="692" t="n"/>
      <c r="BD525" s="692" t="n"/>
    </row>
    <row r="526">
      <c r="A526" s="218" t="n"/>
      <c r="B526" s="215" t="n"/>
      <c r="C526" s="215" t="n"/>
      <c r="D526" s="215" t="n"/>
      <c r="E526" s="219" t="n"/>
      <c r="F526" s="215" t="n"/>
      <c r="G526" s="215" t="n"/>
      <c r="H526" s="215" t="n"/>
      <c r="I526" s="215" t="n"/>
      <c r="J526" s="215" t="n"/>
      <c r="K526" s="215" t="n"/>
      <c r="L526" s="217" t="n"/>
      <c r="M526" s="689" t="n"/>
      <c r="N526" s="689" t="n"/>
      <c r="O526" s="689" t="n"/>
      <c r="P526" s="227" t="n"/>
      <c r="Q526" s="689" t="n"/>
      <c r="R526" s="689" t="n"/>
      <c r="S526" s="689" t="n"/>
      <c r="T526" s="689" t="n"/>
      <c r="U526" s="689" t="n"/>
      <c r="V526" s="689" t="n"/>
      <c r="W526" s="689" t="n"/>
      <c r="X526" s="689" t="n"/>
      <c r="Y526" s="689" t="n"/>
      <c r="Z526" s="689" t="n"/>
      <c r="AA526" s="689" t="n"/>
      <c r="AB526" s="689" t="n"/>
      <c r="AC526" s="689" t="n"/>
      <c r="AD526" s="689" t="n"/>
      <c r="AF526" s="236" t="n"/>
      <c r="AG526" s="236" t="n"/>
      <c r="AH526" s="236" t="n"/>
      <c r="AI526" s="236" t="n"/>
      <c r="AJ526" s="236" t="n"/>
      <c r="AK526" s="236" t="n"/>
      <c r="AL526" s="236" t="n"/>
      <c r="AM526" s="236" t="n"/>
      <c r="AN526" s="236" t="n"/>
      <c r="AO526" s="236" t="n"/>
      <c r="AP526" s="236" t="n"/>
      <c r="AQ526" s="236" t="n"/>
      <c r="AR526" s="236" t="n"/>
      <c r="AS526" s="236" t="n"/>
      <c r="AT526" s="236" t="n"/>
      <c r="AU526" s="236" t="n"/>
      <c r="AV526" s="236" t="n"/>
      <c r="AW526" s="236" t="n"/>
      <c r="AX526" s="692" t="n"/>
      <c r="AY526" s="692" t="n"/>
      <c r="AZ526" s="692" t="n"/>
      <c r="BA526" s="692" t="n"/>
      <c r="BB526" s="692" t="n"/>
      <c r="BC526" s="692" t="n"/>
      <c r="BD526" s="692" t="n"/>
    </row>
    <row r="527">
      <c r="A527" s="220" t="n"/>
      <c r="B527" s="211" t="n"/>
      <c r="C527" s="211" t="n"/>
      <c r="D527" s="211" t="n"/>
      <c r="E527" s="221" t="n"/>
      <c r="F527" s="211" t="n"/>
      <c r="G527" s="211" t="n"/>
      <c r="H527" s="211" t="n"/>
      <c r="I527" s="211" t="n"/>
      <c r="J527" s="211" t="n"/>
      <c r="K527" s="211" t="n"/>
      <c r="L527" s="213" t="n"/>
      <c r="M527" s="689" t="n"/>
      <c r="N527" s="689" t="n"/>
      <c r="O527" s="689" t="n"/>
      <c r="P527" s="227" t="n"/>
      <c r="Q527" s="689" t="n"/>
      <c r="R527" s="689" t="n"/>
      <c r="S527" s="689" t="n"/>
      <c r="T527" s="689" t="n"/>
      <c r="U527" s="689" t="n"/>
      <c r="V527" s="689" t="n"/>
      <c r="W527" s="689" t="n"/>
      <c r="X527" s="689" t="n"/>
      <c r="Y527" s="689" t="n"/>
      <c r="Z527" s="689" t="n"/>
      <c r="AA527" s="689" t="n"/>
      <c r="AB527" s="689" t="n"/>
      <c r="AC527" s="689" t="n"/>
      <c r="AD527" s="689" t="n"/>
      <c r="AF527" s="236" t="n"/>
      <c r="AG527" s="236" t="n"/>
      <c r="AH527" s="236" t="n"/>
      <c r="AI527" s="236" t="n"/>
      <c r="AJ527" s="236" t="n"/>
      <c r="AK527" s="236" t="n"/>
      <c r="AL527" s="236" t="n"/>
      <c r="AM527" s="236" t="n"/>
      <c r="AN527" s="236" t="n"/>
      <c r="AO527" s="236" t="n"/>
      <c r="AP527" s="236" t="n"/>
      <c r="AQ527" s="236" t="n"/>
      <c r="AR527" s="236" t="n"/>
      <c r="AS527" s="236" t="n"/>
      <c r="AT527" s="236" t="n"/>
      <c r="AU527" s="236" t="n"/>
      <c r="AV527" s="236" t="n"/>
      <c r="AW527" s="236" t="n"/>
      <c r="AX527" s="692" t="n"/>
      <c r="AY527" s="692" t="n"/>
      <c r="AZ527" s="692" t="n"/>
      <c r="BA527" s="692" t="n"/>
      <c r="BB527" s="692" t="n"/>
      <c r="BC527" s="692" t="n"/>
      <c r="BD527" s="692" t="n"/>
    </row>
    <row r="528">
      <c r="A528" s="218" t="n"/>
      <c r="B528" s="215" t="n"/>
      <c r="C528" s="215" t="n"/>
      <c r="D528" s="215" t="n"/>
      <c r="E528" s="219" t="n"/>
      <c r="F528" s="215" t="n"/>
      <c r="G528" s="215" t="n"/>
      <c r="H528" s="215" t="n"/>
      <c r="I528" s="215" t="n"/>
      <c r="J528" s="215" t="n"/>
      <c r="K528" s="215" t="n"/>
      <c r="L528" s="217" t="n"/>
      <c r="M528" s="689" t="n"/>
      <c r="N528" s="689" t="n"/>
      <c r="O528" s="689" t="n"/>
      <c r="P528" s="227" t="n"/>
      <c r="Q528" s="689" t="n"/>
      <c r="R528" s="689" t="n"/>
      <c r="S528" s="689" t="n"/>
      <c r="T528" s="689" t="n"/>
      <c r="U528" s="689" t="n"/>
      <c r="V528" s="689" t="n"/>
      <c r="W528" s="689" t="n"/>
      <c r="X528" s="689" t="n"/>
      <c r="Y528" s="689" t="n"/>
      <c r="Z528" s="689" t="n"/>
      <c r="AA528" s="689" t="n"/>
      <c r="AB528" s="689" t="n"/>
      <c r="AC528" s="689" t="n"/>
      <c r="AD528" s="689" t="n"/>
      <c r="AF528" s="236" t="n"/>
      <c r="AG528" s="236" t="n"/>
      <c r="AH528" s="236" t="n"/>
      <c r="AI528" s="236" t="n"/>
      <c r="AJ528" s="236" t="n"/>
      <c r="AK528" s="236" t="n"/>
      <c r="AL528" s="236" t="n"/>
      <c r="AM528" s="236" t="n"/>
      <c r="AN528" s="236" t="n"/>
      <c r="AO528" s="236" t="n"/>
      <c r="AP528" s="236" t="n"/>
      <c r="AQ528" s="236" t="n"/>
      <c r="AR528" s="236" t="n"/>
      <c r="AS528" s="236" t="n"/>
      <c r="AT528" s="236" t="n"/>
      <c r="AU528" s="236" t="n"/>
      <c r="AV528" s="236" t="n"/>
      <c r="AW528" s="236" t="n"/>
      <c r="AX528" s="692" t="n"/>
      <c r="AY528" s="692" t="n"/>
      <c r="AZ528" s="692" t="n"/>
      <c r="BA528" s="692" t="n"/>
      <c r="BB528" s="692" t="n"/>
      <c r="BC528" s="692" t="n"/>
      <c r="BD528" s="692" t="n"/>
    </row>
    <row r="529">
      <c r="A529" s="220" t="n"/>
      <c r="B529" s="211" t="n"/>
      <c r="C529" s="211" t="n"/>
      <c r="D529" s="211" t="n"/>
      <c r="E529" s="221" t="n"/>
      <c r="F529" s="211" t="n"/>
      <c r="G529" s="211" t="n"/>
      <c r="H529" s="211" t="n"/>
      <c r="I529" s="211" t="n"/>
      <c r="J529" s="211" t="n"/>
      <c r="K529" s="211" t="n"/>
      <c r="L529" s="213" t="n"/>
      <c r="M529" s="689" t="n"/>
      <c r="N529" s="689" t="n"/>
      <c r="O529" s="689" t="n"/>
      <c r="P529" s="227" t="n"/>
      <c r="Q529" s="689" t="n"/>
      <c r="R529" s="689" t="n"/>
      <c r="S529" s="689" t="n"/>
      <c r="T529" s="689" t="n"/>
      <c r="U529" s="689" t="n"/>
      <c r="V529" s="689" t="n"/>
      <c r="W529" s="689" t="n"/>
      <c r="X529" s="689" t="n"/>
      <c r="Y529" s="689" t="n"/>
      <c r="Z529" s="689" t="n"/>
      <c r="AA529" s="689" t="n"/>
      <c r="AB529" s="689" t="n"/>
      <c r="AC529" s="689" t="n"/>
      <c r="AD529" s="689" t="n"/>
      <c r="AF529" s="236" t="n"/>
      <c r="AG529" s="236" t="n"/>
      <c r="AH529" s="236" t="n"/>
      <c r="AI529" s="236" t="n"/>
      <c r="AJ529" s="236" t="n"/>
      <c r="AK529" s="236" t="n"/>
      <c r="AL529" s="236" t="n"/>
      <c r="AM529" s="236" t="n"/>
      <c r="AN529" s="236" t="n"/>
      <c r="AO529" s="236" t="n"/>
      <c r="AP529" s="236" t="n"/>
      <c r="AQ529" s="236" t="n"/>
      <c r="AR529" s="236" t="n"/>
      <c r="AS529" s="236" t="n"/>
      <c r="AT529" s="236" t="n"/>
      <c r="AU529" s="236" t="n"/>
      <c r="AV529" s="236" t="n"/>
      <c r="AW529" s="236" t="n"/>
      <c r="AX529" s="692" t="n"/>
      <c r="AY529" s="692" t="n"/>
      <c r="AZ529" s="692" t="n"/>
      <c r="BA529" s="692" t="n"/>
      <c r="BB529" s="692" t="n"/>
      <c r="BC529" s="692" t="n"/>
      <c r="BD529" s="692" t="n"/>
    </row>
    <row r="530">
      <c r="A530" s="218" t="n"/>
      <c r="B530" s="215" t="n"/>
      <c r="C530" s="215" t="n"/>
      <c r="D530" s="215" t="n"/>
      <c r="E530" s="219" t="n"/>
      <c r="F530" s="215" t="n"/>
      <c r="G530" s="215" t="n"/>
      <c r="H530" s="215" t="n"/>
      <c r="I530" s="215" t="n"/>
      <c r="J530" s="215" t="n"/>
      <c r="K530" s="215" t="n"/>
      <c r="L530" s="217" t="n"/>
      <c r="M530" s="689" t="n"/>
      <c r="N530" s="689" t="n"/>
      <c r="O530" s="689" t="n"/>
      <c r="P530" s="227" t="n"/>
      <c r="Q530" s="689" t="n"/>
      <c r="R530" s="689" t="n"/>
      <c r="S530" s="689" t="n"/>
      <c r="T530" s="689" t="n"/>
      <c r="U530" s="689" t="n"/>
      <c r="V530" s="689" t="n"/>
      <c r="W530" s="689" t="n"/>
      <c r="X530" s="689" t="n"/>
      <c r="Y530" s="689" t="n"/>
      <c r="Z530" s="689" t="n"/>
      <c r="AA530" s="689" t="n"/>
      <c r="AB530" s="689" t="n"/>
      <c r="AC530" s="689" t="n"/>
      <c r="AD530" s="689" t="n"/>
      <c r="AF530" s="236" t="n"/>
      <c r="AG530" s="236" t="n"/>
      <c r="AH530" s="236" t="n"/>
      <c r="AI530" s="236" t="n"/>
      <c r="AJ530" s="236" t="n"/>
      <c r="AK530" s="236" t="n"/>
      <c r="AL530" s="236" t="n"/>
      <c r="AM530" s="236" t="n"/>
      <c r="AN530" s="236" t="n"/>
      <c r="AO530" s="236" t="n"/>
      <c r="AP530" s="236" t="n"/>
      <c r="AQ530" s="236" t="n"/>
      <c r="AR530" s="236" t="n"/>
      <c r="AS530" s="236" t="n"/>
      <c r="AT530" s="236" t="n"/>
      <c r="AU530" s="236" t="n"/>
      <c r="AV530" s="236" t="n"/>
      <c r="AW530" s="236" t="n"/>
      <c r="AX530" s="692" t="n"/>
      <c r="AY530" s="692" t="n"/>
      <c r="AZ530" s="692" t="n"/>
      <c r="BA530" s="692" t="n"/>
      <c r="BB530" s="692" t="n"/>
      <c r="BC530" s="692" t="n"/>
      <c r="BD530" s="692" t="n"/>
    </row>
    <row r="531">
      <c r="A531" s="220" t="n"/>
      <c r="B531" s="211" t="n"/>
      <c r="C531" s="211" t="n"/>
      <c r="D531" s="211" t="n"/>
      <c r="E531" s="221" t="n"/>
      <c r="F531" s="211" t="n"/>
      <c r="G531" s="211" t="n"/>
      <c r="H531" s="211" t="n"/>
      <c r="I531" s="211" t="n"/>
      <c r="J531" s="211" t="n"/>
      <c r="K531" s="211" t="n"/>
      <c r="L531" s="213" t="n"/>
      <c r="M531" s="689" t="n"/>
      <c r="N531" s="689" t="n"/>
      <c r="O531" s="689" t="n"/>
      <c r="P531" s="227" t="n"/>
      <c r="Q531" s="689" t="n"/>
      <c r="R531" s="689" t="n"/>
      <c r="S531" s="689" t="n"/>
      <c r="T531" s="689" t="n"/>
      <c r="U531" s="689" t="n"/>
      <c r="V531" s="689" t="n"/>
      <c r="W531" s="689" t="n"/>
      <c r="X531" s="689" t="n"/>
      <c r="Y531" s="689" t="n"/>
      <c r="Z531" s="689" t="n"/>
      <c r="AA531" s="689" t="n"/>
      <c r="AB531" s="689" t="n"/>
      <c r="AC531" s="689" t="n"/>
      <c r="AD531" s="689" t="n"/>
      <c r="AF531" s="236" t="n"/>
      <c r="AG531" s="236" t="n"/>
      <c r="AH531" s="236" t="n"/>
      <c r="AI531" s="236" t="n"/>
      <c r="AJ531" s="236" t="n"/>
      <c r="AK531" s="236" t="n"/>
      <c r="AL531" s="236" t="n"/>
      <c r="AM531" s="236" t="n"/>
      <c r="AN531" s="236" t="n"/>
      <c r="AO531" s="236" t="n"/>
      <c r="AP531" s="236" t="n"/>
      <c r="AQ531" s="236" t="n"/>
      <c r="AR531" s="236" t="n"/>
      <c r="AS531" s="236" t="n"/>
      <c r="AT531" s="236" t="n"/>
      <c r="AU531" s="236" t="n"/>
      <c r="AV531" s="236" t="n"/>
      <c r="AW531" s="236" t="n"/>
      <c r="AX531" s="692" t="n"/>
      <c r="AY531" s="692" t="n"/>
      <c r="AZ531" s="692" t="n"/>
      <c r="BA531" s="692" t="n"/>
      <c r="BB531" s="692" t="n"/>
      <c r="BC531" s="692" t="n"/>
      <c r="BD531" s="692" t="n"/>
    </row>
    <row r="532">
      <c r="A532" s="218" t="n"/>
      <c r="B532" s="215" t="n"/>
      <c r="C532" s="215" t="n"/>
      <c r="D532" s="215" t="n"/>
      <c r="E532" s="219" t="n"/>
      <c r="F532" s="215" t="n"/>
      <c r="G532" s="215" t="n"/>
      <c r="H532" s="215" t="n"/>
      <c r="I532" s="215" t="n"/>
      <c r="J532" s="215" t="n"/>
      <c r="K532" s="215" t="n"/>
      <c r="L532" s="217" t="n"/>
      <c r="M532" s="689" t="n"/>
      <c r="N532" s="689" t="n"/>
      <c r="O532" s="689" t="n"/>
      <c r="P532" s="227" t="n"/>
      <c r="Q532" s="689" t="n"/>
      <c r="R532" s="689" t="n"/>
      <c r="S532" s="689" t="n"/>
      <c r="T532" s="689" t="n"/>
      <c r="U532" s="689" t="n"/>
      <c r="V532" s="689" t="n"/>
      <c r="W532" s="689" t="n"/>
      <c r="X532" s="689" t="n"/>
      <c r="Y532" s="689" t="n"/>
      <c r="Z532" s="689" t="n"/>
      <c r="AA532" s="689" t="n"/>
      <c r="AB532" s="689" t="n"/>
      <c r="AC532" s="689" t="n"/>
      <c r="AD532" s="689" t="n"/>
      <c r="AF532" s="236" t="n"/>
      <c r="AG532" s="236" t="n"/>
      <c r="AH532" s="236" t="n"/>
      <c r="AI532" s="236" t="n"/>
      <c r="AJ532" s="236" t="n"/>
      <c r="AK532" s="236" t="n"/>
      <c r="AL532" s="236" t="n"/>
      <c r="AM532" s="236" t="n"/>
      <c r="AN532" s="236" t="n"/>
      <c r="AO532" s="236" t="n"/>
      <c r="AP532" s="236" t="n"/>
      <c r="AQ532" s="236" t="n"/>
      <c r="AR532" s="236" t="n"/>
      <c r="AS532" s="236" t="n"/>
      <c r="AT532" s="236" t="n"/>
      <c r="AU532" s="236" t="n"/>
      <c r="AV532" s="236" t="n"/>
      <c r="AW532" s="236" t="n"/>
      <c r="AX532" s="692" t="n"/>
      <c r="AY532" s="692" t="n"/>
      <c r="AZ532" s="692" t="n"/>
      <c r="BA532" s="692" t="n"/>
      <c r="BB532" s="692" t="n"/>
      <c r="BC532" s="692" t="n"/>
      <c r="BD532" s="692" t="n"/>
    </row>
    <row r="533">
      <c r="A533" s="220" t="n"/>
      <c r="B533" s="211" t="n"/>
      <c r="C533" s="211" t="n"/>
      <c r="D533" s="211" t="n"/>
      <c r="E533" s="221" t="n"/>
      <c r="F533" s="211" t="n"/>
      <c r="G533" s="211" t="n"/>
      <c r="H533" s="211" t="n"/>
      <c r="I533" s="211" t="n"/>
      <c r="J533" s="211" t="n"/>
      <c r="K533" s="211" t="n"/>
      <c r="L533" s="213" t="n"/>
      <c r="M533" s="689" t="n"/>
      <c r="N533" s="689" t="n"/>
      <c r="O533" s="689" t="n"/>
      <c r="P533" s="227" t="n"/>
      <c r="Q533" s="689" t="n"/>
      <c r="R533" s="689" t="n"/>
      <c r="S533" s="689" t="n"/>
      <c r="T533" s="689" t="n"/>
      <c r="U533" s="689" t="n"/>
      <c r="V533" s="689" t="n"/>
      <c r="W533" s="689" t="n"/>
      <c r="X533" s="689" t="n"/>
      <c r="Y533" s="689" t="n"/>
      <c r="Z533" s="689" t="n"/>
      <c r="AA533" s="689" t="n"/>
      <c r="AB533" s="689" t="n"/>
      <c r="AC533" s="689" t="n"/>
      <c r="AD533" s="689" t="n"/>
      <c r="AF533" s="236" t="n"/>
      <c r="AG533" s="236" t="n"/>
      <c r="AH533" s="236" t="n"/>
      <c r="AI533" s="236" t="n"/>
      <c r="AJ533" s="236" t="n"/>
      <c r="AK533" s="236" t="n"/>
      <c r="AL533" s="236" t="n"/>
      <c r="AM533" s="236" t="n"/>
      <c r="AN533" s="236" t="n"/>
      <c r="AO533" s="236" t="n"/>
      <c r="AP533" s="236" t="n"/>
      <c r="AQ533" s="236" t="n"/>
      <c r="AR533" s="236" t="n"/>
      <c r="AS533" s="236" t="n"/>
      <c r="AT533" s="236" t="n"/>
      <c r="AU533" s="236" t="n"/>
      <c r="AV533" s="236" t="n"/>
      <c r="AW533" s="236" t="n"/>
      <c r="AX533" s="692" t="n"/>
      <c r="AY533" s="692" t="n"/>
      <c r="AZ533" s="692" t="n"/>
      <c r="BA533" s="692" t="n"/>
      <c r="BB533" s="692" t="n"/>
      <c r="BC533" s="692" t="n"/>
      <c r="BD533" s="692" t="n"/>
      <c r="BE533" s="692" t="n"/>
      <c r="BF533" s="692" t="n"/>
      <c r="BG533" s="692" t="n"/>
      <c r="BH533" s="692" t="n"/>
      <c r="BI533" s="692" t="n"/>
      <c r="BJ533" s="692" t="n"/>
      <c r="BK533" s="692" t="n"/>
      <c r="BL533" s="692" t="n"/>
      <c r="BM533" s="692" t="n"/>
    </row>
    <row r="534">
      <c r="A534" s="218" t="n"/>
      <c r="B534" s="215" t="n"/>
      <c r="C534" s="215" t="n"/>
      <c r="D534" s="215" t="n"/>
      <c r="E534" s="219" t="n"/>
      <c r="F534" s="215" t="n"/>
      <c r="G534" s="215" t="n"/>
      <c r="H534" s="215" t="n"/>
      <c r="I534" s="215" t="n"/>
      <c r="J534" s="215" t="n"/>
      <c r="K534" s="215" t="n"/>
      <c r="L534" s="217" t="n"/>
      <c r="M534" s="689" t="n"/>
      <c r="N534" s="689" t="n"/>
      <c r="O534" s="689" t="n"/>
      <c r="P534" s="227" t="n"/>
      <c r="Q534" s="689" t="n"/>
      <c r="R534" s="689" t="n"/>
      <c r="S534" s="689" t="n"/>
      <c r="T534" s="689" t="n"/>
      <c r="U534" s="689" t="n"/>
      <c r="V534" s="689" t="n"/>
      <c r="W534" s="689" t="n"/>
      <c r="X534" s="689" t="n"/>
      <c r="Y534" s="689" t="n"/>
      <c r="Z534" s="689" t="n"/>
      <c r="AA534" s="689" t="n"/>
      <c r="AB534" s="689" t="n"/>
      <c r="AC534" s="689" t="n"/>
      <c r="AD534" s="689" t="n"/>
      <c r="AF534" s="236" t="n"/>
      <c r="AG534" s="236" t="n"/>
      <c r="AH534" s="236" t="n"/>
      <c r="AI534" s="236" t="n"/>
      <c r="AJ534" s="236" t="n"/>
      <c r="AK534" s="236" t="n"/>
      <c r="AL534" s="236" t="n"/>
      <c r="AM534" s="236" t="n"/>
      <c r="AN534" s="236" t="n"/>
      <c r="AO534" s="236" t="n"/>
      <c r="AP534" s="236" t="n"/>
      <c r="AQ534" s="236" t="n"/>
      <c r="AR534" s="236" t="n"/>
      <c r="AS534" s="236" t="n"/>
      <c r="AT534" s="236" t="n"/>
      <c r="AU534" s="236" t="n"/>
      <c r="AV534" s="236" t="n"/>
      <c r="AW534" s="236" t="n"/>
      <c r="AX534" s="692" t="n"/>
      <c r="AY534" s="692" t="n"/>
      <c r="AZ534" s="692" t="n"/>
      <c r="BA534" s="692" t="n"/>
      <c r="BB534" s="692" t="n"/>
      <c r="BC534" s="692" t="n"/>
      <c r="BD534" s="692" t="n"/>
      <c r="BE534" s="692" t="n"/>
      <c r="BF534" s="692" t="n"/>
      <c r="BG534" s="692" t="n"/>
      <c r="BH534" s="692" t="n"/>
      <c r="BI534" s="692" t="n"/>
      <c r="BJ534" s="692" t="n"/>
      <c r="BK534" s="692" t="n"/>
      <c r="BL534" s="692" t="n"/>
      <c r="BM534" s="692" t="n"/>
      <c r="BN534" s="692" t="n"/>
      <c r="BO534" s="692" t="n"/>
      <c r="BP534" s="692" t="n"/>
    </row>
    <row r="535">
      <c r="A535" s="220" t="n"/>
      <c r="B535" s="211" t="n"/>
      <c r="C535" s="211" t="n"/>
      <c r="D535" s="211" t="n"/>
      <c r="E535" s="221" t="n"/>
      <c r="F535" s="211" t="n"/>
      <c r="G535" s="211" t="n"/>
      <c r="H535" s="211" t="n"/>
      <c r="I535" s="211" t="n"/>
      <c r="J535" s="211" t="n"/>
      <c r="K535" s="211" t="n"/>
      <c r="L535" s="213" t="n"/>
      <c r="M535" s="689" t="n"/>
      <c r="N535" s="689" t="n"/>
      <c r="O535" s="689" t="n"/>
      <c r="P535" s="227" t="n"/>
      <c r="Q535" s="689" t="n"/>
      <c r="R535" s="689" t="n"/>
      <c r="S535" s="689" t="n"/>
      <c r="T535" s="689" t="n"/>
      <c r="U535" s="689" t="n"/>
      <c r="V535" s="689" t="n"/>
      <c r="W535" s="689" t="n"/>
      <c r="X535" s="689" t="n"/>
      <c r="Y535" s="689" t="n"/>
      <c r="Z535" s="689" t="n"/>
      <c r="AA535" s="689" t="n"/>
      <c r="AB535" s="689" t="n"/>
      <c r="AC535" s="689" t="n"/>
      <c r="AD535" s="689" t="n"/>
      <c r="AF535" s="236" t="n"/>
      <c r="AG535" s="236" t="n"/>
      <c r="AH535" s="236" t="n"/>
      <c r="AI535" s="236" t="n"/>
      <c r="AJ535" s="236" t="n"/>
      <c r="AK535" s="236" t="n"/>
      <c r="AL535" s="236" t="n"/>
      <c r="AM535" s="236" t="n"/>
      <c r="AN535" s="236" t="n"/>
      <c r="AO535" s="236" t="n"/>
      <c r="AP535" s="236" t="n"/>
      <c r="AQ535" s="236" t="n"/>
      <c r="AR535" s="236" t="n"/>
      <c r="AS535" s="236" t="n"/>
      <c r="AT535" s="236" t="n"/>
      <c r="AU535" s="236" t="n"/>
      <c r="AV535" s="236" t="n"/>
      <c r="AW535" s="236" t="n"/>
      <c r="AX535" s="692" t="n"/>
      <c r="AY535" s="692" t="n"/>
      <c r="AZ535" s="692" t="n"/>
      <c r="BA535" s="692" t="n"/>
      <c r="BB535" s="692" t="n"/>
      <c r="BC535" s="692" t="n"/>
      <c r="BD535" s="692" t="n"/>
      <c r="BE535" s="692" t="n"/>
      <c r="BF535" s="692" t="n"/>
      <c r="BG535" s="692" t="n"/>
      <c r="BH535" s="692" t="n"/>
      <c r="BI535" s="692" t="n"/>
      <c r="BJ535" s="692" t="n"/>
      <c r="BK535" s="692" t="n"/>
      <c r="BL535" s="692" t="n"/>
      <c r="BM535" s="692" t="n"/>
      <c r="BN535" s="692" t="n"/>
      <c r="BO535" s="692" t="n"/>
      <c r="BP535" s="692" t="n"/>
      <c r="BQ535" s="692" t="n"/>
    </row>
    <row r="536">
      <c r="A536" s="218" t="n"/>
      <c r="B536" s="215" t="n"/>
      <c r="C536" s="215" t="n"/>
      <c r="D536" s="215" t="n"/>
      <c r="E536" s="219" t="n"/>
      <c r="F536" s="215" t="n"/>
      <c r="G536" s="215" t="n"/>
      <c r="H536" s="215" t="n"/>
      <c r="I536" s="215" t="n"/>
      <c r="J536" s="215" t="n"/>
      <c r="K536" s="215" t="n"/>
      <c r="L536" s="217" t="n"/>
      <c r="M536" s="689" t="n"/>
      <c r="N536" s="689" t="n"/>
      <c r="O536" s="689" t="n"/>
      <c r="P536" s="227" t="n"/>
      <c r="Q536" s="689" t="n"/>
      <c r="R536" s="689" t="n"/>
      <c r="S536" s="689" t="n"/>
      <c r="T536" s="689" t="n"/>
      <c r="U536" s="689" t="n"/>
      <c r="V536" s="689" t="n"/>
      <c r="W536" s="689" t="n"/>
      <c r="X536" s="689" t="n"/>
      <c r="Y536" s="689" t="n"/>
      <c r="Z536" s="689" t="n"/>
      <c r="AA536" s="689" t="n"/>
      <c r="AB536" s="689" t="n"/>
      <c r="AC536" s="689" t="n"/>
      <c r="AD536" s="689" t="n"/>
      <c r="AF536" s="236" t="n"/>
      <c r="AG536" s="236" t="n"/>
      <c r="AH536" s="236" t="n"/>
      <c r="AI536" s="236" t="n"/>
      <c r="AJ536" s="236" t="n"/>
      <c r="AK536" s="236" t="n"/>
      <c r="AL536" s="236" t="n"/>
      <c r="AM536" s="236" t="n"/>
      <c r="AN536" s="236" t="n"/>
      <c r="AO536" s="236" t="n"/>
      <c r="AP536" s="236" t="n"/>
      <c r="AQ536" s="236" t="n"/>
      <c r="AR536" s="236" t="n"/>
      <c r="AS536" s="236" t="n"/>
      <c r="AT536" s="236" t="n"/>
      <c r="AU536" s="236" t="n"/>
      <c r="AV536" s="236" t="n"/>
      <c r="AW536" s="236" t="n"/>
      <c r="AX536" s="692" t="n"/>
      <c r="AY536" s="692" t="n"/>
      <c r="AZ536" s="692" t="n"/>
      <c r="BA536" s="692" t="n"/>
      <c r="BB536" s="692" t="n"/>
      <c r="BC536" s="692" t="n"/>
      <c r="BD536" s="692" t="n"/>
      <c r="BE536" s="692" t="n"/>
      <c r="BF536" s="692" t="n"/>
      <c r="BG536" s="692" t="n"/>
      <c r="BH536" s="692" t="n"/>
      <c r="BI536" s="692" t="n"/>
      <c r="BJ536" s="692" t="n"/>
      <c r="BK536" s="692" t="n"/>
      <c r="BL536" s="692" t="n"/>
      <c r="BM536" s="692" t="n"/>
      <c r="BN536" s="692" t="n"/>
      <c r="BO536" s="692" t="n"/>
      <c r="BP536" s="692" t="n"/>
      <c r="BQ536" s="692" t="n"/>
    </row>
    <row r="537">
      <c r="A537" s="220" t="n"/>
      <c r="B537" s="211" t="n"/>
      <c r="C537" s="211" t="n"/>
      <c r="D537" s="211" t="n"/>
      <c r="E537" s="221" t="n"/>
      <c r="F537" s="211" t="n"/>
      <c r="G537" s="211" t="n"/>
      <c r="H537" s="211" t="n"/>
      <c r="I537" s="211" t="n"/>
      <c r="J537" s="211" t="n"/>
      <c r="K537" s="211" t="n"/>
      <c r="L537" s="213" t="n"/>
      <c r="M537" s="689" t="n"/>
      <c r="N537" s="689" t="n"/>
      <c r="O537" s="689" t="n"/>
      <c r="P537" s="227" t="n"/>
      <c r="Q537" s="689" t="n"/>
      <c r="R537" s="689" t="n"/>
      <c r="S537" s="689" t="n"/>
      <c r="T537" s="689" t="n"/>
      <c r="U537" s="689" t="n"/>
      <c r="V537" s="689" t="n"/>
      <c r="W537" s="689" t="n"/>
      <c r="X537" s="689" t="n"/>
      <c r="Y537" s="689" t="n"/>
      <c r="Z537" s="689" t="n"/>
      <c r="AA537" s="689" t="n"/>
      <c r="AB537" s="689" t="n"/>
      <c r="AC537" s="689" t="n"/>
      <c r="AD537" s="689" t="n"/>
      <c r="AF537" s="236" t="n"/>
      <c r="AG537" s="236" t="n"/>
      <c r="AH537" s="236" t="n"/>
      <c r="AI537" s="236" t="n"/>
      <c r="AJ537" s="236" t="n"/>
      <c r="AK537" s="236" t="n"/>
      <c r="AL537" s="236" t="n"/>
      <c r="AM537" s="236" t="n"/>
      <c r="AN537" s="236" t="n"/>
      <c r="AO537" s="236" t="n"/>
      <c r="AP537" s="236" t="n"/>
      <c r="AQ537" s="236" t="n"/>
      <c r="AR537" s="236" t="n"/>
      <c r="AS537" s="236" t="n"/>
      <c r="AT537" s="236" t="n"/>
      <c r="AU537" s="236" t="n"/>
      <c r="AV537" s="236" t="n"/>
      <c r="AW537" s="236" t="n"/>
      <c r="AX537" s="692" t="n"/>
      <c r="AY537" s="692" t="n"/>
      <c r="AZ537" s="692" t="n"/>
      <c r="BA537" s="692" t="n"/>
      <c r="BB537" s="692" t="n"/>
      <c r="BC537" s="692" t="n"/>
      <c r="BD537" s="692" t="n"/>
      <c r="BE537" s="692" t="n"/>
      <c r="BF537" s="692" t="n"/>
      <c r="BG537" s="692" t="n"/>
      <c r="BH537" s="692" t="n"/>
      <c r="BI537" s="692" t="n"/>
      <c r="BJ537" s="692" t="n"/>
      <c r="BK537" s="692" t="n"/>
      <c r="BL537" s="692" t="n"/>
      <c r="BM537" s="692" t="n"/>
      <c r="BN537" s="692" t="n"/>
      <c r="BO537" s="692" t="n"/>
      <c r="BP537" s="692" t="n"/>
      <c r="BQ537" s="692" t="n"/>
    </row>
    <row r="538">
      <c r="A538" s="218" t="n"/>
      <c r="B538" s="215" t="n"/>
      <c r="C538" s="215" t="n"/>
      <c r="D538" s="215" t="n"/>
      <c r="E538" s="219" t="n"/>
      <c r="F538" s="215" t="n"/>
      <c r="G538" s="215" t="n"/>
      <c r="H538" s="215" t="n"/>
      <c r="I538" s="215" t="n"/>
      <c r="J538" s="215" t="n"/>
      <c r="K538" s="215" t="n"/>
      <c r="L538" s="217" t="n"/>
      <c r="M538" s="689" t="n"/>
      <c r="N538" s="689" t="n"/>
      <c r="O538" s="689" t="n"/>
      <c r="P538" s="227" t="n"/>
      <c r="Q538" s="689" t="n"/>
      <c r="R538" s="689" t="n"/>
      <c r="S538" s="689" t="n"/>
      <c r="T538" s="689" t="n"/>
      <c r="U538" s="689" t="n"/>
      <c r="V538" s="689" t="n"/>
      <c r="W538" s="689" t="n"/>
      <c r="X538" s="689" t="n"/>
      <c r="Y538" s="689" t="n"/>
      <c r="Z538" s="689" t="n"/>
      <c r="AA538" s="689" t="n"/>
      <c r="AB538" s="689" t="n"/>
      <c r="AC538" s="689" t="n"/>
      <c r="AD538" s="689" t="n"/>
      <c r="AF538" s="236" t="n"/>
      <c r="AG538" s="236" t="n"/>
      <c r="AH538" s="236" t="n"/>
      <c r="AI538" s="236" t="n"/>
      <c r="AJ538" s="236" t="n"/>
      <c r="AK538" s="236" t="n"/>
      <c r="AL538" s="236" t="n"/>
      <c r="AM538" s="236" t="n"/>
      <c r="AN538" s="236" t="n"/>
      <c r="AO538" s="236" t="n"/>
      <c r="AP538" s="236" t="n"/>
      <c r="AQ538" s="236" t="n"/>
      <c r="AR538" s="236" t="n"/>
      <c r="AS538" s="236" t="n"/>
      <c r="AT538" s="236" t="n"/>
      <c r="AU538" s="236" t="n"/>
      <c r="AV538" s="236" t="n"/>
      <c r="AW538" s="236" t="n"/>
      <c r="AX538" s="692" t="n"/>
      <c r="AY538" s="692" t="n"/>
      <c r="AZ538" s="692" t="n"/>
      <c r="BA538" s="692" t="n"/>
      <c r="BB538" s="692" t="n"/>
      <c r="BC538" s="692" t="n"/>
      <c r="BD538" s="692" t="n"/>
      <c r="BE538" s="692" t="n"/>
      <c r="BF538" s="692" t="n"/>
      <c r="BG538" s="692" t="n"/>
      <c r="BH538" s="692" t="n"/>
      <c r="BI538" s="692" t="n"/>
      <c r="BJ538" s="692" t="n"/>
      <c r="BK538" s="692" t="n"/>
      <c r="BL538" s="692" t="n"/>
      <c r="BM538" s="692" t="n"/>
      <c r="BN538" s="692" t="n"/>
      <c r="BO538" s="692" t="n"/>
      <c r="BP538" s="692" t="n"/>
      <c r="BQ538" s="692" t="n"/>
    </row>
    <row r="539">
      <c r="A539" s="220" t="n"/>
      <c r="B539" s="211" t="n"/>
      <c r="C539" s="211" t="n"/>
      <c r="D539" s="211" t="n"/>
      <c r="E539" s="221" t="n"/>
      <c r="F539" s="211" t="n"/>
      <c r="G539" s="211" t="n"/>
      <c r="H539" s="211" t="n"/>
      <c r="I539" s="211" t="n"/>
      <c r="J539" s="211" t="n"/>
      <c r="K539" s="211" t="n"/>
      <c r="L539" s="213" t="n"/>
      <c r="M539" s="689" t="n"/>
      <c r="N539" s="689" t="n"/>
      <c r="O539" s="689" t="n"/>
      <c r="P539" s="227" t="n"/>
      <c r="Q539" s="689" t="n"/>
      <c r="R539" s="689" t="n"/>
      <c r="S539" s="689" t="n"/>
      <c r="T539" s="689" t="n"/>
      <c r="U539" s="689" t="n"/>
      <c r="V539" s="689" t="n"/>
      <c r="W539" s="689" t="n"/>
      <c r="X539" s="689" t="n"/>
      <c r="Y539" s="689" t="n"/>
      <c r="Z539" s="689" t="n"/>
      <c r="AA539" s="689" t="n"/>
      <c r="AB539" s="689" t="n"/>
      <c r="AC539" s="689" t="n"/>
      <c r="AD539" s="689" t="n"/>
      <c r="AF539" s="236" t="n"/>
      <c r="AG539" s="236" t="n"/>
      <c r="AH539" s="236" t="n"/>
      <c r="AI539" s="236" t="n"/>
      <c r="AJ539" s="236" t="n"/>
      <c r="AK539" s="236" t="n"/>
      <c r="AL539" s="236" t="n"/>
      <c r="AM539" s="236" t="n"/>
      <c r="AN539" s="236" t="n"/>
      <c r="AO539" s="236" t="n"/>
      <c r="AP539" s="236" t="n"/>
      <c r="AQ539" s="236" t="n"/>
      <c r="AR539" s="236" t="n"/>
      <c r="AS539" s="236" t="n"/>
      <c r="AT539" s="236" t="n"/>
      <c r="AU539" s="236" t="n"/>
      <c r="AV539" s="236" t="n"/>
      <c r="AW539" s="236" t="n"/>
      <c r="AX539" s="692" t="n"/>
      <c r="AY539" s="692" t="n"/>
      <c r="AZ539" s="692" t="n"/>
      <c r="BA539" s="692" t="n"/>
      <c r="BB539" s="692" t="n"/>
      <c r="BC539" s="692" t="n"/>
      <c r="BD539" s="692" t="n"/>
      <c r="BE539" s="692" t="n"/>
      <c r="BF539" s="692" t="n"/>
      <c r="BG539" s="692" t="n"/>
      <c r="BH539" s="692" t="n"/>
      <c r="BI539" s="692" t="n"/>
      <c r="BJ539" s="692" t="n"/>
      <c r="BK539" s="692" t="n"/>
      <c r="BL539" s="692" t="n"/>
      <c r="BM539" s="692" t="n"/>
      <c r="BN539" s="692" t="n"/>
      <c r="BO539" s="692" t="n"/>
      <c r="BP539" s="692" t="n"/>
      <c r="BQ539" s="692" t="n"/>
    </row>
    <row r="540">
      <c r="A540" s="218" t="n"/>
      <c r="B540" s="215" t="n"/>
      <c r="C540" s="215" t="n"/>
      <c r="D540" s="215" t="n"/>
      <c r="E540" s="219" t="n"/>
      <c r="F540" s="215" t="n"/>
      <c r="G540" s="215" t="n"/>
      <c r="H540" s="215" t="n"/>
      <c r="I540" s="215" t="n"/>
      <c r="J540" s="215" t="n"/>
      <c r="K540" s="215" t="n"/>
      <c r="L540" s="217" t="n"/>
      <c r="M540" s="689" t="n"/>
      <c r="N540" s="689" t="n"/>
      <c r="O540" s="689" t="n"/>
      <c r="P540" s="227" t="n"/>
      <c r="Q540" s="689" t="n"/>
      <c r="R540" s="689" t="n"/>
      <c r="S540" s="689" t="n"/>
      <c r="T540" s="689" t="n"/>
      <c r="U540" s="689" t="n"/>
      <c r="V540" s="689" t="n"/>
      <c r="W540" s="689" t="n"/>
      <c r="X540" s="689" t="n"/>
      <c r="Y540" s="689" t="n"/>
      <c r="Z540" s="689" t="n"/>
      <c r="AA540" s="689" t="n"/>
      <c r="AB540" s="689" t="n"/>
      <c r="AC540" s="689" t="n"/>
      <c r="AD540" s="689" t="n"/>
      <c r="AF540" s="236" t="n"/>
      <c r="AG540" s="236" t="n"/>
      <c r="AH540" s="236" t="n"/>
      <c r="AI540" s="236" t="n"/>
      <c r="AJ540" s="236" t="n"/>
      <c r="AK540" s="236" t="n"/>
      <c r="AL540" s="236" t="n"/>
      <c r="AM540" s="236" t="n"/>
      <c r="AN540" s="236" t="n"/>
      <c r="AO540" s="236" t="n"/>
      <c r="AP540" s="236" t="n"/>
      <c r="AQ540" s="236" t="n"/>
      <c r="AR540" s="236" t="n"/>
      <c r="AS540" s="236" t="n"/>
      <c r="AT540" s="236" t="n"/>
      <c r="AU540" s="236" t="n"/>
      <c r="AV540" s="236" t="n"/>
      <c r="AW540" s="236" t="n"/>
      <c r="AX540" s="692" t="n"/>
      <c r="AY540" s="692" t="n"/>
      <c r="AZ540" s="692" t="n"/>
      <c r="BA540" s="692" t="n"/>
      <c r="BB540" s="692" t="n"/>
      <c r="BC540" s="692" t="n"/>
      <c r="BD540" s="692" t="n"/>
      <c r="BE540" s="692" t="n"/>
      <c r="BF540" s="692" t="n"/>
      <c r="BG540" s="692" t="n"/>
      <c r="BH540" s="692" t="n"/>
      <c r="BI540" s="692" t="n"/>
      <c r="BJ540" s="692" t="n"/>
      <c r="BK540" s="692" t="n"/>
      <c r="BL540" s="692" t="n"/>
      <c r="BM540" s="692" t="n"/>
      <c r="BN540" s="692" t="n"/>
      <c r="BO540" s="692" t="n"/>
      <c r="BP540" s="692" t="n"/>
      <c r="BQ540" s="692" t="n"/>
    </row>
    <row r="541">
      <c r="A541" s="220" t="n"/>
      <c r="B541" s="211" t="n"/>
      <c r="C541" s="211" t="n"/>
      <c r="D541" s="211" t="n"/>
      <c r="E541" s="221" t="n"/>
      <c r="F541" s="211" t="n"/>
      <c r="G541" s="211" t="n"/>
      <c r="H541" s="211" t="n"/>
      <c r="I541" s="211" t="n"/>
      <c r="J541" s="211" t="n"/>
      <c r="K541" s="211" t="n"/>
      <c r="L541" s="213" t="n"/>
      <c r="M541" s="689" t="n"/>
      <c r="N541" s="689" t="n"/>
      <c r="O541" s="689" t="n"/>
      <c r="P541" s="227" t="n"/>
      <c r="Q541" s="689" t="n"/>
      <c r="R541" s="689" t="n"/>
      <c r="S541" s="689" t="n"/>
      <c r="T541" s="689" t="n"/>
      <c r="U541" s="689" t="n"/>
      <c r="V541" s="689" t="n"/>
      <c r="W541" s="689" t="n"/>
      <c r="X541" s="689" t="n"/>
      <c r="Y541" s="689" t="n"/>
      <c r="Z541" s="689" t="n"/>
      <c r="AA541" s="689" t="n"/>
      <c r="AB541" s="689" t="n"/>
      <c r="AC541" s="689" t="n"/>
      <c r="AD541" s="689" t="n"/>
      <c r="AF541" s="236" t="n"/>
      <c r="AG541" s="236" t="n"/>
      <c r="AH541" s="236" t="n"/>
      <c r="AI541" s="236" t="n"/>
      <c r="AJ541" s="236" t="n"/>
      <c r="AK541" s="236" t="n"/>
      <c r="AL541" s="236" t="n"/>
      <c r="AM541" s="236" t="n"/>
      <c r="AN541" s="236" t="n"/>
      <c r="AO541" s="236" t="n"/>
      <c r="AP541" s="236" t="n"/>
      <c r="AQ541" s="236" t="n"/>
      <c r="AR541" s="236" t="n"/>
      <c r="AS541" s="236" t="n"/>
      <c r="AT541" s="236" t="n"/>
      <c r="AU541" s="236" t="n"/>
      <c r="AV541" s="236" t="n"/>
      <c r="AW541" s="236" t="n"/>
      <c r="AX541" s="692" t="n"/>
      <c r="AY541" s="692" t="n"/>
      <c r="AZ541" s="692" t="n"/>
      <c r="BA541" s="692" t="n"/>
      <c r="BB541" s="692" t="n"/>
      <c r="BC541" s="692" t="n"/>
      <c r="BD541" s="692" t="n"/>
      <c r="BE541" s="692" t="n"/>
      <c r="BF541" s="692" t="n"/>
      <c r="BG541" s="692" t="n"/>
      <c r="BH541" s="692" t="n"/>
      <c r="BI541" s="692" t="n"/>
      <c r="BJ541" s="692" t="n"/>
      <c r="BK541" s="692" t="n"/>
      <c r="BL541" s="692" t="n"/>
      <c r="BM541" s="692" t="n"/>
      <c r="BN541" s="692" t="n"/>
      <c r="BO541" s="692" t="n"/>
      <c r="BP541" s="692" t="n"/>
      <c r="BQ541" s="692" t="n"/>
    </row>
    <row r="542">
      <c r="A542" s="218" t="n"/>
      <c r="B542" s="215" t="n"/>
      <c r="C542" s="215" t="n"/>
      <c r="D542" s="215" t="n"/>
      <c r="E542" s="219" t="n"/>
      <c r="F542" s="215" t="n"/>
      <c r="G542" s="215" t="n"/>
      <c r="H542" s="215" t="n"/>
      <c r="I542" s="215" t="n"/>
      <c r="J542" s="215" t="n"/>
      <c r="K542" s="215" t="n"/>
      <c r="L542" s="217" t="n"/>
      <c r="M542" s="689" t="n"/>
      <c r="N542" s="689" t="n"/>
      <c r="O542" s="689" t="n"/>
      <c r="P542" s="227" t="n"/>
      <c r="Q542" s="689" t="n"/>
      <c r="R542" s="689" t="n"/>
      <c r="S542" s="689" t="n"/>
      <c r="T542" s="689" t="n"/>
      <c r="U542" s="689" t="n"/>
      <c r="V542" s="689" t="n"/>
      <c r="W542" s="689" t="n"/>
      <c r="X542" s="689" t="n"/>
      <c r="Y542" s="689" t="n"/>
      <c r="Z542" s="689" t="n"/>
      <c r="AA542" s="689" t="n"/>
      <c r="AB542" s="689" t="n"/>
      <c r="AC542" s="689" t="n"/>
      <c r="AD542" s="689" t="n"/>
      <c r="AF542" s="236" t="n"/>
      <c r="AG542" s="236" t="n"/>
      <c r="AH542" s="236" t="n"/>
      <c r="AI542" s="236" t="n"/>
      <c r="AJ542" s="236" t="n"/>
      <c r="AK542" s="236" t="n"/>
      <c r="AL542" s="236" t="n"/>
      <c r="AM542" s="236" t="n"/>
      <c r="AN542" s="236" t="n"/>
      <c r="AO542" s="236" t="n"/>
      <c r="AP542" s="236" t="n"/>
      <c r="AQ542" s="236" t="n"/>
      <c r="AR542" s="236" t="n"/>
      <c r="AS542" s="236" t="n"/>
      <c r="AT542" s="236" t="n"/>
      <c r="AU542" s="236" t="n"/>
      <c r="AV542" s="236" t="n"/>
      <c r="AW542" s="236" t="n"/>
      <c r="AX542" s="692" t="n"/>
      <c r="AY542" s="692" t="n"/>
      <c r="AZ542" s="692" t="n"/>
      <c r="BA542" s="692" t="n"/>
      <c r="BB542" s="692" t="n"/>
      <c r="BC542" s="692" t="n"/>
      <c r="BD542" s="692" t="n"/>
      <c r="BE542" s="692" t="n"/>
      <c r="BF542" s="692" t="n"/>
      <c r="BG542" s="692" t="n"/>
      <c r="BH542" s="692" t="n"/>
      <c r="BI542" s="692" t="n"/>
      <c r="BJ542" s="692" t="n"/>
      <c r="BK542" s="692" t="n"/>
      <c r="BL542" s="692" t="n"/>
      <c r="BM542" s="692" t="n"/>
      <c r="BN542" s="692" t="n"/>
      <c r="BO542" s="692" t="n"/>
      <c r="BP542" s="692" t="n"/>
      <c r="BQ542" s="692" t="n"/>
    </row>
    <row r="543">
      <c r="A543" s="220" t="n"/>
      <c r="B543" s="211" t="n"/>
      <c r="C543" s="211" t="n"/>
      <c r="D543" s="211" t="n"/>
      <c r="E543" s="221" t="n"/>
      <c r="F543" s="211" t="n"/>
      <c r="G543" s="211" t="n"/>
      <c r="H543" s="211" t="n"/>
      <c r="I543" s="211" t="n"/>
      <c r="J543" s="211" t="n"/>
      <c r="K543" s="211" t="n"/>
      <c r="L543" s="213" t="n"/>
      <c r="M543" s="689" t="n"/>
      <c r="N543" s="689" t="n"/>
      <c r="O543" s="689" t="n"/>
      <c r="P543" s="227" t="n"/>
      <c r="Q543" s="689" t="n"/>
      <c r="R543" s="689" t="n"/>
      <c r="S543" s="689" t="n"/>
      <c r="T543" s="689" t="n"/>
      <c r="U543" s="689" t="n"/>
      <c r="V543" s="689" t="n"/>
      <c r="W543" s="689" t="n"/>
      <c r="X543" s="689" t="n"/>
      <c r="Y543" s="689" t="n"/>
      <c r="Z543" s="689" t="n"/>
      <c r="AA543" s="689" t="n"/>
      <c r="AB543" s="689" t="n"/>
      <c r="AC543" s="689" t="n"/>
      <c r="AD543" s="689" t="n"/>
      <c r="AF543" s="236" t="n"/>
      <c r="AG543" s="236" t="n"/>
      <c r="AH543" s="236" t="n"/>
      <c r="AI543" s="236" t="n"/>
      <c r="AJ543" s="236" t="n"/>
      <c r="AK543" s="236" t="n"/>
      <c r="AL543" s="236" t="n"/>
      <c r="AM543" s="236" t="n"/>
      <c r="AN543" s="236" t="n"/>
      <c r="AO543" s="236" t="n"/>
      <c r="AP543" s="236" t="n"/>
      <c r="AQ543" s="236" t="n"/>
      <c r="AR543" s="236" t="n"/>
      <c r="AS543" s="236" t="n"/>
      <c r="AT543" s="236" t="n"/>
      <c r="AU543" s="236" t="n"/>
      <c r="AV543" s="236" t="n"/>
      <c r="AW543" s="236" t="n"/>
      <c r="AX543" s="692" t="n"/>
      <c r="AY543" s="692" t="n"/>
      <c r="AZ543" s="692" t="n"/>
      <c r="BA543" s="692" t="n"/>
      <c r="BB543" s="692" t="n"/>
      <c r="BC543" s="692" t="n"/>
      <c r="BD543" s="692" t="n"/>
      <c r="BE543" s="692" t="n"/>
      <c r="BF543" s="692" t="n"/>
      <c r="BG543" s="692" t="n"/>
      <c r="BH543" s="692" t="n"/>
      <c r="BI543" s="692" t="n"/>
      <c r="BJ543" s="692" t="n"/>
      <c r="BK543" s="692" t="n"/>
      <c r="BL543" s="692" t="n"/>
      <c r="BM543" s="692" t="n"/>
      <c r="BN543" s="692" t="n"/>
      <c r="BO543" s="692" t="n"/>
      <c r="BP543" s="692" t="n"/>
      <c r="BQ543" s="692" t="n"/>
    </row>
    <row r="544">
      <c r="A544" s="218" t="n"/>
      <c r="B544" s="215" t="n"/>
      <c r="C544" s="215" t="n"/>
      <c r="D544" s="215" t="n"/>
      <c r="E544" s="219" t="n"/>
      <c r="F544" s="215" t="n"/>
      <c r="G544" s="215" t="n"/>
      <c r="H544" s="215" t="n"/>
      <c r="I544" s="215" t="n"/>
      <c r="J544" s="215" t="n"/>
      <c r="K544" s="215" t="n"/>
      <c r="L544" s="217" t="n"/>
      <c r="M544" s="689" t="n"/>
      <c r="N544" s="689" t="n"/>
      <c r="O544" s="689" t="n"/>
      <c r="P544" s="227" t="n"/>
      <c r="Q544" s="689" t="n"/>
      <c r="R544" s="689" t="n"/>
      <c r="S544" s="689" t="n"/>
      <c r="T544" s="689" t="n"/>
      <c r="U544" s="689" t="n"/>
      <c r="V544" s="689" t="n"/>
      <c r="W544" s="689" t="n"/>
      <c r="X544" s="689" t="n"/>
      <c r="Y544" s="689" t="n"/>
      <c r="Z544" s="689" t="n"/>
      <c r="AA544" s="689" t="n"/>
      <c r="AB544" s="689" t="n"/>
      <c r="AC544" s="689" t="n"/>
      <c r="AD544" s="689" t="n"/>
      <c r="AF544" s="236" t="n"/>
      <c r="AG544" s="236" t="n"/>
      <c r="AH544" s="236" t="n"/>
      <c r="AI544" s="236" t="n"/>
      <c r="AJ544" s="236" t="n"/>
      <c r="AK544" s="236" t="n"/>
      <c r="AL544" s="236" t="n"/>
      <c r="AM544" s="236" t="n"/>
      <c r="AN544" s="236" t="n"/>
      <c r="AO544" s="236" t="n"/>
      <c r="AP544" s="236" t="n"/>
      <c r="AQ544" s="236" t="n"/>
      <c r="AR544" s="236" t="n"/>
      <c r="AS544" s="236" t="n"/>
      <c r="AT544" s="236" t="n"/>
      <c r="AU544" s="236" t="n"/>
      <c r="AV544" s="236" t="n"/>
      <c r="AW544" s="236" t="n"/>
      <c r="AX544" s="692" t="n"/>
      <c r="AY544" s="692" t="n"/>
      <c r="AZ544" s="692" t="n"/>
      <c r="BA544" s="692" t="n"/>
      <c r="BB544" s="692" t="n"/>
      <c r="BC544" s="692" t="n"/>
      <c r="BD544" s="692" t="n"/>
      <c r="BE544" s="692" t="n"/>
      <c r="BF544" s="692" t="n"/>
      <c r="BG544" s="692" t="n"/>
      <c r="BH544" s="692" t="n"/>
      <c r="BI544" s="692" t="n"/>
      <c r="BJ544" s="692" t="n"/>
      <c r="BK544" s="692" t="n"/>
      <c r="BL544" s="692" t="n"/>
      <c r="BM544" s="692" t="n"/>
      <c r="BN544" s="692" t="n"/>
      <c r="BO544" s="692" t="n"/>
      <c r="BP544" s="692" t="n"/>
      <c r="BQ544" s="692" t="n"/>
    </row>
    <row r="545">
      <c r="A545" s="220" t="n"/>
      <c r="B545" s="211" t="n"/>
      <c r="C545" s="211" t="n"/>
      <c r="D545" s="211" t="n"/>
      <c r="E545" s="221" t="n"/>
      <c r="F545" s="211" t="n"/>
      <c r="G545" s="211" t="n"/>
      <c r="H545" s="211" t="n"/>
      <c r="I545" s="211" t="n"/>
      <c r="J545" s="211" t="n"/>
      <c r="K545" s="211" t="n"/>
      <c r="L545" s="213" t="n"/>
      <c r="M545" s="689" t="n"/>
      <c r="N545" s="689" t="n"/>
      <c r="O545" s="689" t="n"/>
      <c r="P545" s="227" t="n"/>
      <c r="Q545" s="689" t="n"/>
      <c r="R545" s="689" t="n"/>
      <c r="S545" s="689" t="n"/>
      <c r="T545" s="689" t="n"/>
      <c r="U545" s="689" t="n"/>
      <c r="V545" s="689" t="n"/>
      <c r="W545" s="689" t="n"/>
      <c r="X545" s="689" t="n"/>
      <c r="Y545" s="689" t="n"/>
      <c r="Z545" s="689" t="n"/>
      <c r="AA545" s="689" t="n"/>
      <c r="AB545" s="689" t="n"/>
      <c r="AC545" s="689" t="n"/>
      <c r="AD545" s="689" t="n"/>
      <c r="AF545" s="236" t="n"/>
      <c r="AG545" s="236" t="n"/>
      <c r="AH545" s="236" t="n"/>
      <c r="AI545" s="236" t="n"/>
      <c r="AJ545" s="236" t="n"/>
      <c r="AK545" s="236" t="n"/>
      <c r="AL545" s="236" t="n"/>
      <c r="AM545" s="236" t="n"/>
      <c r="AN545" s="236" t="n"/>
      <c r="AO545" s="236" t="n"/>
      <c r="AP545" s="236" t="n"/>
      <c r="AQ545" s="236" t="n"/>
      <c r="AR545" s="236" t="n"/>
      <c r="AS545" s="236" t="n"/>
      <c r="AT545" s="236" t="n"/>
      <c r="AU545" s="236" t="n"/>
      <c r="AV545" s="236" t="n"/>
      <c r="AW545" s="236" t="n"/>
      <c r="AX545" s="692" t="n"/>
      <c r="AY545" s="692" t="n"/>
      <c r="AZ545" s="692" t="n"/>
      <c r="BA545" s="692" t="n"/>
      <c r="BB545" s="692" t="n"/>
      <c r="BC545" s="692" t="n"/>
      <c r="BD545" s="692" t="n"/>
      <c r="BE545" s="692" t="n"/>
      <c r="BF545" s="692" t="n"/>
      <c r="BG545" s="692" t="n"/>
      <c r="BH545" s="692" t="n"/>
      <c r="BI545" s="692" t="n"/>
      <c r="BJ545" s="692" t="n"/>
      <c r="BK545" s="692" t="n"/>
      <c r="BL545" s="692" t="n"/>
      <c r="BM545" s="692" t="n"/>
      <c r="BN545" s="692" t="n"/>
      <c r="BO545" s="692" t="n"/>
      <c r="BP545" s="692" t="n"/>
      <c r="BQ545" s="692" t="n"/>
    </row>
    <row r="546">
      <c r="A546" s="218" t="n"/>
      <c r="B546" s="215" t="n"/>
      <c r="C546" s="215" t="n"/>
      <c r="D546" s="215" t="n"/>
      <c r="E546" s="219" t="n"/>
      <c r="F546" s="215" t="n"/>
      <c r="G546" s="215" t="n"/>
      <c r="H546" s="215" t="n"/>
      <c r="I546" s="215" t="n"/>
      <c r="J546" s="215" t="n"/>
      <c r="K546" s="215" t="n"/>
      <c r="L546" s="217" t="n"/>
      <c r="M546" s="689" t="n"/>
      <c r="N546" s="689" t="n"/>
      <c r="O546" s="689" t="n"/>
      <c r="P546" s="227" t="n"/>
      <c r="Q546" s="689" t="n"/>
      <c r="R546" s="689" t="n"/>
      <c r="S546" s="689" t="n"/>
      <c r="T546" s="689" t="n"/>
      <c r="U546" s="689" t="n"/>
      <c r="V546" s="689" t="n"/>
      <c r="W546" s="689" t="n"/>
      <c r="X546" s="689" t="n"/>
      <c r="Y546" s="689" t="n"/>
      <c r="Z546" s="689" t="n"/>
      <c r="AA546" s="689" t="n"/>
      <c r="AB546" s="689" t="n"/>
      <c r="AC546" s="689" t="n"/>
      <c r="AD546" s="689" t="n"/>
      <c r="AF546" s="236" t="n"/>
      <c r="AG546" s="236" t="n"/>
      <c r="AH546" s="236" t="n"/>
      <c r="AI546" s="236" t="n"/>
      <c r="AJ546" s="236" t="n"/>
      <c r="AK546" s="236" t="n"/>
      <c r="AL546" s="236" t="n"/>
      <c r="AM546" s="236" t="n"/>
      <c r="AN546" s="236" t="n"/>
      <c r="AO546" s="236" t="n"/>
      <c r="AP546" s="236" t="n"/>
      <c r="AQ546" s="236" t="n"/>
      <c r="AR546" s="236" t="n"/>
      <c r="AS546" s="236" t="n"/>
      <c r="AT546" s="236" t="n"/>
      <c r="AU546" s="236" t="n"/>
      <c r="AV546" s="236" t="n"/>
      <c r="AW546" s="236" t="n"/>
      <c r="AX546" s="692" t="n"/>
      <c r="AY546" s="692" t="n"/>
      <c r="AZ546" s="692" t="n"/>
      <c r="BA546" s="692" t="n"/>
      <c r="BB546" s="692" t="n"/>
      <c r="BC546" s="692" t="n"/>
      <c r="BD546" s="692" t="n"/>
      <c r="BE546" s="692" t="n"/>
      <c r="BF546" s="692" t="n"/>
      <c r="BG546" s="692" t="n"/>
      <c r="BH546" s="692" t="n"/>
      <c r="BI546" s="692" t="n"/>
      <c r="BJ546" s="692" t="n"/>
      <c r="BK546" s="692" t="n"/>
      <c r="BL546" s="692" t="n"/>
      <c r="BM546" s="692" t="n"/>
      <c r="BN546" s="692" t="n"/>
      <c r="BO546" s="692" t="n"/>
      <c r="BP546" s="692" t="n"/>
      <c r="BQ546" s="692" t="n"/>
    </row>
    <row r="547">
      <c r="A547" s="220" t="n"/>
      <c r="B547" s="211" t="n"/>
      <c r="C547" s="211" t="n"/>
      <c r="D547" s="211" t="n"/>
      <c r="E547" s="221" t="n"/>
      <c r="F547" s="211" t="n"/>
      <c r="G547" s="211" t="n"/>
      <c r="H547" s="211" t="n"/>
      <c r="I547" s="211" t="n"/>
      <c r="J547" s="211" t="n"/>
      <c r="K547" s="211" t="n"/>
      <c r="L547" s="213" t="n"/>
      <c r="M547" s="689" t="n"/>
      <c r="N547" s="689" t="n"/>
      <c r="O547" s="689" t="n"/>
      <c r="P547" s="227" t="n"/>
      <c r="Q547" s="689" t="n"/>
      <c r="R547" s="689" t="n"/>
      <c r="S547" s="689" t="n"/>
      <c r="T547" s="689" t="n"/>
      <c r="U547" s="689" t="n"/>
      <c r="V547" s="689" t="n"/>
      <c r="W547" s="689" t="n"/>
      <c r="X547" s="689" t="n"/>
      <c r="Y547" s="689" t="n"/>
      <c r="Z547" s="689" t="n"/>
      <c r="AA547" s="689" t="n"/>
      <c r="AB547" s="689" t="n"/>
      <c r="AC547" s="689" t="n"/>
      <c r="AD547" s="689" t="n"/>
      <c r="AF547" s="236" t="n"/>
      <c r="AG547" s="236" t="n"/>
      <c r="AH547" s="236" t="n"/>
      <c r="AI547" s="236" t="n"/>
      <c r="AJ547" s="236" t="n"/>
      <c r="AK547" s="236" t="n"/>
      <c r="AL547" s="236" t="n"/>
      <c r="AM547" s="236" t="n"/>
      <c r="AN547" s="236" t="n"/>
      <c r="AO547" s="236" t="n"/>
      <c r="AP547" s="236" t="n"/>
      <c r="AQ547" s="236" t="n"/>
      <c r="AR547" s="236" t="n"/>
      <c r="AS547" s="236" t="n"/>
      <c r="AT547" s="236" t="n"/>
      <c r="AU547" s="236" t="n"/>
      <c r="AV547" s="236" t="n"/>
      <c r="AW547" s="236" t="n"/>
      <c r="AX547" s="692" t="n"/>
      <c r="AY547" s="692" t="n"/>
      <c r="AZ547" s="692" t="n"/>
      <c r="BA547" s="692" t="n"/>
      <c r="BB547" s="692" t="n"/>
      <c r="BC547" s="692" t="n"/>
      <c r="BD547" s="692" t="n"/>
      <c r="BE547" s="692" t="n"/>
      <c r="BF547" s="692" t="n"/>
      <c r="BG547" s="692" t="n"/>
      <c r="BH547" s="692" t="n"/>
      <c r="BI547" s="692" t="n"/>
      <c r="BJ547" s="692" t="n"/>
      <c r="BK547" s="692" t="n"/>
      <c r="BL547" s="692" t="n"/>
      <c r="BM547" s="692" t="n"/>
      <c r="BN547" s="692" t="n"/>
      <c r="BO547" s="692" t="n"/>
      <c r="BP547" s="692" t="n"/>
      <c r="BQ547" s="692" t="n"/>
    </row>
    <row r="548">
      <c r="A548" s="218" t="n"/>
      <c r="B548" s="215" t="n"/>
      <c r="C548" s="215" t="n"/>
      <c r="D548" s="215" t="n"/>
      <c r="E548" s="219" t="n"/>
      <c r="F548" s="215" t="n"/>
      <c r="G548" s="215" t="n"/>
      <c r="H548" s="215" t="n"/>
      <c r="I548" s="215" t="n"/>
      <c r="J548" s="215" t="n"/>
      <c r="K548" s="215" t="n"/>
      <c r="L548" s="217" t="n"/>
      <c r="M548" s="689" t="n"/>
      <c r="N548" s="689" t="n"/>
      <c r="O548" s="689" t="n"/>
      <c r="P548" s="227" t="n"/>
      <c r="Q548" s="689" t="n"/>
      <c r="R548" s="689" t="n"/>
      <c r="S548" s="689" t="n"/>
      <c r="T548" s="689" t="n"/>
      <c r="U548" s="689" t="n"/>
      <c r="V548" s="689" t="n"/>
      <c r="W548" s="689" t="n"/>
      <c r="X548" s="689" t="n"/>
      <c r="Y548" s="689" t="n"/>
      <c r="Z548" s="689" t="n"/>
      <c r="AA548" s="689" t="n"/>
      <c r="AB548" s="689" t="n"/>
      <c r="AC548" s="689" t="n"/>
      <c r="AD548" s="689" t="n"/>
      <c r="AF548" s="236" t="n"/>
      <c r="AG548" s="236" t="n"/>
      <c r="AH548" s="236" t="n"/>
      <c r="AI548" s="236" t="n"/>
      <c r="AJ548" s="236" t="n"/>
      <c r="AK548" s="236" t="n"/>
      <c r="AL548" s="236" t="n"/>
      <c r="AM548" s="236" t="n"/>
      <c r="AN548" s="236" t="n"/>
      <c r="AO548" s="236" t="n"/>
      <c r="AP548" s="236" t="n"/>
      <c r="AQ548" s="236" t="n"/>
      <c r="AR548" s="236" t="n"/>
      <c r="AS548" s="236" t="n"/>
      <c r="AT548" s="236" t="n"/>
      <c r="AU548" s="236" t="n"/>
      <c r="AV548" s="236" t="n"/>
      <c r="AW548" s="236" t="n"/>
      <c r="AX548" s="692" t="n"/>
      <c r="AY548" s="692" t="n"/>
      <c r="AZ548" s="692" t="n"/>
      <c r="BA548" s="692" t="n"/>
      <c r="BB548" s="692" t="n"/>
      <c r="BC548" s="692" t="n"/>
      <c r="BD548" s="692" t="n"/>
      <c r="BE548" s="692" t="n"/>
      <c r="BF548" s="692" t="n"/>
      <c r="BG548" s="692" t="n"/>
      <c r="BH548" s="692" t="n"/>
      <c r="BI548" s="692" t="n"/>
      <c r="BJ548" s="692" t="n"/>
      <c r="BK548" s="692" t="n"/>
      <c r="BL548" s="692" t="n"/>
      <c r="BM548" s="692" t="n"/>
      <c r="BN548" s="692" t="n"/>
      <c r="BO548" s="692" t="n"/>
      <c r="BP548" s="692" t="n"/>
      <c r="BQ548" s="692" t="n"/>
    </row>
    <row r="549">
      <c r="A549" s="220" t="n"/>
      <c r="B549" s="211" t="n"/>
      <c r="C549" s="211" t="n"/>
      <c r="D549" s="211" t="n"/>
      <c r="E549" s="221" t="n"/>
      <c r="F549" s="211" t="n"/>
      <c r="G549" s="211" t="n"/>
      <c r="H549" s="211" t="n"/>
      <c r="I549" s="211" t="n"/>
      <c r="J549" s="211" t="n"/>
      <c r="K549" s="211" t="n"/>
      <c r="L549" s="213" t="n"/>
      <c r="M549" s="689" t="n"/>
      <c r="N549" s="689" t="n"/>
      <c r="O549" s="689" t="n"/>
      <c r="P549" s="227" t="n"/>
      <c r="Q549" s="689" t="n"/>
      <c r="R549" s="689" t="n"/>
      <c r="S549" s="689" t="n"/>
      <c r="T549" s="689" t="n"/>
      <c r="U549" s="689" t="n"/>
      <c r="V549" s="689" t="n"/>
      <c r="W549" s="689" t="n"/>
      <c r="X549" s="689" t="n"/>
      <c r="Y549" s="689" t="n"/>
      <c r="Z549" s="689" t="n"/>
      <c r="AA549" s="689" t="n"/>
      <c r="AB549" s="689" t="n"/>
      <c r="AC549" s="689" t="n"/>
      <c r="AD549" s="689" t="n"/>
      <c r="AF549" s="236" t="n"/>
      <c r="AG549" s="236" t="n"/>
      <c r="AH549" s="236" t="n"/>
      <c r="AI549" s="236" t="n"/>
      <c r="AJ549" s="236" t="n"/>
      <c r="AK549" s="236" t="n"/>
      <c r="AL549" s="236" t="n"/>
      <c r="AM549" s="236" t="n"/>
      <c r="AN549" s="236" t="n"/>
      <c r="AO549" s="236" t="n"/>
      <c r="AP549" s="236" t="n"/>
      <c r="AQ549" s="236" t="n"/>
      <c r="AR549" s="236" t="n"/>
      <c r="AS549" s="236" t="n"/>
      <c r="AT549" s="236" t="n"/>
      <c r="AU549" s="236" t="n"/>
      <c r="AV549" s="236" t="n"/>
      <c r="AW549" s="236" t="n"/>
      <c r="AX549" s="692" t="n"/>
      <c r="AY549" s="692" t="n"/>
      <c r="AZ549" s="692" t="n"/>
      <c r="BA549" s="692" t="n"/>
      <c r="BB549" s="692" t="n"/>
      <c r="BC549" s="692" t="n"/>
      <c r="BD549" s="692" t="n"/>
      <c r="BE549" s="692" t="n"/>
      <c r="BF549" s="692" t="n"/>
      <c r="BG549" s="692" t="n"/>
      <c r="BH549" s="692" t="n"/>
      <c r="BI549" s="692" t="n"/>
      <c r="BJ549" s="692" t="n"/>
      <c r="BK549" s="692" t="n"/>
      <c r="BL549" s="692" t="n"/>
      <c r="BM549" s="692" t="n"/>
      <c r="BN549" s="692" t="n"/>
      <c r="BO549" s="692" t="n"/>
      <c r="BP549" s="692" t="n"/>
      <c r="BQ549" s="692" t="n"/>
    </row>
    <row r="550">
      <c r="A550" s="218" t="n"/>
      <c r="B550" s="215" t="n"/>
      <c r="C550" s="215" t="n"/>
      <c r="D550" s="215" t="n"/>
      <c r="E550" s="219" t="n"/>
      <c r="F550" s="215" t="n"/>
      <c r="G550" s="215" t="n"/>
      <c r="H550" s="215" t="n"/>
      <c r="I550" s="215" t="n"/>
      <c r="J550" s="215" t="n"/>
      <c r="K550" s="215" t="n"/>
      <c r="L550" s="217" t="n"/>
      <c r="M550" s="689" t="n"/>
      <c r="N550" s="689" t="n"/>
      <c r="O550" s="689" t="n"/>
      <c r="P550" s="227" t="n"/>
      <c r="Q550" s="689" t="n"/>
      <c r="R550" s="689" t="n"/>
      <c r="S550" s="689" t="n"/>
      <c r="T550" s="689" t="n"/>
      <c r="U550" s="689" t="n"/>
      <c r="V550" s="689" t="n"/>
      <c r="W550" s="689" t="n"/>
      <c r="X550" s="689" t="n"/>
      <c r="Y550" s="689" t="n"/>
      <c r="Z550" s="689" t="n"/>
      <c r="AA550" s="689" t="n"/>
      <c r="AB550" s="689" t="n"/>
      <c r="AC550" s="689" t="n"/>
      <c r="AD550" s="689" t="n"/>
      <c r="AF550" s="236" t="n"/>
      <c r="AG550" s="236" t="n"/>
      <c r="AH550" s="236" t="n"/>
      <c r="AI550" s="236" t="n"/>
      <c r="AJ550" s="236" t="n"/>
      <c r="AK550" s="236" t="n"/>
      <c r="AL550" s="236" t="n"/>
      <c r="AM550" s="236" t="n"/>
      <c r="AN550" s="236" t="n"/>
      <c r="AO550" s="236" t="n"/>
      <c r="AP550" s="236" t="n"/>
      <c r="AQ550" s="236" t="n"/>
      <c r="AR550" s="236" t="n"/>
      <c r="AS550" s="236" t="n"/>
      <c r="AT550" s="236" t="n"/>
      <c r="AU550" s="236" t="n"/>
      <c r="AV550" s="236" t="n"/>
      <c r="AW550" s="236" t="n"/>
      <c r="AX550" s="692" t="n"/>
      <c r="AY550" s="692" t="n"/>
      <c r="AZ550" s="692" t="n"/>
      <c r="BA550" s="692" t="n"/>
      <c r="BB550" s="692" t="n"/>
      <c r="BC550" s="692" t="n"/>
      <c r="BD550" s="692" t="n"/>
      <c r="BE550" s="692" t="n"/>
      <c r="BF550" s="692" t="n"/>
      <c r="BG550" s="692" t="n"/>
      <c r="BH550" s="692" t="n"/>
      <c r="BI550" s="692" t="n"/>
      <c r="BJ550" s="692" t="n"/>
      <c r="BK550" s="692" t="n"/>
      <c r="BL550" s="692" t="n"/>
      <c r="BM550" s="692" t="n"/>
      <c r="BN550" s="692" t="n"/>
      <c r="BO550" s="692" t="n"/>
      <c r="BP550" s="692" t="n"/>
      <c r="BQ550" s="692" t="n"/>
    </row>
    <row r="551">
      <c r="A551" s="220" t="n"/>
      <c r="B551" s="211" t="n"/>
      <c r="C551" s="211" t="n"/>
      <c r="D551" s="211" t="n"/>
      <c r="E551" s="221" t="n"/>
      <c r="F551" s="211" t="n"/>
      <c r="G551" s="211" t="n"/>
      <c r="H551" s="211" t="n"/>
      <c r="I551" s="211" t="n"/>
      <c r="J551" s="211" t="n"/>
      <c r="K551" s="211" t="n"/>
      <c r="L551" s="213" t="n"/>
      <c r="M551" s="689" t="n"/>
      <c r="N551" s="689" t="n"/>
      <c r="O551" s="689" t="n"/>
      <c r="P551" s="227" t="n"/>
      <c r="Q551" s="689" t="n"/>
      <c r="R551" s="689" t="n"/>
      <c r="S551" s="689" t="n"/>
      <c r="T551" s="689" t="n"/>
      <c r="U551" s="689" t="n"/>
      <c r="V551" s="689" t="n"/>
      <c r="W551" s="689" t="n"/>
      <c r="X551" s="689" t="n"/>
      <c r="Y551" s="689" t="n"/>
      <c r="Z551" s="689" t="n"/>
      <c r="AA551" s="689" t="n"/>
      <c r="AB551" s="689" t="n"/>
      <c r="AC551" s="689" t="n"/>
      <c r="AD551" s="689" t="n"/>
      <c r="AF551" s="236" t="n"/>
      <c r="AG551" s="236" t="n"/>
      <c r="AH551" s="236" t="n"/>
      <c r="AI551" s="236" t="n"/>
      <c r="AJ551" s="236" t="n"/>
      <c r="AK551" s="236" t="n"/>
      <c r="AL551" s="236" t="n"/>
      <c r="AM551" s="236" t="n"/>
      <c r="AN551" s="236" t="n"/>
      <c r="AO551" s="236" t="n"/>
      <c r="AP551" s="236" t="n"/>
      <c r="AQ551" s="236" t="n"/>
      <c r="AR551" s="236" t="n"/>
      <c r="AS551" s="236" t="n"/>
      <c r="AT551" s="236" t="n"/>
      <c r="AU551" s="236" t="n"/>
      <c r="AV551" s="236" t="n"/>
      <c r="AW551" s="236" t="n"/>
      <c r="AX551" s="692" t="n"/>
      <c r="AY551" s="692" t="n"/>
      <c r="AZ551" s="692" t="n"/>
      <c r="BA551" s="692" t="n"/>
      <c r="BB551" s="692" t="n"/>
      <c r="BC551" s="692" t="n"/>
      <c r="BD551" s="692" t="n"/>
      <c r="BE551" s="692" t="n"/>
      <c r="BF551" s="692" t="n"/>
      <c r="BG551" s="692" t="n"/>
      <c r="BH551" s="692" t="n"/>
      <c r="BI551" s="692" t="n"/>
      <c r="BJ551" s="692" t="n"/>
      <c r="BK551" s="692" t="n"/>
      <c r="BL551" s="692" t="n"/>
      <c r="BM551" s="692" t="n"/>
      <c r="BN551" s="692" t="n"/>
      <c r="BO551" s="692" t="n"/>
      <c r="BP551" s="692" t="n"/>
      <c r="BQ551" s="692" t="n"/>
    </row>
    <row r="552">
      <c r="A552" s="218" t="n"/>
      <c r="B552" s="215" t="n"/>
      <c r="C552" s="215" t="n"/>
      <c r="D552" s="215" t="n"/>
      <c r="E552" s="219" t="n"/>
      <c r="F552" s="215" t="n"/>
      <c r="G552" s="215" t="n"/>
      <c r="H552" s="215" t="n"/>
      <c r="I552" s="215" t="n"/>
      <c r="J552" s="215" t="n"/>
      <c r="K552" s="215" t="n"/>
      <c r="L552" s="217" t="n"/>
      <c r="M552" s="689" t="n"/>
      <c r="N552" s="689" t="n"/>
      <c r="O552" s="689" t="n"/>
      <c r="P552" s="227" t="n"/>
      <c r="Q552" s="689" t="n"/>
      <c r="R552" s="689" t="n"/>
      <c r="S552" s="689" t="n"/>
      <c r="T552" s="689" t="n"/>
      <c r="U552" s="689" t="n"/>
      <c r="V552" s="689" t="n"/>
      <c r="W552" s="689" t="n"/>
      <c r="X552" s="689" t="n"/>
      <c r="Y552" s="689" t="n"/>
      <c r="Z552" s="689" t="n"/>
      <c r="AA552" s="689" t="n"/>
      <c r="AB552" s="689" t="n"/>
      <c r="AC552" s="689" t="n"/>
      <c r="AD552" s="689" t="n"/>
      <c r="AF552" s="236" t="n"/>
      <c r="AG552" s="236" t="n"/>
      <c r="AH552" s="236" t="n"/>
      <c r="AI552" s="236" t="n"/>
      <c r="AJ552" s="236" t="n"/>
      <c r="AK552" s="236" t="n"/>
      <c r="AL552" s="236" t="n"/>
      <c r="AM552" s="236" t="n"/>
      <c r="AN552" s="236" t="n"/>
      <c r="AO552" s="236" t="n"/>
      <c r="AP552" s="236" t="n"/>
      <c r="AQ552" s="236" t="n"/>
      <c r="AR552" s="236" t="n"/>
      <c r="AS552" s="236" t="n"/>
      <c r="AT552" s="236" t="n"/>
      <c r="AU552" s="236" t="n"/>
      <c r="AV552" s="236" t="n"/>
      <c r="AW552" s="236" t="n"/>
      <c r="AX552" s="692" t="n"/>
      <c r="AY552" s="692" t="n"/>
      <c r="AZ552" s="692" t="n"/>
      <c r="BA552" s="692" t="n"/>
      <c r="BB552" s="692" t="n"/>
      <c r="BC552" s="692" t="n"/>
      <c r="BD552" s="692" t="n"/>
      <c r="BE552" s="692" t="n"/>
      <c r="BF552" s="692" t="n"/>
      <c r="BG552" s="692" t="n"/>
      <c r="BH552" s="692" t="n"/>
      <c r="BI552" s="692" t="n"/>
      <c r="BJ552" s="692" t="n"/>
      <c r="BK552" s="692" t="n"/>
      <c r="BL552" s="692" t="n"/>
      <c r="BM552" s="692" t="n"/>
      <c r="BN552" s="692" t="n"/>
      <c r="BO552" s="692" t="n"/>
      <c r="BP552" s="692" t="n"/>
      <c r="BQ552" s="692" t="n"/>
    </row>
    <row r="553">
      <c r="A553" s="220" t="n"/>
      <c r="B553" s="211" t="n"/>
      <c r="C553" s="211" t="n"/>
      <c r="D553" s="211" t="n"/>
      <c r="E553" s="221" t="n"/>
      <c r="F553" s="211" t="n"/>
      <c r="G553" s="211" t="n"/>
      <c r="H553" s="211" t="n"/>
      <c r="I553" s="211" t="n"/>
      <c r="J553" s="211" t="n"/>
      <c r="K553" s="211" t="n"/>
      <c r="L553" s="213" t="n"/>
      <c r="M553" s="689" t="n"/>
      <c r="N553" s="689" t="n"/>
      <c r="O553" s="689" t="n"/>
      <c r="P553" s="227" t="n"/>
      <c r="Q553" s="689" t="n"/>
      <c r="R553" s="689" t="n"/>
      <c r="S553" s="689" t="n"/>
      <c r="T553" s="689" t="n"/>
      <c r="U553" s="689" t="n"/>
      <c r="V553" s="689" t="n"/>
      <c r="W553" s="689" t="n"/>
      <c r="X553" s="689" t="n"/>
      <c r="Y553" s="689" t="n"/>
      <c r="Z553" s="689" t="n"/>
      <c r="AA553" s="689" t="n"/>
      <c r="AB553" s="689" t="n"/>
      <c r="AC553" s="689" t="n"/>
      <c r="AD553" s="689" t="n"/>
      <c r="AF553" s="236" t="n"/>
      <c r="AG553" s="236" t="n"/>
      <c r="AH553" s="236" t="n"/>
      <c r="AI553" s="236" t="n"/>
      <c r="AJ553" s="236" t="n"/>
      <c r="AK553" s="236" t="n"/>
      <c r="AL553" s="236" t="n"/>
      <c r="AM553" s="236" t="n"/>
      <c r="AN553" s="236" t="n"/>
      <c r="AO553" s="236" t="n"/>
      <c r="AP553" s="236" t="n"/>
      <c r="AQ553" s="236" t="n"/>
      <c r="AR553" s="236" t="n"/>
      <c r="AS553" s="236" t="n"/>
      <c r="AT553" s="236" t="n"/>
      <c r="AU553" s="236" t="n"/>
      <c r="AV553" s="236" t="n"/>
      <c r="AW553" s="236" t="n"/>
      <c r="AX553" s="692" t="n"/>
      <c r="AY553" s="692" t="n"/>
      <c r="AZ553" s="692" t="n"/>
      <c r="BA553" s="692" t="n"/>
      <c r="BB553" s="692" t="n"/>
      <c r="BC553" s="692" t="n"/>
      <c r="BD553" s="692" t="n"/>
      <c r="BE553" s="692" t="n"/>
      <c r="BF553" s="692" t="n"/>
      <c r="BG553" s="692" t="n"/>
      <c r="BH553" s="692" t="n"/>
      <c r="BI553" s="692" t="n"/>
      <c r="BJ553" s="692" t="n"/>
      <c r="BK553" s="692" t="n"/>
      <c r="BL553" s="692" t="n"/>
      <c r="BM553" s="692" t="n"/>
      <c r="BN553" s="692" t="n"/>
      <c r="BO553" s="692" t="n"/>
      <c r="BP553" s="692" t="n"/>
      <c r="BQ553" s="692" t="n"/>
    </row>
    <row r="554">
      <c r="A554" s="218" t="n"/>
      <c r="B554" s="215" t="n"/>
      <c r="C554" s="215" t="n"/>
      <c r="D554" s="215" t="n"/>
      <c r="E554" s="219" t="n"/>
      <c r="F554" s="215" t="n"/>
      <c r="G554" s="215" t="n"/>
      <c r="H554" s="215" t="n"/>
      <c r="I554" s="215" t="n"/>
      <c r="J554" s="215" t="n"/>
      <c r="K554" s="215" t="n"/>
      <c r="L554" s="217" t="n"/>
      <c r="M554" s="689" t="n"/>
      <c r="N554" s="689" t="n"/>
      <c r="O554" s="689" t="n"/>
      <c r="P554" s="227" t="n"/>
      <c r="Q554" s="689" t="n"/>
      <c r="R554" s="689" t="n"/>
      <c r="S554" s="689" t="n"/>
      <c r="T554" s="689" t="n"/>
      <c r="U554" s="689" t="n"/>
      <c r="V554" s="689" t="n"/>
      <c r="W554" s="689" t="n"/>
      <c r="X554" s="689" t="n"/>
      <c r="Y554" s="689" t="n"/>
      <c r="Z554" s="689" t="n"/>
      <c r="AA554" s="689" t="n"/>
      <c r="AB554" s="689" t="n"/>
      <c r="AC554" s="689" t="n"/>
      <c r="AD554" s="689" t="n"/>
      <c r="AF554" s="236" t="n"/>
      <c r="AG554" s="236" t="n"/>
      <c r="AH554" s="236" t="n"/>
      <c r="AI554" s="236" t="n"/>
      <c r="AJ554" s="236" t="n"/>
      <c r="AK554" s="236" t="n"/>
      <c r="AL554" s="236" t="n"/>
      <c r="AM554" s="236" t="n"/>
      <c r="AN554" s="236" t="n"/>
      <c r="AO554" s="236" t="n"/>
      <c r="AP554" s="236" t="n"/>
      <c r="AQ554" s="236" t="n"/>
      <c r="AR554" s="236" t="n"/>
      <c r="AS554" s="236" t="n"/>
      <c r="AT554" s="236" t="n"/>
      <c r="AU554" s="236" t="n"/>
      <c r="AV554" s="236" t="n"/>
      <c r="AW554" s="236" t="n"/>
      <c r="AX554" s="692" t="n"/>
      <c r="AY554" s="692" t="n"/>
      <c r="AZ554" s="692" t="n"/>
      <c r="BA554" s="692" t="n"/>
      <c r="BB554" s="692" t="n"/>
      <c r="BC554" s="692" t="n"/>
      <c r="BD554" s="692" t="n"/>
      <c r="BE554" s="692" t="n"/>
      <c r="BF554" s="692" t="n"/>
      <c r="BG554" s="692" t="n"/>
      <c r="BH554" s="692" t="n"/>
      <c r="BI554" s="692" t="n"/>
      <c r="BJ554" s="692" t="n"/>
      <c r="BK554" s="692" t="n"/>
      <c r="BL554" s="692" t="n"/>
      <c r="BM554" s="692" t="n"/>
      <c r="BN554" s="692" t="n"/>
      <c r="BO554" s="692" t="n"/>
      <c r="BP554" s="692" t="n"/>
      <c r="BQ554" s="692" t="n"/>
    </row>
    <row r="555">
      <c r="A555" s="220" t="n"/>
      <c r="B555" s="211" t="n"/>
      <c r="C555" s="211" t="n"/>
      <c r="D555" s="211" t="n"/>
      <c r="E555" s="221" t="n"/>
      <c r="F555" s="211" t="n"/>
      <c r="G555" s="211" t="n"/>
      <c r="H555" s="211" t="n"/>
      <c r="I555" s="211" t="n"/>
      <c r="J555" s="211" t="n"/>
      <c r="K555" s="211" t="n"/>
      <c r="L555" s="213" t="n"/>
      <c r="M555" s="689" t="n"/>
      <c r="N555" s="689" t="n"/>
      <c r="O555" s="689" t="n"/>
      <c r="P555" s="227" t="n"/>
      <c r="Q555" s="689" t="n"/>
      <c r="R555" s="689" t="n"/>
      <c r="S555" s="689" t="n"/>
      <c r="T555" s="689" t="n"/>
      <c r="U555" s="689" t="n"/>
      <c r="V555" s="689" t="n"/>
      <c r="W555" s="689" t="n"/>
      <c r="X555" s="689" t="n"/>
      <c r="Y555" s="689" t="n"/>
      <c r="Z555" s="689" t="n"/>
      <c r="AA555" s="689" t="n"/>
      <c r="AB555" s="689" t="n"/>
      <c r="AC555" s="689" t="n"/>
      <c r="AD555" s="689" t="n"/>
      <c r="AF555" s="236" t="n"/>
      <c r="AG555" s="236" t="n"/>
      <c r="AH555" s="236" t="n"/>
      <c r="AI555" s="236" t="n"/>
      <c r="AJ555" s="236" t="n"/>
      <c r="AK555" s="236" t="n"/>
      <c r="AL555" s="236" t="n"/>
      <c r="AM555" s="236" t="n"/>
      <c r="AN555" s="236" t="n"/>
      <c r="AO555" s="236" t="n"/>
      <c r="AP555" s="236" t="n"/>
      <c r="AQ555" s="236" t="n"/>
      <c r="AR555" s="236" t="n"/>
      <c r="AS555" s="236" t="n"/>
      <c r="AT555" s="236" t="n"/>
      <c r="AU555" s="236" t="n"/>
      <c r="AV555" s="236" t="n"/>
      <c r="AW555" s="236" t="n"/>
      <c r="AX555" s="692" t="n"/>
      <c r="AY555" s="692" t="n"/>
      <c r="AZ555" s="692" t="n"/>
      <c r="BA555" s="692" t="n"/>
      <c r="BB555" s="692" t="n"/>
      <c r="BC555" s="692" t="n"/>
      <c r="BD555" s="692" t="n"/>
      <c r="BE555" s="692" t="n"/>
      <c r="BF555" s="692" t="n"/>
      <c r="BG555" s="692" t="n"/>
      <c r="BH555" s="692" t="n"/>
      <c r="BI555" s="692" t="n"/>
      <c r="BJ555" s="692" t="n"/>
      <c r="BK555" s="692" t="n"/>
      <c r="BL555" s="692" t="n"/>
      <c r="BM555" s="692" t="n"/>
      <c r="BN555" s="692" t="n"/>
      <c r="BO555" s="692" t="n"/>
      <c r="BP555" s="692" t="n"/>
      <c r="BQ555" s="692" t="n"/>
    </row>
    <row r="556">
      <c r="A556" s="218" t="n"/>
      <c r="B556" s="215" t="n"/>
      <c r="C556" s="215" t="n"/>
      <c r="D556" s="215" t="n"/>
      <c r="E556" s="219" t="n"/>
      <c r="F556" s="215" t="n"/>
      <c r="G556" s="215" t="n"/>
      <c r="H556" s="215" t="n"/>
      <c r="I556" s="215" t="n"/>
      <c r="J556" s="215" t="n"/>
      <c r="K556" s="215" t="n"/>
      <c r="L556" s="217" t="n"/>
      <c r="M556" s="689" t="n"/>
      <c r="N556" s="689" t="n"/>
      <c r="O556" s="689" t="n"/>
      <c r="P556" s="227" t="n"/>
      <c r="Q556" s="689" t="n"/>
      <c r="R556" s="689" t="n"/>
      <c r="S556" s="689" t="n"/>
      <c r="T556" s="689" t="n"/>
      <c r="U556" s="689" t="n"/>
      <c r="V556" s="689" t="n"/>
      <c r="W556" s="689" t="n"/>
      <c r="X556" s="689" t="n"/>
      <c r="Y556" s="689" t="n"/>
      <c r="Z556" s="689" t="n"/>
      <c r="AA556" s="689" t="n"/>
      <c r="AB556" s="689" t="n"/>
      <c r="AC556" s="689" t="n"/>
      <c r="AD556" s="689" t="n"/>
      <c r="AF556" s="236" t="n"/>
      <c r="AG556" s="236" t="n"/>
      <c r="AH556" s="236" t="n"/>
      <c r="AI556" s="236" t="n"/>
      <c r="AJ556" s="236" t="n"/>
      <c r="AK556" s="236" t="n"/>
      <c r="AL556" s="236" t="n"/>
      <c r="AM556" s="236" t="n"/>
      <c r="AN556" s="236" t="n"/>
      <c r="AO556" s="236" t="n"/>
      <c r="AP556" s="236" t="n"/>
      <c r="AQ556" s="236" t="n"/>
      <c r="AR556" s="236" t="n"/>
      <c r="AS556" s="236" t="n"/>
      <c r="AT556" s="236" t="n"/>
      <c r="AU556" s="236" t="n"/>
      <c r="AV556" s="236" t="n"/>
      <c r="AW556" s="236" t="n"/>
      <c r="AX556" s="692" t="n"/>
      <c r="AY556" s="692" t="n"/>
      <c r="AZ556" s="692" t="n"/>
      <c r="BA556" s="692" t="n"/>
      <c r="BB556" s="692" t="n"/>
      <c r="BC556" s="692" t="n"/>
      <c r="BD556" s="692" t="n"/>
      <c r="BE556" s="692" t="n"/>
      <c r="BF556" s="692" t="n"/>
      <c r="BG556" s="692" t="n"/>
      <c r="BH556" s="692" t="n"/>
      <c r="BI556" s="692" t="n"/>
      <c r="BJ556" s="692" t="n"/>
      <c r="BK556" s="692" t="n"/>
      <c r="BL556" s="692" t="n"/>
      <c r="BM556" s="692" t="n"/>
      <c r="BN556" s="692" t="n"/>
      <c r="BO556" s="692" t="n"/>
      <c r="BP556" s="692" t="n"/>
      <c r="BQ556" s="692" t="n"/>
    </row>
    <row r="557">
      <c r="A557" s="220" t="n"/>
      <c r="B557" s="211" t="n"/>
      <c r="C557" s="211" t="n"/>
      <c r="D557" s="211" t="n"/>
      <c r="E557" s="221" t="n"/>
      <c r="F557" s="211" t="n"/>
      <c r="G557" s="211" t="n"/>
      <c r="H557" s="211" t="n"/>
      <c r="I557" s="211" t="n"/>
      <c r="J557" s="211" t="n"/>
      <c r="K557" s="211" t="n"/>
      <c r="L557" s="213" t="n"/>
      <c r="M557" s="689" t="n"/>
      <c r="N557" s="689" t="n"/>
      <c r="O557" s="689" t="n"/>
      <c r="P557" s="227" t="n"/>
      <c r="Q557" s="689" t="n"/>
      <c r="R557" s="689" t="n"/>
      <c r="S557" s="689" t="n"/>
      <c r="T557" s="689" t="n"/>
      <c r="U557" s="689" t="n"/>
      <c r="V557" s="689" t="n"/>
      <c r="W557" s="689" t="n"/>
      <c r="X557" s="689" t="n"/>
      <c r="Y557" s="689" t="n"/>
      <c r="Z557" s="689" t="n"/>
      <c r="AA557" s="689" t="n"/>
      <c r="AB557" s="689" t="n"/>
      <c r="AC557" s="689" t="n"/>
      <c r="AD557" s="689" t="n"/>
      <c r="AF557" s="236" t="n"/>
      <c r="AG557" s="236" t="n"/>
      <c r="AH557" s="236" t="n"/>
      <c r="AI557" s="236" t="n"/>
      <c r="AJ557" s="236" t="n"/>
      <c r="AK557" s="236" t="n"/>
      <c r="AL557" s="236" t="n"/>
      <c r="AM557" s="236" t="n"/>
      <c r="AN557" s="236" t="n"/>
      <c r="AO557" s="236" t="n"/>
      <c r="AP557" s="236" t="n"/>
      <c r="AQ557" s="236" t="n"/>
      <c r="AR557" s="236" t="n"/>
      <c r="AS557" s="236" t="n"/>
      <c r="AT557" s="236" t="n"/>
      <c r="AU557" s="236" t="n"/>
      <c r="AV557" s="236" t="n"/>
      <c r="AW557" s="236" t="n"/>
      <c r="AX557" s="692" t="n"/>
      <c r="AY557" s="692" t="n"/>
      <c r="AZ557" s="692" t="n"/>
      <c r="BA557" s="692" t="n"/>
      <c r="BB557" s="692" t="n"/>
      <c r="BC557" s="692" t="n"/>
      <c r="BD557" s="692" t="n"/>
      <c r="BE557" s="692" t="n"/>
      <c r="BF557" s="692" t="n"/>
      <c r="BG557" s="692" t="n"/>
      <c r="BH557" s="692" t="n"/>
      <c r="BI557" s="692" t="n"/>
      <c r="BJ557" s="692" t="n"/>
      <c r="BK557" s="692" t="n"/>
      <c r="BL557" s="692" t="n"/>
      <c r="BM557" s="692" t="n"/>
      <c r="BN557" s="692" t="n"/>
      <c r="BO557" s="692" t="n"/>
      <c r="BP557" s="692" t="n"/>
      <c r="BQ557" s="692" t="n"/>
    </row>
    <row r="558">
      <c r="A558" s="218" t="n"/>
      <c r="B558" s="215" t="n"/>
      <c r="C558" s="215" t="n"/>
      <c r="D558" s="215" t="n"/>
      <c r="E558" s="219" t="n"/>
      <c r="F558" s="215" t="n"/>
      <c r="G558" s="215" t="n"/>
      <c r="H558" s="215" t="n"/>
      <c r="I558" s="215" t="n"/>
      <c r="J558" s="215" t="n"/>
      <c r="K558" s="215" t="n"/>
      <c r="L558" s="217" t="n"/>
      <c r="M558" s="689" t="n"/>
      <c r="N558" s="689" t="n"/>
      <c r="O558" s="689" t="n"/>
      <c r="P558" s="227" t="n"/>
      <c r="Q558" s="689" t="n"/>
      <c r="R558" s="689" t="n"/>
      <c r="S558" s="689" t="n"/>
      <c r="T558" s="689" t="n"/>
      <c r="U558" s="689" t="n"/>
      <c r="V558" s="689" t="n"/>
      <c r="W558" s="689" t="n"/>
      <c r="X558" s="689" t="n"/>
      <c r="Y558" s="689" t="n"/>
      <c r="Z558" s="689" t="n"/>
      <c r="AA558" s="689" t="n"/>
      <c r="AB558" s="689" t="n"/>
      <c r="AC558" s="689" t="n"/>
      <c r="AD558" s="689" t="n"/>
      <c r="AF558" s="236" t="n"/>
      <c r="AG558" s="236" t="n"/>
      <c r="AH558" s="236" t="n"/>
      <c r="AI558" s="236" t="n"/>
      <c r="AJ558" s="236" t="n"/>
      <c r="AK558" s="236" t="n"/>
      <c r="AL558" s="236" t="n"/>
      <c r="AM558" s="236" t="n"/>
      <c r="AN558" s="236" t="n"/>
      <c r="AO558" s="236" t="n"/>
      <c r="AP558" s="236" t="n"/>
      <c r="AQ558" s="236" t="n"/>
      <c r="AR558" s="236" t="n"/>
      <c r="AS558" s="236" t="n"/>
      <c r="AT558" s="236" t="n"/>
      <c r="AU558" s="236" t="n"/>
      <c r="AV558" s="236" t="n"/>
      <c r="AW558" s="236" t="n"/>
      <c r="AX558" s="692" t="n"/>
      <c r="AY558" s="692" t="n"/>
      <c r="AZ558" s="692" t="n"/>
      <c r="BA558" s="692" t="n"/>
      <c r="BB558" s="692" t="n"/>
      <c r="BC558" s="692" t="n"/>
      <c r="BD558" s="692" t="n"/>
      <c r="BE558" s="692" t="n"/>
      <c r="BF558" s="692" t="n"/>
      <c r="BG558" s="692" t="n"/>
      <c r="BH558" s="692" t="n"/>
      <c r="BI558" s="692" t="n"/>
      <c r="BJ558" s="692" t="n"/>
      <c r="BK558" s="692" t="n"/>
      <c r="BL558" s="692" t="n"/>
      <c r="BM558" s="692" t="n"/>
      <c r="BN558" s="692" t="n"/>
      <c r="BO558" s="692" t="n"/>
      <c r="BP558" s="692" t="n"/>
      <c r="BQ558" s="692" t="n"/>
    </row>
    <row r="559">
      <c r="A559" s="220" t="n"/>
      <c r="B559" s="211" t="n"/>
      <c r="C559" s="211" t="n"/>
      <c r="D559" s="211" t="n"/>
      <c r="E559" s="221" t="n"/>
      <c r="F559" s="211" t="n"/>
      <c r="G559" s="211" t="n"/>
      <c r="H559" s="211" t="n"/>
      <c r="I559" s="211" t="n"/>
      <c r="J559" s="211" t="n"/>
      <c r="K559" s="211" t="n"/>
      <c r="L559" s="213" t="n"/>
      <c r="M559" s="689" t="n"/>
      <c r="N559" s="689" t="n"/>
      <c r="O559" s="689" t="n"/>
      <c r="P559" s="227" t="n"/>
      <c r="Q559" s="689" t="n"/>
      <c r="R559" s="689" t="n"/>
      <c r="S559" s="689" t="n"/>
      <c r="T559" s="689" t="n"/>
      <c r="U559" s="689" t="n"/>
      <c r="V559" s="689" t="n"/>
      <c r="W559" s="689" t="n"/>
      <c r="X559" s="689" t="n"/>
      <c r="Y559" s="689" t="n"/>
      <c r="Z559" s="689" t="n"/>
      <c r="AA559" s="689" t="n"/>
      <c r="AB559" s="689" t="n"/>
      <c r="AC559" s="689" t="n"/>
      <c r="AD559" s="689" t="n"/>
      <c r="AF559" s="236" t="n"/>
      <c r="AG559" s="236" t="n"/>
      <c r="AH559" s="236" t="n"/>
      <c r="AI559" s="236" t="n"/>
      <c r="AJ559" s="236" t="n"/>
      <c r="AK559" s="236" t="n"/>
      <c r="AL559" s="236" t="n"/>
      <c r="AM559" s="236" t="n"/>
      <c r="AN559" s="236" t="n"/>
      <c r="AO559" s="236" t="n"/>
      <c r="AP559" s="236" t="n"/>
      <c r="AQ559" s="236" t="n"/>
      <c r="AR559" s="236" t="n"/>
      <c r="AS559" s="236" t="n"/>
      <c r="AT559" s="236" t="n"/>
      <c r="AU559" s="236" t="n"/>
      <c r="AV559" s="236" t="n"/>
      <c r="AW559" s="236" t="n"/>
      <c r="AX559" s="692" t="n"/>
      <c r="AY559" s="692" t="n"/>
      <c r="AZ559" s="692" t="n"/>
      <c r="BA559" s="692" t="n"/>
      <c r="BB559" s="692" t="n"/>
      <c r="BC559" s="692" t="n"/>
      <c r="BD559" s="692" t="n"/>
      <c r="BE559" s="692" t="n"/>
      <c r="BF559" s="692" t="n"/>
      <c r="BG559" s="692" t="n"/>
      <c r="BH559" s="692" t="n"/>
      <c r="BI559" s="692" t="n"/>
      <c r="BJ559" s="692" t="n"/>
      <c r="BK559" s="692" t="n"/>
      <c r="BL559" s="692" t="n"/>
      <c r="BM559" s="692" t="n"/>
      <c r="BN559" s="692" t="n"/>
      <c r="BO559" s="692" t="n"/>
      <c r="BP559" s="692" t="n"/>
      <c r="BQ559" s="692" t="n"/>
    </row>
    <row r="560">
      <c r="A560" s="218" t="n"/>
      <c r="B560" s="215" t="n"/>
      <c r="C560" s="215" t="n"/>
      <c r="D560" s="215" t="n"/>
      <c r="E560" s="219" t="n"/>
      <c r="F560" s="215" t="n"/>
      <c r="G560" s="215" t="n"/>
      <c r="H560" s="215" t="n"/>
      <c r="I560" s="215" t="n"/>
      <c r="J560" s="215" t="n"/>
      <c r="K560" s="215" t="n"/>
      <c r="L560" s="217" t="n"/>
      <c r="M560" s="689" t="n"/>
      <c r="N560" s="689" t="n"/>
      <c r="O560" s="689" t="n"/>
      <c r="P560" s="227" t="n"/>
      <c r="Q560" s="689" t="n"/>
      <c r="R560" s="689" t="n"/>
      <c r="S560" s="689" t="n"/>
      <c r="T560" s="689" t="n"/>
      <c r="U560" s="689" t="n"/>
      <c r="V560" s="689" t="n"/>
      <c r="W560" s="689" t="n"/>
      <c r="X560" s="689" t="n"/>
      <c r="Y560" s="689" t="n"/>
      <c r="Z560" s="689" t="n"/>
      <c r="AA560" s="689" t="n"/>
      <c r="AB560" s="689" t="n"/>
      <c r="AC560" s="689" t="n"/>
      <c r="AD560" s="689" t="n"/>
      <c r="AF560" s="236" t="n"/>
      <c r="AG560" s="236" t="n"/>
      <c r="AH560" s="236" t="n"/>
      <c r="AI560" s="236" t="n"/>
      <c r="AJ560" s="236" t="n"/>
      <c r="AK560" s="236" t="n"/>
      <c r="AL560" s="236" t="n"/>
      <c r="AM560" s="236" t="n"/>
      <c r="AN560" s="236" t="n"/>
      <c r="AO560" s="236" t="n"/>
      <c r="AP560" s="236" t="n"/>
      <c r="AQ560" s="236" t="n"/>
      <c r="AR560" s="236" t="n"/>
      <c r="AS560" s="236" t="n"/>
      <c r="AT560" s="236" t="n"/>
      <c r="AU560" s="236" t="n"/>
      <c r="AV560" s="236" t="n"/>
      <c r="AW560" s="236" t="n"/>
      <c r="AX560" s="692" t="n"/>
      <c r="AY560" s="692" t="n"/>
      <c r="AZ560" s="692" t="n"/>
      <c r="BA560" s="692" t="n"/>
      <c r="BB560" s="692" t="n"/>
      <c r="BC560" s="692" t="n"/>
      <c r="BD560" s="692" t="n"/>
      <c r="BE560" s="692" t="n"/>
      <c r="BF560" s="692" t="n"/>
      <c r="BG560" s="692" t="n"/>
      <c r="BH560" s="692" t="n"/>
      <c r="BI560" s="692" t="n"/>
      <c r="BJ560" s="692" t="n"/>
      <c r="BK560" s="692" t="n"/>
      <c r="BL560" s="692" t="n"/>
      <c r="BM560" s="692" t="n"/>
      <c r="BN560" s="692" t="n"/>
      <c r="BO560" s="692" t="n"/>
      <c r="BP560" s="692" t="n"/>
      <c r="BQ560" s="692" t="n"/>
    </row>
    <row r="561">
      <c r="A561" s="220" t="n"/>
      <c r="B561" s="211" t="n"/>
      <c r="C561" s="211" t="n"/>
      <c r="D561" s="211" t="n"/>
      <c r="E561" s="221" t="n"/>
      <c r="F561" s="211" t="n"/>
      <c r="G561" s="211" t="n"/>
      <c r="H561" s="211" t="n"/>
      <c r="I561" s="211" t="n"/>
      <c r="J561" s="211" t="n"/>
      <c r="K561" s="211" t="n"/>
      <c r="L561" s="213" t="n"/>
      <c r="M561" s="689" t="n"/>
      <c r="N561" s="689" t="n"/>
      <c r="O561" s="689" t="n"/>
      <c r="P561" s="227" t="n"/>
      <c r="Q561" s="689" t="n"/>
      <c r="R561" s="689" t="n"/>
      <c r="S561" s="689" t="n"/>
      <c r="T561" s="689" t="n"/>
      <c r="U561" s="689" t="n"/>
      <c r="V561" s="689" t="n"/>
      <c r="W561" s="689" t="n"/>
      <c r="X561" s="689" t="n"/>
      <c r="Y561" s="689" t="n"/>
      <c r="Z561" s="689" t="n"/>
      <c r="AA561" s="689" t="n"/>
      <c r="AB561" s="689" t="n"/>
      <c r="AC561" s="689" t="n"/>
      <c r="AD561" s="689" t="n"/>
      <c r="AF561" s="236" t="n"/>
      <c r="AG561" s="236" t="n"/>
      <c r="AH561" s="236" t="n"/>
      <c r="AI561" s="236" t="n"/>
      <c r="AJ561" s="236" t="n"/>
      <c r="AK561" s="236" t="n"/>
      <c r="AL561" s="236" t="n"/>
      <c r="AM561" s="236" t="n"/>
      <c r="AN561" s="236" t="n"/>
      <c r="AO561" s="236" t="n"/>
      <c r="AP561" s="236" t="n"/>
      <c r="AQ561" s="236" t="n"/>
      <c r="AR561" s="236" t="n"/>
      <c r="AS561" s="236" t="n"/>
      <c r="AT561" s="236" t="n"/>
      <c r="AU561" s="236" t="n"/>
      <c r="AV561" s="236" t="n"/>
      <c r="AW561" s="236" t="n"/>
      <c r="AX561" s="692" t="n"/>
      <c r="AY561" s="692" t="n"/>
      <c r="AZ561" s="692" t="n"/>
      <c r="BA561" s="692" t="n"/>
      <c r="BB561" s="692" t="n"/>
      <c r="BC561" s="692" t="n"/>
      <c r="BD561" s="692" t="n"/>
      <c r="BE561" s="692" t="n"/>
      <c r="BF561" s="692" t="n"/>
      <c r="BG561" s="692" t="n"/>
      <c r="BH561" s="692" t="n"/>
      <c r="BI561" s="692" t="n"/>
      <c r="BJ561" s="692" t="n"/>
      <c r="BK561" s="692" t="n"/>
      <c r="BL561" s="692" t="n"/>
      <c r="BM561" s="692" t="n"/>
      <c r="BN561" s="692" t="n"/>
      <c r="BO561" s="692" t="n"/>
      <c r="BP561" s="692" t="n"/>
      <c r="BQ561" s="692" t="n"/>
    </row>
    <row r="562">
      <c r="A562" s="218" t="n"/>
      <c r="B562" s="215" t="n"/>
      <c r="C562" s="215" t="n"/>
      <c r="D562" s="215" t="n"/>
      <c r="E562" s="219" t="n"/>
      <c r="F562" s="215" t="n"/>
      <c r="G562" s="215" t="n"/>
      <c r="H562" s="215" t="n"/>
      <c r="I562" s="215" t="n"/>
      <c r="J562" s="215" t="n"/>
      <c r="K562" s="215" t="n"/>
      <c r="L562" s="217" t="n"/>
      <c r="M562" s="689" t="n"/>
      <c r="N562" s="689" t="n"/>
      <c r="O562" s="689" t="n"/>
      <c r="P562" s="227" t="n"/>
      <c r="Q562" s="689" t="n"/>
      <c r="R562" s="689" t="n"/>
      <c r="S562" s="689" t="n"/>
      <c r="T562" s="689" t="n"/>
      <c r="U562" s="689" t="n"/>
      <c r="V562" s="689" t="n"/>
      <c r="W562" s="689" t="n"/>
      <c r="X562" s="689" t="n"/>
      <c r="Y562" s="689" t="n"/>
      <c r="Z562" s="689" t="n"/>
      <c r="AA562" s="689" t="n"/>
      <c r="AB562" s="689" t="n"/>
      <c r="AC562" s="689" t="n"/>
      <c r="AD562" s="689" t="n"/>
      <c r="AF562" s="236" t="n"/>
      <c r="AG562" s="236" t="n"/>
      <c r="AH562" s="236" t="n"/>
      <c r="AI562" s="236" t="n"/>
      <c r="AJ562" s="236" t="n"/>
      <c r="AK562" s="236" t="n"/>
      <c r="AL562" s="236" t="n"/>
      <c r="AM562" s="236" t="n"/>
      <c r="AN562" s="236" t="n"/>
      <c r="AO562" s="236" t="n"/>
      <c r="AP562" s="236" t="n"/>
      <c r="AQ562" s="236" t="n"/>
      <c r="AR562" s="236" t="n"/>
      <c r="AS562" s="236" t="n"/>
      <c r="AT562" s="236" t="n"/>
      <c r="AU562" s="236" t="n"/>
      <c r="AV562" s="236" t="n"/>
      <c r="AW562" s="236" t="n"/>
      <c r="AX562" s="692" t="n"/>
      <c r="AY562" s="692" t="n"/>
      <c r="AZ562" s="692" t="n"/>
      <c r="BA562" s="692" t="n"/>
      <c r="BB562" s="692" t="n"/>
      <c r="BC562" s="692" t="n"/>
      <c r="BD562" s="692" t="n"/>
      <c r="BE562" s="692" t="n"/>
      <c r="BF562" s="692" t="n"/>
      <c r="BG562" s="692" t="n"/>
      <c r="BH562" s="692" t="n"/>
      <c r="BI562" s="692" t="n"/>
      <c r="BJ562" s="692" t="n"/>
      <c r="BK562" s="692" t="n"/>
      <c r="BL562" s="692" t="n"/>
      <c r="BM562" s="692" t="n"/>
      <c r="BN562" s="692" t="n"/>
      <c r="BO562" s="692" t="n"/>
      <c r="BP562" s="692" t="n"/>
      <c r="BQ562" s="692" t="n"/>
    </row>
    <row r="563">
      <c r="A563" s="220" t="n"/>
      <c r="B563" s="211" t="n"/>
      <c r="C563" s="211" t="n"/>
      <c r="D563" s="211" t="n"/>
      <c r="E563" s="221" t="n"/>
      <c r="F563" s="211" t="n"/>
      <c r="G563" s="211" t="n"/>
      <c r="H563" s="211" t="n"/>
      <c r="I563" s="211" t="n"/>
      <c r="J563" s="211" t="n"/>
      <c r="K563" s="211" t="n"/>
      <c r="L563" s="213" t="n"/>
      <c r="M563" s="689" t="n"/>
      <c r="N563" s="689" t="n"/>
      <c r="O563" s="689" t="n"/>
      <c r="P563" s="227" t="n"/>
      <c r="Q563" s="689" t="n"/>
      <c r="R563" s="689" t="n"/>
      <c r="S563" s="689" t="n"/>
      <c r="T563" s="689" t="n"/>
      <c r="U563" s="689" t="n"/>
      <c r="V563" s="689" t="n"/>
      <c r="W563" s="689" t="n"/>
      <c r="X563" s="689" t="n"/>
      <c r="Y563" s="689" t="n"/>
      <c r="Z563" s="689" t="n"/>
      <c r="AA563" s="689" t="n"/>
      <c r="AB563" s="689" t="n"/>
      <c r="AC563" s="689" t="n"/>
      <c r="AD563" s="689" t="n"/>
      <c r="AF563" s="236" t="n"/>
      <c r="AG563" s="236" t="n"/>
      <c r="AH563" s="236" t="n"/>
      <c r="AI563" s="236" t="n"/>
      <c r="AJ563" s="236" t="n"/>
      <c r="AK563" s="236" t="n"/>
      <c r="AL563" s="236" t="n"/>
      <c r="AM563" s="236" t="n"/>
      <c r="AN563" s="236" t="n"/>
      <c r="AO563" s="236" t="n"/>
      <c r="AP563" s="236" t="n"/>
      <c r="AQ563" s="236" t="n"/>
      <c r="AR563" s="236" t="n"/>
      <c r="AS563" s="236" t="n"/>
      <c r="AT563" s="236" t="n"/>
      <c r="AU563" s="236" t="n"/>
      <c r="AV563" s="236" t="n"/>
      <c r="AW563" s="236" t="n"/>
      <c r="AX563" s="692" t="n"/>
      <c r="AY563" s="692" t="n"/>
      <c r="AZ563" s="692" t="n"/>
      <c r="BA563" s="692" t="n"/>
      <c r="BB563" s="692" t="n"/>
      <c r="BC563" s="692" t="n"/>
      <c r="BD563" s="692" t="n"/>
      <c r="BE563" s="692" t="n"/>
      <c r="BF563" s="692" t="n"/>
      <c r="BG563" s="692" t="n"/>
      <c r="BH563" s="692" t="n"/>
      <c r="BI563" s="692" t="n"/>
      <c r="BJ563" s="692" t="n"/>
      <c r="BK563" s="692" t="n"/>
      <c r="BL563" s="692" t="n"/>
      <c r="BM563" s="692" t="n"/>
      <c r="BN563" s="692" t="n"/>
      <c r="BO563" s="692" t="n"/>
      <c r="BP563" s="692" t="n"/>
      <c r="BQ563" s="692" t="n"/>
    </row>
    <row r="564">
      <c r="A564" s="218" t="n"/>
      <c r="B564" s="215" t="n"/>
      <c r="C564" s="215" t="n"/>
      <c r="D564" s="215" t="n"/>
      <c r="E564" s="219" t="n"/>
      <c r="F564" s="215" t="n"/>
      <c r="G564" s="215" t="n"/>
      <c r="H564" s="215" t="n"/>
      <c r="I564" s="215" t="n"/>
      <c r="J564" s="215" t="n"/>
      <c r="K564" s="215" t="n"/>
      <c r="L564" s="217" t="n"/>
      <c r="M564" s="689" t="n"/>
      <c r="N564" s="689" t="n"/>
      <c r="O564" s="689" t="n"/>
      <c r="P564" s="227" t="n"/>
      <c r="Q564" s="689" t="n"/>
      <c r="R564" s="689" t="n"/>
      <c r="S564" s="689" t="n"/>
      <c r="T564" s="689" t="n"/>
      <c r="U564" s="689" t="n"/>
      <c r="V564" s="689" t="n"/>
      <c r="W564" s="689" t="n"/>
      <c r="X564" s="689" t="n"/>
      <c r="Y564" s="689" t="n"/>
      <c r="Z564" s="689" t="n"/>
      <c r="AA564" s="689" t="n"/>
      <c r="AB564" s="689" t="n"/>
      <c r="AC564" s="689" t="n"/>
      <c r="AD564" s="689" t="n"/>
      <c r="AF564" s="236" t="n"/>
      <c r="AG564" s="236" t="n"/>
      <c r="AH564" s="236" t="n"/>
      <c r="AI564" s="236" t="n"/>
      <c r="AJ564" s="236" t="n"/>
      <c r="AK564" s="236" t="n"/>
      <c r="AL564" s="236" t="n"/>
      <c r="AM564" s="236" t="n"/>
      <c r="AN564" s="236" t="n"/>
      <c r="AO564" s="236" t="n"/>
      <c r="AP564" s="236" t="n"/>
      <c r="AQ564" s="236" t="n"/>
      <c r="AR564" s="236" t="n"/>
      <c r="AS564" s="236" t="n"/>
      <c r="AT564" s="236" t="n"/>
      <c r="AU564" s="236" t="n"/>
      <c r="AV564" s="236" t="n"/>
      <c r="AW564" s="236" t="n"/>
      <c r="AX564" s="692" t="n"/>
      <c r="AY564" s="692" t="n"/>
      <c r="AZ564" s="692" t="n"/>
      <c r="BA564" s="692" t="n"/>
      <c r="BB564" s="692" t="n"/>
      <c r="BC564" s="692" t="n"/>
      <c r="BD564" s="692" t="n"/>
      <c r="BE564" s="692" t="n"/>
      <c r="BF564" s="692" t="n"/>
      <c r="BG564" s="692" t="n"/>
      <c r="BH564" s="692" t="n"/>
      <c r="BI564" s="692" t="n"/>
      <c r="BJ564" s="692" t="n"/>
      <c r="BK564" s="692" t="n"/>
      <c r="BL564" s="692" t="n"/>
      <c r="BM564" s="692" t="n"/>
      <c r="BN564" s="692" t="n"/>
      <c r="BO564" s="692" t="n"/>
      <c r="BP564" s="692" t="n"/>
      <c r="BQ564" s="692" t="n"/>
    </row>
    <row r="565">
      <c r="A565" s="220" t="n"/>
      <c r="B565" s="211" t="n"/>
      <c r="C565" s="211" t="n"/>
      <c r="D565" s="211" t="n"/>
      <c r="E565" s="221" t="n"/>
      <c r="F565" s="211" t="n"/>
      <c r="G565" s="211" t="n"/>
      <c r="H565" s="211" t="n"/>
      <c r="I565" s="211" t="n"/>
      <c r="J565" s="211" t="n"/>
      <c r="K565" s="211" t="n"/>
      <c r="L565" s="213" t="n"/>
      <c r="M565" s="689" t="n"/>
      <c r="N565" s="689" t="n"/>
      <c r="O565" s="689" t="n"/>
      <c r="P565" s="227" t="n"/>
      <c r="Q565" s="689" t="n"/>
      <c r="R565" s="689" t="n"/>
      <c r="S565" s="689" t="n"/>
      <c r="T565" s="689" t="n"/>
      <c r="U565" s="689" t="n"/>
      <c r="V565" s="689" t="n"/>
      <c r="W565" s="689" t="n"/>
      <c r="X565" s="689" t="n"/>
      <c r="Y565" s="689" t="n"/>
      <c r="Z565" s="689" t="n"/>
      <c r="AA565" s="689" t="n"/>
      <c r="AB565" s="689" t="n"/>
      <c r="AC565" s="689" t="n"/>
      <c r="AD565" s="689" t="n"/>
      <c r="AF565" s="236" t="n"/>
      <c r="AG565" s="236" t="n"/>
      <c r="AH565" s="236" t="n"/>
      <c r="AI565" s="236" t="n"/>
      <c r="AJ565" s="236" t="n"/>
      <c r="AK565" s="236" t="n"/>
      <c r="AL565" s="236" t="n"/>
      <c r="AM565" s="236" t="n"/>
      <c r="AN565" s="236" t="n"/>
      <c r="AO565" s="236" t="n"/>
      <c r="AP565" s="236" t="n"/>
      <c r="AQ565" s="236" t="n"/>
      <c r="AR565" s="236" t="n"/>
      <c r="AS565" s="236" t="n"/>
      <c r="AT565" s="236" t="n"/>
      <c r="AU565" s="236" t="n"/>
      <c r="AV565" s="236" t="n"/>
      <c r="AW565" s="236" t="n"/>
      <c r="AX565" s="692" t="n"/>
      <c r="AY565" s="692" t="n"/>
      <c r="AZ565" s="692" t="n"/>
      <c r="BA565" s="692" t="n"/>
      <c r="BB565" s="692" t="n"/>
      <c r="BC565" s="692" t="n"/>
      <c r="BD565" s="692" t="n"/>
      <c r="BE565" s="692" t="n"/>
      <c r="BF565" s="692" t="n"/>
      <c r="BG565" s="692" t="n"/>
      <c r="BH565" s="692" t="n"/>
      <c r="BI565" s="692" t="n"/>
      <c r="BJ565" s="692" t="n"/>
      <c r="BK565" s="692" t="n"/>
      <c r="BL565" s="692" t="n"/>
      <c r="BM565" s="692" t="n"/>
      <c r="BN565" s="692" t="n"/>
      <c r="BO565" s="692" t="n"/>
      <c r="BP565" s="692" t="n"/>
      <c r="BQ565" s="692" t="n"/>
    </row>
    <row r="566">
      <c r="A566" s="218" t="n"/>
      <c r="B566" s="215" t="n"/>
      <c r="C566" s="215" t="n"/>
      <c r="D566" s="215" t="n"/>
      <c r="E566" s="219" t="n"/>
      <c r="F566" s="215" t="n"/>
      <c r="G566" s="215" t="n"/>
      <c r="H566" s="215" t="n"/>
      <c r="I566" s="215" t="n"/>
      <c r="J566" s="215" t="n"/>
      <c r="K566" s="215" t="n"/>
      <c r="L566" s="217" t="n"/>
      <c r="M566" s="689" t="n"/>
      <c r="N566" s="689" t="n"/>
      <c r="O566" s="689" t="n"/>
      <c r="P566" s="227" t="n"/>
      <c r="Q566" s="689" t="n"/>
      <c r="R566" s="689" t="n"/>
      <c r="S566" s="689" t="n"/>
      <c r="T566" s="689" t="n"/>
      <c r="U566" s="689" t="n"/>
      <c r="V566" s="689" t="n"/>
      <c r="W566" s="689" t="n"/>
      <c r="X566" s="689" t="n"/>
      <c r="Y566" s="689" t="n"/>
      <c r="Z566" s="689" t="n"/>
      <c r="AA566" s="689" t="n"/>
      <c r="AB566" s="689" t="n"/>
      <c r="AC566" s="689" t="n"/>
      <c r="AD566" s="689" t="n"/>
      <c r="AF566" s="236" t="n"/>
      <c r="AG566" s="236" t="n"/>
      <c r="AH566" s="236" t="n"/>
      <c r="AI566" s="236" t="n"/>
      <c r="AJ566" s="236" t="n"/>
      <c r="AK566" s="236" t="n"/>
      <c r="AL566" s="236" t="n"/>
      <c r="AM566" s="236" t="n"/>
      <c r="AN566" s="236" t="n"/>
      <c r="AO566" s="236" t="n"/>
      <c r="AP566" s="236" t="n"/>
      <c r="AQ566" s="236" t="n"/>
      <c r="AR566" s="236" t="n"/>
      <c r="AS566" s="236" t="n"/>
      <c r="AT566" s="236" t="n"/>
      <c r="AU566" s="236" t="n"/>
      <c r="AV566" s="236" t="n"/>
      <c r="AW566" s="236" t="n"/>
      <c r="AX566" s="692" t="n"/>
      <c r="AY566" s="692" t="n"/>
      <c r="AZ566" s="692" t="n"/>
      <c r="BA566" s="692" t="n"/>
      <c r="BB566" s="692" t="n"/>
      <c r="BC566" s="692" t="n"/>
      <c r="BD566" s="692" t="n"/>
      <c r="BE566" s="692" t="n"/>
      <c r="BF566" s="692" t="n"/>
      <c r="BG566" s="692" t="n"/>
      <c r="BH566" s="692" t="n"/>
      <c r="BI566" s="692" t="n"/>
      <c r="BJ566" s="692" t="n"/>
      <c r="BK566" s="692" t="n"/>
      <c r="BL566" s="692" t="n"/>
      <c r="BM566" s="692" t="n"/>
      <c r="BN566" s="692" t="n"/>
      <c r="BO566" s="692" t="n"/>
      <c r="BP566" s="692" t="n"/>
      <c r="BQ566" s="692" t="n"/>
    </row>
    <row r="567">
      <c r="A567" s="220" t="n"/>
      <c r="B567" s="211" t="n"/>
      <c r="C567" s="211" t="n"/>
      <c r="D567" s="211" t="n"/>
      <c r="E567" s="221" t="n"/>
      <c r="F567" s="211" t="n"/>
      <c r="G567" s="211" t="n"/>
      <c r="H567" s="211" t="n"/>
      <c r="I567" s="211" t="n"/>
      <c r="J567" s="211" t="n"/>
      <c r="K567" s="211" t="n"/>
      <c r="L567" s="213" t="n"/>
      <c r="M567" s="689" t="n"/>
      <c r="N567" s="689" t="n"/>
      <c r="O567" s="689" t="n"/>
      <c r="P567" s="227" t="n"/>
      <c r="Q567" s="689" t="n"/>
      <c r="R567" s="689" t="n"/>
      <c r="S567" s="689" t="n"/>
      <c r="T567" s="689" t="n"/>
      <c r="U567" s="689" t="n"/>
      <c r="V567" s="689" t="n"/>
      <c r="W567" s="689" t="n"/>
      <c r="X567" s="689" t="n"/>
      <c r="Y567" s="689" t="n"/>
      <c r="Z567" s="689" t="n"/>
      <c r="AA567" s="689" t="n"/>
      <c r="AB567" s="689" t="n"/>
      <c r="AC567" s="689" t="n"/>
      <c r="AD567" s="689" t="n"/>
      <c r="AF567" s="236" t="n"/>
      <c r="AG567" s="236" t="n"/>
      <c r="AH567" s="236" t="n"/>
      <c r="AI567" s="236" t="n"/>
      <c r="AJ567" s="236" t="n"/>
      <c r="AK567" s="236" t="n"/>
      <c r="AL567" s="236" t="n"/>
      <c r="AM567" s="236" t="n"/>
      <c r="AN567" s="236" t="n"/>
      <c r="AO567" s="236" t="n"/>
      <c r="AP567" s="236" t="n"/>
      <c r="AQ567" s="236" t="n"/>
      <c r="AR567" s="236" t="n"/>
      <c r="AS567" s="236" t="n"/>
      <c r="AT567" s="236" t="n"/>
      <c r="AU567" s="236" t="n"/>
      <c r="AV567" s="236" t="n"/>
      <c r="AW567" s="236" t="n"/>
      <c r="AX567" s="692" t="n"/>
      <c r="AY567" s="692" t="n"/>
      <c r="AZ567" s="692" t="n"/>
      <c r="BA567" s="692" t="n"/>
      <c r="BB567" s="692" t="n"/>
      <c r="BC567" s="692" t="n"/>
      <c r="BD567" s="692" t="n"/>
      <c r="BE567" s="692" t="n"/>
      <c r="BF567" s="692" t="n"/>
      <c r="BG567" s="692" t="n"/>
      <c r="BH567" s="692" t="n"/>
      <c r="BI567" s="692" t="n"/>
      <c r="BJ567" s="692" t="n"/>
      <c r="BK567" s="692" t="n"/>
      <c r="BL567" s="692" t="n"/>
      <c r="BM567" s="692" t="n"/>
      <c r="BN567" s="692" t="n"/>
      <c r="BO567" s="692" t="n"/>
      <c r="BP567" s="692" t="n"/>
      <c r="BQ567" s="692" t="n"/>
    </row>
    <row r="568">
      <c r="A568" s="218" t="n"/>
      <c r="B568" s="215" t="n"/>
      <c r="C568" s="215" t="n"/>
      <c r="D568" s="215" t="n"/>
      <c r="E568" s="219" t="n"/>
      <c r="F568" s="215" t="n"/>
      <c r="G568" s="215" t="n"/>
      <c r="H568" s="215" t="n"/>
      <c r="I568" s="215" t="n"/>
      <c r="J568" s="215" t="n"/>
      <c r="K568" s="215" t="n"/>
      <c r="L568" s="217" t="n"/>
      <c r="M568" s="689" t="n"/>
      <c r="N568" s="689" t="n"/>
      <c r="O568" s="689" t="n"/>
      <c r="P568" s="227" t="n"/>
      <c r="Q568" s="689" t="n"/>
      <c r="R568" s="689" t="n"/>
      <c r="S568" s="689" t="n"/>
      <c r="T568" s="689" t="n"/>
      <c r="U568" s="689" t="n"/>
      <c r="V568" s="689" t="n"/>
      <c r="W568" s="689" t="n"/>
      <c r="X568" s="689" t="n"/>
      <c r="Y568" s="689" t="n"/>
      <c r="Z568" s="689" t="n"/>
      <c r="AA568" s="689" t="n"/>
      <c r="AB568" s="689" t="n"/>
      <c r="AC568" s="689" t="n"/>
      <c r="AD568" s="689" t="n"/>
      <c r="AF568" s="236" t="n"/>
      <c r="AG568" s="236" t="n"/>
      <c r="AH568" s="236" t="n"/>
      <c r="AI568" s="236" t="n"/>
      <c r="AJ568" s="236" t="n"/>
      <c r="AK568" s="236" t="n"/>
      <c r="AL568" s="236" t="n"/>
      <c r="AM568" s="236" t="n"/>
      <c r="AN568" s="236" t="n"/>
      <c r="AO568" s="236" t="n"/>
      <c r="AP568" s="236" t="n"/>
      <c r="AQ568" s="236" t="n"/>
      <c r="AR568" s="236" t="n"/>
      <c r="AS568" s="236" t="n"/>
      <c r="AT568" s="236" t="n"/>
      <c r="AU568" s="236" t="n"/>
      <c r="AV568" s="236" t="n"/>
      <c r="AW568" s="236" t="n"/>
      <c r="AX568" s="692" t="n"/>
      <c r="AY568" s="692" t="n"/>
      <c r="AZ568" s="692" t="n"/>
      <c r="BA568" s="692" t="n"/>
      <c r="BB568" s="692" t="n"/>
      <c r="BC568" s="692" t="n"/>
      <c r="BD568" s="692" t="n"/>
      <c r="BE568" s="692" t="n"/>
      <c r="BF568" s="692" t="n"/>
      <c r="BG568" s="692" t="n"/>
      <c r="BH568" s="692" t="n"/>
      <c r="BI568" s="692" t="n"/>
      <c r="BJ568" s="692" t="n"/>
      <c r="BK568" s="692" t="n"/>
      <c r="BL568" s="692" t="n"/>
      <c r="BM568" s="692" t="n"/>
      <c r="BN568" s="692" t="n"/>
      <c r="BO568" s="692" t="n"/>
      <c r="BP568" s="692" t="n"/>
      <c r="BQ568" s="692" t="n"/>
    </row>
    <row r="569">
      <c r="A569" s="220" t="n"/>
      <c r="B569" s="211" t="n"/>
      <c r="C569" s="211" t="n"/>
      <c r="D569" s="211" t="n"/>
      <c r="E569" s="221" t="n"/>
      <c r="F569" s="211" t="n"/>
      <c r="G569" s="211" t="n"/>
      <c r="H569" s="211" t="n"/>
      <c r="I569" s="211" t="n"/>
      <c r="J569" s="211" t="n"/>
      <c r="K569" s="211" t="n"/>
      <c r="L569" s="213" t="n"/>
      <c r="M569" s="689" t="n"/>
      <c r="N569" s="689" t="n"/>
      <c r="O569" s="689" t="n"/>
      <c r="P569" s="227" t="n"/>
      <c r="Q569" s="689" t="n"/>
      <c r="R569" s="689" t="n"/>
      <c r="S569" s="689" t="n"/>
      <c r="T569" s="689" t="n"/>
      <c r="U569" s="689" t="n"/>
      <c r="V569" s="689" t="n"/>
      <c r="W569" s="689" t="n"/>
      <c r="X569" s="689" t="n"/>
      <c r="Y569" s="689" t="n"/>
      <c r="Z569" s="689" t="n"/>
      <c r="AA569" s="689" t="n"/>
      <c r="AB569" s="689" t="n"/>
      <c r="AC569" s="689" t="n"/>
      <c r="AD569" s="689" t="n"/>
      <c r="AF569" s="236" t="n"/>
      <c r="AG569" s="236" t="n"/>
      <c r="AH569" s="236" t="n"/>
      <c r="AI569" s="236" t="n"/>
      <c r="AJ569" s="236" t="n"/>
      <c r="AK569" s="236" t="n"/>
      <c r="AL569" s="236" t="n"/>
      <c r="AM569" s="236" t="n"/>
      <c r="AN569" s="236" t="n"/>
      <c r="AO569" s="236" t="n"/>
      <c r="AP569" s="236" t="n"/>
      <c r="AQ569" s="236" t="n"/>
      <c r="AR569" s="236" t="n"/>
      <c r="AS569" s="236" t="n"/>
      <c r="AT569" s="236" t="n"/>
      <c r="AU569" s="236" t="n"/>
      <c r="AV569" s="236" t="n"/>
      <c r="AW569" s="236" t="n"/>
      <c r="AX569" s="692" t="n"/>
      <c r="AY569" s="692" t="n"/>
      <c r="AZ569" s="692" t="n"/>
      <c r="BA569" s="692" t="n"/>
      <c r="BB569" s="692" t="n"/>
      <c r="BC569" s="692" t="n"/>
      <c r="BD569" s="692" t="n"/>
      <c r="BE569" s="692" t="n"/>
      <c r="BF569" s="692" t="n"/>
      <c r="BG569" s="692" t="n"/>
      <c r="BH569" s="692" t="n"/>
      <c r="BI569" s="692" t="n"/>
      <c r="BJ569" s="692" t="n"/>
      <c r="BK569" s="692" t="n"/>
      <c r="BL569" s="692" t="n"/>
      <c r="BM569" s="692" t="n"/>
      <c r="BN569" s="692" t="n"/>
      <c r="BO569" s="692" t="n"/>
      <c r="BP569" s="692" t="n"/>
      <c r="BQ569" s="692" t="n"/>
    </row>
    <row r="570">
      <c r="A570" s="218" t="n"/>
      <c r="B570" s="215" t="n"/>
      <c r="C570" s="215" t="n"/>
      <c r="D570" s="215" t="n"/>
      <c r="E570" s="219" t="n"/>
      <c r="F570" s="215" t="n"/>
      <c r="G570" s="215" t="n"/>
      <c r="H570" s="215" t="n"/>
      <c r="I570" s="215" t="n"/>
      <c r="J570" s="215" t="n"/>
      <c r="K570" s="215" t="n"/>
      <c r="L570" s="217" t="n"/>
      <c r="M570" s="689" t="n"/>
      <c r="N570" s="689" t="n"/>
      <c r="O570" s="689" t="n"/>
      <c r="P570" s="227" t="n"/>
      <c r="Q570" s="689" t="n"/>
      <c r="R570" s="689" t="n"/>
      <c r="S570" s="689" t="n"/>
      <c r="T570" s="689" t="n"/>
      <c r="U570" s="689" t="n"/>
      <c r="V570" s="689" t="n"/>
      <c r="W570" s="689" t="n"/>
      <c r="X570" s="689" t="n"/>
      <c r="Y570" s="689" t="n"/>
      <c r="Z570" s="689" t="n"/>
      <c r="AA570" s="689" t="n"/>
      <c r="AB570" s="689" t="n"/>
      <c r="AC570" s="689" t="n"/>
      <c r="AD570" s="689" t="n"/>
      <c r="AF570" s="236" t="n"/>
      <c r="AG570" s="236" t="n"/>
      <c r="AH570" s="236" t="n"/>
      <c r="AI570" s="236" t="n"/>
      <c r="AJ570" s="236" t="n"/>
      <c r="AK570" s="236" t="n"/>
      <c r="AL570" s="236" t="n"/>
      <c r="AM570" s="236" t="n"/>
      <c r="AN570" s="236" t="n"/>
      <c r="AO570" s="236" t="n"/>
      <c r="AP570" s="236" t="n"/>
      <c r="AQ570" s="236" t="n"/>
      <c r="AR570" s="236" t="n"/>
      <c r="AS570" s="236" t="n"/>
      <c r="AT570" s="236" t="n"/>
      <c r="AU570" s="236" t="n"/>
      <c r="AV570" s="236" t="n"/>
      <c r="AW570" s="236" t="n"/>
      <c r="AX570" s="692" t="n"/>
      <c r="AY570" s="692" t="n"/>
      <c r="AZ570" s="692" t="n"/>
      <c r="BA570" s="692" t="n"/>
      <c r="BB570" s="692" t="n"/>
      <c r="BC570" s="692" t="n"/>
      <c r="BD570" s="692" t="n"/>
      <c r="BE570" s="692" t="n"/>
      <c r="BF570" s="692" t="n"/>
      <c r="BG570" s="692" t="n"/>
      <c r="BH570" s="692" t="n"/>
      <c r="BI570" s="692" t="n"/>
      <c r="BJ570" s="692" t="n"/>
      <c r="BK570" s="692" t="n"/>
      <c r="BL570" s="692" t="n"/>
      <c r="BM570" s="692" t="n"/>
      <c r="BN570" s="692" t="n"/>
      <c r="BO570" s="692" t="n"/>
      <c r="BP570" s="692" t="n"/>
      <c r="BQ570" s="692" t="n"/>
    </row>
    <row r="571">
      <c r="A571" s="220" t="n"/>
      <c r="B571" s="211" t="n"/>
      <c r="C571" s="211" t="n"/>
      <c r="D571" s="211" t="n"/>
      <c r="E571" s="221" t="n"/>
      <c r="F571" s="211" t="n"/>
      <c r="G571" s="211" t="n"/>
      <c r="H571" s="211" t="n"/>
      <c r="I571" s="211" t="n"/>
      <c r="J571" s="211" t="n"/>
      <c r="K571" s="211" t="n"/>
      <c r="L571" s="213" t="n"/>
      <c r="M571" s="689" t="n"/>
      <c r="N571" s="689" t="n"/>
      <c r="O571" s="689" t="n"/>
      <c r="P571" s="227" t="n"/>
      <c r="Q571" s="689" t="n"/>
      <c r="R571" s="689" t="n"/>
      <c r="S571" s="689" t="n"/>
      <c r="T571" s="689" t="n"/>
      <c r="U571" s="689" t="n"/>
      <c r="V571" s="689" t="n"/>
      <c r="W571" s="689" t="n"/>
      <c r="X571" s="689" t="n"/>
      <c r="Y571" s="689" t="n"/>
      <c r="Z571" s="689" t="n"/>
      <c r="AA571" s="689" t="n"/>
      <c r="AB571" s="689" t="n"/>
      <c r="AC571" s="689" t="n"/>
      <c r="AD571" s="689" t="n"/>
      <c r="AF571" s="236" t="n"/>
      <c r="AG571" s="236" t="n"/>
      <c r="AH571" s="236" t="n"/>
      <c r="AI571" s="236" t="n"/>
      <c r="AJ571" s="236" t="n"/>
      <c r="AK571" s="236" t="n"/>
      <c r="AL571" s="236" t="n"/>
      <c r="AM571" s="236" t="n"/>
      <c r="AN571" s="236" t="n"/>
      <c r="AO571" s="236" t="n"/>
      <c r="AP571" s="236" t="n"/>
      <c r="AQ571" s="236" t="n"/>
      <c r="AR571" s="236" t="n"/>
      <c r="AS571" s="236" t="n"/>
      <c r="AT571" s="236" t="n"/>
      <c r="AU571" s="236" t="n"/>
      <c r="AV571" s="236" t="n"/>
      <c r="AW571" s="236" t="n"/>
      <c r="AX571" s="692" t="n"/>
      <c r="AY571" s="692" t="n"/>
      <c r="AZ571" s="692" t="n"/>
      <c r="BA571" s="692" t="n"/>
      <c r="BB571" s="692" t="n"/>
      <c r="BC571" s="692" t="n"/>
      <c r="BD571" s="692" t="n"/>
      <c r="BE571" s="692" t="n"/>
      <c r="BF571" s="692" t="n"/>
      <c r="BG571" s="692" t="n"/>
      <c r="BH571" s="692" t="n"/>
      <c r="BI571" s="692" t="n"/>
      <c r="BJ571" s="692" t="n"/>
      <c r="BK571" s="692" t="n"/>
      <c r="BL571" s="692" t="n"/>
      <c r="BM571" s="692" t="n"/>
      <c r="BN571" s="692" t="n"/>
      <c r="BO571" s="692" t="n"/>
      <c r="BP571" s="692" t="n"/>
      <c r="BQ571" s="692" t="n"/>
    </row>
    <row r="572">
      <c r="A572" s="218" t="n"/>
      <c r="B572" s="215" t="n"/>
      <c r="C572" s="215" t="n"/>
      <c r="D572" s="215" t="n"/>
      <c r="E572" s="219" t="n"/>
      <c r="F572" s="215" t="n"/>
      <c r="G572" s="215" t="n"/>
      <c r="H572" s="215" t="n"/>
      <c r="I572" s="215" t="n"/>
      <c r="J572" s="215" t="n"/>
      <c r="K572" s="215" t="n"/>
      <c r="L572" s="217" t="n"/>
      <c r="M572" s="689" t="n"/>
      <c r="N572" s="689" t="n"/>
      <c r="O572" s="689" t="n"/>
      <c r="P572" s="227" t="n"/>
      <c r="Q572" s="689" t="n"/>
      <c r="R572" s="689" t="n"/>
      <c r="S572" s="689" t="n"/>
      <c r="T572" s="689" t="n"/>
      <c r="U572" s="689" t="n"/>
      <c r="V572" s="689" t="n"/>
      <c r="W572" s="689" t="n"/>
      <c r="X572" s="689" t="n"/>
      <c r="Y572" s="689" t="n"/>
      <c r="Z572" s="689" t="n"/>
      <c r="AA572" s="689" t="n"/>
      <c r="AB572" s="689" t="n"/>
      <c r="AC572" s="689" t="n"/>
      <c r="AD572" s="689" t="n"/>
      <c r="AF572" s="236" t="n"/>
      <c r="AG572" s="236" t="n"/>
      <c r="AH572" s="236" t="n"/>
      <c r="AI572" s="236" t="n"/>
      <c r="AJ572" s="236" t="n"/>
      <c r="AK572" s="236" t="n"/>
      <c r="AL572" s="236" t="n"/>
      <c r="AM572" s="236" t="n"/>
      <c r="AN572" s="236" t="n"/>
      <c r="AO572" s="236" t="n"/>
      <c r="AP572" s="236" t="n"/>
      <c r="AQ572" s="236" t="n"/>
      <c r="AR572" s="236" t="n"/>
      <c r="AS572" s="236" t="n"/>
      <c r="AT572" s="236" t="n"/>
      <c r="AU572" s="236" t="n"/>
      <c r="AV572" s="236" t="n"/>
      <c r="AW572" s="236" t="n"/>
      <c r="AX572" s="692" t="n"/>
      <c r="AY572" s="692" t="n"/>
      <c r="AZ572" s="692" t="n"/>
      <c r="BA572" s="692" t="n"/>
      <c r="BB572" s="692" t="n"/>
      <c r="BC572" s="692" t="n"/>
      <c r="BD572" s="692" t="n"/>
      <c r="BE572" s="692" t="n"/>
      <c r="BF572" s="692" t="n"/>
      <c r="BG572" s="692" t="n"/>
      <c r="BH572" s="692" t="n"/>
      <c r="BI572" s="692" t="n"/>
      <c r="BJ572" s="692" t="n"/>
      <c r="BK572" s="692" t="n"/>
      <c r="BL572" s="692" t="n"/>
      <c r="BM572" s="692" t="n"/>
      <c r="BN572" s="692" t="n"/>
      <c r="BO572" s="692" t="n"/>
      <c r="BP572" s="692" t="n"/>
      <c r="BQ572" s="692" t="n"/>
    </row>
    <row r="573">
      <c r="A573" s="220" t="n"/>
      <c r="B573" s="211" t="n"/>
      <c r="C573" s="211" t="n"/>
      <c r="D573" s="211" t="n"/>
      <c r="E573" s="221" t="n"/>
      <c r="F573" s="211" t="n"/>
      <c r="G573" s="211" t="n"/>
      <c r="H573" s="211" t="n"/>
      <c r="I573" s="211" t="n"/>
      <c r="J573" s="211" t="n"/>
      <c r="K573" s="211" t="n"/>
      <c r="L573" s="213" t="n"/>
      <c r="M573" s="689" t="n"/>
      <c r="N573" s="689" t="n"/>
      <c r="O573" s="689" t="n"/>
      <c r="P573" s="227" t="n"/>
      <c r="Q573" s="689" t="n"/>
      <c r="R573" s="689" t="n"/>
      <c r="S573" s="689" t="n"/>
      <c r="T573" s="689" t="n"/>
      <c r="U573" s="689" t="n"/>
      <c r="V573" s="689" t="n"/>
      <c r="W573" s="689" t="n"/>
      <c r="X573" s="689" t="n"/>
      <c r="Y573" s="689" t="n"/>
      <c r="Z573" s="689" t="n"/>
      <c r="AA573" s="689" t="n"/>
      <c r="AB573" s="689" t="n"/>
      <c r="AC573" s="689" t="n"/>
      <c r="AD573" s="689" t="n"/>
      <c r="AF573" s="236" t="n"/>
      <c r="AG573" s="236" t="n"/>
      <c r="AH573" s="236" t="n"/>
      <c r="AI573" s="236" t="n"/>
      <c r="AJ573" s="236" t="n"/>
      <c r="AK573" s="236" t="n"/>
      <c r="AL573" s="236" t="n"/>
      <c r="AM573" s="236" t="n"/>
      <c r="AN573" s="236" t="n"/>
      <c r="AO573" s="236" t="n"/>
      <c r="AP573" s="236" t="n"/>
      <c r="AQ573" s="236" t="n"/>
      <c r="AR573" s="236" t="n"/>
      <c r="AS573" s="236" t="n"/>
      <c r="AT573" s="236" t="n"/>
      <c r="AU573" s="236" t="n"/>
      <c r="AV573" s="236" t="n"/>
      <c r="AW573" s="236" t="n"/>
      <c r="AX573" s="692" t="n"/>
      <c r="AY573" s="692" t="n"/>
      <c r="AZ573" s="692" t="n"/>
      <c r="BA573" s="692" t="n"/>
      <c r="BB573" s="692" t="n"/>
      <c r="BC573" s="692" t="n"/>
      <c r="BD573" s="692" t="n"/>
      <c r="BE573" s="692" t="n"/>
      <c r="BF573" s="692" t="n"/>
      <c r="BG573" s="692" t="n"/>
      <c r="BH573" s="692" t="n"/>
      <c r="BI573" s="692" t="n"/>
      <c r="BJ573" s="692" t="n"/>
      <c r="BK573" s="692" t="n"/>
      <c r="BL573" s="692" t="n"/>
      <c r="BM573" s="692" t="n"/>
      <c r="BN573" s="692" t="n"/>
      <c r="BO573" s="692" t="n"/>
      <c r="BP573" s="692" t="n"/>
      <c r="BQ573" s="692" t="n"/>
    </row>
    <row r="574">
      <c r="A574" s="218" t="n"/>
      <c r="B574" s="215" t="n"/>
      <c r="C574" s="215" t="n"/>
      <c r="D574" s="215" t="n"/>
      <c r="E574" s="219" t="n"/>
      <c r="F574" s="215" t="n"/>
      <c r="G574" s="215" t="n"/>
      <c r="H574" s="215" t="n"/>
      <c r="I574" s="215" t="n"/>
      <c r="J574" s="215" t="n"/>
      <c r="K574" s="215" t="n"/>
      <c r="L574" s="217" t="n"/>
      <c r="M574" s="689" t="n"/>
      <c r="N574" s="689" t="n"/>
      <c r="O574" s="689" t="n"/>
      <c r="P574" s="227" t="n"/>
      <c r="Q574" s="689" t="n"/>
      <c r="R574" s="689" t="n"/>
      <c r="S574" s="689" t="n"/>
      <c r="T574" s="689" t="n"/>
      <c r="U574" s="689" t="n"/>
      <c r="V574" s="689" t="n"/>
      <c r="W574" s="689" t="n"/>
      <c r="X574" s="689" t="n"/>
      <c r="Y574" s="689" t="n"/>
      <c r="Z574" s="689" t="n"/>
      <c r="AA574" s="689" t="n"/>
      <c r="AB574" s="689" t="n"/>
      <c r="AC574" s="689" t="n"/>
      <c r="AD574" s="689" t="n"/>
      <c r="AF574" s="236" t="n"/>
      <c r="AG574" s="236" t="n"/>
      <c r="AH574" s="236" t="n"/>
      <c r="AI574" s="236" t="n"/>
      <c r="AJ574" s="236" t="n"/>
      <c r="AK574" s="236" t="n"/>
      <c r="AL574" s="236" t="n"/>
      <c r="AM574" s="236" t="n"/>
      <c r="AN574" s="236" t="n"/>
      <c r="AO574" s="236" t="n"/>
      <c r="AP574" s="236" t="n"/>
      <c r="AQ574" s="236" t="n"/>
      <c r="AR574" s="236" t="n"/>
      <c r="AS574" s="236" t="n"/>
      <c r="AT574" s="236" t="n"/>
      <c r="AU574" s="236" t="n"/>
      <c r="AV574" s="236" t="n"/>
      <c r="AW574" s="236" t="n"/>
      <c r="AX574" s="692" t="n"/>
      <c r="AY574" s="692" t="n"/>
      <c r="AZ574" s="692" t="n"/>
      <c r="BA574" s="692" t="n"/>
      <c r="BB574" s="692" t="n"/>
      <c r="BC574" s="692" t="n"/>
      <c r="BD574" s="692" t="n"/>
      <c r="BE574" s="692" t="n"/>
      <c r="BF574" s="692" t="n"/>
      <c r="BG574" s="692" t="n"/>
      <c r="BH574" s="692" t="n"/>
      <c r="BI574" s="692" t="n"/>
      <c r="BJ574" s="692" t="n"/>
      <c r="BK574" s="692" t="n"/>
      <c r="BL574" s="692" t="n"/>
      <c r="BM574" s="692" t="n"/>
      <c r="BN574" s="692" t="n"/>
      <c r="BO574" s="692" t="n"/>
      <c r="BP574" s="692" t="n"/>
      <c r="BQ574" s="692" t="n"/>
    </row>
    <row r="575">
      <c r="A575" s="220" t="n"/>
      <c r="B575" s="211" t="n"/>
      <c r="C575" s="211" t="n"/>
      <c r="D575" s="211" t="n"/>
      <c r="E575" s="221" t="n"/>
      <c r="F575" s="211" t="n"/>
      <c r="G575" s="211" t="n"/>
      <c r="H575" s="211" t="n"/>
      <c r="I575" s="211" t="n"/>
      <c r="J575" s="211" t="n"/>
      <c r="K575" s="211" t="n"/>
      <c r="L575" s="213" t="n"/>
      <c r="M575" s="689" t="n"/>
      <c r="N575" s="689" t="n"/>
      <c r="O575" s="689" t="n"/>
      <c r="P575" s="227" t="n"/>
      <c r="Q575" s="689" t="n"/>
      <c r="R575" s="689" t="n"/>
      <c r="S575" s="689" t="n"/>
      <c r="T575" s="689" t="n"/>
      <c r="U575" s="689" t="n"/>
      <c r="V575" s="689" t="n"/>
      <c r="W575" s="689" t="n"/>
      <c r="X575" s="689" t="n"/>
      <c r="Y575" s="689" t="n"/>
      <c r="Z575" s="689" t="n"/>
      <c r="AA575" s="689" t="n"/>
      <c r="AB575" s="689" t="n"/>
      <c r="AC575" s="689" t="n"/>
      <c r="AD575" s="689" t="n"/>
      <c r="AF575" s="236" t="n"/>
      <c r="AG575" s="236" t="n"/>
      <c r="AH575" s="236" t="n"/>
      <c r="AI575" s="236" t="n"/>
      <c r="AJ575" s="236" t="n"/>
      <c r="AK575" s="236" t="n"/>
      <c r="AL575" s="236" t="n"/>
      <c r="AM575" s="236" t="n"/>
      <c r="AN575" s="236" t="n"/>
      <c r="AO575" s="236" t="n"/>
      <c r="AP575" s="236" t="n"/>
      <c r="AQ575" s="236" t="n"/>
      <c r="AR575" s="236" t="n"/>
      <c r="AS575" s="236" t="n"/>
      <c r="AT575" s="236" t="n"/>
      <c r="AU575" s="236" t="n"/>
      <c r="AV575" s="236" t="n"/>
      <c r="AW575" s="236" t="n"/>
      <c r="AX575" s="692" t="n"/>
      <c r="AY575" s="692" t="n"/>
      <c r="AZ575" s="692" t="n"/>
      <c r="BA575" s="692" t="n"/>
      <c r="BB575" s="692" t="n"/>
      <c r="BC575" s="692" t="n"/>
      <c r="BD575" s="692" t="n"/>
      <c r="BE575" s="692" t="n"/>
      <c r="BF575" s="692" t="n"/>
      <c r="BG575" s="692" t="n"/>
      <c r="BH575" s="692" t="n"/>
      <c r="BI575" s="692" t="n"/>
      <c r="BJ575" s="692" t="n"/>
      <c r="BK575" s="692" t="n"/>
      <c r="BL575" s="692" t="n"/>
      <c r="BM575" s="692" t="n"/>
      <c r="BN575" s="692" t="n"/>
      <c r="BO575" s="692" t="n"/>
      <c r="BP575" s="692" t="n"/>
      <c r="BQ575" s="692" t="n"/>
    </row>
    <row r="576">
      <c r="A576" s="218" t="n"/>
      <c r="B576" s="215" t="n"/>
      <c r="C576" s="215" t="n"/>
      <c r="D576" s="215" t="n"/>
      <c r="E576" s="219" t="n"/>
      <c r="F576" s="215" t="n"/>
      <c r="G576" s="215" t="n"/>
      <c r="H576" s="215" t="n"/>
      <c r="I576" s="215" t="n"/>
      <c r="J576" s="215" t="n"/>
      <c r="K576" s="215" t="n"/>
      <c r="L576" s="217" t="n"/>
      <c r="M576" s="689" t="n"/>
      <c r="N576" s="689" t="n"/>
      <c r="O576" s="689" t="n"/>
      <c r="P576" s="227" t="n"/>
      <c r="Q576" s="689" t="n"/>
      <c r="R576" s="689" t="n"/>
      <c r="S576" s="689" t="n"/>
      <c r="T576" s="689" t="n"/>
      <c r="U576" s="689" t="n"/>
      <c r="V576" s="689" t="n"/>
      <c r="W576" s="689" t="n"/>
      <c r="X576" s="689" t="n"/>
      <c r="Y576" s="689" t="n"/>
      <c r="Z576" s="689" t="n"/>
      <c r="AA576" s="689" t="n"/>
      <c r="AB576" s="689" t="n"/>
      <c r="AC576" s="689" t="n"/>
      <c r="AD576" s="689" t="n"/>
      <c r="AF576" s="236" t="n"/>
      <c r="AG576" s="236" t="n"/>
      <c r="AH576" s="236" t="n"/>
      <c r="AI576" s="236" t="n"/>
      <c r="AJ576" s="236" t="n"/>
      <c r="AK576" s="236" t="n"/>
      <c r="AL576" s="236" t="n"/>
      <c r="AM576" s="236" t="n"/>
      <c r="AN576" s="236" t="n"/>
      <c r="AO576" s="236" t="n"/>
      <c r="AP576" s="236" t="n"/>
      <c r="AQ576" s="236" t="n"/>
      <c r="AR576" s="236" t="n"/>
      <c r="AS576" s="236" t="n"/>
      <c r="AT576" s="236" t="n"/>
      <c r="AU576" s="236" t="n"/>
      <c r="AV576" s="236" t="n"/>
      <c r="AW576" s="236" t="n"/>
      <c r="AX576" s="692" t="n"/>
      <c r="AY576" s="692" t="n"/>
      <c r="AZ576" s="692" t="n"/>
      <c r="BA576" s="692" t="n"/>
      <c r="BB576" s="692" t="n"/>
      <c r="BC576" s="692" t="n"/>
      <c r="BD576" s="692" t="n"/>
      <c r="BE576" s="692" t="n"/>
      <c r="BF576" s="692" t="n"/>
      <c r="BG576" s="692" t="n"/>
      <c r="BH576" s="692" t="n"/>
      <c r="BI576" s="692" t="n"/>
      <c r="BJ576" s="692" t="n"/>
      <c r="BK576" s="692" t="n"/>
      <c r="BL576" s="692" t="n"/>
      <c r="BM576" s="692" t="n"/>
      <c r="BN576" s="692" t="n"/>
      <c r="BO576" s="692" t="n"/>
      <c r="BP576" s="692" t="n"/>
      <c r="BQ576" s="692" t="n"/>
    </row>
    <row r="577">
      <c r="A577" s="220" t="n"/>
      <c r="B577" s="211" t="n"/>
      <c r="C577" s="211" t="n"/>
      <c r="D577" s="211" t="n"/>
      <c r="E577" s="221" t="n"/>
      <c r="F577" s="211" t="n"/>
      <c r="G577" s="211" t="n"/>
      <c r="H577" s="211" t="n"/>
      <c r="I577" s="211" t="n"/>
      <c r="J577" s="211" t="n"/>
      <c r="K577" s="211" t="n"/>
      <c r="L577" s="213" t="n"/>
      <c r="M577" s="689" t="n"/>
      <c r="N577" s="689" t="n"/>
      <c r="O577" s="689" t="n"/>
      <c r="P577" s="227" t="n"/>
      <c r="Q577" s="689" t="n"/>
      <c r="R577" s="689" t="n"/>
      <c r="S577" s="689" t="n"/>
      <c r="T577" s="689" t="n"/>
      <c r="U577" s="689" t="n"/>
      <c r="V577" s="689" t="n"/>
      <c r="W577" s="689" t="n"/>
      <c r="X577" s="689" t="n"/>
      <c r="Y577" s="689" t="n"/>
      <c r="Z577" s="689" t="n"/>
      <c r="AA577" s="689" t="n"/>
      <c r="AB577" s="689" t="n"/>
      <c r="AC577" s="689" t="n"/>
      <c r="AD577" s="689" t="n"/>
      <c r="AF577" s="236" t="n"/>
      <c r="AG577" s="236" t="n"/>
      <c r="AH577" s="236" t="n"/>
      <c r="AI577" s="236" t="n"/>
      <c r="AJ577" s="236" t="n"/>
      <c r="AK577" s="236" t="n"/>
      <c r="AL577" s="236" t="n"/>
      <c r="AM577" s="236" t="n"/>
      <c r="AN577" s="236" t="n"/>
      <c r="AO577" s="236" t="n"/>
      <c r="AP577" s="236" t="n"/>
      <c r="AQ577" s="236" t="n"/>
      <c r="AR577" s="236" t="n"/>
      <c r="AS577" s="236" t="n"/>
      <c r="AT577" s="236" t="n"/>
      <c r="AU577" s="236" t="n"/>
      <c r="AV577" s="236" t="n"/>
      <c r="AW577" s="236" t="n"/>
      <c r="AX577" s="692" t="n"/>
      <c r="AY577" s="692" t="n"/>
      <c r="AZ577" s="692" t="n"/>
      <c r="BA577" s="692" t="n"/>
      <c r="BB577" s="692" t="n"/>
      <c r="BC577" s="692" t="n"/>
      <c r="BD577" s="692" t="n"/>
      <c r="BE577" s="692" t="n"/>
      <c r="BF577" s="692" t="n"/>
      <c r="BG577" s="692" t="n"/>
      <c r="BH577" s="692" t="n"/>
      <c r="BI577" s="692" t="n"/>
      <c r="BJ577" s="692" t="n"/>
      <c r="BK577" s="692" t="n"/>
      <c r="BL577" s="692" t="n"/>
      <c r="BM577" s="692" t="n"/>
      <c r="BN577" s="692" t="n"/>
      <c r="BO577" s="692" t="n"/>
      <c r="BP577" s="692" t="n"/>
      <c r="BQ577" s="692" t="n"/>
    </row>
    <row r="578">
      <c r="A578" s="218" t="n"/>
      <c r="B578" s="215" t="n"/>
      <c r="C578" s="215" t="n"/>
      <c r="D578" s="215" t="n"/>
      <c r="E578" s="219" t="n"/>
      <c r="F578" s="215" t="n"/>
      <c r="G578" s="215" t="n"/>
      <c r="H578" s="215" t="n"/>
      <c r="I578" s="215" t="n"/>
      <c r="J578" s="215" t="n"/>
      <c r="K578" s="215" t="n"/>
      <c r="L578" s="217" t="n"/>
      <c r="M578" s="689" t="n"/>
      <c r="N578" s="689" t="n"/>
      <c r="O578" s="689" t="n"/>
      <c r="P578" s="227" t="n"/>
      <c r="Q578" s="689" t="n"/>
      <c r="R578" s="689" t="n"/>
      <c r="S578" s="689" t="n"/>
      <c r="T578" s="689" t="n"/>
      <c r="U578" s="689" t="n"/>
      <c r="V578" s="689" t="n"/>
      <c r="W578" s="689" t="n"/>
      <c r="X578" s="689" t="n"/>
      <c r="Y578" s="689" t="n"/>
      <c r="Z578" s="689" t="n"/>
      <c r="AA578" s="689" t="n"/>
      <c r="AB578" s="689" t="n"/>
      <c r="AC578" s="689" t="n"/>
      <c r="AD578" s="689" t="n"/>
      <c r="AF578" s="236" t="n"/>
      <c r="AG578" s="236" t="n"/>
      <c r="AH578" s="236" t="n"/>
      <c r="AI578" s="236" t="n"/>
      <c r="AJ578" s="236" t="n"/>
      <c r="AK578" s="236" t="n"/>
      <c r="AL578" s="236" t="n"/>
      <c r="AM578" s="236" t="n"/>
      <c r="AN578" s="236" t="n"/>
      <c r="AO578" s="236" t="n"/>
      <c r="AP578" s="236" t="n"/>
      <c r="AQ578" s="236" t="n"/>
      <c r="AR578" s="236" t="n"/>
      <c r="AS578" s="236" t="n"/>
      <c r="AT578" s="236" t="n"/>
      <c r="AU578" s="236" t="n"/>
      <c r="AV578" s="236" t="n"/>
      <c r="AW578" s="236" t="n"/>
      <c r="AX578" s="692" t="n"/>
      <c r="AY578" s="692" t="n"/>
      <c r="AZ578" s="692" t="n"/>
      <c r="BA578" s="692" t="n"/>
      <c r="BB578" s="692" t="n"/>
      <c r="BC578" s="692" t="n"/>
      <c r="BD578" s="692" t="n"/>
      <c r="BE578" s="692" t="n"/>
      <c r="BF578" s="692" t="n"/>
      <c r="BG578" s="692" t="n"/>
      <c r="BH578" s="692" t="n"/>
      <c r="BI578" s="692" t="n"/>
      <c r="BJ578" s="692" t="n"/>
      <c r="BK578" s="692" t="n"/>
      <c r="BL578" s="692" t="n"/>
      <c r="BM578" s="692" t="n"/>
      <c r="BN578" s="692" t="n"/>
      <c r="BO578" s="692" t="n"/>
      <c r="BP578" s="692" t="n"/>
      <c r="BQ578" s="692" t="n"/>
    </row>
    <row r="579">
      <c r="A579" s="220" t="n"/>
      <c r="B579" s="211" t="n"/>
      <c r="C579" s="211" t="n"/>
      <c r="D579" s="211" t="n"/>
      <c r="E579" s="221" t="n"/>
      <c r="F579" s="211" t="n"/>
      <c r="G579" s="211" t="n"/>
      <c r="H579" s="211" t="n"/>
      <c r="I579" s="211" t="n"/>
      <c r="J579" s="211" t="n"/>
      <c r="K579" s="211" t="n"/>
      <c r="L579" s="213" t="n"/>
      <c r="M579" s="689" t="n"/>
      <c r="N579" s="689" t="n"/>
      <c r="O579" s="689" t="n"/>
      <c r="P579" s="227" t="n"/>
      <c r="Q579" s="689" t="n"/>
      <c r="R579" s="689" t="n"/>
      <c r="S579" s="689" t="n"/>
      <c r="T579" s="689" t="n"/>
      <c r="U579" s="689" t="n"/>
      <c r="V579" s="689" t="n"/>
      <c r="W579" s="689" t="n"/>
      <c r="X579" s="689" t="n"/>
      <c r="Y579" s="689" t="n"/>
      <c r="Z579" s="689" t="n"/>
      <c r="AA579" s="689" t="n"/>
      <c r="AB579" s="689" t="n"/>
      <c r="AC579" s="689" t="n"/>
      <c r="AD579" s="689" t="n"/>
      <c r="AF579" s="236" t="n"/>
      <c r="AG579" s="236" t="n"/>
      <c r="AH579" s="236" t="n"/>
      <c r="AI579" s="236" t="n"/>
      <c r="AJ579" s="236" t="n"/>
      <c r="AK579" s="236" t="n"/>
      <c r="AL579" s="236" t="n"/>
      <c r="AM579" s="236" t="n"/>
      <c r="AN579" s="236" t="n"/>
      <c r="AO579" s="236" t="n"/>
      <c r="AP579" s="236" t="n"/>
      <c r="AQ579" s="236" t="n"/>
      <c r="AR579" s="236" t="n"/>
      <c r="AS579" s="236" t="n"/>
      <c r="AT579" s="236" t="n"/>
      <c r="AU579" s="236" t="n"/>
      <c r="AV579" s="236" t="n"/>
      <c r="AW579" s="236" t="n"/>
      <c r="AX579" s="692" t="n"/>
      <c r="AY579" s="692" t="n"/>
      <c r="AZ579" s="692" t="n"/>
      <c r="BA579" s="692" t="n"/>
      <c r="BB579" s="692" t="n"/>
      <c r="BC579" s="692" t="n"/>
      <c r="BD579" s="692" t="n"/>
      <c r="BE579" s="692" t="n"/>
      <c r="BF579" s="692" t="n"/>
      <c r="BG579" s="692" t="n"/>
      <c r="BH579" s="692" t="n"/>
      <c r="BI579" s="692" t="n"/>
      <c r="BJ579" s="692" t="n"/>
      <c r="BK579" s="692" t="n"/>
      <c r="BL579" s="692" t="n"/>
      <c r="BM579" s="692" t="n"/>
      <c r="BN579" s="692" t="n"/>
      <c r="BO579" s="692" t="n"/>
      <c r="BP579" s="692" t="n"/>
      <c r="BQ579" s="692" t="n"/>
    </row>
    <row r="580">
      <c r="A580" s="218" t="n"/>
      <c r="B580" s="215" t="n"/>
      <c r="C580" s="215" t="n"/>
      <c r="D580" s="215" t="n"/>
      <c r="E580" s="219" t="n"/>
      <c r="F580" s="215" t="n"/>
      <c r="G580" s="215" t="n"/>
      <c r="H580" s="215" t="n"/>
      <c r="I580" s="215" t="n"/>
      <c r="J580" s="215" t="n"/>
      <c r="K580" s="215" t="n"/>
      <c r="L580" s="217" t="n"/>
      <c r="M580" s="689" t="n"/>
      <c r="N580" s="689" t="n"/>
      <c r="O580" s="689" t="n"/>
      <c r="P580" s="227" t="n"/>
      <c r="Q580" s="689" t="n"/>
      <c r="R580" s="689" t="n"/>
      <c r="S580" s="689" t="n"/>
      <c r="T580" s="689" t="n"/>
      <c r="U580" s="689" t="n"/>
      <c r="V580" s="689" t="n"/>
      <c r="W580" s="689" t="n"/>
      <c r="X580" s="689" t="n"/>
      <c r="Y580" s="689" t="n"/>
      <c r="Z580" s="689" t="n"/>
      <c r="AA580" s="689" t="n"/>
      <c r="AB580" s="689" t="n"/>
      <c r="AC580" s="689" t="n"/>
      <c r="AD580" s="689" t="n"/>
      <c r="AF580" s="236" t="n"/>
      <c r="AG580" s="236" t="n"/>
      <c r="AH580" s="236" t="n"/>
      <c r="AI580" s="236" t="n"/>
      <c r="AJ580" s="236" t="n"/>
      <c r="AK580" s="236" t="n"/>
      <c r="AL580" s="236" t="n"/>
      <c r="AM580" s="236" t="n"/>
      <c r="AN580" s="236" t="n"/>
      <c r="AO580" s="236" t="n"/>
      <c r="AP580" s="236" t="n"/>
      <c r="AQ580" s="236" t="n"/>
      <c r="AR580" s="236" t="n"/>
      <c r="AS580" s="236" t="n"/>
      <c r="AT580" s="236" t="n"/>
      <c r="AU580" s="236" t="n"/>
      <c r="AV580" s="236" t="n"/>
      <c r="AW580" s="236" t="n"/>
      <c r="AX580" s="692" t="n"/>
      <c r="AY580" s="692" t="n"/>
      <c r="AZ580" s="692" t="n"/>
      <c r="BA580" s="692" t="n"/>
      <c r="BB580" s="692" t="n"/>
      <c r="BC580" s="692" t="n"/>
      <c r="BD580" s="692" t="n"/>
      <c r="BE580" s="692" t="n"/>
      <c r="BF580" s="692" t="n"/>
      <c r="BG580" s="692" t="n"/>
      <c r="BH580" s="692" t="n"/>
      <c r="BI580" s="692" t="n"/>
      <c r="BJ580" s="692" t="n"/>
      <c r="BK580" s="692" t="n"/>
      <c r="BL580" s="692" t="n"/>
      <c r="BM580" s="692" t="n"/>
      <c r="BN580" s="692" t="n"/>
      <c r="BO580" s="692" t="n"/>
      <c r="BP580" s="692" t="n"/>
      <c r="BQ580" s="692" t="n"/>
    </row>
    <row r="581">
      <c r="A581" s="220" t="n"/>
      <c r="B581" s="211" t="n"/>
      <c r="C581" s="211" t="n"/>
      <c r="D581" s="211" t="n"/>
      <c r="E581" s="221" t="n"/>
      <c r="F581" s="211" t="n"/>
      <c r="G581" s="211" t="n"/>
      <c r="H581" s="211" t="n"/>
      <c r="I581" s="211" t="n"/>
      <c r="J581" s="211" t="n"/>
      <c r="K581" s="211" t="n"/>
      <c r="L581" s="213" t="n"/>
      <c r="M581" s="689" t="n"/>
      <c r="N581" s="689" t="n"/>
      <c r="O581" s="689" t="n"/>
      <c r="P581" s="227" t="n"/>
      <c r="Q581" s="689" t="n"/>
      <c r="R581" s="689" t="n"/>
      <c r="S581" s="689" t="n"/>
      <c r="T581" s="689" t="n"/>
      <c r="U581" s="689" t="n"/>
      <c r="V581" s="689" t="n"/>
      <c r="W581" s="689" t="n"/>
      <c r="X581" s="689" t="n"/>
      <c r="Y581" s="689" t="n"/>
      <c r="Z581" s="689" t="n"/>
      <c r="AA581" s="689" t="n"/>
      <c r="AB581" s="689" t="n"/>
      <c r="AC581" s="689" t="n"/>
      <c r="AD581" s="689" t="n"/>
      <c r="AF581" s="236" t="n"/>
      <c r="AG581" s="236" t="n"/>
      <c r="AH581" s="236" t="n"/>
      <c r="AI581" s="236" t="n"/>
      <c r="AJ581" s="236" t="n"/>
      <c r="AK581" s="236" t="n"/>
      <c r="AL581" s="236" t="n"/>
      <c r="AM581" s="236" t="n"/>
      <c r="AN581" s="236" t="n"/>
      <c r="AO581" s="236" t="n"/>
      <c r="AP581" s="236" t="n"/>
      <c r="AQ581" s="236" t="n"/>
      <c r="AR581" s="236" t="n"/>
      <c r="AS581" s="236" t="n"/>
      <c r="AT581" s="236" t="n"/>
      <c r="AU581" s="236" t="n"/>
      <c r="AV581" s="236" t="n"/>
      <c r="AW581" s="236" t="n"/>
      <c r="AX581" s="692" t="n"/>
      <c r="AY581" s="692" t="n"/>
      <c r="AZ581" s="692" t="n"/>
      <c r="BA581" s="692" t="n"/>
      <c r="BB581" s="692" t="n"/>
      <c r="BC581" s="692" t="n"/>
      <c r="BD581" s="692" t="n"/>
      <c r="BE581" s="692" t="n"/>
      <c r="BF581" s="692" t="n"/>
      <c r="BG581" s="692" t="n"/>
      <c r="BH581" s="692" t="n"/>
      <c r="BI581" s="692" t="n"/>
      <c r="BJ581" s="692" t="n"/>
      <c r="BK581" s="692" t="n"/>
      <c r="BL581" s="692" t="n"/>
      <c r="BM581" s="692" t="n"/>
      <c r="BN581" s="692" t="n"/>
      <c r="BO581" s="692" t="n"/>
      <c r="BP581" s="692" t="n"/>
      <c r="BQ581" s="692" t="n"/>
    </row>
    <row r="582">
      <c r="A582" s="218" t="n"/>
      <c r="B582" s="215" t="n"/>
      <c r="C582" s="215" t="n"/>
      <c r="D582" s="215" t="n"/>
      <c r="E582" s="219" t="n"/>
      <c r="F582" s="215" t="n"/>
      <c r="G582" s="215" t="n"/>
      <c r="H582" s="215" t="n"/>
      <c r="I582" s="215" t="n"/>
      <c r="J582" s="215" t="n"/>
      <c r="K582" s="215" t="n"/>
      <c r="L582" s="217" t="n"/>
      <c r="M582" s="689" t="n"/>
      <c r="N582" s="689" t="n"/>
      <c r="O582" s="689" t="n"/>
      <c r="P582" s="227" t="n"/>
      <c r="Q582" s="689" t="n"/>
      <c r="R582" s="689" t="n"/>
      <c r="S582" s="689" t="n"/>
      <c r="T582" s="689" t="n"/>
      <c r="U582" s="689" t="n"/>
      <c r="V582" s="689" t="n"/>
      <c r="W582" s="689" t="n"/>
      <c r="X582" s="689" t="n"/>
      <c r="Y582" s="689" t="n"/>
      <c r="Z582" s="689" t="n"/>
      <c r="AA582" s="689" t="n"/>
      <c r="AB582" s="689" t="n"/>
      <c r="AC582" s="689" t="n"/>
      <c r="AD582" s="689" t="n"/>
      <c r="AF582" s="236" t="n"/>
      <c r="AG582" s="236" t="n"/>
      <c r="AH582" s="236" t="n"/>
      <c r="AI582" s="236" t="n"/>
      <c r="AJ582" s="236" t="n"/>
      <c r="AK582" s="236" t="n"/>
      <c r="AL582" s="236" t="n"/>
      <c r="AM582" s="236" t="n"/>
      <c r="AN582" s="236" t="n"/>
      <c r="AO582" s="236" t="n"/>
      <c r="AP582" s="236" t="n"/>
      <c r="AQ582" s="236" t="n"/>
      <c r="AR582" s="236" t="n"/>
      <c r="AS582" s="236" t="n"/>
      <c r="AT582" s="236" t="n"/>
      <c r="AU582" s="236" t="n"/>
      <c r="AV582" s="236" t="n"/>
      <c r="AW582" s="236" t="n"/>
      <c r="AX582" s="692" t="n"/>
      <c r="AY582" s="692" t="n"/>
      <c r="AZ582" s="692" t="n"/>
      <c r="BA582" s="692" t="n"/>
      <c r="BB582" s="692" t="n"/>
      <c r="BC582" s="692" t="n"/>
      <c r="BD582" s="692" t="n"/>
      <c r="BE582" s="692" t="n"/>
      <c r="BF582" s="692" t="n"/>
      <c r="BG582" s="692" t="n"/>
      <c r="BH582" s="692" t="n"/>
      <c r="BI582" s="692" t="n"/>
      <c r="BJ582" s="692" t="n"/>
      <c r="BK582" s="692" t="n"/>
      <c r="BL582" s="692" t="n"/>
      <c r="BM582" s="692" t="n"/>
      <c r="BN582" s="692" t="n"/>
      <c r="BO582" s="692" t="n"/>
      <c r="BP582" s="692" t="n"/>
      <c r="BQ582" s="692" t="n"/>
    </row>
    <row r="583">
      <c r="A583" s="220" t="n"/>
      <c r="B583" s="211" t="n"/>
      <c r="C583" s="211" t="n"/>
      <c r="D583" s="211" t="n"/>
      <c r="E583" s="221" t="n"/>
      <c r="F583" s="211" t="n"/>
      <c r="G583" s="211" t="n"/>
      <c r="H583" s="211" t="n"/>
      <c r="I583" s="211" t="n"/>
      <c r="J583" s="211" t="n"/>
      <c r="K583" s="211" t="n"/>
      <c r="L583" s="213" t="n"/>
      <c r="M583" s="689" t="n"/>
      <c r="N583" s="689" t="n"/>
      <c r="O583" s="689" t="n"/>
      <c r="P583" s="227" t="n"/>
      <c r="Q583" s="689" t="n"/>
      <c r="R583" s="689" t="n"/>
      <c r="S583" s="689" t="n"/>
      <c r="T583" s="689" t="n"/>
      <c r="U583" s="689" t="n"/>
      <c r="V583" s="689" t="n"/>
      <c r="W583" s="689" t="n"/>
      <c r="X583" s="689" t="n"/>
      <c r="Y583" s="689" t="n"/>
      <c r="Z583" s="689" t="n"/>
      <c r="AA583" s="689" t="n"/>
      <c r="AB583" s="689" t="n"/>
      <c r="AC583" s="689" t="n"/>
      <c r="AD583" s="689" t="n"/>
      <c r="AF583" s="236" t="n"/>
      <c r="AG583" s="236" t="n"/>
      <c r="AH583" s="236" t="n"/>
      <c r="AI583" s="236" t="n"/>
      <c r="AJ583" s="236" t="n"/>
      <c r="AK583" s="236" t="n"/>
      <c r="AL583" s="236" t="n"/>
      <c r="AM583" s="236" t="n"/>
      <c r="AN583" s="236" t="n"/>
      <c r="AO583" s="236" t="n"/>
      <c r="AP583" s="236" t="n"/>
      <c r="AQ583" s="236" t="n"/>
      <c r="AR583" s="236" t="n"/>
      <c r="AS583" s="236" t="n"/>
      <c r="AT583" s="236" t="n"/>
      <c r="AU583" s="236" t="n"/>
      <c r="AV583" s="236" t="n"/>
      <c r="AW583" s="236" t="n"/>
      <c r="AX583" s="692" t="n"/>
      <c r="AY583" s="692" t="n"/>
      <c r="AZ583" s="692" t="n"/>
      <c r="BA583" s="692" t="n"/>
      <c r="BB583" s="692" t="n"/>
      <c r="BC583" s="692" t="n"/>
      <c r="BD583" s="692" t="n"/>
      <c r="BE583" s="692" t="n"/>
      <c r="BF583" s="692" t="n"/>
      <c r="BG583" s="692" t="n"/>
      <c r="BH583" s="692" t="n"/>
      <c r="BI583" s="692" t="n"/>
      <c r="BJ583" s="692" t="n"/>
      <c r="BK583" s="692" t="n"/>
      <c r="BL583" s="692" t="n"/>
      <c r="BM583" s="692" t="n"/>
      <c r="BN583" s="692" t="n"/>
      <c r="BO583" s="692" t="n"/>
      <c r="BP583" s="692" t="n"/>
      <c r="BQ583" s="692" t="n"/>
    </row>
    <row r="584">
      <c r="A584" s="218" t="n"/>
      <c r="B584" s="215" t="n"/>
      <c r="C584" s="215" t="n"/>
      <c r="D584" s="215" t="n"/>
      <c r="E584" s="219" t="n"/>
      <c r="F584" s="215" t="n"/>
      <c r="G584" s="215" t="n"/>
      <c r="H584" s="215" t="n"/>
      <c r="I584" s="215" t="n"/>
      <c r="J584" s="215" t="n"/>
      <c r="K584" s="215" t="n"/>
      <c r="L584" s="217" t="n"/>
      <c r="M584" s="689" t="n"/>
      <c r="N584" s="689" t="n"/>
      <c r="O584" s="689" t="n"/>
      <c r="P584" s="227" t="n"/>
      <c r="Q584" s="689" t="n"/>
      <c r="R584" s="689" t="n"/>
      <c r="S584" s="689" t="n"/>
      <c r="T584" s="689" t="n"/>
      <c r="U584" s="689" t="n"/>
      <c r="V584" s="689" t="n"/>
      <c r="W584" s="689" t="n"/>
      <c r="X584" s="689" t="n"/>
      <c r="Y584" s="689" t="n"/>
      <c r="Z584" s="689" t="n"/>
      <c r="AA584" s="689" t="n"/>
      <c r="AB584" s="689" t="n"/>
      <c r="AC584" s="689" t="n"/>
      <c r="AD584" s="689" t="n"/>
      <c r="AF584" s="236" t="n"/>
      <c r="AG584" s="236" t="n"/>
      <c r="AH584" s="236" t="n"/>
      <c r="AI584" s="236" t="n"/>
      <c r="AJ584" s="236" t="n"/>
      <c r="AK584" s="236" t="n"/>
      <c r="AL584" s="236" t="n"/>
      <c r="AM584" s="236" t="n"/>
      <c r="AN584" s="236" t="n"/>
      <c r="AO584" s="236" t="n"/>
      <c r="AP584" s="236" t="n"/>
      <c r="AQ584" s="236" t="n"/>
      <c r="AR584" s="236" t="n"/>
      <c r="AS584" s="236" t="n"/>
      <c r="AT584" s="236" t="n"/>
      <c r="AU584" s="236" t="n"/>
      <c r="AV584" s="236" t="n"/>
      <c r="AW584" s="236" t="n"/>
      <c r="AX584" s="692" t="n"/>
      <c r="AY584" s="692" t="n"/>
      <c r="AZ584" s="692" t="n"/>
      <c r="BA584" s="692" t="n"/>
      <c r="BB584" s="692" t="n"/>
      <c r="BC584" s="692" t="n"/>
      <c r="BD584" s="692" t="n"/>
      <c r="BE584" s="692" t="n"/>
      <c r="BF584" s="692" t="n"/>
      <c r="BG584" s="692" t="n"/>
      <c r="BH584" s="692" t="n"/>
      <c r="BI584" s="692" t="n"/>
      <c r="BJ584" s="692" t="n"/>
      <c r="BK584" s="692" t="n"/>
      <c r="BL584" s="692" t="n"/>
      <c r="BM584" s="692" t="n"/>
      <c r="BN584" s="692" t="n"/>
      <c r="BO584" s="692" t="n"/>
      <c r="BP584" s="692" t="n"/>
      <c r="BQ584" s="692" t="n"/>
    </row>
    <row r="585">
      <c r="A585" s="220" t="n"/>
      <c r="B585" s="211" t="n"/>
      <c r="C585" s="211" t="n"/>
      <c r="D585" s="211" t="n"/>
      <c r="E585" s="221" t="n"/>
      <c r="F585" s="211" t="n"/>
      <c r="G585" s="211" t="n"/>
      <c r="H585" s="211" t="n"/>
      <c r="I585" s="211" t="n"/>
      <c r="J585" s="211" t="n"/>
      <c r="K585" s="211" t="n"/>
      <c r="L585" s="213" t="n"/>
      <c r="M585" s="689" t="n"/>
      <c r="N585" s="689" t="n"/>
      <c r="O585" s="689" t="n"/>
      <c r="P585" s="227" t="n"/>
      <c r="Q585" s="689" t="n"/>
      <c r="R585" s="689" t="n"/>
      <c r="S585" s="689" t="n"/>
      <c r="T585" s="689" t="n"/>
      <c r="U585" s="689" t="n"/>
      <c r="V585" s="689" t="n"/>
      <c r="W585" s="689" t="n"/>
      <c r="X585" s="689" t="n"/>
      <c r="Y585" s="689" t="n"/>
      <c r="Z585" s="689" t="n"/>
      <c r="AA585" s="689" t="n"/>
      <c r="AB585" s="689" t="n"/>
      <c r="AC585" s="689" t="n"/>
      <c r="AD585" s="689" t="n"/>
      <c r="AF585" s="236" t="n"/>
      <c r="AG585" s="236" t="n"/>
      <c r="AH585" s="236" t="n"/>
      <c r="AI585" s="236" t="n"/>
      <c r="AJ585" s="236" t="n"/>
      <c r="AK585" s="236" t="n"/>
      <c r="AL585" s="236" t="n"/>
      <c r="AM585" s="236" t="n"/>
      <c r="AN585" s="236" t="n"/>
      <c r="AO585" s="236" t="n"/>
      <c r="AP585" s="236" t="n"/>
      <c r="AQ585" s="236" t="n"/>
      <c r="AR585" s="236" t="n"/>
      <c r="AS585" s="236" t="n"/>
      <c r="AT585" s="236" t="n"/>
      <c r="AU585" s="236" t="n"/>
      <c r="AV585" s="236" t="n"/>
      <c r="AW585" s="236" t="n"/>
      <c r="AX585" s="692" t="n"/>
      <c r="AY585" s="692" t="n"/>
      <c r="AZ585" s="692" t="n"/>
      <c r="BA585" s="692" t="n"/>
      <c r="BB585" s="692" t="n"/>
      <c r="BC585" s="692" t="n"/>
      <c r="BD585" s="692" t="n"/>
      <c r="BE585" s="692" t="n"/>
      <c r="BF585" s="692" t="n"/>
      <c r="BG585" s="692" t="n"/>
      <c r="BH585" s="692" t="n"/>
      <c r="BI585" s="692" t="n"/>
      <c r="BJ585" s="692" t="n"/>
      <c r="BK585" s="692" t="n"/>
      <c r="BL585" s="692" t="n"/>
      <c r="BM585" s="692" t="n"/>
      <c r="BN585" s="692" t="n"/>
      <c r="BO585" s="692" t="n"/>
      <c r="BP585" s="692" t="n"/>
      <c r="BQ585" s="692" t="n"/>
    </row>
    <row r="586">
      <c r="A586" s="218" t="n"/>
      <c r="B586" s="215" t="n"/>
      <c r="C586" s="215" t="n"/>
      <c r="D586" s="215" t="n"/>
      <c r="E586" s="219" t="n"/>
      <c r="F586" s="215" t="n"/>
      <c r="G586" s="215" t="n"/>
      <c r="H586" s="215" t="n"/>
      <c r="I586" s="215" t="n"/>
      <c r="J586" s="215" t="n"/>
      <c r="K586" s="215" t="n"/>
      <c r="L586" s="217" t="n"/>
      <c r="M586" s="689" t="n"/>
      <c r="N586" s="689" t="n"/>
      <c r="O586" s="689" t="n"/>
      <c r="P586" s="227" t="n"/>
      <c r="Q586" s="689" t="n"/>
      <c r="R586" s="689" t="n"/>
      <c r="S586" s="689" t="n"/>
      <c r="T586" s="689" t="n"/>
      <c r="U586" s="689" t="n"/>
      <c r="V586" s="689" t="n"/>
      <c r="W586" s="689" t="n"/>
      <c r="X586" s="689" t="n"/>
      <c r="Y586" s="689" t="n"/>
      <c r="Z586" s="689" t="n"/>
      <c r="AA586" s="689" t="n"/>
      <c r="AB586" s="689" t="n"/>
      <c r="AC586" s="689" t="n"/>
      <c r="AD586" s="689" t="n"/>
      <c r="AF586" s="236" t="n"/>
      <c r="AG586" s="236" t="n"/>
      <c r="AH586" s="236" t="n"/>
      <c r="AI586" s="236" t="n"/>
      <c r="AJ586" s="236" t="n"/>
      <c r="AK586" s="236" t="n"/>
      <c r="AL586" s="236" t="n"/>
      <c r="AM586" s="236" t="n"/>
      <c r="AN586" s="236" t="n"/>
      <c r="AO586" s="236" t="n"/>
      <c r="AP586" s="236" t="n"/>
      <c r="AQ586" s="236" t="n"/>
      <c r="AR586" s="236" t="n"/>
      <c r="AS586" s="236" t="n"/>
      <c r="AT586" s="236" t="n"/>
      <c r="AU586" s="236" t="n"/>
      <c r="AV586" s="236" t="n"/>
      <c r="AW586" s="236" t="n"/>
      <c r="AX586" s="692" t="n"/>
      <c r="AY586" s="692" t="n"/>
      <c r="AZ586" s="692" t="n"/>
      <c r="BA586" s="692" t="n"/>
      <c r="BB586" s="692" t="n"/>
      <c r="BC586" s="692" t="n"/>
      <c r="BD586" s="692" t="n"/>
      <c r="BE586" s="692" t="n"/>
      <c r="BF586" s="692" t="n"/>
      <c r="BG586" s="692" t="n"/>
      <c r="BH586" s="692" t="n"/>
      <c r="BI586" s="692" t="n"/>
      <c r="BJ586" s="692" t="n"/>
      <c r="BK586" s="692" t="n"/>
      <c r="BL586" s="692" t="n"/>
      <c r="BM586" s="692" t="n"/>
      <c r="BN586" s="692" t="n"/>
      <c r="BO586" s="692" t="n"/>
      <c r="BP586" s="692" t="n"/>
      <c r="BQ586" s="692" t="n"/>
    </row>
    <row r="587">
      <c r="A587" s="220" t="n"/>
      <c r="B587" s="211" t="n"/>
      <c r="C587" s="211" t="n"/>
      <c r="D587" s="211" t="n"/>
      <c r="E587" s="221" t="n"/>
      <c r="F587" s="211" t="n"/>
      <c r="G587" s="211" t="n"/>
      <c r="H587" s="211" t="n"/>
      <c r="I587" s="211" t="n"/>
      <c r="J587" s="211" t="n"/>
      <c r="K587" s="211" t="n"/>
      <c r="L587" s="213" t="n"/>
      <c r="M587" s="689" t="n"/>
      <c r="N587" s="689" t="n"/>
      <c r="O587" s="689" t="n"/>
      <c r="P587" s="227" t="n"/>
      <c r="Q587" s="689" t="n"/>
      <c r="R587" s="689" t="n"/>
      <c r="S587" s="689" t="n"/>
      <c r="T587" s="689" t="n"/>
      <c r="U587" s="689" t="n"/>
      <c r="V587" s="689" t="n"/>
      <c r="W587" s="689" t="n"/>
      <c r="X587" s="689" t="n"/>
      <c r="Y587" s="689" t="n"/>
      <c r="Z587" s="689" t="n"/>
      <c r="AA587" s="689" t="n"/>
      <c r="AB587" s="689" t="n"/>
      <c r="AC587" s="689" t="n"/>
      <c r="AD587" s="689" t="n"/>
      <c r="AF587" s="236" t="n"/>
      <c r="AG587" s="236" t="n"/>
      <c r="AH587" s="236" t="n"/>
      <c r="AI587" s="236" t="n"/>
      <c r="AJ587" s="236" t="n"/>
      <c r="AK587" s="236" t="n"/>
      <c r="AL587" s="236" t="n"/>
      <c r="AM587" s="236" t="n"/>
      <c r="AN587" s="236" t="n"/>
      <c r="AO587" s="236" t="n"/>
      <c r="AP587" s="236" t="n"/>
      <c r="AQ587" s="236" t="n"/>
      <c r="AR587" s="236" t="n"/>
      <c r="AS587" s="236" t="n"/>
      <c r="AT587" s="236" t="n"/>
      <c r="AU587" s="236" t="n"/>
      <c r="AV587" s="236" t="n"/>
      <c r="AW587" s="236" t="n"/>
      <c r="AX587" s="692" t="n"/>
      <c r="AY587" s="692" t="n"/>
      <c r="AZ587" s="692" t="n"/>
      <c r="BA587" s="692" t="n"/>
      <c r="BB587" s="692" t="n"/>
      <c r="BC587" s="692" t="n"/>
      <c r="BD587" s="692" t="n"/>
      <c r="BE587" s="692" t="n"/>
      <c r="BF587" s="692" t="n"/>
      <c r="BG587" s="692" t="n"/>
      <c r="BH587" s="692" t="n"/>
      <c r="BI587" s="692" t="n"/>
      <c r="BJ587" s="692" t="n"/>
      <c r="BK587" s="692" t="n"/>
      <c r="BL587" s="692" t="n"/>
      <c r="BM587" s="692" t="n"/>
      <c r="BN587" s="692" t="n"/>
      <c r="BO587" s="692" t="n"/>
      <c r="BP587" s="692" t="n"/>
      <c r="BQ587" s="692" t="n"/>
    </row>
    <row r="588">
      <c r="A588" s="218" t="n"/>
      <c r="B588" s="215" t="n"/>
      <c r="C588" s="215" t="n"/>
      <c r="D588" s="215" t="n"/>
      <c r="E588" s="219" t="n"/>
      <c r="F588" s="215" t="n"/>
      <c r="G588" s="215" t="n"/>
      <c r="H588" s="215" t="n"/>
      <c r="I588" s="215" t="n"/>
      <c r="J588" s="215" t="n"/>
      <c r="K588" s="215" t="n"/>
      <c r="L588" s="217" t="n"/>
      <c r="M588" s="689" t="n"/>
      <c r="N588" s="689" t="n"/>
      <c r="O588" s="689" t="n"/>
      <c r="P588" s="227" t="n"/>
      <c r="Q588" s="689" t="n"/>
      <c r="R588" s="689" t="n"/>
      <c r="S588" s="689" t="n"/>
      <c r="T588" s="689" t="n"/>
      <c r="U588" s="689" t="n"/>
      <c r="V588" s="689" t="n"/>
      <c r="W588" s="689" t="n"/>
      <c r="X588" s="689" t="n"/>
      <c r="Y588" s="689" t="n"/>
      <c r="Z588" s="689" t="n"/>
      <c r="AA588" s="689" t="n"/>
      <c r="AB588" s="689" t="n"/>
      <c r="AC588" s="689" t="n"/>
      <c r="AD588" s="689" t="n"/>
      <c r="AF588" s="236" t="n"/>
      <c r="AG588" s="236" t="n"/>
      <c r="AH588" s="236" t="n"/>
      <c r="AI588" s="236" t="n"/>
      <c r="AJ588" s="236" t="n"/>
      <c r="AK588" s="236" t="n"/>
      <c r="AL588" s="236" t="n"/>
      <c r="AM588" s="236" t="n"/>
      <c r="AN588" s="236" t="n"/>
      <c r="AO588" s="236" t="n"/>
      <c r="AP588" s="236" t="n"/>
      <c r="AQ588" s="236" t="n"/>
      <c r="AR588" s="236" t="n"/>
      <c r="AS588" s="236" t="n"/>
      <c r="AT588" s="236" t="n"/>
      <c r="AU588" s="236" t="n"/>
      <c r="AV588" s="236" t="n"/>
      <c r="AW588" s="236" t="n"/>
      <c r="AX588" s="692" t="n"/>
      <c r="AY588" s="692" t="n"/>
      <c r="AZ588" s="692" t="n"/>
      <c r="BA588" s="692" t="n"/>
      <c r="BB588" s="692" t="n"/>
      <c r="BC588" s="692" t="n"/>
      <c r="BD588" s="692" t="n"/>
      <c r="BE588" s="692" t="n"/>
      <c r="BF588" s="692" t="n"/>
      <c r="BG588" s="692" t="n"/>
      <c r="BH588" s="692" t="n"/>
      <c r="BI588" s="692" t="n"/>
      <c r="BJ588" s="692" t="n"/>
      <c r="BK588" s="692" t="n"/>
      <c r="BL588" s="692" t="n"/>
      <c r="BM588" s="692" t="n"/>
      <c r="BN588" s="692" t="n"/>
      <c r="BO588" s="692" t="n"/>
      <c r="BP588" s="692" t="n"/>
      <c r="BQ588" s="692" t="n"/>
    </row>
    <row r="589">
      <c r="A589" s="220" t="n"/>
      <c r="B589" s="211" t="n"/>
      <c r="C589" s="211" t="n"/>
      <c r="D589" s="211" t="n"/>
      <c r="E589" s="221" t="n"/>
      <c r="F589" s="211" t="n"/>
      <c r="G589" s="211" t="n"/>
      <c r="H589" s="211" t="n"/>
      <c r="I589" s="211" t="n"/>
      <c r="J589" s="211" t="n"/>
      <c r="K589" s="211" t="n"/>
      <c r="L589" s="213" t="n"/>
      <c r="M589" s="689" t="n"/>
      <c r="N589" s="689" t="n"/>
      <c r="O589" s="689" t="n"/>
      <c r="P589" s="227" t="n"/>
      <c r="Q589" s="689" t="n"/>
      <c r="R589" s="689" t="n"/>
      <c r="S589" s="689" t="n"/>
      <c r="T589" s="689" t="n"/>
      <c r="U589" s="689" t="n"/>
      <c r="V589" s="689" t="n"/>
      <c r="W589" s="689" t="n"/>
      <c r="X589" s="689" t="n"/>
      <c r="Y589" s="689" t="n"/>
      <c r="Z589" s="689" t="n"/>
      <c r="AA589" s="689" t="n"/>
      <c r="AB589" s="689" t="n"/>
      <c r="AC589" s="689" t="n"/>
      <c r="AD589" s="689" t="n"/>
      <c r="AF589" s="236" t="n"/>
      <c r="AG589" s="236" t="n"/>
      <c r="AH589" s="236" t="n"/>
      <c r="AI589" s="236" t="n"/>
      <c r="AJ589" s="236" t="n"/>
      <c r="AK589" s="236" t="n"/>
      <c r="AL589" s="236" t="n"/>
      <c r="AM589" s="236" t="n"/>
      <c r="AN589" s="236" t="n"/>
      <c r="AO589" s="236" t="n"/>
      <c r="AP589" s="236" t="n"/>
      <c r="AQ589" s="236" t="n"/>
      <c r="AR589" s="236" t="n"/>
      <c r="AS589" s="236" t="n"/>
      <c r="AT589" s="236" t="n"/>
      <c r="AU589" s="236" t="n"/>
      <c r="AV589" s="236" t="n"/>
      <c r="AW589" s="236" t="n"/>
      <c r="AX589" s="692" t="n"/>
      <c r="AY589" s="692" t="n"/>
      <c r="AZ589" s="692" t="n"/>
      <c r="BA589" s="692" t="n"/>
      <c r="BB589" s="692" t="n"/>
      <c r="BC589" s="692" t="n"/>
      <c r="BD589" s="692" t="n"/>
      <c r="BE589" s="692" t="n"/>
      <c r="BF589" s="692" t="n"/>
      <c r="BG589" s="692" t="n"/>
      <c r="BH589" s="692" t="n"/>
      <c r="BI589" s="692" t="n"/>
      <c r="BJ589" s="692" t="n"/>
      <c r="BK589" s="692" t="n"/>
      <c r="BL589" s="692" t="n"/>
      <c r="BM589" s="692" t="n"/>
      <c r="BN589" s="692" t="n"/>
      <c r="BO589" s="692" t="n"/>
      <c r="BP589" s="692" t="n"/>
      <c r="BQ589" s="692" t="n"/>
    </row>
    <row r="590">
      <c r="A590" s="218" t="n"/>
      <c r="B590" s="215" t="n"/>
      <c r="C590" s="215" t="n"/>
      <c r="D590" s="215" t="n"/>
      <c r="E590" s="219" t="n"/>
      <c r="F590" s="215" t="n"/>
      <c r="G590" s="215" t="n"/>
      <c r="H590" s="215" t="n"/>
      <c r="I590" s="215" t="n"/>
      <c r="J590" s="215" t="n"/>
      <c r="K590" s="215" t="n"/>
      <c r="L590" s="217" t="n"/>
      <c r="M590" s="689" t="n"/>
      <c r="N590" s="689" t="n"/>
      <c r="O590" s="689" t="n"/>
      <c r="P590" s="227" t="n"/>
      <c r="Q590" s="689" t="n"/>
      <c r="R590" s="689" t="n"/>
      <c r="S590" s="689" t="n"/>
      <c r="T590" s="689" t="n"/>
      <c r="U590" s="689" t="n"/>
      <c r="V590" s="689" t="n"/>
      <c r="W590" s="689" t="n"/>
      <c r="X590" s="689" t="n"/>
      <c r="Y590" s="689" t="n"/>
      <c r="Z590" s="689" t="n"/>
      <c r="AA590" s="689" t="n"/>
      <c r="AB590" s="689" t="n"/>
      <c r="AC590" s="689" t="n"/>
      <c r="AD590" s="689" t="n"/>
      <c r="AF590" s="236" t="n"/>
      <c r="AG590" s="236" t="n"/>
      <c r="AH590" s="236" t="n"/>
      <c r="AI590" s="236" t="n"/>
      <c r="AJ590" s="236" t="n"/>
      <c r="AK590" s="236" t="n"/>
      <c r="AL590" s="236" t="n"/>
      <c r="AM590" s="236" t="n"/>
      <c r="AN590" s="236" t="n"/>
      <c r="AO590" s="236" t="n"/>
      <c r="AP590" s="236" t="n"/>
      <c r="AQ590" s="236" t="n"/>
      <c r="AR590" s="236" t="n"/>
      <c r="AS590" s="236" t="n"/>
      <c r="AT590" s="236" t="n"/>
      <c r="AU590" s="236" t="n"/>
      <c r="AV590" s="236" t="n"/>
      <c r="AW590" s="236" t="n"/>
      <c r="AX590" s="692" t="n"/>
      <c r="AY590" s="692" t="n"/>
      <c r="AZ590" s="692" t="n"/>
      <c r="BA590" s="692" t="n"/>
      <c r="BB590" s="692" t="n"/>
      <c r="BC590" s="692" t="n"/>
      <c r="BD590" s="692" t="n"/>
      <c r="BE590" s="692" t="n"/>
      <c r="BF590" s="692" t="n"/>
      <c r="BG590" s="692" t="n"/>
      <c r="BH590" s="692" t="n"/>
      <c r="BI590" s="692" t="n"/>
      <c r="BJ590" s="692" t="n"/>
      <c r="BK590" s="692" t="n"/>
      <c r="BL590" s="692" t="n"/>
      <c r="BM590" s="692" t="n"/>
      <c r="BN590" s="692" t="n"/>
      <c r="BO590" s="692" t="n"/>
      <c r="BP590" s="692" t="n"/>
      <c r="BQ590" s="692" t="n"/>
    </row>
    <row r="591">
      <c r="A591" s="220" t="n"/>
      <c r="B591" s="211" t="n"/>
      <c r="C591" s="211" t="n"/>
      <c r="D591" s="211" t="n"/>
      <c r="E591" s="221" t="n"/>
      <c r="F591" s="211" t="n"/>
      <c r="G591" s="211" t="n"/>
      <c r="H591" s="211" t="n"/>
      <c r="I591" s="211" t="n"/>
      <c r="J591" s="211" t="n"/>
      <c r="K591" s="211" t="n"/>
      <c r="L591" s="213" t="n"/>
      <c r="M591" s="689" t="n"/>
      <c r="N591" s="689" t="n"/>
      <c r="O591" s="689" t="n"/>
      <c r="P591" s="227" t="n"/>
      <c r="Q591" s="689" t="n"/>
      <c r="R591" s="689" t="n"/>
      <c r="S591" s="689" t="n"/>
      <c r="T591" s="689" t="n"/>
      <c r="U591" s="689" t="n"/>
      <c r="V591" s="689" t="n"/>
      <c r="W591" s="689" t="n"/>
      <c r="X591" s="689" t="n"/>
      <c r="Y591" s="689" t="n"/>
      <c r="Z591" s="689" t="n"/>
      <c r="AA591" s="689" t="n"/>
      <c r="AB591" s="689" t="n"/>
      <c r="AC591" s="689" t="n"/>
      <c r="AD591" s="689" t="n"/>
      <c r="AF591" s="236" t="n"/>
      <c r="AG591" s="236" t="n"/>
      <c r="AH591" s="236" t="n"/>
      <c r="AI591" s="236" t="n"/>
      <c r="AJ591" s="236" t="n"/>
      <c r="AK591" s="236" t="n"/>
      <c r="AL591" s="236" t="n"/>
      <c r="AM591" s="236" t="n"/>
      <c r="AN591" s="236" t="n"/>
      <c r="AO591" s="236" t="n"/>
      <c r="AP591" s="236" t="n"/>
      <c r="AQ591" s="236" t="n"/>
      <c r="AR591" s="236" t="n"/>
      <c r="AS591" s="236" t="n"/>
      <c r="AT591" s="236" t="n"/>
      <c r="AU591" s="236" t="n"/>
      <c r="AV591" s="236" t="n"/>
      <c r="AW591" s="236" t="n"/>
      <c r="AX591" s="692" t="n"/>
      <c r="AY591" s="692" t="n"/>
      <c r="AZ591" s="692" t="n"/>
      <c r="BA591" s="692" t="n"/>
      <c r="BB591" s="692" t="n"/>
      <c r="BC591" s="692" t="n"/>
      <c r="BD591" s="692" t="n"/>
      <c r="BE591" s="692" t="n"/>
      <c r="BF591" s="692" t="n"/>
      <c r="BG591" s="692" t="n"/>
      <c r="BH591" s="692" t="n"/>
      <c r="BI591" s="692" t="n"/>
      <c r="BJ591" s="692" t="n"/>
      <c r="BK591" s="692" t="n"/>
      <c r="BL591" s="692" t="n"/>
      <c r="BM591" s="692" t="n"/>
      <c r="BN591" s="692" t="n"/>
      <c r="BO591" s="692" t="n"/>
      <c r="BP591" s="692" t="n"/>
      <c r="BQ591" s="692" t="n"/>
    </row>
    <row r="592">
      <c r="A592" s="218" t="n"/>
      <c r="B592" s="215" t="n"/>
      <c r="C592" s="215" t="n"/>
      <c r="D592" s="215" t="n"/>
      <c r="E592" s="219" t="n"/>
      <c r="F592" s="215" t="n"/>
      <c r="G592" s="215" t="n"/>
      <c r="H592" s="215" t="n"/>
      <c r="I592" s="215" t="n"/>
      <c r="J592" s="215" t="n"/>
      <c r="K592" s="215" t="n"/>
      <c r="L592" s="217" t="n"/>
      <c r="M592" s="689" t="n"/>
      <c r="N592" s="689" t="n"/>
      <c r="O592" s="689" t="n"/>
      <c r="P592" s="227" t="n"/>
      <c r="Q592" s="689" t="n"/>
      <c r="R592" s="689" t="n"/>
      <c r="S592" s="689" t="n"/>
      <c r="T592" s="689" t="n"/>
      <c r="U592" s="689" t="n"/>
      <c r="V592" s="689" t="n"/>
      <c r="W592" s="689" t="n"/>
      <c r="X592" s="689" t="n"/>
      <c r="Y592" s="689" t="n"/>
      <c r="Z592" s="689" t="n"/>
      <c r="AA592" s="689" t="n"/>
      <c r="AB592" s="689" t="n"/>
      <c r="AC592" s="689" t="n"/>
      <c r="AD592" s="689" t="n"/>
      <c r="AF592" s="236" t="n"/>
      <c r="AG592" s="236" t="n"/>
      <c r="AH592" s="236" t="n"/>
      <c r="AI592" s="236" t="n"/>
      <c r="AJ592" s="236" t="n"/>
      <c r="AK592" s="236" t="n"/>
      <c r="AL592" s="236" t="n"/>
      <c r="AM592" s="236" t="n"/>
      <c r="AN592" s="236" t="n"/>
      <c r="AO592" s="236" t="n"/>
      <c r="AP592" s="236" t="n"/>
      <c r="AQ592" s="236" t="n"/>
      <c r="AR592" s="236" t="n"/>
      <c r="AS592" s="236" t="n"/>
      <c r="AT592" s="236" t="n"/>
      <c r="AU592" s="236" t="n"/>
      <c r="AV592" s="236" t="n"/>
      <c r="AW592" s="236" t="n"/>
      <c r="AX592" s="692" t="n"/>
      <c r="AY592" s="692" t="n"/>
      <c r="AZ592" s="692" t="n"/>
      <c r="BA592" s="692" t="n"/>
      <c r="BB592" s="692" t="n"/>
      <c r="BC592" s="692" t="n"/>
      <c r="BD592" s="692" t="n"/>
      <c r="BE592" s="692" t="n"/>
      <c r="BF592" s="692" t="n"/>
      <c r="BG592" s="692" t="n"/>
      <c r="BH592" s="692" t="n"/>
      <c r="BI592" s="692" t="n"/>
      <c r="BJ592" s="692" t="n"/>
      <c r="BK592" s="692" t="n"/>
      <c r="BL592" s="692" t="n"/>
      <c r="BM592" s="692" t="n"/>
      <c r="BN592" s="692" t="n"/>
      <c r="BO592" s="692" t="n"/>
      <c r="BP592" s="692" t="n"/>
      <c r="BQ592" s="692" t="n"/>
    </row>
    <row r="593">
      <c r="A593" s="220" t="n"/>
      <c r="B593" s="211" t="n"/>
      <c r="C593" s="211" t="n"/>
      <c r="D593" s="211" t="n"/>
      <c r="E593" s="221" t="n"/>
      <c r="F593" s="211" t="n"/>
      <c r="G593" s="211" t="n"/>
      <c r="H593" s="211" t="n"/>
      <c r="I593" s="211" t="n"/>
      <c r="J593" s="211" t="n"/>
      <c r="K593" s="211" t="n"/>
      <c r="L593" s="213" t="n"/>
      <c r="M593" s="689" t="n"/>
      <c r="N593" s="689" t="n"/>
      <c r="O593" s="689" t="n"/>
      <c r="P593" s="227" t="n"/>
      <c r="Q593" s="689" t="n"/>
      <c r="R593" s="689" t="n"/>
      <c r="S593" s="689" t="n"/>
      <c r="T593" s="689" t="n"/>
      <c r="U593" s="689" t="n"/>
      <c r="V593" s="689" t="n"/>
      <c r="W593" s="689" t="n"/>
      <c r="X593" s="689" t="n"/>
      <c r="Y593" s="689" t="n"/>
      <c r="Z593" s="689" t="n"/>
      <c r="AA593" s="689" t="n"/>
      <c r="AB593" s="689" t="n"/>
      <c r="AC593" s="689" t="n"/>
      <c r="AD593" s="689" t="n"/>
      <c r="AF593" s="236" t="n"/>
      <c r="AG593" s="236" t="n"/>
      <c r="AH593" s="236" t="n"/>
      <c r="AI593" s="236" t="n"/>
      <c r="AJ593" s="236" t="n"/>
      <c r="AK593" s="236" t="n"/>
      <c r="AL593" s="236" t="n"/>
      <c r="AM593" s="236" t="n"/>
      <c r="AN593" s="236" t="n"/>
      <c r="AO593" s="236" t="n"/>
      <c r="AP593" s="236" t="n"/>
      <c r="AQ593" s="236" t="n"/>
      <c r="AR593" s="236" t="n"/>
      <c r="AS593" s="236" t="n"/>
      <c r="AT593" s="236" t="n"/>
      <c r="AU593" s="236" t="n"/>
      <c r="AV593" s="236" t="n"/>
      <c r="AW593" s="236" t="n"/>
      <c r="AX593" s="692" t="n"/>
      <c r="AY593" s="692" t="n"/>
      <c r="AZ593" s="692" t="n"/>
      <c r="BA593" s="692" t="n"/>
      <c r="BB593" s="692" t="n"/>
      <c r="BC593" s="692" t="n"/>
      <c r="BD593" s="692" t="n"/>
      <c r="BE593" s="692" t="n"/>
      <c r="BF593" s="692" t="n"/>
      <c r="BG593" s="692" t="n"/>
      <c r="BH593" s="692" t="n"/>
      <c r="BI593" s="692" t="n"/>
      <c r="BJ593" s="692" t="n"/>
      <c r="BK593" s="692" t="n"/>
      <c r="BL593" s="692" t="n"/>
      <c r="BM593" s="692" t="n"/>
      <c r="BN593" s="692" t="n"/>
      <c r="BO593" s="692" t="n"/>
      <c r="BP593" s="692" t="n"/>
      <c r="BQ593" s="692" t="n"/>
    </row>
    <row r="594">
      <c r="A594" s="218" t="n"/>
      <c r="B594" s="215" t="n"/>
      <c r="C594" s="215" t="n"/>
      <c r="D594" s="215" t="n"/>
      <c r="E594" s="219" t="n"/>
      <c r="F594" s="215" t="n"/>
      <c r="G594" s="215" t="n"/>
      <c r="H594" s="215" t="n"/>
      <c r="I594" s="215" t="n"/>
      <c r="J594" s="215" t="n"/>
      <c r="K594" s="215" t="n"/>
      <c r="L594" s="217" t="n"/>
      <c r="M594" s="689" t="n"/>
      <c r="N594" s="689" t="n"/>
      <c r="O594" s="689" t="n"/>
      <c r="P594" s="227" t="n"/>
      <c r="Q594" s="689" t="n"/>
      <c r="R594" s="689" t="n"/>
      <c r="S594" s="689" t="n"/>
      <c r="T594" s="689" t="n"/>
      <c r="U594" s="689" t="n"/>
      <c r="V594" s="689" t="n"/>
      <c r="W594" s="689" t="n"/>
      <c r="X594" s="689" t="n"/>
      <c r="Y594" s="689" t="n"/>
      <c r="Z594" s="689" t="n"/>
      <c r="AA594" s="689" t="n"/>
      <c r="AB594" s="689" t="n"/>
      <c r="AC594" s="689" t="n"/>
      <c r="AD594" s="689" t="n"/>
      <c r="AF594" s="236" t="n"/>
      <c r="AG594" s="236" t="n"/>
      <c r="AH594" s="236" t="n"/>
      <c r="AI594" s="236" t="n"/>
      <c r="AJ594" s="236" t="n"/>
      <c r="AK594" s="236" t="n"/>
      <c r="AL594" s="236" t="n"/>
      <c r="AM594" s="236" t="n"/>
      <c r="AN594" s="236" t="n"/>
      <c r="AO594" s="236" t="n"/>
      <c r="AP594" s="236" t="n"/>
      <c r="AQ594" s="236" t="n"/>
      <c r="AR594" s="236" t="n"/>
      <c r="AS594" s="236" t="n"/>
      <c r="AT594" s="236" t="n"/>
      <c r="AU594" s="236" t="n"/>
      <c r="AV594" s="236" t="n"/>
      <c r="AW594" s="236" t="n"/>
      <c r="AX594" s="692" t="n"/>
      <c r="AY594" s="692" t="n"/>
      <c r="AZ594" s="692" t="n"/>
      <c r="BA594" s="692" t="n"/>
      <c r="BB594" s="692" t="n"/>
      <c r="BC594" s="692" t="n"/>
      <c r="BD594" s="692" t="n"/>
      <c r="BE594" s="692" t="n"/>
      <c r="BF594" s="692" t="n"/>
      <c r="BG594" s="692" t="n"/>
      <c r="BH594" s="692" t="n"/>
      <c r="BI594" s="692" t="n"/>
      <c r="BJ594" s="692" t="n"/>
      <c r="BK594" s="692" t="n"/>
      <c r="BL594" s="692" t="n"/>
      <c r="BM594" s="692" t="n"/>
      <c r="BN594" s="692" t="n"/>
      <c r="BO594" s="692" t="n"/>
      <c r="BP594" s="692" t="n"/>
      <c r="BQ594" s="692" t="n"/>
    </row>
    <row r="595">
      <c r="A595" s="220" t="n"/>
      <c r="B595" s="211" t="n"/>
      <c r="C595" s="211" t="n"/>
      <c r="D595" s="211" t="n"/>
      <c r="E595" s="221" t="n"/>
      <c r="F595" s="211" t="n"/>
      <c r="G595" s="211" t="n"/>
      <c r="H595" s="211" t="n"/>
      <c r="I595" s="211" t="n"/>
      <c r="J595" s="211" t="n"/>
      <c r="K595" s="211" t="n"/>
      <c r="L595" s="213" t="n"/>
      <c r="M595" s="689" t="n"/>
      <c r="N595" s="689" t="n"/>
      <c r="O595" s="689" t="n"/>
      <c r="P595" s="227" t="n"/>
      <c r="Q595" s="689" t="n"/>
      <c r="R595" s="689" t="n"/>
      <c r="S595" s="689" t="n"/>
      <c r="T595" s="689" t="n"/>
      <c r="U595" s="689" t="n"/>
      <c r="V595" s="689" t="n"/>
      <c r="W595" s="689" t="n"/>
      <c r="X595" s="689" t="n"/>
      <c r="Y595" s="689" t="n"/>
      <c r="Z595" s="689" t="n"/>
      <c r="AA595" s="689" t="n"/>
      <c r="AB595" s="689" t="n"/>
      <c r="AC595" s="689" t="n"/>
      <c r="AD595" s="689" t="n"/>
      <c r="AF595" s="236" t="n"/>
      <c r="AG595" s="236" t="n"/>
      <c r="AH595" s="236" t="n"/>
      <c r="AI595" s="236" t="n"/>
      <c r="AJ595" s="236" t="n"/>
      <c r="AK595" s="236" t="n"/>
      <c r="AL595" s="236" t="n"/>
      <c r="AM595" s="236" t="n"/>
      <c r="AN595" s="236" t="n"/>
      <c r="AO595" s="236" t="n"/>
      <c r="AP595" s="236" t="n"/>
      <c r="AQ595" s="236" t="n"/>
      <c r="AR595" s="236" t="n"/>
      <c r="AS595" s="236" t="n"/>
      <c r="AT595" s="236" t="n"/>
      <c r="AU595" s="236" t="n"/>
      <c r="AV595" s="236" t="n"/>
      <c r="AW595" s="236" t="n"/>
      <c r="AX595" s="692" t="n"/>
      <c r="AY595" s="692" t="n"/>
      <c r="AZ595" s="692" t="n"/>
      <c r="BA595" s="692" t="n"/>
      <c r="BB595" s="692" t="n"/>
      <c r="BC595" s="692" t="n"/>
      <c r="BD595" s="692" t="n"/>
      <c r="BE595" s="692" t="n"/>
      <c r="BF595" s="692" t="n"/>
      <c r="BG595" s="692" t="n"/>
      <c r="BH595" s="692" t="n"/>
      <c r="BI595" s="692" t="n"/>
      <c r="BJ595" s="692" t="n"/>
      <c r="BK595" s="692" t="n"/>
      <c r="BL595" s="692" t="n"/>
      <c r="BM595" s="692" t="n"/>
      <c r="BN595" s="692" t="n"/>
      <c r="BO595" s="692" t="n"/>
      <c r="BP595" s="692" t="n"/>
      <c r="BQ595" s="692" t="n"/>
    </row>
    <row r="596">
      <c r="A596" s="218" t="n"/>
      <c r="B596" s="215" t="n"/>
      <c r="C596" s="215" t="n"/>
      <c r="D596" s="215" t="n"/>
      <c r="E596" s="219" t="n"/>
      <c r="F596" s="215" t="n"/>
      <c r="G596" s="215" t="n"/>
      <c r="H596" s="215" t="n"/>
      <c r="I596" s="215" t="n"/>
      <c r="J596" s="215" t="n"/>
      <c r="K596" s="215" t="n"/>
      <c r="L596" s="217" t="n"/>
      <c r="M596" s="689" t="n"/>
      <c r="N596" s="689" t="n"/>
      <c r="O596" s="689" t="n"/>
      <c r="P596" s="227" t="n"/>
      <c r="Q596" s="689" t="n"/>
      <c r="R596" s="689" t="n"/>
      <c r="S596" s="689" t="n"/>
      <c r="T596" s="689" t="n"/>
      <c r="U596" s="689" t="n"/>
      <c r="V596" s="689" t="n"/>
      <c r="W596" s="689" t="n"/>
      <c r="X596" s="689" t="n"/>
      <c r="Y596" s="689" t="n"/>
      <c r="Z596" s="689" t="n"/>
      <c r="AA596" s="689" t="n"/>
      <c r="AB596" s="689" t="n"/>
      <c r="AC596" s="689" t="n"/>
      <c r="AD596" s="689" t="n"/>
      <c r="AF596" s="236" t="n"/>
      <c r="AG596" s="236" t="n"/>
      <c r="AH596" s="236" t="n"/>
      <c r="AI596" s="236" t="n"/>
      <c r="AJ596" s="236" t="n"/>
      <c r="AK596" s="236" t="n"/>
      <c r="AL596" s="236" t="n"/>
      <c r="AM596" s="236" t="n"/>
      <c r="AN596" s="236" t="n"/>
      <c r="AO596" s="236" t="n"/>
      <c r="AP596" s="236" t="n"/>
      <c r="AQ596" s="236" t="n"/>
      <c r="AR596" s="236" t="n"/>
      <c r="AS596" s="236" t="n"/>
      <c r="AT596" s="236" t="n"/>
      <c r="AU596" s="236" t="n"/>
      <c r="AV596" s="236" t="n"/>
      <c r="AW596" s="236" t="n"/>
      <c r="AX596" s="692" t="n"/>
      <c r="AY596" s="692" t="n"/>
      <c r="AZ596" s="692" t="n"/>
      <c r="BA596" s="692" t="n"/>
      <c r="BB596" s="692" t="n"/>
      <c r="BC596" s="692" t="n"/>
      <c r="BD596" s="692" t="n"/>
      <c r="BE596" s="692" t="n"/>
      <c r="BF596" s="692" t="n"/>
      <c r="BG596" s="692" t="n"/>
      <c r="BH596" s="692" t="n"/>
      <c r="BI596" s="692" t="n"/>
      <c r="BJ596" s="692" t="n"/>
      <c r="BK596" s="692" t="n"/>
      <c r="BL596" s="692" t="n"/>
      <c r="BM596" s="692" t="n"/>
      <c r="BN596" s="692" t="n"/>
      <c r="BO596" s="692" t="n"/>
      <c r="BP596" s="692" t="n"/>
      <c r="BQ596" s="692" t="n"/>
    </row>
    <row r="597">
      <c r="A597" s="220" t="n"/>
      <c r="B597" s="211" t="n"/>
      <c r="C597" s="211" t="n"/>
      <c r="D597" s="211" t="n"/>
      <c r="E597" s="221" t="n"/>
      <c r="F597" s="211" t="n"/>
      <c r="G597" s="211" t="n"/>
      <c r="H597" s="211" t="n"/>
      <c r="I597" s="211" t="n"/>
      <c r="J597" s="211" t="n"/>
      <c r="K597" s="211" t="n"/>
      <c r="L597" s="213" t="n"/>
      <c r="M597" s="689" t="n"/>
      <c r="N597" s="689" t="n"/>
      <c r="O597" s="689" t="n"/>
      <c r="P597" s="227" t="n"/>
      <c r="Q597" s="689" t="n"/>
      <c r="R597" s="689" t="n"/>
      <c r="S597" s="689" t="n"/>
      <c r="T597" s="689" t="n"/>
      <c r="U597" s="689" t="n"/>
      <c r="V597" s="689" t="n"/>
      <c r="W597" s="689" t="n"/>
      <c r="X597" s="689" t="n"/>
      <c r="Y597" s="689" t="n"/>
      <c r="Z597" s="689" t="n"/>
      <c r="AA597" s="689" t="n"/>
      <c r="AB597" s="689" t="n"/>
      <c r="AC597" s="689" t="n"/>
      <c r="AD597" s="689" t="n"/>
      <c r="AF597" s="236" t="n"/>
      <c r="AG597" s="236" t="n"/>
      <c r="AH597" s="236" t="n"/>
      <c r="AI597" s="236" t="n"/>
      <c r="AJ597" s="236" t="n"/>
      <c r="AK597" s="236" t="n"/>
      <c r="AL597" s="236" t="n"/>
      <c r="AM597" s="236" t="n"/>
      <c r="AN597" s="236" t="n"/>
      <c r="AO597" s="236" t="n"/>
      <c r="AP597" s="236" t="n"/>
      <c r="AQ597" s="236" t="n"/>
      <c r="AR597" s="236" t="n"/>
      <c r="AS597" s="236" t="n"/>
      <c r="AT597" s="236" t="n"/>
      <c r="AU597" s="236" t="n"/>
      <c r="AV597" s="236" t="n"/>
      <c r="AW597" s="236" t="n"/>
      <c r="AX597" s="692" t="n"/>
      <c r="AY597" s="692" t="n"/>
      <c r="AZ597" s="692" t="n"/>
      <c r="BA597" s="692" t="n"/>
      <c r="BB597" s="692" t="n"/>
      <c r="BC597" s="692" t="n"/>
      <c r="BD597" s="692" t="n"/>
      <c r="BE597" s="692" t="n"/>
      <c r="BF597" s="692" t="n"/>
      <c r="BG597" s="692" t="n"/>
      <c r="BH597" s="692" t="n"/>
      <c r="BI597" s="692" t="n"/>
      <c r="BJ597" s="692" t="n"/>
      <c r="BK597" s="692" t="n"/>
      <c r="BL597" s="692" t="n"/>
      <c r="BM597" s="692" t="n"/>
      <c r="BN597" s="692" t="n"/>
      <c r="BO597" s="692" t="n"/>
      <c r="BP597" s="692" t="n"/>
      <c r="BQ597" s="692" t="n"/>
    </row>
    <row r="598">
      <c r="A598" s="218" t="n"/>
      <c r="B598" s="215" t="n"/>
      <c r="C598" s="215" t="n"/>
      <c r="D598" s="215" t="n"/>
      <c r="E598" s="219" t="n"/>
      <c r="F598" s="215" t="n"/>
      <c r="G598" s="215" t="n"/>
      <c r="H598" s="215" t="n"/>
      <c r="I598" s="215" t="n"/>
      <c r="J598" s="215" t="n"/>
      <c r="K598" s="215" t="n"/>
      <c r="L598" s="217" t="n"/>
      <c r="M598" s="689" t="n"/>
      <c r="N598" s="689" t="n"/>
      <c r="O598" s="689" t="n"/>
      <c r="P598" s="227" t="n"/>
      <c r="Q598" s="689" t="n"/>
      <c r="R598" s="689" t="n"/>
      <c r="S598" s="689" t="n"/>
      <c r="T598" s="689" t="n"/>
      <c r="U598" s="689" t="n"/>
      <c r="V598" s="689" t="n"/>
      <c r="W598" s="689" t="n"/>
      <c r="X598" s="689" t="n"/>
      <c r="Y598" s="689" t="n"/>
      <c r="Z598" s="689" t="n"/>
      <c r="AA598" s="689" t="n"/>
      <c r="AB598" s="689" t="n"/>
      <c r="AC598" s="689" t="n"/>
      <c r="AD598" s="689" t="n"/>
      <c r="AF598" s="236" t="n"/>
      <c r="AG598" s="236" t="n"/>
      <c r="AH598" s="236" t="n"/>
      <c r="AI598" s="236" t="n"/>
      <c r="AJ598" s="236" t="n"/>
      <c r="AK598" s="236" t="n"/>
      <c r="AL598" s="236" t="n"/>
      <c r="AM598" s="236" t="n"/>
      <c r="AN598" s="236" t="n"/>
      <c r="AO598" s="236" t="n"/>
      <c r="AP598" s="236" t="n"/>
      <c r="AQ598" s="236" t="n"/>
      <c r="AR598" s="236" t="n"/>
      <c r="AS598" s="236" t="n"/>
      <c r="AT598" s="236" t="n"/>
      <c r="AU598" s="236" t="n"/>
      <c r="AV598" s="236" t="n"/>
      <c r="AW598" s="236" t="n"/>
      <c r="AX598" s="692" t="n"/>
      <c r="AY598" s="692" t="n"/>
      <c r="AZ598" s="692" t="n"/>
      <c r="BA598" s="692" t="n"/>
      <c r="BB598" s="692" t="n"/>
      <c r="BC598" s="692" t="n"/>
      <c r="BD598" s="692" t="n"/>
      <c r="BE598" s="692" t="n"/>
      <c r="BF598" s="692" t="n"/>
      <c r="BG598" s="692" t="n"/>
      <c r="BH598" s="692" t="n"/>
      <c r="BI598" s="692" t="n"/>
      <c r="BJ598" s="692" t="n"/>
      <c r="BK598" s="692" t="n"/>
      <c r="BL598" s="692" t="n"/>
      <c r="BM598" s="692" t="n"/>
      <c r="BN598" s="692" t="n"/>
      <c r="BO598" s="692" t="n"/>
      <c r="BP598" s="692" t="n"/>
      <c r="BQ598" s="692" t="n"/>
    </row>
    <row r="599">
      <c r="A599" s="220" t="n"/>
      <c r="B599" s="211" t="n"/>
      <c r="C599" s="211" t="n"/>
      <c r="D599" s="211" t="n"/>
      <c r="E599" s="221" t="n"/>
      <c r="F599" s="211" t="n"/>
      <c r="G599" s="211" t="n"/>
      <c r="H599" s="211" t="n"/>
      <c r="I599" s="211" t="n"/>
      <c r="J599" s="211" t="n"/>
      <c r="K599" s="211" t="n"/>
      <c r="L599" s="213" t="n"/>
      <c r="M599" s="692" t="n"/>
      <c r="N599" s="692" t="n"/>
      <c r="O599" s="692" t="n"/>
      <c r="P599" s="261" t="n"/>
      <c r="Q599" s="692" t="n"/>
      <c r="R599" s="692" t="n"/>
      <c r="S599" s="692" t="n"/>
      <c r="T599" s="692" t="n"/>
      <c r="U599" s="692" t="n"/>
      <c r="V599" s="692" t="n"/>
      <c r="W599" s="692" t="n"/>
      <c r="X599" s="692" t="n"/>
      <c r="Y599" s="692" t="n"/>
      <c r="Z599" s="692" t="n"/>
      <c r="AA599" s="692" t="n"/>
      <c r="AB599" s="692" t="n"/>
      <c r="AC599" s="692" t="n"/>
      <c r="AD599" s="692" t="n"/>
      <c r="AF599" s="236" t="n"/>
      <c r="AG599" s="236" t="n"/>
      <c r="AH599" s="236" t="n"/>
      <c r="AI599" s="236" t="n"/>
      <c r="AJ599" s="236" t="n"/>
      <c r="AK599" s="236" t="n"/>
      <c r="AL599" s="236" t="n"/>
      <c r="AM599" s="236" t="n"/>
      <c r="AN599" s="236" t="n"/>
      <c r="AO599" s="236" t="n"/>
      <c r="AP599" s="236" t="n"/>
      <c r="AQ599" s="236" t="n"/>
      <c r="AR599" s="236" t="n"/>
      <c r="AS599" s="236" t="n"/>
      <c r="AT599" s="236" t="n"/>
      <c r="AU599" s="236" t="n"/>
      <c r="AV599" s="236" t="n"/>
      <c r="AW599" s="236" t="n"/>
      <c r="AX599" s="692" t="n"/>
      <c r="AY599" s="692" t="n"/>
      <c r="AZ599" s="692" t="n"/>
      <c r="BA599" s="692" t="n"/>
      <c r="BB599" s="692" t="n"/>
      <c r="BC599" s="692" t="n"/>
      <c r="BD599" s="692" t="n"/>
      <c r="BE599" s="692" t="n"/>
      <c r="BF599" s="692" t="n"/>
      <c r="BG599" s="692" t="n"/>
      <c r="BH599" s="692" t="n"/>
      <c r="BI599" s="692" t="n"/>
      <c r="BJ599" s="692" t="n"/>
      <c r="BK599" s="692" t="n"/>
      <c r="BL599" s="692" t="n"/>
      <c r="BM599" s="692" t="n"/>
      <c r="BN599" s="692" t="n"/>
      <c r="BO599" s="692" t="n"/>
      <c r="BP599" s="692" t="n"/>
      <c r="BQ599" s="692" t="n"/>
    </row>
    <row r="600">
      <c r="A600" s="218" t="n"/>
      <c r="B600" s="215" t="n"/>
      <c r="C600" s="215" t="n"/>
      <c r="D600" s="215" t="n"/>
      <c r="E600" s="219" t="n"/>
      <c r="F600" s="215" t="n"/>
      <c r="G600" s="215" t="n"/>
      <c r="H600" s="215" t="n"/>
      <c r="I600" s="215" t="n"/>
      <c r="J600" s="215" t="n"/>
      <c r="K600" s="215" t="n"/>
      <c r="L600" s="217" t="n"/>
      <c r="M600" s="692" t="n"/>
      <c r="N600" s="692" t="n"/>
      <c r="O600" s="692" t="n"/>
      <c r="P600" s="261" t="n"/>
      <c r="Q600" s="692" t="n"/>
      <c r="R600" s="692" t="n"/>
      <c r="S600" s="692" t="n"/>
      <c r="T600" s="692" t="n"/>
      <c r="U600" s="692" t="n"/>
      <c r="V600" s="692" t="n"/>
      <c r="W600" s="692" t="n"/>
      <c r="X600" s="692" t="n"/>
      <c r="Y600" s="692" t="n"/>
      <c r="Z600" s="692" t="n"/>
      <c r="AA600" s="692" t="n"/>
      <c r="AB600" s="692" t="n"/>
      <c r="AC600" s="692" t="n"/>
      <c r="AD600" s="692" t="n"/>
      <c r="AF600" s="236" t="n"/>
      <c r="AG600" s="236" t="n"/>
      <c r="AH600" s="236" t="n"/>
      <c r="AI600" s="236" t="n"/>
      <c r="AJ600" s="236" t="n"/>
      <c r="AK600" s="236" t="n"/>
      <c r="AL600" s="236" t="n"/>
      <c r="AM600" s="236" t="n"/>
      <c r="AN600" s="236" t="n"/>
      <c r="AO600" s="236" t="n"/>
      <c r="AP600" s="236" t="n"/>
      <c r="AQ600" s="236" t="n"/>
      <c r="AR600" s="236" t="n"/>
      <c r="AS600" s="236" t="n"/>
      <c r="AT600" s="236" t="n"/>
      <c r="AU600" s="236" t="n"/>
      <c r="AV600" s="236" t="n"/>
      <c r="AW600" s="236" t="n"/>
      <c r="AX600" s="692" t="n"/>
      <c r="AY600" s="692" t="n"/>
      <c r="AZ600" s="692" t="n"/>
      <c r="BA600" s="692" t="n"/>
      <c r="BB600" s="692" t="n"/>
      <c r="BC600" s="692" t="n"/>
      <c r="BD600" s="692" t="n"/>
      <c r="BE600" s="692" t="n"/>
      <c r="BF600" s="692" t="n"/>
      <c r="BG600" s="692" t="n"/>
      <c r="BH600" s="692" t="n"/>
      <c r="BI600" s="692" t="n"/>
      <c r="BJ600" s="692" t="n"/>
      <c r="BK600" s="692" t="n"/>
      <c r="BL600" s="692" t="n"/>
      <c r="BM600" s="692" t="n"/>
      <c r="BN600" s="692" t="n"/>
      <c r="BO600" s="692" t="n"/>
      <c r="BP600" s="692" t="n"/>
      <c r="BQ600" s="692" t="n"/>
    </row>
    <row r="601">
      <c r="A601" s="220" t="n"/>
      <c r="B601" s="211" t="n"/>
      <c r="C601" s="211" t="n"/>
      <c r="D601" s="211" t="n"/>
      <c r="E601" s="221" t="n"/>
      <c r="F601" s="211" t="n"/>
      <c r="G601" s="211" t="n"/>
      <c r="H601" s="211" t="n"/>
      <c r="I601" s="211" t="n"/>
      <c r="J601" s="211" t="n"/>
      <c r="K601" s="211" t="n"/>
      <c r="L601" s="213" t="n"/>
      <c r="M601" s="692" t="n"/>
      <c r="N601" s="692" t="n"/>
      <c r="O601" s="692" t="n"/>
      <c r="P601" s="261" t="n"/>
      <c r="Q601" s="692" t="n"/>
      <c r="R601" s="692" t="n"/>
      <c r="S601" s="692" t="n"/>
      <c r="T601" s="692" t="n"/>
      <c r="U601" s="692" t="n"/>
      <c r="V601" s="692" t="n"/>
      <c r="W601" s="692" t="n"/>
      <c r="X601" s="692" t="n"/>
      <c r="Y601" s="692" t="n"/>
      <c r="Z601" s="692" t="n"/>
      <c r="AA601" s="692" t="n"/>
      <c r="AB601" s="692" t="n"/>
      <c r="AC601" s="692" t="n"/>
      <c r="AD601" s="692" t="n"/>
      <c r="AF601" s="236" t="n"/>
      <c r="AG601" s="236" t="n"/>
      <c r="AH601" s="236" t="n"/>
      <c r="AI601" s="236" t="n"/>
      <c r="AJ601" s="236" t="n"/>
      <c r="AK601" s="236" t="n"/>
      <c r="AL601" s="236" t="n"/>
      <c r="AM601" s="236" t="n"/>
      <c r="AN601" s="236" t="n"/>
      <c r="AO601" s="236" t="n"/>
      <c r="AP601" s="236" t="n"/>
      <c r="AQ601" s="236" t="n"/>
      <c r="AR601" s="236" t="n"/>
      <c r="AS601" s="236" t="n"/>
      <c r="AT601" s="236" t="n"/>
      <c r="AU601" s="236" t="n"/>
      <c r="AV601" s="236" t="n"/>
      <c r="AW601" s="236" t="n"/>
      <c r="AX601" s="692" t="n"/>
      <c r="AY601" s="692" t="n"/>
      <c r="AZ601" s="692" t="n"/>
      <c r="BA601" s="692" t="n"/>
      <c r="BB601" s="692" t="n"/>
      <c r="BC601" s="692" t="n"/>
      <c r="BD601" s="692" t="n"/>
      <c r="BE601" s="692" t="n"/>
      <c r="BF601" s="692" t="n"/>
      <c r="BG601" s="692" t="n"/>
      <c r="BH601" s="692" t="n"/>
      <c r="BI601" s="692" t="n"/>
      <c r="BJ601" s="692" t="n"/>
      <c r="BK601" s="692" t="n"/>
      <c r="BL601" s="692" t="n"/>
      <c r="BM601" s="692" t="n"/>
      <c r="BN601" s="692" t="n"/>
      <c r="BO601" s="692" t="n"/>
      <c r="BP601" s="692" t="n"/>
      <c r="BQ601" s="692" t="n"/>
    </row>
    <row r="602">
      <c r="A602" s="218" t="n"/>
      <c r="B602" s="215" t="n"/>
      <c r="C602" s="215" t="n"/>
      <c r="D602" s="215" t="n"/>
      <c r="E602" s="219" t="n"/>
      <c r="F602" s="215" t="n"/>
      <c r="G602" s="215" t="n"/>
      <c r="H602" s="215" t="n"/>
      <c r="I602" s="215" t="n"/>
      <c r="J602" s="215" t="n"/>
      <c r="K602" s="215" t="n"/>
      <c r="L602" s="217" t="n"/>
      <c r="M602" s="692" t="n"/>
      <c r="N602" s="692" t="n"/>
      <c r="O602" s="692" t="n"/>
      <c r="P602" s="261" t="n"/>
      <c r="Q602" s="692" t="n"/>
      <c r="R602" s="692" t="n"/>
      <c r="S602" s="692" t="n"/>
      <c r="T602" s="692" t="n"/>
      <c r="U602" s="692" t="n"/>
      <c r="V602" s="692" t="n"/>
      <c r="W602" s="692" t="n"/>
      <c r="X602" s="692" t="n"/>
      <c r="Y602" s="692" t="n"/>
      <c r="Z602" s="692" t="n"/>
      <c r="AA602" s="692" t="n"/>
      <c r="AB602" s="692" t="n"/>
      <c r="AC602" s="692" t="n"/>
      <c r="AD602" s="692" t="n"/>
      <c r="AF602" s="236" t="n"/>
      <c r="AG602" s="236" t="n"/>
      <c r="AH602" s="236" t="n"/>
      <c r="AI602" s="236" t="n"/>
      <c r="AJ602" s="236" t="n"/>
      <c r="AK602" s="236" t="n"/>
      <c r="AL602" s="236" t="n"/>
      <c r="AM602" s="236" t="n"/>
      <c r="AN602" s="236" t="n"/>
      <c r="AO602" s="236" t="n"/>
      <c r="AP602" s="236" t="n"/>
      <c r="AQ602" s="236" t="n"/>
      <c r="AR602" s="236" t="n"/>
      <c r="AS602" s="236" t="n"/>
      <c r="AT602" s="236" t="n"/>
      <c r="AU602" s="236" t="n"/>
      <c r="AV602" s="236" t="n"/>
      <c r="AW602" s="236" t="n"/>
      <c r="AX602" s="692" t="n"/>
      <c r="AY602" s="692" t="n"/>
      <c r="AZ602" s="692" t="n"/>
      <c r="BA602" s="692" t="n"/>
      <c r="BB602" s="692" t="n"/>
      <c r="BC602" s="692" t="n"/>
      <c r="BD602" s="692" t="n"/>
      <c r="BE602" s="692" t="n"/>
      <c r="BF602" s="692" t="n"/>
      <c r="BG602" s="692" t="n"/>
      <c r="BH602" s="692" t="n"/>
      <c r="BI602" s="692" t="n"/>
      <c r="BJ602" s="692" t="n"/>
      <c r="BK602" s="692" t="n"/>
      <c r="BL602" s="692" t="n"/>
      <c r="BM602" s="692" t="n"/>
      <c r="BN602" s="692" t="n"/>
      <c r="BO602" s="692" t="n"/>
      <c r="BP602" s="692" t="n"/>
      <c r="BQ602" s="692" t="n"/>
    </row>
    <row r="603">
      <c r="A603" s="220" t="n"/>
      <c r="B603" s="211" t="n"/>
      <c r="C603" s="211" t="n"/>
      <c r="D603" s="211" t="n"/>
      <c r="E603" s="221" t="n"/>
      <c r="F603" s="211" t="n"/>
      <c r="G603" s="211" t="n"/>
      <c r="H603" s="211" t="n"/>
      <c r="I603" s="211" t="n"/>
      <c r="J603" s="211" t="n"/>
      <c r="K603" s="211" t="n"/>
      <c r="L603" s="213" t="n"/>
      <c r="M603" s="692" t="n"/>
      <c r="N603" s="692" t="n"/>
      <c r="O603" s="692" t="n"/>
      <c r="P603" s="261" t="n"/>
      <c r="Q603" s="692" t="n"/>
      <c r="R603" s="692" t="n"/>
      <c r="S603" s="692" t="n"/>
      <c r="T603" s="692" t="n"/>
      <c r="U603" s="692" t="n"/>
      <c r="V603" s="692" t="n"/>
      <c r="W603" s="692" t="n"/>
      <c r="X603" s="692" t="n"/>
      <c r="Y603" s="692" t="n"/>
      <c r="Z603" s="692" t="n"/>
      <c r="AA603" s="692" t="n"/>
      <c r="AB603" s="692" t="n"/>
      <c r="AC603" s="692" t="n"/>
      <c r="AD603" s="692" t="n"/>
      <c r="AF603" s="236" t="n"/>
      <c r="AG603" s="236" t="n"/>
      <c r="AH603" s="236" t="n"/>
      <c r="AI603" s="236" t="n"/>
      <c r="AJ603" s="236" t="n"/>
      <c r="AK603" s="236" t="n"/>
      <c r="AL603" s="236" t="n"/>
      <c r="AM603" s="236" t="n"/>
      <c r="AN603" s="236" t="n"/>
      <c r="AO603" s="236" t="n"/>
      <c r="AP603" s="236" t="n"/>
      <c r="AQ603" s="236" t="n"/>
      <c r="AR603" s="236" t="n"/>
      <c r="AS603" s="236" t="n"/>
      <c r="AT603" s="236" t="n"/>
      <c r="AU603" s="236" t="n"/>
      <c r="AV603" s="236" t="n"/>
      <c r="AW603" s="236" t="n"/>
      <c r="AX603" s="692" t="n"/>
      <c r="AY603" s="692" t="n"/>
      <c r="AZ603" s="692" t="n"/>
      <c r="BA603" s="692" t="n"/>
      <c r="BB603" s="692" t="n"/>
      <c r="BC603" s="692" t="n"/>
      <c r="BD603" s="692" t="n"/>
      <c r="BE603" s="692" t="n"/>
      <c r="BF603" s="692" t="n"/>
      <c r="BG603" s="692" t="n"/>
      <c r="BH603" s="692" t="n"/>
      <c r="BI603" s="692" t="n"/>
      <c r="BJ603" s="692" t="n"/>
      <c r="BK603" s="692" t="n"/>
      <c r="BL603" s="692" t="n"/>
      <c r="BM603" s="692" t="n"/>
      <c r="BN603" s="692" t="n"/>
      <c r="BO603" s="692" t="n"/>
      <c r="BP603" s="692" t="n"/>
      <c r="BQ603" s="692" t="n"/>
    </row>
    <row r="604">
      <c r="A604" s="218" t="n"/>
      <c r="B604" s="215" t="n"/>
      <c r="C604" s="215" t="n"/>
      <c r="D604" s="215" t="n"/>
      <c r="E604" s="219" t="n"/>
      <c r="F604" s="215" t="n"/>
      <c r="G604" s="215" t="n"/>
      <c r="H604" s="215" t="n"/>
      <c r="I604" s="215" t="n"/>
      <c r="J604" s="215" t="n"/>
      <c r="K604" s="215" t="n"/>
      <c r="L604" s="217" t="n"/>
      <c r="M604" s="692" t="n"/>
      <c r="N604" s="692" t="n"/>
      <c r="O604" s="692" t="n"/>
      <c r="P604" s="261" t="n"/>
      <c r="Q604" s="692" t="n"/>
      <c r="R604" s="692" t="n"/>
      <c r="S604" s="692" t="n"/>
      <c r="T604" s="692" t="n"/>
      <c r="U604" s="692" t="n"/>
      <c r="V604" s="692" t="n"/>
      <c r="W604" s="692" t="n"/>
      <c r="X604" s="692" t="n"/>
      <c r="Y604" s="692" t="n"/>
      <c r="Z604" s="692" t="n"/>
      <c r="AA604" s="692" t="n"/>
      <c r="AB604" s="692" t="n"/>
      <c r="AC604" s="692" t="n"/>
      <c r="AD604" s="692" t="n"/>
      <c r="AF604" s="236" t="n"/>
      <c r="AG604" s="236" t="n"/>
      <c r="AH604" s="236" t="n"/>
      <c r="AI604" s="236" t="n"/>
      <c r="AJ604" s="236" t="n"/>
      <c r="AK604" s="236" t="n"/>
      <c r="AL604" s="236" t="n"/>
      <c r="AM604" s="236" t="n"/>
      <c r="AN604" s="236" t="n"/>
      <c r="AO604" s="236" t="n"/>
      <c r="AP604" s="236" t="n"/>
      <c r="AQ604" s="236" t="n"/>
      <c r="AR604" s="236" t="n"/>
      <c r="AS604" s="236" t="n"/>
      <c r="AT604" s="236" t="n"/>
      <c r="AU604" s="236" t="n"/>
      <c r="AV604" s="236" t="n"/>
      <c r="AW604" s="236" t="n"/>
      <c r="AX604" s="692" t="n"/>
      <c r="AY604" s="692" t="n"/>
      <c r="AZ604" s="692" t="n"/>
      <c r="BA604" s="692" t="n"/>
      <c r="BB604" s="692" t="n"/>
      <c r="BC604" s="692" t="n"/>
      <c r="BD604" s="692" t="n"/>
      <c r="BE604" s="692" t="n"/>
      <c r="BF604" s="692" t="n"/>
      <c r="BG604" s="692" t="n"/>
      <c r="BH604" s="692" t="n"/>
      <c r="BI604" s="692" t="n"/>
      <c r="BJ604" s="692" t="n"/>
      <c r="BK604" s="692" t="n"/>
      <c r="BL604" s="692" t="n"/>
      <c r="BM604" s="692" t="n"/>
      <c r="BN604" s="692" t="n"/>
      <c r="BO604" s="692" t="n"/>
      <c r="BP604" s="692" t="n"/>
      <c r="BQ604" s="692" t="n"/>
    </row>
    <row r="605">
      <c r="A605" s="220" t="n"/>
      <c r="B605" s="211" t="n"/>
      <c r="C605" s="211" t="n"/>
      <c r="D605" s="211" t="n"/>
      <c r="E605" s="221" t="n"/>
      <c r="F605" s="211" t="n"/>
      <c r="G605" s="211" t="n"/>
      <c r="H605" s="211" t="n"/>
      <c r="I605" s="211" t="n"/>
      <c r="J605" s="211" t="n"/>
      <c r="K605" s="211" t="n"/>
      <c r="L605" s="213" t="n"/>
      <c r="M605" s="692" t="n"/>
      <c r="N605" s="692" t="n"/>
      <c r="O605" s="692" t="n"/>
      <c r="P605" s="261" t="n"/>
      <c r="Q605" s="692" t="n"/>
      <c r="R605" s="692" t="n"/>
      <c r="S605" s="692" t="n"/>
      <c r="T605" s="692" t="n"/>
      <c r="U605" s="692" t="n"/>
      <c r="V605" s="692" t="n"/>
      <c r="W605" s="692" t="n"/>
      <c r="X605" s="692" t="n"/>
      <c r="Y605" s="692" t="n"/>
      <c r="Z605" s="692" t="n"/>
      <c r="AA605" s="692" t="n"/>
      <c r="AB605" s="692" t="n"/>
      <c r="AC605" s="692" t="n"/>
      <c r="AD605" s="692" t="n"/>
      <c r="AF605" s="236" t="n"/>
      <c r="AG605" s="236" t="n"/>
      <c r="AH605" s="236" t="n"/>
      <c r="AI605" s="236" t="n"/>
      <c r="AJ605" s="236" t="n"/>
      <c r="AK605" s="236" t="n"/>
      <c r="AL605" s="236" t="n"/>
      <c r="AM605" s="236" t="n"/>
      <c r="AN605" s="236" t="n"/>
      <c r="AO605" s="236" t="n"/>
      <c r="AP605" s="236" t="n"/>
      <c r="AQ605" s="236" t="n"/>
      <c r="AR605" s="236" t="n"/>
      <c r="AS605" s="236" t="n"/>
      <c r="AT605" s="236" t="n"/>
      <c r="AU605" s="236" t="n"/>
      <c r="AV605" s="236" t="n"/>
      <c r="AW605" s="236" t="n"/>
      <c r="AX605" s="692" t="n"/>
      <c r="AY605" s="692" t="n"/>
      <c r="AZ605" s="692" t="n"/>
      <c r="BA605" s="692" t="n"/>
      <c r="BB605" s="692" t="n"/>
      <c r="BC605" s="692" t="n"/>
      <c r="BD605" s="692" t="n"/>
      <c r="BE605" s="692" t="n"/>
      <c r="BF605" s="692" t="n"/>
      <c r="BG605" s="692" t="n"/>
      <c r="BH605" s="692" t="n"/>
      <c r="BI605" s="692" t="n"/>
      <c r="BJ605" s="692" t="n"/>
      <c r="BK605" s="692" t="n"/>
      <c r="BL605" s="692" t="n"/>
      <c r="BM605" s="692" t="n"/>
      <c r="BN605" s="692" t="n"/>
      <c r="BO605" s="692" t="n"/>
      <c r="BP605" s="692" t="n"/>
      <c r="BQ605" s="692" t="n"/>
    </row>
    <row r="606">
      <c r="A606" s="218" t="n"/>
      <c r="B606" s="215" t="n"/>
      <c r="C606" s="215" t="n"/>
      <c r="D606" s="215" t="n"/>
      <c r="E606" s="219" t="n"/>
      <c r="F606" s="215" t="n"/>
      <c r="G606" s="215" t="n"/>
      <c r="H606" s="215" t="n"/>
      <c r="I606" s="215" t="n"/>
      <c r="J606" s="215" t="n"/>
      <c r="K606" s="215" t="n"/>
      <c r="L606" s="217" t="n"/>
      <c r="M606" s="692" t="n"/>
      <c r="N606" s="692" t="n"/>
      <c r="O606" s="692" t="n"/>
      <c r="P606" s="261" t="n"/>
      <c r="Q606" s="692" t="n"/>
      <c r="R606" s="692" t="n"/>
      <c r="S606" s="692" t="n"/>
      <c r="T606" s="692" t="n"/>
      <c r="U606" s="692" t="n"/>
      <c r="V606" s="692" t="n"/>
      <c r="W606" s="692" t="n"/>
      <c r="X606" s="692" t="n"/>
      <c r="Y606" s="692" t="n"/>
      <c r="Z606" s="692" t="n"/>
      <c r="AA606" s="692" t="n"/>
      <c r="AB606" s="692" t="n"/>
      <c r="AC606" s="692" t="n"/>
      <c r="AD606" s="692" t="n"/>
      <c r="AF606" s="236" t="n"/>
      <c r="AG606" s="236" t="n"/>
      <c r="AH606" s="236" t="n"/>
      <c r="AI606" s="236" t="n"/>
      <c r="AJ606" s="236" t="n"/>
      <c r="AK606" s="236" t="n"/>
      <c r="AL606" s="236" t="n"/>
      <c r="AM606" s="236" t="n"/>
      <c r="AN606" s="236" t="n"/>
      <c r="AO606" s="236" t="n"/>
      <c r="AP606" s="236" t="n"/>
      <c r="AQ606" s="236" t="n"/>
      <c r="AR606" s="236" t="n"/>
      <c r="AS606" s="236" t="n"/>
      <c r="AT606" s="236" t="n"/>
      <c r="AU606" s="236" t="n"/>
      <c r="AV606" s="236" t="n"/>
      <c r="AW606" s="236" t="n"/>
      <c r="AX606" s="692" t="n"/>
      <c r="AY606" s="692" t="n"/>
      <c r="AZ606" s="692" t="n"/>
      <c r="BA606" s="692" t="n"/>
      <c r="BB606" s="692" t="n"/>
      <c r="BC606" s="692" t="n"/>
      <c r="BD606" s="692" t="n"/>
      <c r="BE606" s="692" t="n"/>
      <c r="BF606" s="692" t="n"/>
      <c r="BG606" s="692" t="n"/>
      <c r="BH606" s="692" t="n"/>
      <c r="BI606" s="692" t="n"/>
      <c r="BJ606" s="692" t="n"/>
      <c r="BK606" s="692" t="n"/>
      <c r="BL606" s="692" t="n"/>
      <c r="BM606" s="692" t="n"/>
      <c r="BN606" s="692" t="n"/>
      <c r="BO606" s="692" t="n"/>
      <c r="BP606" s="692" t="n"/>
      <c r="BQ606" s="692" t="n"/>
    </row>
    <row r="607">
      <c r="A607" s="220" t="n"/>
      <c r="B607" s="211" t="n"/>
      <c r="C607" s="211" t="n"/>
      <c r="D607" s="211" t="n"/>
      <c r="E607" s="221" t="n"/>
      <c r="F607" s="211" t="n"/>
      <c r="G607" s="211" t="n"/>
      <c r="H607" s="211" t="n"/>
      <c r="I607" s="211" t="n"/>
      <c r="J607" s="211" t="n"/>
      <c r="K607" s="211" t="n"/>
      <c r="L607" s="213" t="n"/>
      <c r="M607" s="692" t="n"/>
      <c r="N607" s="692" t="n"/>
      <c r="O607" s="692" t="n"/>
      <c r="P607" s="261" t="n"/>
      <c r="Q607" s="692" t="n"/>
      <c r="R607" s="692" t="n"/>
      <c r="S607" s="692" t="n"/>
      <c r="T607" s="692" t="n"/>
      <c r="U607" s="692" t="n"/>
      <c r="V607" s="692" t="n"/>
      <c r="W607" s="692" t="n"/>
      <c r="X607" s="692" t="n"/>
      <c r="Y607" s="692" t="n"/>
      <c r="Z607" s="692" t="n"/>
      <c r="AA607" s="692" t="n"/>
      <c r="AB607" s="692" t="n"/>
      <c r="AC607" s="692" t="n"/>
      <c r="AD607" s="692" t="n"/>
      <c r="AF607" s="236" t="n"/>
      <c r="AG607" s="236" t="n"/>
      <c r="AH607" s="236" t="n"/>
      <c r="AI607" s="236" t="n"/>
      <c r="AJ607" s="236" t="n"/>
      <c r="AK607" s="236" t="n"/>
      <c r="AL607" s="236" t="n"/>
      <c r="AM607" s="236" t="n"/>
      <c r="AN607" s="236" t="n"/>
      <c r="AO607" s="236" t="n"/>
      <c r="AP607" s="236" t="n"/>
      <c r="AQ607" s="236" t="n"/>
      <c r="AR607" s="236" t="n"/>
      <c r="AS607" s="236" t="n"/>
      <c r="AT607" s="236" t="n"/>
      <c r="AU607" s="236" t="n"/>
      <c r="AV607" s="236" t="n"/>
      <c r="AW607" s="236" t="n"/>
      <c r="AX607" s="692" t="n"/>
      <c r="AY607" s="692" t="n"/>
      <c r="AZ607" s="692" t="n"/>
      <c r="BA607" s="692" t="n"/>
      <c r="BB607" s="692" t="n"/>
      <c r="BC607" s="692" t="n"/>
      <c r="BD607" s="692" t="n"/>
      <c r="BE607" s="692" t="n"/>
      <c r="BF607" s="692" t="n"/>
      <c r="BG607" s="692" t="n"/>
      <c r="BH607" s="692" t="n"/>
      <c r="BI607" s="692" t="n"/>
      <c r="BJ607" s="692" t="n"/>
      <c r="BK607" s="692" t="n"/>
      <c r="BL607" s="692" t="n"/>
      <c r="BM607" s="692" t="n"/>
      <c r="BN607" s="692" t="n"/>
      <c r="BO607" s="692" t="n"/>
      <c r="BP607" s="692" t="n"/>
      <c r="BQ607" s="692" t="n"/>
    </row>
    <row r="608">
      <c r="A608" s="218" t="n"/>
      <c r="B608" s="215" t="n"/>
      <c r="C608" s="215" t="n"/>
      <c r="D608" s="215" t="n"/>
      <c r="E608" s="219" t="n"/>
      <c r="F608" s="215" t="n"/>
      <c r="G608" s="215" t="n"/>
      <c r="H608" s="215" t="n"/>
      <c r="I608" s="215" t="n"/>
      <c r="J608" s="215" t="n"/>
      <c r="K608" s="215" t="n"/>
      <c r="L608" s="217" t="n"/>
      <c r="M608" s="692" t="n"/>
      <c r="N608" s="692" t="n"/>
      <c r="O608" s="692" t="n"/>
      <c r="P608" s="261" t="n"/>
      <c r="Q608" s="692" t="n"/>
      <c r="R608" s="692" t="n"/>
      <c r="S608" s="692" t="n"/>
      <c r="T608" s="692" t="n"/>
      <c r="U608" s="692" t="n"/>
      <c r="V608" s="692" t="n"/>
      <c r="W608" s="692" t="n"/>
      <c r="X608" s="692" t="n"/>
      <c r="Y608" s="692" t="n"/>
      <c r="Z608" s="692" t="n"/>
      <c r="AA608" s="692" t="n"/>
      <c r="AB608" s="692" t="n"/>
      <c r="AC608" s="692" t="n"/>
      <c r="AD608" s="692" t="n"/>
      <c r="AF608" s="236" t="n"/>
      <c r="AG608" s="236" t="n"/>
      <c r="AH608" s="236" t="n"/>
      <c r="AI608" s="236" t="n"/>
      <c r="AJ608" s="236" t="n"/>
      <c r="AK608" s="236" t="n"/>
      <c r="AL608" s="236" t="n"/>
      <c r="AM608" s="236" t="n"/>
      <c r="AN608" s="236" t="n"/>
      <c r="AO608" s="236" t="n"/>
      <c r="AP608" s="236" t="n"/>
      <c r="AQ608" s="236" t="n"/>
      <c r="AR608" s="236" t="n"/>
      <c r="AS608" s="236" t="n"/>
      <c r="AT608" s="236" t="n"/>
      <c r="AU608" s="236" t="n"/>
      <c r="AV608" s="236" t="n"/>
      <c r="AW608" s="236" t="n"/>
      <c r="AX608" s="692" t="n"/>
      <c r="AY608" s="692" t="n"/>
      <c r="AZ608" s="692" t="n"/>
      <c r="BA608" s="692" t="n"/>
      <c r="BB608" s="692" t="n"/>
      <c r="BC608" s="692" t="n"/>
      <c r="BD608" s="692" t="n"/>
      <c r="BE608" s="692" t="n"/>
      <c r="BF608" s="692" t="n"/>
      <c r="BG608" s="692" t="n"/>
      <c r="BH608" s="692" t="n"/>
      <c r="BI608" s="692" t="n"/>
      <c r="BJ608" s="692" t="n"/>
      <c r="BK608" s="692" t="n"/>
      <c r="BL608" s="692" t="n"/>
      <c r="BM608" s="692" t="n"/>
      <c r="BN608" s="692" t="n"/>
      <c r="BO608" s="692" t="n"/>
      <c r="BP608" s="692" t="n"/>
      <c r="BQ608" s="692" t="n"/>
    </row>
    <row r="609">
      <c r="A609" s="220" t="n"/>
      <c r="B609" s="211" t="n"/>
      <c r="C609" s="211" t="n"/>
      <c r="D609" s="211" t="n"/>
      <c r="E609" s="221" t="n"/>
      <c r="F609" s="211" t="n"/>
      <c r="G609" s="211" t="n"/>
      <c r="H609" s="211" t="n"/>
      <c r="I609" s="211" t="n"/>
      <c r="J609" s="211" t="n"/>
      <c r="K609" s="211" t="n"/>
      <c r="L609" s="213" t="n"/>
      <c r="M609" s="692" t="n"/>
      <c r="N609" s="692" t="n"/>
      <c r="O609" s="692" t="n"/>
      <c r="P609" s="261" t="n"/>
      <c r="Q609" s="692" t="n"/>
      <c r="R609" s="692" t="n"/>
      <c r="S609" s="692" t="n"/>
      <c r="T609" s="692" t="n"/>
      <c r="U609" s="692" t="n"/>
      <c r="V609" s="692" t="n"/>
      <c r="W609" s="692" t="n"/>
      <c r="X609" s="692" t="n"/>
      <c r="Y609" s="692" t="n"/>
      <c r="Z609" s="692" t="n"/>
      <c r="AA609" s="692" t="n"/>
      <c r="AB609" s="692" t="n"/>
      <c r="AC609" s="692" t="n"/>
      <c r="AD609" s="692" t="n"/>
      <c r="AF609" s="236" t="n"/>
      <c r="AG609" s="236" t="n"/>
      <c r="AH609" s="236" t="n"/>
      <c r="AI609" s="236" t="n"/>
      <c r="AJ609" s="236" t="n"/>
      <c r="AK609" s="236" t="n"/>
      <c r="AL609" s="236" t="n"/>
      <c r="AM609" s="236" t="n"/>
      <c r="AN609" s="236" t="n"/>
      <c r="AO609" s="236" t="n"/>
      <c r="AP609" s="236" t="n"/>
      <c r="AQ609" s="236" t="n"/>
      <c r="AR609" s="236" t="n"/>
      <c r="AS609" s="236" t="n"/>
      <c r="AT609" s="236" t="n"/>
      <c r="AU609" s="236" t="n"/>
      <c r="AV609" s="236" t="n"/>
      <c r="AW609" s="236" t="n"/>
      <c r="AX609" s="692" t="n"/>
      <c r="AY609" s="692" t="n"/>
      <c r="AZ609" s="692" t="n"/>
      <c r="BA609" s="692" t="n"/>
      <c r="BB609" s="692" t="n"/>
      <c r="BC609" s="692" t="n"/>
      <c r="BD609" s="692" t="n"/>
      <c r="BE609" s="692" t="n"/>
      <c r="BF609" s="692" t="n"/>
      <c r="BG609" s="692" t="n"/>
      <c r="BH609" s="692" t="n"/>
      <c r="BI609" s="692" t="n"/>
      <c r="BJ609" s="692" t="n"/>
      <c r="BK609" s="692" t="n"/>
      <c r="BL609" s="692" t="n"/>
      <c r="BM609" s="692" t="n"/>
      <c r="BN609" s="692" t="n"/>
      <c r="BO609" s="692" t="n"/>
      <c r="BP609" s="692" t="n"/>
      <c r="BQ609" s="692" t="n"/>
    </row>
    <row r="610">
      <c r="A610" s="218" t="n"/>
      <c r="B610" s="215" t="n"/>
      <c r="C610" s="215" t="n"/>
      <c r="D610" s="215" t="n"/>
      <c r="E610" s="219" t="n"/>
      <c r="F610" s="215" t="n"/>
      <c r="G610" s="215" t="n"/>
      <c r="H610" s="215" t="n"/>
      <c r="I610" s="215" t="n"/>
      <c r="J610" s="215" t="n"/>
      <c r="K610" s="215" t="n"/>
      <c r="L610" s="217" t="n"/>
      <c r="M610" s="692" t="n"/>
      <c r="N610" s="692" t="n"/>
      <c r="O610" s="692" t="n"/>
      <c r="P610" s="261" t="n"/>
      <c r="Q610" s="692" t="n"/>
      <c r="R610" s="692" t="n"/>
      <c r="S610" s="692" t="n"/>
      <c r="T610" s="692" t="n"/>
      <c r="U610" s="692" t="n"/>
      <c r="V610" s="692" t="n"/>
      <c r="W610" s="692" t="n"/>
      <c r="X610" s="692" t="n"/>
      <c r="Y610" s="692" t="n"/>
      <c r="Z610" s="692" t="n"/>
      <c r="AA610" s="692" t="n"/>
      <c r="AB610" s="692" t="n"/>
      <c r="AC610" s="692" t="n"/>
      <c r="AD610" s="692" t="n"/>
      <c r="AF610" s="236" t="n"/>
      <c r="AG610" s="236" t="n"/>
      <c r="AH610" s="236" t="n"/>
      <c r="AI610" s="236" t="n"/>
      <c r="AJ610" s="236" t="n"/>
      <c r="AK610" s="236" t="n"/>
      <c r="AL610" s="236" t="n"/>
      <c r="AM610" s="236" t="n"/>
      <c r="AN610" s="236" t="n"/>
      <c r="AO610" s="236" t="n"/>
      <c r="AP610" s="236" t="n"/>
      <c r="AQ610" s="236" t="n"/>
      <c r="AR610" s="236" t="n"/>
      <c r="AS610" s="236" t="n"/>
      <c r="AT610" s="236" t="n"/>
      <c r="AU610" s="236" t="n"/>
      <c r="AV610" s="236" t="n"/>
      <c r="AW610" s="236" t="n"/>
      <c r="AX610" s="692" t="n"/>
      <c r="AY610" s="692" t="n"/>
      <c r="AZ610" s="692" t="n"/>
      <c r="BA610" s="692" t="n"/>
      <c r="BB610" s="692" t="n"/>
      <c r="BC610" s="692" t="n"/>
      <c r="BD610" s="692" t="n"/>
      <c r="BE610" s="692" t="n"/>
      <c r="BF610" s="692" t="n"/>
      <c r="BG610" s="692" t="n"/>
      <c r="BH610" s="692" t="n"/>
      <c r="BI610" s="692" t="n"/>
      <c r="BJ610" s="692" t="n"/>
      <c r="BK610" s="692" t="n"/>
      <c r="BL610" s="692" t="n"/>
      <c r="BM610" s="692" t="n"/>
      <c r="BN610" s="692" t="n"/>
      <c r="BO610" s="692" t="n"/>
      <c r="BP610" s="692" t="n"/>
      <c r="BQ610" s="692" t="n"/>
    </row>
    <row r="611">
      <c r="A611" s="220" t="n"/>
      <c r="B611" s="211" t="n"/>
      <c r="C611" s="211" t="n"/>
      <c r="D611" s="211" t="n"/>
      <c r="E611" s="221" t="n"/>
      <c r="F611" s="211" t="n"/>
      <c r="G611" s="211" t="n"/>
      <c r="H611" s="211" t="n"/>
      <c r="I611" s="211" t="n"/>
      <c r="J611" s="211" t="n"/>
      <c r="K611" s="211" t="n"/>
      <c r="L611" s="213" t="n"/>
      <c r="M611" s="692" t="n"/>
      <c r="N611" s="692" t="n"/>
      <c r="O611" s="692" t="n"/>
      <c r="P611" s="261" t="n"/>
      <c r="Q611" s="692" t="n"/>
      <c r="R611" s="692" t="n"/>
      <c r="S611" s="692" t="n"/>
      <c r="T611" s="692" t="n"/>
      <c r="U611" s="692" t="n"/>
      <c r="V611" s="692" t="n"/>
      <c r="W611" s="692" t="n"/>
      <c r="X611" s="692" t="n"/>
      <c r="Y611" s="692" t="n"/>
      <c r="Z611" s="692" t="n"/>
      <c r="AA611" s="692" t="n"/>
      <c r="AB611" s="692" t="n"/>
      <c r="AC611" s="692" t="n"/>
      <c r="AD611" s="692" t="n"/>
      <c r="AF611" s="236" t="n"/>
      <c r="AG611" s="236" t="n"/>
      <c r="AH611" s="236" t="n"/>
      <c r="AI611" s="236" t="n"/>
      <c r="AJ611" s="236" t="n"/>
      <c r="AK611" s="236" t="n"/>
      <c r="AL611" s="236" t="n"/>
      <c r="AM611" s="236" t="n"/>
      <c r="AN611" s="236" t="n"/>
      <c r="AO611" s="236" t="n"/>
      <c r="AP611" s="236" t="n"/>
      <c r="AQ611" s="236" t="n"/>
      <c r="AR611" s="236" t="n"/>
      <c r="AS611" s="236" t="n"/>
      <c r="AT611" s="236" t="n"/>
      <c r="AU611" s="236" t="n"/>
      <c r="AV611" s="236" t="n"/>
      <c r="AW611" s="236" t="n"/>
      <c r="AX611" s="692" t="n"/>
      <c r="AY611" s="692" t="n"/>
      <c r="AZ611" s="692" t="n"/>
      <c r="BA611" s="692" t="n"/>
      <c r="BB611" s="692" t="n"/>
      <c r="BC611" s="692" t="n"/>
      <c r="BD611" s="692" t="n"/>
      <c r="BE611" s="692" t="n"/>
      <c r="BF611" s="692" t="n"/>
      <c r="BG611" s="692" t="n"/>
      <c r="BH611" s="692" t="n"/>
      <c r="BI611" s="692" t="n"/>
      <c r="BJ611" s="692" t="n"/>
      <c r="BK611" s="692" t="n"/>
      <c r="BL611" s="692" t="n"/>
      <c r="BM611" s="692" t="n"/>
      <c r="BN611" s="692" t="n"/>
      <c r="BO611" s="692" t="n"/>
      <c r="BP611" s="692" t="n"/>
      <c r="BQ611" s="692" t="n"/>
    </row>
    <row r="612">
      <c r="A612" s="218" t="n"/>
      <c r="B612" s="215" t="n"/>
      <c r="C612" s="215" t="n"/>
      <c r="D612" s="215" t="n"/>
      <c r="E612" s="219" t="n"/>
      <c r="F612" s="215" t="n"/>
      <c r="G612" s="215" t="n"/>
      <c r="H612" s="215" t="n"/>
      <c r="I612" s="215" t="n"/>
      <c r="J612" s="215" t="n"/>
      <c r="K612" s="215" t="n"/>
      <c r="L612" s="217" t="n"/>
      <c r="M612" s="692" t="n"/>
      <c r="N612" s="692" t="n"/>
      <c r="O612" s="692" t="n"/>
      <c r="P612" s="261" t="n"/>
      <c r="Q612" s="692" t="n"/>
      <c r="R612" s="692" t="n"/>
      <c r="S612" s="692" t="n"/>
      <c r="T612" s="692" t="n"/>
      <c r="U612" s="692" t="n"/>
      <c r="V612" s="692" t="n"/>
      <c r="W612" s="692" t="n"/>
      <c r="X612" s="692" t="n"/>
      <c r="Y612" s="692" t="n"/>
      <c r="Z612" s="692" t="n"/>
      <c r="AA612" s="692" t="n"/>
      <c r="AB612" s="692" t="n"/>
      <c r="AC612" s="692" t="n"/>
      <c r="AD612" s="692" t="n"/>
      <c r="AF612" s="236" t="n"/>
      <c r="AG612" s="236" t="n"/>
      <c r="AH612" s="236" t="n"/>
      <c r="AI612" s="236" t="n"/>
      <c r="AJ612" s="236" t="n"/>
      <c r="AK612" s="236" t="n"/>
      <c r="AL612" s="236" t="n"/>
      <c r="AM612" s="236" t="n"/>
      <c r="AN612" s="236" t="n"/>
      <c r="AO612" s="236" t="n"/>
      <c r="AP612" s="236" t="n"/>
      <c r="AQ612" s="236" t="n"/>
      <c r="AR612" s="236" t="n"/>
      <c r="AS612" s="236" t="n"/>
      <c r="AT612" s="236" t="n"/>
      <c r="AU612" s="236" t="n"/>
      <c r="AV612" s="236" t="n"/>
      <c r="AW612" s="236" t="n"/>
      <c r="AX612" s="692" t="n"/>
      <c r="AY612" s="692" t="n"/>
      <c r="AZ612" s="692" t="n"/>
      <c r="BA612" s="692" t="n"/>
      <c r="BB612" s="692" t="n"/>
      <c r="BC612" s="692" t="n"/>
      <c r="BD612" s="692" t="n"/>
      <c r="BE612" s="692" t="n"/>
      <c r="BF612" s="692" t="n"/>
      <c r="BG612" s="692" t="n"/>
      <c r="BH612" s="692" t="n"/>
      <c r="BI612" s="692" t="n"/>
      <c r="BJ612" s="692" t="n"/>
      <c r="BK612" s="692" t="n"/>
      <c r="BL612" s="692" t="n"/>
      <c r="BM612" s="692" t="n"/>
      <c r="BN612" s="692" t="n"/>
      <c r="BO612" s="692" t="n"/>
      <c r="BP612" s="692" t="n"/>
      <c r="BQ612" s="692" t="n"/>
    </row>
    <row r="613">
      <c r="A613" s="220" t="n"/>
      <c r="B613" s="211" t="n"/>
      <c r="C613" s="211" t="n"/>
      <c r="D613" s="211" t="n"/>
      <c r="E613" s="221" t="n"/>
      <c r="F613" s="211" t="n"/>
      <c r="G613" s="211" t="n"/>
      <c r="H613" s="211" t="n"/>
      <c r="I613" s="211" t="n"/>
      <c r="J613" s="211" t="n"/>
      <c r="K613" s="211" t="n"/>
      <c r="L613" s="213" t="n"/>
      <c r="M613" s="692" t="n"/>
      <c r="N613" s="692" t="n"/>
      <c r="O613" s="692" t="n"/>
      <c r="P613" s="261" t="n"/>
      <c r="Q613" s="692" t="n"/>
      <c r="R613" s="692" t="n"/>
      <c r="S613" s="692" t="n"/>
      <c r="T613" s="692" t="n"/>
      <c r="U613" s="692" t="n"/>
      <c r="V613" s="692" t="n"/>
      <c r="W613" s="692" t="n"/>
      <c r="X613" s="692" t="n"/>
      <c r="Y613" s="692" t="n"/>
      <c r="Z613" s="692" t="n"/>
      <c r="AA613" s="692" t="n"/>
      <c r="AB613" s="692" t="n"/>
      <c r="AC613" s="692" t="n"/>
      <c r="AD613" s="692" t="n"/>
      <c r="AF613" s="236" t="n"/>
      <c r="AG613" s="236" t="n"/>
      <c r="AH613" s="236" t="n"/>
      <c r="AI613" s="236" t="n"/>
      <c r="AJ613" s="236" t="n"/>
      <c r="AK613" s="236" t="n"/>
      <c r="AL613" s="236" t="n"/>
      <c r="AM613" s="236" t="n"/>
      <c r="AN613" s="236" t="n"/>
      <c r="AO613" s="236" t="n"/>
      <c r="AP613" s="236" t="n"/>
      <c r="AQ613" s="236" t="n"/>
      <c r="AR613" s="236" t="n"/>
      <c r="AS613" s="236" t="n"/>
      <c r="AT613" s="236" t="n"/>
      <c r="AU613" s="236" t="n"/>
      <c r="AV613" s="236" t="n"/>
      <c r="AW613" s="236" t="n"/>
      <c r="AX613" s="692" t="n"/>
      <c r="AY613" s="692" t="n"/>
      <c r="AZ613" s="692" t="n"/>
      <c r="BA613" s="692" t="n"/>
      <c r="BB613" s="692" t="n"/>
      <c r="BC613" s="692" t="n"/>
      <c r="BD613" s="692" t="n"/>
      <c r="BE613" s="692" t="n"/>
      <c r="BF613" s="692" t="n"/>
      <c r="BG613" s="692" t="n"/>
      <c r="BH613" s="692" t="n"/>
      <c r="BI613" s="692" t="n"/>
      <c r="BJ613" s="692" t="n"/>
      <c r="BK613" s="692" t="n"/>
      <c r="BL613" s="692" t="n"/>
      <c r="BM613" s="692" t="n"/>
      <c r="BN613" s="692" t="n"/>
      <c r="BO613" s="692" t="n"/>
      <c r="BP613" s="692" t="n"/>
      <c r="BQ613" s="692" t="n"/>
    </row>
    <row r="614">
      <c r="A614" s="218" t="n"/>
      <c r="B614" s="215" t="n"/>
      <c r="C614" s="215" t="n"/>
      <c r="D614" s="215" t="n"/>
      <c r="E614" s="219" t="n"/>
      <c r="F614" s="215" t="n"/>
      <c r="G614" s="215" t="n"/>
      <c r="H614" s="215" t="n"/>
      <c r="I614" s="215" t="n"/>
      <c r="J614" s="215" t="n"/>
      <c r="K614" s="215" t="n"/>
      <c r="L614" s="217" t="n"/>
      <c r="M614" s="692" t="n"/>
      <c r="N614" s="692" t="n"/>
      <c r="O614" s="692" t="n"/>
      <c r="P614" s="261" t="n"/>
      <c r="Q614" s="692" t="n"/>
      <c r="R614" s="692" t="n"/>
      <c r="S614" s="692" t="n"/>
      <c r="T614" s="692" t="n"/>
      <c r="U614" s="692" t="n"/>
      <c r="V614" s="692" t="n"/>
      <c r="W614" s="692" t="n"/>
      <c r="X614" s="692" t="n"/>
      <c r="Y614" s="692" t="n"/>
      <c r="Z614" s="692" t="n"/>
      <c r="AA614" s="692" t="n"/>
      <c r="AB614" s="692" t="n"/>
      <c r="AC614" s="692" t="n"/>
      <c r="AD614" s="692" t="n"/>
      <c r="AF614" s="236" t="n"/>
      <c r="AG614" s="236" t="n"/>
      <c r="AH614" s="236" t="n"/>
      <c r="AI614" s="236" t="n"/>
      <c r="AJ614" s="236" t="n"/>
      <c r="AK614" s="236" t="n"/>
      <c r="AL614" s="236" t="n"/>
      <c r="AM614" s="236" t="n"/>
      <c r="AN614" s="236" t="n"/>
      <c r="AO614" s="236" t="n"/>
      <c r="AP614" s="236" t="n"/>
      <c r="AQ614" s="236" t="n"/>
      <c r="AR614" s="236" t="n"/>
      <c r="AS614" s="236" t="n"/>
      <c r="AT614" s="236" t="n"/>
      <c r="AU614" s="236" t="n"/>
      <c r="AV614" s="236" t="n"/>
      <c r="AW614" s="236" t="n"/>
      <c r="AX614" s="692" t="n"/>
      <c r="AY614" s="692" t="n"/>
      <c r="AZ614" s="692" t="n"/>
      <c r="BA614" s="692" t="n"/>
      <c r="BB614" s="692" t="n"/>
      <c r="BC614" s="692" t="n"/>
      <c r="BD614" s="692" t="n"/>
      <c r="BE614" s="692" t="n"/>
      <c r="BF614" s="692" t="n"/>
      <c r="BG614" s="692" t="n"/>
      <c r="BH614" s="692" t="n"/>
      <c r="BI614" s="692" t="n"/>
      <c r="BJ614" s="692" t="n"/>
      <c r="BK614" s="692" t="n"/>
      <c r="BL614" s="692" t="n"/>
      <c r="BM614" s="692" t="n"/>
      <c r="BN614" s="692" t="n"/>
      <c r="BO614" s="692" t="n"/>
      <c r="BP614" s="692" t="n"/>
      <c r="BQ614" s="692" t="n"/>
    </row>
    <row r="615">
      <c r="A615" s="220" t="n"/>
      <c r="B615" s="211" t="n"/>
      <c r="C615" s="211" t="n"/>
      <c r="D615" s="211" t="n"/>
      <c r="E615" s="221" t="n"/>
      <c r="F615" s="211" t="n"/>
      <c r="G615" s="211" t="n"/>
      <c r="H615" s="211" t="n"/>
      <c r="I615" s="211" t="n"/>
      <c r="J615" s="211" t="n"/>
      <c r="K615" s="211" t="n"/>
      <c r="L615" s="213" t="n"/>
      <c r="M615" s="692" t="n"/>
      <c r="N615" s="692" t="n"/>
      <c r="O615" s="692" t="n"/>
      <c r="P615" s="261" t="n"/>
      <c r="Q615" s="692" t="n"/>
      <c r="R615" s="692" t="n"/>
      <c r="S615" s="692" t="n"/>
      <c r="T615" s="692" t="n"/>
      <c r="U615" s="692" t="n"/>
      <c r="V615" s="692" t="n"/>
      <c r="W615" s="692" t="n"/>
      <c r="X615" s="692" t="n"/>
      <c r="Y615" s="692" t="n"/>
      <c r="Z615" s="692" t="n"/>
      <c r="AA615" s="692" t="n"/>
      <c r="AB615" s="692" t="n"/>
      <c r="AC615" s="692" t="n"/>
      <c r="AD615" s="692" t="n"/>
      <c r="AF615" s="236" t="n"/>
      <c r="AG615" s="236" t="n"/>
      <c r="AH615" s="236" t="n"/>
      <c r="AI615" s="236" t="n"/>
      <c r="AJ615" s="236" t="n"/>
      <c r="AK615" s="236" t="n"/>
      <c r="AL615" s="236" t="n"/>
      <c r="AM615" s="236" t="n"/>
      <c r="AN615" s="236" t="n"/>
      <c r="AO615" s="236" t="n"/>
      <c r="AP615" s="236" t="n"/>
      <c r="AQ615" s="236" t="n"/>
      <c r="AR615" s="236" t="n"/>
      <c r="AS615" s="236" t="n"/>
      <c r="AT615" s="236" t="n"/>
      <c r="AU615" s="236" t="n"/>
      <c r="AV615" s="236" t="n"/>
      <c r="AW615" s="236" t="n"/>
      <c r="AX615" s="692" t="n"/>
      <c r="AY615" s="692" t="n"/>
      <c r="AZ615" s="692" t="n"/>
      <c r="BA615" s="692" t="n"/>
      <c r="BB615" s="692" t="n"/>
      <c r="BC615" s="692" t="n"/>
      <c r="BD615" s="692" t="n"/>
      <c r="BE615" s="692" t="n"/>
      <c r="BF615" s="692" t="n"/>
      <c r="BG615" s="692" t="n"/>
      <c r="BH615" s="692" t="n"/>
      <c r="BI615" s="692" t="n"/>
      <c r="BJ615" s="692" t="n"/>
      <c r="BK615" s="692" t="n"/>
      <c r="BL615" s="692" t="n"/>
      <c r="BM615" s="692" t="n"/>
      <c r="BN615" s="692" t="n"/>
      <c r="BO615" s="692" t="n"/>
      <c r="BP615" s="692" t="n"/>
      <c r="BQ615" s="692" t="n"/>
    </row>
    <row r="616">
      <c r="A616" s="218" t="n"/>
      <c r="B616" s="215" t="n"/>
      <c r="C616" s="215" t="n"/>
      <c r="D616" s="215" t="n"/>
      <c r="E616" s="219" t="n"/>
      <c r="F616" s="215" t="n"/>
      <c r="G616" s="215" t="n"/>
      <c r="H616" s="215" t="n"/>
      <c r="I616" s="215" t="n"/>
      <c r="J616" s="215" t="n"/>
      <c r="K616" s="215" t="n"/>
      <c r="L616" s="217" t="n"/>
      <c r="M616" s="692" t="n"/>
      <c r="N616" s="692" t="n"/>
      <c r="O616" s="692" t="n"/>
      <c r="P616" s="261" t="n"/>
      <c r="Q616" s="692" t="n"/>
      <c r="R616" s="692" t="n"/>
      <c r="S616" s="692" t="n"/>
      <c r="T616" s="692" t="n"/>
      <c r="U616" s="692" t="n"/>
      <c r="V616" s="692" t="n"/>
      <c r="W616" s="692" t="n"/>
      <c r="X616" s="692" t="n"/>
      <c r="Y616" s="692" t="n"/>
      <c r="Z616" s="692" t="n"/>
      <c r="AA616" s="692" t="n"/>
      <c r="AB616" s="692" t="n"/>
      <c r="AC616" s="692" t="n"/>
      <c r="AD616" s="692" t="n"/>
      <c r="AF616" s="236" t="n"/>
      <c r="AG616" s="236" t="n"/>
      <c r="AH616" s="236" t="n"/>
      <c r="AI616" s="236" t="n"/>
      <c r="AJ616" s="236" t="n"/>
      <c r="AK616" s="236" t="n"/>
      <c r="AL616" s="236" t="n"/>
      <c r="AM616" s="236" t="n"/>
      <c r="AN616" s="236" t="n"/>
      <c r="AO616" s="236" t="n"/>
      <c r="AP616" s="236" t="n"/>
      <c r="AQ616" s="236" t="n"/>
      <c r="AR616" s="236" t="n"/>
      <c r="AS616" s="236" t="n"/>
      <c r="AT616" s="236" t="n"/>
      <c r="AU616" s="236" t="n"/>
      <c r="AV616" s="236" t="n"/>
      <c r="AW616" s="236" t="n"/>
      <c r="AX616" s="692" t="n"/>
      <c r="AY616" s="692" t="n"/>
      <c r="AZ616" s="692" t="n"/>
      <c r="BA616" s="692" t="n"/>
      <c r="BB616" s="692" t="n"/>
      <c r="BC616" s="692" t="n"/>
      <c r="BD616" s="692" t="n"/>
      <c r="BE616" s="692" t="n"/>
      <c r="BF616" s="692" t="n"/>
      <c r="BG616" s="692" t="n"/>
      <c r="BH616" s="692" t="n"/>
      <c r="BI616" s="692" t="n"/>
      <c r="BJ616" s="692" t="n"/>
      <c r="BK616" s="692" t="n"/>
      <c r="BL616" s="692" t="n"/>
      <c r="BM616" s="692" t="n"/>
      <c r="BN616" s="692" t="n"/>
      <c r="BO616" s="692" t="n"/>
      <c r="BP616" s="692" t="n"/>
      <c r="BQ616" s="692" t="n"/>
    </row>
    <row r="617">
      <c r="A617" s="220" t="n"/>
      <c r="B617" s="211" t="n"/>
      <c r="C617" s="211" t="n"/>
      <c r="D617" s="211" t="n"/>
      <c r="E617" s="221" t="n"/>
      <c r="F617" s="211" t="n"/>
      <c r="G617" s="211" t="n"/>
      <c r="H617" s="211" t="n"/>
      <c r="I617" s="211" t="n"/>
      <c r="J617" s="211" t="n"/>
      <c r="K617" s="211" t="n"/>
      <c r="L617" s="213" t="n"/>
      <c r="M617" s="692" t="n"/>
      <c r="N617" s="692" t="n"/>
      <c r="O617" s="692" t="n"/>
      <c r="P617" s="261" t="n"/>
      <c r="Q617" s="692" t="n"/>
      <c r="R617" s="692" t="n"/>
      <c r="S617" s="692" t="n"/>
      <c r="T617" s="692" t="n"/>
      <c r="U617" s="692" t="n"/>
      <c r="V617" s="692" t="n"/>
      <c r="W617" s="692" t="n"/>
      <c r="X617" s="692" t="n"/>
      <c r="Y617" s="692" t="n"/>
      <c r="Z617" s="692" t="n"/>
      <c r="AA617" s="692" t="n"/>
      <c r="AB617" s="692" t="n"/>
      <c r="AC617" s="692" t="n"/>
      <c r="AD617" s="692" t="n"/>
      <c r="AF617" s="236" t="n"/>
      <c r="AG617" s="236" t="n"/>
      <c r="AH617" s="236" t="n"/>
      <c r="AI617" s="236" t="n"/>
      <c r="AJ617" s="236" t="n"/>
      <c r="AK617" s="236" t="n"/>
      <c r="AL617" s="236" t="n"/>
      <c r="AM617" s="236" t="n"/>
      <c r="AN617" s="236" t="n"/>
      <c r="AO617" s="236" t="n"/>
      <c r="AP617" s="236" t="n"/>
      <c r="AQ617" s="236" t="n"/>
      <c r="AR617" s="236" t="n"/>
      <c r="AS617" s="236" t="n"/>
      <c r="AT617" s="236" t="n"/>
      <c r="AU617" s="236" t="n"/>
      <c r="AV617" s="236" t="n"/>
      <c r="AW617" s="236" t="n"/>
      <c r="AX617" s="692" t="n"/>
      <c r="AY617" s="692" t="n"/>
      <c r="AZ617" s="692" t="n"/>
      <c r="BA617" s="692" t="n"/>
      <c r="BB617" s="692" t="n"/>
      <c r="BC617" s="692" t="n"/>
      <c r="BD617" s="692" t="n"/>
      <c r="BE617" s="692" t="n"/>
      <c r="BF617" s="692" t="n"/>
      <c r="BG617" s="692" t="n"/>
      <c r="BH617" s="692" t="n"/>
      <c r="BI617" s="692" t="n"/>
      <c r="BJ617" s="692" t="n"/>
      <c r="BK617" s="692" t="n"/>
      <c r="BL617" s="692" t="n"/>
      <c r="BM617" s="692" t="n"/>
      <c r="BN617" s="692" t="n"/>
      <c r="BO617" s="692" t="n"/>
      <c r="BP617" s="692" t="n"/>
      <c r="BQ617" s="692" t="n"/>
    </row>
    <row r="618">
      <c r="A618" s="218" t="n"/>
      <c r="B618" s="215" t="n"/>
      <c r="C618" s="215" t="n"/>
      <c r="D618" s="215" t="n"/>
      <c r="E618" s="219" t="n"/>
      <c r="F618" s="215" t="n"/>
      <c r="G618" s="215" t="n"/>
      <c r="H618" s="215" t="n"/>
      <c r="I618" s="215" t="n"/>
      <c r="J618" s="215" t="n"/>
      <c r="K618" s="215" t="n"/>
      <c r="L618" s="217" t="n"/>
      <c r="M618" s="692" t="n"/>
      <c r="N618" s="692" t="n"/>
      <c r="O618" s="692" t="n"/>
      <c r="P618" s="261" t="n"/>
      <c r="Q618" s="692" t="n"/>
      <c r="R618" s="692" t="n"/>
      <c r="S618" s="692" t="n"/>
      <c r="T618" s="692" t="n"/>
      <c r="U618" s="692" t="n"/>
      <c r="V618" s="692" t="n"/>
      <c r="W618" s="692" t="n"/>
      <c r="X618" s="692" t="n"/>
      <c r="Y618" s="692" t="n"/>
      <c r="Z618" s="692" t="n"/>
      <c r="AA618" s="692" t="n"/>
      <c r="AB618" s="692" t="n"/>
      <c r="AC618" s="692" t="n"/>
      <c r="AD618" s="692" t="n"/>
      <c r="AF618" s="236" t="n"/>
      <c r="AG618" s="236" t="n"/>
      <c r="AH618" s="236" t="n"/>
      <c r="AI618" s="236" t="n"/>
      <c r="AJ618" s="236" t="n"/>
      <c r="AK618" s="236" t="n"/>
      <c r="AL618" s="236" t="n"/>
      <c r="AM618" s="236" t="n"/>
      <c r="AN618" s="236" t="n"/>
      <c r="AO618" s="236" t="n"/>
      <c r="AP618" s="236" t="n"/>
      <c r="AQ618" s="236" t="n"/>
      <c r="AR618" s="236" t="n"/>
      <c r="AS618" s="236" t="n"/>
      <c r="AT618" s="236" t="n"/>
      <c r="AU618" s="236" t="n"/>
      <c r="AV618" s="236" t="n"/>
      <c r="AW618" s="236" t="n"/>
      <c r="AX618" s="692" t="n"/>
      <c r="AY618" s="692" t="n"/>
      <c r="AZ618" s="692" t="n"/>
      <c r="BA618" s="692" t="n"/>
      <c r="BB618" s="692" t="n"/>
      <c r="BC618" s="692" t="n"/>
      <c r="BD618" s="692" t="n"/>
      <c r="BE618" s="692" t="n"/>
      <c r="BF618" s="692" t="n"/>
      <c r="BG618" s="692" t="n"/>
      <c r="BH618" s="692" t="n"/>
      <c r="BI618" s="692" t="n"/>
      <c r="BJ618" s="692" t="n"/>
      <c r="BK618" s="692" t="n"/>
      <c r="BL618" s="692" t="n"/>
      <c r="BM618" s="692" t="n"/>
      <c r="BN618" s="692" t="n"/>
      <c r="BO618" s="692" t="n"/>
      <c r="BP618" s="692" t="n"/>
      <c r="BQ618" s="692" t="n"/>
    </row>
    <row r="619">
      <c r="A619" s="220" t="n"/>
      <c r="B619" s="211" t="n"/>
      <c r="C619" s="211" t="n"/>
      <c r="D619" s="211" t="n"/>
      <c r="E619" s="221" t="n"/>
      <c r="F619" s="211" t="n"/>
      <c r="G619" s="211" t="n"/>
      <c r="H619" s="211" t="n"/>
      <c r="I619" s="211" t="n"/>
      <c r="J619" s="211" t="n"/>
      <c r="K619" s="211" t="n"/>
      <c r="L619" s="213" t="n"/>
      <c r="M619" s="692" t="n"/>
      <c r="N619" s="692" t="n"/>
      <c r="O619" s="692" t="n"/>
      <c r="P619" s="261" t="n"/>
      <c r="Q619" s="692" t="n"/>
      <c r="R619" s="692" t="n"/>
      <c r="S619" s="692" t="n"/>
      <c r="T619" s="692" t="n"/>
      <c r="U619" s="692" t="n"/>
      <c r="V619" s="692" t="n"/>
      <c r="W619" s="692" t="n"/>
      <c r="X619" s="692" t="n"/>
      <c r="Y619" s="692" t="n"/>
      <c r="Z619" s="692" t="n"/>
      <c r="AA619" s="692" t="n"/>
      <c r="AB619" s="692" t="n"/>
      <c r="AC619" s="692" t="n"/>
      <c r="AD619" s="692" t="n"/>
      <c r="AF619" s="236" t="n"/>
      <c r="AG619" s="236" t="n"/>
      <c r="AH619" s="236" t="n"/>
      <c r="AI619" s="236" t="n"/>
      <c r="AJ619" s="236" t="n"/>
      <c r="AK619" s="236" t="n"/>
      <c r="AL619" s="236" t="n"/>
      <c r="AM619" s="236" t="n"/>
      <c r="AN619" s="236" t="n"/>
      <c r="AO619" s="236" t="n"/>
      <c r="AP619" s="236" t="n"/>
      <c r="AQ619" s="236" t="n"/>
      <c r="AR619" s="236" t="n"/>
      <c r="AS619" s="236" t="n"/>
      <c r="AT619" s="236" t="n"/>
      <c r="AU619" s="236" t="n"/>
      <c r="AV619" s="236" t="n"/>
      <c r="AW619" s="236" t="n"/>
      <c r="AX619" s="692" t="n"/>
      <c r="AY619" s="692" t="n"/>
      <c r="AZ619" s="692" t="n"/>
      <c r="BA619" s="692" t="n"/>
      <c r="BB619" s="692" t="n"/>
      <c r="BC619" s="692" t="n"/>
      <c r="BD619" s="692" t="n"/>
      <c r="BE619" s="692" t="n"/>
      <c r="BF619" s="692" t="n"/>
      <c r="BG619" s="692" t="n"/>
      <c r="BH619" s="692" t="n"/>
      <c r="BI619" s="692" t="n"/>
      <c r="BJ619" s="692" t="n"/>
      <c r="BK619" s="692" t="n"/>
      <c r="BL619" s="692" t="n"/>
      <c r="BM619" s="692" t="n"/>
      <c r="BN619" s="692" t="n"/>
      <c r="BO619" s="692" t="n"/>
      <c r="BP619" s="692" t="n"/>
      <c r="BQ619" s="692" t="n"/>
    </row>
    <row r="620">
      <c r="A620" s="218" t="n"/>
      <c r="B620" s="215" t="n"/>
      <c r="C620" s="215" t="n"/>
      <c r="D620" s="215" t="n"/>
      <c r="E620" s="219" t="n"/>
      <c r="F620" s="215" t="n"/>
      <c r="G620" s="215" t="n"/>
      <c r="H620" s="215" t="n"/>
      <c r="I620" s="215" t="n"/>
      <c r="J620" s="215" t="n"/>
      <c r="K620" s="215" t="n"/>
      <c r="L620" s="217" t="n"/>
      <c r="M620" s="692" t="n"/>
      <c r="N620" s="692" t="n"/>
      <c r="O620" s="692" t="n"/>
      <c r="P620" s="261" t="n"/>
      <c r="Q620" s="692" t="n"/>
      <c r="R620" s="692" t="n"/>
      <c r="S620" s="692" t="n"/>
      <c r="T620" s="692" t="n"/>
      <c r="U620" s="692" t="n"/>
      <c r="V620" s="692" t="n"/>
      <c r="W620" s="692" t="n"/>
      <c r="X620" s="692" t="n"/>
      <c r="Y620" s="692" t="n"/>
      <c r="Z620" s="692" t="n"/>
      <c r="AA620" s="692" t="n"/>
      <c r="AB620" s="692" t="n"/>
      <c r="AC620" s="692" t="n"/>
      <c r="AD620" s="692" t="n"/>
      <c r="AF620" s="236" t="n"/>
      <c r="AG620" s="236" t="n"/>
      <c r="AH620" s="236" t="n"/>
      <c r="AI620" s="236" t="n"/>
      <c r="AJ620" s="236" t="n"/>
      <c r="AK620" s="236" t="n"/>
      <c r="AL620" s="236" t="n"/>
      <c r="AM620" s="236" t="n"/>
      <c r="AN620" s="236" t="n"/>
      <c r="AO620" s="236" t="n"/>
      <c r="AP620" s="236" t="n"/>
      <c r="AQ620" s="236" t="n"/>
      <c r="AR620" s="236" t="n"/>
      <c r="AS620" s="236" t="n"/>
      <c r="AT620" s="236" t="n"/>
      <c r="AU620" s="236" t="n"/>
      <c r="AV620" s="236" t="n"/>
      <c r="AW620" s="236" t="n"/>
      <c r="AX620" s="692" t="n"/>
      <c r="AY620" s="692" t="n"/>
      <c r="AZ620" s="692" t="n"/>
      <c r="BA620" s="692" t="n"/>
      <c r="BB620" s="692" t="n"/>
      <c r="BC620" s="692" t="n"/>
      <c r="BD620" s="692" t="n"/>
      <c r="BE620" s="692" t="n"/>
      <c r="BF620" s="692" t="n"/>
      <c r="BG620" s="692" t="n"/>
      <c r="BH620" s="692" t="n"/>
      <c r="BI620" s="692" t="n"/>
      <c r="BJ620" s="692" t="n"/>
      <c r="BK620" s="692" t="n"/>
      <c r="BL620" s="692" t="n"/>
      <c r="BM620" s="692" t="n"/>
      <c r="BN620" s="692" t="n"/>
      <c r="BO620" s="692" t="n"/>
      <c r="BP620" s="692" t="n"/>
      <c r="BQ620" s="692" t="n"/>
    </row>
    <row r="621">
      <c r="A621" s="220" t="n"/>
      <c r="B621" s="211" t="n"/>
      <c r="C621" s="211" t="n"/>
      <c r="D621" s="211" t="n"/>
      <c r="E621" s="221" t="n"/>
      <c r="F621" s="211" t="n"/>
      <c r="G621" s="211" t="n"/>
      <c r="H621" s="211" t="n"/>
      <c r="I621" s="211" t="n"/>
      <c r="J621" s="211" t="n"/>
      <c r="K621" s="211" t="n"/>
      <c r="L621" s="213" t="n"/>
      <c r="M621" s="692" t="n"/>
      <c r="N621" s="692" t="n"/>
      <c r="O621" s="692" t="n"/>
      <c r="P621" s="261" t="n"/>
      <c r="Q621" s="692" t="n"/>
      <c r="R621" s="692" t="n"/>
      <c r="S621" s="692" t="n"/>
      <c r="T621" s="692" t="n"/>
      <c r="U621" s="692" t="n"/>
      <c r="V621" s="692" t="n"/>
      <c r="W621" s="692" t="n"/>
      <c r="X621" s="692" t="n"/>
      <c r="Y621" s="692" t="n"/>
      <c r="Z621" s="692" t="n"/>
      <c r="AA621" s="692" t="n"/>
      <c r="AB621" s="692" t="n"/>
      <c r="AC621" s="692" t="n"/>
      <c r="AD621" s="692" t="n"/>
      <c r="AF621" s="236" t="n"/>
      <c r="AG621" s="236" t="n"/>
      <c r="AH621" s="236" t="n"/>
      <c r="AI621" s="236" t="n"/>
      <c r="AJ621" s="236" t="n"/>
      <c r="AK621" s="236" t="n"/>
      <c r="AL621" s="236" t="n"/>
      <c r="AM621" s="236" t="n"/>
      <c r="AN621" s="236" t="n"/>
      <c r="AO621" s="236" t="n"/>
      <c r="AP621" s="236" t="n"/>
      <c r="AQ621" s="236" t="n"/>
      <c r="AR621" s="236" t="n"/>
      <c r="AS621" s="236" t="n"/>
      <c r="AT621" s="236" t="n"/>
      <c r="AU621" s="236" t="n"/>
      <c r="AV621" s="236" t="n"/>
      <c r="AW621" s="236" t="n"/>
      <c r="AX621" s="692" t="n"/>
      <c r="AY621" s="692" t="n"/>
      <c r="AZ621" s="692" t="n"/>
      <c r="BA621" s="692" t="n"/>
      <c r="BB621" s="692" t="n"/>
      <c r="BC621" s="692" t="n"/>
      <c r="BD621" s="692" t="n"/>
      <c r="BE621" s="692" t="n"/>
      <c r="BF621" s="692" t="n"/>
      <c r="BG621" s="692" t="n"/>
      <c r="BH621" s="692" t="n"/>
      <c r="BI621" s="692" t="n"/>
      <c r="BJ621" s="692" t="n"/>
      <c r="BK621" s="692" t="n"/>
      <c r="BL621" s="692" t="n"/>
      <c r="BM621" s="692" t="n"/>
      <c r="BN621" s="692" t="n"/>
      <c r="BO621" s="692" t="n"/>
      <c r="BP621" s="692" t="n"/>
      <c r="BQ621" s="692" t="n"/>
    </row>
    <row r="622">
      <c r="A622" s="218" t="n"/>
      <c r="B622" s="215" t="n"/>
      <c r="C622" s="215" t="n"/>
      <c r="D622" s="215" t="n"/>
      <c r="E622" s="219" t="n"/>
      <c r="F622" s="215" t="n"/>
      <c r="G622" s="215" t="n"/>
      <c r="H622" s="215" t="n"/>
      <c r="I622" s="215" t="n"/>
      <c r="J622" s="215" t="n"/>
      <c r="K622" s="215" t="n"/>
      <c r="L622" s="217" t="n"/>
      <c r="M622" s="692" t="n"/>
      <c r="N622" s="692" t="n"/>
      <c r="O622" s="692" t="n"/>
      <c r="P622" s="261" t="n"/>
      <c r="Q622" s="692" t="n"/>
      <c r="R622" s="692" t="n"/>
      <c r="S622" s="692" t="n"/>
      <c r="T622" s="692" t="n"/>
      <c r="U622" s="692" t="n"/>
      <c r="V622" s="692" t="n"/>
      <c r="W622" s="692" t="n"/>
      <c r="X622" s="692" t="n"/>
      <c r="Y622" s="692" t="n"/>
      <c r="Z622" s="692" t="n"/>
      <c r="AA622" s="692" t="n"/>
      <c r="AB622" s="692" t="n"/>
      <c r="AC622" s="692" t="n"/>
      <c r="AD622" s="692" t="n"/>
      <c r="AF622" s="236" t="n"/>
      <c r="AG622" s="236" t="n"/>
      <c r="AH622" s="236" t="n"/>
      <c r="AI622" s="236" t="n"/>
      <c r="AJ622" s="236" t="n"/>
      <c r="AK622" s="236" t="n"/>
      <c r="AL622" s="236" t="n"/>
      <c r="AM622" s="236" t="n"/>
      <c r="AN622" s="236" t="n"/>
      <c r="AO622" s="236" t="n"/>
      <c r="AP622" s="236" t="n"/>
      <c r="AQ622" s="236" t="n"/>
      <c r="AR622" s="236" t="n"/>
      <c r="AS622" s="236" t="n"/>
      <c r="AT622" s="236" t="n"/>
      <c r="AU622" s="236" t="n"/>
      <c r="AV622" s="236" t="n"/>
      <c r="AW622" s="236" t="n"/>
      <c r="AX622" s="692" t="n"/>
      <c r="AY622" s="692" t="n"/>
      <c r="AZ622" s="692" t="n"/>
      <c r="BA622" s="692" t="n"/>
      <c r="BB622" s="692" t="n"/>
      <c r="BC622" s="692" t="n"/>
      <c r="BD622" s="692" t="n"/>
      <c r="BE622" s="692" t="n"/>
      <c r="BF622" s="692" t="n"/>
      <c r="BG622" s="692" t="n"/>
      <c r="BH622" s="692" t="n"/>
      <c r="BI622" s="692" t="n"/>
      <c r="BJ622" s="692" t="n"/>
      <c r="BK622" s="692" t="n"/>
      <c r="BL622" s="692" t="n"/>
      <c r="BM622" s="692" t="n"/>
      <c r="BN622" s="692" t="n"/>
      <c r="BO622" s="692" t="n"/>
      <c r="BP622" s="692" t="n"/>
      <c r="BQ622" s="692" t="n"/>
    </row>
    <row r="623">
      <c r="A623" s="220" t="n"/>
      <c r="B623" s="211" t="n"/>
      <c r="C623" s="211" t="n"/>
      <c r="D623" s="211" t="n"/>
      <c r="E623" s="221" t="n"/>
      <c r="F623" s="211" t="n"/>
      <c r="G623" s="211" t="n"/>
      <c r="H623" s="211" t="n"/>
      <c r="I623" s="211" t="n"/>
      <c r="J623" s="211" t="n"/>
      <c r="K623" s="211" t="n"/>
      <c r="L623" s="213" t="n"/>
      <c r="M623" s="692" t="n"/>
      <c r="N623" s="692" t="n"/>
      <c r="O623" s="692" t="n"/>
      <c r="P623" s="261" t="n"/>
      <c r="Q623" s="692" t="n"/>
      <c r="R623" s="692" t="n"/>
      <c r="S623" s="692" t="n"/>
      <c r="T623" s="692" t="n"/>
      <c r="U623" s="692" t="n"/>
      <c r="V623" s="692" t="n"/>
      <c r="W623" s="692" t="n"/>
      <c r="X623" s="692" t="n"/>
      <c r="Y623" s="692" t="n"/>
      <c r="Z623" s="692" t="n"/>
      <c r="AA623" s="692" t="n"/>
      <c r="AB623" s="692" t="n"/>
      <c r="AC623" s="692" t="n"/>
      <c r="AD623" s="692" t="n"/>
      <c r="AF623" s="236" t="n"/>
      <c r="AG623" s="236" t="n"/>
      <c r="AH623" s="236" t="n"/>
      <c r="AI623" s="236" t="n"/>
      <c r="AJ623" s="236" t="n"/>
      <c r="AK623" s="236" t="n"/>
      <c r="AL623" s="236" t="n"/>
      <c r="AM623" s="236" t="n"/>
      <c r="AN623" s="236" t="n"/>
      <c r="AO623" s="236" t="n"/>
      <c r="AP623" s="236" t="n"/>
      <c r="AQ623" s="236" t="n"/>
      <c r="AR623" s="236" t="n"/>
      <c r="AS623" s="236" t="n"/>
      <c r="AT623" s="236" t="n"/>
      <c r="AU623" s="236" t="n"/>
      <c r="AV623" s="236" t="n"/>
      <c r="AW623" s="236" t="n"/>
      <c r="AX623" s="692" t="n"/>
      <c r="AY623" s="692" t="n"/>
      <c r="AZ623" s="692" t="n"/>
      <c r="BA623" s="692" t="n"/>
      <c r="BB623" s="692" t="n"/>
      <c r="BC623" s="692" t="n"/>
      <c r="BD623" s="692" t="n"/>
      <c r="BE623" s="692" t="n"/>
      <c r="BF623" s="692" t="n"/>
      <c r="BG623" s="692" t="n"/>
      <c r="BH623" s="692" t="n"/>
      <c r="BI623" s="692" t="n"/>
      <c r="BJ623" s="692" t="n"/>
      <c r="BK623" s="692" t="n"/>
      <c r="BL623" s="692" t="n"/>
      <c r="BM623" s="692" t="n"/>
      <c r="BN623" s="692" t="n"/>
      <c r="BO623" s="692" t="n"/>
      <c r="BP623" s="692" t="n"/>
      <c r="BQ623" s="692" t="n"/>
    </row>
    <row r="624">
      <c r="A624" s="218" t="n"/>
      <c r="B624" s="215" t="n"/>
      <c r="C624" s="215" t="n"/>
      <c r="D624" s="215" t="n"/>
      <c r="E624" s="219" t="n"/>
      <c r="F624" s="215" t="n"/>
      <c r="G624" s="215" t="n"/>
      <c r="H624" s="215" t="n"/>
      <c r="I624" s="215" t="n"/>
      <c r="J624" s="215" t="n"/>
      <c r="K624" s="215" t="n"/>
      <c r="L624" s="217" t="n"/>
      <c r="M624" s="692" t="n"/>
      <c r="N624" s="692" t="n"/>
      <c r="O624" s="692" t="n"/>
      <c r="P624" s="261" t="n"/>
      <c r="Q624" s="692" t="n"/>
      <c r="R624" s="692" t="n"/>
      <c r="S624" s="692" t="n"/>
      <c r="T624" s="692" t="n"/>
      <c r="U624" s="692" t="n"/>
      <c r="V624" s="692" t="n"/>
      <c r="W624" s="692" t="n"/>
      <c r="X624" s="692" t="n"/>
      <c r="Y624" s="692" t="n"/>
      <c r="Z624" s="692" t="n"/>
      <c r="AA624" s="692" t="n"/>
      <c r="AB624" s="692" t="n"/>
      <c r="AC624" s="692" t="n"/>
      <c r="AD624" s="692" t="n"/>
      <c r="AF624" s="236" t="n"/>
      <c r="AG624" s="236" t="n"/>
      <c r="AH624" s="236" t="n"/>
      <c r="AI624" s="236" t="n"/>
      <c r="AJ624" s="236" t="n"/>
      <c r="AK624" s="236" t="n"/>
      <c r="AL624" s="236" t="n"/>
      <c r="AM624" s="236" t="n"/>
      <c r="AN624" s="236" t="n"/>
      <c r="AO624" s="236" t="n"/>
      <c r="AP624" s="236" t="n"/>
      <c r="AQ624" s="236" t="n"/>
      <c r="AR624" s="236" t="n"/>
      <c r="AS624" s="236" t="n"/>
      <c r="AT624" s="236" t="n"/>
      <c r="AU624" s="236" t="n"/>
      <c r="AV624" s="236" t="n"/>
      <c r="AW624" s="236" t="n"/>
      <c r="AX624" s="692" t="n"/>
      <c r="AY624" s="692" t="n"/>
      <c r="AZ624" s="692" t="n"/>
      <c r="BA624" s="692" t="n"/>
      <c r="BB624" s="692" t="n"/>
      <c r="BC624" s="692" t="n"/>
      <c r="BD624" s="692" t="n"/>
      <c r="BE624" s="692" t="n"/>
      <c r="BF624" s="692" t="n"/>
      <c r="BG624" s="692" t="n"/>
      <c r="BH624" s="692" t="n"/>
      <c r="BI624" s="692" t="n"/>
      <c r="BJ624" s="692" t="n"/>
      <c r="BK624" s="692" t="n"/>
      <c r="BL624" s="692" t="n"/>
      <c r="BM624" s="692" t="n"/>
      <c r="BN624" s="692" t="n"/>
      <c r="BO624" s="692" t="n"/>
      <c r="BP624" s="692" t="n"/>
      <c r="BQ624" s="692" t="n"/>
    </row>
    <row r="625">
      <c r="A625" s="220" t="n"/>
      <c r="B625" s="211" t="n"/>
      <c r="C625" s="211" t="n"/>
      <c r="D625" s="211" t="n"/>
      <c r="E625" s="221" t="n"/>
      <c r="F625" s="211" t="n"/>
      <c r="G625" s="211" t="n"/>
      <c r="H625" s="211" t="n"/>
      <c r="I625" s="211" t="n"/>
      <c r="J625" s="211" t="n"/>
      <c r="K625" s="211" t="n"/>
      <c r="L625" s="213" t="n"/>
      <c r="M625" s="692" t="n"/>
      <c r="N625" s="692" t="n"/>
      <c r="O625" s="692" t="n"/>
      <c r="P625" s="261" t="n"/>
      <c r="Q625" s="692" t="n"/>
      <c r="R625" s="692" t="n"/>
      <c r="S625" s="692" t="n"/>
      <c r="T625" s="692" t="n"/>
      <c r="U625" s="692" t="n"/>
      <c r="V625" s="692" t="n"/>
      <c r="W625" s="692" t="n"/>
      <c r="X625" s="692" t="n"/>
      <c r="Y625" s="692" t="n"/>
      <c r="Z625" s="692" t="n"/>
      <c r="AA625" s="692" t="n"/>
      <c r="AB625" s="692" t="n"/>
      <c r="AC625" s="692" t="n"/>
      <c r="AD625" s="692" t="n"/>
      <c r="AF625" s="236" t="n"/>
      <c r="AG625" s="236" t="n"/>
      <c r="AH625" s="236" t="n"/>
      <c r="AI625" s="236" t="n"/>
      <c r="AJ625" s="236" t="n"/>
      <c r="AK625" s="236" t="n"/>
      <c r="AL625" s="236" t="n"/>
      <c r="AM625" s="236" t="n"/>
      <c r="AN625" s="236" t="n"/>
      <c r="AO625" s="236" t="n"/>
      <c r="AP625" s="236" t="n"/>
      <c r="AQ625" s="236" t="n"/>
      <c r="AR625" s="236" t="n"/>
      <c r="AS625" s="236" t="n"/>
      <c r="AT625" s="236" t="n"/>
      <c r="AU625" s="236" t="n"/>
      <c r="AV625" s="236" t="n"/>
      <c r="AW625" s="236" t="n"/>
      <c r="AX625" s="692" t="n"/>
      <c r="AY625" s="692" t="n"/>
      <c r="AZ625" s="692" t="n"/>
      <c r="BA625" s="692" t="n"/>
      <c r="BB625" s="692" t="n"/>
      <c r="BC625" s="692" t="n"/>
      <c r="BD625" s="692" t="n"/>
      <c r="BE625" s="692" t="n"/>
      <c r="BF625" s="692" t="n"/>
      <c r="BG625" s="692" t="n"/>
      <c r="BH625" s="692" t="n"/>
      <c r="BI625" s="692" t="n"/>
      <c r="BJ625" s="692" t="n"/>
      <c r="BK625" s="692" t="n"/>
      <c r="BL625" s="692" t="n"/>
      <c r="BM625" s="692" t="n"/>
      <c r="BN625" s="692" t="n"/>
      <c r="BO625" s="692" t="n"/>
      <c r="BP625" s="692" t="n"/>
      <c r="BQ625" s="692" t="n"/>
    </row>
    <row r="626">
      <c r="A626" s="218" t="n"/>
      <c r="B626" s="215" t="n"/>
      <c r="C626" s="215" t="n"/>
      <c r="D626" s="215" t="n"/>
      <c r="E626" s="219" t="n"/>
      <c r="F626" s="215" t="n"/>
      <c r="G626" s="215" t="n"/>
      <c r="H626" s="215" t="n"/>
      <c r="I626" s="215" t="n"/>
      <c r="J626" s="215" t="n"/>
      <c r="K626" s="215" t="n"/>
      <c r="L626" s="217" t="n"/>
      <c r="M626" s="692" t="n"/>
      <c r="N626" s="692" t="n"/>
      <c r="O626" s="692" t="n"/>
      <c r="P626" s="261" t="n"/>
      <c r="Q626" s="692" t="n"/>
      <c r="R626" s="692" t="n"/>
      <c r="S626" s="692" t="n"/>
      <c r="T626" s="692" t="n"/>
      <c r="U626" s="692" t="n"/>
      <c r="V626" s="692" t="n"/>
      <c r="W626" s="692" t="n"/>
      <c r="X626" s="692" t="n"/>
      <c r="Y626" s="692" t="n"/>
      <c r="Z626" s="692" t="n"/>
      <c r="AA626" s="692" t="n"/>
      <c r="AB626" s="692" t="n"/>
      <c r="AC626" s="692" t="n"/>
      <c r="AD626" s="692" t="n"/>
      <c r="AF626" s="236" t="n"/>
      <c r="AG626" s="236" t="n"/>
      <c r="AH626" s="236" t="n"/>
      <c r="AI626" s="236" t="n"/>
      <c r="AJ626" s="236" t="n"/>
      <c r="AK626" s="236" t="n"/>
      <c r="AL626" s="236" t="n"/>
      <c r="AM626" s="236" t="n"/>
      <c r="AN626" s="236" t="n"/>
      <c r="AO626" s="236" t="n"/>
      <c r="AP626" s="236" t="n"/>
      <c r="AQ626" s="236" t="n"/>
      <c r="AR626" s="236" t="n"/>
      <c r="AS626" s="236" t="n"/>
      <c r="AT626" s="236" t="n"/>
      <c r="AU626" s="236" t="n"/>
      <c r="AV626" s="236" t="n"/>
      <c r="AW626" s="236" t="n"/>
      <c r="AX626" s="692" t="n"/>
      <c r="AY626" s="692" t="n"/>
      <c r="AZ626" s="692" t="n"/>
      <c r="BA626" s="692" t="n"/>
      <c r="BB626" s="692" t="n"/>
      <c r="BC626" s="692" t="n"/>
      <c r="BD626" s="692" t="n"/>
      <c r="BE626" s="692" t="n"/>
      <c r="BF626" s="692" t="n"/>
      <c r="BG626" s="692" t="n"/>
      <c r="BH626" s="692" t="n"/>
      <c r="BI626" s="692" t="n"/>
      <c r="BJ626" s="692" t="n"/>
      <c r="BK626" s="692" t="n"/>
      <c r="BL626" s="692" t="n"/>
      <c r="BM626" s="692" t="n"/>
      <c r="BN626" s="692" t="n"/>
      <c r="BO626" s="692" t="n"/>
      <c r="BP626" s="692" t="n"/>
      <c r="BQ626" s="692" t="n"/>
    </row>
    <row r="627">
      <c r="A627" s="220" t="n"/>
      <c r="B627" s="211" t="n"/>
      <c r="C627" s="211" t="n"/>
      <c r="D627" s="211" t="n"/>
      <c r="E627" s="221" t="n"/>
      <c r="F627" s="211" t="n"/>
      <c r="G627" s="211" t="n"/>
      <c r="H627" s="211" t="n"/>
      <c r="I627" s="211" t="n"/>
      <c r="J627" s="211" t="n"/>
      <c r="K627" s="211" t="n"/>
      <c r="L627" s="213" t="n"/>
      <c r="M627" s="692" t="n"/>
      <c r="N627" s="692" t="n"/>
      <c r="O627" s="692" t="n"/>
      <c r="P627" s="261" t="n"/>
      <c r="Q627" s="692" t="n"/>
      <c r="R627" s="692" t="n"/>
      <c r="S627" s="692" t="n"/>
      <c r="T627" s="692" t="n"/>
      <c r="U627" s="692" t="n"/>
      <c r="V627" s="692" t="n"/>
      <c r="W627" s="692" t="n"/>
      <c r="X627" s="692" t="n"/>
      <c r="Y627" s="692" t="n"/>
      <c r="Z627" s="692" t="n"/>
      <c r="AA627" s="692" t="n"/>
      <c r="AB627" s="692" t="n"/>
      <c r="AC627" s="692" t="n"/>
      <c r="AD627" s="692" t="n"/>
      <c r="AF627" s="236" t="n"/>
      <c r="AG627" s="236" t="n"/>
      <c r="AH627" s="236" t="n"/>
      <c r="AI627" s="236" t="n"/>
      <c r="AJ627" s="236" t="n"/>
      <c r="AK627" s="236" t="n"/>
      <c r="AL627" s="236" t="n"/>
      <c r="AM627" s="236" t="n"/>
      <c r="AN627" s="236" t="n"/>
      <c r="AO627" s="236" t="n"/>
      <c r="AP627" s="236" t="n"/>
      <c r="AQ627" s="236" t="n"/>
      <c r="AR627" s="236" t="n"/>
      <c r="AS627" s="236" t="n"/>
      <c r="AT627" s="236" t="n"/>
      <c r="AU627" s="236" t="n"/>
      <c r="AV627" s="236" t="n"/>
      <c r="AW627" s="236" t="n"/>
      <c r="AX627" s="692" t="n"/>
      <c r="AY627" s="692" t="n"/>
      <c r="AZ627" s="692" t="n"/>
      <c r="BA627" s="692" t="n"/>
      <c r="BB627" s="692" t="n"/>
      <c r="BC627" s="692" t="n"/>
      <c r="BD627" s="692" t="n"/>
      <c r="BE627" s="692" t="n"/>
      <c r="BF627" s="692" t="n"/>
      <c r="BG627" s="692" t="n"/>
      <c r="BH627" s="692" t="n"/>
      <c r="BI627" s="692" t="n"/>
      <c r="BJ627" s="692" t="n"/>
      <c r="BK627" s="692" t="n"/>
      <c r="BL627" s="692" t="n"/>
      <c r="BM627" s="692" t="n"/>
      <c r="BN627" s="692" t="n"/>
      <c r="BO627" s="692" t="n"/>
      <c r="BP627" s="692" t="n"/>
      <c r="BQ627" s="692" t="n"/>
    </row>
    <row r="628">
      <c r="A628" s="218" t="n"/>
      <c r="B628" s="215" t="n"/>
      <c r="C628" s="215" t="n"/>
      <c r="D628" s="215" t="n"/>
      <c r="E628" s="219" t="n"/>
      <c r="F628" s="215" t="n"/>
      <c r="G628" s="215" t="n"/>
      <c r="H628" s="215" t="n"/>
      <c r="I628" s="215" t="n"/>
      <c r="J628" s="215" t="n"/>
      <c r="K628" s="215" t="n"/>
      <c r="L628" s="217" t="n"/>
      <c r="M628" s="692" t="n"/>
      <c r="N628" s="692" t="n"/>
      <c r="O628" s="692" t="n"/>
      <c r="P628" s="261" t="n"/>
      <c r="Q628" s="692" t="n"/>
      <c r="R628" s="692" t="n"/>
      <c r="S628" s="692" t="n"/>
      <c r="T628" s="692" t="n"/>
      <c r="U628" s="692" t="n"/>
      <c r="V628" s="692" t="n"/>
      <c r="W628" s="692" t="n"/>
      <c r="X628" s="692" t="n"/>
      <c r="Y628" s="692" t="n"/>
      <c r="Z628" s="692" t="n"/>
      <c r="AA628" s="692" t="n"/>
      <c r="AB628" s="692" t="n"/>
      <c r="AC628" s="692" t="n"/>
      <c r="AD628" s="692" t="n"/>
      <c r="AF628" s="236" t="n"/>
      <c r="AG628" s="236" t="n"/>
      <c r="AH628" s="236" t="n"/>
      <c r="AI628" s="236" t="n"/>
      <c r="AJ628" s="236" t="n"/>
      <c r="AK628" s="236" t="n"/>
      <c r="AL628" s="236" t="n"/>
      <c r="AM628" s="236" t="n"/>
      <c r="AN628" s="236" t="n"/>
      <c r="AO628" s="236" t="n"/>
      <c r="AP628" s="236" t="n"/>
      <c r="AQ628" s="236" t="n"/>
      <c r="AR628" s="236" t="n"/>
      <c r="AS628" s="236" t="n"/>
      <c r="AT628" s="236" t="n"/>
      <c r="AU628" s="236" t="n"/>
      <c r="AV628" s="236" t="n"/>
      <c r="AW628" s="236" t="n"/>
      <c r="AX628" s="692" t="n"/>
      <c r="AY628" s="692" t="n"/>
      <c r="AZ628" s="692" t="n"/>
      <c r="BA628" s="692" t="n"/>
      <c r="BB628" s="692" t="n"/>
      <c r="BC628" s="692" t="n"/>
      <c r="BD628" s="692" t="n"/>
      <c r="BE628" s="692" t="n"/>
      <c r="BF628" s="692" t="n"/>
      <c r="BG628" s="692" t="n"/>
      <c r="BH628" s="692" t="n"/>
      <c r="BI628" s="692" t="n"/>
      <c r="BJ628" s="692" t="n"/>
      <c r="BK628" s="692" t="n"/>
      <c r="BL628" s="692" t="n"/>
      <c r="BM628" s="692" t="n"/>
      <c r="BN628" s="692" t="n"/>
      <c r="BO628" s="692" t="n"/>
      <c r="BP628" s="692" t="n"/>
      <c r="BQ628" s="692" t="n"/>
    </row>
    <row r="629">
      <c r="A629" s="220" t="n"/>
      <c r="B629" s="211" t="n"/>
      <c r="C629" s="211" t="n"/>
      <c r="D629" s="211" t="n"/>
      <c r="E629" s="221" t="n"/>
      <c r="F629" s="211" t="n"/>
      <c r="G629" s="211" t="n"/>
      <c r="H629" s="211" t="n"/>
      <c r="I629" s="211" t="n"/>
      <c r="J629" s="211" t="n"/>
      <c r="K629" s="211" t="n"/>
      <c r="L629" s="213" t="n"/>
      <c r="M629" s="692" t="n"/>
      <c r="N629" s="692" t="n"/>
      <c r="O629" s="692" t="n"/>
      <c r="P629" s="261" t="n"/>
      <c r="Q629" s="692" t="n"/>
      <c r="R629" s="692" t="n"/>
      <c r="S629" s="692" t="n"/>
      <c r="T629" s="692" t="n"/>
      <c r="U629" s="692" t="n"/>
      <c r="V629" s="692" t="n"/>
      <c r="W629" s="692" t="n"/>
      <c r="X629" s="692" t="n"/>
      <c r="Y629" s="692" t="n"/>
      <c r="Z629" s="692" t="n"/>
      <c r="AA629" s="692" t="n"/>
      <c r="AB629" s="692" t="n"/>
      <c r="AC629" s="692" t="n"/>
      <c r="AD629" s="692" t="n"/>
      <c r="AF629" s="236" t="n"/>
      <c r="AG629" s="236" t="n"/>
      <c r="AH629" s="236" t="n"/>
      <c r="AI629" s="236" t="n"/>
      <c r="AJ629" s="236" t="n"/>
      <c r="AK629" s="236" t="n"/>
      <c r="AL629" s="236" t="n"/>
      <c r="AM629" s="236" t="n"/>
      <c r="AN629" s="236" t="n"/>
      <c r="AO629" s="236" t="n"/>
      <c r="AP629" s="236" t="n"/>
      <c r="AQ629" s="236" t="n"/>
      <c r="AR629" s="236" t="n"/>
      <c r="AS629" s="236" t="n"/>
      <c r="AT629" s="236" t="n"/>
      <c r="AU629" s="236" t="n"/>
      <c r="AV629" s="236" t="n"/>
      <c r="AW629" s="236" t="n"/>
      <c r="AX629" s="692" t="n"/>
      <c r="AY629" s="692" t="n"/>
      <c r="AZ629" s="692" t="n"/>
      <c r="BA629" s="692" t="n"/>
      <c r="BB629" s="692" t="n"/>
      <c r="BC629" s="692" t="n"/>
      <c r="BD629" s="692" t="n"/>
      <c r="BE629" s="692" t="n"/>
      <c r="BF629" s="692" t="n"/>
      <c r="BG629" s="692" t="n"/>
      <c r="BH629" s="692" t="n"/>
      <c r="BI629" s="692" t="n"/>
      <c r="BJ629" s="692" t="n"/>
      <c r="BK629" s="692" t="n"/>
      <c r="BL629" s="692" t="n"/>
      <c r="BM629" s="692" t="n"/>
      <c r="BN629" s="692" t="n"/>
      <c r="BO629" s="692" t="n"/>
      <c r="BP629" s="692" t="n"/>
      <c r="BQ629" s="692" t="n"/>
    </row>
    <row r="630">
      <c r="A630" s="218" t="n"/>
      <c r="B630" s="215" t="n"/>
      <c r="C630" s="215" t="n"/>
      <c r="D630" s="215" t="n"/>
      <c r="E630" s="219" t="n"/>
      <c r="F630" s="215" t="n"/>
      <c r="G630" s="215" t="n"/>
      <c r="H630" s="215" t="n"/>
      <c r="I630" s="215" t="n"/>
      <c r="J630" s="215" t="n"/>
      <c r="K630" s="215" t="n"/>
      <c r="L630" s="217" t="n"/>
      <c r="M630" s="692" t="n"/>
      <c r="N630" s="692" t="n"/>
      <c r="O630" s="692" t="n"/>
      <c r="P630" s="261" t="n"/>
      <c r="Q630" s="692" t="n"/>
      <c r="R630" s="692" t="n"/>
      <c r="S630" s="692" t="n"/>
      <c r="T630" s="692" t="n"/>
      <c r="U630" s="692" t="n"/>
      <c r="V630" s="692" t="n"/>
      <c r="W630" s="692" t="n"/>
      <c r="X630" s="692" t="n"/>
      <c r="Y630" s="692" t="n"/>
      <c r="Z630" s="692" t="n"/>
      <c r="AA630" s="692" t="n"/>
      <c r="AB630" s="692" t="n"/>
      <c r="AC630" s="692" t="n"/>
      <c r="AD630" s="692" t="n"/>
      <c r="AF630" s="236" t="n"/>
      <c r="AG630" s="236" t="n"/>
      <c r="AH630" s="236" t="n"/>
      <c r="AI630" s="236" t="n"/>
      <c r="AJ630" s="236" t="n"/>
      <c r="AK630" s="236" t="n"/>
      <c r="AL630" s="236" t="n"/>
      <c r="AM630" s="236" t="n"/>
      <c r="AN630" s="236" t="n"/>
      <c r="AO630" s="236" t="n"/>
      <c r="AP630" s="236" t="n"/>
      <c r="AQ630" s="236" t="n"/>
      <c r="AR630" s="236" t="n"/>
      <c r="AS630" s="236" t="n"/>
      <c r="AT630" s="236" t="n"/>
      <c r="AU630" s="236" t="n"/>
      <c r="AV630" s="236" t="n"/>
      <c r="AW630" s="236" t="n"/>
      <c r="AX630" s="692" t="n"/>
      <c r="AY630" s="692" t="n"/>
      <c r="AZ630" s="692" t="n"/>
      <c r="BA630" s="692" t="n"/>
      <c r="BB630" s="692" t="n"/>
      <c r="BC630" s="692" t="n"/>
      <c r="BD630" s="692" t="n"/>
      <c r="BE630" s="692" t="n"/>
      <c r="BF630" s="692" t="n"/>
      <c r="BG630" s="692" t="n"/>
      <c r="BH630" s="692" t="n"/>
      <c r="BI630" s="692" t="n"/>
      <c r="BJ630" s="692" t="n"/>
      <c r="BK630" s="692" t="n"/>
      <c r="BL630" s="692" t="n"/>
      <c r="BM630" s="692" t="n"/>
      <c r="BN630" s="692" t="n"/>
      <c r="BO630" s="692" t="n"/>
      <c r="BP630" s="692" t="n"/>
      <c r="BQ630" s="692" t="n"/>
    </row>
    <row r="631">
      <c r="A631" s="220" t="n"/>
      <c r="B631" s="211" t="n"/>
      <c r="C631" s="211" t="n"/>
      <c r="D631" s="211" t="n"/>
      <c r="E631" s="221" t="n"/>
      <c r="F631" s="211" t="n"/>
      <c r="G631" s="211" t="n"/>
      <c r="H631" s="211" t="n"/>
      <c r="I631" s="211" t="n"/>
      <c r="J631" s="211" t="n"/>
      <c r="K631" s="211" t="n"/>
      <c r="L631" s="213" t="n"/>
      <c r="M631" s="692" t="n"/>
      <c r="N631" s="692" t="n"/>
      <c r="O631" s="692" t="n"/>
      <c r="P631" s="261" t="n"/>
      <c r="Q631" s="692" t="n"/>
      <c r="R631" s="692" t="n"/>
      <c r="S631" s="692" t="n"/>
      <c r="T631" s="692" t="n"/>
      <c r="U631" s="692" t="n"/>
      <c r="V631" s="692" t="n"/>
      <c r="W631" s="692" t="n"/>
      <c r="X631" s="692" t="n"/>
      <c r="Y631" s="692" t="n"/>
      <c r="Z631" s="692" t="n"/>
      <c r="AA631" s="692" t="n"/>
      <c r="AB631" s="692" t="n"/>
      <c r="AC631" s="692" t="n"/>
      <c r="AD631" s="692" t="n"/>
      <c r="AF631" s="236" t="n"/>
      <c r="AG631" s="236" t="n"/>
      <c r="AH631" s="236" t="n"/>
      <c r="AI631" s="236" t="n"/>
      <c r="AJ631" s="236" t="n"/>
      <c r="AK631" s="236" t="n"/>
      <c r="AL631" s="236" t="n"/>
      <c r="AM631" s="236" t="n"/>
      <c r="AN631" s="236" t="n"/>
      <c r="AO631" s="236" t="n"/>
      <c r="AP631" s="236" t="n"/>
      <c r="AQ631" s="236" t="n"/>
      <c r="AR631" s="236" t="n"/>
      <c r="AS631" s="236" t="n"/>
      <c r="AT631" s="236" t="n"/>
      <c r="AU631" s="236" t="n"/>
      <c r="AV631" s="236" t="n"/>
      <c r="AW631" s="236" t="n"/>
      <c r="AX631" s="692" t="n"/>
      <c r="AY631" s="692" t="n"/>
      <c r="AZ631" s="692" t="n"/>
      <c r="BA631" s="692" t="n"/>
      <c r="BB631" s="692" t="n"/>
      <c r="BC631" s="692" t="n"/>
      <c r="BD631" s="692" t="n"/>
      <c r="BE631" s="692" t="n"/>
      <c r="BF631" s="692" t="n"/>
      <c r="BG631" s="692" t="n"/>
      <c r="BH631" s="692" t="n"/>
      <c r="BI631" s="692" t="n"/>
      <c r="BJ631" s="692" t="n"/>
      <c r="BK631" s="692" t="n"/>
      <c r="BL631" s="692" t="n"/>
      <c r="BM631" s="692" t="n"/>
      <c r="BN631" s="692" t="n"/>
      <c r="BO631" s="692" t="n"/>
      <c r="BP631" s="692" t="n"/>
      <c r="BQ631" s="692" t="n"/>
    </row>
    <row r="632">
      <c r="A632" s="218" t="n"/>
      <c r="B632" s="215" t="n"/>
      <c r="C632" s="215" t="n"/>
      <c r="D632" s="215" t="n"/>
      <c r="E632" s="219" t="n"/>
      <c r="F632" s="215" t="n"/>
      <c r="G632" s="215" t="n"/>
      <c r="H632" s="215" t="n"/>
      <c r="I632" s="215" t="n"/>
      <c r="J632" s="215" t="n"/>
      <c r="K632" s="215" t="n"/>
      <c r="L632" s="217" t="n"/>
      <c r="M632" s="692" t="n"/>
      <c r="N632" s="692" t="n"/>
      <c r="O632" s="692" t="n"/>
      <c r="P632" s="261" t="n"/>
      <c r="Q632" s="692" t="n"/>
      <c r="R632" s="692" t="n"/>
      <c r="S632" s="692" t="n"/>
      <c r="T632" s="692" t="n"/>
      <c r="U632" s="692" t="n"/>
      <c r="V632" s="692" t="n"/>
      <c r="W632" s="692" t="n"/>
      <c r="X632" s="692" t="n"/>
      <c r="Y632" s="692" t="n"/>
      <c r="Z632" s="692" t="n"/>
      <c r="AA632" s="692" t="n"/>
      <c r="AB632" s="692" t="n"/>
      <c r="AC632" s="692" t="n"/>
      <c r="AD632" s="692" t="n"/>
      <c r="AF632" s="236" t="n"/>
      <c r="AG632" s="236" t="n"/>
      <c r="AH632" s="236" t="n"/>
      <c r="AI632" s="236" t="n"/>
      <c r="AJ632" s="236" t="n"/>
      <c r="AK632" s="236" t="n"/>
      <c r="AL632" s="236" t="n"/>
      <c r="AM632" s="236" t="n"/>
      <c r="AN632" s="236" t="n"/>
      <c r="AO632" s="236" t="n"/>
      <c r="AP632" s="236" t="n"/>
      <c r="AQ632" s="236" t="n"/>
      <c r="AR632" s="236" t="n"/>
      <c r="AS632" s="236" t="n"/>
      <c r="AT632" s="236" t="n"/>
      <c r="AU632" s="236" t="n"/>
      <c r="AV632" s="236" t="n"/>
      <c r="AW632" s="236" t="n"/>
      <c r="AX632" s="692" t="n"/>
      <c r="AY632" s="692" t="n"/>
      <c r="AZ632" s="692" t="n"/>
      <c r="BA632" s="692" t="n"/>
      <c r="BB632" s="692" t="n"/>
      <c r="BC632" s="692" t="n"/>
      <c r="BD632" s="692" t="n"/>
      <c r="BE632" s="692" t="n"/>
      <c r="BF632" s="692" t="n"/>
      <c r="BG632" s="692" t="n"/>
      <c r="BH632" s="692" t="n"/>
      <c r="BI632" s="692" t="n"/>
      <c r="BJ632" s="692" t="n"/>
      <c r="BK632" s="692" t="n"/>
      <c r="BL632" s="692" t="n"/>
      <c r="BM632" s="692" t="n"/>
      <c r="BN632" s="692" t="n"/>
      <c r="BO632" s="692" t="n"/>
      <c r="BP632" s="692" t="n"/>
      <c r="BQ632" s="692" t="n"/>
    </row>
    <row r="633">
      <c r="A633" s="220" t="n"/>
      <c r="B633" s="211" t="n"/>
      <c r="C633" s="211" t="n"/>
      <c r="D633" s="211" t="n"/>
      <c r="E633" s="221" t="n"/>
      <c r="F633" s="211" t="n"/>
      <c r="G633" s="211" t="n"/>
      <c r="H633" s="211" t="n"/>
      <c r="I633" s="211" t="n"/>
      <c r="J633" s="211" t="n"/>
      <c r="K633" s="211" t="n"/>
      <c r="L633" s="213" t="n"/>
      <c r="M633" s="692" t="n"/>
      <c r="N633" s="692" t="n"/>
      <c r="O633" s="692" t="n"/>
      <c r="P633" s="261" t="n"/>
      <c r="Q633" s="692" t="n"/>
      <c r="R633" s="692" t="n"/>
      <c r="S633" s="692" t="n"/>
      <c r="T633" s="692" t="n"/>
      <c r="U633" s="692" t="n"/>
      <c r="V633" s="692" t="n"/>
      <c r="W633" s="692" t="n"/>
      <c r="X633" s="692" t="n"/>
      <c r="Y633" s="692" t="n"/>
      <c r="Z633" s="692" t="n"/>
      <c r="AA633" s="692" t="n"/>
      <c r="AB633" s="692" t="n"/>
      <c r="AC633" s="692" t="n"/>
      <c r="AD633" s="692" t="n"/>
      <c r="AF633" s="236" t="n"/>
      <c r="AG633" s="236" t="n"/>
      <c r="AH633" s="236" t="n"/>
      <c r="AI633" s="236" t="n"/>
      <c r="AJ633" s="236" t="n"/>
      <c r="AK633" s="236" t="n"/>
      <c r="AL633" s="236" t="n"/>
      <c r="AM633" s="236" t="n"/>
      <c r="AN633" s="236" t="n"/>
      <c r="AO633" s="236" t="n"/>
      <c r="AP633" s="236" t="n"/>
      <c r="AQ633" s="236" t="n"/>
      <c r="AR633" s="236" t="n"/>
      <c r="AS633" s="236" t="n"/>
      <c r="AT633" s="236" t="n"/>
      <c r="AU633" s="236" t="n"/>
      <c r="AV633" s="236" t="n"/>
      <c r="AW633" s="236" t="n"/>
      <c r="AX633" s="692" t="n"/>
      <c r="AY633" s="692" t="n"/>
      <c r="AZ633" s="692" t="n"/>
      <c r="BA633" s="692" t="n"/>
      <c r="BB633" s="692" t="n"/>
      <c r="BC633" s="692" t="n"/>
      <c r="BD633" s="692" t="n"/>
      <c r="BE633" s="692" t="n"/>
      <c r="BF633" s="692" t="n"/>
      <c r="BG633" s="692" t="n"/>
      <c r="BH633" s="692" t="n"/>
      <c r="BI633" s="692" t="n"/>
      <c r="BJ633" s="692" t="n"/>
      <c r="BK633" s="692" t="n"/>
      <c r="BL633" s="692" t="n"/>
      <c r="BM633" s="692" t="n"/>
      <c r="BN633" s="692" t="n"/>
      <c r="BO633" s="692" t="n"/>
      <c r="BP633" s="692" t="n"/>
      <c r="BQ633" s="692" t="n"/>
    </row>
    <row r="634">
      <c r="A634" s="218" t="n"/>
      <c r="B634" s="215" t="n"/>
      <c r="C634" s="215" t="n"/>
      <c r="D634" s="215" t="n"/>
      <c r="E634" s="219" t="n"/>
      <c r="F634" s="215" t="n"/>
      <c r="G634" s="215" t="n"/>
      <c r="H634" s="215" t="n"/>
      <c r="I634" s="215" t="n"/>
      <c r="J634" s="215" t="n"/>
      <c r="K634" s="215" t="n"/>
      <c r="L634" s="217" t="n"/>
      <c r="M634" s="692" t="n"/>
      <c r="N634" s="692" t="n"/>
      <c r="O634" s="692" t="n"/>
      <c r="P634" s="261" t="n"/>
      <c r="Q634" s="692" t="n"/>
      <c r="R634" s="692" t="n"/>
      <c r="S634" s="692" t="n"/>
      <c r="T634" s="692" t="n"/>
      <c r="U634" s="692" t="n"/>
      <c r="V634" s="692" t="n"/>
      <c r="W634" s="692" t="n"/>
      <c r="X634" s="692" t="n"/>
      <c r="Y634" s="692" t="n"/>
      <c r="Z634" s="692" t="n"/>
      <c r="AA634" s="692" t="n"/>
      <c r="AB634" s="692" t="n"/>
      <c r="AC634" s="692" t="n"/>
      <c r="AD634" s="692" t="n"/>
      <c r="AF634" s="236" t="n"/>
      <c r="AG634" s="236" t="n"/>
      <c r="AH634" s="236" t="n"/>
      <c r="AI634" s="236" t="n"/>
      <c r="AJ634" s="236" t="n"/>
      <c r="AK634" s="236" t="n"/>
      <c r="AL634" s="236" t="n"/>
      <c r="AM634" s="236" t="n"/>
      <c r="AN634" s="236" t="n"/>
      <c r="AO634" s="236" t="n"/>
      <c r="AP634" s="236" t="n"/>
      <c r="AQ634" s="236" t="n"/>
      <c r="AR634" s="236" t="n"/>
      <c r="AS634" s="236" t="n"/>
      <c r="AT634" s="236" t="n"/>
      <c r="AU634" s="236" t="n"/>
      <c r="AV634" s="236" t="n"/>
      <c r="AW634" s="236" t="n"/>
      <c r="AX634" s="692" t="n"/>
      <c r="AY634" s="692" t="n"/>
      <c r="AZ634" s="692" t="n"/>
      <c r="BA634" s="692" t="n"/>
      <c r="BB634" s="692" t="n"/>
      <c r="BC634" s="692" t="n"/>
      <c r="BD634" s="692" t="n"/>
      <c r="BE634" s="692" t="n"/>
      <c r="BF634" s="692" t="n"/>
      <c r="BG634" s="692" t="n"/>
      <c r="BH634" s="692" t="n"/>
      <c r="BI634" s="692" t="n"/>
      <c r="BJ634" s="692" t="n"/>
      <c r="BK634" s="692" t="n"/>
      <c r="BL634" s="692" t="n"/>
      <c r="BM634" s="692" t="n"/>
      <c r="BN634" s="692" t="n"/>
      <c r="BO634" s="692" t="n"/>
      <c r="BP634" s="692" t="n"/>
      <c r="BQ634" s="692" t="n"/>
    </row>
    <row r="635">
      <c r="A635" s="220" t="n"/>
      <c r="B635" s="211" t="n"/>
      <c r="C635" s="211" t="n"/>
      <c r="D635" s="211" t="n"/>
      <c r="E635" s="221" t="n"/>
      <c r="F635" s="211" t="n"/>
      <c r="G635" s="211" t="n"/>
      <c r="H635" s="211" t="n"/>
      <c r="I635" s="211" t="n"/>
      <c r="J635" s="211" t="n"/>
      <c r="K635" s="211" t="n"/>
      <c r="L635" s="213" t="n"/>
      <c r="M635" s="692" t="n"/>
      <c r="N635" s="692" t="n"/>
      <c r="O635" s="692" t="n"/>
      <c r="P635" s="261" t="n"/>
      <c r="Q635" s="692" t="n"/>
      <c r="R635" s="692" t="n"/>
      <c r="S635" s="692" t="n"/>
      <c r="T635" s="692" t="n"/>
      <c r="U635" s="692" t="n"/>
      <c r="V635" s="692" t="n"/>
      <c r="W635" s="692" t="n"/>
      <c r="X635" s="692" t="n"/>
      <c r="Y635" s="692" t="n"/>
      <c r="Z635" s="692" t="n"/>
      <c r="AA635" s="692" t="n"/>
      <c r="AB635" s="692" t="n"/>
      <c r="AC635" s="692" t="n"/>
      <c r="AD635" s="692" t="n"/>
      <c r="AF635" s="236" t="n"/>
      <c r="AG635" s="236" t="n"/>
      <c r="AH635" s="236" t="n"/>
      <c r="AI635" s="236" t="n"/>
      <c r="AJ635" s="236" t="n"/>
      <c r="AK635" s="236" t="n"/>
      <c r="AL635" s="236" t="n"/>
      <c r="AM635" s="236" t="n"/>
      <c r="AN635" s="236" t="n"/>
      <c r="AO635" s="236" t="n"/>
      <c r="AP635" s="236" t="n"/>
      <c r="AQ635" s="236" t="n"/>
      <c r="AR635" s="236" t="n"/>
      <c r="AS635" s="236" t="n"/>
      <c r="AT635" s="236" t="n"/>
      <c r="AU635" s="236" t="n"/>
      <c r="AV635" s="236" t="n"/>
      <c r="AW635" s="236" t="n"/>
      <c r="AX635" s="692" t="n"/>
      <c r="AY635" s="692" t="n"/>
      <c r="AZ635" s="692" t="n"/>
      <c r="BA635" s="692" t="n"/>
      <c r="BB635" s="692" t="n"/>
      <c r="BC635" s="692" t="n"/>
      <c r="BD635" s="692" t="n"/>
      <c r="BE635" s="692" t="n"/>
      <c r="BF635" s="692" t="n"/>
      <c r="BG635" s="692" t="n"/>
      <c r="BH635" s="692" t="n"/>
      <c r="BI635" s="692" t="n"/>
      <c r="BJ635" s="692" t="n"/>
      <c r="BK635" s="692" t="n"/>
      <c r="BL635" s="692" t="n"/>
      <c r="BM635" s="692" t="n"/>
      <c r="BN635" s="692" t="n"/>
      <c r="BO635" s="692" t="n"/>
      <c r="BP635" s="692" t="n"/>
      <c r="BQ635" s="692" t="n"/>
    </row>
    <row r="636">
      <c r="A636" s="218" t="n"/>
      <c r="B636" s="215" t="n"/>
      <c r="C636" s="215" t="n"/>
      <c r="D636" s="215" t="n"/>
      <c r="E636" s="219" t="n"/>
      <c r="F636" s="215" t="n"/>
      <c r="G636" s="215" t="n"/>
      <c r="H636" s="215" t="n"/>
      <c r="I636" s="215" t="n"/>
      <c r="J636" s="215" t="n"/>
      <c r="K636" s="215" t="n"/>
      <c r="L636" s="217" t="n"/>
      <c r="M636" s="692" t="n"/>
      <c r="N636" s="692" t="n"/>
      <c r="O636" s="692" t="n"/>
      <c r="P636" s="261" t="n"/>
      <c r="Q636" s="692" t="n"/>
      <c r="R636" s="692" t="n"/>
      <c r="S636" s="692" t="n"/>
      <c r="T636" s="692" t="n"/>
      <c r="U636" s="692" t="n"/>
      <c r="V636" s="692" t="n"/>
      <c r="W636" s="692" t="n"/>
      <c r="X636" s="692" t="n"/>
      <c r="Y636" s="692" t="n"/>
      <c r="Z636" s="692" t="n"/>
      <c r="AA636" s="692" t="n"/>
      <c r="AB636" s="692" t="n"/>
      <c r="AC636" s="692" t="n"/>
      <c r="AD636" s="692" t="n"/>
      <c r="AF636" s="236" t="n"/>
      <c r="AG636" s="236" t="n"/>
      <c r="AH636" s="236" t="n"/>
      <c r="AI636" s="236" t="n"/>
      <c r="AJ636" s="236" t="n"/>
      <c r="AK636" s="236" t="n"/>
      <c r="AL636" s="236" t="n"/>
      <c r="AM636" s="236" t="n"/>
      <c r="AN636" s="236" t="n"/>
      <c r="AO636" s="236" t="n"/>
      <c r="AP636" s="236" t="n"/>
      <c r="AQ636" s="236" t="n"/>
      <c r="AR636" s="236" t="n"/>
      <c r="AS636" s="236" t="n"/>
      <c r="AT636" s="236" t="n"/>
      <c r="AU636" s="236" t="n"/>
      <c r="AV636" s="236" t="n"/>
      <c r="AW636" s="236" t="n"/>
      <c r="AX636" s="692" t="n"/>
      <c r="AY636" s="692" t="n"/>
      <c r="AZ636" s="692" t="n"/>
      <c r="BA636" s="692" t="n"/>
      <c r="BB636" s="692" t="n"/>
      <c r="BC636" s="692" t="n"/>
      <c r="BD636" s="692" t="n"/>
      <c r="BE636" s="692" t="n"/>
      <c r="BF636" s="692" t="n"/>
      <c r="BG636" s="692" t="n"/>
      <c r="BH636" s="692" t="n"/>
      <c r="BI636" s="692" t="n"/>
      <c r="BJ636" s="692" t="n"/>
      <c r="BK636" s="692" t="n"/>
      <c r="BL636" s="692" t="n"/>
      <c r="BM636" s="692" t="n"/>
      <c r="BN636" s="692" t="n"/>
      <c r="BO636" s="692" t="n"/>
      <c r="BP636" s="692" t="n"/>
      <c r="BQ636" s="692" t="n"/>
    </row>
    <row r="637">
      <c r="A637" s="220" t="n"/>
      <c r="B637" s="211" t="n"/>
      <c r="C637" s="211" t="n"/>
      <c r="D637" s="211" t="n"/>
      <c r="E637" s="221" t="n"/>
      <c r="F637" s="211" t="n"/>
      <c r="G637" s="211" t="n"/>
      <c r="H637" s="211" t="n"/>
      <c r="I637" s="211" t="n"/>
      <c r="J637" s="211" t="n"/>
      <c r="K637" s="211" t="n"/>
      <c r="L637" s="213" t="n"/>
      <c r="M637" s="692" t="n"/>
      <c r="N637" s="692" t="n"/>
      <c r="O637" s="692" t="n"/>
      <c r="P637" s="261" t="n"/>
      <c r="Q637" s="692" t="n"/>
      <c r="R637" s="692" t="n"/>
      <c r="S637" s="692" t="n"/>
      <c r="T637" s="692" t="n"/>
      <c r="U637" s="692" t="n"/>
      <c r="V637" s="692" t="n"/>
      <c r="W637" s="692" t="n"/>
      <c r="X637" s="692" t="n"/>
      <c r="Y637" s="692" t="n"/>
      <c r="Z637" s="692" t="n"/>
      <c r="AA637" s="692" t="n"/>
      <c r="AB637" s="692" t="n"/>
      <c r="AC637" s="692" t="n"/>
      <c r="AD637" s="692" t="n"/>
      <c r="AF637" s="236" t="n"/>
      <c r="AG637" s="236" t="n"/>
      <c r="AH637" s="236" t="n"/>
      <c r="AI637" s="236" t="n"/>
      <c r="AJ637" s="236" t="n"/>
      <c r="AK637" s="236" t="n"/>
      <c r="AL637" s="236" t="n"/>
      <c r="AM637" s="236" t="n"/>
      <c r="AN637" s="236" t="n"/>
      <c r="AO637" s="236" t="n"/>
      <c r="AP637" s="236" t="n"/>
      <c r="AQ637" s="236" t="n"/>
      <c r="AR637" s="236" t="n"/>
      <c r="AS637" s="236" t="n"/>
      <c r="AT637" s="236" t="n"/>
      <c r="AU637" s="236" t="n"/>
      <c r="AV637" s="236" t="n"/>
      <c r="AW637" s="236" t="n"/>
      <c r="AX637" s="692" t="n"/>
      <c r="AY637" s="692" t="n"/>
      <c r="AZ637" s="692" t="n"/>
      <c r="BA637" s="692" t="n"/>
      <c r="BB637" s="692" t="n"/>
      <c r="BC637" s="692" t="n"/>
      <c r="BD637" s="692" t="n"/>
      <c r="BE637" s="692" t="n"/>
      <c r="BF637" s="692" t="n"/>
      <c r="BG637" s="692" t="n"/>
      <c r="BH637" s="692" t="n"/>
      <c r="BI637" s="692" t="n"/>
      <c r="BJ637" s="692" t="n"/>
      <c r="BK637" s="692" t="n"/>
      <c r="BL637" s="692" t="n"/>
      <c r="BM637" s="692" t="n"/>
      <c r="BN637" s="692" t="n"/>
      <c r="BO637" s="692" t="n"/>
      <c r="BP637" s="692" t="n"/>
      <c r="BQ637" s="692" t="n"/>
    </row>
    <row r="638">
      <c r="A638" s="218" t="n"/>
      <c r="B638" s="215" t="n"/>
      <c r="C638" s="215" t="n"/>
      <c r="D638" s="215" t="n"/>
      <c r="E638" s="219" t="n"/>
      <c r="F638" s="215" t="n"/>
      <c r="G638" s="215" t="n"/>
      <c r="H638" s="215" t="n"/>
      <c r="I638" s="215" t="n"/>
      <c r="J638" s="215" t="n"/>
      <c r="K638" s="215" t="n"/>
      <c r="L638" s="217" t="n"/>
      <c r="M638" s="692" t="n"/>
      <c r="N638" s="692" t="n"/>
      <c r="O638" s="692" t="n"/>
      <c r="P638" s="261" t="n"/>
      <c r="Q638" s="692" t="n"/>
      <c r="R638" s="692" t="n"/>
      <c r="S638" s="692" t="n"/>
      <c r="T638" s="692" t="n"/>
      <c r="U638" s="692" t="n"/>
      <c r="V638" s="692" t="n"/>
      <c r="W638" s="692" t="n"/>
      <c r="X638" s="692" t="n"/>
      <c r="Y638" s="692" t="n"/>
      <c r="Z638" s="692" t="n"/>
      <c r="AA638" s="692" t="n"/>
      <c r="AB638" s="692" t="n"/>
      <c r="AC638" s="692" t="n"/>
      <c r="AD638" s="692" t="n"/>
      <c r="AF638" s="236" t="n"/>
      <c r="AG638" s="236" t="n"/>
      <c r="AH638" s="236" t="n"/>
      <c r="AI638" s="236" t="n"/>
      <c r="AJ638" s="236" t="n"/>
      <c r="AK638" s="236" t="n"/>
      <c r="AL638" s="236" t="n"/>
      <c r="AM638" s="236" t="n"/>
      <c r="AN638" s="236" t="n"/>
      <c r="AO638" s="236" t="n"/>
      <c r="AP638" s="236" t="n"/>
      <c r="AQ638" s="236" t="n"/>
      <c r="AR638" s="236" t="n"/>
      <c r="AS638" s="236" t="n"/>
      <c r="AT638" s="236" t="n"/>
      <c r="AU638" s="236" t="n"/>
      <c r="AV638" s="236" t="n"/>
      <c r="AW638" s="236" t="n"/>
      <c r="AX638" s="692" t="n"/>
      <c r="AY638" s="692" t="n"/>
      <c r="AZ638" s="692" t="n"/>
      <c r="BA638" s="692" t="n"/>
      <c r="BB638" s="692" t="n"/>
      <c r="BC638" s="692" t="n"/>
      <c r="BD638" s="692" t="n"/>
      <c r="BE638" s="692" t="n"/>
      <c r="BF638" s="692" t="n"/>
      <c r="BG638" s="692" t="n"/>
      <c r="BH638" s="692" t="n"/>
      <c r="BI638" s="692" t="n"/>
      <c r="BJ638" s="692" t="n"/>
      <c r="BK638" s="692" t="n"/>
      <c r="BL638" s="692" t="n"/>
      <c r="BM638" s="692" t="n"/>
      <c r="BN638" s="692" t="n"/>
      <c r="BO638" s="692" t="n"/>
      <c r="BP638" s="692" t="n"/>
      <c r="BQ638" s="692" t="n"/>
    </row>
    <row r="639">
      <c r="A639" s="220" t="n"/>
      <c r="B639" s="211" t="n"/>
      <c r="C639" s="211" t="n"/>
      <c r="D639" s="211" t="n"/>
      <c r="E639" s="221" t="n"/>
      <c r="F639" s="211" t="n"/>
      <c r="G639" s="211" t="n"/>
      <c r="H639" s="211" t="n"/>
      <c r="I639" s="211" t="n"/>
      <c r="J639" s="211" t="n"/>
      <c r="K639" s="211" t="n"/>
      <c r="L639" s="213" t="n"/>
      <c r="M639" s="692" t="n"/>
      <c r="N639" s="692" t="n"/>
      <c r="O639" s="692" t="n"/>
      <c r="P639" s="261" t="n"/>
      <c r="Q639" s="692" t="n"/>
      <c r="R639" s="692" t="n"/>
      <c r="S639" s="692" t="n"/>
      <c r="T639" s="692" t="n"/>
      <c r="U639" s="692" t="n"/>
      <c r="V639" s="692" t="n"/>
      <c r="W639" s="692" t="n"/>
      <c r="X639" s="692" t="n"/>
      <c r="Y639" s="692" t="n"/>
      <c r="Z639" s="692" t="n"/>
      <c r="AA639" s="692" t="n"/>
      <c r="AB639" s="692" t="n"/>
      <c r="AC639" s="692" t="n"/>
      <c r="AD639" s="692" t="n"/>
      <c r="AF639" s="236" t="n"/>
      <c r="AG639" s="236" t="n"/>
      <c r="AH639" s="236" t="n"/>
      <c r="AI639" s="236" t="n"/>
      <c r="AJ639" s="236" t="n"/>
      <c r="AK639" s="236" t="n"/>
      <c r="AL639" s="236" t="n"/>
      <c r="AM639" s="236" t="n"/>
      <c r="AN639" s="236" t="n"/>
      <c r="AO639" s="236" t="n"/>
      <c r="AP639" s="236" t="n"/>
      <c r="AQ639" s="236" t="n"/>
      <c r="AR639" s="236" t="n"/>
      <c r="AS639" s="236" t="n"/>
      <c r="AT639" s="236" t="n"/>
      <c r="AU639" s="236" t="n"/>
      <c r="AV639" s="236" t="n"/>
      <c r="AW639" s="236" t="n"/>
      <c r="AX639" s="692" t="n"/>
      <c r="AY639" s="692" t="n"/>
      <c r="AZ639" s="692" t="n"/>
      <c r="BA639" s="692" t="n"/>
      <c r="BB639" s="692" t="n"/>
      <c r="BC639" s="692" t="n"/>
      <c r="BD639" s="692" t="n"/>
      <c r="BE639" s="692" t="n"/>
      <c r="BF639" s="692" t="n"/>
      <c r="BG639" s="692" t="n"/>
      <c r="BH639" s="692" t="n"/>
      <c r="BI639" s="692" t="n"/>
      <c r="BJ639" s="692" t="n"/>
      <c r="BK639" s="692" t="n"/>
      <c r="BL639" s="692" t="n"/>
      <c r="BM639" s="692" t="n"/>
      <c r="BN639" s="692" t="n"/>
      <c r="BO639" s="692" t="n"/>
      <c r="BP639" s="692" t="n"/>
      <c r="BQ639" s="692" t="n"/>
    </row>
    <row r="640">
      <c r="A640" s="218" t="n"/>
      <c r="B640" s="215" t="n"/>
      <c r="C640" s="215" t="n"/>
      <c r="D640" s="215" t="n"/>
      <c r="E640" s="219" t="n"/>
      <c r="F640" s="215" t="n"/>
      <c r="G640" s="215" t="n"/>
      <c r="H640" s="215" t="n"/>
      <c r="I640" s="215" t="n"/>
      <c r="J640" s="215" t="n"/>
      <c r="K640" s="215" t="n"/>
      <c r="L640" s="217" t="n"/>
      <c r="M640" s="692" t="n"/>
      <c r="N640" s="692" t="n"/>
      <c r="O640" s="692" t="n"/>
      <c r="P640" s="261" t="n"/>
      <c r="Q640" s="692" t="n"/>
      <c r="R640" s="692" t="n"/>
      <c r="S640" s="692" t="n"/>
      <c r="T640" s="692" t="n"/>
      <c r="U640" s="692" t="n"/>
      <c r="V640" s="692" t="n"/>
      <c r="W640" s="692" t="n"/>
      <c r="X640" s="692" t="n"/>
      <c r="Y640" s="692" t="n"/>
      <c r="Z640" s="692" t="n"/>
      <c r="AA640" s="692" t="n"/>
      <c r="AB640" s="692" t="n"/>
      <c r="AC640" s="692" t="n"/>
      <c r="AD640" s="692" t="n"/>
      <c r="AF640" s="236" t="n"/>
      <c r="AG640" s="236" t="n"/>
      <c r="AH640" s="236" t="n"/>
      <c r="AI640" s="236" t="n"/>
      <c r="AJ640" s="236" t="n"/>
      <c r="AK640" s="236" t="n"/>
      <c r="AL640" s="236" t="n"/>
      <c r="AM640" s="236" t="n"/>
      <c r="AN640" s="236" t="n"/>
      <c r="AO640" s="236" t="n"/>
      <c r="AP640" s="236" t="n"/>
      <c r="AQ640" s="236" t="n"/>
      <c r="AR640" s="236" t="n"/>
      <c r="AS640" s="236" t="n"/>
      <c r="AT640" s="236" t="n"/>
      <c r="AU640" s="236" t="n"/>
      <c r="AV640" s="236" t="n"/>
      <c r="AW640" s="236" t="n"/>
      <c r="AX640" s="692" t="n"/>
      <c r="AY640" s="692" t="n"/>
      <c r="AZ640" s="692" t="n"/>
      <c r="BA640" s="692" t="n"/>
      <c r="BB640" s="692" t="n"/>
      <c r="BC640" s="692" t="n"/>
      <c r="BD640" s="692" t="n"/>
      <c r="BE640" s="692" t="n"/>
      <c r="BF640" s="692" t="n"/>
      <c r="BG640" s="692" t="n"/>
      <c r="BH640" s="692" t="n"/>
      <c r="BI640" s="692" t="n"/>
      <c r="BJ640" s="692" t="n"/>
      <c r="BK640" s="692" t="n"/>
      <c r="BL640" s="692" t="n"/>
      <c r="BM640" s="692" t="n"/>
      <c r="BN640" s="692" t="n"/>
      <c r="BO640" s="692" t="n"/>
      <c r="BP640" s="692" t="n"/>
      <c r="BQ640" s="692" t="n"/>
    </row>
    <row r="641">
      <c r="A641" s="220" t="n"/>
      <c r="B641" s="211" t="n"/>
      <c r="C641" s="211" t="n"/>
      <c r="D641" s="211" t="n"/>
      <c r="E641" s="221" t="n"/>
      <c r="F641" s="211" t="n"/>
      <c r="G641" s="211" t="n"/>
      <c r="H641" s="211" t="n"/>
      <c r="I641" s="211" t="n"/>
      <c r="J641" s="211" t="n"/>
      <c r="K641" s="211" t="n"/>
      <c r="L641" s="213" t="n"/>
      <c r="M641" s="692" t="n"/>
      <c r="N641" s="692" t="n"/>
      <c r="O641" s="692" t="n"/>
      <c r="P641" s="261" t="n"/>
      <c r="Q641" s="692" t="n"/>
      <c r="R641" s="692" t="n"/>
      <c r="S641" s="692" t="n"/>
      <c r="T641" s="692" t="n"/>
      <c r="U641" s="692" t="n"/>
      <c r="V641" s="692" t="n"/>
      <c r="W641" s="692" t="n"/>
      <c r="X641" s="692" t="n"/>
      <c r="Y641" s="692" t="n"/>
      <c r="Z641" s="692" t="n"/>
      <c r="AA641" s="692" t="n"/>
      <c r="AB641" s="692" t="n"/>
      <c r="AC641" s="692" t="n"/>
      <c r="AD641" s="692" t="n"/>
      <c r="AF641" s="236" t="n"/>
      <c r="AG641" s="236" t="n"/>
      <c r="AH641" s="236" t="n"/>
      <c r="AI641" s="236" t="n"/>
      <c r="AJ641" s="236" t="n"/>
      <c r="AK641" s="236" t="n"/>
      <c r="AL641" s="236" t="n"/>
      <c r="AM641" s="236" t="n"/>
      <c r="AN641" s="236" t="n"/>
      <c r="AO641" s="236" t="n"/>
      <c r="AP641" s="236" t="n"/>
      <c r="AQ641" s="236" t="n"/>
      <c r="AR641" s="236" t="n"/>
      <c r="AS641" s="236" t="n"/>
      <c r="AT641" s="236" t="n"/>
      <c r="AU641" s="236" t="n"/>
      <c r="AV641" s="236" t="n"/>
      <c r="AW641" s="236" t="n"/>
      <c r="AX641" s="692" t="n"/>
      <c r="AY641" s="692" t="n"/>
      <c r="AZ641" s="692" t="n"/>
      <c r="BA641" s="692" t="n"/>
      <c r="BB641" s="692" t="n"/>
      <c r="BC641" s="692" t="n"/>
      <c r="BD641" s="692" t="n"/>
      <c r="BE641" s="692" t="n"/>
      <c r="BF641" s="692" t="n"/>
      <c r="BG641" s="692" t="n"/>
      <c r="BH641" s="692" t="n"/>
      <c r="BI641" s="692" t="n"/>
      <c r="BJ641" s="692" t="n"/>
      <c r="BK641" s="692" t="n"/>
      <c r="BL641" s="692" t="n"/>
      <c r="BM641" s="692" t="n"/>
      <c r="BN641" s="692" t="n"/>
      <c r="BO641" s="692" t="n"/>
      <c r="BP641" s="692" t="n"/>
      <c r="BQ641" s="692" t="n"/>
    </row>
    <row r="642">
      <c r="A642" s="218" t="n"/>
      <c r="B642" s="215" t="n"/>
      <c r="C642" s="215" t="n"/>
      <c r="D642" s="215" t="n"/>
      <c r="E642" s="219" t="n"/>
      <c r="F642" s="215" t="n"/>
      <c r="G642" s="215" t="n"/>
      <c r="H642" s="215" t="n"/>
      <c r="I642" s="215" t="n"/>
      <c r="J642" s="215" t="n"/>
      <c r="K642" s="215" t="n"/>
      <c r="L642" s="217" t="n"/>
      <c r="M642" s="692" t="n"/>
      <c r="N642" s="692" t="n"/>
      <c r="O642" s="692" t="n"/>
      <c r="P642" s="261" t="n"/>
      <c r="Q642" s="692" t="n"/>
      <c r="R642" s="692" t="n"/>
      <c r="S642" s="692" t="n"/>
      <c r="T642" s="692" t="n"/>
      <c r="U642" s="692" t="n"/>
      <c r="V642" s="692" t="n"/>
      <c r="W642" s="692" t="n"/>
      <c r="X642" s="692" t="n"/>
      <c r="Y642" s="692" t="n"/>
      <c r="Z642" s="692" t="n"/>
      <c r="AA642" s="692" t="n"/>
      <c r="AB642" s="692" t="n"/>
      <c r="AC642" s="692" t="n"/>
      <c r="AD642" s="692" t="n"/>
      <c r="AF642" s="236" t="n"/>
      <c r="AG642" s="236" t="n"/>
      <c r="AH642" s="236" t="n"/>
      <c r="AI642" s="236" t="n"/>
      <c r="AJ642" s="236" t="n"/>
      <c r="AK642" s="236" t="n"/>
      <c r="AL642" s="236" t="n"/>
      <c r="AM642" s="236" t="n"/>
      <c r="AN642" s="236" t="n"/>
      <c r="AO642" s="236" t="n"/>
      <c r="AP642" s="236" t="n"/>
      <c r="AQ642" s="236" t="n"/>
      <c r="AR642" s="236" t="n"/>
      <c r="AS642" s="236" t="n"/>
      <c r="AT642" s="236" t="n"/>
      <c r="AU642" s="236" t="n"/>
      <c r="AV642" s="236" t="n"/>
      <c r="AW642" s="236" t="n"/>
      <c r="AX642" s="692" t="n"/>
      <c r="AY642" s="692" t="n"/>
      <c r="AZ642" s="692" t="n"/>
      <c r="BA642" s="692" t="n"/>
      <c r="BB642" s="692" t="n"/>
      <c r="BC642" s="692" t="n"/>
      <c r="BD642" s="692" t="n"/>
      <c r="BE642" s="692" t="n"/>
      <c r="BF642" s="692" t="n"/>
      <c r="BG642" s="692" t="n"/>
      <c r="BH642" s="692" t="n"/>
      <c r="BI642" s="692" t="n"/>
      <c r="BJ642" s="692" t="n"/>
      <c r="BK642" s="692" t="n"/>
      <c r="BL642" s="692" t="n"/>
      <c r="BM642" s="692" t="n"/>
      <c r="BN642" s="692" t="n"/>
      <c r="BO642" s="692" t="n"/>
      <c r="BP642" s="692" t="n"/>
      <c r="BQ642" s="692" t="n"/>
    </row>
    <row r="643">
      <c r="A643" s="220" t="n"/>
      <c r="B643" s="211" t="n"/>
      <c r="C643" s="211" t="n"/>
      <c r="D643" s="211" t="n"/>
      <c r="E643" s="221" t="n"/>
      <c r="F643" s="211" t="n"/>
      <c r="G643" s="211" t="n"/>
      <c r="H643" s="211" t="n"/>
      <c r="I643" s="211" t="n"/>
      <c r="J643" s="211" t="n"/>
      <c r="K643" s="211" t="n"/>
      <c r="L643" s="213" t="n"/>
      <c r="M643" s="692" t="n"/>
      <c r="N643" s="692" t="n"/>
      <c r="O643" s="692" t="n"/>
      <c r="P643" s="261" t="n"/>
      <c r="Q643" s="692" t="n"/>
      <c r="R643" s="692" t="n"/>
      <c r="S643" s="692" t="n"/>
      <c r="T643" s="692" t="n"/>
      <c r="U643" s="692" t="n"/>
      <c r="V643" s="692" t="n"/>
      <c r="W643" s="692" t="n"/>
      <c r="X643" s="692" t="n"/>
      <c r="Y643" s="692" t="n"/>
      <c r="Z643" s="692" t="n"/>
      <c r="AA643" s="692" t="n"/>
      <c r="AB643" s="692" t="n"/>
      <c r="AC643" s="692" t="n"/>
      <c r="AD643" s="692" t="n"/>
      <c r="AF643" s="236" t="n"/>
      <c r="AG643" s="236" t="n"/>
      <c r="AH643" s="236" t="n"/>
      <c r="AI643" s="236" t="n"/>
      <c r="AJ643" s="236" t="n"/>
      <c r="AK643" s="236" t="n"/>
      <c r="AL643" s="236" t="n"/>
      <c r="AM643" s="236" t="n"/>
      <c r="AN643" s="236" t="n"/>
      <c r="AO643" s="236" t="n"/>
      <c r="AP643" s="236" t="n"/>
      <c r="AQ643" s="236" t="n"/>
      <c r="AR643" s="236" t="n"/>
      <c r="AS643" s="236" t="n"/>
      <c r="AT643" s="236" t="n"/>
      <c r="AU643" s="236" t="n"/>
      <c r="AV643" s="236" t="n"/>
      <c r="AW643" s="236" t="n"/>
      <c r="AX643" s="692" t="n"/>
      <c r="AY643" s="692" t="n"/>
      <c r="AZ643" s="692" t="n"/>
      <c r="BA643" s="692" t="n"/>
      <c r="BB643" s="692" t="n"/>
      <c r="BC643" s="692" t="n"/>
      <c r="BD643" s="692" t="n"/>
      <c r="BE643" s="692" t="n"/>
      <c r="BF643" s="692" t="n"/>
      <c r="BG643" s="692" t="n"/>
      <c r="BH643" s="692" t="n"/>
      <c r="BI643" s="692" t="n"/>
      <c r="BJ643" s="692" t="n"/>
      <c r="BK643" s="692" t="n"/>
      <c r="BL643" s="692" t="n"/>
      <c r="BM643" s="692" t="n"/>
      <c r="BN643" s="692" t="n"/>
      <c r="BO643" s="692" t="n"/>
      <c r="BP643" s="692" t="n"/>
      <c r="BQ643" s="692" t="n"/>
    </row>
    <row r="644">
      <c r="A644" s="218" t="n"/>
      <c r="B644" s="215" t="n"/>
      <c r="C644" s="215" t="n"/>
      <c r="D644" s="215" t="n"/>
      <c r="E644" s="219" t="n"/>
      <c r="F644" s="215" t="n"/>
      <c r="G644" s="215" t="n"/>
      <c r="H644" s="215" t="n"/>
      <c r="I644" s="215" t="n"/>
      <c r="J644" s="215" t="n"/>
      <c r="K644" s="215" t="n"/>
      <c r="L644" s="217" t="n"/>
      <c r="M644" s="692" t="n"/>
      <c r="N644" s="692" t="n"/>
      <c r="O644" s="692" t="n"/>
      <c r="P644" s="261" t="n"/>
      <c r="Q644" s="692" t="n"/>
      <c r="R644" s="692" t="n"/>
      <c r="S644" s="692" t="n"/>
      <c r="T644" s="692" t="n"/>
      <c r="U644" s="692" t="n"/>
      <c r="V644" s="692" t="n"/>
      <c r="W644" s="692" t="n"/>
      <c r="X644" s="692" t="n"/>
      <c r="Y644" s="692" t="n"/>
      <c r="Z644" s="692" t="n"/>
      <c r="AA644" s="692" t="n"/>
      <c r="AB644" s="692" t="n"/>
      <c r="AC644" s="692" t="n"/>
      <c r="AD644" s="692" t="n"/>
      <c r="AF644" s="236" t="n"/>
      <c r="AG644" s="236" t="n"/>
      <c r="AH644" s="236" t="n"/>
      <c r="AI644" s="236" t="n"/>
      <c r="AJ644" s="236" t="n"/>
      <c r="AK644" s="236" t="n"/>
      <c r="AL644" s="236" t="n"/>
      <c r="AM644" s="236" t="n"/>
      <c r="AN644" s="236" t="n"/>
      <c r="AO644" s="236" t="n"/>
      <c r="AP644" s="236" t="n"/>
      <c r="AQ644" s="236" t="n"/>
      <c r="AR644" s="236" t="n"/>
      <c r="AS644" s="236" t="n"/>
      <c r="AT644" s="236" t="n"/>
      <c r="AU644" s="236" t="n"/>
      <c r="AV644" s="236" t="n"/>
      <c r="AW644" s="236" t="n"/>
      <c r="AX644" s="692" t="n"/>
      <c r="AY644" s="692" t="n"/>
      <c r="AZ644" s="692" t="n"/>
      <c r="BA644" s="692" t="n"/>
      <c r="BB644" s="692" t="n"/>
      <c r="BC644" s="692" t="n"/>
      <c r="BD644" s="692" t="n"/>
      <c r="BE644" s="692" t="n"/>
      <c r="BF644" s="692" t="n"/>
      <c r="BG644" s="692" t="n"/>
      <c r="BH644" s="692" t="n"/>
      <c r="BI644" s="692" t="n"/>
      <c r="BJ644" s="692" t="n"/>
      <c r="BK644" s="692" t="n"/>
      <c r="BL644" s="692" t="n"/>
      <c r="BM644" s="692" t="n"/>
      <c r="BN644" s="692" t="n"/>
      <c r="BO644" s="692" t="n"/>
      <c r="BP644" s="692" t="n"/>
      <c r="BQ644" s="692" t="n"/>
    </row>
    <row r="645">
      <c r="A645" s="220" t="n"/>
      <c r="B645" s="211" t="n"/>
      <c r="C645" s="211" t="n"/>
      <c r="D645" s="211" t="n"/>
      <c r="E645" s="221" t="n"/>
      <c r="F645" s="211" t="n"/>
      <c r="G645" s="211" t="n"/>
      <c r="H645" s="211" t="n"/>
      <c r="I645" s="211" t="n"/>
      <c r="J645" s="211" t="n"/>
      <c r="K645" s="211" t="n"/>
      <c r="L645" s="213" t="n"/>
      <c r="M645" s="692" t="n"/>
      <c r="N645" s="692" t="n"/>
      <c r="O645" s="692" t="n"/>
      <c r="P645" s="261" t="n"/>
      <c r="Q645" s="692" t="n"/>
      <c r="R645" s="692" t="n"/>
      <c r="S645" s="692" t="n"/>
      <c r="T645" s="692" t="n"/>
      <c r="U645" s="692" t="n"/>
      <c r="V645" s="692" t="n"/>
      <c r="W645" s="692" t="n"/>
      <c r="X645" s="692" t="n"/>
      <c r="Y645" s="692" t="n"/>
      <c r="Z645" s="692" t="n"/>
      <c r="AA645" s="692" t="n"/>
      <c r="AB645" s="692" t="n"/>
      <c r="AC645" s="692" t="n"/>
      <c r="AD645" s="692" t="n"/>
      <c r="AF645" s="236" t="n"/>
      <c r="AG645" s="236" t="n"/>
      <c r="AH645" s="236" t="n"/>
      <c r="AI645" s="236" t="n"/>
      <c r="AJ645" s="236" t="n"/>
      <c r="AK645" s="236" t="n"/>
      <c r="AL645" s="236" t="n"/>
      <c r="AM645" s="236" t="n"/>
      <c r="AN645" s="236" t="n"/>
      <c r="AO645" s="236" t="n"/>
      <c r="AP645" s="236" t="n"/>
      <c r="AQ645" s="236" t="n"/>
      <c r="AR645" s="236" t="n"/>
      <c r="AS645" s="236" t="n"/>
      <c r="AT645" s="236" t="n"/>
      <c r="AU645" s="236" t="n"/>
      <c r="AV645" s="236" t="n"/>
      <c r="AW645" s="236" t="n"/>
      <c r="AX645" s="692" t="n"/>
      <c r="AY645" s="692" t="n"/>
      <c r="AZ645" s="692" t="n"/>
      <c r="BA645" s="692" t="n"/>
      <c r="BB645" s="692" t="n"/>
      <c r="BC645" s="692" t="n"/>
      <c r="BD645" s="692" t="n"/>
      <c r="BE645" s="692" t="n"/>
      <c r="BF645" s="692" t="n"/>
      <c r="BG645" s="692" t="n"/>
      <c r="BH645" s="692" t="n"/>
      <c r="BI645" s="692" t="n"/>
      <c r="BJ645" s="692" t="n"/>
      <c r="BK645" s="692" t="n"/>
      <c r="BL645" s="692" t="n"/>
      <c r="BM645" s="692" t="n"/>
      <c r="BN645" s="692" t="n"/>
      <c r="BO645" s="692" t="n"/>
      <c r="BP645" s="692" t="n"/>
      <c r="BQ645" s="692" t="n"/>
    </row>
    <row r="646">
      <c r="A646" s="218" t="n"/>
      <c r="B646" s="215" t="n"/>
      <c r="C646" s="215" t="n"/>
      <c r="D646" s="215" t="n"/>
      <c r="E646" s="219" t="n"/>
      <c r="F646" s="215" t="n"/>
      <c r="G646" s="215" t="n"/>
      <c r="H646" s="215" t="n"/>
      <c r="I646" s="215" t="n"/>
      <c r="J646" s="215" t="n"/>
      <c r="K646" s="215" t="n"/>
      <c r="L646" s="217" t="n"/>
      <c r="M646" s="692" t="n"/>
      <c r="N646" s="692" t="n"/>
      <c r="O646" s="692" t="n"/>
      <c r="P646" s="261" t="n"/>
      <c r="Q646" s="692" t="n"/>
      <c r="R646" s="692" t="n"/>
      <c r="S646" s="692" t="n"/>
      <c r="T646" s="692" t="n"/>
      <c r="U646" s="692" t="n"/>
      <c r="V646" s="692" t="n"/>
      <c r="W646" s="692" t="n"/>
      <c r="X646" s="692" t="n"/>
      <c r="Y646" s="692" t="n"/>
      <c r="Z646" s="692" t="n"/>
      <c r="AA646" s="692" t="n"/>
      <c r="AB646" s="692" t="n"/>
      <c r="AC646" s="692" t="n"/>
      <c r="AD646" s="692" t="n"/>
      <c r="AF646" s="236" t="n"/>
      <c r="AG646" s="236" t="n"/>
      <c r="AH646" s="236" t="n"/>
      <c r="AI646" s="236" t="n"/>
      <c r="AJ646" s="236" t="n"/>
      <c r="AK646" s="236" t="n"/>
      <c r="AL646" s="236" t="n"/>
      <c r="AM646" s="236" t="n"/>
      <c r="AN646" s="236" t="n"/>
      <c r="AO646" s="236" t="n"/>
      <c r="AP646" s="236" t="n"/>
      <c r="AQ646" s="236" t="n"/>
      <c r="AR646" s="236" t="n"/>
      <c r="AS646" s="236" t="n"/>
      <c r="AT646" s="236" t="n"/>
      <c r="AU646" s="236" t="n"/>
      <c r="AV646" s="236" t="n"/>
      <c r="AW646" s="236" t="n"/>
      <c r="AX646" s="692" t="n"/>
      <c r="AY646" s="692" t="n"/>
      <c r="AZ646" s="692" t="n"/>
      <c r="BA646" s="692" t="n"/>
      <c r="BB646" s="692" t="n"/>
      <c r="BC646" s="692" t="n"/>
      <c r="BD646" s="692" t="n"/>
      <c r="BE646" s="692" t="n"/>
      <c r="BF646" s="692" t="n"/>
      <c r="BG646" s="692" t="n"/>
      <c r="BH646" s="692" t="n"/>
      <c r="BI646" s="692" t="n"/>
      <c r="BJ646" s="692" t="n"/>
      <c r="BK646" s="692" t="n"/>
      <c r="BL646" s="692" t="n"/>
      <c r="BM646" s="692" t="n"/>
      <c r="BN646" s="692" t="n"/>
      <c r="BO646" s="692" t="n"/>
      <c r="BP646" s="692" t="n"/>
      <c r="BQ646" s="692" t="n"/>
    </row>
    <row r="647">
      <c r="A647" s="220" t="n"/>
      <c r="B647" s="211" t="n"/>
      <c r="C647" s="211" t="n"/>
      <c r="D647" s="211" t="n"/>
      <c r="E647" s="221" t="n"/>
      <c r="F647" s="211" t="n"/>
      <c r="G647" s="211" t="n"/>
      <c r="H647" s="211" t="n"/>
      <c r="I647" s="211" t="n"/>
      <c r="J647" s="211" t="n"/>
      <c r="K647" s="211" t="n"/>
      <c r="L647" s="213" t="n"/>
      <c r="M647" s="692" t="n"/>
      <c r="N647" s="692" t="n"/>
      <c r="O647" s="692" t="n"/>
      <c r="P647" s="261" t="n"/>
      <c r="Q647" s="692" t="n"/>
      <c r="R647" s="692" t="n"/>
      <c r="S647" s="692" t="n"/>
      <c r="T647" s="692" t="n"/>
      <c r="U647" s="692" t="n"/>
      <c r="V647" s="692" t="n"/>
      <c r="W647" s="692" t="n"/>
      <c r="X647" s="692" t="n"/>
      <c r="Y647" s="692" t="n"/>
      <c r="Z647" s="692" t="n"/>
      <c r="AA647" s="692" t="n"/>
      <c r="AB647" s="692" t="n"/>
      <c r="AC647" s="692" t="n"/>
      <c r="AD647" s="692" t="n"/>
      <c r="AF647" s="236" t="n"/>
      <c r="AG647" s="236" t="n"/>
      <c r="AH647" s="236" t="n"/>
      <c r="AI647" s="236" t="n"/>
      <c r="AJ647" s="236" t="n"/>
      <c r="AK647" s="236" t="n"/>
      <c r="AL647" s="236" t="n"/>
      <c r="AM647" s="236" t="n"/>
      <c r="AN647" s="236" t="n"/>
      <c r="AO647" s="236" t="n"/>
      <c r="AP647" s="236" t="n"/>
      <c r="AQ647" s="236" t="n"/>
      <c r="AR647" s="236" t="n"/>
      <c r="AS647" s="236" t="n"/>
      <c r="AT647" s="236" t="n"/>
      <c r="AU647" s="236" t="n"/>
      <c r="AV647" s="236" t="n"/>
      <c r="AW647" s="236" t="n"/>
      <c r="AX647" s="692" t="n"/>
      <c r="AY647" s="692" t="n"/>
      <c r="AZ647" s="692" t="n"/>
      <c r="BA647" s="692" t="n"/>
      <c r="BB647" s="692" t="n"/>
      <c r="BC647" s="692" t="n"/>
      <c r="BD647" s="692" t="n"/>
      <c r="BE647" s="692" t="n"/>
      <c r="BF647" s="692" t="n"/>
      <c r="BG647" s="692" t="n"/>
      <c r="BH647" s="692" t="n"/>
      <c r="BI647" s="692" t="n"/>
      <c r="BJ647" s="692" t="n"/>
      <c r="BK647" s="692" t="n"/>
      <c r="BL647" s="692" t="n"/>
      <c r="BM647" s="692" t="n"/>
      <c r="BN647" s="692" t="n"/>
      <c r="BO647" s="692" t="n"/>
      <c r="BP647" s="692" t="n"/>
      <c r="BQ647" s="692" t="n"/>
    </row>
    <row r="648">
      <c r="A648" s="218" t="n"/>
      <c r="B648" s="215" t="n"/>
      <c r="C648" s="215" t="n"/>
      <c r="D648" s="215" t="n"/>
      <c r="E648" s="219" t="n"/>
      <c r="F648" s="215" t="n"/>
      <c r="G648" s="215" t="n"/>
      <c r="H648" s="215" t="n"/>
      <c r="I648" s="215" t="n"/>
      <c r="J648" s="215" t="n"/>
      <c r="K648" s="215" t="n"/>
      <c r="L648" s="217" t="n"/>
      <c r="M648" s="692" t="n"/>
      <c r="N648" s="692" t="n"/>
      <c r="O648" s="692" t="n"/>
      <c r="P648" s="261" t="n"/>
      <c r="Q648" s="692" t="n"/>
      <c r="R648" s="692" t="n"/>
      <c r="S648" s="692" t="n"/>
      <c r="T648" s="692" t="n"/>
      <c r="U648" s="692" t="n"/>
      <c r="V648" s="692" t="n"/>
      <c r="W648" s="692" t="n"/>
      <c r="X648" s="692" t="n"/>
      <c r="Y648" s="692" t="n"/>
      <c r="Z648" s="692" t="n"/>
      <c r="AA648" s="692" t="n"/>
      <c r="AB648" s="692" t="n"/>
      <c r="AC648" s="692" t="n"/>
      <c r="AD648" s="692" t="n"/>
      <c r="AF648" s="236" t="n"/>
      <c r="AG648" s="236" t="n"/>
      <c r="AH648" s="236" t="n"/>
      <c r="AI648" s="236" t="n"/>
      <c r="AJ648" s="236" t="n"/>
      <c r="AK648" s="236" t="n"/>
      <c r="AL648" s="236" t="n"/>
      <c r="AM648" s="236" t="n"/>
      <c r="AN648" s="236" t="n"/>
      <c r="AO648" s="236" t="n"/>
      <c r="AP648" s="236" t="n"/>
      <c r="AQ648" s="236" t="n"/>
      <c r="AR648" s="236" t="n"/>
      <c r="AS648" s="236" t="n"/>
      <c r="AT648" s="236" t="n"/>
      <c r="AU648" s="236" t="n"/>
      <c r="AV648" s="236" t="n"/>
      <c r="AW648" s="236" t="n"/>
      <c r="AX648" s="692" t="n"/>
      <c r="AY648" s="692" t="n"/>
      <c r="AZ648" s="692" t="n"/>
      <c r="BA648" s="692" t="n"/>
      <c r="BB648" s="692" t="n"/>
      <c r="BC648" s="692" t="n"/>
      <c r="BD648" s="692" t="n"/>
      <c r="BE648" s="692" t="n"/>
      <c r="BF648" s="692" t="n"/>
      <c r="BG648" s="692" t="n"/>
      <c r="BH648" s="692" t="n"/>
      <c r="BI648" s="692" t="n"/>
      <c r="BJ648" s="692" t="n"/>
      <c r="BK648" s="692" t="n"/>
      <c r="BL648" s="692" t="n"/>
      <c r="BM648" s="692" t="n"/>
      <c r="BN648" s="692" t="n"/>
      <c r="BO648" s="692" t="n"/>
      <c r="BP648" s="692" t="n"/>
      <c r="BQ648" s="692" t="n"/>
    </row>
    <row r="649">
      <c r="A649" s="220" t="n"/>
      <c r="B649" s="211" t="n"/>
      <c r="C649" s="211" t="n"/>
      <c r="D649" s="211" t="n"/>
      <c r="E649" s="221" t="n"/>
      <c r="F649" s="211" t="n"/>
      <c r="G649" s="211" t="n"/>
      <c r="H649" s="211" t="n"/>
      <c r="I649" s="211" t="n"/>
      <c r="J649" s="211" t="n"/>
      <c r="K649" s="211" t="n"/>
      <c r="L649" s="213" t="n"/>
      <c r="M649" s="692" t="n"/>
      <c r="N649" s="692" t="n"/>
      <c r="O649" s="692" t="n"/>
      <c r="P649" s="261" t="n"/>
      <c r="Q649" s="692" t="n"/>
      <c r="R649" s="692" t="n"/>
      <c r="S649" s="692" t="n"/>
      <c r="T649" s="692" t="n"/>
      <c r="U649" s="692" t="n"/>
      <c r="V649" s="692" t="n"/>
      <c r="W649" s="692" t="n"/>
      <c r="X649" s="692" t="n"/>
      <c r="Y649" s="692" t="n"/>
      <c r="Z649" s="692" t="n"/>
      <c r="AA649" s="692" t="n"/>
      <c r="AB649" s="692" t="n"/>
      <c r="AC649" s="692" t="n"/>
      <c r="AD649" s="692" t="n"/>
      <c r="AF649" s="236" t="n"/>
      <c r="AG649" s="236" t="n"/>
      <c r="AH649" s="236" t="n"/>
      <c r="AI649" s="236" t="n"/>
      <c r="AJ649" s="236" t="n"/>
      <c r="AK649" s="236" t="n"/>
      <c r="AL649" s="236" t="n"/>
      <c r="AM649" s="236" t="n"/>
      <c r="AN649" s="236" t="n"/>
      <c r="AO649" s="236" t="n"/>
      <c r="AP649" s="236" t="n"/>
      <c r="AQ649" s="236" t="n"/>
      <c r="AR649" s="236" t="n"/>
      <c r="AS649" s="236" t="n"/>
      <c r="AT649" s="236" t="n"/>
      <c r="AU649" s="236" t="n"/>
      <c r="AV649" s="236" t="n"/>
      <c r="AW649" s="236" t="n"/>
      <c r="AX649" s="692" t="n"/>
      <c r="AY649" s="692" t="n"/>
      <c r="AZ649" s="692" t="n"/>
      <c r="BA649" s="692" t="n"/>
      <c r="BB649" s="692" t="n"/>
      <c r="BC649" s="692" t="n"/>
      <c r="BD649" s="692" t="n"/>
      <c r="BE649" s="692" t="n"/>
      <c r="BF649" s="692" t="n"/>
      <c r="BG649" s="692" t="n"/>
      <c r="BH649" s="692" t="n"/>
      <c r="BI649" s="692" t="n"/>
      <c r="BJ649" s="692" t="n"/>
      <c r="BK649" s="692" t="n"/>
      <c r="BL649" s="692" t="n"/>
      <c r="BM649" s="692" t="n"/>
      <c r="BN649" s="692" t="n"/>
      <c r="BO649" s="692" t="n"/>
      <c r="BP649" s="692" t="n"/>
      <c r="BQ649" s="692" t="n"/>
    </row>
    <row r="650">
      <c r="A650" s="218" t="n"/>
      <c r="B650" s="215" t="n"/>
      <c r="C650" s="215" t="n"/>
      <c r="D650" s="215" t="n"/>
      <c r="E650" s="219" t="n"/>
      <c r="F650" s="215" t="n"/>
      <c r="G650" s="215" t="n"/>
      <c r="H650" s="215" t="n"/>
      <c r="I650" s="215" t="n"/>
      <c r="J650" s="215" t="n"/>
      <c r="K650" s="215" t="n"/>
      <c r="L650" s="217" t="n"/>
      <c r="M650" s="692" t="n"/>
      <c r="N650" s="692" t="n"/>
      <c r="O650" s="692" t="n"/>
      <c r="P650" s="261" t="n"/>
      <c r="Q650" s="692" t="n"/>
      <c r="R650" s="692" t="n"/>
      <c r="S650" s="692" t="n"/>
      <c r="T650" s="692" t="n"/>
      <c r="U650" s="692" t="n"/>
      <c r="V650" s="692" t="n"/>
      <c r="W650" s="692" t="n"/>
      <c r="X650" s="692" t="n"/>
      <c r="Y650" s="692" t="n"/>
      <c r="Z650" s="692" t="n"/>
      <c r="AA650" s="692" t="n"/>
      <c r="AB650" s="692" t="n"/>
      <c r="AC650" s="692" t="n"/>
      <c r="AD650" s="692" t="n"/>
      <c r="AF650" s="236" t="n"/>
      <c r="AG650" s="236" t="n"/>
      <c r="AH650" s="236" t="n"/>
      <c r="AI650" s="236" t="n"/>
      <c r="AJ650" s="236" t="n"/>
      <c r="AK650" s="236" t="n"/>
      <c r="AL650" s="236" t="n"/>
      <c r="AM650" s="236" t="n"/>
      <c r="AN650" s="236" t="n"/>
      <c r="AO650" s="236" t="n"/>
      <c r="AP650" s="236" t="n"/>
      <c r="AQ650" s="236" t="n"/>
      <c r="AR650" s="236" t="n"/>
      <c r="AS650" s="236" t="n"/>
      <c r="AT650" s="236" t="n"/>
      <c r="AU650" s="236" t="n"/>
      <c r="AV650" s="236" t="n"/>
      <c r="AW650" s="236" t="n"/>
      <c r="AX650" s="692" t="n"/>
      <c r="AY650" s="692" t="n"/>
      <c r="AZ650" s="692" t="n"/>
      <c r="BA650" s="692" t="n"/>
      <c r="BB650" s="692" t="n"/>
      <c r="BC650" s="692" t="n"/>
      <c r="BD650" s="692" t="n"/>
      <c r="BE650" s="692" t="n"/>
      <c r="BF650" s="692" t="n"/>
      <c r="BG650" s="692" t="n"/>
      <c r="BH650" s="692" t="n"/>
      <c r="BI650" s="692" t="n"/>
      <c r="BJ650" s="692" t="n"/>
      <c r="BK650" s="692" t="n"/>
      <c r="BL650" s="692" t="n"/>
      <c r="BM650" s="692" t="n"/>
      <c r="BN650" s="692" t="n"/>
      <c r="BO650" s="692" t="n"/>
      <c r="BP650" s="692" t="n"/>
      <c r="BQ650" s="692" t="n"/>
    </row>
    <row r="651">
      <c r="A651" s="220" t="n"/>
      <c r="B651" s="211" t="n"/>
      <c r="C651" s="211" t="n"/>
      <c r="D651" s="211" t="n"/>
      <c r="E651" s="221" t="n"/>
      <c r="F651" s="211" t="n"/>
      <c r="G651" s="211" t="n"/>
      <c r="H651" s="211" t="n"/>
      <c r="I651" s="211" t="n"/>
      <c r="J651" s="211" t="n"/>
      <c r="K651" s="211" t="n"/>
      <c r="L651" s="213" t="n"/>
      <c r="M651" s="692" t="n"/>
      <c r="N651" s="692" t="n"/>
      <c r="O651" s="692" t="n"/>
      <c r="P651" s="261" t="n"/>
      <c r="Q651" s="692" t="n"/>
      <c r="R651" s="692" t="n"/>
      <c r="S651" s="692" t="n"/>
      <c r="T651" s="692" t="n"/>
      <c r="U651" s="692" t="n"/>
      <c r="V651" s="692" t="n"/>
      <c r="W651" s="692" t="n"/>
      <c r="X651" s="692" t="n"/>
      <c r="Y651" s="692" t="n"/>
      <c r="Z651" s="692" t="n"/>
      <c r="AA651" s="692" t="n"/>
      <c r="AB651" s="692" t="n"/>
      <c r="AC651" s="692" t="n"/>
      <c r="AD651" s="692" t="n"/>
      <c r="AF651" s="236" t="n"/>
      <c r="AG651" s="236" t="n"/>
      <c r="AH651" s="236" t="n"/>
      <c r="AI651" s="236" t="n"/>
      <c r="AJ651" s="236" t="n"/>
      <c r="AK651" s="236" t="n"/>
      <c r="AL651" s="236" t="n"/>
      <c r="AM651" s="236" t="n"/>
      <c r="AN651" s="236" t="n"/>
      <c r="AO651" s="236" t="n"/>
      <c r="AP651" s="236" t="n"/>
      <c r="AQ651" s="236" t="n"/>
      <c r="AR651" s="236" t="n"/>
      <c r="AS651" s="236" t="n"/>
      <c r="AT651" s="236" t="n"/>
      <c r="AU651" s="236" t="n"/>
      <c r="AV651" s="236" t="n"/>
      <c r="AW651" s="236" t="n"/>
      <c r="AX651" s="692" t="n"/>
      <c r="AY651" s="692" t="n"/>
      <c r="AZ651" s="692" t="n"/>
      <c r="BA651" s="692" t="n"/>
      <c r="BB651" s="692" t="n"/>
      <c r="BC651" s="692" t="n"/>
      <c r="BD651" s="692" t="n"/>
      <c r="BE651" s="692" t="n"/>
      <c r="BF651" s="692" t="n"/>
      <c r="BG651" s="692" t="n"/>
      <c r="BH651" s="692" t="n"/>
      <c r="BI651" s="692" t="n"/>
      <c r="BJ651" s="692" t="n"/>
      <c r="BK651" s="692" t="n"/>
      <c r="BL651" s="692" t="n"/>
      <c r="BM651" s="692" t="n"/>
      <c r="BN651" s="692" t="n"/>
      <c r="BO651" s="692" t="n"/>
      <c r="BP651" s="692" t="n"/>
      <c r="BQ651" s="692" t="n"/>
    </row>
    <row r="652">
      <c r="A652" s="218" t="n"/>
      <c r="B652" s="215" t="n"/>
      <c r="C652" s="215" t="n"/>
      <c r="D652" s="215" t="n"/>
      <c r="E652" s="219" t="n"/>
      <c r="F652" s="215" t="n"/>
      <c r="G652" s="215" t="n"/>
      <c r="H652" s="215" t="n"/>
      <c r="I652" s="215" t="n"/>
      <c r="J652" s="215" t="n"/>
      <c r="K652" s="215" t="n"/>
      <c r="L652" s="217" t="n"/>
      <c r="M652" s="692" t="n"/>
      <c r="N652" s="692" t="n"/>
      <c r="O652" s="692" t="n"/>
      <c r="P652" s="261" t="n"/>
      <c r="Q652" s="692" t="n"/>
      <c r="R652" s="692" t="n"/>
      <c r="S652" s="692" t="n"/>
      <c r="T652" s="692" t="n"/>
      <c r="U652" s="692" t="n"/>
      <c r="V652" s="692" t="n"/>
      <c r="W652" s="692" t="n"/>
      <c r="X652" s="692" t="n"/>
      <c r="Y652" s="692" t="n"/>
      <c r="Z652" s="692" t="n"/>
      <c r="AA652" s="692" t="n"/>
      <c r="AB652" s="692" t="n"/>
      <c r="AC652" s="692" t="n"/>
      <c r="AD652" s="692" t="n"/>
      <c r="AF652" s="236" t="n"/>
      <c r="AG652" s="236" t="n"/>
      <c r="AH652" s="236" t="n"/>
      <c r="AI652" s="236" t="n"/>
      <c r="AJ652" s="236" t="n"/>
      <c r="AK652" s="236" t="n"/>
      <c r="AL652" s="236" t="n"/>
      <c r="AM652" s="236" t="n"/>
      <c r="AN652" s="236" t="n"/>
      <c r="AO652" s="236" t="n"/>
      <c r="AP652" s="236" t="n"/>
      <c r="AQ652" s="236" t="n"/>
      <c r="AR652" s="236" t="n"/>
      <c r="AS652" s="236" t="n"/>
      <c r="AT652" s="236" t="n"/>
      <c r="AU652" s="236" t="n"/>
      <c r="AV652" s="236" t="n"/>
      <c r="AW652" s="236" t="n"/>
      <c r="AX652" s="692" t="n"/>
      <c r="AY652" s="692" t="n"/>
      <c r="AZ652" s="692" t="n"/>
      <c r="BA652" s="692" t="n"/>
      <c r="BB652" s="692" t="n"/>
      <c r="BC652" s="692" t="n"/>
      <c r="BD652" s="692" t="n"/>
      <c r="BE652" s="692" t="n"/>
      <c r="BF652" s="692" t="n"/>
      <c r="BG652" s="692" t="n"/>
      <c r="BH652" s="692" t="n"/>
      <c r="BI652" s="692" t="n"/>
      <c r="BJ652" s="692" t="n"/>
      <c r="BK652" s="692" t="n"/>
      <c r="BL652" s="692" t="n"/>
      <c r="BM652" s="692" t="n"/>
      <c r="BN652" s="692" t="n"/>
      <c r="BO652" s="692" t="n"/>
      <c r="BP652" s="692" t="n"/>
      <c r="BQ652" s="692" t="n"/>
    </row>
    <row r="653">
      <c r="A653" s="220" t="n"/>
      <c r="B653" s="211" t="n"/>
      <c r="C653" s="211" t="n"/>
      <c r="D653" s="211" t="n"/>
      <c r="E653" s="221" t="n"/>
      <c r="F653" s="211" t="n"/>
      <c r="G653" s="211" t="n"/>
      <c r="H653" s="211" t="n"/>
      <c r="I653" s="211" t="n"/>
      <c r="J653" s="211" t="n"/>
      <c r="K653" s="211" t="n"/>
      <c r="L653" s="213" t="n"/>
      <c r="M653" s="692" t="n"/>
      <c r="N653" s="692" t="n"/>
      <c r="O653" s="692" t="n"/>
      <c r="P653" s="261" t="n"/>
      <c r="Q653" s="692" t="n"/>
      <c r="R653" s="692" t="n"/>
      <c r="S653" s="692" t="n"/>
      <c r="T653" s="692" t="n"/>
      <c r="U653" s="692" t="n"/>
      <c r="V653" s="692" t="n"/>
      <c r="W653" s="692" t="n"/>
      <c r="X653" s="692" t="n"/>
      <c r="Y653" s="692" t="n"/>
      <c r="Z653" s="692" t="n"/>
      <c r="AA653" s="692" t="n"/>
      <c r="AB653" s="692" t="n"/>
      <c r="AC653" s="692" t="n"/>
      <c r="AD653" s="692" t="n"/>
      <c r="AF653" s="236" t="n"/>
      <c r="AG653" s="236" t="n"/>
      <c r="AH653" s="236" t="n"/>
      <c r="AI653" s="236" t="n"/>
      <c r="AJ653" s="236" t="n"/>
      <c r="AK653" s="236" t="n"/>
      <c r="AL653" s="236" t="n"/>
      <c r="AM653" s="236" t="n"/>
      <c r="AN653" s="236" t="n"/>
      <c r="AO653" s="236" t="n"/>
      <c r="AP653" s="236" t="n"/>
      <c r="AQ653" s="236" t="n"/>
      <c r="AR653" s="236" t="n"/>
      <c r="AS653" s="236" t="n"/>
      <c r="AT653" s="236" t="n"/>
      <c r="AU653" s="236" t="n"/>
      <c r="AV653" s="236" t="n"/>
      <c r="AW653" s="236" t="n"/>
      <c r="AX653" s="692" t="n"/>
      <c r="AY653" s="692" t="n"/>
      <c r="AZ653" s="692" t="n"/>
      <c r="BA653" s="692" t="n"/>
      <c r="BB653" s="692" t="n"/>
      <c r="BC653" s="692" t="n"/>
      <c r="BD653" s="692" t="n"/>
      <c r="BE653" s="692" t="n"/>
      <c r="BF653" s="692" t="n"/>
      <c r="BG653" s="692" t="n"/>
      <c r="BH653" s="692" t="n"/>
      <c r="BI653" s="692" t="n"/>
      <c r="BJ653" s="692" t="n"/>
      <c r="BK653" s="692" t="n"/>
      <c r="BL653" s="692" t="n"/>
      <c r="BM653" s="692" t="n"/>
      <c r="BN653" s="692" t="n"/>
      <c r="BO653" s="692" t="n"/>
      <c r="BP653" s="692" t="n"/>
      <c r="BQ653" s="692" t="n"/>
    </row>
    <row r="654">
      <c r="A654" s="218" t="n"/>
      <c r="B654" s="215" t="n"/>
      <c r="C654" s="215" t="n"/>
      <c r="D654" s="215" t="n"/>
      <c r="E654" s="219" t="n"/>
      <c r="F654" s="215" t="n"/>
      <c r="G654" s="215" t="n"/>
      <c r="H654" s="215" t="n"/>
      <c r="I654" s="215" t="n"/>
      <c r="J654" s="215" t="n"/>
      <c r="K654" s="215" t="n"/>
      <c r="L654" s="217" t="n"/>
      <c r="M654" s="692" t="n"/>
      <c r="N654" s="692" t="n"/>
      <c r="O654" s="692" t="n"/>
      <c r="P654" s="261" t="n"/>
      <c r="Q654" s="692" t="n"/>
      <c r="R654" s="692" t="n"/>
      <c r="S654" s="692" t="n"/>
      <c r="T654" s="692" t="n"/>
      <c r="U654" s="692" t="n"/>
      <c r="V654" s="692" t="n"/>
      <c r="W654" s="692" t="n"/>
      <c r="X654" s="692" t="n"/>
      <c r="Y654" s="692" t="n"/>
      <c r="Z654" s="692" t="n"/>
      <c r="AA654" s="692" t="n"/>
      <c r="AB654" s="692" t="n"/>
      <c r="AC654" s="692" t="n"/>
      <c r="AD654" s="692" t="n"/>
      <c r="AF654" s="236" t="n"/>
      <c r="AG654" s="236" t="n"/>
      <c r="AH654" s="236" t="n"/>
      <c r="AI654" s="236" t="n"/>
      <c r="AJ654" s="236" t="n"/>
      <c r="AK654" s="236" t="n"/>
      <c r="AL654" s="236" t="n"/>
      <c r="AM654" s="236" t="n"/>
      <c r="AN654" s="236" t="n"/>
      <c r="AO654" s="236" t="n"/>
      <c r="AP654" s="236" t="n"/>
      <c r="AQ654" s="236" t="n"/>
      <c r="AR654" s="236" t="n"/>
      <c r="AS654" s="236" t="n"/>
      <c r="AT654" s="236" t="n"/>
      <c r="AU654" s="236" t="n"/>
      <c r="AV654" s="236" t="n"/>
      <c r="AW654" s="236" t="n"/>
      <c r="AX654" s="692" t="n"/>
      <c r="AY654" s="692" t="n"/>
      <c r="AZ654" s="692" t="n"/>
      <c r="BA654" s="692" t="n"/>
      <c r="BB654" s="692" t="n"/>
      <c r="BC654" s="692" t="n"/>
      <c r="BD654" s="692" t="n"/>
      <c r="BE654" s="692" t="n"/>
      <c r="BF654" s="692" t="n"/>
      <c r="BG654" s="692" t="n"/>
      <c r="BH654" s="692" t="n"/>
      <c r="BI654" s="692" t="n"/>
      <c r="BJ654" s="692" t="n"/>
      <c r="BK654" s="692" t="n"/>
      <c r="BL654" s="692" t="n"/>
      <c r="BM654" s="692" t="n"/>
      <c r="BN654" s="692" t="n"/>
      <c r="BO654" s="692" t="n"/>
      <c r="BP654" s="692" t="n"/>
      <c r="BQ654" s="692" t="n"/>
    </row>
    <row r="655">
      <c r="A655" s="220" t="n"/>
      <c r="B655" s="211" t="n"/>
      <c r="C655" s="211" t="n"/>
      <c r="D655" s="211" t="n"/>
      <c r="E655" s="221" t="n"/>
      <c r="F655" s="211" t="n"/>
      <c r="G655" s="211" t="n"/>
      <c r="H655" s="211" t="n"/>
      <c r="I655" s="211" t="n"/>
      <c r="J655" s="211" t="n"/>
      <c r="K655" s="211" t="n"/>
      <c r="L655" s="213" t="n"/>
      <c r="M655" s="692" t="n"/>
      <c r="N655" s="692" t="n"/>
      <c r="O655" s="692" t="n"/>
      <c r="P655" s="261" t="n"/>
      <c r="Q655" s="692" t="n"/>
      <c r="R655" s="692" t="n"/>
      <c r="S655" s="692" t="n"/>
      <c r="T655" s="692" t="n"/>
      <c r="U655" s="692" t="n"/>
      <c r="V655" s="692" t="n"/>
      <c r="W655" s="692" t="n"/>
      <c r="X655" s="692" t="n"/>
      <c r="Y655" s="692" t="n"/>
      <c r="Z655" s="692" t="n"/>
      <c r="AA655" s="692" t="n"/>
      <c r="AB655" s="692" t="n"/>
      <c r="AC655" s="692" t="n"/>
      <c r="AD655" s="692" t="n"/>
      <c r="AF655" s="236" t="n"/>
      <c r="AG655" s="236" t="n"/>
      <c r="AH655" s="236" t="n"/>
      <c r="AI655" s="236" t="n"/>
      <c r="AJ655" s="236" t="n"/>
      <c r="AK655" s="236" t="n"/>
      <c r="AL655" s="236" t="n"/>
      <c r="AM655" s="236" t="n"/>
      <c r="AN655" s="236" t="n"/>
      <c r="AO655" s="236" t="n"/>
      <c r="AP655" s="236" t="n"/>
      <c r="AQ655" s="236" t="n"/>
      <c r="AR655" s="236" t="n"/>
      <c r="AS655" s="236" t="n"/>
      <c r="AT655" s="236" t="n"/>
      <c r="AU655" s="236" t="n"/>
      <c r="AV655" s="236" t="n"/>
      <c r="AW655" s="236" t="n"/>
      <c r="AX655" s="692" t="n"/>
      <c r="AY655" s="692" t="n"/>
      <c r="AZ655" s="692" t="n"/>
      <c r="BA655" s="692" t="n"/>
      <c r="BB655" s="692" t="n"/>
      <c r="BC655" s="692" t="n"/>
      <c r="BD655" s="692" t="n"/>
      <c r="BE655" s="692" t="n"/>
      <c r="BF655" s="692" t="n"/>
      <c r="BG655" s="692" t="n"/>
      <c r="BH655" s="692" t="n"/>
      <c r="BI655" s="692" t="n"/>
      <c r="BJ655" s="692" t="n"/>
      <c r="BK655" s="692" t="n"/>
      <c r="BL655" s="692" t="n"/>
      <c r="BM655" s="692" t="n"/>
      <c r="BN655" s="692" t="n"/>
      <c r="BO655" s="692" t="n"/>
      <c r="BP655" s="692" t="n"/>
      <c r="BQ655" s="692" t="n"/>
    </row>
    <row r="656">
      <c r="A656" s="218" t="n"/>
      <c r="B656" s="215" t="n"/>
      <c r="C656" s="215" t="n"/>
      <c r="D656" s="215" t="n"/>
      <c r="E656" s="219" t="n"/>
      <c r="F656" s="215" t="n"/>
      <c r="G656" s="215" t="n"/>
      <c r="H656" s="215" t="n"/>
      <c r="I656" s="215" t="n"/>
      <c r="J656" s="215" t="n"/>
      <c r="K656" s="215" t="n"/>
      <c r="L656" s="217" t="n"/>
      <c r="M656" s="692" t="n"/>
      <c r="N656" s="692" t="n"/>
      <c r="O656" s="692" t="n"/>
      <c r="P656" s="261" t="n"/>
      <c r="Q656" s="692" t="n"/>
      <c r="R656" s="692" t="n"/>
      <c r="S656" s="692" t="n"/>
      <c r="T656" s="692" t="n"/>
      <c r="U656" s="692" t="n"/>
      <c r="V656" s="692" t="n"/>
      <c r="W656" s="692" t="n"/>
      <c r="X656" s="692" t="n"/>
      <c r="Y656" s="692" t="n"/>
      <c r="Z656" s="692" t="n"/>
      <c r="AA656" s="692" t="n"/>
      <c r="AB656" s="692" t="n"/>
      <c r="AC656" s="692" t="n"/>
      <c r="AD656" s="692" t="n"/>
      <c r="AF656" s="236" t="n"/>
      <c r="AG656" s="236" t="n"/>
      <c r="AH656" s="236" t="n"/>
      <c r="AI656" s="236" t="n"/>
      <c r="AJ656" s="236" t="n"/>
      <c r="AK656" s="236" t="n"/>
      <c r="AL656" s="236" t="n"/>
      <c r="AM656" s="236" t="n"/>
      <c r="AN656" s="236" t="n"/>
      <c r="AO656" s="236" t="n"/>
      <c r="AP656" s="236" t="n"/>
      <c r="AQ656" s="236" t="n"/>
      <c r="AR656" s="236" t="n"/>
      <c r="AS656" s="236" t="n"/>
      <c r="AT656" s="236" t="n"/>
      <c r="AU656" s="236" t="n"/>
      <c r="AV656" s="236" t="n"/>
      <c r="AW656" s="236" t="n"/>
      <c r="AX656" s="692" t="n"/>
      <c r="AY656" s="692" t="n"/>
      <c r="AZ656" s="692" t="n"/>
      <c r="BA656" s="692" t="n"/>
      <c r="BB656" s="692" t="n"/>
      <c r="BC656" s="692" t="n"/>
      <c r="BD656" s="692" t="n"/>
      <c r="BE656" s="692" t="n"/>
      <c r="BF656" s="692" t="n"/>
      <c r="BG656" s="692" t="n"/>
      <c r="BH656" s="692" t="n"/>
      <c r="BI656" s="692" t="n"/>
      <c r="BJ656" s="692" t="n"/>
      <c r="BK656" s="692" t="n"/>
      <c r="BL656" s="692" t="n"/>
      <c r="BM656" s="692" t="n"/>
      <c r="BN656" s="692" t="n"/>
      <c r="BO656" s="692" t="n"/>
      <c r="BP656" s="692" t="n"/>
      <c r="BQ656" s="692" t="n"/>
    </row>
    <row r="657">
      <c r="A657" s="220" t="n"/>
      <c r="B657" s="211" t="n"/>
      <c r="C657" s="211" t="n"/>
      <c r="D657" s="211" t="n"/>
      <c r="E657" s="221" t="n"/>
      <c r="F657" s="211" t="n"/>
      <c r="G657" s="211" t="n"/>
      <c r="H657" s="211" t="n"/>
      <c r="I657" s="211" t="n"/>
      <c r="J657" s="211" t="n"/>
      <c r="K657" s="211" t="n"/>
      <c r="L657" s="213" t="n"/>
      <c r="M657" s="692" t="n"/>
      <c r="N657" s="692" t="n"/>
      <c r="O657" s="692" t="n"/>
      <c r="P657" s="261" t="n"/>
      <c r="Q657" s="692" t="n"/>
      <c r="R657" s="692" t="n"/>
      <c r="S657" s="692" t="n"/>
      <c r="T657" s="692" t="n"/>
      <c r="U657" s="692" t="n"/>
      <c r="V657" s="692" t="n"/>
      <c r="W657" s="692" t="n"/>
      <c r="X657" s="692" t="n"/>
      <c r="Y657" s="692" t="n"/>
      <c r="Z657" s="692" t="n"/>
      <c r="AA657" s="692" t="n"/>
      <c r="AB657" s="692" t="n"/>
      <c r="AC657" s="692" t="n"/>
      <c r="AD657" s="692" t="n"/>
      <c r="AF657" s="236" t="n"/>
      <c r="AG657" s="236" t="n"/>
      <c r="AH657" s="236" t="n"/>
      <c r="AI657" s="236" t="n"/>
      <c r="AJ657" s="236" t="n"/>
      <c r="AK657" s="236" t="n"/>
      <c r="AL657" s="236" t="n"/>
      <c r="AM657" s="236" t="n"/>
      <c r="AN657" s="236" t="n"/>
      <c r="AO657" s="236" t="n"/>
      <c r="AP657" s="236" t="n"/>
      <c r="AQ657" s="236" t="n"/>
      <c r="AR657" s="236" t="n"/>
      <c r="AS657" s="236" t="n"/>
      <c r="AT657" s="236" t="n"/>
      <c r="AU657" s="236" t="n"/>
      <c r="AV657" s="236" t="n"/>
      <c r="AW657" s="236" t="n"/>
      <c r="AX657" s="692" t="n"/>
      <c r="AY657" s="692" t="n"/>
      <c r="AZ657" s="692" t="n"/>
      <c r="BA657" s="692" t="n"/>
      <c r="BB657" s="692" t="n"/>
      <c r="BC657" s="692" t="n"/>
      <c r="BD657" s="692" t="n"/>
      <c r="BE657" s="692" t="n"/>
      <c r="BF657" s="692" t="n"/>
      <c r="BG657" s="692" t="n"/>
      <c r="BH657" s="692" t="n"/>
      <c r="BI657" s="692" t="n"/>
      <c r="BJ657" s="692" t="n"/>
      <c r="BK657" s="692" t="n"/>
      <c r="BL657" s="692" t="n"/>
      <c r="BM657" s="692" t="n"/>
      <c r="BN657" s="692" t="n"/>
      <c r="BO657" s="692" t="n"/>
      <c r="BP657" s="692" t="n"/>
      <c r="BQ657" s="692" t="n"/>
    </row>
    <row r="658">
      <c r="A658" s="218" t="n"/>
      <c r="B658" s="215" t="n"/>
      <c r="C658" s="215" t="n"/>
      <c r="D658" s="215" t="n"/>
      <c r="E658" s="219" t="n"/>
      <c r="F658" s="215" t="n"/>
      <c r="G658" s="215" t="n"/>
      <c r="H658" s="215" t="n"/>
      <c r="I658" s="215" t="n"/>
      <c r="J658" s="215" t="n"/>
      <c r="K658" s="215" t="n"/>
      <c r="L658" s="217" t="n"/>
      <c r="M658" s="692" t="n"/>
      <c r="N658" s="692" t="n"/>
      <c r="O658" s="692" t="n"/>
      <c r="P658" s="261" t="n"/>
      <c r="Q658" s="692" t="n"/>
      <c r="R658" s="692" t="n"/>
      <c r="S658" s="692" t="n"/>
      <c r="T658" s="692" t="n"/>
      <c r="U658" s="692" t="n"/>
      <c r="V658" s="692" t="n"/>
      <c r="W658" s="692" t="n"/>
      <c r="X658" s="692" t="n"/>
      <c r="Y658" s="692" t="n"/>
      <c r="Z658" s="692" t="n"/>
      <c r="AA658" s="692" t="n"/>
      <c r="AB658" s="692" t="n"/>
      <c r="AC658" s="692" t="n"/>
      <c r="AD658" s="692" t="n"/>
      <c r="AF658" s="236" t="n"/>
      <c r="AG658" s="236" t="n"/>
      <c r="AH658" s="236" t="n"/>
      <c r="AI658" s="236" t="n"/>
      <c r="AJ658" s="236" t="n"/>
      <c r="AK658" s="236" t="n"/>
      <c r="AL658" s="236" t="n"/>
      <c r="AM658" s="236" t="n"/>
      <c r="AN658" s="236" t="n"/>
      <c r="AO658" s="236" t="n"/>
      <c r="AP658" s="236" t="n"/>
      <c r="AQ658" s="236" t="n"/>
      <c r="AR658" s="236" t="n"/>
      <c r="AS658" s="236" t="n"/>
      <c r="AT658" s="236" t="n"/>
      <c r="AU658" s="236" t="n"/>
      <c r="AV658" s="236" t="n"/>
      <c r="AW658" s="236" t="n"/>
      <c r="AX658" s="692" t="n"/>
      <c r="AY658" s="692" t="n"/>
      <c r="AZ658" s="692" t="n"/>
      <c r="BA658" s="692" t="n"/>
      <c r="BB658" s="692" t="n"/>
      <c r="BC658" s="692" t="n"/>
      <c r="BD658" s="692" t="n"/>
      <c r="BE658" s="692" t="n"/>
      <c r="BF658" s="692" t="n"/>
      <c r="BG658" s="692" t="n"/>
      <c r="BH658" s="692" t="n"/>
      <c r="BI658" s="692" t="n"/>
      <c r="BJ658" s="692" t="n"/>
      <c r="BK658" s="692" t="n"/>
      <c r="BL658" s="692" t="n"/>
      <c r="BM658" s="692" t="n"/>
      <c r="BN658" s="692" t="n"/>
      <c r="BO658" s="692" t="n"/>
      <c r="BP658" s="692" t="n"/>
      <c r="BQ658" s="692" t="n"/>
    </row>
    <row r="659">
      <c r="A659" s="220" t="n"/>
      <c r="B659" s="211" t="n"/>
      <c r="C659" s="211" t="n"/>
      <c r="D659" s="211" t="n"/>
      <c r="E659" s="221" t="n"/>
      <c r="F659" s="211" t="n"/>
      <c r="G659" s="211" t="n"/>
      <c r="H659" s="211" t="n"/>
      <c r="I659" s="211" t="n"/>
      <c r="J659" s="211" t="n"/>
      <c r="K659" s="211" t="n"/>
      <c r="L659" s="213" t="n"/>
      <c r="M659" s="692" t="n"/>
      <c r="N659" s="692" t="n"/>
      <c r="O659" s="692" t="n"/>
      <c r="P659" s="261" t="n"/>
      <c r="Q659" s="692" t="n"/>
      <c r="R659" s="692" t="n"/>
      <c r="S659" s="692" t="n"/>
      <c r="T659" s="692" t="n"/>
      <c r="U659" s="692" t="n"/>
      <c r="V659" s="692" t="n"/>
      <c r="W659" s="692" t="n"/>
      <c r="X659" s="692" t="n"/>
      <c r="Y659" s="692" t="n"/>
      <c r="Z659" s="692" t="n"/>
      <c r="AA659" s="692" t="n"/>
      <c r="AB659" s="692" t="n"/>
      <c r="AC659" s="692" t="n"/>
      <c r="AD659" s="692" t="n"/>
      <c r="AF659" s="236" t="n"/>
      <c r="AG659" s="236" t="n"/>
      <c r="AH659" s="236" t="n"/>
      <c r="AI659" s="236" t="n"/>
      <c r="AJ659" s="236" t="n"/>
      <c r="AK659" s="236" t="n"/>
      <c r="AL659" s="236" t="n"/>
      <c r="AM659" s="236" t="n"/>
      <c r="AN659" s="236" t="n"/>
      <c r="AO659" s="236" t="n"/>
      <c r="AP659" s="236" t="n"/>
      <c r="AQ659" s="236" t="n"/>
      <c r="AR659" s="236" t="n"/>
      <c r="AS659" s="236" t="n"/>
      <c r="AT659" s="236" t="n"/>
      <c r="AU659" s="236" t="n"/>
      <c r="AV659" s="236" t="n"/>
      <c r="AW659" s="236" t="n"/>
      <c r="AX659" s="692" t="n"/>
      <c r="AY659" s="692" t="n"/>
      <c r="AZ659" s="692" t="n"/>
      <c r="BA659" s="692" t="n"/>
      <c r="BB659" s="692" t="n"/>
      <c r="BC659" s="692" t="n"/>
      <c r="BD659" s="692" t="n"/>
      <c r="BE659" s="692" t="n"/>
      <c r="BF659" s="692" t="n"/>
      <c r="BG659" s="692" t="n"/>
      <c r="BH659" s="692" t="n"/>
      <c r="BI659" s="692" t="n"/>
      <c r="BJ659" s="692" t="n"/>
      <c r="BK659" s="692" t="n"/>
      <c r="BL659" s="692" t="n"/>
      <c r="BM659" s="692" t="n"/>
      <c r="BN659" s="692" t="n"/>
      <c r="BO659" s="692" t="n"/>
      <c r="BP659" s="692" t="n"/>
      <c r="BQ659" s="692" t="n"/>
    </row>
    <row r="660">
      <c r="A660" s="218" t="n"/>
      <c r="B660" s="215" t="n"/>
      <c r="C660" s="215" t="n"/>
      <c r="D660" s="215" t="n"/>
      <c r="E660" s="219" t="n"/>
      <c r="F660" s="215" t="n"/>
      <c r="G660" s="215" t="n"/>
      <c r="H660" s="215" t="n"/>
      <c r="I660" s="215" t="n"/>
      <c r="J660" s="215" t="n"/>
      <c r="K660" s="215" t="n"/>
      <c r="L660" s="217" t="n"/>
      <c r="M660" s="692" t="n"/>
      <c r="N660" s="692" t="n"/>
      <c r="O660" s="692" t="n"/>
      <c r="P660" s="261" t="n"/>
      <c r="Q660" s="692" t="n"/>
      <c r="R660" s="692" t="n"/>
      <c r="S660" s="692" t="n"/>
      <c r="T660" s="692" t="n"/>
      <c r="U660" s="692" t="n"/>
      <c r="V660" s="692" t="n"/>
      <c r="W660" s="692" t="n"/>
      <c r="X660" s="692" t="n"/>
      <c r="Y660" s="692" t="n"/>
      <c r="Z660" s="692" t="n"/>
      <c r="AA660" s="692" t="n"/>
      <c r="AB660" s="692" t="n"/>
      <c r="AC660" s="692" t="n"/>
      <c r="AD660" s="692" t="n"/>
      <c r="AF660" s="236" t="n"/>
      <c r="AG660" s="236" t="n"/>
      <c r="AH660" s="236" t="n"/>
      <c r="AI660" s="236" t="n"/>
      <c r="AJ660" s="236" t="n"/>
      <c r="AK660" s="236" t="n"/>
      <c r="AL660" s="236" t="n"/>
      <c r="AM660" s="236" t="n"/>
      <c r="AN660" s="236" t="n"/>
      <c r="AO660" s="236" t="n"/>
      <c r="AP660" s="236" t="n"/>
      <c r="AQ660" s="236" t="n"/>
      <c r="AR660" s="236" t="n"/>
      <c r="AS660" s="236" t="n"/>
      <c r="AT660" s="236" t="n"/>
      <c r="AU660" s="236" t="n"/>
      <c r="AV660" s="236" t="n"/>
      <c r="AW660" s="236" t="n"/>
      <c r="AX660" s="692" t="n"/>
      <c r="AY660" s="692" t="n"/>
      <c r="AZ660" s="692" t="n"/>
      <c r="BA660" s="692" t="n"/>
      <c r="BB660" s="692" t="n"/>
      <c r="BC660" s="692" t="n"/>
      <c r="BD660" s="692" t="n"/>
      <c r="BE660" s="692" t="n"/>
      <c r="BF660" s="692" t="n"/>
      <c r="BG660" s="692" t="n"/>
      <c r="BH660" s="692" t="n"/>
      <c r="BI660" s="692" t="n"/>
      <c r="BJ660" s="692" t="n"/>
      <c r="BK660" s="692" t="n"/>
      <c r="BL660" s="692" t="n"/>
      <c r="BM660" s="692" t="n"/>
      <c r="BN660" s="692" t="n"/>
      <c r="BO660" s="692" t="n"/>
      <c r="BP660" s="692" t="n"/>
      <c r="BQ660" s="692" t="n"/>
    </row>
    <row r="661">
      <c r="A661" s="220" t="n"/>
      <c r="B661" s="211" t="n"/>
      <c r="C661" s="211" t="n"/>
      <c r="D661" s="211" t="n"/>
      <c r="E661" s="221" t="n"/>
      <c r="F661" s="211" t="n"/>
      <c r="G661" s="211" t="n"/>
      <c r="H661" s="211" t="n"/>
      <c r="I661" s="211" t="n"/>
      <c r="J661" s="211" t="n"/>
      <c r="K661" s="211" t="n"/>
      <c r="L661" s="213" t="n"/>
      <c r="M661" s="692" t="n"/>
      <c r="N661" s="692" t="n"/>
      <c r="O661" s="692" t="n"/>
      <c r="P661" s="261" t="n"/>
      <c r="Q661" s="692" t="n"/>
      <c r="R661" s="692" t="n"/>
      <c r="S661" s="692" t="n"/>
      <c r="T661" s="692" t="n"/>
      <c r="U661" s="692" t="n"/>
      <c r="V661" s="692" t="n"/>
      <c r="W661" s="692" t="n"/>
      <c r="X661" s="692" t="n"/>
      <c r="Y661" s="692" t="n"/>
      <c r="Z661" s="692" t="n"/>
      <c r="AA661" s="692" t="n"/>
      <c r="AB661" s="692" t="n"/>
      <c r="AC661" s="692" t="n"/>
      <c r="AD661" s="692" t="n"/>
      <c r="AF661" s="236" t="n"/>
      <c r="AG661" s="236" t="n"/>
      <c r="AH661" s="236" t="n"/>
      <c r="AI661" s="236" t="n"/>
      <c r="AJ661" s="236" t="n"/>
      <c r="AK661" s="236" t="n"/>
      <c r="AL661" s="236" t="n"/>
      <c r="AM661" s="236" t="n"/>
      <c r="AN661" s="236" t="n"/>
      <c r="AO661" s="236" t="n"/>
      <c r="AP661" s="236" t="n"/>
      <c r="AQ661" s="236" t="n"/>
      <c r="AR661" s="236" t="n"/>
      <c r="AS661" s="236" t="n"/>
      <c r="AT661" s="236" t="n"/>
      <c r="AU661" s="236" t="n"/>
      <c r="AV661" s="236" t="n"/>
      <c r="AW661" s="236" t="n"/>
      <c r="AX661" s="692" t="n"/>
      <c r="AY661" s="692" t="n"/>
      <c r="AZ661" s="692" t="n"/>
      <c r="BA661" s="692" t="n"/>
      <c r="BB661" s="692" t="n"/>
      <c r="BC661" s="692" t="n"/>
      <c r="BD661" s="692" t="n"/>
      <c r="BE661" s="692" t="n"/>
      <c r="BF661" s="692" t="n"/>
      <c r="BG661" s="692" t="n"/>
      <c r="BH661" s="692" t="n"/>
      <c r="BI661" s="692" t="n"/>
      <c r="BJ661" s="692" t="n"/>
      <c r="BK661" s="692" t="n"/>
      <c r="BL661" s="692" t="n"/>
      <c r="BM661" s="692" t="n"/>
      <c r="BN661" s="692" t="n"/>
      <c r="BO661" s="692" t="n"/>
      <c r="BP661" s="692" t="n"/>
      <c r="BQ661" s="692" t="n"/>
    </row>
    <row r="662">
      <c r="A662" s="218" t="n"/>
      <c r="B662" s="215" t="n"/>
      <c r="C662" s="215" t="n"/>
      <c r="D662" s="215" t="n"/>
      <c r="E662" s="219" t="n"/>
      <c r="F662" s="215" t="n"/>
      <c r="G662" s="215" t="n"/>
      <c r="H662" s="215" t="n"/>
      <c r="I662" s="215" t="n"/>
      <c r="J662" s="215" t="n"/>
      <c r="K662" s="215" t="n"/>
      <c r="L662" s="217" t="n"/>
      <c r="M662" s="692" t="n"/>
      <c r="N662" s="692" t="n"/>
      <c r="O662" s="692" t="n"/>
      <c r="P662" s="261" t="n"/>
      <c r="Q662" s="692" t="n"/>
      <c r="R662" s="692" t="n"/>
      <c r="S662" s="692" t="n"/>
      <c r="T662" s="692" t="n"/>
      <c r="U662" s="692" t="n"/>
      <c r="V662" s="692" t="n"/>
      <c r="W662" s="692" t="n"/>
      <c r="X662" s="692" t="n"/>
      <c r="Y662" s="692" t="n"/>
      <c r="Z662" s="692" t="n"/>
      <c r="AA662" s="692" t="n"/>
      <c r="AB662" s="692" t="n"/>
      <c r="AC662" s="692" t="n"/>
      <c r="AD662" s="692" t="n"/>
      <c r="AF662" s="236" t="n"/>
      <c r="AG662" s="236" t="n"/>
      <c r="AH662" s="236" t="n"/>
      <c r="AI662" s="236" t="n"/>
      <c r="AJ662" s="236" t="n"/>
      <c r="AK662" s="236" t="n"/>
      <c r="AL662" s="236" t="n"/>
      <c r="AM662" s="236" t="n"/>
      <c r="AN662" s="236" t="n"/>
      <c r="AO662" s="236" t="n"/>
      <c r="AP662" s="236" t="n"/>
      <c r="AQ662" s="236" t="n"/>
      <c r="AR662" s="236" t="n"/>
      <c r="AS662" s="236" t="n"/>
      <c r="AT662" s="236" t="n"/>
      <c r="AU662" s="236" t="n"/>
      <c r="AV662" s="236" t="n"/>
      <c r="AW662" s="236" t="n"/>
      <c r="AX662" s="692" t="n"/>
      <c r="AY662" s="692" t="n"/>
      <c r="AZ662" s="692" t="n"/>
      <c r="BA662" s="692" t="n"/>
      <c r="BB662" s="692" t="n"/>
      <c r="BC662" s="692" t="n"/>
      <c r="BD662" s="692" t="n"/>
      <c r="BE662" s="692" t="n"/>
      <c r="BF662" s="692" t="n"/>
      <c r="BG662" s="692" t="n"/>
      <c r="BH662" s="692" t="n"/>
      <c r="BI662" s="692" t="n"/>
      <c r="BJ662" s="692" t="n"/>
      <c r="BK662" s="692" t="n"/>
      <c r="BL662" s="692" t="n"/>
      <c r="BM662" s="692" t="n"/>
      <c r="BN662" s="692" t="n"/>
      <c r="BO662" s="692" t="n"/>
      <c r="BP662" s="692" t="n"/>
      <c r="BQ662" s="692" t="n"/>
    </row>
    <row r="663">
      <c r="A663" s="220" t="n"/>
      <c r="B663" s="211" t="n"/>
      <c r="C663" s="211" t="n"/>
      <c r="D663" s="211" t="n"/>
      <c r="E663" s="221" t="n"/>
      <c r="F663" s="211" t="n"/>
      <c r="G663" s="211" t="n"/>
      <c r="H663" s="211" t="n"/>
      <c r="I663" s="211" t="n"/>
      <c r="J663" s="211" t="n"/>
      <c r="K663" s="211" t="n"/>
      <c r="L663" s="213" t="n"/>
      <c r="M663" s="692" t="n"/>
      <c r="N663" s="692" t="n"/>
      <c r="O663" s="692" t="n"/>
      <c r="P663" s="261" t="n"/>
      <c r="Q663" s="692" t="n"/>
      <c r="R663" s="692" t="n"/>
      <c r="S663" s="692" t="n"/>
      <c r="T663" s="692" t="n"/>
      <c r="U663" s="692" t="n"/>
      <c r="V663" s="692" t="n"/>
      <c r="W663" s="692" t="n"/>
      <c r="X663" s="692" t="n"/>
      <c r="Y663" s="692" t="n"/>
      <c r="Z663" s="692" t="n"/>
      <c r="AA663" s="692" t="n"/>
      <c r="AB663" s="692" t="n"/>
      <c r="AC663" s="692" t="n"/>
      <c r="AD663" s="692" t="n"/>
      <c r="AF663" s="236" t="n"/>
      <c r="AG663" s="236" t="n"/>
      <c r="AH663" s="236" t="n"/>
      <c r="AI663" s="236" t="n"/>
      <c r="AJ663" s="236" t="n"/>
      <c r="AK663" s="236" t="n"/>
      <c r="AL663" s="236" t="n"/>
      <c r="AM663" s="236" t="n"/>
      <c r="AN663" s="236" t="n"/>
      <c r="AO663" s="236" t="n"/>
      <c r="AP663" s="236" t="n"/>
      <c r="AQ663" s="236" t="n"/>
      <c r="AR663" s="236" t="n"/>
      <c r="AS663" s="236" t="n"/>
      <c r="AT663" s="236" t="n"/>
      <c r="AU663" s="236" t="n"/>
      <c r="AV663" s="236" t="n"/>
      <c r="AW663" s="236" t="n"/>
      <c r="AX663" s="692" t="n"/>
      <c r="AY663" s="692" t="n"/>
      <c r="AZ663" s="692" t="n"/>
      <c r="BA663" s="692" t="n"/>
      <c r="BB663" s="692" t="n"/>
      <c r="BC663" s="692" t="n"/>
      <c r="BD663" s="692" t="n"/>
      <c r="BE663" s="692" t="n"/>
      <c r="BF663" s="692" t="n"/>
      <c r="BG663" s="692" t="n"/>
      <c r="BH663" s="692" t="n"/>
      <c r="BI663" s="692" t="n"/>
      <c r="BJ663" s="692" t="n"/>
      <c r="BK663" s="692" t="n"/>
      <c r="BL663" s="692" t="n"/>
      <c r="BM663" s="692" t="n"/>
      <c r="BN663" s="692" t="n"/>
      <c r="BO663" s="692" t="n"/>
      <c r="BP663" s="692" t="n"/>
      <c r="BQ663" s="692" t="n"/>
    </row>
    <row r="664">
      <c r="A664" s="218" t="n"/>
      <c r="B664" s="215" t="n"/>
      <c r="C664" s="215" t="n"/>
      <c r="D664" s="215" t="n"/>
      <c r="E664" s="219" t="n"/>
      <c r="F664" s="215" t="n"/>
      <c r="G664" s="215" t="n"/>
      <c r="H664" s="215" t="n"/>
      <c r="I664" s="215" t="n"/>
      <c r="J664" s="215" t="n"/>
      <c r="K664" s="215" t="n"/>
      <c r="L664" s="217" t="n"/>
      <c r="M664" s="692" t="n"/>
      <c r="N664" s="692" t="n"/>
      <c r="O664" s="692" t="n"/>
      <c r="P664" s="261" t="n"/>
      <c r="Q664" s="692" t="n"/>
      <c r="R664" s="692" t="n"/>
      <c r="S664" s="692" t="n"/>
      <c r="T664" s="692" t="n"/>
      <c r="U664" s="692" t="n"/>
      <c r="V664" s="692" t="n"/>
      <c r="W664" s="692" t="n"/>
      <c r="X664" s="692" t="n"/>
      <c r="Y664" s="692" t="n"/>
      <c r="Z664" s="692" t="n"/>
      <c r="AA664" s="692" t="n"/>
      <c r="AB664" s="692" t="n"/>
      <c r="AC664" s="692" t="n"/>
      <c r="AD664" s="692" t="n"/>
      <c r="AF664" s="236" t="n"/>
      <c r="AG664" s="236" t="n"/>
      <c r="AH664" s="236" t="n"/>
      <c r="AI664" s="236" t="n"/>
      <c r="AJ664" s="236" t="n"/>
      <c r="AK664" s="236" t="n"/>
      <c r="AL664" s="236" t="n"/>
      <c r="AM664" s="236" t="n"/>
      <c r="AN664" s="236" t="n"/>
      <c r="AO664" s="236" t="n"/>
      <c r="AP664" s="236" t="n"/>
      <c r="AQ664" s="236" t="n"/>
      <c r="AR664" s="236" t="n"/>
      <c r="AS664" s="236" t="n"/>
      <c r="AT664" s="236" t="n"/>
      <c r="AU664" s="236" t="n"/>
      <c r="AV664" s="236" t="n"/>
      <c r="AW664" s="236" t="n"/>
      <c r="AX664" s="692" t="n"/>
      <c r="AY664" s="692" t="n"/>
      <c r="AZ664" s="692" t="n"/>
      <c r="BA664" s="692" t="n"/>
      <c r="BB664" s="692" t="n"/>
      <c r="BC664" s="692" t="n"/>
      <c r="BD664" s="692" t="n"/>
      <c r="BE664" s="692" t="n"/>
      <c r="BF664" s="692" t="n"/>
      <c r="BG664" s="692" t="n"/>
      <c r="BH664" s="692" t="n"/>
      <c r="BI664" s="692" t="n"/>
      <c r="BJ664" s="692" t="n"/>
      <c r="BK664" s="692" t="n"/>
      <c r="BL664" s="692" t="n"/>
      <c r="BM664" s="692" t="n"/>
      <c r="BN664" s="692" t="n"/>
      <c r="BO664" s="692" t="n"/>
      <c r="BP664" s="692" t="n"/>
      <c r="BQ664" s="692" t="n"/>
    </row>
    <row r="665">
      <c r="A665" s="220" t="n"/>
      <c r="B665" s="211" t="n"/>
      <c r="C665" s="211" t="n"/>
      <c r="D665" s="211" t="n"/>
      <c r="E665" s="221" t="n"/>
      <c r="F665" s="211" t="n"/>
      <c r="G665" s="211" t="n"/>
      <c r="H665" s="211" t="n"/>
      <c r="I665" s="211" t="n"/>
      <c r="J665" s="211" t="n"/>
      <c r="K665" s="211" t="n"/>
      <c r="L665" s="213" t="n"/>
      <c r="M665" s="692" t="n"/>
      <c r="N665" s="692" t="n"/>
      <c r="O665" s="692" t="n"/>
      <c r="P665" s="261" t="n"/>
      <c r="Q665" s="692" t="n"/>
      <c r="R665" s="692" t="n"/>
      <c r="S665" s="692" t="n"/>
      <c r="T665" s="692" t="n"/>
      <c r="U665" s="692" t="n"/>
      <c r="V665" s="692" t="n"/>
      <c r="W665" s="692" t="n"/>
      <c r="X665" s="692" t="n"/>
      <c r="Y665" s="692" t="n"/>
      <c r="Z665" s="692" t="n"/>
      <c r="AA665" s="692" t="n"/>
      <c r="AB665" s="692" t="n"/>
      <c r="AC665" s="692" t="n"/>
      <c r="AD665" s="692" t="n"/>
      <c r="AF665" s="236" t="n"/>
      <c r="AG665" s="236" t="n"/>
      <c r="AH665" s="236" t="n"/>
      <c r="AI665" s="236" t="n"/>
      <c r="AJ665" s="236" t="n"/>
      <c r="AK665" s="236" t="n"/>
      <c r="AL665" s="236" t="n"/>
      <c r="AM665" s="236" t="n"/>
      <c r="AN665" s="236" t="n"/>
      <c r="AO665" s="236" t="n"/>
      <c r="AP665" s="236" t="n"/>
      <c r="AQ665" s="236" t="n"/>
      <c r="AR665" s="236" t="n"/>
      <c r="AS665" s="236" t="n"/>
      <c r="AT665" s="236" t="n"/>
      <c r="AU665" s="236" t="n"/>
      <c r="AV665" s="236" t="n"/>
      <c r="AW665" s="236" t="n"/>
      <c r="AX665" s="692" t="n"/>
      <c r="AY665" s="692" t="n"/>
      <c r="AZ665" s="692" t="n"/>
      <c r="BA665" s="692" t="n"/>
      <c r="BB665" s="692" t="n"/>
      <c r="BC665" s="692" t="n"/>
      <c r="BD665" s="692" t="n"/>
      <c r="BE665" s="692" t="n"/>
      <c r="BF665" s="692" t="n"/>
      <c r="BG665" s="692" t="n"/>
      <c r="BH665" s="692" t="n"/>
      <c r="BI665" s="692" t="n"/>
      <c r="BJ665" s="692" t="n"/>
      <c r="BK665" s="692" t="n"/>
      <c r="BL665" s="692" t="n"/>
      <c r="BM665" s="692" t="n"/>
      <c r="BN665" s="692" t="n"/>
      <c r="BO665" s="692" t="n"/>
      <c r="BP665" s="692" t="n"/>
      <c r="BQ665" s="692" t="n"/>
    </row>
    <row r="666">
      <c r="A666" s="218" t="n"/>
      <c r="B666" s="215" t="n"/>
      <c r="C666" s="215" t="n"/>
      <c r="D666" s="215" t="n"/>
      <c r="E666" s="219" t="n"/>
      <c r="F666" s="215" t="n"/>
      <c r="G666" s="215" t="n"/>
      <c r="H666" s="215" t="n"/>
      <c r="I666" s="215" t="n"/>
      <c r="J666" s="215" t="n"/>
      <c r="K666" s="215" t="n"/>
      <c r="L666" s="217" t="n"/>
      <c r="M666" s="692" t="n"/>
      <c r="N666" s="692" t="n"/>
      <c r="O666" s="692" t="n"/>
      <c r="P666" s="261" t="n"/>
      <c r="Q666" s="692" t="n"/>
      <c r="R666" s="692" t="n"/>
      <c r="S666" s="692" t="n"/>
      <c r="T666" s="692" t="n"/>
      <c r="U666" s="692" t="n"/>
      <c r="V666" s="692" t="n"/>
      <c r="W666" s="692" t="n"/>
      <c r="X666" s="692" t="n"/>
      <c r="Y666" s="692" t="n"/>
      <c r="Z666" s="692" t="n"/>
      <c r="AA666" s="692" t="n"/>
      <c r="AB666" s="692" t="n"/>
      <c r="AC666" s="692" t="n"/>
      <c r="AD666" s="692" t="n"/>
      <c r="AF666" s="236" t="n"/>
      <c r="AG666" s="236" t="n"/>
      <c r="AH666" s="236" t="n"/>
      <c r="AI666" s="236" t="n"/>
      <c r="AJ666" s="236" t="n"/>
      <c r="AK666" s="236" t="n"/>
      <c r="AL666" s="236" t="n"/>
      <c r="AM666" s="236" t="n"/>
      <c r="AN666" s="236" t="n"/>
      <c r="AO666" s="236" t="n"/>
      <c r="AP666" s="236" t="n"/>
      <c r="AQ666" s="236" t="n"/>
      <c r="AR666" s="236" t="n"/>
      <c r="AS666" s="236" t="n"/>
      <c r="AT666" s="236" t="n"/>
      <c r="AU666" s="236" t="n"/>
      <c r="AV666" s="236" t="n"/>
      <c r="AW666" s="236" t="n"/>
      <c r="AX666" s="692" t="n"/>
      <c r="AY666" s="692" t="n"/>
      <c r="AZ666" s="692" t="n"/>
      <c r="BA666" s="692" t="n"/>
      <c r="BB666" s="692" t="n"/>
      <c r="BC666" s="692" t="n"/>
      <c r="BD666" s="692" t="n"/>
      <c r="BE666" s="692" t="n"/>
      <c r="BF666" s="692" t="n"/>
      <c r="BG666" s="692" t="n"/>
      <c r="BH666" s="692" t="n"/>
      <c r="BI666" s="692" t="n"/>
      <c r="BJ666" s="692" t="n"/>
      <c r="BK666" s="692" t="n"/>
      <c r="BL666" s="692" t="n"/>
      <c r="BM666" s="692" t="n"/>
      <c r="BN666" s="692" t="n"/>
      <c r="BO666" s="692" t="n"/>
      <c r="BP666" s="692" t="n"/>
      <c r="BQ666" s="692" t="n"/>
    </row>
    <row r="667">
      <c r="A667" s="220" t="n"/>
      <c r="B667" s="211" t="n"/>
      <c r="C667" s="211" t="n"/>
      <c r="D667" s="211" t="n"/>
      <c r="E667" s="221" t="n"/>
      <c r="F667" s="211" t="n"/>
      <c r="G667" s="211" t="n"/>
      <c r="H667" s="211" t="n"/>
      <c r="I667" s="211" t="n"/>
      <c r="J667" s="211" t="n"/>
      <c r="K667" s="211" t="n"/>
      <c r="L667" s="213" t="n"/>
      <c r="M667" s="692" t="n"/>
      <c r="N667" s="692" t="n"/>
      <c r="O667" s="692" t="n"/>
      <c r="P667" s="261" t="n"/>
      <c r="Q667" s="692" t="n"/>
      <c r="R667" s="692" t="n"/>
      <c r="S667" s="692" t="n"/>
      <c r="T667" s="692" t="n"/>
      <c r="U667" s="692" t="n"/>
      <c r="V667" s="692" t="n"/>
      <c r="W667" s="692" t="n"/>
      <c r="X667" s="692" t="n"/>
      <c r="Y667" s="692" t="n"/>
      <c r="Z667" s="692" t="n"/>
      <c r="AA667" s="692" t="n"/>
      <c r="AB667" s="692" t="n"/>
      <c r="AC667" s="692" t="n"/>
      <c r="AD667" s="692" t="n"/>
      <c r="AF667" s="236" t="n"/>
      <c r="AG667" s="236" t="n"/>
      <c r="AH667" s="236" t="n"/>
      <c r="AI667" s="236" t="n"/>
      <c r="AJ667" s="236" t="n"/>
      <c r="AK667" s="236" t="n"/>
      <c r="AL667" s="236" t="n"/>
      <c r="AM667" s="236" t="n"/>
      <c r="AN667" s="236" t="n"/>
      <c r="AO667" s="236" t="n"/>
      <c r="AP667" s="236" t="n"/>
      <c r="AQ667" s="236" t="n"/>
      <c r="AR667" s="236" t="n"/>
      <c r="AS667" s="236" t="n"/>
      <c r="AT667" s="236" t="n"/>
      <c r="AU667" s="236" t="n"/>
      <c r="AV667" s="236" t="n"/>
      <c r="AW667" s="236" t="n"/>
      <c r="AX667" s="692" t="n"/>
      <c r="AY667" s="692" t="n"/>
      <c r="AZ667" s="692" t="n"/>
      <c r="BA667" s="692" t="n"/>
      <c r="BB667" s="692" t="n"/>
      <c r="BC667" s="692" t="n"/>
      <c r="BD667" s="692" t="n"/>
      <c r="BE667" s="692" t="n"/>
      <c r="BF667" s="692" t="n"/>
      <c r="BG667" s="692" t="n"/>
      <c r="BH667" s="692" t="n"/>
      <c r="BI667" s="692" t="n"/>
      <c r="BJ667" s="692" t="n"/>
      <c r="BK667" s="692" t="n"/>
      <c r="BL667" s="692" t="n"/>
      <c r="BM667" s="692" t="n"/>
      <c r="BN667" s="692" t="n"/>
      <c r="BO667" s="692" t="n"/>
      <c r="BP667" s="692" t="n"/>
      <c r="BQ667" s="692" t="n"/>
    </row>
    <row r="668">
      <c r="A668" s="218" t="n"/>
      <c r="B668" s="215" t="n"/>
      <c r="C668" s="215" t="n"/>
      <c r="D668" s="215" t="n"/>
      <c r="E668" s="219" t="n"/>
      <c r="F668" s="215" t="n"/>
      <c r="G668" s="215" t="n"/>
      <c r="H668" s="215" t="n"/>
      <c r="I668" s="215" t="n"/>
      <c r="J668" s="215" t="n"/>
      <c r="K668" s="215" t="n"/>
      <c r="L668" s="217" t="n"/>
      <c r="M668" s="692" t="n"/>
      <c r="N668" s="692" t="n"/>
      <c r="O668" s="692" t="n"/>
      <c r="P668" s="261" t="n"/>
      <c r="Q668" s="692" t="n"/>
      <c r="R668" s="692" t="n"/>
      <c r="S668" s="692" t="n"/>
      <c r="T668" s="692" t="n"/>
      <c r="U668" s="692" t="n"/>
      <c r="V668" s="692" t="n"/>
      <c r="W668" s="692" t="n"/>
      <c r="X668" s="692" t="n"/>
      <c r="Y668" s="692" t="n"/>
      <c r="Z668" s="692" t="n"/>
      <c r="AA668" s="692" t="n"/>
      <c r="AB668" s="692" t="n"/>
      <c r="AC668" s="692" t="n"/>
      <c r="AD668" s="692" t="n"/>
      <c r="AF668" s="236" t="n"/>
      <c r="AG668" s="236" t="n"/>
      <c r="AH668" s="236" t="n"/>
      <c r="AI668" s="236" t="n"/>
      <c r="AJ668" s="236" t="n"/>
      <c r="AK668" s="236" t="n"/>
      <c r="AL668" s="236" t="n"/>
      <c r="AM668" s="236" t="n"/>
      <c r="AN668" s="236" t="n"/>
      <c r="AO668" s="236" t="n"/>
      <c r="AP668" s="236" t="n"/>
      <c r="AQ668" s="236" t="n"/>
      <c r="AR668" s="236" t="n"/>
      <c r="AS668" s="236" t="n"/>
      <c r="AT668" s="236" t="n"/>
      <c r="AU668" s="236" t="n"/>
      <c r="AV668" s="236" t="n"/>
      <c r="AW668" s="236" t="n"/>
      <c r="AX668" s="692" t="n"/>
      <c r="AY668" s="692" t="n"/>
      <c r="AZ668" s="692" t="n"/>
      <c r="BA668" s="692" t="n"/>
      <c r="BB668" s="692" t="n"/>
      <c r="BC668" s="692" t="n"/>
      <c r="BD668" s="692" t="n"/>
      <c r="BE668" s="692" t="n"/>
      <c r="BF668" s="692" t="n"/>
      <c r="BG668" s="692" t="n"/>
      <c r="BH668" s="692" t="n"/>
      <c r="BI668" s="692" t="n"/>
      <c r="BJ668" s="692" t="n"/>
      <c r="BK668" s="692" t="n"/>
      <c r="BL668" s="692" t="n"/>
      <c r="BM668" s="692" t="n"/>
      <c r="BN668" s="692" t="n"/>
      <c r="BO668" s="692" t="n"/>
      <c r="BP668" s="692" t="n"/>
      <c r="BQ668" s="692" t="n"/>
    </row>
    <row r="669">
      <c r="A669" s="220" t="n"/>
      <c r="B669" s="211" t="n"/>
      <c r="C669" s="211" t="n"/>
      <c r="D669" s="211" t="n"/>
      <c r="E669" s="221" t="n"/>
      <c r="F669" s="211" t="n"/>
      <c r="G669" s="211" t="n"/>
      <c r="H669" s="211" t="n"/>
      <c r="I669" s="211" t="n"/>
      <c r="J669" s="211" t="n"/>
      <c r="K669" s="211" t="n"/>
      <c r="L669" s="213" t="n"/>
      <c r="M669" s="692" t="n"/>
      <c r="N669" s="692" t="n"/>
      <c r="O669" s="692" t="n"/>
      <c r="P669" s="261" t="n"/>
      <c r="Q669" s="692" t="n"/>
      <c r="R669" s="692" t="n"/>
      <c r="S669" s="692" t="n"/>
      <c r="T669" s="692" t="n"/>
      <c r="U669" s="692" t="n"/>
      <c r="V669" s="692" t="n"/>
      <c r="W669" s="692" t="n"/>
      <c r="X669" s="692" t="n"/>
      <c r="Y669" s="692" t="n"/>
      <c r="Z669" s="692" t="n"/>
      <c r="AA669" s="692" t="n"/>
      <c r="AB669" s="692" t="n"/>
      <c r="AC669" s="692" t="n"/>
      <c r="AD669" s="692" t="n"/>
      <c r="AF669" s="236" t="n"/>
      <c r="AG669" s="236" t="n"/>
      <c r="AH669" s="236" t="n"/>
      <c r="AI669" s="236" t="n"/>
      <c r="AJ669" s="236" t="n"/>
      <c r="AK669" s="236" t="n"/>
      <c r="AL669" s="236" t="n"/>
      <c r="AM669" s="236" t="n"/>
      <c r="AN669" s="236" t="n"/>
      <c r="AO669" s="236" t="n"/>
      <c r="AP669" s="236" t="n"/>
      <c r="AQ669" s="236" t="n"/>
      <c r="AR669" s="236" t="n"/>
      <c r="AS669" s="236" t="n"/>
      <c r="AT669" s="236" t="n"/>
      <c r="AU669" s="236" t="n"/>
      <c r="AV669" s="236" t="n"/>
      <c r="AW669" s="236" t="n"/>
      <c r="AX669" s="692" t="n"/>
      <c r="AY669" s="692" t="n"/>
      <c r="AZ669" s="692" t="n"/>
      <c r="BA669" s="692" t="n"/>
      <c r="BB669" s="692" t="n"/>
      <c r="BC669" s="692" t="n"/>
      <c r="BD669" s="692" t="n"/>
      <c r="BE669" s="692" t="n"/>
      <c r="BF669" s="692" t="n"/>
      <c r="BG669" s="692" t="n"/>
      <c r="BH669" s="692" t="n"/>
      <c r="BI669" s="692" t="n"/>
      <c r="BJ669" s="692" t="n"/>
      <c r="BK669" s="692" t="n"/>
      <c r="BL669" s="692" t="n"/>
      <c r="BM669" s="692" t="n"/>
      <c r="BN669" s="692" t="n"/>
      <c r="BO669" s="692" t="n"/>
      <c r="BP669" s="692" t="n"/>
      <c r="BQ669" s="692" t="n"/>
    </row>
    <row r="670">
      <c r="A670" s="218" t="n"/>
      <c r="B670" s="215" t="n"/>
      <c r="C670" s="215" t="n"/>
      <c r="D670" s="215" t="n"/>
      <c r="E670" s="219" t="n"/>
      <c r="F670" s="215" t="n"/>
      <c r="G670" s="215" t="n"/>
      <c r="H670" s="215" t="n"/>
      <c r="I670" s="215" t="n"/>
      <c r="J670" s="215" t="n"/>
      <c r="K670" s="215" t="n"/>
      <c r="L670" s="217" t="n"/>
      <c r="M670" s="692" t="n"/>
      <c r="N670" s="692" t="n"/>
      <c r="O670" s="692" t="n"/>
      <c r="P670" s="261" t="n"/>
      <c r="Q670" s="692" t="n"/>
      <c r="R670" s="692" t="n"/>
      <c r="S670" s="692" t="n"/>
      <c r="T670" s="692" t="n"/>
      <c r="U670" s="692" t="n"/>
      <c r="V670" s="692" t="n"/>
      <c r="W670" s="692" t="n"/>
      <c r="X670" s="692" t="n"/>
      <c r="Y670" s="692" t="n"/>
      <c r="Z670" s="692" t="n"/>
      <c r="AA670" s="692" t="n"/>
      <c r="AB670" s="692" t="n"/>
      <c r="AC670" s="692" t="n"/>
      <c r="AD670" s="692" t="n"/>
      <c r="AF670" s="236" t="n"/>
      <c r="AG670" s="236" t="n"/>
      <c r="AH670" s="236" t="n"/>
      <c r="AI670" s="236" t="n"/>
      <c r="AJ670" s="236" t="n"/>
      <c r="AK670" s="236" t="n"/>
      <c r="AL670" s="236" t="n"/>
      <c r="AM670" s="236" t="n"/>
      <c r="AN670" s="236" t="n"/>
      <c r="AO670" s="236" t="n"/>
      <c r="AP670" s="236" t="n"/>
      <c r="AQ670" s="236" t="n"/>
      <c r="AR670" s="236" t="n"/>
      <c r="AS670" s="236" t="n"/>
      <c r="AT670" s="236" t="n"/>
      <c r="AU670" s="236" t="n"/>
      <c r="AV670" s="236" t="n"/>
      <c r="AW670" s="236" t="n"/>
      <c r="AX670" s="692" t="n"/>
      <c r="AY670" s="692" t="n"/>
      <c r="AZ670" s="692" t="n"/>
      <c r="BA670" s="692" t="n"/>
      <c r="BB670" s="692" t="n"/>
      <c r="BC670" s="692" t="n"/>
      <c r="BD670" s="692" t="n"/>
      <c r="BE670" s="692" t="n"/>
      <c r="BF670" s="692" t="n"/>
      <c r="BG670" s="692" t="n"/>
      <c r="BH670" s="692" t="n"/>
      <c r="BI670" s="692" t="n"/>
      <c r="BJ670" s="692" t="n"/>
      <c r="BK670" s="692" t="n"/>
      <c r="BL670" s="692" t="n"/>
      <c r="BM670" s="692" t="n"/>
      <c r="BN670" s="692" t="n"/>
      <c r="BO670" s="692" t="n"/>
      <c r="BP670" s="692" t="n"/>
      <c r="BQ670" s="692" t="n"/>
    </row>
    <row r="671">
      <c r="A671" s="220" t="n"/>
      <c r="B671" s="211" t="n"/>
      <c r="C671" s="211" t="n"/>
      <c r="D671" s="211" t="n"/>
      <c r="E671" s="221" t="n"/>
      <c r="F671" s="211" t="n"/>
      <c r="G671" s="211" t="n"/>
      <c r="H671" s="211" t="n"/>
      <c r="I671" s="211" t="n"/>
      <c r="J671" s="211" t="n"/>
      <c r="K671" s="211" t="n"/>
      <c r="L671" s="213" t="n"/>
      <c r="M671" s="692" t="n"/>
      <c r="N671" s="692" t="n"/>
      <c r="O671" s="692" t="n"/>
      <c r="P671" s="261" t="n"/>
      <c r="Q671" s="692" t="n"/>
      <c r="R671" s="692" t="n"/>
      <c r="S671" s="692" t="n"/>
      <c r="T671" s="692" t="n"/>
      <c r="U671" s="692" t="n"/>
      <c r="V671" s="692" t="n"/>
      <c r="W671" s="692" t="n"/>
      <c r="X671" s="692" t="n"/>
      <c r="Y671" s="692" t="n"/>
      <c r="Z671" s="692" t="n"/>
      <c r="AA671" s="692" t="n"/>
      <c r="AB671" s="692" t="n"/>
      <c r="AC671" s="692" t="n"/>
      <c r="AD671" s="692" t="n"/>
      <c r="AF671" s="236" t="n"/>
      <c r="AG671" s="236" t="n"/>
      <c r="AH671" s="236" t="n"/>
      <c r="AI671" s="236" t="n"/>
      <c r="AJ671" s="236" t="n"/>
      <c r="AK671" s="236" t="n"/>
      <c r="AL671" s="236" t="n"/>
      <c r="AM671" s="236" t="n"/>
      <c r="AN671" s="236" t="n"/>
      <c r="AO671" s="236" t="n"/>
      <c r="AP671" s="236" t="n"/>
      <c r="AQ671" s="236" t="n"/>
      <c r="AR671" s="236" t="n"/>
      <c r="AS671" s="236" t="n"/>
      <c r="AT671" s="236" t="n"/>
      <c r="AU671" s="236" t="n"/>
      <c r="AV671" s="236" t="n"/>
      <c r="AW671" s="236" t="n"/>
      <c r="AX671" s="692" t="n"/>
      <c r="AY671" s="692" t="n"/>
      <c r="AZ671" s="692" t="n"/>
      <c r="BA671" s="692" t="n"/>
      <c r="BB671" s="692" t="n"/>
      <c r="BC671" s="692" t="n"/>
      <c r="BD671" s="692" t="n"/>
      <c r="BE671" s="692" t="n"/>
      <c r="BF671" s="692" t="n"/>
      <c r="BG671" s="692" t="n"/>
      <c r="BH671" s="692" t="n"/>
      <c r="BI671" s="692" t="n"/>
      <c r="BJ671" s="692" t="n"/>
      <c r="BK671" s="692" t="n"/>
      <c r="BL671" s="692" t="n"/>
      <c r="BM671" s="692" t="n"/>
      <c r="BN671" s="692" t="n"/>
      <c r="BO671" s="692" t="n"/>
      <c r="BP671" s="692" t="n"/>
      <c r="BQ671" s="692" t="n"/>
    </row>
    <row r="672">
      <c r="A672" s="218" t="n"/>
      <c r="B672" s="215" t="n"/>
      <c r="C672" s="215" t="n"/>
      <c r="D672" s="215" t="n"/>
      <c r="E672" s="219" t="n"/>
      <c r="F672" s="215" t="n"/>
      <c r="G672" s="215" t="n"/>
      <c r="H672" s="215" t="n"/>
      <c r="I672" s="215" t="n"/>
      <c r="J672" s="215" t="n"/>
      <c r="K672" s="215" t="n"/>
      <c r="L672" s="217" t="n"/>
      <c r="M672" s="692" t="n"/>
      <c r="N672" s="692" t="n"/>
      <c r="O672" s="692" t="n"/>
      <c r="P672" s="261" t="n"/>
      <c r="Q672" s="692" t="n"/>
      <c r="R672" s="692" t="n"/>
      <c r="S672" s="692" t="n"/>
      <c r="T672" s="692" t="n"/>
      <c r="U672" s="692" t="n"/>
      <c r="V672" s="692" t="n"/>
      <c r="W672" s="692" t="n"/>
      <c r="X672" s="692" t="n"/>
      <c r="Y672" s="692" t="n"/>
      <c r="Z672" s="692" t="n"/>
      <c r="AA672" s="692" t="n"/>
      <c r="AB672" s="692" t="n"/>
      <c r="AC672" s="692" t="n"/>
      <c r="AD672" s="692" t="n"/>
      <c r="AF672" s="236" t="n"/>
      <c r="AG672" s="236" t="n"/>
      <c r="AH672" s="236" t="n"/>
      <c r="AI672" s="236" t="n"/>
      <c r="AJ672" s="236" t="n"/>
      <c r="AK672" s="236" t="n"/>
      <c r="AL672" s="236" t="n"/>
      <c r="AM672" s="236" t="n"/>
      <c r="AN672" s="236" t="n"/>
      <c r="AO672" s="236" t="n"/>
      <c r="AP672" s="236" t="n"/>
      <c r="AQ672" s="236" t="n"/>
      <c r="AR672" s="236" t="n"/>
      <c r="AS672" s="236" t="n"/>
      <c r="AT672" s="236" t="n"/>
      <c r="AU672" s="236" t="n"/>
      <c r="AV672" s="236" t="n"/>
      <c r="AW672" s="236" t="n"/>
      <c r="AX672" s="692" t="n"/>
      <c r="AY672" s="692" t="n"/>
      <c r="AZ672" s="692" t="n"/>
      <c r="BA672" s="692" t="n"/>
      <c r="BB672" s="692" t="n"/>
      <c r="BC672" s="692" t="n"/>
      <c r="BD672" s="692" t="n"/>
      <c r="BE672" s="692" t="n"/>
      <c r="BF672" s="692" t="n"/>
      <c r="BG672" s="692" t="n"/>
      <c r="BH672" s="692" t="n"/>
      <c r="BI672" s="692" t="n"/>
      <c r="BJ672" s="692" t="n"/>
      <c r="BK672" s="692" t="n"/>
      <c r="BL672" s="692" t="n"/>
      <c r="BM672" s="692" t="n"/>
      <c r="BN672" s="692" t="n"/>
      <c r="BO672" s="692" t="n"/>
      <c r="BP672" s="692" t="n"/>
      <c r="BQ672" s="692" t="n"/>
    </row>
    <row r="673">
      <c r="A673" s="220" t="n"/>
      <c r="B673" s="211" t="n"/>
      <c r="C673" s="211" t="n"/>
      <c r="D673" s="211" t="n"/>
      <c r="E673" s="221" t="n"/>
      <c r="F673" s="211" t="n"/>
      <c r="G673" s="211" t="n"/>
      <c r="H673" s="211" t="n"/>
      <c r="I673" s="211" t="n"/>
      <c r="J673" s="211" t="n"/>
      <c r="K673" s="211" t="n"/>
      <c r="L673" s="213" t="n"/>
      <c r="M673" s="692" t="n"/>
      <c r="N673" s="692" t="n"/>
      <c r="O673" s="692" t="n"/>
      <c r="P673" s="261" t="n"/>
      <c r="Q673" s="692" t="n"/>
      <c r="R673" s="692" t="n"/>
      <c r="S673" s="692" t="n"/>
      <c r="T673" s="692" t="n"/>
      <c r="U673" s="692" t="n"/>
      <c r="V673" s="692" t="n"/>
      <c r="W673" s="692" t="n"/>
      <c r="X673" s="692" t="n"/>
      <c r="Y673" s="692" t="n"/>
      <c r="Z673" s="692" t="n"/>
      <c r="AA673" s="692" t="n"/>
      <c r="AB673" s="692" t="n"/>
      <c r="AC673" s="692" t="n"/>
      <c r="AD673" s="692" t="n"/>
      <c r="AF673" s="236" t="n"/>
      <c r="AG673" s="236" t="n"/>
      <c r="AH673" s="236" t="n"/>
      <c r="AI673" s="236" t="n"/>
      <c r="AJ673" s="236" t="n"/>
      <c r="AK673" s="236" t="n"/>
      <c r="AL673" s="236" t="n"/>
      <c r="AM673" s="236" t="n"/>
      <c r="AN673" s="236" t="n"/>
      <c r="AO673" s="236" t="n"/>
      <c r="AP673" s="236" t="n"/>
      <c r="AQ673" s="236" t="n"/>
      <c r="AR673" s="236" t="n"/>
      <c r="AS673" s="236" t="n"/>
      <c r="AT673" s="236" t="n"/>
      <c r="AU673" s="236" t="n"/>
      <c r="AV673" s="236" t="n"/>
      <c r="AW673" s="236" t="n"/>
      <c r="AX673" s="692" t="n"/>
      <c r="AY673" s="692" t="n"/>
      <c r="AZ673" s="692" t="n"/>
      <c r="BA673" s="692" t="n"/>
      <c r="BB673" s="692" t="n"/>
      <c r="BC673" s="692" t="n"/>
      <c r="BD673" s="692" t="n"/>
      <c r="BE673" s="692" t="n"/>
      <c r="BF673" s="692" t="n"/>
      <c r="BG673" s="692" t="n"/>
      <c r="BH673" s="692" t="n"/>
      <c r="BI673" s="692" t="n"/>
      <c r="BJ673" s="692" t="n"/>
      <c r="BK673" s="692" t="n"/>
      <c r="BL673" s="692" t="n"/>
      <c r="BM673" s="692" t="n"/>
      <c r="BN673" s="692" t="n"/>
      <c r="BO673" s="692" t="n"/>
      <c r="BP673" s="692" t="n"/>
      <c r="BQ673" s="692" t="n"/>
    </row>
    <row r="674">
      <c r="A674" s="218" t="n"/>
      <c r="B674" s="215" t="n"/>
      <c r="C674" s="215" t="n"/>
      <c r="D674" s="215" t="n"/>
      <c r="E674" s="219" t="n"/>
      <c r="F674" s="215" t="n"/>
      <c r="G674" s="215" t="n"/>
      <c r="H674" s="215" t="n"/>
      <c r="I674" s="215" t="n"/>
      <c r="J674" s="215" t="n"/>
      <c r="K674" s="215" t="n"/>
      <c r="L674" s="217" t="n"/>
      <c r="M674" s="692" t="n"/>
      <c r="N674" s="692" t="n"/>
      <c r="O674" s="692" t="n"/>
      <c r="P674" s="261" t="n"/>
      <c r="Q674" s="692" t="n"/>
      <c r="R674" s="692" t="n"/>
      <c r="S674" s="692" t="n"/>
      <c r="T674" s="692" t="n"/>
      <c r="U674" s="692" t="n"/>
      <c r="V674" s="692" t="n"/>
      <c r="W674" s="692" t="n"/>
      <c r="X674" s="692" t="n"/>
      <c r="Y674" s="692" t="n"/>
      <c r="Z674" s="692" t="n"/>
      <c r="AA674" s="692" t="n"/>
      <c r="AB674" s="692" t="n"/>
      <c r="AC674" s="692" t="n"/>
      <c r="AD674" s="692" t="n"/>
      <c r="AF674" s="236" t="n"/>
      <c r="AG674" s="236" t="n"/>
      <c r="AH674" s="236" t="n"/>
      <c r="AI674" s="236" t="n"/>
      <c r="AJ674" s="236" t="n"/>
      <c r="AK674" s="236" t="n"/>
      <c r="AL674" s="236" t="n"/>
      <c r="AM674" s="236" t="n"/>
      <c r="AN674" s="236" t="n"/>
      <c r="AO674" s="236" t="n"/>
      <c r="AP674" s="236" t="n"/>
      <c r="AQ674" s="236" t="n"/>
      <c r="AR674" s="236" t="n"/>
      <c r="AS674" s="236" t="n"/>
      <c r="AT674" s="236" t="n"/>
      <c r="AU674" s="236" t="n"/>
      <c r="AV674" s="236" t="n"/>
      <c r="AW674" s="236" t="n"/>
      <c r="AX674" s="692" t="n"/>
      <c r="AY674" s="692" t="n"/>
      <c r="AZ674" s="692" t="n"/>
      <c r="BA674" s="692" t="n"/>
      <c r="BB674" s="692" t="n"/>
      <c r="BC674" s="692" t="n"/>
      <c r="BD674" s="692" t="n"/>
      <c r="BE674" s="692" t="n"/>
      <c r="BF674" s="692" t="n"/>
      <c r="BG674" s="692" t="n"/>
      <c r="BH674" s="692" t="n"/>
      <c r="BI674" s="692" t="n"/>
      <c r="BJ674" s="692" t="n"/>
      <c r="BK674" s="692" t="n"/>
      <c r="BL674" s="692" t="n"/>
      <c r="BM674" s="692" t="n"/>
      <c r="BN674" s="692" t="n"/>
      <c r="BO674" s="692" t="n"/>
      <c r="BP674" s="692" t="n"/>
      <c r="BQ674" s="692" t="n"/>
    </row>
    <row r="675">
      <c r="A675" s="220" t="n"/>
      <c r="B675" s="211" t="n"/>
      <c r="C675" s="211" t="n"/>
      <c r="D675" s="211" t="n"/>
      <c r="E675" s="221" t="n"/>
      <c r="F675" s="211" t="n"/>
      <c r="G675" s="211" t="n"/>
      <c r="H675" s="211" t="n"/>
      <c r="I675" s="211" t="n"/>
      <c r="J675" s="211" t="n"/>
      <c r="K675" s="211" t="n"/>
      <c r="L675" s="213" t="n"/>
      <c r="M675" s="692" t="n"/>
      <c r="N675" s="692" t="n"/>
      <c r="O675" s="692" t="n"/>
      <c r="P675" s="261" t="n"/>
      <c r="Q675" s="692" t="n"/>
      <c r="R675" s="692" t="n"/>
      <c r="S675" s="692" t="n"/>
      <c r="T675" s="692" t="n"/>
      <c r="U675" s="692" t="n"/>
      <c r="V675" s="692" t="n"/>
      <c r="W675" s="692" t="n"/>
      <c r="X675" s="692" t="n"/>
      <c r="Y675" s="692" t="n"/>
      <c r="Z675" s="692" t="n"/>
      <c r="AA675" s="692" t="n"/>
      <c r="AB675" s="692" t="n"/>
      <c r="AC675" s="692" t="n"/>
      <c r="AD675" s="692" t="n"/>
      <c r="AF675" s="236" t="n"/>
      <c r="AG675" s="236" t="n"/>
      <c r="AH675" s="236" t="n"/>
      <c r="AI675" s="236" t="n"/>
      <c r="AJ675" s="236" t="n"/>
      <c r="AK675" s="236" t="n"/>
      <c r="AL675" s="236" t="n"/>
      <c r="AM675" s="236" t="n"/>
      <c r="AN675" s="236" t="n"/>
      <c r="AO675" s="236" t="n"/>
      <c r="AP675" s="236" t="n"/>
      <c r="AQ675" s="236" t="n"/>
      <c r="AR675" s="236" t="n"/>
      <c r="AS675" s="236" t="n"/>
      <c r="AT675" s="236" t="n"/>
      <c r="AU675" s="236" t="n"/>
      <c r="AV675" s="236" t="n"/>
      <c r="AW675" s="236" t="n"/>
      <c r="AX675" s="692" t="n"/>
      <c r="AY675" s="692" t="n"/>
      <c r="AZ675" s="692" t="n"/>
      <c r="BA675" s="692" t="n"/>
      <c r="BB675" s="692" t="n"/>
      <c r="BC675" s="692" t="n"/>
      <c r="BD675" s="692" t="n"/>
      <c r="BE675" s="692" t="n"/>
      <c r="BF675" s="692" t="n"/>
      <c r="BG675" s="692" t="n"/>
      <c r="BH675" s="692" t="n"/>
      <c r="BI675" s="692" t="n"/>
      <c r="BJ675" s="692" t="n"/>
      <c r="BK675" s="692" t="n"/>
      <c r="BL675" s="692" t="n"/>
      <c r="BM675" s="692" t="n"/>
      <c r="BN675" s="692" t="n"/>
      <c r="BO675" s="692" t="n"/>
      <c r="BP675" s="692" t="n"/>
      <c r="BQ675" s="692" t="n"/>
    </row>
    <row r="676">
      <c r="A676" s="218" t="n"/>
      <c r="B676" s="215" t="n"/>
      <c r="C676" s="215" t="n"/>
      <c r="D676" s="215" t="n"/>
      <c r="E676" s="219" t="n"/>
      <c r="F676" s="215" t="n"/>
      <c r="G676" s="215" t="n"/>
      <c r="H676" s="215" t="n"/>
      <c r="I676" s="215" t="n"/>
      <c r="J676" s="215" t="n"/>
      <c r="K676" s="215" t="n"/>
      <c r="L676" s="217" t="n"/>
      <c r="M676" s="692" t="n"/>
      <c r="N676" s="692" t="n"/>
      <c r="O676" s="692" t="n"/>
      <c r="P676" s="261" t="n"/>
      <c r="Q676" s="692" t="n"/>
      <c r="R676" s="692" t="n"/>
      <c r="S676" s="692" t="n"/>
      <c r="T676" s="692" t="n"/>
      <c r="U676" s="692" t="n"/>
      <c r="V676" s="692" t="n"/>
      <c r="W676" s="692" t="n"/>
      <c r="X676" s="692" t="n"/>
      <c r="Y676" s="692" t="n"/>
      <c r="Z676" s="692" t="n"/>
      <c r="AA676" s="692" t="n"/>
      <c r="AB676" s="692" t="n"/>
      <c r="AC676" s="692" t="n"/>
      <c r="AD676" s="692" t="n"/>
      <c r="AF676" s="236" t="n"/>
      <c r="AG676" s="236" t="n"/>
      <c r="AH676" s="236" t="n"/>
      <c r="AI676" s="236" t="n"/>
      <c r="AJ676" s="236" t="n"/>
      <c r="AK676" s="236" t="n"/>
      <c r="AL676" s="236" t="n"/>
      <c r="AM676" s="236" t="n"/>
      <c r="AN676" s="236" t="n"/>
      <c r="AO676" s="236" t="n"/>
      <c r="AP676" s="236" t="n"/>
      <c r="AQ676" s="236" t="n"/>
      <c r="AR676" s="236" t="n"/>
      <c r="AS676" s="236" t="n"/>
      <c r="AT676" s="236" t="n"/>
      <c r="AU676" s="236" t="n"/>
      <c r="AV676" s="236" t="n"/>
      <c r="AW676" s="236" t="n"/>
      <c r="AX676" s="692" t="n"/>
      <c r="AY676" s="692" t="n"/>
      <c r="AZ676" s="692" t="n"/>
      <c r="BA676" s="692" t="n"/>
      <c r="BB676" s="692" t="n"/>
      <c r="BC676" s="692" t="n"/>
      <c r="BD676" s="692" t="n"/>
      <c r="BE676" s="692" t="n"/>
      <c r="BF676" s="692" t="n"/>
      <c r="BG676" s="692" t="n"/>
      <c r="BH676" s="692" t="n"/>
      <c r="BI676" s="692" t="n"/>
      <c r="BJ676" s="692" t="n"/>
      <c r="BK676" s="692" t="n"/>
      <c r="BL676" s="692" t="n"/>
      <c r="BM676" s="692" t="n"/>
      <c r="BN676" s="692" t="n"/>
      <c r="BO676" s="692" t="n"/>
      <c r="BP676" s="692" t="n"/>
      <c r="BQ676" s="692" t="n"/>
    </row>
    <row r="677">
      <c r="A677" s="220" t="n"/>
      <c r="B677" s="211" t="n"/>
      <c r="C677" s="211" t="n"/>
      <c r="D677" s="211" t="n"/>
      <c r="E677" s="221" t="n"/>
      <c r="F677" s="211" t="n"/>
      <c r="G677" s="211" t="n"/>
      <c r="H677" s="211" t="n"/>
      <c r="I677" s="211" t="n"/>
      <c r="J677" s="211" t="n"/>
      <c r="K677" s="211" t="n"/>
      <c r="L677" s="213" t="n"/>
      <c r="M677" s="692" t="n"/>
      <c r="N677" s="692" t="n"/>
      <c r="O677" s="692" t="n"/>
      <c r="P677" s="261" t="n"/>
      <c r="Q677" s="692" t="n"/>
      <c r="R677" s="692" t="n"/>
      <c r="S677" s="692" t="n"/>
      <c r="T677" s="692" t="n"/>
      <c r="U677" s="692" t="n"/>
      <c r="V677" s="692" t="n"/>
      <c r="W677" s="692" t="n"/>
      <c r="X677" s="692" t="n"/>
      <c r="Y677" s="692" t="n"/>
      <c r="Z677" s="692" t="n"/>
      <c r="AA677" s="692" t="n"/>
      <c r="AB677" s="692" t="n"/>
      <c r="AC677" s="692" t="n"/>
      <c r="AD677" s="692" t="n"/>
      <c r="AF677" s="236" t="n"/>
      <c r="AG677" s="236" t="n"/>
      <c r="AH677" s="236" t="n"/>
      <c r="AI677" s="236" t="n"/>
      <c r="AJ677" s="236" t="n"/>
      <c r="AK677" s="236" t="n"/>
      <c r="AL677" s="236" t="n"/>
      <c r="AM677" s="236" t="n"/>
      <c r="AN677" s="236" t="n"/>
      <c r="AO677" s="236" t="n"/>
      <c r="AP677" s="236" t="n"/>
      <c r="AQ677" s="236" t="n"/>
      <c r="AR677" s="236" t="n"/>
      <c r="AS677" s="236" t="n"/>
      <c r="AT677" s="236" t="n"/>
      <c r="AU677" s="236" t="n"/>
      <c r="AV677" s="236" t="n"/>
      <c r="AW677" s="236" t="n"/>
      <c r="AX677" s="692" t="n"/>
      <c r="AY677" s="692" t="n"/>
      <c r="AZ677" s="692" t="n"/>
      <c r="BA677" s="692" t="n"/>
      <c r="BB677" s="692" t="n"/>
      <c r="BC677" s="692" t="n"/>
      <c r="BD677" s="692" t="n"/>
      <c r="BE677" s="692" t="n"/>
      <c r="BF677" s="692" t="n"/>
      <c r="BG677" s="692" t="n"/>
      <c r="BH677" s="692" t="n"/>
      <c r="BI677" s="692" t="n"/>
      <c r="BJ677" s="692" t="n"/>
      <c r="BK677" s="692" t="n"/>
      <c r="BL677" s="692" t="n"/>
      <c r="BM677" s="692" t="n"/>
      <c r="BN677" s="692" t="n"/>
      <c r="BO677" s="692" t="n"/>
      <c r="BP677" s="692" t="n"/>
      <c r="BQ677" s="692" t="n"/>
    </row>
    <row r="678">
      <c r="A678" s="218" t="n"/>
      <c r="B678" s="215" t="n"/>
      <c r="C678" s="215" t="n"/>
      <c r="D678" s="215" t="n"/>
      <c r="E678" s="219" t="n"/>
      <c r="F678" s="215" t="n"/>
      <c r="G678" s="215" t="n"/>
      <c r="H678" s="215" t="n"/>
      <c r="I678" s="215" t="n"/>
      <c r="J678" s="215" t="n"/>
      <c r="K678" s="215" t="n"/>
      <c r="L678" s="217" t="n"/>
      <c r="M678" s="692" t="n"/>
      <c r="N678" s="692" t="n"/>
      <c r="O678" s="692" t="n"/>
      <c r="P678" s="261" t="n"/>
      <c r="Q678" s="692" t="n"/>
      <c r="R678" s="692" t="n"/>
      <c r="S678" s="692" t="n"/>
      <c r="T678" s="692" t="n"/>
      <c r="U678" s="692" t="n"/>
      <c r="V678" s="692" t="n"/>
      <c r="W678" s="692" t="n"/>
      <c r="X678" s="692" t="n"/>
      <c r="Y678" s="692" t="n"/>
      <c r="Z678" s="692" t="n"/>
      <c r="AA678" s="692" t="n"/>
      <c r="AB678" s="692" t="n"/>
      <c r="AC678" s="692" t="n"/>
      <c r="AD678" s="692" t="n"/>
      <c r="AF678" s="236" t="n"/>
      <c r="AG678" s="236" t="n"/>
      <c r="AH678" s="236" t="n"/>
      <c r="AI678" s="236" t="n"/>
      <c r="AJ678" s="236" t="n"/>
      <c r="AK678" s="236" t="n"/>
      <c r="AL678" s="236" t="n"/>
      <c r="AM678" s="236" t="n"/>
      <c r="AN678" s="236" t="n"/>
      <c r="AO678" s="236" t="n"/>
      <c r="AP678" s="236" t="n"/>
      <c r="AQ678" s="236" t="n"/>
      <c r="AR678" s="236" t="n"/>
      <c r="AS678" s="236" t="n"/>
      <c r="AT678" s="236" t="n"/>
      <c r="AU678" s="236" t="n"/>
      <c r="AV678" s="236" t="n"/>
      <c r="AW678" s="236" t="n"/>
      <c r="AX678" s="692" t="n"/>
      <c r="AY678" s="692" t="n"/>
      <c r="AZ678" s="692" t="n"/>
      <c r="BA678" s="692" t="n"/>
      <c r="BB678" s="692" t="n"/>
      <c r="BC678" s="692" t="n"/>
      <c r="BD678" s="692" t="n"/>
      <c r="BE678" s="692" t="n"/>
      <c r="BF678" s="692" t="n"/>
      <c r="BG678" s="692" t="n"/>
      <c r="BH678" s="692" t="n"/>
      <c r="BI678" s="692" t="n"/>
      <c r="BJ678" s="692" t="n"/>
      <c r="BK678" s="692" t="n"/>
      <c r="BL678" s="692" t="n"/>
      <c r="BM678" s="692" t="n"/>
      <c r="BN678" s="692" t="n"/>
      <c r="BO678" s="692" t="n"/>
      <c r="BP678" s="692" t="n"/>
      <c r="BQ678" s="692" t="n"/>
    </row>
    <row r="679">
      <c r="A679" s="220" t="n"/>
      <c r="B679" s="211" t="n"/>
      <c r="C679" s="211" t="n"/>
      <c r="D679" s="211" t="n"/>
      <c r="E679" s="221" t="n"/>
      <c r="F679" s="211" t="n"/>
      <c r="G679" s="211" t="n"/>
      <c r="H679" s="211" t="n"/>
      <c r="I679" s="211" t="n"/>
      <c r="J679" s="211" t="n"/>
      <c r="K679" s="211" t="n"/>
      <c r="L679" s="213" t="n"/>
      <c r="M679" s="692" t="n"/>
      <c r="N679" s="692" t="n"/>
      <c r="O679" s="692" t="n"/>
      <c r="P679" s="261" t="n"/>
      <c r="Q679" s="692" t="n"/>
      <c r="R679" s="692" t="n"/>
      <c r="S679" s="692" t="n"/>
      <c r="T679" s="692" t="n"/>
      <c r="U679" s="692" t="n"/>
      <c r="V679" s="692" t="n"/>
      <c r="W679" s="692" t="n"/>
      <c r="X679" s="692" t="n"/>
      <c r="Y679" s="692" t="n"/>
      <c r="Z679" s="692" t="n"/>
      <c r="AA679" s="692" t="n"/>
      <c r="AB679" s="692" t="n"/>
      <c r="AC679" s="692" t="n"/>
      <c r="AD679" s="692" t="n"/>
      <c r="AF679" s="236" t="n"/>
      <c r="AG679" s="236" t="n"/>
      <c r="AH679" s="236" t="n"/>
      <c r="AI679" s="236" t="n"/>
      <c r="AJ679" s="236" t="n"/>
      <c r="AK679" s="236" t="n"/>
      <c r="AL679" s="236" t="n"/>
      <c r="AM679" s="236" t="n"/>
      <c r="AN679" s="236" t="n"/>
      <c r="AO679" s="236" t="n"/>
      <c r="AP679" s="236" t="n"/>
      <c r="AQ679" s="236" t="n"/>
      <c r="AR679" s="236" t="n"/>
      <c r="AS679" s="236" t="n"/>
      <c r="AT679" s="236" t="n"/>
      <c r="AU679" s="236" t="n"/>
      <c r="AV679" s="236" t="n"/>
      <c r="AW679" s="236" t="n"/>
      <c r="AX679" s="692" t="n"/>
      <c r="AY679" s="692" t="n"/>
      <c r="AZ679" s="692" t="n"/>
      <c r="BA679" s="692" t="n"/>
      <c r="BB679" s="692" t="n"/>
      <c r="BC679" s="692" t="n"/>
      <c r="BD679" s="692" t="n"/>
      <c r="BE679" s="692" t="n"/>
      <c r="BF679" s="692" t="n"/>
      <c r="BG679" s="692" t="n"/>
      <c r="BH679" s="692" t="n"/>
      <c r="BI679" s="692" t="n"/>
      <c r="BJ679" s="692" t="n"/>
      <c r="BK679" s="692" t="n"/>
      <c r="BL679" s="692" t="n"/>
      <c r="BM679" s="692" t="n"/>
      <c r="BN679" s="692" t="n"/>
      <c r="BO679" s="692" t="n"/>
      <c r="BP679" s="692" t="n"/>
      <c r="BQ679" s="692" t="n"/>
    </row>
    <row r="680">
      <c r="A680" s="218" t="n"/>
      <c r="B680" s="215" t="n"/>
      <c r="C680" s="215" t="n"/>
      <c r="D680" s="215" t="n"/>
      <c r="E680" s="219" t="n"/>
      <c r="F680" s="215" t="n"/>
      <c r="G680" s="215" t="n"/>
      <c r="H680" s="215" t="n"/>
      <c r="I680" s="215" t="n"/>
      <c r="J680" s="215" t="n"/>
      <c r="K680" s="215" t="n"/>
      <c r="L680" s="217" t="n"/>
      <c r="M680" s="692" t="n"/>
      <c r="N680" s="692" t="n"/>
      <c r="O680" s="692" t="n"/>
      <c r="P680" s="261" t="n"/>
      <c r="Q680" s="692" t="n"/>
      <c r="R680" s="692" t="n"/>
      <c r="S680" s="692" t="n"/>
      <c r="T680" s="692" t="n"/>
      <c r="U680" s="692" t="n"/>
      <c r="V680" s="692" t="n"/>
      <c r="W680" s="692" t="n"/>
      <c r="X680" s="692" t="n"/>
      <c r="Y680" s="692" t="n"/>
      <c r="Z680" s="692" t="n"/>
      <c r="AA680" s="692" t="n"/>
      <c r="AB680" s="692" t="n"/>
      <c r="AC680" s="692" t="n"/>
      <c r="AD680" s="692" t="n"/>
      <c r="AF680" s="236" t="n"/>
      <c r="AG680" s="236" t="n"/>
      <c r="AH680" s="236" t="n"/>
      <c r="AI680" s="236" t="n"/>
      <c r="AJ680" s="236" t="n"/>
      <c r="AK680" s="236" t="n"/>
      <c r="AL680" s="236" t="n"/>
      <c r="AM680" s="236" t="n"/>
      <c r="AN680" s="236" t="n"/>
      <c r="AO680" s="236" t="n"/>
      <c r="AP680" s="236" t="n"/>
      <c r="AQ680" s="236" t="n"/>
      <c r="AR680" s="236" t="n"/>
      <c r="AS680" s="236" t="n"/>
      <c r="AT680" s="236" t="n"/>
      <c r="AU680" s="236" t="n"/>
      <c r="AV680" s="236" t="n"/>
      <c r="AW680" s="236" t="n"/>
      <c r="AX680" s="692" t="n"/>
      <c r="AY680" s="692" t="n"/>
      <c r="AZ680" s="692" t="n"/>
      <c r="BA680" s="692" t="n"/>
      <c r="BB680" s="692" t="n"/>
      <c r="BC680" s="692" t="n"/>
      <c r="BD680" s="692" t="n"/>
      <c r="BE680" s="692" t="n"/>
      <c r="BF680" s="692" t="n"/>
      <c r="BG680" s="692" t="n"/>
      <c r="BH680" s="692" t="n"/>
      <c r="BI680" s="692" t="n"/>
      <c r="BJ680" s="692" t="n"/>
      <c r="BK680" s="692" t="n"/>
      <c r="BL680" s="692" t="n"/>
      <c r="BM680" s="692" t="n"/>
      <c r="BN680" s="692" t="n"/>
      <c r="BO680" s="692" t="n"/>
      <c r="BP680" s="692" t="n"/>
      <c r="BQ680" s="692" t="n"/>
    </row>
    <row r="681">
      <c r="A681" s="220" t="n"/>
      <c r="B681" s="211" t="n"/>
      <c r="C681" s="211" t="n"/>
      <c r="D681" s="211" t="n"/>
      <c r="E681" s="221" t="n"/>
      <c r="F681" s="211" t="n"/>
      <c r="G681" s="211" t="n"/>
      <c r="H681" s="211" t="n"/>
      <c r="I681" s="211" t="n"/>
      <c r="J681" s="211" t="n"/>
      <c r="K681" s="211" t="n"/>
      <c r="L681" s="213" t="n"/>
      <c r="M681" s="692" t="n"/>
      <c r="N681" s="692" t="n"/>
      <c r="O681" s="692" t="n"/>
      <c r="P681" s="261" t="n"/>
      <c r="Q681" s="692" t="n"/>
      <c r="R681" s="692" t="n"/>
      <c r="S681" s="692" t="n"/>
      <c r="T681" s="692" t="n"/>
      <c r="U681" s="692" t="n"/>
      <c r="V681" s="692" t="n"/>
      <c r="W681" s="692" t="n"/>
      <c r="X681" s="692" t="n"/>
      <c r="Y681" s="692" t="n"/>
      <c r="Z681" s="692" t="n"/>
      <c r="AA681" s="692" t="n"/>
      <c r="AB681" s="692" t="n"/>
      <c r="AC681" s="692" t="n"/>
      <c r="AD681" s="692" t="n"/>
      <c r="AF681" s="236" t="n"/>
      <c r="AG681" s="236" t="n"/>
      <c r="AH681" s="236" t="n"/>
      <c r="AI681" s="236" t="n"/>
      <c r="AJ681" s="236" t="n"/>
      <c r="AK681" s="236" t="n"/>
      <c r="AL681" s="236" t="n"/>
      <c r="AM681" s="236" t="n"/>
      <c r="AN681" s="236" t="n"/>
      <c r="AO681" s="236" t="n"/>
      <c r="AP681" s="236" t="n"/>
      <c r="AQ681" s="236" t="n"/>
      <c r="AR681" s="236" t="n"/>
      <c r="AS681" s="236" t="n"/>
      <c r="AT681" s="236" t="n"/>
      <c r="AU681" s="236" t="n"/>
      <c r="AV681" s="236" t="n"/>
      <c r="AW681" s="236" t="n"/>
      <c r="AX681" s="692" t="n"/>
      <c r="AY681" s="692" t="n"/>
      <c r="AZ681" s="692" t="n"/>
      <c r="BA681" s="692" t="n"/>
      <c r="BB681" s="692" t="n"/>
      <c r="BC681" s="692" t="n"/>
      <c r="BD681" s="692" t="n"/>
      <c r="BE681" s="692" t="n"/>
      <c r="BF681" s="692" t="n"/>
      <c r="BG681" s="692" t="n"/>
      <c r="BH681" s="692" t="n"/>
      <c r="BI681" s="692" t="n"/>
      <c r="BJ681" s="692" t="n"/>
      <c r="BK681" s="692" t="n"/>
      <c r="BL681" s="692" t="n"/>
      <c r="BM681" s="692" t="n"/>
      <c r="BN681" s="692" t="n"/>
      <c r="BO681" s="692" t="n"/>
      <c r="BP681" s="692" t="n"/>
      <c r="BQ681" s="692" t="n"/>
    </row>
    <row r="682">
      <c r="A682" s="218" t="n"/>
      <c r="B682" s="215" t="n"/>
      <c r="C682" s="215" t="n"/>
      <c r="D682" s="215" t="n"/>
      <c r="E682" s="219" t="n"/>
      <c r="F682" s="215" t="n"/>
      <c r="G682" s="215" t="n"/>
      <c r="H682" s="215" t="n"/>
      <c r="I682" s="215" t="n"/>
      <c r="J682" s="215" t="n"/>
      <c r="K682" s="215" t="n"/>
      <c r="L682" s="217" t="n"/>
      <c r="M682" s="692" t="n"/>
      <c r="N682" s="692" t="n"/>
      <c r="O682" s="692" t="n"/>
      <c r="P682" s="261" t="n"/>
      <c r="Q682" s="692" t="n"/>
      <c r="R682" s="692" t="n"/>
      <c r="S682" s="692" t="n"/>
      <c r="T682" s="692" t="n"/>
      <c r="U682" s="692" t="n"/>
      <c r="V682" s="692" t="n"/>
      <c r="W682" s="692" t="n"/>
      <c r="X682" s="692" t="n"/>
      <c r="Y682" s="692" t="n"/>
      <c r="Z682" s="692" t="n"/>
      <c r="AA682" s="692" t="n"/>
      <c r="AB682" s="692" t="n"/>
      <c r="AC682" s="692" t="n"/>
      <c r="AD682" s="692" t="n"/>
      <c r="AF682" s="236" t="n"/>
      <c r="AG682" s="236" t="n"/>
      <c r="AH682" s="236" t="n"/>
      <c r="AI682" s="236" t="n"/>
      <c r="AJ682" s="236" t="n"/>
      <c r="AK682" s="236" t="n"/>
      <c r="AL682" s="236" t="n"/>
      <c r="AM682" s="236" t="n"/>
      <c r="AN682" s="236" t="n"/>
      <c r="AO682" s="236" t="n"/>
      <c r="AP682" s="236" t="n"/>
      <c r="AQ682" s="236" t="n"/>
      <c r="AR682" s="236" t="n"/>
      <c r="AS682" s="236" t="n"/>
      <c r="AT682" s="236" t="n"/>
      <c r="AU682" s="236" t="n"/>
      <c r="AV682" s="236" t="n"/>
      <c r="AW682" s="236" t="n"/>
      <c r="AX682" s="692" t="n"/>
      <c r="AY682" s="692" t="n"/>
      <c r="AZ682" s="692" t="n"/>
      <c r="BA682" s="692" t="n"/>
      <c r="BB682" s="692" t="n"/>
      <c r="BC682" s="692" t="n"/>
      <c r="BD682" s="692" t="n"/>
      <c r="BE682" s="692" t="n"/>
      <c r="BF682" s="692" t="n"/>
      <c r="BG682" s="692" t="n"/>
      <c r="BH682" s="692" t="n"/>
      <c r="BI682" s="692" t="n"/>
      <c r="BJ682" s="692" t="n"/>
      <c r="BK682" s="692" t="n"/>
      <c r="BL682" s="692" t="n"/>
      <c r="BM682" s="692" t="n"/>
      <c r="BN682" s="692" t="n"/>
      <c r="BO682" s="692" t="n"/>
      <c r="BP682" s="692" t="n"/>
      <c r="BQ682" s="692" t="n"/>
    </row>
    <row r="683">
      <c r="A683" s="220" t="n"/>
      <c r="B683" s="211" t="n"/>
      <c r="C683" s="211" t="n"/>
      <c r="D683" s="211" t="n"/>
      <c r="E683" s="221" t="n"/>
      <c r="F683" s="211" t="n"/>
      <c r="G683" s="211" t="n"/>
      <c r="H683" s="211" t="n"/>
      <c r="I683" s="211" t="n"/>
      <c r="J683" s="211" t="n"/>
      <c r="K683" s="211" t="n"/>
      <c r="L683" s="213" t="n"/>
      <c r="M683" s="692" t="n"/>
      <c r="N683" s="692" t="n"/>
      <c r="O683" s="692" t="n"/>
      <c r="P683" s="261" t="n"/>
      <c r="Q683" s="692" t="n"/>
      <c r="R683" s="692" t="n"/>
      <c r="S683" s="692" t="n"/>
      <c r="T683" s="692" t="n"/>
      <c r="U683" s="692" t="n"/>
      <c r="V683" s="692" t="n"/>
      <c r="W683" s="692" t="n"/>
      <c r="X683" s="692" t="n"/>
      <c r="Y683" s="692" t="n"/>
      <c r="Z683" s="692" t="n"/>
      <c r="AA683" s="692" t="n"/>
      <c r="AB683" s="692" t="n"/>
      <c r="AC683" s="692" t="n"/>
      <c r="AD683" s="692" t="n"/>
      <c r="AF683" s="236" t="n"/>
      <c r="AG683" s="236" t="n"/>
      <c r="AH683" s="236" t="n"/>
      <c r="AI683" s="236" t="n"/>
      <c r="AJ683" s="236" t="n"/>
      <c r="AK683" s="236" t="n"/>
      <c r="AL683" s="236" t="n"/>
      <c r="AM683" s="236" t="n"/>
      <c r="AN683" s="236" t="n"/>
      <c r="AO683" s="236" t="n"/>
      <c r="AP683" s="236" t="n"/>
      <c r="AQ683" s="236" t="n"/>
      <c r="AR683" s="236" t="n"/>
      <c r="AS683" s="236" t="n"/>
      <c r="AT683" s="236" t="n"/>
      <c r="AU683" s="236" t="n"/>
      <c r="AV683" s="236" t="n"/>
      <c r="AW683" s="236" t="n"/>
      <c r="AX683" s="692" t="n"/>
      <c r="AY683" s="692" t="n"/>
      <c r="AZ683" s="692" t="n"/>
      <c r="BA683" s="692" t="n"/>
      <c r="BB683" s="692" t="n"/>
      <c r="BC683" s="692" t="n"/>
      <c r="BD683" s="692" t="n"/>
      <c r="BE683" s="692" t="n"/>
      <c r="BF683" s="692" t="n"/>
      <c r="BG683" s="692" t="n"/>
      <c r="BH683" s="692" t="n"/>
      <c r="BI683" s="692" t="n"/>
      <c r="BJ683" s="692" t="n"/>
      <c r="BK683" s="692" t="n"/>
      <c r="BL683" s="692" t="n"/>
      <c r="BM683" s="692" t="n"/>
      <c r="BN683" s="692" t="n"/>
      <c r="BO683" s="692" t="n"/>
      <c r="BP683" s="692" t="n"/>
      <c r="BQ683" s="692" t="n"/>
    </row>
    <row r="684">
      <c r="A684" s="218" t="n"/>
      <c r="B684" s="215" t="n"/>
      <c r="C684" s="215" t="n"/>
      <c r="D684" s="215" t="n"/>
      <c r="E684" s="219" t="n"/>
      <c r="F684" s="215" t="n"/>
      <c r="G684" s="215" t="n"/>
      <c r="H684" s="215" t="n"/>
      <c r="I684" s="215" t="n"/>
      <c r="J684" s="215" t="n"/>
      <c r="K684" s="215" t="n"/>
      <c r="L684" s="217" t="n"/>
      <c r="M684" s="692" t="n"/>
      <c r="N684" s="692" t="n"/>
      <c r="O684" s="692" t="n"/>
      <c r="P684" s="261" t="n"/>
      <c r="Q684" s="692" t="n"/>
      <c r="R684" s="692" t="n"/>
      <c r="S684" s="692" t="n"/>
      <c r="T684" s="692" t="n"/>
      <c r="U684" s="692" t="n"/>
      <c r="V684" s="692" t="n"/>
      <c r="W684" s="692" t="n"/>
      <c r="X684" s="692" t="n"/>
      <c r="Y684" s="692" t="n"/>
      <c r="Z684" s="692" t="n"/>
      <c r="AA684" s="692" t="n"/>
      <c r="AB684" s="692" t="n"/>
      <c r="AC684" s="692" t="n"/>
      <c r="AD684" s="692" t="n"/>
      <c r="AF684" s="236" t="n"/>
      <c r="AG684" s="236" t="n"/>
      <c r="AH684" s="236" t="n"/>
      <c r="AI684" s="236" t="n"/>
      <c r="AJ684" s="236" t="n"/>
      <c r="AK684" s="236" t="n"/>
      <c r="AL684" s="236" t="n"/>
      <c r="AM684" s="236" t="n"/>
      <c r="AN684" s="236" t="n"/>
      <c r="AO684" s="236" t="n"/>
      <c r="AP684" s="236" t="n"/>
      <c r="AQ684" s="236" t="n"/>
      <c r="AR684" s="236" t="n"/>
      <c r="AS684" s="236" t="n"/>
      <c r="AT684" s="236" t="n"/>
      <c r="AU684" s="236" t="n"/>
      <c r="AV684" s="236" t="n"/>
      <c r="AW684" s="236" t="n"/>
      <c r="AX684" s="692" t="n"/>
      <c r="AY684" s="692" t="n"/>
      <c r="AZ684" s="692" t="n"/>
      <c r="BA684" s="692" t="n"/>
      <c r="BB684" s="692" t="n"/>
      <c r="BC684" s="692" t="n"/>
      <c r="BD684" s="692" t="n"/>
      <c r="BE684" s="692" t="n"/>
      <c r="BF684" s="692" t="n"/>
      <c r="BG684" s="692" t="n"/>
      <c r="BH684" s="692" t="n"/>
      <c r="BI684" s="692" t="n"/>
      <c r="BJ684" s="692" t="n"/>
      <c r="BK684" s="692" t="n"/>
      <c r="BL684" s="692" t="n"/>
      <c r="BM684" s="692" t="n"/>
      <c r="BN684" s="692" t="n"/>
      <c r="BO684" s="692" t="n"/>
      <c r="BP684" s="692" t="n"/>
      <c r="BQ684" s="692" t="n"/>
    </row>
    <row r="685">
      <c r="A685" s="220" t="n"/>
      <c r="B685" s="211" t="n"/>
      <c r="C685" s="211" t="n"/>
      <c r="D685" s="211" t="n"/>
      <c r="E685" s="221" t="n"/>
      <c r="F685" s="211" t="n"/>
      <c r="G685" s="211" t="n"/>
      <c r="H685" s="211" t="n"/>
      <c r="I685" s="211" t="n"/>
      <c r="J685" s="211" t="n"/>
      <c r="K685" s="211" t="n"/>
      <c r="L685" s="213" t="n"/>
      <c r="M685" s="692" t="n"/>
      <c r="N685" s="692" t="n"/>
      <c r="O685" s="692" t="n"/>
      <c r="P685" s="261" t="n"/>
      <c r="Q685" s="692" t="n"/>
      <c r="R685" s="692" t="n"/>
      <c r="S685" s="692" t="n"/>
      <c r="T685" s="692" t="n"/>
      <c r="U685" s="692" t="n"/>
      <c r="V685" s="692" t="n"/>
      <c r="W685" s="692" t="n"/>
      <c r="X685" s="692" t="n"/>
      <c r="Y685" s="692" t="n"/>
      <c r="Z685" s="692" t="n"/>
      <c r="AA685" s="692" t="n"/>
      <c r="AB685" s="692" t="n"/>
      <c r="AC685" s="692" t="n"/>
      <c r="AD685" s="692" t="n"/>
      <c r="AF685" s="236" t="n"/>
      <c r="AG685" s="236" t="n"/>
      <c r="AH685" s="236" t="n"/>
      <c r="AI685" s="236" t="n"/>
      <c r="AJ685" s="236" t="n"/>
      <c r="AK685" s="236" t="n"/>
      <c r="AL685" s="236" t="n"/>
      <c r="AM685" s="236" t="n"/>
      <c r="AN685" s="236" t="n"/>
      <c r="AO685" s="236" t="n"/>
      <c r="AP685" s="236" t="n"/>
      <c r="AQ685" s="236" t="n"/>
      <c r="AR685" s="236" t="n"/>
      <c r="AS685" s="236" t="n"/>
      <c r="AT685" s="236" t="n"/>
      <c r="AU685" s="236" t="n"/>
      <c r="AV685" s="236" t="n"/>
      <c r="AW685" s="236" t="n"/>
      <c r="AX685" s="692" t="n"/>
      <c r="AY685" s="692" t="n"/>
      <c r="AZ685" s="692" t="n"/>
      <c r="BA685" s="692" t="n"/>
      <c r="BB685" s="692" t="n"/>
      <c r="BC685" s="692" t="n"/>
      <c r="BD685" s="692" t="n"/>
      <c r="BE685" s="692" t="n"/>
      <c r="BF685" s="692" t="n"/>
      <c r="BG685" s="692" t="n"/>
      <c r="BH685" s="692" t="n"/>
      <c r="BI685" s="692" t="n"/>
      <c r="BJ685" s="692" t="n"/>
      <c r="BK685" s="692" t="n"/>
      <c r="BL685" s="692" t="n"/>
      <c r="BM685" s="692" t="n"/>
      <c r="BN685" s="692" t="n"/>
      <c r="BO685" s="692" t="n"/>
      <c r="BP685" s="692" t="n"/>
      <c r="BQ685" s="692" t="n"/>
    </row>
    <row r="686">
      <c r="A686" s="218" t="n"/>
      <c r="B686" s="215" t="n"/>
      <c r="C686" s="215" t="n"/>
      <c r="D686" s="215" t="n"/>
      <c r="E686" s="219" t="n"/>
      <c r="F686" s="215" t="n"/>
      <c r="G686" s="215" t="n"/>
      <c r="H686" s="215" t="n"/>
      <c r="I686" s="215" t="n"/>
      <c r="J686" s="215" t="n"/>
      <c r="K686" s="215" t="n"/>
      <c r="L686" s="217" t="n"/>
      <c r="M686" s="692" t="n"/>
      <c r="N686" s="692" t="n"/>
      <c r="O686" s="692" t="n"/>
      <c r="P686" s="261" t="n"/>
      <c r="Q686" s="692" t="n"/>
      <c r="R686" s="692" t="n"/>
      <c r="S686" s="692" t="n"/>
      <c r="T686" s="692" t="n"/>
      <c r="U686" s="692" t="n"/>
      <c r="V686" s="692" t="n"/>
      <c r="W686" s="692" t="n"/>
      <c r="X686" s="692" t="n"/>
      <c r="Y686" s="692" t="n"/>
      <c r="Z686" s="692" t="n"/>
      <c r="AA686" s="692" t="n"/>
      <c r="AB686" s="692" t="n"/>
      <c r="AC686" s="692" t="n"/>
      <c r="AD686" s="692" t="n"/>
      <c r="AF686" s="236" t="n"/>
      <c r="AG686" s="236" t="n"/>
      <c r="AH686" s="236" t="n"/>
      <c r="AI686" s="236" t="n"/>
      <c r="AJ686" s="236" t="n"/>
      <c r="AK686" s="236" t="n"/>
      <c r="AL686" s="236" t="n"/>
      <c r="AM686" s="236" t="n"/>
      <c r="AN686" s="236" t="n"/>
      <c r="AO686" s="236" t="n"/>
      <c r="AP686" s="236" t="n"/>
      <c r="AQ686" s="236" t="n"/>
      <c r="AR686" s="236" t="n"/>
      <c r="AS686" s="236" t="n"/>
      <c r="AT686" s="236" t="n"/>
      <c r="AU686" s="236" t="n"/>
      <c r="AV686" s="236" t="n"/>
      <c r="AW686" s="236" t="n"/>
      <c r="AX686" s="692" t="n"/>
      <c r="AY686" s="692" t="n"/>
      <c r="AZ686" s="692" t="n"/>
      <c r="BA686" s="692" t="n"/>
      <c r="BB686" s="692" t="n"/>
      <c r="BC686" s="692" t="n"/>
      <c r="BD686" s="692" t="n"/>
      <c r="BE686" s="692" t="n"/>
      <c r="BF686" s="692" t="n"/>
      <c r="BG686" s="692" t="n"/>
      <c r="BH686" s="692" t="n"/>
      <c r="BI686" s="692" t="n"/>
      <c r="BJ686" s="692" t="n"/>
      <c r="BK686" s="692" t="n"/>
      <c r="BL686" s="692" t="n"/>
      <c r="BM686" s="692" t="n"/>
      <c r="BN686" s="692" t="n"/>
      <c r="BO686" s="692" t="n"/>
      <c r="BP686" s="692" t="n"/>
      <c r="BQ686" s="692" t="n"/>
    </row>
    <row r="687">
      <c r="A687" s="220" t="n"/>
      <c r="B687" s="211" t="n"/>
      <c r="C687" s="211" t="n"/>
      <c r="D687" s="211" t="n"/>
      <c r="E687" s="221" t="n"/>
      <c r="F687" s="211" t="n"/>
      <c r="G687" s="211" t="n"/>
      <c r="H687" s="211" t="n"/>
      <c r="I687" s="211" t="n"/>
      <c r="J687" s="211" t="n"/>
      <c r="K687" s="211" t="n"/>
      <c r="L687" s="213" t="n"/>
      <c r="M687" s="692" t="n"/>
      <c r="N687" s="692" t="n"/>
      <c r="O687" s="692" t="n"/>
      <c r="P687" s="261" t="n"/>
      <c r="Q687" s="692" t="n"/>
      <c r="R687" s="692" t="n"/>
      <c r="S687" s="692" t="n"/>
      <c r="T687" s="692" t="n"/>
      <c r="U687" s="692" t="n"/>
      <c r="V687" s="692" t="n"/>
      <c r="W687" s="692" t="n"/>
      <c r="X687" s="692" t="n"/>
      <c r="Y687" s="692" t="n"/>
      <c r="Z687" s="692" t="n"/>
      <c r="AA687" s="692" t="n"/>
      <c r="AB687" s="692" t="n"/>
      <c r="AC687" s="692" t="n"/>
      <c r="AD687" s="692" t="n"/>
      <c r="AF687" s="236" t="n"/>
      <c r="AG687" s="236" t="n"/>
      <c r="AH687" s="236" t="n"/>
      <c r="AI687" s="236" t="n"/>
      <c r="AJ687" s="236" t="n"/>
      <c r="AK687" s="236" t="n"/>
      <c r="AL687" s="236" t="n"/>
      <c r="AM687" s="236" t="n"/>
      <c r="AN687" s="236" t="n"/>
      <c r="AO687" s="236" t="n"/>
      <c r="AP687" s="236" t="n"/>
      <c r="AQ687" s="236" t="n"/>
      <c r="AR687" s="236" t="n"/>
      <c r="AS687" s="236" t="n"/>
      <c r="AT687" s="236" t="n"/>
      <c r="AU687" s="236" t="n"/>
      <c r="AV687" s="236" t="n"/>
      <c r="AW687" s="236" t="n"/>
      <c r="AX687" s="692" t="n"/>
      <c r="AY687" s="692" t="n"/>
      <c r="AZ687" s="692" t="n"/>
      <c r="BA687" s="692" t="n"/>
      <c r="BB687" s="692" t="n"/>
      <c r="BC687" s="692" t="n"/>
      <c r="BD687" s="692" t="n"/>
      <c r="BE687" s="692" t="n"/>
      <c r="BF687" s="692" t="n"/>
      <c r="BG687" s="692" t="n"/>
      <c r="BH687" s="692" t="n"/>
      <c r="BI687" s="692" t="n"/>
      <c r="BJ687" s="692" t="n"/>
      <c r="BK687" s="692" t="n"/>
      <c r="BL687" s="692" t="n"/>
      <c r="BM687" s="692" t="n"/>
      <c r="BN687" s="692" t="n"/>
      <c r="BO687" s="692" t="n"/>
      <c r="BP687" s="692" t="n"/>
      <c r="BQ687" s="692" t="n"/>
    </row>
    <row r="688">
      <c r="A688" s="218" t="n"/>
      <c r="B688" s="215" t="n"/>
      <c r="C688" s="215" t="n"/>
      <c r="D688" s="215" t="n"/>
      <c r="E688" s="219" t="n"/>
      <c r="F688" s="215" t="n"/>
      <c r="G688" s="215" t="n"/>
      <c r="H688" s="215" t="n"/>
      <c r="I688" s="215" t="n"/>
      <c r="J688" s="215" t="n"/>
      <c r="K688" s="215" t="n"/>
      <c r="L688" s="217" t="n"/>
      <c r="M688" s="692" t="n"/>
      <c r="N688" s="692" t="n"/>
      <c r="O688" s="692" t="n"/>
      <c r="P688" s="261" t="n"/>
      <c r="Q688" s="692" t="n"/>
      <c r="R688" s="692" t="n"/>
      <c r="S688" s="692" t="n"/>
      <c r="T688" s="692" t="n"/>
      <c r="U688" s="692" t="n"/>
      <c r="V688" s="692" t="n"/>
      <c r="W688" s="692" t="n"/>
      <c r="X688" s="692" t="n"/>
      <c r="Y688" s="692" t="n"/>
      <c r="Z688" s="692" t="n"/>
      <c r="AA688" s="692" t="n"/>
      <c r="AB688" s="692" t="n"/>
      <c r="AC688" s="692" t="n"/>
      <c r="AD688" s="692" t="n"/>
      <c r="AF688" s="236" t="n"/>
      <c r="AG688" s="236" t="n"/>
      <c r="AH688" s="236" t="n"/>
      <c r="AI688" s="236" t="n"/>
      <c r="AJ688" s="236" t="n"/>
      <c r="AK688" s="236" t="n"/>
      <c r="AL688" s="236" t="n"/>
      <c r="AM688" s="236" t="n"/>
      <c r="AN688" s="236" t="n"/>
      <c r="AO688" s="236" t="n"/>
      <c r="AP688" s="236" t="n"/>
      <c r="AQ688" s="236" t="n"/>
      <c r="AR688" s="236" t="n"/>
      <c r="AS688" s="236" t="n"/>
      <c r="AT688" s="236" t="n"/>
      <c r="AU688" s="236" t="n"/>
      <c r="AV688" s="236" t="n"/>
      <c r="AW688" s="236" t="n"/>
      <c r="AX688" s="692" t="n"/>
      <c r="AY688" s="692" t="n"/>
      <c r="AZ688" s="692" t="n"/>
      <c r="BA688" s="692" t="n"/>
      <c r="BB688" s="692" t="n"/>
      <c r="BC688" s="692" t="n"/>
      <c r="BD688" s="692" t="n"/>
      <c r="BE688" s="692" t="n"/>
      <c r="BF688" s="692" t="n"/>
      <c r="BG688" s="692" t="n"/>
      <c r="BH688" s="692" t="n"/>
      <c r="BI688" s="692" t="n"/>
      <c r="BJ688" s="692" t="n"/>
      <c r="BK688" s="692" t="n"/>
      <c r="BL688" s="692" t="n"/>
      <c r="BM688" s="692" t="n"/>
      <c r="BN688" s="692" t="n"/>
      <c r="BO688" s="692" t="n"/>
      <c r="BP688" s="692" t="n"/>
      <c r="BQ688" s="692" t="n"/>
    </row>
    <row r="689">
      <c r="A689" s="220" t="n"/>
      <c r="B689" s="211" t="n"/>
      <c r="C689" s="211" t="n"/>
      <c r="D689" s="211" t="n"/>
      <c r="E689" s="221" t="n"/>
      <c r="F689" s="211" t="n"/>
      <c r="G689" s="211" t="n"/>
      <c r="H689" s="211" t="n"/>
      <c r="I689" s="211" t="n"/>
      <c r="J689" s="211" t="n"/>
      <c r="K689" s="211" t="n"/>
      <c r="L689" s="213" t="n"/>
      <c r="M689" s="692" t="n"/>
      <c r="N689" s="692" t="n"/>
      <c r="O689" s="692" t="n"/>
      <c r="P689" s="261" t="n"/>
      <c r="Q689" s="692" t="n"/>
      <c r="R689" s="692" t="n"/>
      <c r="S689" s="692" t="n"/>
      <c r="T689" s="692" t="n"/>
      <c r="U689" s="692" t="n"/>
      <c r="V689" s="692" t="n"/>
      <c r="W689" s="692" t="n"/>
      <c r="X689" s="692" t="n"/>
      <c r="Y689" s="692" t="n"/>
      <c r="Z689" s="692" t="n"/>
      <c r="AA689" s="692" t="n"/>
      <c r="AB689" s="692" t="n"/>
      <c r="AC689" s="692" t="n"/>
      <c r="AD689" s="692" t="n"/>
      <c r="AF689" s="236" t="n"/>
      <c r="AG689" s="236" t="n"/>
      <c r="AH689" s="236" t="n"/>
      <c r="AI689" s="236" t="n"/>
      <c r="AJ689" s="236" t="n"/>
      <c r="AK689" s="236" t="n"/>
      <c r="AL689" s="236" t="n"/>
      <c r="AM689" s="236" t="n"/>
      <c r="AN689" s="236" t="n"/>
      <c r="AO689" s="236" t="n"/>
      <c r="AP689" s="236" t="n"/>
      <c r="AQ689" s="236" t="n"/>
      <c r="AR689" s="236" t="n"/>
      <c r="AS689" s="236" t="n"/>
      <c r="AT689" s="236" t="n"/>
      <c r="AU689" s="236" t="n"/>
      <c r="AV689" s="236" t="n"/>
      <c r="AW689" s="236" t="n"/>
      <c r="AX689" s="692" t="n"/>
      <c r="AY689" s="692" t="n"/>
      <c r="AZ689" s="692" t="n"/>
      <c r="BA689" s="692" t="n"/>
      <c r="BB689" s="692" t="n"/>
      <c r="BC689" s="692" t="n"/>
      <c r="BD689" s="692" t="n"/>
      <c r="BE689" s="692" t="n"/>
      <c r="BF689" s="692" t="n"/>
      <c r="BG689" s="692" t="n"/>
      <c r="BH689" s="692" t="n"/>
      <c r="BI689" s="692" t="n"/>
      <c r="BJ689" s="692" t="n"/>
      <c r="BK689" s="692" t="n"/>
      <c r="BL689" s="692" t="n"/>
      <c r="BM689" s="692" t="n"/>
      <c r="BN689" s="692" t="n"/>
      <c r="BO689" s="692" t="n"/>
      <c r="BP689" s="692" t="n"/>
      <c r="BQ689" s="692" t="n"/>
    </row>
    <row r="690">
      <c r="A690" s="218" t="n"/>
      <c r="B690" s="215" t="n"/>
      <c r="C690" s="215" t="n"/>
      <c r="D690" s="215" t="n"/>
      <c r="E690" s="219" t="n"/>
      <c r="F690" s="215" t="n"/>
      <c r="G690" s="215" t="n"/>
      <c r="H690" s="215" t="n"/>
      <c r="I690" s="215" t="n"/>
      <c r="J690" s="215" t="n"/>
      <c r="K690" s="215" t="n"/>
      <c r="L690" s="217" t="n"/>
      <c r="M690" s="692" t="n"/>
      <c r="N690" s="692" t="n"/>
      <c r="O690" s="692" t="n"/>
      <c r="P690" s="261" t="n"/>
      <c r="Q690" s="692" t="n"/>
      <c r="R690" s="692" t="n"/>
      <c r="S690" s="692" t="n"/>
      <c r="T690" s="692" t="n"/>
      <c r="U690" s="692" t="n"/>
      <c r="V690" s="692" t="n"/>
      <c r="W690" s="692" t="n"/>
      <c r="X690" s="692" t="n"/>
      <c r="Y690" s="692" t="n"/>
      <c r="Z690" s="692" t="n"/>
      <c r="AA690" s="692" t="n"/>
      <c r="AB690" s="692" t="n"/>
      <c r="AC690" s="692" t="n"/>
      <c r="AD690" s="692" t="n"/>
      <c r="AF690" s="236" t="n"/>
      <c r="AG690" s="236" t="n"/>
      <c r="AH690" s="236" t="n"/>
      <c r="AI690" s="236" t="n"/>
      <c r="AJ690" s="236" t="n"/>
      <c r="AK690" s="236" t="n"/>
      <c r="AL690" s="236" t="n"/>
      <c r="AM690" s="236" t="n"/>
      <c r="AN690" s="236" t="n"/>
      <c r="AO690" s="236" t="n"/>
      <c r="AP690" s="236" t="n"/>
      <c r="AQ690" s="236" t="n"/>
      <c r="AR690" s="236" t="n"/>
      <c r="AS690" s="236" t="n"/>
      <c r="AT690" s="236" t="n"/>
      <c r="AU690" s="236" t="n"/>
      <c r="AV690" s="236" t="n"/>
      <c r="AW690" s="236" t="n"/>
      <c r="AX690" s="692" t="n"/>
      <c r="AY690" s="692" t="n"/>
      <c r="AZ690" s="692" t="n"/>
      <c r="BA690" s="692" t="n"/>
      <c r="BB690" s="692" t="n"/>
      <c r="BC690" s="692" t="n"/>
      <c r="BD690" s="692" t="n"/>
      <c r="BE690" s="692" t="n"/>
      <c r="BF690" s="692" t="n"/>
      <c r="BG690" s="692" t="n"/>
      <c r="BH690" s="692" t="n"/>
      <c r="BI690" s="692" t="n"/>
      <c r="BJ690" s="692" t="n"/>
      <c r="BK690" s="692" t="n"/>
      <c r="BL690" s="692" t="n"/>
      <c r="BM690" s="692" t="n"/>
      <c r="BN690" s="692" t="n"/>
      <c r="BO690" s="692" t="n"/>
      <c r="BP690" s="692" t="n"/>
      <c r="BQ690" s="692" t="n"/>
    </row>
    <row r="691">
      <c r="A691" s="220" t="n"/>
      <c r="B691" s="211" t="n"/>
      <c r="C691" s="211" t="n"/>
      <c r="D691" s="211" t="n"/>
      <c r="E691" s="221" t="n"/>
      <c r="F691" s="211" t="n"/>
      <c r="G691" s="211" t="n"/>
      <c r="H691" s="211" t="n"/>
      <c r="I691" s="211" t="n"/>
      <c r="J691" s="211" t="n"/>
      <c r="K691" s="211" t="n"/>
      <c r="L691" s="213" t="n"/>
      <c r="M691" s="692" t="n"/>
      <c r="N691" s="692" t="n"/>
      <c r="O691" s="692" t="n"/>
      <c r="P691" s="261" t="n"/>
      <c r="Q691" s="692" t="n"/>
      <c r="R691" s="692" t="n"/>
      <c r="S691" s="692" t="n"/>
      <c r="T691" s="692" t="n"/>
      <c r="U691" s="692" t="n"/>
      <c r="V691" s="692" t="n"/>
      <c r="W691" s="692" t="n"/>
      <c r="X691" s="692" t="n"/>
      <c r="Y691" s="692" t="n"/>
      <c r="Z691" s="692" t="n"/>
      <c r="AA691" s="692" t="n"/>
      <c r="AB691" s="692" t="n"/>
      <c r="AC691" s="692" t="n"/>
      <c r="AD691" s="692" t="n"/>
      <c r="AF691" s="236" t="n"/>
      <c r="AG691" s="236" t="n"/>
      <c r="AH691" s="236" t="n"/>
      <c r="AI691" s="236" t="n"/>
      <c r="AJ691" s="236" t="n"/>
      <c r="AK691" s="236" t="n"/>
      <c r="AL691" s="236" t="n"/>
      <c r="AM691" s="236" t="n"/>
      <c r="AN691" s="236" t="n"/>
      <c r="AO691" s="236" t="n"/>
      <c r="AP691" s="236" t="n"/>
      <c r="AQ691" s="236" t="n"/>
      <c r="AR691" s="236" t="n"/>
      <c r="AS691" s="236" t="n"/>
      <c r="AT691" s="236" t="n"/>
      <c r="AU691" s="236" t="n"/>
      <c r="AV691" s="236" t="n"/>
      <c r="AW691" s="236" t="n"/>
      <c r="AX691" s="692" t="n"/>
      <c r="AY691" s="692" t="n"/>
      <c r="AZ691" s="692" t="n"/>
      <c r="BA691" s="692" t="n"/>
      <c r="BB691" s="692" t="n"/>
      <c r="BC691" s="692" t="n"/>
      <c r="BD691" s="692" t="n"/>
      <c r="BE691" s="692" t="n"/>
      <c r="BF691" s="692" t="n"/>
      <c r="BG691" s="692" t="n"/>
      <c r="BH691" s="692" t="n"/>
      <c r="BI691" s="692" t="n"/>
      <c r="BJ691" s="692" t="n"/>
      <c r="BK691" s="692" t="n"/>
      <c r="BL691" s="692" t="n"/>
      <c r="BM691" s="692" t="n"/>
      <c r="BN691" s="692" t="n"/>
      <c r="BO691" s="692" t="n"/>
      <c r="BP691" s="692" t="n"/>
      <c r="BQ691" s="692" t="n"/>
    </row>
    <row r="692">
      <c r="A692" s="218" t="n"/>
      <c r="B692" s="215" t="n"/>
      <c r="C692" s="215" t="n"/>
      <c r="D692" s="215" t="n"/>
      <c r="E692" s="219" t="n"/>
      <c r="F692" s="215" t="n"/>
      <c r="G692" s="215" t="n"/>
      <c r="H692" s="215" t="n"/>
      <c r="I692" s="215" t="n"/>
      <c r="J692" s="215" t="n"/>
      <c r="K692" s="215" t="n"/>
      <c r="L692" s="217" t="n"/>
      <c r="M692" s="692" t="n"/>
      <c r="N692" s="692" t="n"/>
      <c r="O692" s="692" t="n"/>
      <c r="P692" s="261" t="n"/>
      <c r="Q692" s="692" t="n"/>
      <c r="R692" s="692" t="n"/>
      <c r="S692" s="692" t="n"/>
      <c r="T692" s="692" t="n"/>
      <c r="U692" s="692" t="n"/>
      <c r="V692" s="692" t="n"/>
      <c r="W692" s="692" t="n"/>
      <c r="X692" s="692" t="n"/>
      <c r="Y692" s="692" t="n"/>
      <c r="Z692" s="692" t="n"/>
      <c r="AA692" s="692" t="n"/>
      <c r="AB692" s="692" t="n"/>
      <c r="AC692" s="692" t="n"/>
      <c r="AD692" s="692" t="n"/>
      <c r="AF692" s="236" t="n"/>
      <c r="AG692" s="236" t="n"/>
      <c r="AH692" s="236" t="n"/>
      <c r="AI692" s="236" t="n"/>
      <c r="AJ692" s="236" t="n"/>
      <c r="AK692" s="236" t="n"/>
      <c r="AL692" s="236" t="n"/>
      <c r="AM692" s="236" t="n"/>
      <c r="AN692" s="236" t="n"/>
      <c r="AO692" s="236" t="n"/>
      <c r="AP692" s="236" t="n"/>
      <c r="AQ692" s="236" t="n"/>
      <c r="AR692" s="236" t="n"/>
      <c r="AS692" s="236" t="n"/>
      <c r="AT692" s="236" t="n"/>
      <c r="AU692" s="236" t="n"/>
      <c r="AV692" s="236" t="n"/>
      <c r="AW692" s="236" t="n"/>
      <c r="AX692" s="692" t="n"/>
      <c r="AY692" s="692" t="n"/>
      <c r="AZ692" s="692" t="n"/>
      <c r="BA692" s="692" t="n"/>
      <c r="BB692" s="692" t="n"/>
      <c r="BC692" s="692" t="n"/>
      <c r="BD692" s="692" t="n"/>
      <c r="BE692" s="692" t="n"/>
      <c r="BF692" s="692" t="n"/>
      <c r="BG692" s="692" t="n"/>
      <c r="BH692" s="692" t="n"/>
      <c r="BI692" s="692" t="n"/>
      <c r="BJ692" s="692" t="n"/>
      <c r="BK692" s="692" t="n"/>
      <c r="BL692" s="692" t="n"/>
      <c r="BM692" s="692" t="n"/>
      <c r="BN692" s="692" t="n"/>
      <c r="BO692" s="692" t="n"/>
      <c r="BP692" s="692" t="n"/>
      <c r="BQ692" s="692" t="n"/>
    </row>
    <row r="693">
      <c r="A693" s="220" t="n"/>
      <c r="B693" s="211" t="n"/>
      <c r="C693" s="211" t="n"/>
      <c r="D693" s="211" t="n"/>
      <c r="E693" s="221" t="n"/>
      <c r="F693" s="211" t="n"/>
      <c r="G693" s="211" t="n"/>
      <c r="H693" s="211" t="n"/>
      <c r="I693" s="211" t="n"/>
      <c r="J693" s="211" t="n"/>
      <c r="K693" s="211" t="n"/>
      <c r="L693" s="213" t="n"/>
      <c r="M693" s="692" t="n"/>
      <c r="N693" s="692" t="n"/>
      <c r="O693" s="692" t="n"/>
      <c r="P693" s="261" t="n"/>
      <c r="Q693" s="692" t="n"/>
      <c r="R693" s="692" t="n"/>
      <c r="S693" s="692" t="n"/>
      <c r="T693" s="692" t="n"/>
      <c r="U693" s="692" t="n"/>
      <c r="V693" s="692" t="n"/>
      <c r="W693" s="692" t="n"/>
      <c r="X693" s="692" t="n"/>
      <c r="Y693" s="692" t="n"/>
      <c r="Z693" s="692" t="n"/>
      <c r="AA693" s="692" t="n"/>
      <c r="AB693" s="692" t="n"/>
      <c r="AC693" s="692" t="n"/>
      <c r="AD693" s="692" t="n"/>
      <c r="AF693" s="236" t="n"/>
      <c r="AG693" s="236" t="n"/>
      <c r="AH693" s="236" t="n"/>
      <c r="AI693" s="236" t="n"/>
      <c r="AJ693" s="236" t="n"/>
      <c r="AK693" s="236" t="n"/>
      <c r="AL693" s="236" t="n"/>
      <c r="AM693" s="236" t="n"/>
      <c r="AN693" s="236" t="n"/>
      <c r="AO693" s="236" t="n"/>
      <c r="AP693" s="236" t="n"/>
      <c r="AQ693" s="236" t="n"/>
      <c r="AR693" s="236" t="n"/>
      <c r="AS693" s="236" t="n"/>
      <c r="AT693" s="236" t="n"/>
      <c r="AU693" s="236" t="n"/>
      <c r="AV693" s="236" t="n"/>
      <c r="AW693" s="236" t="n"/>
      <c r="AX693" s="692" t="n"/>
      <c r="AY693" s="692" t="n"/>
      <c r="AZ693" s="692" t="n"/>
      <c r="BA693" s="692" t="n"/>
      <c r="BB693" s="692" t="n"/>
      <c r="BC693" s="692" t="n"/>
      <c r="BD693" s="692" t="n"/>
      <c r="BE693" s="692" t="n"/>
      <c r="BF693" s="692" t="n"/>
      <c r="BG693" s="692" t="n"/>
      <c r="BH693" s="692" t="n"/>
      <c r="BI693" s="692" t="n"/>
      <c r="BJ693" s="692" t="n"/>
      <c r="BK693" s="692" t="n"/>
      <c r="BL693" s="692" t="n"/>
      <c r="BM693" s="692" t="n"/>
      <c r="BN693" s="692" t="n"/>
      <c r="BO693" s="692" t="n"/>
      <c r="BP693" s="692" t="n"/>
      <c r="BQ693" s="692" t="n"/>
    </row>
    <row r="694">
      <c r="A694" s="218" t="n"/>
      <c r="B694" s="215" t="n"/>
      <c r="C694" s="215" t="n"/>
      <c r="D694" s="215" t="n"/>
      <c r="E694" s="219" t="n"/>
      <c r="F694" s="215" t="n"/>
      <c r="G694" s="215" t="n"/>
      <c r="H694" s="215" t="n"/>
      <c r="I694" s="215" t="n"/>
      <c r="J694" s="215" t="n"/>
      <c r="K694" s="215" t="n"/>
      <c r="L694" s="217" t="n"/>
      <c r="M694" s="692" t="n"/>
      <c r="N694" s="692" t="n"/>
      <c r="O694" s="692" t="n"/>
      <c r="P694" s="261" t="n"/>
      <c r="Q694" s="692" t="n"/>
      <c r="R694" s="692" t="n"/>
      <c r="S694" s="692" t="n"/>
      <c r="T694" s="692" t="n"/>
      <c r="U694" s="692" t="n"/>
      <c r="V694" s="692" t="n"/>
      <c r="W694" s="692" t="n"/>
      <c r="X694" s="692" t="n"/>
      <c r="Y694" s="692" t="n"/>
      <c r="Z694" s="692" t="n"/>
      <c r="AA694" s="692" t="n"/>
      <c r="AB694" s="692" t="n"/>
      <c r="AC694" s="692" t="n"/>
      <c r="AD694" s="692" t="n"/>
      <c r="AF694" s="236" t="n"/>
      <c r="AG694" s="236" t="n"/>
      <c r="AH694" s="236" t="n"/>
      <c r="AI694" s="236" t="n"/>
      <c r="AJ694" s="236" t="n"/>
      <c r="AK694" s="236" t="n"/>
      <c r="AL694" s="236" t="n"/>
      <c r="AM694" s="236" t="n"/>
      <c r="AN694" s="236" t="n"/>
      <c r="AO694" s="236" t="n"/>
      <c r="AP694" s="236" t="n"/>
      <c r="AQ694" s="236" t="n"/>
      <c r="AR694" s="236" t="n"/>
      <c r="AS694" s="236" t="n"/>
      <c r="AT694" s="236" t="n"/>
      <c r="AU694" s="236" t="n"/>
      <c r="AV694" s="236" t="n"/>
      <c r="AW694" s="236" t="n"/>
      <c r="AX694" s="692" t="n"/>
      <c r="AY694" s="692" t="n"/>
      <c r="AZ694" s="692" t="n"/>
      <c r="BA694" s="692" t="n"/>
      <c r="BB694" s="692" t="n"/>
      <c r="BC694" s="692" t="n"/>
      <c r="BD694" s="692" t="n"/>
      <c r="BE694" s="692" t="n"/>
      <c r="BF694" s="692" t="n"/>
      <c r="BG694" s="692" t="n"/>
      <c r="BH694" s="692" t="n"/>
      <c r="BI694" s="692" t="n"/>
      <c r="BJ694" s="692" t="n"/>
      <c r="BK694" s="692" t="n"/>
      <c r="BL694" s="692" t="n"/>
      <c r="BM694" s="692" t="n"/>
      <c r="BN694" s="692" t="n"/>
      <c r="BO694" s="692" t="n"/>
      <c r="BP694" s="692" t="n"/>
      <c r="BQ694" s="692" t="n"/>
    </row>
    <row r="695">
      <c r="A695" s="220" t="n"/>
      <c r="B695" s="211" t="n"/>
      <c r="C695" s="211" t="n"/>
      <c r="D695" s="211" t="n"/>
      <c r="E695" s="221" t="n"/>
      <c r="F695" s="211" t="n"/>
      <c r="G695" s="211" t="n"/>
      <c r="H695" s="211" t="n"/>
      <c r="I695" s="211" t="n"/>
      <c r="J695" s="211" t="n"/>
      <c r="K695" s="211" t="n"/>
      <c r="L695" s="213" t="n"/>
      <c r="M695" s="692" t="n"/>
      <c r="N695" s="692" t="n"/>
      <c r="O695" s="692" t="n"/>
      <c r="P695" s="261" t="n"/>
      <c r="Q695" s="692" t="n"/>
      <c r="R695" s="692" t="n"/>
      <c r="S695" s="692" t="n"/>
      <c r="T695" s="692" t="n"/>
      <c r="U695" s="692" t="n"/>
      <c r="V695" s="692" t="n"/>
      <c r="W695" s="692" t="n"/>
      <c r="X695" s="692" t="n"/>
      <c r="Y695" s="692" t="n"/>
      <c r="Z695" s="692" t="n"/>
      <c r="AA695" s="692" t="n"/>
      <c r="AB695" s="692" t="n"/>
      <c r="AC695" s="692" t="n"/>
      <c r="AD695" s="692" t="n"/>
      <c r="AF695" s="236" t="n"/>
      <c r="AG695" s="236" t="n"/>
      <c r="AH695" s="236" t="n"/>
      <c r="AI695" s="236" t="n"/>
      <c r="AJ695" s="236" t="n"/>
      <c r="AK695" s="236" t="n"/>
      <c r="AL695" s="236" t="n"/>
      <c r="AM695" s="236" t="n"/>
      <c r="AN695" s="236" t="n"/>
      <c r="AO695" s="236" t="n"/>
      <c r="AP695" s="236" t="n"/>
      <c r="AQ695" s="236" t="n"/>
      <c r="AR695" s="236" t="n"/>
      <c r="AS695" s="236" t="n"/>
      <c r="AT695" s="236" t="n"/>
      <c r="AU695" s="236" t="n"/>
      <c r="AV695" s="236" t="n"/>
      <c r="AW695" s="236" t="n"/>
      <c r="AX695" s="692" t="n"/>
      <c r="AY695" s="692" t="n"/>
      <c r="AZ695" s="692" t="n"/>
      <c r="BA695" s="692" t="n"/>
      <c r="BB695" s="692" t="n"/>
      <c r="BC695" s="692" t="n"/>
      <c r="BD695" s="692" t="n"/>
      <c r="BE695" s="692" t="n"/>
      <c r="BF695" s="692" t="n"/>
      <c r="BG695" s="692" t="n"/>
      <c r="BH695" s="692" t="n"/>
      <c r="BI695" s="692" t="n"/>
      <c r="BJ695" s="692" t="n"/>
      <c r="BK695" s="692" t="n"/>
      <c r="BL695" s="692" t="n"/>
      <c r="BM695" s="692" t="n"/>
      <c r="BN695" s="692" t="n"/>
      <c r="BO695" s="692" t="n"/>
      <c r="BP695" s="692" t="n"/>
      <c r="BQ695" s="692" t="n"/>
    </row>
    <row r="696">
      <c r="A696" s="218" t="n"/>
      <c r="B696" s="215" t="n"/>
      <c r="C696" s="215" t="n"/>
      <c r="D696" s="215" t="n"/>
      <c r="E696" s="219" t="n"/>
      <c r="F696" s="215" t="n"/>
      <c r="G696" s="215" t="n"/>
      <c r="H696" s="215" t="n"/>
      <c r="I696" s="215" t="n"/>
      <c r="J696" s="215" t="n"/>
      <c r="K696" s="215" t="n"/>
      <c r="L696" s="217" t="n"/>
      <c r="M696" s="692" t="n"/>
      <c r="N696" s="692" t="n"/>
      <c r="O696" s="692" t="n"/>
      <c r="P696" s="261" t="n"/>
      <c r="Q696" s="692" t="n"/>
      <c r="R696" s="692" t="n"/>
      <c r="S696" s="692" t="n"/>
      <c r="T696" s="692" t="n"/>
      <c r="U696" s="692" t="n"/>
      <c r="V696" s="692" t="n"/>
      <c r="W696" s="692" t="n"/>
      <c r="X696" s="692" t="n"/>
      <c r="Y696" s="692" t="n"/>
      <c r="Z696" s="692" t="n"/>
      <c r="AA696" s="692" t="n"/>
      <c r="AB696" s="692" t="n"/>
      <c r="AC696" s="692" t="n"/>
      <c r="AD696" s="692" t="n"/>
      <c r="AF696" s="236" t="n"/>
      <c r="AG696" s="236" t="n"/>
      <c r="AH696" s="236" t="n"/>
      <c r="AI696" s="236" t="n"/>
      <c r="AJ696" s="236" t="n"/>
      <c r="AK696" s="236" t="n"/>
      <c r="AL696" s="236" t="n"/>
      <c r="AM696" s="236" t="n"/>
      <c r="AN696" s="236" t="n"/>
      <c r="AO696" s="236" t="n"/>
      <c r="AP696" s="236" t="n"/>
      <c r="AQ696" s="236" t="n"/>
      <c r="AR696" s="236" t="n"/>
      <c r="AS696" s="236" t="n"/>
      <c r="AT696" s="236" t="n"/>
      <c r="AU696" s="236" t="n"/>
      <c r="AV696" s="236" t="n"/>
      <c r="AW696" s="236" t="n"/>
      <c r="AX696" s="692" t="n"/>
      <c r="AY696" s="692" t="n"/>
      <c r="AZ696" s="692" t="n"/>
      <c r="BA696" s="692" t="n"/>
      <c r="BB696" s="692" t="n"/>
      <c r="BC696" s="692" t="n"/>
      <c r="BD696" s="692" t="n"/>
      <c r="BE696" s="692" t="n"/>
      <c r="BF696" s="692" t="n"/>
      <c r="BG696" s="692" t="n"/>
      <c r="BH696" s="692" t="n"/>
      <c r="BI696" s="692" t="n"/>
      <c r="BJ696" s="692" t="n"/>
      <c r="BK696" s="692" t="n"/>
      <c r="BL696" s="692" t="n"/>
      <c r="BM696" s="692" t="n"/>
      <c r="BN696" s="692" t="n"/>
      <c r="BO696" s="692" t="n"/>
      <c r="BP696" s="692" t="n"/>
      <c r="BQ696" s="692" t="n"/>
    </row>
    <row r="697">
      <c r="A697" s="220" t="n"/>
      <c r="B697" s="211" t="n"/>
      <c r="C697" s="211" t="n"/>
      <c r="D697" s="211" t="n"/>
      <c r="E697" s="221" t="n"/>
      <c r="F697" s="211" t="n"/>
      <c r="G697" s="211" t="n"/>
      <c r="H697" s="211" t="n"/>
      <c r="I697" s="211" t="n"/>
      <c r="J697" s="211" t="n"/>
      <c r="K697" s="211" t="n"/>
      <c r="L697" s="213" t="n"/>
      <c r="M697" s="692" t="n"/>
      <c r="N697" s="692" t="n"/>
      <c r="O697" s="692" t="n"/>
      <c r="P697" s="261" t="n"/>
      <c r="Q697" s="692" t="n"/>
      <c r="R697" s="692" t="n"/>
      <c r="S697" s="692" t="n"/>
      <c r="T697" s="692" t="n"/>
      <c r="U697" s="692" t="n"/>
      <c r="V697" s="692" t="n"/>
      <c r="W697" s="692" t="n"/>
      <c r="X697" s="692" t="n"/>
      <c r="Y697" s="692" t="n"/>
      <c r="Z697" s="692" t="n"/>
      <c r="AA697" s="692" t="n"/>
      <c r="AB697" s="692" t="n"/>
      <c r="AC697" s="692" t="n"/>
      <c r="AD697" s="692" t="n"/>
      <c r="AF697" s="236" t="n"/>
      <c r="AG697" s="236" t="n"/>
      <c r="AH697" s="236" t="n"/>
      <c r="AI697" s="236" t="n"/>
      <c r="AJ697" s="236" t="n"/>
      <c r="AK697" s="236" t="n"/>
      <c r="AL697" s="236" t="n"/>
      <c r="AM697" s="236" t="n"/>
      <c r="AN697" s="236" t="n"/>
      <c r="AO697" s="236" t="n"/>
      <c r="AP697" s="236" t="n"/>
      <c r="AQ697" s="236" t="n"/>
      <c r="AR697" s="236" t="n"/>
      <c r="AS697" s="236" t="n"/>
      <c r="AT697" s="236" t="n"/>
      <c r="AU697" s="236" t="n"/>
      <c r="AV697" s="236" t="n"/>
      <c r="AW697" s="236" t="n"/>
      <c r="AX697" s="692" t="n"/>
      <c r="AY697" s="692" t="n"/>
      <c r="AZ697" s="692" t="n"/>
      <c r="BA697" s="692" t="n"/>
      <c r="BB697" s="692" t="n"/>
      <c r="BC697" s="692" t="n"/>
      <c r="BD697" s="692" t="n"/>
      <c r="BE697" s="692" t="n"/>
      <c r="BF697" s="692" t="n"/>
      <c r="BG697" s="692" t="n"/>
      <c r="BH697" s="692" t="n"/>
      <c r="BI697" s="692" t="n"/>
      <c r="BJ697" s="692" t="n"/>
      <c r="BK697" s="692" t="n"/>
      <c r="BL697" s="692" t="n"/>
      <c r="BM697" s="692" t="n"/>
      <c r="BN697" s="692" t="n"/>
      <c r="BO697" s="692" t="n"/>
      <c r="BP697" s="692" t="n"/>
      <c r="BQ697" s="692" t="n"/>
    </row>
    <row r="698">
      <c r="A698" s="218" t="n"/>
      <c r="B698" s="215" t="n"/>
      <c r="C698" s="215" t="n"/>
      <c r="D698" s="215" t="n"/>
      <c r="E698" s="219" t="n"/>
      <c r="F698" s="215" t="n"/>
      <c r="G698" s="215" t="n"/>
      <c r="H698" s="215" t="n"/>
      <c r="I698" s="215" t="n"/>
      <c r="J698" s="215" t="n"/>
      <c r="K698" s="215" t="n"/>
      <c r="L698" s="217" t="n"/>
      <c r="M698" s="692" t="n"/>
      <c r="N698" s="692" t="n"/>
      <c r="O698" s="692" t="n"/>
      <c r="P698" s="261" t="n"/>
      <c r="Q698" s="692" t="n"/>
      <c r="R698" s="692" t="n"/>
      <c r="S698" s="692" t="n"/>
      <c r="T698" s="692" t="n"/>
      <c r="U698" s="692" t="n"/>
      <c r="V698" s="692" t="n"/>
      <c r="W698" s="692" t="n"/>
      <c r="X698" s="692" t="n"/>
      <c r="Y698" s="692" t="n"/>
      <c r="Z698" s="692" t="n"/>
      <c r="AA698" s="692" t="n"/>
      <c r="AB698" s="692" t="n"/>
      <c r="AC698" s="692" t="n"/>
      <c r="AD698" s="692" t="n"/>
      <c r="AF698" s="236" t="n"/>
      <c r="AG698" s="236" t="n"/>
      <c r="AH698" s="236" t="n"/>
      <c r="AI698" s="236" t="n"/>
      <c r="AJ698" s="236" t="n"/>
      <c r="AK698" s="236" t="n"/>
      <c r="AL698" s="236" t="n"/>
      <c r="AM698" s="236" t="n"/>
      <c r="AN698" s="236" t="n"/>
      <c r="AO698" s="236" t="n"/>
      <c r="AP698" s="236" t="n"/>
      <c r="AQ698" s="236" t="n"/>
      <c r="AR698" s="236" t="n"/>
      <c r="AS698" s="236" t="n"/>
      <c r="AT698" s="236" t="n"/>
      <c r="AU698" s="236" t="n"/>
      <c r="AV698" s="236" t="n"/>
      <c r="AW698" s="236" t="n"/>
      <c r="AX698" s="692" t="n"/>
      <c r="AY698" s="692" t="n"/>
      <c r="AZ698" s="692" t="n"/>
      <c r="BA698" s="692" t="n"/>
      <c r="BB698" s="692" t="n"/>
      <c r="BC698" s="692" t="n"/>
      <c r="BD698" s="692" t="n"/>
      <c r="BE698" s="692" t="n"/>
      <c r="BF698" s="692" t="n"/>
      <c r="BG698" s="692" t="n"/>
      <c r="BH698" s="692" t="n"/>
      <c r="BI698" s="692" t="n"/>
      <c r="BJ698" s="692" t="n"/>
      <c r="BK698" s="692" t="n"/>
      <c r="BL698" s="692" t="n"/>
      <c r="BM698" s="692" t="n"/>
      <c r="BN698" s="692" t="n"/>
      <c r="BO698" s="692" t="n"/>
      <c r="BP698" s="692" t="n"/>
      <c r="BQ698" s="692" t="n"/>
    </row>
    <row r="699">
      <c r="A699" s="220" t="n"/>
      <c r="B699" s="211" t="n"/>
      <c r="C699" s="211" t="n"/>
      <c r="D699" s="211" t="n"/>
      <c r="E699" s="221" t="n"/>
      <c r="F699" s="211" t="n"/>
      <c r="G699" s="211" t="n"/>
      <c r="H699" s="211" t="n"/>
      <c r="I699" s="211" t="n"/>
      <c r="J699" s="211" t="n"/>
      <c r="K699" s="211" t="n"/>
      <c r="L699" s="213" t="n"/>
      <c r="M699" s="692" t="n"/>
      <c r="N699" s="692" t="n"/>
      <c r="O699" s="692" t="n"/>
      <c r="P699" s="261" t="n"/>
      <c r="Q699" s="692" t="n"/>
      <c r="R699" s="692" t="n"/>
      <c r="S699" s="692" t="n"/>
      <c r="T699" s="692" t="n"/>
      <c r="U699" s="692" t="n"/>
      <c r="V699" s="692" t="n"/>
      <c r="W699" s="692" t="n"/>
      <c r="X699" s="692" t="n"/>
      <c r="Y699" s="692" t="n"/>
      <c r="Z699" s="692" t="n"/>
      <c r="AA699" s="692" t="n"/>
      <c r="AB699" s="692" t="n"/>
      <c r="AC699" s="692" t="n"/>
      <c r="AD699" s="692" t="n"/>
      <c r="AF699" s="236" t="n"/>
      <c r="AG699" s="236" t="n"/>
      <c r="AH699" s="236" t="n"/>
      <c r="AI699" s="236" t="n"/>
      <c r="AJ699" s="236" t="n"/>
      <c r="AK699" s="236" t="n"/>
      <c r="AL699" s="236" t="n"/>
      <c r="AM699" s="236" t="n"/>
      <c r="AN699" s="236" t="n"/>
      <c r="AO699" s="236" t="n"/>
      <c r="AP699" s="236" t="n"/>
      <c r="AQ699" s="236" t="n"/>
      <c r="AR699" s="236" t="n"/>
      <c r="AS699" s="236" t="n"/>
      <c r="AT699" s="236" t="n"/>
      <c r="AU699" s="236" t="n"/>
      <c r="AV699" s="236" t="n"/>
      <c r="AW699" s="236" t="n"/>
      <c r="AX699" s="692" t="n"/>
      <c r="AY699" s="692" t="n"/>
      <c r="AZ699" s="692" t="n"/>
      <c r="BA699" s="692" t="n"/>
      <c r="BB699" s="692" t="n"/>
      <c r="BC699" s="692" t="n"/>
      <c r="BD699" s="692" t="n"/>
      <c r="BE699" s="692" t="n"/>
      <c r="BF699" s="692" t="n"/>
      <c r="BG699" s="692" t="n"/>
      <c r="BH699" s="692" t="n"/>
      <c r="BI699" s="692" t="n"/>
      <c r="BJ699" s="692" t="n"/>
      <c r="BK699" s="692" t="n"/>
      <c r="BL699" s="692" t="n"/>
      <c r="BM699" s="692" t="n"/>
      <c r="BN699" s="692" t="n"/>
      <c r="BO699" s="692" t="n"/>
      <c r="BP699" s="692" t="n"/>
      <c r="BQ699" s="692" t="n"/>
    </row>
    <row r="700">
      <c r="A700" s="218" t="n"/>
      <c r="B700" s="215" t="n"/>
      <c r="C700" s="215" t="n"/>
      <c r="D700" s="215" t="n"/>
      <c r="E700" s="219" t="n"/>
      <c r="F700" s="215" t="n"/>
      <c r="G700" s="215" t="n"/>
      <c r="H700" s="215" t="n"/>
      <c r="I700" s="215" t="n"/>
      <c r="J700" s="215" t="n"/>
      <c r="K700" s="215" t="n"/>
      <c r="L700" s="217" t="n"/>
      <c r="M700" s="692" t="n"/>
      <c r="N700" s="692" t="n"/>
      <c r="O700" s="692" t="n"/>
      <c r="P700" s="261" t="n"/>
      <c r="Q700" s="692" t="n"/>
      <c r="R700" s="692" t="n"/>
      <c r="S700" s="692" t="n"/>
      <c r="T700" s="692" t="n"/>
      <c r="U700" s="692" t="n"/>
      <c r="V700" s="692" t="n"/>
      <c r="W700" s="692" t="n"/>
      <c r="X700" s="692" t="n"/>
      <c r="Y700" s="692" t="n"/>
      <c r="Z700" s="692" t="n"/>
      <c r="AA700" s="692" t="n"/>
      <c r="AB700" s="692" t="n"/>
      <c r="AC700" s="692" t="n"/>
      <c r="AD700" s="692" t="n"/>
      <c r="AF700" s="236" t="n"/>
      <c r="AG700" s="236" t="n"/>
      <c r="AH700" s="236" t="n"/>
      <c r="AI700" s="236" t="n"/>
      <c r="AJ700" s="236" t="n"/>
      <c r="AK700" s="236" t="n"/>
      <c r="AL700" s="236" t="n"/>
      <c r="AM700" s="236" t="n"/>
      <c r="AN700" s="236" t="n"/>
      <c r="AO700" s="236" t="n"/>
      <c r="AP700" s="236" t="n"/>
      <c r="AQ700" s="236" t="n"/>
      <c r="AR700" s="236" t="n"/>
      <c r="AS700" s="236" t="n"/>
      <c r="AT700" s="236" t="n"/>
      <c r="AU700" s="236" t="n"/>
      <c r="AV700" s="236" t="n"/>
      <c r="AW700" s="236" t="n"/>
      <c r="AX700" s="692" t="n"/>
      <c r="AY700" s="692" t="n"/>
      <c r="AZ700" s="692" t="n"/>
      <c r="BA700" s="692" t="n"/>
      <c r="BB700" s="692" t="n"/>
      <c r="BC700" s="692" t="n"/>
      <c r="BD700" s="692" t="n"/>
      <c r="BE700" s="692" t="n"/>
      <c r="BF700" s="692" t="n"/>
      <c r="BG700" s="692" t="n"/>
      <c r="BH700" s="692" t="n"/>
      <c r="BI700" s="692" t="n"/>
      <c r="BJ700" s="692" t="n"/>
      <c r="BK700" s="692" t="n"/>
      <c r="BL700" s="692" t="n"/>
      <c r="BM700" s="692" t="n"/>
      <c r="BN700" s="692" t="n"/>
      <c r="BO700" s="692" t="n"/>
      <c r="BP700" s="692" t="n"/>
      <c r="BQ700" s="692" t="n"/>
    </row>
    <row r="701">
      <c r="A701" s="220" t="n"/>
      <c r="B701" s="211" t="n"/>
      <c r="C701" s="211" t="n"/>
      <c r="D701" s="211" t="n"/>
      <c r="E701" s="221" t="n"/>
      <c r="F701" s="211" t="n"/>
      <c r="G701" s="211" t="n"/>
      <c r="H701" s="211" t="n"/>
      <c r="I701" s="211" t="n"/>
      <c r="J701" s="211" t="n"/>
      <c r="K701" s="211" t="n"/>
      <c r="L701" s="213" t="n"/>
      <c r="M701" s="692" t="n"/>
      <c r="N701" s="692" t="n"/>
      <c r="O701" s="692" t="n"/>
      <c r="P701" s="261" t="n"/>
      <c r="Q701" s="692" t="n"/>
      <c r="R701" s="692" t="n"/>
      <c r="S701" s="692" t="n"/>
      <c r="T701" s="692" t="n"/>
      <c r="U701" s="692" t="n"/>
      <c r="V701" s="692" t="n"/>
      <c r="W701" s="692" t="n"/>
      <c r="X701" s="692" t="n"/>
      <c r="Y701" s="692" t="n"/>
      <c r="Z701" s="692" t="n"/>
      <c r="AA701" s="692" t="n"/>
      <c r="AB701" s="692" t="n"/>
      <c r="AC701" s="692" t="n"/>
      <c r="AD701" s="692" t="n"/>
      <c r="AF701" s="236" t="n"/>
      <c r="AG701" s="236" t="n"/>
      <c r="AH701" s="236" t="n"/>
      <c r="AI701" s="236" t="n"/>
      <c r="AJ701" s="236" t="n"/>
      <c r="AK701" s="236" t="n"/>
      <c r="AL701" s="236" t="n"/>
      <c r="AM701" s="236" t="n"/>
      <c r="AN701" s="236" t="n"/>
      <c r="AO701" s="236" t="n"/>
      <c r="AP701" s="236" t="n"/>
      <c r="AQ701" s="236" t="n"/>
      <c r="AR701" s="236" t="n"/>
      <c r="AS701" s="236" t="n"/>
      <c r="AT701" s="236" t="n"/>
      <c r="AU701" s="236" t="n"/>
      <c r="AV701" s="236" t="n"/>
      <c r="AW701" s="236" t="n"/>
      <c r="AX701" s="692" t="n"/>
      <c r="AY701" s="692" t="n"/>
      <c r="AZ701" s="692" t="n"/>
      <c r="BA701" s="692" t="n"/>
      <c r="BB701" s="692" t="n"/>
      <c r="BC701" s="692" t="n"/>
      <c r="BD701" s="692" t="n"/>
      <c r="BE701" s="692" t="n"/>
      <c r="BF701" s="692" t="n"/>
      <c r="BG701" s="692" t="n"/>
      <c r="BH701" s="692" t="n"/>
      <c r="BI701" s="692" t="n"/>
      <c r="BJ701" s="692" t="n"/>
      <c r="BK701" s="692" t="n"/>
      <c r="BL701" s="692" t="n"/>
      <c r="BM701" s="692" t="n"/>
      <c r="BN701" s="692" t="n"/>
      <c r="BO701" s="692" t="n"/>
      <c r="BP701" s="692" t="n"/>
      <c r="BQ701" s="692" t="n"/>
    </row>
    <row r="702">
      <c r="A702" s="218" t="n"/>
      <c r="B702" s="215" t="n"/>
      <c r="C702" s="215" t="n"/>
      <c r="D702" s="215" t="n"/>
      <c r="E702" s="219" t="n"/>
      <c r="F702" s="215" t="n"/>
      <c r="G702" s="215" t="n"/>
      <c r="H702" s="215" t="n"/>
      <c r="I702" s="215" t="n"/>
      <c r="J702" s="215" t="n"/>
      <c r="K702" s="215" t="n"/>
      <c r="L702" s="217" t="n"/>
      <c r="M702" s="692" t="n"/>
      <c r="N702" s="692" t="n"/>
      <c r="O702" s="692" t="n"/>
      <c r="P702" s="261" t="n"/>
      <c r="Q702" s="692" t="n"/>
      <c r="R702" s="692" t="n"/>
      <c r="S702" s="692" t="n"/>
      <c r="T702" s="692" t="n"/>
      <c r="U702" s="692" t="n"/>
      <c r="V702" s="692" t="n"/>
      <c r="W702" s="692" t="n"/>
      <c r="X702" s="692" t="n"/>
      <c r="Y702" s="692" t="n"/>
      <c r="Z702" s="692" t="n"/>
      <c r="AA702" s="692" t="n"/>
      <c r="AB702" s="692" t="n"/>
      <c r="AC702" s="692" t="n"/>
      <c r="AD702" s="692" t="n"/>
      <c r="AF702" s="236" t="n"/>
      <c r="AG702" s="236" t="n"/>
      <c r="AH702" s="236" t="n"/>
      <c r="AI702" s="236" t="n"/>
      <c r="AJ702" s="236" t="n"/>
      <c r="AK702" s="236" t="n"/>
      <c r="AL702" s="236" t="n"/>
      <c r="AM702" s="236" t="n"/>
      <c r="AN702" s="236" t="n"/>
      <c r="AO702" s="236" t="n"/>
      <c r="AP702" s="236" t="n"/>
      <c r="AQ702" s="236" t="n"/>
      <c r="AR702" s="236" t="n"/>
      <c r="AS702" s="236" t="n"/>
      <c r="AT702" s="236" t="n"/>
      <c r="AU702" s="236" t="n"/>
      <c r="AV702" s="236" t="n"/>
      <c r="AW702" s="236" t="n"/>
      <c r="AX702" s="692" t="n"/>
      <c r="AY702" s="692" t="n"/>
      <c r="AZ702" s="692" t="n"/>
      <c r="BA702" s="692" t="n"/>
      <c r="BB702" s="692" t="n"/>
      <c r="BC702" s="692" t="n"/>
      <c r="BD702" s="692" t="n"/>
      <c r="BE702" s="692" t="n"/>
      <c r="BF702" s="692" t="n"/>
      <c r="BG702" s="692" t="n"/>
      <c r="BH702" s="692" t="n"/>
      <c r="BI702" s="692" t="n"/>
      <c r="BJ702" s="692" t="n"/>
      <c r="BK702" s="692" t="n"/>
      <c r="BL702" s="692" t="n"/>
      <c r="BM702" s="692" t="n"/>
      <c r="BN702" s="692" t="n"/>
      <c r="BO702" s="692" t="n"/>
      <c r="BP702" s="692" t="n"/>
      <c r="BQ702" s="692" t="n"/>
    </row>
    <row r="703">
      <c r="A703" s="220" t="n"/>
      <c r="B703" s="211" t="n"/>
      <c r="C703" s="211" t="n"/>
      <c r="D703" s="211" t="n"/>
      <c r="E703" s="221" t="n"/>
      <c r="F703" s="211" t="n"/>
      <c r="G703" s="211" t="n"/>
      <c r="H703" s="211" t="n"/>
      <c r="I703" s="211" t="n"/>
      <c r="J703" s="211" t="n"/>
      <c r="K703" s="211" t="n"/>
      <c r="L703" s="213" t="n"/>
      <c r="M703" s="692" t="n"/>
      <c r="N703" s="692" t="n"/>
      <c r="O703" s="692" t="n"/>
      <c r="P703" s="261" t="n"/>
      <c r="Q703" s="692" t="n"/>
      <c r="R703" s="692" t="n"/>
      <c r="S703" s="692" t="n"/>
      <c r="T703" s="692" t="n"/>
      <c r="U703" s="692" t="n"/>
      <c r="V703" s="692" t="n"/>
      <c r="W703" s="692" t="n"/>
      <c r="X703" s="692" t="n"/>
      <c r="Y703" s="692" t="n"/>
      <c r="Z703" s="692" t="n"/>
      <c r="AA703" s="692" t="n"/>
      <c r="AB703" s="692" t="n"/>
      <c r="AC703" s="692" t="n"/>
      <c r="AD703" s="692" t="n"/>
      <c r="AF703" s="236" t="n"/>
      <c r="AG703" s="236" t="n"/>
      <c r="AH703" s="236" t="n"/>
      <c r="AI703" s="236" t="n"/>
      <c r="AJ703" s="236" t="n"/>
      <c r="AK703" s="236" t="n"/>
      <c r="AL703" s="236" t="n"/>
      <c r="AM703" s="236" t="n"/>
      <c r="AN703" s="236" t="n"/>
      <c r="AO703" s="236" t="n"/>
      <c r="AP703" s="236" t="n"/>
      <c r="AQ703" s="236" t="n"/>
      <c r="AR703" s="236" t="n"/>
      <c r="AS703" s="236" t="n"/>
      <c r="AT703" s="236" t="n"/>
      <c r="AU703" s="236" t="n"/>
      <c r="AV703" s="236" t="n"/>
      <c r="AW703" s="236" t="n"/>
      <c r="AX703" s="692" t="n"/>
      <c r="AY703" s="692" t="n"/>
      <c r="AZ703" s="692" t="n"/>
      <c r="BA703" s="692" t="n"/>
      <c r="BB703" s="692" t="n"/>
      <c r="BC703" s="692" t="n"/>
      <c r="BD703" s="692" t="n"/>
      <c r="BE703" s="692" t="n"/>
      <c r="BF703" s="692" t="n"/>
      <c r="BG703" s="692" t="n"/>
      <c r="BH703" s="692" t="n"/>
      <c r="BI703" s="692" t="n"/>
      <c r="BJ703" s="692" t="n"/>
      <c r="BK703" s="692" t="n"/>
      <c r="BL703" s="692" t="n"/>
      <c r="BM703" s="692" t="n"/>
      <c r="BN703" s="692" t="n"/>
      <c r="BO703" s="692" t="n"/>
      <c r="BP703" s="692" t="n"/>
      <c r="BQ703" s="692" t="n"/>
    </row>
    <row r="704">
      <c r="A704" s="218" t="n"/>
      <c r="B704" s="215" t="n"/>
      <c r="C704" s="215" t="n"/>
      <c r="D704" s="215" t="n"/>
      <c r="E704" s="219" t="n"/>
      <c r="F704" s="215" t="n"/>
      <c r="G704" s="215" t="n"/>
      <c r="H704" s="215" t="n"/>
      <c r="I704" s="215" t="n"/>
      <c r="J704" s="215" t="n"/>
      <c r="K704" s="215" t="n"/>
      <c r="L704" s="217" t="n"/>
      <c r="M704" s="692" t="n"/>
      <c r="N704" s="692" t="n"/>
      <c r="O704" s="692" t="n"/>
      <c r="P704" s="261" t="n"/>
      <c r="Q704" s="692" t="n"/>
      <c r="R704" s="692" t="n"/>
      <c r="S704" s="692" t="n"/>
      <c r="T704" s="692" t="n"/>
      <c r="U704" s="692" t="n"/>
      <c r="V704" s="692" t="n"/>
      <c r="W704" s="692" t="n"/>
      <c r="X704" s="692" t="n"/>
      <c r="Y704" s="692" t="n"/>
      <c r="Z704" s="692" t="n"/>
      <c r="AA704" s="692" t="n"/>
      <c r="AB704" s="692" t="n"/>
      <c r="AC704" s="692" t="n"/>
      <c r="AD704" s="692" t="n"/>
      <c r="AF704" s="236" t="n"/>
      <c r="AG704" s="236" t="n"/>
      <c r="AH704" s="236" t="n"/>
      <c r="AI704" s="236" t="n"/>
      <c r="AJ704" s="236" t="n"/>
      <c r="AK704" s="236" t="n"/>
      <c r="AL704" s="236" t="n"/>
      <c r="AM704" s="236" t="n"/>
      <c r="AN704" s="236" t="n"/>
      <c r="AO704" s="236" t="n"/>
      <c r="AP704" s="236" t="n"/>
      <c r="AQ704" s="236" t="n"/>
      <c r="AR704" s="236" t="n"/>
      <c r="AS704" s="236" t="n"/>
      <c r="AT704" s="236" t="n"/>
      <c r="AU704" s="236" t="n"/>
      <c r="AV704" s="236" t="n"/>
      <c r="AW704" s="236" t="n"/>
      <c r="AX704" s="692" t="n"/>
      <c r="AY704" s="692" t="n"/>
      <c r="AZ704" s="692" t="n"/>
      <c r="BA704" s="692" t="n"/>
      <c r="BB704" s="692" t="n"/>
      <c r="BC704" s="692" t="n"/>
      <c r="BD704" s="692" t="n"/>
      <c r="BE704" s="692" t="n"/>
      <c r="BF704" s="692" t="n"/>
      <c r="BG704" s="692" t="n"/>
      <c r="BH704" s="692" t="n"/>
      <c r="BI704" s="692" t="n"/>
      <c r="BJ704" s="692" t="n"/>
      <c r="BK704" s="692" t="n"/>
      <c r="BL704" s="692" t="n"/>
      <c r="BM704" s="692" t="n"/>
      <c r="BN704" s="692" t="n"/>
      <c r="BO704" s="692" t="n"/>
      <c r="BP704" s="692" t="n"/>
      <c r="BQ704" s="692" t="n"/>
    </row>
    <row r="705">
      <c r="A705" s="220" t="n"/>
      <c r="B705" s="211" t="n"/>
      <c r="C705" s="211" t="n"/>
      <c r="D705" s="211" t="n"/>
      <c r="E705" s="221" t="n"/>
      <c r="F705" s="211" t="n"/>
      <c r="G705" s="211" t="n"/>
      <c r="H705" s="211" t="n"/>
      <c r="I705" s="211" t="n"/>
      <c r="J705" s="211" t="n"/>
      <c r="K705" s="211" t="n"/>
      <c r="L705" s="213" t="n"/>
      <c r="M705" s="692" t="n"/>
      <c r="N705" s="692" t="n"/>
      <c r="O705" s="692" t="n"/>
      <c r="P705" s="261" t="n"/>
      <c r="Q705" s="692" t="n"/>
      <c r="R705" s="692" t="n"/>
      <c r="S705" s="692" t="n"/>
      <c r="T705" s="692" t="n"/>
      <c r="U705" s="692" t="n"/>
      <c r="V705" s="692" t="n"/>
      <c r="W705" s="692" t="n"/>
      <c r="X705" s="692" t="n"/>
      <c r="Y705" s="692" t="n"/>
      <c r="Z705" s="692" t="n"/>
      <c r="AA705" s="692" t="n"/>
      <c r="AB705" s="692" t="n"/>
      <c r="AC705" s="692" t="n"/>
      <c r="AD705" s="692" t="n"/>
      <c r="AF705" s="236" t="n"/>
      <c r="AG705" s="236" t="n"/>
      <c r="AH705" s="236" t="n"/>
      <c r="AI705" s="236" t="n"/>
      <c r="AJ705" s="236" t="n"/>
      <c r="AK705" s="236" t="n"/>
      <c r="AL705" s="236" t="n"/>
      <c r="AM705" s="236" t="n"/>
      <c r="AN705" s="236" t="n"/>
      <c r="AO705" s="236" t="n"/>
      <c r="AP705" s="236" t="n"/>
      <c r="AQ705" s="236" t="n"/>
      <c r="AR705" s="236" t="n"/>
      <c r="AS705" s="236" t="n"/>
      <c r="AT705" s="236" t="n"/>
      <c r="AU705" s="236" t="n"/>
      <c r="AV705" s="236" t="n"/>
      <c r="AW705" s="236" t="n"/>
      <c r="AX705" s="692" t="n"/>
      <c r="AY705" s="692" t="n"/>
      <c r="AZ705" s="692" t="n"/>
      <c r="BA705" s="692" t="n"/>
      <c r="BB705" s="692" t="n"/>
      <c r="BC705" s="692" t="n"/>
      <c r="BD705" s="692" t="n"/>
      <c r="BE705" s="692" t="n"/>
      <c r="BF705" s="692" t="n"/>
      <c r="BG705" s="692" t="n"/>
      <c r="BH705" s="692" t="n"/>
      <c r="BI705" s="692" t="n"/>
      <c r="BJ705" s="692" t="n"/>
      <c r="BK705" s="692" t="n"/>
      <c r="BL705" s="692" t="n"/>
      <c r="BM705" s="692" t="n"/>
      <c r="BN705" s="692" t="n"/>
      <c r="BO705" s="692" t="n"/>
      <c r="BP705" s="692" t="n"/>
      <c r="BQ705" s="692" t="n"/>
    </row>
    <row r="706">
      <c r="A706" s="218" t="n"/>
      <c r="B706" s="215" t="n"/>
      <c r="C706" s="215" t="n"/>
      <c r="D706" s="215" t="n"/>
      <c r="E706" s="219" t="n"/>
      <c r="F706" s="215" t="n"/>
      <c r="G706" s="215" t="n"/>
      <c r="H706" s="215" t="n"/>
      <c r="I706" s="215" t="n"/>
      <c r="J706" s="215" t="n"/>
      <c r="K706" s="215" t="n"/>
      <c r="L706" s="217" t="n"/>
      <c r="M706" s="692" t="n"/>
      <c r="N706" s="692" t="n"/>
      <c r="O706" s="692" t="n"/>
      <c r="P706" s="261" t="n"/>
      <c r="Q706" s="692" t="n"/>
      <c r="R706" s="692" t="n"/>
      <c r="S706" s="692" t="n"/>
      <c r="T706" s="692" t="n"/>
      <c r="U706" s="692" t="n"/>
      <c r="V706" s="692" t="n"/>
      <c r="W706" s="692" t="n"/>
      <c r="X706" s="692" t="n"/>
      <c r="Y706" s="692" t="n"/>
      <c r="Z706" s="692" t="n"/>
      <c r="AA706" s="692" t="n"/>
      <c r="AB706" s="692" t="n"/>
      <c r="AC706" s="692" t="n"/>
      <c r="AD706" s="692" t="n"/>
      <c r="AF706" s="236" t="n"/>
      <c r="AG706" s="236" t="n"/>
      <c r="AH706" s="236" t="n"/>
      <c r="AI706" s="236" t="n"/>
      <c r="AJ706" s="236" t="n"/>
      <c r="AK706" s="236" t="n"/>
      <c r="AL706" s="236" t="n"/>
      <c r="AM706" s="236" t="n"/>
      <c r="AN706" s="236" t="n"/>
      <c r="AO706" s="236" t="n"/>
      <c r="AP706" s="236" t="n"/>
      <c r="AQ706" s="236" t="n"/>
      <c r="AR706" s="236" t="n"/>
      <c r="AS706" s="236" t="n"/>
      <c r="AT706" s="236" t="n"/>
      <c r="AU706" s="236" t="n"/>
      <c r="AV706" s="236" t="n"/>
      <c r="AW706" s="236" t="n"/>
      <c r="AX706" s="692" t="n"/>
      <c r="AY706" s="692" t="n"/>
      <c r="AZ706" s="692" t="n"/>
      <c r="BA706" s="692" t="n"/>
      <c r="BB706" s="692" t="n"/>
      <c r="BC706" s="692" t="n"/>
      <c r="BD706" s="692" t="n"/>
      <c r="BE706" s="692" t="n"/>
      <c r="BF706" s="692" t="n"/>
      <c r="BG706" s="692" t="n"/>
      <c r="BH706" s="692" t="n"/>
      <c r="BI706" s="692" t="n"/>
      <c r="BJ706" s="692" t="n"/>
      <c r="BK706" s="692" t="n"/>
      <c r="BL706" s="692" t="n"/>
      <c r="BM706" s="692" t="n"/>
      <c r="BN706" s="692" t="n"/>
      <c r="BO706" s="692" t="n"/>
      <c r="BP706" s="692" t="n"/>
      <c r="BQ706" s="692" t="n"/>
    </row>
    <row r="707">
      <c r="A707" s="220" t="n"/>
      <c r="B707" s="211" t="n"/>
      <c r="C707" s="211" t="n"/>
      <c r="D707" s="211" t="n"/>
      <c r="E707" s="221" t="n"/>
      <c r="F707" s="211" t="n"/>
      <c r="G707" s="211" t="n"/>
      <c r="H707" s="211" t="n"/>
      <c r="I707" s="211" t="n"/>
      <c r="J707" s="211" t="n"/>
      <c r="K707" s="211" t="n"/>
      <c r="L707" s="213" t="n"/>
      <c r="M707" s="692" t="n"/>
      <c r="N707" s="692" t="n"/>
      <c r="O707" s="692" t="n"/>
      <c r="P707" s="261" t="n"/>
      <c r="Q707" s="692" t="n"/>
      <c r="R707" s="692" t="n"/>
      <c r="S707" s="692" t="n"/>
      <c r="T707" s="692" t="n"/>
      <c r="U707" s="692" t="n"/>
      <c r="V707" s="692" t="n"/>
      <c r="W707" s="692" t="n"/>
      <c r="X707" s="692" t="n"/>
      <c r="Y707" s="692" t="n"/>
      <c r="Z707" s="692" t="n"/>
      <c r="AA707" s="692" t="n"/>
      <c r="AB707" s="692" t="n"/>
      <c r="AC707" s="692" t="n"/>
      <c r="AD707" s="692" t="n"/>
      <c r="AF707" s="236" t="n"/>
      <c r="AG707" s="236" t="n"/>
      <c r="AH707" s="236" t="n"/>
      <c r="AI707" s="236" t="n"/>
      <c r="AJ707" s="236" t="n"/>
      <c r="AK707" s="236" t="n"/>
      <c r="AL707" s="236" t="n"/>
      <c r="AM707" s="236" t="n"/>
      <c r="AN707" s="236" t="n"/>
      <c r="AO707" s="236" t="n"/>
      <c r="AP707" s="236" t="n"/>
      <c r="AQ707" s="236" t="n"/>
      <c r="AR707" s="236" t="n"/>
      <c r="AS707" s="236" t="n"/>
      <c r="AT707" s="236" t="n"/>
      <c r="AU707" s="236" t="n"/>
      <c r="AV707" s="236" t="n"/>
      <c r="AW707" s="236" t="n"/>
      <c r="AX707" s="692" t="n"/>
      <c r="AY707" s="692" t="n"/>
      <c r="AZ707" s="692" t="n"/>
      <c r="BA707" s="692" t="n"/>
      <c r="BB707" s="692" t="n"/>
      <c r="BC707" s="692" t="n"/>
      <c r="BD707" s="692" t="n"/>
      <c r="BE707" s="692" t="n"/>
      <c r="BF707" s="692" t="n"/>
      <c r="BG707" s="692" t="n"/>
      <c r="BH707" s="692" t="n"/>
      <c r="BI707" s="692" t="n"/>
      <c r="BJ707" s="692" t="n"/>
      <c r="BK707" s="692" t="n"/>
      <c r="BL707" s="692" t="n"/>
      <c r="BM707" s="692" t="n"/>
      <c r="BN707" s="692" t="n"/>
      <c r="BO707" s="692" t="n"/>
      <c r="BP707" s="692" t="n"/>
      <c r="BQ707" s="692" t="n"/>
    </row>
    <row r="708">
      <c r="A708" s="218" t="n"/>
      <c r="B708" s="215" t="n"/>
      <c r="C708" s="215" t="n"/>
      <c r="D708" s="215" t="n"/>
      <c r="E708" s="219" t="n"/>
      <c r="F708" s="215" t="n"/>
      <c r="G708" s="215" t="n"/>
      <c r="H708" s="215" t="n"/>
      <c r="I708" s="215" t="n"/>
      <c r="J708" s="215" t="n"/>
      <c r="K708" s="215" t="n"/>
      <c r="L708" s="217" t="n"/>
      <c r="M708" s="692" t="n"/>
      <c r="N708" s="692" t="n"/>
      <c r="O708" s="692" t="n"/>
      <c r="P708" s="261" t="n"/>
      <c r="Q708" s="692" t="n"/>
      <c r="R708" s="692" t="n"/>
      <c r="S708" s="692" t="n"/>
      <c r="T708" s="692" t="n"/>
      <c r="U708" s="692" t="n"/>
      <c r="V708" s="692" t="n"/>
      <c r="W708" s="692" t="n"/>
      <c r="X708" s="692" t="n"/>
      <c r="Y708" s="692" t="n"/>
      <c r="Z708" s="692" t="n"/>
      <c r="AA708" s="692" t="n"/>
      <c r="AB708" s="692" t="n"/>
      <c r="AC708" s="692" t="n"/>
      <c r="AD708" s="692" t="n"/>
      <c r="AF708" s="236" t="n"/>
      <c r="AG708" s="236" t="n"/>
      <c r="AH708" s="236" t="n"/>
      <c r="AI708" s="236" t="n"/>
      <c r="AJ708" s="236" t="n"/>
      <c r="AK708" s="236" t="n"/>
      <c r="AL708" s="236" t="n"/>
      <c r="AM708" s="236" t="n"/>
      <c r="AN708" s="236" t="n"/>
      <c r="AO708" s="236" t="n"/>
      <c r="AP708" s="236" t="n"/>
      <c r="AQ708" s="236" t="n"/>
      <c r="AR708" s="236" t="n"/>
      <c r="AS708" s="236" t="n"/>
      <c r="AT708" s="236" t="n"/>
      <c r="AU708" s="236" t="n"/>
      <c r="AV708" s="236" t="n"/>
      <c r="AW708" s="236" t="n"/>
      <c r="AX708" s="692" t="n"/>
      <c r="AY708" s="692" t="n"/>
      <c r="AZ708" s="692" t="n"/>
      <c r="BA708" s="692" t="n"/>
      <c r="BB708" s="692" t="n"/>
      <c r="BC708" s="692" t="n"/>
      <c r="BD708" s="692" t="n"/>
      <c r="BE708" s="692" t="n"/>
      <c r="BF708" s="692" t="n"/>
      <c r="BG708" s="692" t="n"/>
      <c r="BH708" s="692" t="n"/>
      <c r="BI708" s="692" t="n"/>
      <c r="BJ708" s="692" t="n"/>
      <c r="BK708" s="692" t="n"/>
      <c r="BL708" s="692" t="n"/>
      <c r="BM708" s="692" t="n"/>
      <c r="BN708" s="692" t="n"/>
      <c r="BO708" s="692" t="n"/>
      <c r="BP708" s="692" t="n"/>
      <c r="BQ708" s="692" t="n"/>
    </row>
    <row r="709">
      <c r="A709" s="220" t="n"/>
      <c r="B709" s="211" t="n"/>
      <c r="C709" s="211" t="n"/>
      <c r="D709" s="211" t="n"/>
      <c r="E709" s="221" t="n"/>
      <c r="F709" s="211" t="n"/>
      <c r="G709" s="211" t="n"/>
      <c r="H709" s="211" t="n"/>
      <c r="I709" s="211" t="n"/>
      <c r="J709" s="211" t="n"/>
      <c r="K709" s="211" t="n"/>
      <c r="L709" s="213" t="n"/>
      <c r="M709" s="692" t="n"/>
      <c r="N709" s="692" t="n"/>
      <c r="O709" s="692" t="n"/>
      <c r="P709" s="261" t="n"/>
      <c r="Q709" s="692" t="n"/>
      <c r="R709" s="692" t="n"/>
      <c r="S709" s="692" t="n"/>
      <c r="T709" s="692" t="n"/>
      <c r="U709" s="692" t="n"/>
      <c r="V709" s="692" t="n"/>
      <c r="W709" s="692" t="n"/>
      <c r="X709" s="692" t="n"/>
      <c r="Y709" s="692" t="n"/>
      <c r="Z709" s="692" t="n"/>
      <c r="AA709" s="692" t="n"/>
      <c r="AB709" s="692" t="n"/>
      <c r="AC709" s="692" t="n"/>
      <c r="AD709" s="692" t="n"/>
      <c r="AF709" s="236" t="n"/>
      <c r="AG709" s="236" t="n"/>
      <c r="AH709" s="236" t="n"/>
      <c r="AI709" s="236" t="n"/>
      <c r="AJ709" s="236" t="n"/>
      <c r="AK709" s="236" t="n"/>
      <c r="AL709" s="236" t="n"/>
      <c r="AM709" s="236" t="n"/>
      <c r="AN709" s="236" t="n"/>
      <c r="AO709" s="236" t="n"/>
      <c r="AP709" s="236" t="n"/>
      <c r="AQ709" s="236" t="n"/>
      <c r="AR709" s="236" t="n"/>
      <c r="AS709" s="236" t="n"/>
      <c r="AT709" s="236" t="n"/>
      <c r="AU709" s="236" t="n"/>
      <c r="AV709" s="236" t="n"/>
      <c r="AW709" s="236" t="n"/>
      <c r="AX709" s="692" t="n"/>
      <c r="AY709" s="692" t="n"/>
      <c r="AZ709" s="692" t="n"/>
      <c r="BA709" s="692" t="n"/>
      <c r="BB709" s="692" t="n"/>
      <c r="BC709" s="692" t="n"/>
      <c r="BD709" s="692" t="n"/>
      <c r="BE709" s="692" t="n"/>
      <c r="BF709" s="692" t="n"/>
      <c r="BG709" s="692" t="n"/>
      <c r="BH709" s="692" t="n"/>
      <c r="BI709" s="692" t="n"/>
      <c r="BJ709" s="692" t="n"/>
      <c r="BK709" s="692" t="n"/>
      <c r="BL709" s="692" t="n"/>
      <c r="BM709" s="692" t="n"/>
      <c r="BN709" s="692" t="n"/>
      <c r="BO709" s="692" t="n"/>
      <c r="BP709" s="692" t="n"/>
      <c r="BQ709" s="692" t="n"/>
    </row>
    <row r="710">
      <c r="A710" s="218" t="n"/>
      <c r="B710" s="215" t="n"/>
      <c r="C710" s="215" t="n"/>
      <c r="D710" s="215" t="n"/>
      <c r="E710" s="219" t="n"/>
      <c r="F710" s="215" t="n"/>
      <c r="G710" s="215" t="n"/>
      <c r="H710" s="215" t="n"/>
      <c r="I710" s="215" t="n"/>
      <c r="J710" s="215" t="n"/>
      <c r="K710" s="215" t="n"/>
      <c r="L710" s="217" t="n"/>
      <c r="M710" s="692" t="n"/>
      <c r="N710" s="692" t="n"/>
      <c r="O710" s="692" t="n"/>
      <c r="P710" s="261" t="n"/>
      <c r="Q710" s="692" t="n"/>
      <c r="R710" s="692" t="n"/>
      <c r="S710" s="692" t="n"/>
      <c r="T710" s="692" t="n"/>
      <c r="U710" s="692" t="n"/>
      <c r="V710" s="692" t="n"/>
      <c r="W710" s="692" t="n"/>
      <c r="X710" s="692" t="n"/>
      <c r="Y710" s="692" t="n"/>
      <c r="Z710" s="692" t="n"/>
      <c r="AA710" s="692" t="n"/>
      <c r="AB710" s="692" t="n"/>
      <c r="AC710" s="692" t="n"/>
      <c r="AD710" s="692" t="n"/>
      <c r="AF710" s="236" t="n"/>
      <c r="AG710" s="236" t="n"/>
      <c r="AH710" s="236" t="n"/>
      <c r="AI710" s="236" t="n"/>
      <c r="AJ710" s="236" t="n"/>
      <c r="AK710" s="236" t="n"/>
      <c r="AL710" s="236" t="n"/>
      <c r="AM710" s="236" t="n"/>
      <c r="AN710" s="236" t="n"/>
      <c r="AO710" s="236" t="n"/>
      <c r="AP710" s="236" t="n"/>
      <c r="AQ710" s="236" t="n"/>
      <c r="AR710" s="236" t="n"/>
      <c r="AS710" s="236" t="n"/>
      <c r="AT710" s="236" t="n"/>
      <c r="AU710" s="236" t="n"/>
      <c r="AV710" s="236" t="n"/>
      <c r="AW710" s="236" t="n"/>
      <c r="AX710" s="692" t="n"/>
      <c r="AY710" s="692" t="n"/>
      <c r="AZ710" s="692" t="n"/>
      <c r="BA710" s="692" t="n"/>
      <c r="BB710" s="692" t="n"/>
      <c r="BC710" s="692" t="n"/>
      <c r="BD710" s="692" t="n"/>
      <c r="BE710" s="692" t="n"/>
      <c r="BF710" s="692" t="n"/>
      <c r="BG710" s="692" t="n"/>
      <c r="BH710" s="692" t="n"/>
      <c r="BI710" s="692" t="n"/>
      <c r="BJ710" s="692" t="n"/>
      <c r="BK710" s="692" t="n"/>
      <c r="BL710" s="692" t="n"/>
      <c r="BM710" s="692" t="n"/>
      <c r="BN710" s="692" t="n"/>
      <c r="BO710" s="692" t="n"/>
      <c r="BP710" s="692" t="n"/>
      <c r="BQ710" s="692" t="n"/>
    </row>
    <row r="711">
      <c r="A711" s="220" t="n"/>
      <c r="B711" s="211" t="n"/>
      <c r="C711" s="211" t="n"/>
      <c r="D711" s="211" t="n"/>
      <c r="E711" s="221" t="n"/>
      <c r="F711" s="211" t="n"/>
      <c r="G711" s="211" t="n"/>
      <c r="H711" s="211" t="n"/>
      <c r="I711" s="211" t="n"/>
      <c r="J711" s="211" t="n"/>
      <c r="K711" s="211" t="n"/>
      <c r="L711" s="213" t="n"/>
      <c r="M711" s="692" t="n"/>
      <c r="N711" s="692" t="n"/>
      <c r="O711" s="692" t="n"/>
      <c r="P711" s="261" t="n"/>
      <c r="Q711" s="692" t="n"/>
      <c r="R711" s="692" t="n"/>
      <c r="S711" s="692" t="n"/>
      <c r="T711" s="692" t="n"/>
      <c r="U711" s="692" t="n"/>
      <c r="V711" s="692" t="n"/>
      <c r="W711" s="692" t="n"/>
      <c r="X711" s="692" t="n"/>
      <c r="Y711" s="692" t="n"/>
      <c r="Z711" s="692" t="n"/>
      <c r="AA711" s="692" t="n"/>
      <c r="AB711" s="692" t="n"/>
      <c r="AC711" s="692" t="n"/>
      <c r="AD711" s="692" t="n"/>
      <c r="AF711" s="236" t="n"/>
      <c r="AG711" s="236" t="n"/>
      <c r="AH711" s="236" t="n"/>
      <c r="AI711" s="236" t="n"/>
      <c r="AJ711" s="236" t="n"/>
      <c r="AK711" s="236" t="n"/>
      <c r="AL711" s="236" t="n"/>
      <c r="AM711" s="236" t="n"/>
      <c r="AN711" s="236" t="n"/>
      <c r="AO711" s="236" t="n"/>
      <c r="AP711" s="236" t="n"/>
      <c r="AQ711" s="236" t="n"/>
      <c r="AR711" s="236" t="n"/>
      <c r="AS711" s="236" t="n"/>
      <c r="AT711" s="236" t="n"/>
      <c r="AU711" s="236" t="n"/>
      <c r="AV711" s="236" t="n"/>
      <c r="AW711" s="236" t="n"/>
      <c r="AX711" s="692" t="n"/>
      <c r="AY711" s="692" t="n"/>
      <c r="AZ711" s="692" t="n"/>
      <c r="BA711" s="692" t="n"/>
      <c r="BB711" s="692" t="n"/>
      <c r="BC711" s="692" t="n"/>
      <c r="BD711" s="692" t="n"/>
      <c r="BE711" s="692" t="n"/>
      <c r="BF711" s="692" t="n"/>
      <c r="BG711" s="692" t="n"/>
      <c r="BH711" s="692" t="n"/>
      <c r="BI711" s="692" t="n"/>
      <c r="BJ711" s="692" t="n"/>
      <c r="BK711" s="692" t="n"/>
      <c r="BL711" s="692" t="n"/>
      <c r="BM711" s="692" t="n"/>
      <c r="BN711" s="692" t="n"/>
      <c r="BO711" s="692" t="n"/>
      <c r="BP711" s="692" t="n"/>
      <c r="BQ711" s="692" t="n"/>
    </row>
    <row r="712">
      <c r="A712" s="218" t="n"/>
      <c r="B712" s="215" t="n"/>
      <c r="C712" s="215" t="n"/>
      <c r="D712" s="215" t="n"/>
      <c r="E712" s="219" t="n"/>
      <c r="F712" s="215" t="n"/>
      <c r="G712" s="215" t="n"/>
      <c r="H712" s="215" t="n"/>
      <c r="I712" s="215" t="n"/>
      <c r="J712" s="215" t="n"/>
      <c r="K712" s="215" t="n"/>
      <c r="L712" s="217" t="n"/>
      <c r="M712" s="692" t="n"/>
      <c r="N712" s="692" t="n"/>
      <c r="O712" s="692" t="n"/>
      <c r="P712" s="261" t="n"/>
      <c r="Q712" s="692" t="n"/>
      <c r="R712" s="692" t="n"/>
      <c r="S712" s="692" t="n"/>
      <c r="T712" s="692" t="n"/>
      <c r="U712" s="692" t="n"/>
      <c r="V712" s="692" t="n"/>
      <c r="W712" s="692" t="n"/>
      <c r="X712" s="692" t="n"/>
      <c r="Y712" s="692" t="n"/>
      <c r="Z712" s="692" t="n"/>
      <c r="AA712" s="692" t="n"/>
      <c r="AB712" s="692" t="n"/>
      <c r="AC712" s="692" t="n"/>
      <c r="AD712" s="692" t="n"/>
      <c r="AF712" s="236" t="n"/>
      <c r="AG712" s="236" t="n"/>
      <c r="AH712" s="236" t="n"/>
      <c r="AI712" s="236" t="n"/>
      <c r="AJ712" s="236" t="n"/>
      <c r="AK712" s="236" t="n"/>
      <c r="AL712" s="236" t="n"/>
      <c r="AM712" s="236" t="n"/>
      <c r="AN712" s="236" t="n"/>
      <c r="AO712" s="236" t="n"/>
      <c r="AP712" s="236" t="n"/>
      <c r="AQ712" s="236" t="n"/>
      <c r="AR712" s="236" t="n"/>
      <c r="AS712" s="236" t="n"/>
      <c r="AT712" s="236" t="n"/>
      <c r="AU712" s="236" t="n"/>
      <c r="AV712" s="236" t="n"/>
      <c r="AW712" s="236" t="n"/>
      <c r="AX712" s="692" t="n"/>
      <c r="AY712" s="692" t="n"/>
      <c r="AZ712" s="692" t="n"/>
      <c r="BA712" s="692" t="n"/>
      <c r="BB712" s="692" t="n"/>
      <c r="BC712" s="692" t="n"/>
      <c r="BD712" s="692" t="n"/>
      <c r="BE712" s="692" t="n"/>
      <c r="BF712" s="692" t="n"/>
      <c r="BG712" s="692" t="n"/>
      <c r="BH712" s="692" t="n"/>
      <c r="BI712" s="692" t="n"/>
      <c r="BJ712" s="692" t="n"/>
      <c r="BK712" s="692" t="n"/>
      <c r="BL712" s="692" t="n"/>
      <c r="BM712" s="692" t="n"/>
      <c r="BN712" s="692" t="n"/>
      <c r="BO712" s="692" t="n"/>
      <c r="BP712" s="692" t="n"/>
      <c r="BQ712" s="692" t="n"/>
    </row>
    <row r="713">
      <c r="A713" s="220" t="n"/>
      <c r="B713" s="211" t="n"/>
      <c r="C713" s="211" t="n"/>
      <c r="D713" s="211" t="n"/>
      <c r="E713" s="221" t="n"/>
      <c r="F713" s="211" t="n"/>
      <c r="G713" s="211" t="n"/>
      <c r="H713" s="211" t="n"/>
      <c r="I713" s="211" t="n"/>
      <c r="J713" s="211" t="n"/>
      <c r="K713" s="211" t="n"/>
      <c r="L713" s="213" t="n"/>
      <c r="M713" s="692" t="n"/>
      <c r="N713" s="692" t="n"/>
      <c r="O713" s="692" t="n"/>
      <c r="P713" s="261" t="n"/>
      <c r="Q713" s="692" t="n"/>
      <c r="R713" s="692" t="n"/>
      <c r="S713" s="692" t="n"/>
      <c r="T713" s="692" t="n"/>
      <c r="U713" s="692" t="n"/>
      <c r="V713" s="692" t="n"/>
      <c r="W713" s="692" t="n"/>
      <c r="X713" s="692" t="n"/>
      <c r="Y713" s="692" t="n"/>
      <c r="Z713" s="692" t="n"/>
      <c r="AA713" s="692" t="n"/>
      <c r="AB713" s="692" t="n"/>
      <c r="AC713" s="692" t="n"/>
      <c r="AD713" s="692" t="n"/>
      <c r="AF713" s="236" t="n"/>
      <c r="AG713" s="236" t="n"/>
      <c r="AH713" s="236" t="n"/>
      <c r="AI713" s="236" t="n"/>
      <c r="AJ713" s="236" t="n"/>
      <c r="AK713" s="236" t="n"/>
      <c r="AL713" s="236" t="n"/>
      <c r="AM713" s="236" t="n"/>
      <c r="AN713" s="236" t="n"/>
      <c r="AO713" s="236" t="n"/>
      <c r="AP713" s="236" t="n"/>
      <c r="AQ713" s="236" t="n"/>
      <c r="AR713" s="236" t="n"/>
      <c r="AS713" s="236" t="n"/>
      <c r="AT713" s="236" t="n"/>
      <c r="AU713" s="236" t="n"/>
      <c r="AV713" s="236" t="n"/>
      <c r="AW713" s="236" t="n"/>
      <c r="AX713" s="692" t="n"/>
      <c r="AY713" s="692" t="n"/>
      <c r="AZ713" s="692" t="n"/>
      <c r="BA713" s="692" t="n"/>
      <c r="BB713" s="692" t="n"/>
      <c r="BC713" s="692" t="n"/>
      <c r="BD713" s="692" t="n"/>
      <c r="BE713" s="692" t="n"/>
      <c r="BF713" s="692" t="n"/>
      <c r="BG713" s="692" t="n"/>
      <c r="BH713" s="692" t="n"/>
      <c r="BI713" s="692" t="n"/>
      <c r="BJ713" s="692" t="n"/>
      <c r="BK713" s="692" t="n"/>
      <c r="BL713" s="692" t="n"/>
      <c r="BM713" s="692" t="n"/>
      <c r="BN713" s="692" t="n"/>
      <c r="BO713" s="692" t="n"/>
      <c r="BP713" s="692" t="n"/>
      <c r="BQ713" s="692" t="n"/>
    </row>
    <row r="714">
      <c r="A714" s="218" t="n"/>
      <c r="B714" s="215" t="n"/>
      <c r="C714" s="215" t="n"/>
      <c r="D714" s="215" t="n"/>
      <c r="E714" s="219" t="n"/>
      <c r="F714" s="215" t="n"/>
      <c r="G714" s="215" t="n"/>
      <c r="H714" s="215" t="n"/>
      <c r="I714" s="215" t="n"/>
      <c r="J714" s="215" t="n"/>
      <c r="K714" s="215" t="n"/>
      <c r="L714" s="217" t="n"/>
      <c r="M714" s="692" t="n"/>
      <c r="N714" s="692" t="n"/>
      <c r="O714" s="692" t="n"/>
      <c r="P714" s="261" t="n"/>
      <c r="Q714" s="692" t="n"/>
      <c r="R714" s="692" t="n"/>
      <c r="S714" s="692" t="n"/>
      <c r="T714" s="692" t="n"/>
      <c r="U714" s="692" t="n"/>
      <c r="V714" s="692" t="n"/>
      <c r="W714" s="692" t="n"/>
      <c r="X714" s="692" t="n"/>
      <c r="Y714" s="692" t="n"/>
      <c r="Z714" s="692" t="n"/>
      <c r="AA714" s="692" t="n"/>
      <c r="AB714" s="692" t="n"/>
      <c r="AC714" s="692" t="n"/>
      <c r="AD714" s="692" t="n"/>
      <c r="AF714" s="236" t="n"/>
      <c r="AG714" s="236" t="n"/>
      <c r="AH714" s="236" t="n"/>
      <c r="AI714" s="236" t="n"/>
      <c r="AJ714" s="236" t="n"/>
      <c r="AK714" s="236" t="n"/>
      <c r="AL714" s="236" t="n"/>
      <c r="AM714" s="236" t="n"/>
      <c r="AN714" s="236" t="n"/>
      <c r="AO714" s="236" t="n"/>
      <c r="AP714" s="236" t="n"/>
      <c r="AQ714" s="236" t="n"/>
      <c r="AR714" s="236" t="n"/>
      <c r="AS714" s="236" t="n"/>
      <c r="AT714" s="236" t="n"/>
      <c r="AU714" s="236" t="n"/>
      <c r="AV714" s="236" t="n"/>
      <c r="AW714" s="236" t="n"/>
      <c r="AX714" s="692" t="n"/>
      <c r="AY714" s="692" t="n"/>
      <c r="AZ714" s="692" t="n"/>
      <c r="BA714" s="692" t="n"/>
      <c r="BB714" s="692" t="n"/>
      <c r="BC714" s="692" t="n"/>
      <c r="BD714" s="692" t="n"/>
      <c r="BE714" s="692" t="n"/>
      <c r="BF714" s="692" t="n"/>
      <c r="BG714" s="692" t="n"/>
      <c r="BH714" s="692" t="n"/>
      <c r="BI714" s="692" t="n"/>
      <c r="BJ714" s="692" t="n"/>
      <c r="BK714" s="692" t="n"/>
      <c r="BL714" s="692" t="n"/>
      <c r="BM714" s="692" t="n"/>
      <c r="BN714" s="692" t="n"/>
      <c r="BO714" s="692" t="n"/>
      <c r="BP714" s="692" t="n"/>
      <c r="BQ714" s="692" t="n"/>
    </row>
    <row r="715">
      <c r="A715" s="220" t="n"/>
      <c r="B715" s="211" t="n"/>
      <c r="C715" s="211" t="n"/>
      <c r="D715" s="211" t="n"/>
      <c r="E715" s="221" t="n"/>
      <c r="F715" s="211" t="n"/>
      <c r="G715" s="211" t="n"/>
      <c r="H715" s="211" t="n"/>
      <c r="I715" s="211" t="n"/>
      <c r="J715" s="211" t="n"/>
      <c r="K715" s="211" t="n"/>
      <c r="L715" s="213" t="n"/>
      <c r="M715" s="692" t="n"/>
      <c r="N715" s="692" t="n"/>
      <c r="O715" s="692" t="n"/>
      <c r="P715" s="261" t="n"/>
      <c r="Q715" s="692" t="n"/>
      <c r="R715" s="692" t="n"/>
      <c r="S715" s="692" t="n"/>
      <c r="T715" s="692" t="n"/>
      <c r="U715" s="692" t="n"/>
      <c r="V715" s="692" t="n"/>
      <c r="W715" s="692" t="n"/>
      <c r="X715" s="692" t="n"/>
      <c r="Y715" s="692" t="n"/>
      <c r="Z715" s="692" t="n"/>
      <c r="AA715" s="692" t="n"/>
      <c r="AB715" s="692" t="n"/>
      <c r="AC715" s="692" t="n"/>
      <c r="AD715" s="692" t="n"/>
      <c r="AF715" s="236" t="n"/>
      <c r="AG715" s="236" t="n"/>
      <c r="AH715" s="236" t="n"/>
      <c r="AI715" s="236" t="n"/>
      <c r="AJ715" s="236" t="n"/>
      <c r="AK715" s="236" t="n"/>
      <c r="AL715" s="236" t="n"/>
      <c r="AM715" s="236" t="n"/>
      <c r="AN715" s="236" t="n"/>
      <c r="AO715" s="236" t="n"/>
      <c r="AP715" s="236" t="n"/>
      <c r="AQ715" s="236" t="n"/>
      <c r="AR715" s="236" t="n"/>
      <c r="AS715" s="236" t="n"/>
      <c r="AT715" s="236" t="n"/>
      <c r="AU715" s="236" t="n"/>
      <c r="AV715" s="236" t="n"/>
      <c r="AW715" s="236" t="n"/>
      <c r="AX715" s="692" t="n"/>
      <c r="AY715" s="692" t="n"/>
      <c r="AZ715" s="692" t="n"/>
      <c r="BA715" s="692" t="n"/>
      <c r="BB715" s="692" t="n"/>
      <c r="BC715" s="692" t="n"/>
      <c r="BD715" s="692" t="n"/>
      <c r="BE715" s="692" t="n"/>
      <c r="BF715" s="692" t="n"/>
      <c r="BG715" s="692" t="n"/>
      <c r="BH715" s="692" t="n"/>
      <c r="BI715" s="692" t="n"/>
      <c r="BJ715" s="692" t="n"/>
      <c r="BK715" s="692" t="n"/>
      <c r="BL715" s="692" t="n"/>
      <c r="BM715" s="692" t="n"/>
      <c r="BN715" s="692" t="n"/>
      <c r="BO715" s="692" t="n"/>
      <c r="BP715" s="692" t="n"/>
      <c r="BQ715" s="692" t="n"/>
    </row>
    <row r="716">
      <c r="A716" s="218" t="n"/>
      <c r="B716" s="215" t="n"/>
      <c r="C716" s="215" t="n"/>
      <c r="D716" s="215" t="n"/>
      <c r="E716" s="219" t="n"/>
      <c r="F716" s="215" t="n"/>
      <c r="G716" s="215" t="n"/>
      <c r="H716" s="215" t="n"/>
      <c r="I716" s="215" t="n"/>
      <c r="J716" s="215" t="n"/>
      <c r="K716" s="215" t="n"/>
      <c r="L716" s="217" t="n"/>
      <c r="M716" s="692" t="n"/>
      <c r="N716" s="692" t="n"/>
      <c r="O716" s="692" t="n"/>
      <c r="P716" s="261" t="n"/>
      <c r="Q716" s="692" t="n"/>
      <c r="R716" s="692" t="n"/>
      <c r="S716" s="692" t="n"/>
      <c r="T716" s="692" t="n"/>
      <c r="U716" s="692" t="n"/>
      <c r="V716" s="692" t="n"/>
      <c r="W716" s="692" t="n"/>
      <c r="X716" s="692" t="n"/>
      <c r="Y716" s="692" t="n"/>
      <c r="Z716" s="692" t="n"/>
      <c r="AA716" s="692" t="n"/>
      <c r="AB716" s="692" t="n"/>
      <c r="AC716" s="692" t="n"/>
      <c r="AD716" s="692" t="n"/>
      <c r="AF716" s="236" t="n"/>
      <c r="AG716" s="236" t="n"/>
      <c r="AH716" s="236" t="n"/>
      <c r="AI716" s="236" t="n"/>
      <c r="AJ716" s="236" t="n"/>
      <c r="AK716" s="236" t="n"/>
      <c r="AL716" s="236" t="n"/>
      <c r="AM716" s="236" t="n"/>
      <c r="AN716" s="236" t="n"/>
      <c r="AO716" s="236" t="n"/>
      <c r="AP716" s="236" t="n"/>
      <c r="AQ716" s="236" t="n"/>
      <c r="AR716" s="236" t="n"/>
      <c r="AS716" s="236" t="n"/>
      <c r="AT716" s="236" t="n"/>
      <c r="AU716" s="236" t="n"/>
      <c r="AV716" s="236" t="n"/>
      <c r="AW716" s="236" t="n"/>
      <c r="AX716" s="692" t="n"/>
      <c r="AY716" s="692" t="n"/>
      <c r="AZ716" s="692" t="n"/>
      <c r="BA716" s="692" t="n"/>
      <c r="BB716" s="692" t="n"/>
      <c r="BC716" s="692" t="n"/>
      <c r="BD716" s="692" t="n"/>
      <c r="BE716" s="692" t="n"/>
      <c r="BF716" s="692" t="n"/>
      <c r="BG716" s="692" t="n"/>
      <c r="BH716" s="692" t="n"/>
      <c r="BI716" s="692" t="n"/>
      <c r="BJ716" s="692" t="n"/>
      <c r="BK716" s="692" t="n"/>
      <c r="BL716" s="692" t="n"/>
      <c r="BM716" s="692" t="n"/>
      <c r="BN716" s="692" t="n"/>
      <c r="BO716" s="692" t="n"/>
      <c r="BP716" s="692" t="n"/>
      <c r="BQ716" s="692" t="n"/>
    </row>
    <row r="717">
      <c r="A717" s="220" t="n"/>
      <c r="B717" s="211" t="n"/>
      <c r="C717" s="211" t="n"/>
      <c r="D717" s="211" t="n"/>
      <c r="E717" s="221" t="n"/>
      <c r="F717" s="211" t="n"/>
      <c r="G717" s="211" t="n"/>
      <c r="H717" s="211" t="n"/>
      <c r="I717" s="211" t="n"/>
      <c r="J717" s="211" t="n"/>
      <c r="K717" s="211" t="n"/>
      <c r="L717" s="213" t="n"/>
      <c r="M717" s="692" t="n"/>
      <c r="N717" s="692" t="n"/>
      <c r="O717" s="692" t="n"/>
      <c r="P717" s="261" t="n"/>
      <c r="Q717" s="692" t="n"/>
      <c r="R717" s="692" t="n"/>
      <c r="S717" s="692" t="n"/>
      <c r="T717" s="692" t="n"/>
      <c r="U717" s="692" t="n"/>
      <c r="V717" s="692" t="n"/>
      <c r="W717" s="692" t="n"/>
      <c r="X717" s="692" t="n"/>
      <c r="Y717" s="692" t="n"/>
      <c r="Z717" s="692" t="n"/>
      <c r="AA717" s="692" t="n"/>
      <c r="AB717" s="692" t="n"/>
      <c r="AC717" s="692" t="n"/>
      <c r="AD717" s="692" t="n"/>
      <c r="AF717" s="236" t="n"/>
      <c r="AG717" s="236" t="n"/>
      <c r="AH717" s="236" t="n"/>
      <c r="AI717" s="236" t="n"/>
      <c r="AJ717" s="236" t="n"/>
      <c r="AK717" s="236" t="n"/>
      <c r="AL717" s="236" t="n"/>
      <c r="AM717" s="236" t="n"/>
      <c r="AN717" s="236" t="n"/>
      <c r="AO717" s="236" t="n"/>
      <c r="AP717" s="236" t="n"/>
      <c r="AQ717" s="236" t="n"/>
      <c r="AR717" s="236" t="n"/>
      <c r="AS717" s="236" t="n"/>
      <c r="AT717" s="236" t="n"/>
      <c r="AU717" s="236" t="n"/>
      <c r="AV717" s="236" t="n"/>
      <c r="AW717" s="236" t="n"/>
      <c r="AX717" s="692" t="n"/>
      <c r="AY717" s="692" t="n"/>
      <c r="AZ717" s="692" t="n"/>
      <c r="BA717" s="692" t="n"/>
      <c r="BB717" s="692" t="n"/>
      <c r="BC717" s="692" t="n"/>
      <c r="BD717" s="692" t="n"/>
      <c r="BE717" s="692" t="n"/>
      <c r="BF717" s="692" t="n"/>
      <c r="BG717" s="692" t="n"/>
      <c r="BH717" s="692" t="n"/>
      <c r="BI717" s="692" t="n"/>
      <c r="BJ717" s="692" t="n"/>
      <c r="BK717" s="692" t="n"/>
      <c r="BL717" s="692" t="n"/>
      <c r="BM717" s="692" t="n"/>
      <c r="BN717" s="692" t="n"/>
      <c r="BO717" s="692" t="n"/>
      <c r="BP717" s="692" t="n"/>
      <c r="BQ717" s="692" t="n"/>
    </row>
    <row r="718">
      <c r="A718" s="218" t="n"/>
      <c r="B718" s="215" t="n"/>
      <c r="C718" s="215" t="n"/>
      <c r="D718" s="215" t="n"/>
      <c r="E718" s="219" t="n"/>
      <c r="F718" s="215" t="n"/>
      <c r="G718" s="215" t="n"/>
      <c r="H718" s="215" t="n"/>
      <c r="I718" s="215" t="n"/>
      <c r="J718" s="215" t="n"/>
      <c r="K718" s="215" t="n"/>
      <c r="L718" s="217" t="n"/>
      <c r="M718" s="692" t="n"/>
      <c r="N718" s="692" t="n"/>
      <c r="O718" s="692" t="n"/>
      <c r="P718" s="261" t="n"/>
      <c r="Q718" s="692" t="n"/>
      <c r="R718" s="692" t="n"/>
      <c r="S718" s="692" t="n"/>
      <c r="T718" s="692" t="n"/>
      <c r="U718" s="692" t="n"/>
      <c r="V718" s="692" t="n"/>
      <c r="W718" s="692" t="n"/>
      <c r="X718" s="692" t="n"/>
      <c r="Y718" s="692" t="n"/>
      <c r="Z718" s="692" t="n"/>
      <c r="AA718" s="692" t="n"/>
      <c r="AB718" s="692" t="n"/>
      <c r="AC718" s="692" t="n"/>
      <c r="AD718" s="692" t="n"/>
      <c r="AF718" s="236" t="n"/>
      <c r="AG718" s="236" t="n"/>
      <c r="AH718" s="236" t="n"/>
      <c r="AI718" s="236" t="n"/>
      <c r="AJ718" s="236" t="n"/>
      <c r="AK718" s="236" t="n"/>
      <c r="AL718" s="236" t="n"/>
      <c r="AM718" s="236" t="n"/>
      <c r="AN718" s="236" t="n"/>
      <c r="AO718" s="236" t="n"/>
      <c r="AP718" s="236" t="n"/>
      <c r="AQ718" s="236" t="n"/>
      <c r="AR718" s="236" t="n"/>
      <c r="AS718" s="236" t="n"/>
      <c r="AT718" s="236" t="n"/>
      <c r="AU718" s="236" t="n"/>
      <c r="AV718" s="236" t="n"/>
      <c r="AW718" s="236" t="n"/>
      <c r="AX718" s="692" t="n"/>
      <c r="AY718" s="692" t="n"/>
      <c r="AZ718" s="692" t="n"/>
      <c r="BA718" s="692" t="n"/>
      <c r="BB718" s="692" t="n"/>
      <c r="BC718" s="692" t="n"/>
      <c r="BD718" s="692" t="n"/>
      <c r="BE718" s="692" t="n"/>
      <c r="BF718" s="692" t="n"/>
      <c r="BG718" s="692" t="n"/>
      <c r="BH718" s="692" t="n"/>
      <c r="BI718" s="692" t="n"/>
      <c r="BJ718" s="692" t="n"/>
      <c r="BK718" s="692" t="n"/>
      <c r="BL718" s="692" t="n"/>
      <c r="BM718" s="692" t="n"/>
      <c r="BN718" s="692" t="n"/>
      <c r="BO718" s="692" t="n"/>
      <c r="BP718" s="692" t="n"/>
      <c r="BQ718" s="692" t="n"/>
    </row>
    <row r="719">
      <c r="A719" s="220" t="n"/>
      <c r="B719" s="211" t="n"/>
      <c r="C719" s="211" t="n"/>
      <c r="D719" s="211" t="n"/>
      <c r="E719" s="221" t="n"/>
      <c r="F719" s="211" t="n"/>
      <c r="G719" s="211" t="n"/>
      <c r="H719" s="211" t="n"/>
      <c r="I719" s="211" t="n"/>
      <c r="J719" s="211" t="n"/>
      <c r="K719" s="211" t="n"/>
      <c r="L719" s="213" t="n"/>
      <c r="M719" s="692" t="n"/>
      <c r="N719" s="692" t="n"/>
      <c r="O719" s="692" t="n"/>
      <c r="P719" s="261" t="n"/>
      <c r="Q719" s="692" t="n"/>
      <c r="R719" s="692" t="n"/>
      <c r="S719" s="692" t="n"/>
      <c r="T719" s="692" t="n"/>
      <c r="U719" s="692" t="n"/>
      <c r="V719" s="692" t="n"/>
      <c r="W719" s="692" t="n"/>
      <c r="X719" s="692" t="n"/>
      <c r="Y719" s="692" t="n"/>
      <c r="Z719" s="692" t="n"/>
      <c r="AA719" s="692" t="n"/>
      <c r="AB719" s="692" t="n"/>
      <c r="AC719" s="692" t="n"/>
      <c r="AD719" s="692" t="n"/>
      <c r="AF719" s="236" t="n"/>
      <c r="AG719" s="236" t="n"/>
      <c r="AH719" s="236" t="n"/>
      <c r="AI719" s="236" t="n"/>
      <c r="AJ719" s="236" t="n"/>
      <c r="AK719" s="236" t="n"/>
      <c r="AL719" s="236" t="n"/>
      <c r="AM719" s="236" t="n"/>
      <c r="AN719" s="236" t="n"/>
      <c r="AO719" s="236" t="n"/>
      <c r="AP719" s="236" t="n"/>
      <c r="AQ719" s="236" t="n"/>
      <c r="AR719" s="236" t="n"/>
      <c r="AS719" s="236" t="n"/>
      <c r="AT719" s="236" t="n"/>
      <c r="AU719" s="236" t="n"/>
      <c r="AV719" s="236" t="n"/>
      <c r="AW719" s="236" t="n"/>
      <c r="AX719" s="692" t="n"/>
      <c r="AY719" s="692" t="n"/>
      <c r="AZ719" s="692" t="n"/>
      <c r="BA719" s="692" t="n"/>
      <c r="BB719" s="692" t="n"/>
      <c r="BC719" s="692" t="n"/>
      <c r="BD719" s="692" t="n"/>
      <c r="BE719" s="692" t="n"/>
      <c r="BF719" s="692" t="n"/>
      <c r="BG719" s="692" t="n"/>
      <c r="BH719" s="692" t="n"/>
      <c r="BI719" s="692" t="n"/>
      <c r="BJ719" s="692" t="n"/>
      <c r="BK719" s="692" t="n"/>
      <c r="BL719" s="692" t="n"/>
      <c r="BM719" s="692" t="n"/>
      <c r="BN719" s="692" t="n"/>
      <c r="BO719" s="692" t="n"/>
      <c r="BP719" s="692" t="n"/>
      <c r="BQ719" s="692" t="n"/>
    </row>
    <row r="720">
      <c r="A720" s="218" t="n"/>
      <c r="B720" s="215" t="n"/>
      <c r="C720" s="215" t="n"/>
      <c r="D720" s="215" t="n"/>
      <c r="E720" s="219" t="n"/>
      <c r="F720" s="215" t="n"/>
      <c r="G720" s="215" t="n"/>
      <c r="H720" s="215" t="n"/>
      <c r="I720" s="215" t="n"/>
      <c r="J720" s="215" t="n"/>
      <c r="K720" s="215" t="n"/>
      <c r="L720" s="217" t="n"/>
      <c r="M720" s="692" t="n"/>
      <c r="N720" s="692" t="n"/>
      <c r="O720" s="692" t="n"/>
      <c r="P720" s="261" t="n"/>
      <c r="Q720" s="692" t="n"/>
      <c r="R720" s="692" t="n"/>
      <c r="S720" s="692" t="n"/>
      <c r="T720" s="692" t="n"/>
      <c r="U720" s="692" t="n"/>
      <c r="V720" s="692" t="n"/>
      <c r="W720" s="692" t="n"/>
      <c r="X720" s="692" t="n"/>
      <c r="Y720" s="692" t="n"/>
      <c r="Z720" s="692" t="n"/>
      <c r="AA720" s="692" t="n"/>
      <c r="AB720" s="692" t="n"/>
      <c r="AC720" s="692" t="n"/>
      <c r="AD720" s="692" t="n"/>
      <c r="AF720" s="236" t="n"/>
      <c r="AG720" s="236" t="n"/>
      <c r="AH720" s="236" t="n"/>
      <c r="AI720" s="236" t="n"/>
      <c r="AJ720" s="236" t="n"/>
      <c r="AK720" s="236" t="n"/>
      <c r="AL720" s="236" t="n"/>
      <c r="AM720" s="236" t="n"/>
      <c r="AN720" s="236" t="n"/>
      <c r="AO720" s="236" t="n"/>
      <c r="AP720" s="236" t="n"/>
      <c r="AQ720" s="236" t="n"/>
      <c r="AR720" s="236" t="n"/>
      <c r="AS720" s="236" t="n"/>
      <c r="AT720" s="236" t="n"/>
      <c r="AU720" s="236" t="n"/>
      <c r="AV720" s="236" t="n"/>
      <c r="AW720" s="236" t="n"/>
      <c r="AX720" s="692" t="n"/>
      <c r="AY720" s="692" t="n"/>
      <c r="AZ720" s="692" t="n"/>
      <c r="BA720" s="692" t="n"/>
      <c r="BB720" s="692" t="n"/>
      <c r="BC720" s="692" t="n"/>
      <c r="BD720" s="692" t="n"/>
      <c r="BE720" s="692" t="n"/>
      <c r="BF720" s="692" t="n"/>
      <c r="BG720" s="692" t="n"/>
      <c r="BH720" s="692" t="n"/>
      <c r="BI720" s="692" t="n"/>
      <c r="BJ720" s="692" t="n"/>
      <c r="BK720" s="692" t="n"/>
      <c r="BL720" s="692" t="n"/>
      <c r="BM720" s="692" t="n"/>
      <c r="BN720" s="692" t="n"/>
      <c r="BO720" s="692" t="n"/>
      <c r="BP720" s="692" t="n"/>
      <c r="BQ720" s="692" t="n"/>
    </row>
    <row r="721">
      <c r="A721" s="220" t="n"/>
      <c r="B721" s="211" t="n"/>
      <c r="C721" s="211" t="n"/>
      <c r="D721" s="211" t="n"/>
      <c r="E721" s="221" t="n"/>
      <c r="F721" s="211" t="n"/>
      <c r="G721" s="211" t="n"/>
      <c r="H721" s="211" t="n"/>
      <c r="I721" s="211" t="n"/>
      <c r="J721" s="211" t="n"/>
      <c r="K721" s="211" t="n"/>
      <c r="L721" s="213" t="n"/>
      <c r="M721" s="692" t="n"/>
      <c r="N721" s="692" t="n"/>
      <c r="O721" s="692" t="n"/>
      <c r="P721" s="261" t="n"/>
      <c r="Q721" s="692" t="n"/>
      <c r="R721" s="692" t="n"/>
      <c r="S721" s="692" t="n"/>
      <c r="T721" s="692" t="n"/>
      <c r="U721" s="692" t="n"/>
      <c r="V721" s="692" t="n"/>
      <c r="W721" s="692" t="n"/>
      <c r="X721" s="692" t="n"/>
      <c r="Y721" s="692" t="n"/>
      <c r="Z721" s="692" t="n"/>
      <c r="AA721" s="692" t="n"/>
      <c r="AB721" s="692" t="n"/>
      <c r="AC721" s="692" t="n"/>
      <c r="AD721" s="692" t="n"/>
      <c r="AF721" s="236" t="n"/>
      <c r="AG721" s="236" t="n"/>
      <c r="AH721" s="236" t="n"/>
      <c r="AI721" s="236" t="n"/>
      <c r="AJ721" s="236" t="n"/>
      <c r="AK721" s="236" t="n"/>
      <c r="AL721" s="236" t="n"/>
      <c r="AM721" s="236" t="n"/>
      <c r="AN721" s="236" t="n"/>
      <c r="AO721" s="236" t="n"/>
      <c r="AP721" s="236" t="n"/>
      <c r="AQ721" s="236" t="n"/>
      <c r="AR721" s="236" t="n"/>
      <c r="AS721" s="236" t="n"/>
      <c r="AT721" s="236" t="n"/>
      <c r="AU721" s="236" t="n"/>
      <c r="AV721" s="236" t="n"/>
      <c r="AW721" s="236" t="n"/>
      <c r="AX721" s="692" t="n"/>
      <c r="AY721" s="692" t="n"/>
      <c r="AZ721" s="692" t="n"/>
      <c r="BA721" s="692" t="n"/>
      <c r="BB721" s="692" t="n"/>
      <c r="BC721" s="692" t="n"/>
      <c r="BD721" s="692" t="n"/>
      <c r="BE721" s="692" t="n"/>
      <c r="BF721" s="692" t="n"/>
      <c r="BG721" s="692" t="n"/>
      <c r="BH721" s="692" t="n"/>
      <c r="BI721" s="692" t="n"/>
      <c r="BJ721" s="692" t="n"/>
      <c r="BK721" s="692" t="n"/>
      <c r="BL721" s="692" t="n"/>
      <c r="BM721" s="692" t="n"/>
      <c r="BN721" s="692" t="n"/>
      <c r="BO721" s="692" t="n"/>
      <c r="BP721" s="692" t="n"/>
      <c r="BQ721" s="692" t="n"/>
    </row>
    <row r="722">
      <c r="A722" s="218" t="n"/>
      <c r="B722" s="215" t="n"/>
      <c r="C722" s="215" t="n"/>
      <c r="D722" s="215" t="n"/>
      <c r="E722" s="219" t="n"/>
      <c r="F722" s="215" t="n"/>
      <c r="G722" s="215" t="n"/>
      <c r="H722" s="215" t="n"/>
      <c r="I722" s="215" t="n"/>
      <c r="J722" s="215" t="n"/>
      <c r="K722" s="215" t="n"/>
      <c r="L722" s="217" t="n"/>
      <c r="M722" s="692" t="n"/>
      <c r="N722" s="692" t="n"/>
      <c r="O722" s="692" t="n"/>
      <c r="P722" s="261" t="n"/>
      <c r="Q722" s="692" t="n"/>
      <c r="R722" s="692" t="n"/>
      <c r="S722" s="692" t="n"/>
      <c r="T722" s="692" t="n"/>
      <c r="U722" s="692" t="n"/>
      <c r="V722" s="692" t="n"/>
      <c r="W722" s="692" t="n"/>
      <c r="X722" s="692" t="n"/>
      <c r="Y722" s="692" t="n"/>
      <c r="Z722" s="692" t="n"/>
      <c r="AA722" s="692" t="n"/>
      <c r="AB722" s="692" t="n"/>
      <c r="AC722" s="692" t="n"/>
      <c r="AD722" s="692" t="n"/>
      <c r="AF722" s="236" t="n"/>
      <c r="AG722" s="236" t="n"/>
      <c r="AH722" s="236" t="n"/>
      <c r="AI722" s="236" t="n"/>
      <c r="AJ722" s="236" t="n"/>
      <c r="AK722" s="236" t="n"/>
      <c r="AL722" s="236" t="n"/>
      <c r="AM722" s="236" t="n"/>
      <c r="AN722" s="236" t="n"/>
      <c r="AO722" s="236" t="n"/>
      <c r="AP722" s="236" t="n"/>
      <c r="AQ722" s="236" t="n"/>
      <c r="AR722" s="236" t="n"/>
      <c r="AS722" s="236" t="n"/>
      <c r="AT722" s="236" t="n"/>
      <c r="AU722" s="236" t="n"/>
      <c r="AV722" s="236" t="n"/>
      <c r="AW722" s="236" t="n"/>
      <c r="AX722" s="692" t="n"/>
      <c r="AY722" s="692" t="n"/>
      <c r="AZ722" s="692" t="n"/>
      <c r="BA722" s="692" t="n"/>
      <c r="BB722" s="692" t="n"/>
      <c r="BC722" s="692" t="n"/>
      <c r="BD722" s="692" t="n"/>
      <c r="BE722" s="692" t="n"/>
      <c r="BF722" s="692" t="n"/>
      <c r="BG722" s="692" t="n"/>
      <c r="BH722" s="692" t="n"/>
      <c r="BI722" s="692" t="n"/>
      <c r="BJ722" s="692" t="n"/>
      <c r="BK722" s="692" t="n"/>
      <c r="BL722" s="692" t="n"/>
      <c r="BM722" s="692" t="n"/>
      <c r="BN722" s="692" t="n"/>
      <c r="BO722" s="692" t="n"/>
      <c r="BP722" s="692" t="n"/>
      <c r="BQ722" s="692" t="n"/>
    </row>
    <row r="723">
      <c r="A723" s="220" t="n"/>
      <c r="B723" s="211" t="n"/>
      <c r="C723" s="211" t="n"/>
      <c r="D723" s="211" t="n"/>
      <c r="E723" s="221" t="n"/>
      <c r="F723" s="211" t="n"/>
      <c r="G723" s="211" t="n"/>
      <c r="H723" s="211" t="n"/>
      <c r="I723" s="211" t="n"/>
      <c r="J723" s="211" t="n"/>
      <c r="K723" s="211" t="n"/>
      <c r="L723" s="213" t="n"/>
      <c r="M723" s="692" t="n"/>
      <c r="N723" s="692" t="n"/>
      <c r="O723" s="692" t="n"/>
      <c r="P723" s="261" t="n"/>
      <c r="Q723" s="692" t="n"/>
      <c r="R723" s="692" t="n"/>
      <c r="S723" s="692" t="n"/>
      <c r="T723" s="692" t="n"/>
      <c r="U723" s="692" t="n"/>
      <c r="V723" s="692" t="n"/>
      <c r="W723" s="692" t="n"/>
      <c r="X723" s="692" t="n"/>
      <c r="Y723" s="692" t="n"/>
      <c r="Z723" s="692" t="n"/>
      <c r="AA723" s="692" t="n"/>
      <c r="AB723" s="692" t="n"/>
      <c r="AC723" s="692" t="n"/>
      <c r="AD723" s="692" t="n"/>
      <c r="AF723" s="236" t="n"/>
      <c r="AG723" s="236" t="n"/>
      <c r="AH723" s="236" t="n"/>
      <c r="AI723" s="236" t="n"/>
      <c r="AJ723" s="236" t="n"/>
      <c r="AK723" s="236" t="n"/>
      <c r="AL723" s="236" t="n"/>
      <c r="AM723" s="236" t="n"/>
      <c r="AN723" s="236" t="n"/>
      <c r="AO723" s="236" t="n"/>
      <c r="AP723" s="236" t="n"/>
      <c r="AQ723" s="236" t="n"/>
      <c r="AR723" s="236" t="n"/>
      <c r="AS723" s="236" t="n"/>
      <c r="AT723" s="236" t="n"/>
      <c r="AU723" s="236" t="n"/>
      <c r="AV723" s="236" t="n"/>
      <c r="AW723" s="236" t="n"/>
      <c r="AX723" s="692" t="n"/>
      <c r="AY723" s="692" t="n"/>
      <c r="AZ723" s="692" t="n"/>
      <c r="BA723" s="692" t="n"/>
      <c r="BB723" s="692" t="n"/>
      <c r="BC723" s="692" t="n"/>
      <c r="BD723" s="692" t="n"/>
      <c r="BE723" s="692" t="n"/>
      <c r="BF723" s="692" t="n"/>
      <c r="BG723" s="692" t="n"/>
      <c r="BH723" s="692" t="n"/>
      <c r="BI723" s="692" t="n"/>
      <c r="BJ723" s="692" t="n"/>
      <c r="BK723" s="692" t="n"/>
      <c r="BL723" s="692" t="n"/>
      <c r="BM723" s="692" t="n"/>
      <c r="BN723" s="692" t="n"/>
      <c r="BO723" s="692" t="n"/>
      <c r="BP723" s="692" t="n"/>
      <c r="BQ723" s="692" t="n"/>
    </row>
    <row r="724">
      <c r="A724" s="218" t="n"/>
      <c r="B724" s="215" t="n"/>
      <c r="C724" s="215" t="n"/>
      <c r="D724" s="215" t="n"/>
      <c r="E724" s="219" t="n"/>
      <c r="F724" s="215" t="n"/>
      <c r="G724" s="215" t="n"/>
      <c r="H724" s="215" t="n"/>
      <c r="I724" s="215" t="n"/>
      <c r="J724" s="215" t="n"/>
      <c r="K724" s="215" t="n"/>
      <c r="L724" s="217" t="n"/>
      <c r="M724" s="692" t="n"/>
      <c r="N724" s="692" t="n"/>
      <c r="O724" s="692" t="n"/>
      <c r="P724" s="261" t="n"/>
      <c r="Q724" s="692" t="n"/>
      <c r="R724" s="692" t="n"/>
      <c r="S724" s="692" t="n"/>
      <c r="T724" s="692" t="n"/>
      <c r="U724" s="692" t="n"/>
      <c r="V724" s="692" t="n"/>
      <c r="W724" s="692" t="n"/>
      <c r="X724" s="692" t="n"/>
      <c r="Y724" s="692" t="n"/>
      <c r="Z724" s="692" t="n"/>
      <c r="AA724" s="692" t="n"/>
      <c r="AB724" s="692" t="n"/>
      <c r="AC724" s="692" t="n"/>
      <c r="AD724" s="692" t="n"/>
      <c r="AF724" s="236" t="n"/>
      <c r="AG724" s="236" t="n"/>
      <c r="AH724" s="236" t="n"/>
      <c r="AI724" s="236" t="n"/>
      <c r="AJ724" s="236" t="n"/>
      <c r="AK724" s="236" t="n"/>
      <c r="AL724" s="236" t="n"/>
      <c r="AM724" s="236" t="n"/>
      <c r="AN724" s="236" t="n"/>
      <c r="AO724" s="236" t="n"/>
      <c r="AP724" s="236" t="n"/>
      <c r="AQ724" s="236" t="n"/>
      <c r="AR724" s="236" t="n"/>
      <c r="AS724" s="236" t="n"/>
      <c r="AT724" s="236" t="n"/>
      <c r="AU724" s="236" t="n"/>
      <c r="AV724" s="236" t="n"/>
      <c r="AW724" s="236" t="n"/>
      <c r="AX724" s="692" t="n"/>
      <c r="AY724" s="692" t="n"/>
      <c r="AZ724" s="692" t="n"/>
      <c r="BA724" s="692" t="n"/>
      <c r="BB724" s="692" t="n"/>
      <c r="BC724" s="692" t="n"/>
      <c r="BD724" s="692" t="n"/>
      <c r="BE724" s="692" t="n"/>
      <c r="BF724" s="692" t="n"/>
      <c r="BG724" s="692" t="n"/>
      <c r="BH724" s="692" t="n"/>
      <c r="BI724" s="692" t="n"/>
      <c r="BJ724" s="692" t="n"/>
      <c r="BK724" s="692" t="n"/>
      <c r="BL724" s="692" t="n"/>
      <c r="BM724" s="692" t="n"/>
      <c r="BN724" s="692" t="n"/>
      <c r="BO724" s="692" t="n"/>
      <c r="BP724" s="692" t="n"/>
      <c r="BQ724" s="692" t="n"/>
    </row>
    <row r="725">
      <c r="A725" s="220" t="n"/>
      <c r="B725" s="211" t="n"/>
      <c r="C725" s="211" t="n"/>
      <c r="D725" s="211" t="n"/>
      <c r="E725" s="221" t="n"/>
      <c r="F725" s="211" t="n"/>
      <c r="G725" s="211" t="n"/>
      <c r="H725" s="211" t="n"/>
      <c r="I725" s="211" t="n"/>
      <c r="J725" s="211" t="n"/>
      <c r="K725" s="211" t="n"/>
      <c r="L725" s="213" t="n"/>
      <c r="M725" s="692" t="n"/>
      <c r="N725" s="692" t="n"/>
      <c r="O725" s="692" t="n"/>
      <c r="P725" s="261" t="n"/>
      <c r="Q725" s="692" t="n"/>
      <c r="R725" s="692" t="n"/>
      <c r="S725" s="692" t="n"/>
      <c r="T725" s="692" t="n"/>
      <c r="U725" s="692" t="n"/>
      <c r="V725" s="692" t="n"/>
      <c r="W725" s="692" t="n"/>
      <c r="X725" s="692" t="n"/>
      <c r="Y725" s="692" t="n"/>
      <c r="Z725" s="692" t="n"/>
      <c r="AA725" s="692" t="n"/>
      <c r="AB725" s="692" t="n"/>
      <c r="AC725" s="692" t="n"/>
      <c r="AD725" s="692" t="n"/>
      <c r="AF725" s="236" t="n"/>
      <c r="AG725" s="236" t="n"/>
      <c r="AH725" s="236" t="n"/>
      <c r="AI725" s="236" t="n"/>
      <c r="AJ725" s="236" t="n"/>
      <c r="AK725" s="236" t="n"/>
      <c r="AL725" s="236" t="n"/>
      <c r="AM725" s="236" t="n"/>
      <c r="AN725" s="236" t="n"/>
      <c r="AO725" s="236" t="n"/>
      <c r="AP725" s="236" t="n"/>
      <c r="AQ725" s="236" t="n"/>
      <c r="AR725" s="236" t="n"/>
      <c r="AS725" s="236" t="n"/>
      <c r="AT725" s="236" t="n"/>
      <c r="AU725" s="236" t="n"/>
      <c r="AV725" s="236" t="n"/>
      <c r="AW725" s="236" t="n"/>
      <c r="AX725" s="692" t="n"/>
      <c r="AY725" s="692" t="n"/>
      <c r="AZ725" s="692" t="n"/>
      <c r="BA725" s="692" t="n"/>
      <c r="BB725" s="692" t="n"/>
      <c r="BC725" s="692" t="n"/>
      <c r="BD725" s="692" t="n"/>
      <c r="BE725" s="692" t="n"/>
      <c r="BF725" s="692" t="n"/>
      <c r="BG725" s="692" t="n"/>
      <c r="BH725" s="692" t="n"/>
      <c r="BI725" s="692" t="n"/>
      <c r="BJ725" s="692" t="n"/>
      <c r="BK725" s="692" t="n"/>
      <c r="BL725" s="692" t="n"/>
      <c r="BM725" s="692" t="n"/>
      <c r="BN725" s="692" t="n"/>
      <c r="BO725" s="692" t="n"/>
      <c r="BP725" s="692" t="n"/>
      <c r="BQ725" s="692" t="n"/>
    </row>
    <row r="726">
      <c r="A726" s="218" t="n"/>
      <c r="B726" s="215" t="n"/>
      <c r="C726" s="215" t="n"/>
      <c r="D726" s="215" t="n"/>
      <c r="E726" s="219" t="n"/>
      <c r="F726" s="215" t="n"/>
      <c r="G726" s="215" t="n"/>
      <c r="H726" s="215" t="n"/>
      <c r="I726" s="215" t="n"/>
      <c r="J726" s="215" t="n"/>
      <c r="K726" s="215" t="n"/>
      <c r="L726" s="217" t="n"/>
      <c r="M726" s="692" t="n"/>
      <c r="N726" s="692" t="n"/>
      <c r="O726" s="692" t="n"/>
      <c r="P726" s="261" t="n"/>
      <c r="Q726" s="692" t="n"/>
      <c r="R726" s="692" t="n"/>
      <c r="S726" s="692" t="n"/>
      <c r="T726" s="692" t="n"/>
      <c r="U726" s="692" t="n"/>
      <c r="V726" s="692" t="n"/>
      <c r="W726" s="692" t="n"/>
      <c r="X726" s="692" t="n"/>
      <c r="Y726" s="692" t="n"/>
      <c r="Z726" s="692" t="n"/>
      <c r="AA726" s="692" t="n"/>
      <c r="AB726" s="692" t="n"/>
      <c r="AC726" s="692" t="n"/>
      <c r="AD726" s="692" t="n"/>
      <c r="AF726" s="236" t="n"/>
      <c r="AG726" s="236" t="n"/>
      <c r="AH726" s="236" t="n"/>
      <c r="AI726" s="236" t="n"/>
      <c r="AJ726" s="236" t="n"/>
      <c r="AK726" s="236" t="n"/>
      <c r="AL726" s="236" t="n"/>
      <c r="AM726" s="236" t="n"/>
      <c r="AN726" s="236" t="n"/>
      <c r="AO726" s="236" t="n"/>
      <c r="AP726" s="236" t="n"/>
      <c r="AQ726" s="236" t="n"/>
      <c r="AR726" s="236" t="n"/>
      <c r="AS726" s="236" t="n"/>
      <c r="AT726" s="236" t="n"/>
      <c r="AU726" s="236" t="n"/>
      <c r="AV726" s="236" t="n"/>
      <c r="AW726" s="236" t="n"/>
      <c r="AX726" s="692" t="n"/>
      <c r="AY726" s="692" t="n"/>
      <c r="AZ726" s="692" t="n"/>
      <c r="BA726" s="692" t="n"/>
      <c r="BB726" s="692" t="n"/>
      <c r="BC726" s="692" t="n"/>
      <c r="BD726" s="692" t="n"/>
      <c r="BE726" s="692" t="n"/>
      <c r="BF726" s="692" t="n"/>
      <c r="BG726" s="692" t="n"/>
      <c r="BH726" s="692" t="n"/>
      <c r="BI726" s="692" t="n"/>
      <c r="BJ726" s="692" t="n"/>
      <c r="BK726" s="692" t="n"/>
      <c r="BL726" s="692" t="n"/>
      <c r="BM726" s="692" t="n"/>
      <c r="BN726" s="692" t="n"/>
      <c r="BO726" s="692" t="n"/>
      <c r="BP726" s="692" t="n"/>
      <c r="BQ726" s="692" t="n"/>
    </row>
    <row r="727">
      <c r="A727" s="220" t="n"/>
      <c r="B727" s="211" t="n"/>
      <c r="C727" s="211" t="n"/>
      <c r="D727" s="211" t="n"/>
      <c r="E727" s="221" t="n"/>
      <c r="F727" s="211" t="n"/>
      <c r="G727" s="211" t="n"/>
      <c r="H727" s="211" t="n"/>
      <c r="I727" s="211" t="n"/>
      <c r="J727" s="211" t="n"/>
      <c r="K727" s="211" t="n"/>
      <c r="L727" s="213" t="n"/>
      <c r="M727" s="692" t="n"/>
      <c r="N727" s="692" t="n"/>
      <c r="O727" s="692" t="n"/>
      <c r="P727" s="261" t="n"/>
      <c r="Q727" s="692" t="n"/>
      <c r="R727" s="692" t="n"/>
      <c r="S727" s="692" t="n"/>
      <c r="T727" s="692" t="n"/>
      <c r="U727" s="692" t="n"/>
      <c r="V727" s="692" t="n"/>
      <c r="W727" s="692" t="n"/>
      <c r="X727" s="692" t="n"/>
      <c r="Y727" s="692" t="n"/>
      <c r="Z727" s="692" t="n"/>
      <c r="AA727" s="692" t="n"/>
      <c r="AB727" s="692" t="n"/>
      <c r="AC727" s="692" t="n"/>
      <c r="AD727" s="692" t="n"/>
      <c r="AF727" s="236" t="n"/>
      <c r="AG727" s="236" t="n"/>
      <c r="AH727" s="236" t="n"/>
      <c r="AI727" s="236" t="n"/>
      <c r="AJ727" s="236" t="n"/>
      <c r="AK727" s="236" t="n"/>
      <c r="AL727" s="236" t="n"/>
      <c r="AM727" s="236" t="n"/>
      <c r="AN727" s="236" t="n"/>
      <c r="AO727" s="236" t="n"/>
      <c r="AP727" s="236" t="n"/>
      <c r="AQ727" s="236" t="n"/>
      <c r="AR727" s="236" t="n"/>
      <c r="AS727" s="236" t="n"/>
      <c r="AT727" s="236" t="n"/>
      <c r="AU727" s="236" t="n"/>
      <c r="AV727" s="236" t="n"/>
      <c r="AW727" s="236" t="n"/>
      <c r="AX727" s="692" t="n"/>
      <c r="AY727" s="692" t="n"/>
      <c r="AZ727" s="692" t="n"/>
      <c r="BA727" s="692" t="n"/>
      <c r="BB727" s="692" t="n"/>
      <c r="BC727" s="692" t="n"/>
      <c r="BD727" s="692" t="n"/>
      <c r="BE727" s="692" t="n"/>
      <c r="BF727" s="692" t="n"/>
      <c r="BG727" s="692" t="n"/>
      <c r="BH727" s="692" t="n"/>
      <c r="BI727" s="692" t="n"/>
      <c r="BJ727" s="692" t="n"/>
      <c r="BK727" s="692" t="n"/>
      <c r="BL727" s="692" t="n"/>
      <c r="BM727" s="692" t="n"/>
      <c r="BN727" s="692" t="n"/>
      <c r="BO727" s="692" t="n"/>
      <c r="BP727" s="692" t="n"/>
      <c r="BQ727" s="692" t="n"/>
    </row>
    <row r="728">
      <c r="A728" s="218" t="n"/>
      <c r="B728" s="215" t="n"/>
      <c r="C728" s="215" t="n"/>
      <c r="D728" s="215" t="n"/>
      <c r="E728" s="219" t="n"/>
      <c r="F728" s="215" t="n"/>
      <c r="G728" s="215" t="n"/>
      <c r="H728" s="215" t="n"/>
      <c r="I728" s="215" t="n"/>
      <c r="J728" s="215" t="n"/>
      <c r="K728" s="215" t="n"/>
      <c r="L728" s="217" t="n"/>
      <c r="M728" s="692" t="n"/>
      <c r="N728" s="692" t="n"/>
      <c r="O728" s="692" t="n"/>
      <c r="P728" s="261" t="n"/>
      <c r="Q728" s="692" t="n"/>
      <c r="R728" s="692" t="n"/>
      <c r="S728" s="692" t="n"/>
      <c r="T728" s="692" t="n"/>
      <c r="U728" s="692" t="n"/>
      <c r="V728" s="692" t="n"/>
      <c r="W728" s="692" t="n"/>
      <c r="X728" s="692" t="n"/>
      <c r="Y728" s="692" t="n"/>
      <c r="Z728" s="692" t="n"/>
      <c r="AA728" s="692" t="n"/>
      <c r="AB728" s="692" t="n"/>
      <c r="AC728" s="692" t="n"/>
      <c r="AD728" s="692" t="n"/>
      <c r="AF728" s="236" t="n"/>
      <c r="AG728" s="236" t="n"/>
      <c r="AH728" s="236" t="n"/>
      <c r="AI728" s="236" t="n"/>
      <c r="AJ728" s="236" t="n"/>
      <c r="AK728" s="236" t="n"/>
      <c r="AL728" s="236" t="n"/>
      <c r="AM728" s="236" t="n"/>
      <c r="AN728" s="236" t="n"/>
      <c r="AO728" s="236" t="n"/>
      <c r="AP728" s="236" t="n"/>
      <c r="AQ728" s="236" t="n"/>
      <c r="AR728" s="236" t="n"/>
      <c r="AS728" s="236" t="n"/>
      <c r="AT728" s="236" t="n"/>
      <c r="AU728" s="236" t="n"/>
      <c r="AV728" s="236" t="n"/>
      <c r="AW728" s="236" t="n"/>
      <c r="AX728" s="692" t="n"/>
      <c r="AY728" s="692" t="n"/>
      <c r="AZ728" s="692" t="n"/>
      <c r="BA728" s="692" t="n"/>
      <c r="BB728" s="692" t="n"/>
      <c r="BC728" s="692" t="n"/>
      <c r="BD728" s="692" t="n"/>
      <c r="BE728" s="692" t="n"/>
      <c r="BF728" s="692" t="n"/>
      <c r="BG728" s="692" t="n"/>
      <c r="BH728" s="692" t="n"/>
      <c r="BI728" s="692" t="n"/>
      <c r="BJ728" s="692" t="n"/>
      <c r="BK728" s="692" t="n"/>
      <c r="BL728" s="692" t="n"/>
      <c r="BM728" s="692" t="n"/>
      <c r="BN728" s="692" t="n"/>
      <c r="BO728" s="692" t="n"/>
      <c r="BP728" s="692" t="n"/>
      <c r="BQ728" s="692" t="n"/>
    </row>
    <row r="729">
      <c r="A729" s="220" t="n"/>
      <c r="B729" s="211" t="n"/>
      <c r="C729" s="211" t="n"/>
      <c r="D729" s="211" t="n"/>
      <c r="E729" s="221" t="n"/>
      <c r="F729" s="211" t="n"/>
      <c r="G729" s="211" t="n"/>
      <c r="H729" s="211" t="n"/>
      <c r="I729" s="211" t="n"/>
      <c r="J729" s="211" t="n"/>
      <c r="K729" s="211" t="n"/>
      <c r="L729" s="213" t="n"/>
      <c r="M729" s="692" t="n"/>
      <c r="N729" s="692" t="n"/>
      <c r="O729" s="692" t="n"/>
      <c r="P729" s="261" t="n"/>
      <c r="Q729" s="692" t="n"/>
      <c r="R729" s="692" t="n"/>
      <c r="S729" s="692" t="n"/>
      <c r="T729" s="692" t="n"/>
      <c r="U729" s="692" t="n"/>
      <c r="V729" s="692" t="n"/>
      <c r="W729" s="692" t="n"/>
      <c r="X729" s="692" t="n"/>
      <c r="Y729" s="692" t="n"/>
      <c r="Z729" s="692" t="n"/>
      <c r="AA729" s="692" t="n"/>
      <c r="AB729" s="692" t="n"/>
      <c r="AC729" s="692" t="n"/>
      <c r="AD729" s="692" t="n"/>
      <c r="AF729" s="236" t="n"/>
      <c r="AG729" s="236" t="n"/>
      <c r="AH729" s="236" t="n"/>
      <c r="AI729" s="236" t="n"/>
      <c r="AJ729" s="236" t="n"/>
      <c r="AK729" s="236" t="n"/>
      <c r="AL729" s="236" t="n"/>
      <c r="AM729" s="236" t="n"/>
      <c r="AN729" s="236" t="n"/>
      <c r="AO729" s="236" t="n"/>
      <c r="AP729" s="236" t="n"/>
      <c r="AQ729" s="236" t="n"/>
      <c r="AR729" s="236" t="n"/>
      <c r="AS729" s="236" t="n"/>
      <c r="AT729" s="236" t="n"/>
      <c r="AU729" s="236" t="n"/>
      <c r="AV729" s="236" t="n"/>
      <c r="AW729" s="236" t="n"/>
      <c r="AX729" s="692" t="n"/>
      <c r="AY729" s="692" t="n"/>
      <c r="AZ729" s="692" t="n"/>
      <c r="BA729" s="692" t="n"/>
      <c r="BB729" s="692" t="n"/>
      <c r="BC729" s="692" t="n"/>
      <c r="BD729" s="692" t="n"/>
      <c r="BE729" s="692" t="n"/>
      <c r="BF729" s="692" t="n"/>
      <c r="BG729" s="692" t="n"/>
      <c r="BH729" s="692" t="n"/>
      <c r="BI729" s="692" t="n"/>
      <c r="BJ729" s="692" t="n"/>
      <c r="BK729" s="692" t="n"/>
      <c r="BL729" s="692" t="n"/>
      <c r="BM729" s="692" t="n"/>
      <c r="BN729" s="692" t="n"/>
      <c r="BO729" s="692" t="n"/>
      <c r="BP729" s="692" t="n"/>
      <c r="BQ729" s="692" t="n"/>
    </row>
    <row r="730">
      <c r="A730" s="218" t="n"/>
      <c r="B730" s="215" t="n"/>
      <c r="C730" s="215" t="n"/>
      <c r="D730" s="215" t="n"/>
      <c r="E730" s="219" t="n"/>
      <c r="F730" s="215" t="n"/>
      <c r="G730" s="215" t="n"/>
      <c r="H730" s="215" t="n"/>
      <c r="I730" s="215" t="n"/>
      <c r="J730" s="215" t="n"/>
      <c r="K730" s="215" t="n"/>
      <c r="L730" s="217" t="n"/>
      <c r="M730" s="692" t="n"/>
      <c r="N730" s="692" t="n"/>
      <c r="O730" s="692" t="n"/>
      <c r="P730" s="261" t="n"/>
      <c r="Q730" s="692" t="n"/>
      <c r="R730" s="692" t="n"/>
      <c r="S730" s="692" t="n"/>
      <c r="T730" s="692" t="n"/>
      <c r="U730" s="692" t="n"/>
      <c r="V730" s="692" t="n"/>
      <c r="W730" s="692" t="n"/>
      <c r="X730" s="692" t="n"/>
      <c r="Y730" s="692" t="n"/>
      <c r="Z730" s="692" t="n"/>
      <c r="AA730" s="692" t="n"/>
      <c r="AB730" s="692" t="n"/>
      <c r="AC730" s="692" t="n"/>
      <c r="AD730" s="692" t="n"/>
      <c r="AF730" s="236" t="n"/>
      <c r="AG730" s="236" t="n"/>
      <c r="AH730" s="236" t="n"/>
      <c r="AI730" s="236" t="n"/>
      <c r="AJ730" s="236" t="n"/>
      <c r="AK730" s="236" t="n"/>
      <c r="AL730" s="236" t="n"/>
      <c r="AM730" s="236" t="n"/>
      <c r="AN730" s="236" t="n"/>
      <c r="AO730" s="236" t="n"/>
      <c r="AP730" s="236" t="n"/>
      <c r="AQ730" s="236" t="n"/>
      <c r="AR730" s="236" t="n"/>
      <c r="AS730" s="236" t="n"/>
      <c r="AT730" s="236" t="n"/>
      <c r="AU730" s="236" t="n"/>
      <c r="AV730" s="236" t="n"/>
      <c r="AW730" s="236" t="n"/>
      <c r="AX730" s="692" t="n"/>
      <c r="AY730" s="692" t="n"/>
      <c r="AZ730" s="692" t="n"/>
      <c r="BA730" s="692" t="n"/>
      <c r="BB730" s="692" t="n"/>
      <c r="BC730" s="692" t="n"/>
      <c r="BD730" s="692" t="n"/>
      <c r="BE730" s="692" t="n"/>
      <c r="BF730" s="692" t="n"/>
      <c r="BG730" s="692" t="n"/>
      <c r="BH730" s="692" t="n"/>
      <c r="BI730" s="692" t="n"/>
      <c r="BJ730" s="692" t="n"/>
      <c r="BK730" s="692" t="n"/>
      <c r="BL730" s="692" t="n"/>
      <c r="BM730" s="692" t="n"/>
      <c r="BN730" s="692" t="n"/>
      <c r="BO730" s="692" t="n"/>
      <c r="BP730" s="692" t="n"/>
      <c r="BQ730" s="692" t="n"/>
    </row>
    <row r="731">
      <c r="A731" s="220" t="n"/>
      <c r="B731" s="211" t="n"/>
      <c r="C731" s="211" t="n"/>
      <c r="D731" s="211" t="n"/>
      <c r="E731" s="221" t="n"/>
      <c r="F731" s="211" t="n"/>
      <c r="G731" s="211" t="n"/>
      <c r="H731" s="211" t="n"/>
      <c r="I731" s="211" t="n"/>
      <c r="J731" s="211" t="n"/>
      <c r="K731" s="211" t="n"/>
      <c r="L731" s="213" t="n"/>
      <c r="M731" s="692" t="n"/>
      <c r="N731" s="692" t="n"/>
      <c r="O731" s="692" t="n"/>
      <c r="P731" s="261" t="n"/>
      <c r="Q731" s="692" t="n"/>
      <c r="R731" s="692" t="n"/>
      <c r="S731" s="692" t="n"/>
      <c r="T731" s="692" t="n"/>
      <c r="U731" s="692" t="n"/>
      <c r="V731" s="692" t="n"/>
      <c r="W731" s="692" t="n"/>
      <c r="X731" s="692" t="n"/>
      <c r="Y731" s="692" t="n"/>
      <c r="Z731" s="692" t="n"/>
      <c r="AA731" s="692" t="n"/>
      <c r="AB731" s="692" t="n"/>
      <c r="AC731" s="692" t="n"/>
      <c r="AD731" s="692" t="n"/>
      <c r="AF731" s="236" t="n"/>
      <c r="AG731" s="236" t="n"/>
      <c r="AH731" s="236" t="n"/>
      <c r="AI731" s="236" t="n"/>
      <c r="AJ731" s="236" t="n"/>
      <c r="AK731" s="236" t="n"/>
      <c r="AL731" s="236" t="n"/>
      <c r="AM731" s="236" t="n"/>
      <c r="AN731" s="236" t="n"/>
      <c r="AO731" s="236" t="n"/>
      <c r="AP731" s="236" t="n"/>
      <c r="AQ731" s="236" t="n"/>
      <c r="AR731" s="236" t="n"/>
      <c r="AS731" s="236" t="n"/>
      <c r="AT731" s="236" t="n"/>
      <c r="AU731" s="236" t="n"/>
      <c r="AV731" s="236" t="n"/>
      <c r="AW731" s="236" t="n"/>
      <c r="AX731" s="692" t="n"/>
      <c r="AY731" s="692" t="n"/>
      <c r="AZ731" s="692" t="n"/>
      <c r="BA731" s="692" t="n"/>
      <c r="BB731" s="692" t="n"/>
      <c r="BC731" s="692" t="n"/>
      <c r="BD731" s="692" t="n"/>
      <c r="BE731" s="692" t="n"/>
      <c r="BF731" s="692" t="n"/>
      <c r="BG731" s="692" t="n"/>
      <c r="BH731" s="692" t="n"/>
      <c r="BI731" s="692" t="n"/>
      <c r="BJ731" s="692" t="n"/>
      <c r="BK731" s="692" t="n"/>
      <c r="BL731" s="692" t="n"/>
      <c r="BM731" s="692" t="n"/>
      <c r="BN731" s="692" t="n"/>
      <c r="BO731" s="692" t="n"/>
      <c r="BP731" s="692" t="n"/>
      <c r="BQ731" s="692" t="n"/>
    </row>
    <row r="732">
      <c r="A732" s="218" t="n"/>
      <c r="B732" s="215" t="n"/>
      <c r="C732" s="215" t="n"/>
      <c r="D732" s="215" t="n"/>
      <c r="E732" s="219" t="n"/>
      <c r="F732" s="215" t="n"/>
      <c r="G732" s="215" t="n"/>
      <c r="H732" s="215" t="n"/>
      <c r="I732" s="215" t="n"/>
      <c r="J732" s="215" t="n"/>
      <c r="K732" s="215" t="n"/>
      <c r="L732" s="217" t="n"/>
      <c r="M732" s="692" t="n"/>
      <c r="N732" s="692" t="n"/>
      <c r="O732" s="692" t="n"/>
      <c r="P732" s="261" t="n"/>
      <c r="Q732" s="692" t="n"/>
      <c r="R732" s="692" t="n"/>
      <c r="S732" s="692" t="n"/>
      <c r="T732" s="692" t="n"/>
      <c r="U732" s="692" t="n"/>
      <c r="V732" s="692" t="n"/>
      <c r="W732" s="692" t="n"/>
      <c r="X732" s="692" t="n"/>
      <c r="Y732" s="692" t="n"/>
      <c r="Z732" s="692" t="n"/>
      <c r="AA732" s="692" t="n"/>
      <c r="AB732" s="692" t="n"/>
      <c r="AC732" s="692" t="n"/>
      <c r="AD732" s="692" t="n"/>
      <c r="AF732" s="236" t="n"/>
      <c r="AG732" s="236" t="n"/>
      <c r="AH732" s="236" t="n"/>
      <c r="AI732" s="236" t="n"/>
      <c r="AJ732" s="236" t="n"/>
      <c r="AK732" s="236" t="n"/>
      <c r="AL732" s="236" t="n"/>
      <c r="AM732" s="236" t="n"/>
      <c r="AN732" s="236" t="n"/>
      <c r="AO732" s="236" t="n"/>
      <c r="AP732" s="236" t="n"/>
      <c r="AQ732" s="236" t="n"/>
      <c r="AR732" s="236" t="n"/>
      <c r="AS732" s="236" t="n"/>
      <c r="AT732" s="236" t="n"/>
      <c r="AU732" s="236" t="n"/>
      <c r="AV732" s="236" t="n"/>
      <c r="AW732" s="236" t="n"/>
      <c r="AX732" s="692" t="n"/>
      <c r="AY732" s="692" t="n"/>
      <c r="AZ732" s="692" t="n"/>
      <c r="BA732" s="692" t="n"/>
      <c r="BB732" s="692" t="n"/>
      <c r="BC732" s="692" t="n"/>
      <c r="BD732" s="692" t="n"/>
      <c r="BE732" s="692" t="n"/>
      <c r="BF732" s="692" t="n"/>
      <c r="BG732" s="692" t="n"/>
      <c r="BH732" s="692" t="n"/>
      <c r="BI732" s="692" t="n"/>
      <c r="BJ732" s="692" t="n"/>
      <c r="BK732" s="692" t="n"/>
      <c r="BL732" s="692" t="n"/>
      <c r="BM732" s="692" t="n"/>
      <c r="BN732" s="692" t="n"/>
      <c r="BO732" s="692" t="n"/>
      <c r="BP732" s="692" t="n"/>
      <c r="BQ732" s="692" t="n"/>
    </row>
    <row r="733">
      <c r="A733" s="220" t="n"/>
      <c r="B733" s="211" t="n"/>
      <c r="C733" s="211" t="n"/>
      <c r="D733" s="211" t="n"/>
      <c r="E733" s="221" t="n"/>
      <c r="F733" s="211" t="n"/>
      <c r="G733" s="211" t="n"/>
      <c r="H733" s="211" t="n"/>
      <c r="I733" s="211" t="n"/>
      <c r="J733" s="211" t="n"/>
      <c r="K733" s="211" t="n"/>
      <c r="L733" s="213" t="n"/>
      <c r="M733" s="692" t="n"/>
      <c r="N733" s="692" t="n"/>
      <c r="O733" s="692" t="n"/>
      <c r="P733" s="261" t="n"/>
      <c r="Q733" s="692" t="n"/>
      <c r="R733" s="692" t="n"/>
      <c r="S733" s="692" t="n"/>
      <c r="T733" s="692" t="n"/>
      <c r="U733" s="692" t="n"/>
      <c r="V733" s="692" t="n"/>
      <c r="W733" s="692" t="n"/>
      <c r="X733" s="692" t="n"/>
      <c r="Y733" s="692" t="n"/>
      <c r="Z733" s="692" t="n"/>
      <c r="AA733" s="692" t="n"/>
      <c r="AB733" s="692" t="n"/>
      <c r="AC733" s="692" t="n"/>
      <c r="AD733" s="692" t="n"/>
      <c r="AF733" s="236" t="n"/>
      <c r="AG733" s="236" t="n"/>
      <c r="AH733" s="236" t="n"/>
      <c r="AI733" s="236" t="n"/>
      <c r="AJ733" s="236" t="n"/>
      <c r="AK733" s="236" t="n"/>
      <c r="AL733" s="236" t="n"/>
      <c r="AM733" s="236" t="n"/>
      <c r="AN733" s="236" t="n"/>
      <c r="AO733" s="236" t="n"/>
      <c r="AP733" s="236" t="n"/>
      <c r="AQ733" s="236" t="n"/>
      <c r="AR733" s="236" t="n"/>
      <c r="AS733" s="236" t="n"/>
      <c r="AT733" s="236" t="n"/>
      <c r="AU733" s="236" t="n"/>
      <c r="AV733" s="236" t="n"/>
      <c r="AW733" s="236" t="n"/>
      <c r="AX733" s="692" t="n"/>
      <c r="AY733" s="692" t="n"/>
      <c r="AZ733" s="692" t="n"/>
      <c r="BA733" s="692" t="n"/>
      <c r="BB733" s="692" t="n"/>
      <c r="BC733" s="692" t="n"/>
      <c r="BD733" s="692" t="n"/>
      <c r="BE733" s="692" t="n"/>
      <c r="BF733" s="692" t="n"/>
      <c r="BG733" s="692" t="n"/>
      <c r="BH733" s="692" t="n"/>
      <c r="BI733" s="692" t="n"/>
      <c r="BJ733" s="692" t="n"/>
      <c r="BK733" s="692" t="n"/>
      <c r="BL733" s="692" t="n"/>
      <c r="BM733" s="692" t="n"/>
      <c r="BN733" s="692" t="n"/>
      <c r="BO733" s="692" t="n"/>
      <c r="BP733" s="692" t="n"/>
      <c r="BQ733" s="692" t="n"/>
    </row>
    <row r="734">
      <c r="A734" s="218" t="n"/>
      <c r="B734" s="215" t="n"/>
      <c r="C734" s="215" t="n"/>
      <c r="D734" s="215" t="n"/>
      <c r="E734" s="219" t="n"/>
      <c r="F734" s="215" t="n"/>
      <c r="G734" s="215" t="n"/>
      <c r="H734" s="215" t="n"/>
      <c r="I734" s="215" t="n"/>
      <c r="J734" s="215" t="n"/>
      <c r="K734" s="215" t="n"/>
      <c r="L734" s="217" t="n"/>
      <c r="M734" s="692" t="n"/>
      <c r="N734" s="692" t="n"/>
      <c r="O734" s="692" t="n"/>
      <c r="P734" s="261" t="n"/>
      <c r="Q734" s="692" t="n"/>
      <c r="R734" s="692" t="n"/>
      <c r="S734" s="692" t="n"/>
      <c r="T734" s="692" t="n"/>
      <c r="U734" s="692" t="n"/>
      <c r="V734" s="692" t="n"/>
      <c r="W734" s="692" t="n"/>
      <c r="X734" s="692" t="n"/>
      <c r="Y734" s="692" t="n"/>
      <c r="Z734" s="692" t="n"/>
      <c r="AA734" s="692" t="n"/>
      <c r="AB734" s="692" t="n"/>
      <c r="AC734" s="692" t="n"/>
      <c r="AD734" s="692" t="n"/>
      <c r="AF734" s="236" t="n"/>
      <c r="AG734" s="236" t="n"/>
      <c r="AH734" s="236" t="n"/>
      <c r="AI734" s="236" t="n"/>
      <c r="AJ734" s="236" t="n"/>
      <c r="AK734" s="236" t="n"/>
      <c r="AL734" s="236" t="n"/>
      <c r="AM734" s="236" t="n"/>
      <c r="AN734" s="236" t="n"/>
      <c r="AO734" s="236" t="n"/>
      <c r="AP734" s="236" t="n"/>
      <c r="AQ734" s="236" t="n"/>
      <c r="AR734" s="236" t="n"/>
      <c r="AS734" s="236" t="n"/>
      <c r="AT734" s="236" t="n"/>
      <c r="AU734" s="236" t="n"/>
      <c r="AV734" s="236" t="n"/>
      <c r="AW734" s="236" t="n"/>
      <c r="AX734" s="692" t="n"/>
      <c r="AY734" s="692" t="n"/>
      <c r="AZ734" s="692" t="n"/>
      <c r="BA734" s="692" t="n"/>
      <c r="BB734" s="692" t="n"/>
      <c r="BC734" s="692" t="n"/>
      <c r="BD734" s="692" t="n"/>
      <c r="BE734" s="692" t="n"/>
      <c r="BF734" s="692" t="n"/>
      <c r="BG734" s="692" t="n"/>
      <c r="BH734" s="692" t="n"/>
      <c r="BI734" s="692" t="n"/>
      <c r="BJ734" s="692" t="n"/>
      <c r="BK734" s="692" t="n"/>
      <c r="BL734" s="692" t="n"/>
      <c r="BM734" s="692" t="n"/>
      <c r="BN734" s="692" t="n"/>
      <c r="BO734" s="692" t="n"/>
      <c r="BP734" s="692" t="n"/>
      <c r="BQ734" s="692" t="n"/>
    </row>
    <row r="735">
      <c r="A735" s="220" t="n"/>
      <c r="B735" s="211" t="n"/>
      <c r="C735" s="211" t="n"/>
      <c r="D735" s="211" t="n"/>
      <c r="E735" s="221" t="n"/>
      <c r="F735" s="211" t="n"/>
      <c r="G735" s="211" t="n"/>
      <c r="H735" s="211" t="n"/>
      <c r="I735" s="211" t="n"/>
      <c r="J735" s="211" t="n"/>
      <c r="K735" s="211" t="n"/>
      <c r="L735" s="213" t="n"/>
      <c r="M735" s="692" t="n"/>
      <c r="N735" s="692" t="n"/>
      <c r="O735" s="692" t="n"/>
      <c r="P735" s="261" t="n"/>
      <c r="Q735" s="692" t="n"/>
      <c r="R735" s="692" t="n"/>
      <c r="S735" s="692" t="n"/>
      <c r="T735" s="692" t="n"/>
      <c r="U735" s="692" t="n"/>
      <c r="V735" s="692" t="n"/>
      <c r="W735" s="692" t="n"/>
      <c r="X735" s="692" t="n"/>
      <c r="Y735" s="692" t="n"/>
      <c r="Z735" s="692" t="n"/>
      <c r="AA735" s="692" t="n"/>
      <c r="AB735" s="692" t="n"/>
      <c r="AC735" s="692" t="n"/>
      <c r="AD735" s="692" t="n"/>
      <c r="AF735" s="236" t="n"/>
      <c r="AG735" s="236" t="n"/>
      <c r="AH735" s="236" t="n"/>
      <c r="AI735" s="236" t="n"/>
      <c r="AJ735" s="236" t="n"/>
      <c r="AK735" s="236" t="n"/>
      <c r="AL735" s="236" t="n"/>
      <c r="AM735" s="236" t="n"/>
      <c r="AN735" s="236" t="n"/>
      <c r="AO735" s="236" t="n"/>
      <c r="AP735" s="236" t="n"/>
      <c r="AQ735" s="236" t="n"/>
      <c r="AR735" s="236" t="n"/>
      <c r="AS735" s="236" t="n"/>
      <c r="AT735" s="236" t="n"/>
      <c r="AU735" s="236" t="n"/>
      <c r="AV735" s="236" t="n"/>
      <c r="AW735" s="236" t="n"/>
      <c r="AX735" s="692" t="n"/>
      <c r="AY735" s="692" t="n"/>
      <c r="AZ735" s="692" t="n"/>
      <c r="BA735" s="692" t="n"/>
      <c r="BB735" s="692" t="n"/>
      <c r="BC735" s="692" t="n"/>
      <c r="BD735" s="692" t="n"/>
      <c r="BE735" s="692" t="n"/>
      <c r="BF735" s="692" t="n"/>
      <c r="BG735" s="692" t="n"/>
      <c r="BH735" s="692" t="n"/>
      <c r="BI735" s="692" t="n"/>
      <c r="BJ735" s="692" t="n"/>
      <c r="BK735" s="692" t="n"/>
      <c r="BL735" s="692" t="n"/>
      <c r="BM735" s="692" t="n"/>
      <c r="BN735" s="692" t="n"/>
      <c r="BO735" s="692" t="n"/>
      <c r="BP735" s="692" t="n"/>
      <c r="BQ735" s="692" t="n"/>
    </row>
    <row r="736">
      <c r="A736" s="218" t="n"/>
      <c r="B736" s="215" t="n"/>
      <c r="C736" s="215" t="n"/>
      <c r="D736" s="215" t="n"/>
      <c r="E736" s="219" t="n"/>
      <c r="F736" s="215" t="n"/>
      <c r="G736" s="215" t="n"/>
      <c r="H736" s="215" t="n"/>
      <c r="I736" s="215" t="n"/>
      <c r="J736" s="215" t="n"/>
      <c r="K736" s="215" t="n"/>
      <c r="L736" s="217" t="n"/>
      <c r="M736" s="692" t="n"/>
      <c r="N736" s="692" t="n"/>
      <c r="O736" s="692" t="n"/>
      <c r="P736" s="261" t="n"/>
      <c r="Q736" s="692" t="n"/>
      <c r="R736" s="692" t="n"/>
      <c r="S736" s="692" t="n"/>
      <c r="T736" s="692" t="n"/>
      <c r="U736" s="692" t="n"/>
      <c r="V736" s="692" t="n"/>
      <c r="W736" s="692" t="n"/>
      <c r="X736" s="692" t="n"/>
      <c r="Y736" s="692" t="n"/>
      <c r="Z736" s="692" t="n"/>
      <c r="AA736" s="692" t="n"/>
      <c r="AB736" s="692" t="n"/>
      <c r="AC736" s="692" t="n"/>
      <c r="AD736" s="692" t="n"/>
      <c r="AF736" s="236" t="n"/>
      <c r="AG736" s="236" t="n"/>
      <c r="AH736" s="236" t="n"/>
      <c r="AI736" s="236" t="n"/>
      <c r="AJ736" s="236" t="n"/>
      <c r="AK736" s="236" t="n"/>
      <c r="AL736" s="236" t="n"/>
      <c r="AM736" s="236" t="n"/>
      <c r="AN736" s="236" t="n"/>
      <c r="AO736" s="236" t="n"/>
      <c r="AP736" s="236" t="n"/>
      <c r="AQ736" s="236" t="n"/>
      <c r="AR736" s="236" t="n"/>
      <c r="AS736" s="236" t="n"/>
      <c r="AT736" s="236" t="n"/>
      <c r="AU736" s="236" t="n"/>
      <c r="AV736" s="236" t="n"/>
      <c r="AW736" s="236" t="n"/>
      <c r="AX736" s="692" t="n"/>
      <c r="AY736" s="692" t="n"/>
      <c r="AZ736" s="692" t="n"/>
      <c r="BA736" s="692" t="n"/>
      <c r="BB736" s="692" t="n"/>
      <c r="BC736" s="692" t="n"/>
      <c r="BD736" s="692" t="n"/>
      <c r="BE736" s="692" t="n"/>
      <c r="BF736" s="692" t="n"/>
      <c r="BG736" s="692" t="n"/>
      <c r="BH736" s="692" t="n"/>
      <c r="BI736" s="692" t="n"/>
      <c r="BJ736" s="692" t="n"/>
      <c r="BK736" s="692" t="n"/>
      <c r="BL736" s="692" t="n"/>
      <c r="BM736" s="692" t="n"/>
      <c r="BN736" s="692" t="n"/>
      <c r="BO736" s="692" t="n"/>
      <c r="BP736" s="692" t="n"/>
      <c r="BQ736" s="692" t="n"/>
    </row>
    <row r="737">
      <c r="A737" s="220" t="n"/>
      <c r="B737" s="211" t="n"/>
      <c r="C737" s="211" t="n"/>
      <c r="D737" s="211" t="n"/>
      <c r="E737" s="221" t="n"/>
      <c r="F737" s="211" t="n"/>
      <c r="G737" s="211" t="n"/>
      <c r="H737" s="211" t="n"/>
      <c r="I737" s="211" t="n"/>
      <c r="J737" s="211" t="n"/>
      <c r="K737" s="211" t="n"/>
      <c r="L737" s="213" t="n"/>
      <c r="M737" s="692" t="n"/>
      <c r="N737" s="692" t="n"/>
      <c r="O737" s="692" t="n"/>
      <c r="P737" s="261" t="n"/>
      <c r="Q737" s="692" t="n"/>
      <c r="R737" s="692" t="n"/>
      <c r="S737" s="692" t="n"/>
      <c r="T737" s="692" t="n"/>
      <c r="U737" s="692" t="n"/>
      <c r="V737" s="692" t="n"/>
      <c r="W737" s="692" t="n"/>
      <c r="X737" s="692" t="n"/>
      <c r="Y737" s="692" t="n"/>
      <c r="Z737" s="692" t="n"/>
      <c r="AA737" s="692" t="n"/>
      <c r="AB737" s="692" t="n"/>
      <c r="AC737" s="692" t="n"/>
      <c r="AD737" s="692" t="n"/>
      <c r="AF737" s="236" t="n"/>
      <c r="AG737" s="236" t="n"/>
      <c r="AH737" s="236" t="n"/>
      <c r="AI737" s="236" t="n"/>
      <c r="AJ737" s="236" t="n"/>
      <c r="AK737" s="236" t="n"/>
      <c r="AL737" s="236" t="n"/>
      <c r="AM737" s="236" t="n"/>
      <c r="AN737" s="236" t="n"/>
      <c r="AO737" s="236" t="n"/>
      <c r="AP737" s="236" t="n"/>
      <c r="AQ737" s="236" t="n"/>
      <c r="AR737" s="236" t="n"/>
      <c r="AS737" s="236" t="n"/>
      <c r="AT737" s="236" t="n"/>
      <c r="AU737" s="236" t="n"/>
      <c r="AV737" s="236" t="n"/>
      <c r="AW737" s="236" t="n"/>
      <c r="AX737" s="692" t="n"/>
      <c r="AY737" s="692" t="n"/>
      <c r="AZ737" s="692" t="n"/>
      <c r="BA737" s="692" t="n"/>
      <c r="BB737" s="692" t="n"/>
      <c r="BC737" s="692" t="n"/>
      <c r="BD737" s="692" t="n"/>
      <c r="BE737" s="692" t="n"/>
      <c r="BF737" s="692" t="n"/>
      <c r="BG737" s="692" t="n"/>
      <c r="BH737" s="692" t="n"/>
      <c r="BI737" s="692" t="n"/>
      <c r="BJ737" s="692" t="n"/>
      <c r="BK737" s="692" t="n"/>
      <c r="BL737" s="692" t="n"/>
      <c r="BM737" s="692" t="n"/>
      <c r="BN737" s="692" t="n"/>
      <c r="BO737" s="692" t="n"/>
      <c r="BP737" s="692" t="n"/>
      <c r="BQ737" s="692" t="n"/>
    </row>
    <row r="738">
      <c r="A738" s="218" t="n"/>
      <c r="B738" s="215" t="n"/>
      <c r="C738" s="215" t="n"/>
      <c r="D738" s="215" t="n"/>
      <c r="E738" s="219" t="n"/>
      <c r="F738" s="215" t="n"/>
      <c r="G738" s="215" t="n"/>
      <c r="H738" s="215" t="n"/>
      <c r="I738" s="215" t="n"/>
      <c r="J738" s="215" t="n"/>
      <c r="K738" s="215" t="n"/>
      <c r="L738" s="217" t="n"/>
      <c r="M738" s="692" t="n"/>
      <c r="N738" s="692" t="n"/>
      <c r="O738" s="692" t="n"/>
      <c r="P738" s="261" t="n"/>
      <c r="Q738" s="692" t="n"/>
      <c r="R738" s="692" t="n"/>
      <c r="S738" s="692" t="n"/>
      <c r="T738" s="692" t="n"/>
      <c r="U738" s="692" t="n"/>
      <c r="V738" s="692" t="n"/>
      <c r="W738" s="692" t="n"/>
      <c r="X738" s="692" t="n"/>
      <c r="Y738" s="692" t="n"/>
      <c r="Z738" s="692" t="n"/>
      <c r="AA738" s="692" t="n"/>
      <c r="AB738" s="692" t="n"/>
      <c r="AC738" s="692" t="n"/>
      <c r="AD738" s="692" t="n"/>
      <c r="AF738" s="236" t="n"/>
      <c r="AG738" s="236" t="n"/>
      <c r="AH738" s="236" t="n"/>
      <c r="AI738" s="236" t="n"/>
      <c r="AJ738" s="236" t="n"/>
      <c r="AK738" s="236" t="n"/>
      <c r="AL738" s="236" t="n"/>
      <c r="AM738" s="236" t="n"/>
      <c r="AN738" s="236" t="n"/>
      <c r="AO738" s="236" t="n"/>
      <c r="AP738" s="236" t="n"/>
      <c r="AQ738" s="236" t="n"/>
      <c r="AR738" s="236" t="n"/>
      <c r="AS738" s="236" t="n"/>
      <c r="AT738" s="236" t="n"/>
      <c r="AU738" s="236" t="n"/>
      <c r="AV738" s="236" t="n"/>
      <c r="AW738" s="236" t="n"/>
      <c r="AX738" s="692" t="n"/>
      <c r="AY738" s="692" t="n"/>
      <c r="AZ738" s="692" t="n"/>
      <c r="BA738" s="692" t="n"/>
      <c r="BB738" s="692" t="n"/>
      <c r="BC738" s="692" t="n"/>
      <c r="BD738" s="692" t="n"/>
      <c r="BE738" s="692" t="n"/>
      <c r="BF738" s="692" t="n"/>
      <c r="BG738" s="692" t="n"/>
      <c r="BH738" s="692" t="n"/>
      <c r="BI738" s="692" t="n"/>
      <c r="BJ738" s="692" t="n"/>
      <c r="BK738" s="692" t="n"/>
      <c r="BL738" s="692" t="n"/>
      <c r="BM738" s="692" t="n"/>
      <c r="BN738" s="692" t="n"/>
      <c r="BO738" s="692" t="n"/>
      <c r="BP738" s="692" t="n"/>
      <c r="BQ738" s="692" t="n"/>
    </row>
    <row r="739">
      <c r="A739" s="220" t="n"/>
      <c r="B739" s="211" t="n"/>
      <c r="C739" s="211" t="n"/>
      <c r="D739" s="211" t="n"/>
      <c r="E739" s="221" t="n"/>
      <c r="F739" s="211" t="n"/>
      <c r="G739" s="211" t="n"/>
      <c r="H739" s="211" t="n"/>
      <c r="I739" s="211" t="n"/>
      <c r="J739" s="211" t="n"/>
      <c r="K739" s="211" t="n"/>
      <c r="L739" s="213" t="n"/>
      <c r="M739" s="692" t="n"/>
      <c r="N739" s="692" t="n"/>
      <c r="O739" s="692" t="n"/>
      <c r="P739" s="261" t="n"/>
      <c r="Q739" s="692" t="n"/>
      <c r="R739" s="692" t="n"/>
      <c r="S739" s="692" t="n"/>
      <c r="T739" s="692" t="n"/>
      <c r="U739" s="692" t="n"/>
      <c r="V739" s="692" t="n"/>
      <c r="W739" s="692" t="n"/>
      <c r="X739" s="692" t="n"/>
      <c r="Y739" s="692" t="n"/>
      <c r="Z739" s="692" t="n"/>
      <c r="AA739" s="692" t="n"/>
      <c r="AB739" s="692" t="n"/>
      <c r="AC739" s="692" t="n"/>
      <c r="AD739" s="692" t="n"/>
      <c r="AF739" s="236" t="n"/>
      <c r="AG739" s="236" t="n"/>
      <c r="AH739" s="236" t="n"/>
      <c r="AI739" s="236" t="n"/>
      <c r="AJ739" s="236" t="n"/>
      <c r="AK739" s="236" t="n"/>
      <c r="AL739" s="236" t="n"/>
      <c r="AM739" s="236" t="n"/>
      <c r="AN739" s="236" t="n"/>
      <c r="AO739" s="236" t="n"/>
      <c r="AP739" s="236" t="n"/>
      <c r="AQ739" s="236" t="n"/>
      <c r="AR739" s="236" t="n"/>
      <c r="AS739" s="236" t="n"/>
      <c r="AT739" s="236" t="n"/>
      <c r="AU739" s="236" t="n"/>
      <c r="AV739" s="236" t="n"/>
      <c r="AW739" s="236" t="n"/>
      <c r="AX739" s="692" t="n"/>
      <c r="AY739" s="692" t="n"/>
      <c r="AZ739" s="692" t="n"/>
      <c r="BA739" s="692" t="n"/>
      <c r="BB739" s="692" t="n"/>
      <c r="BC739" s="692" t="n"/>
      <c r="BD739" s="692" t="n"/>
      <c r="BE739" s="692" t="n"/>
      <c r="BF739" s="692" t="n"/>
      <c r="BG739" s="692" t="n"/>
      <c r="BH739" s="692" t="n"/>
      <c r="BI739" s="692" t="n"/>
      <c r="BJ739" s="692" t="n"/>
      <c r="BK739" s="692" t="n"/>
      <c r="BL739" s="692" t="n"/>
      <c r="BM739" s="692" t="n"/>
      <c r="BN739" s="692" t="n"/>
      <c r="BO739" s="692" t="n"/>
      <c r="BP739" s="692" t="n"/>
      <c r="BQ739" s="692" t="n"/>
    </row>
    <row r="740">
      <c r="A740" s="218" t="n"/>
      <c r="B740" s="215" t="n"/>
      <c r="C740" s="215" t="n"/>
      <c r="D740" s="215" t="n"/>
      <c r="E740" s="219" t="n"/>
      <c r="F740" s="215" t="n"/>
      <c r="G740" s="215" t="n"/>
      <c r="H740" s="215" t="n"/>
      <c r="I740" s="215" t="n"/>
      <c r="J740" s="215" t="n"/>
      <c r="K740" s="215" t="n"/>
      <c r="L740" s="217" t="n"/>
      <c r="M740" s="692" t="n"/>
      <c r="N740" s="692" t="n"/>
      <c r="O740" s="692" t="n"/>
      <c r="P740" s="261" t="n"/>
      <c r="Q740" s="692" t="n"/>
      <c r="R740" s="692" t="n"/>
      <c r="S740" s="692" t="n"/>
      <c r="T740" s="692" t="n"/>
      <c r="U740" s="692" t="n"/>
      <c r="V740" s="692" t="n"/>
      <c r="W740" s="692" t="n"/>
      <c r="X740" s="692" t="n"/>
      <c r="Y740" s="692" t="n"/>
      <c r="Z740" s="692" t="n"/>
      <c r="AA740" s="692" t="n"/>
      <c r="AB740" s="692" t="n"/>
      <c r="AC740" s="692" t="n"/>
      <c r="AD740" s="692" t="n"/>
      <c r="AF740" s="236" t="n"/>
      <c r="AG740" s="236" t="n"/>
      <c r="AH740" s="236" t="n"/>
      <c r="AI740" s="236" t="n"/>
      <c r="AJ740" s="236" t="n"/>
      <c r="AK740" s="236" t="n"/>
      <c r="AL740" s="236" t="n"/>
      <c r="AM740" s="236" t="n"/>
      <c r="AN740" s="236" t="n"/>
      <c r="AO740" s="236" t="n"/>
      <c r="AP740" s="236" t="n"/>
      <c r="AQ740" s="236" t="n"/>
      <c r="AR740" s="236" t="n"/>
      <c r="AS740" s="236" t="n"/>
      <c r="AT740" s="236" t="n"/>
      <c r="AU740" s="236" t="n"/>
      <c r="AV740" s="236" t="n"/>
      <c r="AW740" s="236" t="n"/>
      <c r="AX740" s="692" t="n"/>
      <c r="AY740" s="692" t="n"/>
      <c r="AZ740" s="692" t="n"/>
      <c r="BA740" s="692" t="n"/>
      <c r="BB740" s="692" t="n"/>
      <c r="BC740" s="692" t="n"/>
      <c r="BD740" s="692" t="n"/>
      <c r="BE740" s="692" t="n"/>
      <c r="BF740" s="692" t="n"/>
      <c r="BG740" s="692" t="n"/>
      <c r="BH740" s="692" t="n"/>
      <c r="BI740" s="692" t="n"/>
      <c r="BJ740" s="692" t="n"/>
      <c r="BK740" s="692" t="n"/>
      <c r="BL740" s="692" t="n"/>
      <c r="BM740" s="692" t="n"/>
      <c r="BN740" s="692" t="n"/>
      <c r="BO740" s="692" t="n"/>
      <c r="BP740" s="692" t="n"/>
      <c r="BQ740" s="692" t="n"/>
    </row>
    <row r="741">
      <c r="A741" s="220" t="n"/>
      <c r="B741" s="211" t="n"/>
      <c r="C741" s="211" t="n"/>
      <c r="D741" s="211" t="n"/>
      <c r="E741" s="221" t="n"/>
      <c r="F741" s="211" t="n"/>
      <c r="G741" s="211" t="n"/>
      <c r="H741" s="211" t="n"/>
      <c r="I741" s="211" t="n"/>
      <c r="J741" s="211" t="n"/>
      <c r="K741" s="211" t="n"/>
      <c r="L741" s="213" t="n"/>
      <c r="M741" s="692" t="n"/>
      <c r="N741" s="692" t="n"/>
      <c r="O741" s="692" t="n"/>
      <c r="P741" s="261" t="n"/>
      <c r="Q741" s="692" t="n"/>
      <c r="R741" s="692" t="n"/>
      <c r="S741" s="692" t="n"/>
      <c r="T741" s="692" t="n"/>
      <c r="U741" s="692" t="n"/>
      <c r="V741" s="692" t="n"/>
      <c r="W741" s="692" t="n"/>
      <c r="X741" s="692" t="n"/>
      <c r="Y741" s="692" t="n"/>
      <c r="Z741" s="692" t="n"/>
      <c r="AA741" s="692" t="n"/>
      <c r="AB741" s="692" t="n"/>
      <c r="AC741" s="692" t="n"/>
      <c r="AD741" s="692" t="n"/>
      <c r="AF741" s="236" t="n"/>
      <c r="AG741" s="236" t="n"/>
      <c r="AH741" s="236" t="n"/>
      <c r="AI741" s="236" t="n"/>
      <c r="AJ741" s="236" t="n"/>
      <c r="AK741" s="236" t="n"/>
      <c r="AL741" s="236" t="n"/>
      <c r="AM741" s="236" t="n"/>
      <c r="AN741" s="236" t="n"/>
      <c r="AO741" s="236" t="n"/>
      <c r="AP741" s="236" t="n"/>
      <c r="AQ741" s="236" t="n"/>
      <c r="AR741" s="236" t="n"/>
      <c r="AS741" s="236" t="n"/>
      <c r="AT741" s="236" t="n"/>
      <c r="AU741" s="236" t="n"/>
      <c r="AV741" s="236" t="n"/>
      <c r="AW741" s="236" t="n"/>
      <c r="AX741" s="692" t="n"/>
      <c r="AY741" s="692" t="n"/>
      <c r="AZ741" s="692" t="n"/>
      <c r="BA741" s="692" t="n"/>
      <c r="BB741" s="692" t="n"/>
      <c r="BC741" s="692" t="n"/>
      <c r="BD741" s="692" t="n"/>
      <c r="BE741" s="692" t="n"/>
      <c r="BF741" s="692" t="n"/>
      <c r="BG741" s="692" t="n"/>
      <c r="BH741" s="692" t="n"/>
      <c r="BI741" s="692" t="n"/>
      <c r="BJ741" s="692" t="n"/>
      <c r="BK741" s="692" t="n"/>
      <c r="BL741" s="692" t="n"/>
      <c r="BM741" s="692" t="n"/>
      <c r="BN741" s="692" t="n"/>
      <c r="BO741" s="692" t="n"/>
      <c r="BP741" s="692" t="n"/>
      <c r="BQ741" s="692" t="n"/>
    </row>
    <row r="742">
      <c r="A742" s="218" t="n"/>
      <c r="B742" s="215" t="n"/>
      <c r="C742" s="215" t="n"/>
      <c r="D742" s="215" t="n"/>
      <c r="E742" s="219" t="n"/>
      <c r="F742" s="215" t="n"/>
      <c r="G742" s="215" t="n"/>
      <c r="H742" s="215" t="n"/>
      <c r="I742" s="215" t="n"/>
      <c r="J742" s="215" t="n"/>
      <c r="K742" s="215" t="n"/>
      <c r="L742" s="217" t="n"/>
      <c r="M742" s="692" t="n"/>
      <c r="N742" s="692" t="n"/>
      <c r="O742" s="692" t="n"/>
      <c r="P742" s="261" t="n"/>
      <c r="Q742" s="692" t="n"/>
      <c r="R742" s="692" t="n"/>
      <c r="S742" s="692" t="n"/>
      <c r="T742" s="692" t="n"/>
      <c r="U742" s="692" t="n"/>
      <c r="V742" s="692" t="n"/>
      <c r="W742" s="692" t="n"/>
      <c r="X742" s="692" t="n"/>
      <c r="Y742" s="692" t="n"/>
      <c r="Z742" s="692" t="n"/>
      <c r="AA742" s="692" t="n"/>
      <c r="AB742" s="692" t="n"/>
      <c r="AC742" s="692" t="n"/>
      <c r="AD742" s="692" t="n"/>
      <c r="AF742" s="236" t="n"/>
      <c r="AG742" s="236" t="n"/>
      <c r="AH742" s="236" t="n"/>
      <c r="AI742" s="236" t="n"/>
      <c r="AJ742" s="236" t="n"/>
      <c r="AK742" s="236" t="n"/>
      <c r="AL742" s="236" t="n"/>
      <c r="AM742" s="236" t="n"/>
      <c r="AN742" s="236" t="n"/>
      <c r="AO742" s="236" t="n"/>
      <c r="AP742" s="236" t="n"/>
      <c r="AQ742" s="236" t="n"/>
      <c r="AR742" s="236" t="n"/>
      <c r="AS742" s="236" t="n"/>
      <c r="AT742" s="236" t="n"/>
      <c r="AU742" s="236" t="n"/>
      <c r="AV742" s="236" t="n"/>
      <c r="AW742" s="236" t="n"/>
      <c r="AX742" s="692" t="n"/>
      <c r="AY742" s="692" t="n"/>
      <c r="AZ742" s="692" t="n"/>
      <c r="BA742" s="692" t="n"/>
      <c r="BB742" s="692" t="n"/>
      <c r="BC742" s="692" t="n"/>
      <c r="BD742" s="692" t="n"/>
      <c r="BE742" s="692" t="n"/>
      <c r="BF742" s="692" t="n"/>
      <c r="BG742" s="692" t="n"/>
      <c r="BH742" s="692" t="n"/>
      <c r="BI742" s="692" t="n"/>
      <c r="BJ742" s="692" t="n"/>
      <c r="BK742" s="692" t="n"/>
      <c r="BL742" s="692" t="n"/>
      <c r="BM742" s="692" t="n"/>
      <c r="BN742" s="692" t="n"/>
      <c r="BO742" s="692" t="n"/>
      <c r="BP742" s="692" t="n"/>
      <c r="BQ742" s="692" t="n"/>
    </row>
    <row r="743">
      <c r="A743" s="220" t="n"/>
      <c r="B743" s="211" t="n"/>
      <c r="C743" s="211" t="n"/>
      <c r="D743" s="211" t="n"/>
      <c r="E743" s="221" t="n"/>
      <c r="F743" s="211" t="n"/>
      <c r="G743" s="211" t="n"/>
      <c r="H743" s="211" t="n"/>
      <c r="I743" s="211" t="n"/>
      <c r="J743" s="211" t="n"/>
      <c r="K743" s="211" t="n"/>
      <c r="L743" s="213" t="n"/>
      <c r="M743" s="692" t="n"/>
      <c r="N743" s="692" t="n"/>
      <c r="O743" s="692" t="n"/>
      <c r="P743" s="261" t="n"/>
      <c r="Q743" s="692" t="n"/>
      <c r="R743" s="692" t="n"/>
      <c r="S743" s="692" t="n"/>
      <c r="T743" s="692" t="n"/>
      <c r="U743" s="692" t="n"/>
      <c r="V743" s="692" t="n"/>
      <c r="W743" s="692" t="n"/>
      <c r="X743" s="692" t="n"/>
      <c r="Y743" s="692" t="n"/>
      <c r="Z743" s="692" t="n"/>
      <c r="AA743" s="692" t="n"/>
      <c r="AB743" s="692" t="n"/>
      <c r="AC743" s="692" t="n"/>
      <c r="AD743" s="692" t="n"/>
      <c r="AF743" s="236" t="n"/>
      <c r="AG743" s="236" t="n"/>
      <c r="AH743" s="236" t="n"/>
      <c r="AI743" s="236" t="n"/>
      <c r="AJ743" s="236" t="n"/>
      <c r="AK743" s="236" t="n"/>
      <c r="AL743" s="236" t="n"/>
      <c r="AM743" s="236" t="n"/>
      <c r="AN743" s="236" t="n"/>
      <c r="AO743" s="236" t="n"/>
      <c r="AP743" s="236" t="n"/>
      <c r="AQ743" s="236" t="n"/>
      <c r="AR743" s="236" t="n"/>
      <c r="AS743" s="236" t="n"/>
      <c r="AT743" s="236" t="n"/>
      <c r="AU743" s="236" t="n"/>
      <c r="AV743" s="236" t="n"/>
      <c r="AW743" s="236" t="n"/>
      <c r="AX743" s="692" t="n"/>
      <c r="AY743" s="692" t="n"/>
      <c r="AZ743" s="692" t="n"/>
      <c r="BA743" s="692" t="n"/>
      <c r="BB743" s="692" t="n"/>
      <c r="BC743" s="692" t="n"/>
      <c r="BD743" s="692" t="n"/>
      <c r="BE743" s="692" t="n"/>
      <c r="BF743" s="692" t="n"/>
      <c r="BG743" s="692" t="n"/>
      <c r="BH743" s="692" t="n"/>
      <c r="BI743" s="692" t="n"/>
      <c r="BJ743" s="692" t="n"/>
      <c r="BK743" s="692" t="n"/>
      <c r="BL743" s="692" t="n"/>
      <c r="BM743" s="692" t="n"/>
      <c r="BN743" s="692" t="n"/>
      <c r="BO743" s="692" t="n"/>
      <c r="BP743" s="692" t="n"/>
      <c r="BQ743" s="692" t="n"/>
    </row>
    <row r="744">
      <c r="A744" s="218" t="n"/>
      <c r="B744" s="215" t="n"/>
      <c r="C744" s="215" t="n"/>
      <c r="D744" s="215" t="n"/>
      <c r="E744" s="219" t="n"/>
      <c r="F744" s="215" t="n"/>
      <c r="G744" s="215" t="n"/>
      <c r="H744" s="215" t="n"/>
      <c r="I744" s="215" t="n"/>
      <c r="J744" s="215" t="n"/>
      <c r="K744" s="215" t="n"/>
      <c r="L744" s="217" t="n"/>
      <c r="M744" s="692" t="n"/>
      <c r="N744" s="692" t="n"/>
      <c r="O744" s="692" t="n"/>
      <c r="P744" s="261" t="n"/>
      <c r="Q744" s="692" t="n"/>
      <c r="R744" s="692" t="n"/>
      <c r="S744" s="692" t="n"/>
      <c r="T744" s="692" t="n"/>
      <c r="U744" s="692" t="n"/>
      <c r="V744" s="692" t="n"/>
      <c r="W744" s="692" t="n"/>
      <c r="X744" s="692" t="n"/>
      <c r="Y744" s="692" t="n"/>
      <c r="Z744" s="692" t="n"/>
      <c r="AA744" s="692" t="n"/>
      <c r="AB744" s="692" t="n"/>
      <c r="AC744" s="692" t="n"/>
      <c r="AD744" s="692" t="n"/>
      <c r="AF744" s="236" t="n"/>
      <c r="AG744" s="236" t="n"/>
      <c r="AH744" s="236" t="n"/>
      <c r="AI744" s="236" t="n"/>
      <c r="AJ744" s="236" t="n"/>
      <c r="AK744" s="236" t="n"/>
      <c r="AL744" s="236" t="n"/>
      <c r="AM744" s="236" t="n"/>
      <c r="AN744" s="236" t="n"/>
      <c r="AO744" s="236" t="n"/>
      <c r="AP744" s="236" t="n"/>
      <c r="AQ744" s="236" t="n"/>
      <c r="AR744" s="236" t="n"/>
      <c r="AS744" s="236" t="n"/>
      <c r="AT744" s="236" t="n"/>
      <c r="AU744" s="236" t="n"/>
      <c r="AV744" s="236" t="n"/>
      <c r="AW744" s="236" t="n"/>
      <c r="AX744" s="692" t="n"/>
      <c r="AY744" s="692" t="n"/>
      <c r="AZ744" s="692" t="n"/>
      <c r="BA744" s="692" t="n"/>
      <c r="BB744" s="692" t="n"/>
      <c r="BC744" s="692" t="n"/>
      <c r="BD744" s="692" t="n"/>
      <c r="BE744" s="692" t="n"/>
      <c r="BF744" s="692" t="n"/>
      <c r="BG744" s="692" t="n"/>
      <c r="BH744" s="692" t="n"/>
      <c r="BI744" s="692" t="n"/>
      <c r="BJ744" s="692" t="n"/>
      <c r="BK744" s="692" t="n"/>
      <c r="BL744" s="692" t="n"/>
      <c r="BM744" s="692" t="n"/>
      <c r="BN744" s="692" t="n"/>
      <c r="BO744" s="692" t="n"/>
      <c r="BP744" s="692" t="n"/>
      <c r="BQ744" s="692" t="n"/>
    </row>
    <row r="745">
      <c r="A745" s="220" t="n"/>
      <c r="B745" s="211" t="n"/>
      <c r="C745" s="211" t="n"/>
      <c r="D745" s="211" t="n"/>
      <c r="E745" s="221" t="n"/>
      <c r="F745" s="211" t="n"/>
      <c r="G745" s="211" t="n"/>
      <c r="H745" s="211" t="n"/>
      <c r="I745" s="211" t="n"/>
      <c r="J745" s="211" t="n"/>
      <c r="K745" s="211" t="n"/>
      <c r="L745" s="213" t="n"/>
      <c r="M745" s="692" t="n"/>
      <c r="N745" s="692" t="n"/>
      <c r="O745" s="692" t="n"/>
      <c r="P745" s="261" t="n"/>
      <c r="Q745" s="692" t="n"/>
      <c r="R745" s="692" t="n"/>
      <c r="S745" s="692" t="n"/>
      <c r="T745" s="692" t="n"/>
      <c r="U745" s="692" t="n"/>
      <c r="V745" s="692" t="n"/>
      <c r="W745" s="692" t="n"/>
      <c r="X745" s="692" t="n"/>
      <c r="Y745" s="692" t="n"/>
      <c r="Z745" s="692" t="n"/>
      <c r="AA745" s="692" t="n"/>
      <c r="AB745" s="692" t="n"/>
      <c r="AC745" s="692" t="n"/>
      <c r="AD745" s="692" t="n"/>
      <c r="AF745" s="236" t="n"/>
      <c r="AG745" s="236" t="n"/>
      <c r="AH745" s="236" t="n"/>
      <c r="AI745" s="236" t="n"/>
      <c r="AJ745" s="236" t="n"/>
      <c r="AK745" s="236" t="n"/>
      <c r="AL745" s="236" t="n"/>
      <c r="AM745" s="236" t="n"/>
      <c r="AN745" s="236" t="n"/>
      <c r="AO745" s="236" t="n"/>
      <c r="AP745" s="236" t="n"/>
      <c r="AQ745" s="236" t="n"/>
      <c r="AR745" s="236" t="n"/>
      <c r="AS745" s="236" t="n"/>
      <c r="AT745" s="236" t="n"/>
      <c r="AU745" s="236" t="n"/>
      <c r="AV745" s="236" t="n"/>
      <c r="AW745" s="236" t="n"/>
      <c r="AX745" s="692" t="n"/>
      <c r="AY745" s="692" t="n"/>
      <c r="AZ745" s="692" t="n"/>
      <c r="BA745" s="692" t="n"/>
      <c r="BB745" s="692" t="n"/>
      <c r="BC745" s="692" t="n"/>
      <c r="BD745" s="692" t="n"/>
      <c r="BE745" s="692" t="n"/>
      <c r="BF745" s="692" t="n"/>
      <c r="BG745" s="692" t="n"/>
      <c r="BH745" s="692" t="n"/>
      <c r="BI745" s="692" t="n"/>
      <c r="BJ745" s="692" t="n"/>
      <c r="BK745" s="692" t="n"/>
      <c r="BL745" s="692" t="n"/>
      <c r="BM745" s="692" t="n"/>
      <c r="BN745" s="692" t="n"/>
      <c r="BO745" s="692" t="n"/>
      <c r="BP745" s="692" t="n"/>
      <c r="BQ745" s="692" t="n"/>
    </row>
    <row r="746">
      <c r="A746" s="218" t="n"/>
      <c r="B746" s="215" t="n"/>
      <c r="C746" s="215" t="n"/>
      <c r="D746" s="215" t="n"/>
      <c r="E746" s="219" t="n"/>
      <c r="F746" s="215" t="n"/>
      <c r="G746" s="215" t="n"/>
      <c r="H746" s="215" t="n"/>
      <c r="I746" s="215" t="n"/>
      <c r="J746" s="215" t="n"/>
      <c r="K746" s="215" t="n"/>
      <c r="L746" s="217" t="n"/>
      <c r="M746" s="692" t="n"/>
      <c r="N746" s="692" t="n"/>
      <c r="O746" s="692" t="n"/>
      <c r="P746" s="261" t="n"/>
      <c r="Q746" s="692" t="n"/>
      <c r="R746" s="692" t="n"/>
      <c r="S746" s="692" t="n"/>
      <c r="T746" s="692" t="n"/>
      <c r="U746" s="692" t="n"/>
      <c r="V746" s="692" t="n"/>
      <c r="W746" s="692" t="n"/>
      <c r="X746" s="692" t="n"/>
      <c r="Y746" s="692" t="n"/>
      <c r="Z746" s="692" t="n"/>
      <c r="AA746" s="692" t="n"/>
      <c r="AB746" s="692" t="n"/>
      <c r="AC746" s="692" t="n"/>
      <c r="AD746" s="692" t="n"/>
      <c r="AF746" s="236" t="n"/>
      <c r="AG746" s="236" t="n"/>
      <c r="AH746" s="236" t="n"/>
      <c r="AI746" s="236" t="n"/>
      <c r="AJ746" s="236" t="n"/>
      <c r="AK746" s="236" t="n"/>
      <c r="AL746" s="236" t="n"/>
      <c r="AM746" s="236" t="n"/>
      <c r="AN746" s="236" t="n"/>
      <c r="AO746" s="236" t="n"/>
      <c r="AP746" s="236" t="n"/>
      <c r="AQ746" s="236" t="n"/>
      <c r="AR746" s="236" t="n"/>
      <c r="AS746" s="236" t="n"/>
      <c r="AT746" s="236" t="n"/>
      <c r="AU746" s="236" t="n"/>
      <c r="AV746" s="236" t="n"/>
      <c r="AW746" s="236" t="n"/>
      <c r="AX746" s="692" t="n"/>
      <c r="AY746" s="692" t="n"/>
      <c r="AZ746" s="692" t="n"/>
      <c r="BA746" s="692" t="n"/>
      <c r="BB746" s="692" t="n"/>
      <c r="BC746" s="692" t="n"/>
      <c r="BD746" s="692" t="n"/>
      <c r="BE746" s="692" t="n"/>
      <c r="BF746" s="692" t="n"/>
      <c r="BG746" s="692" t="n"/>
      <c r="BH746" s="692" t="n"/>
      <c r="BI746" s="692" t="n"/>
      <c r="BJ746" s="692" t="n"/>
      <c r="BK746" s="692" t="n"/>
      <c r="BL746" s="692" t="n"/>
      <c r="BM746" s="692" t="n"/>
      <c r="BN746" s="692" t="n"/>
      <c r="BO746" s="692" t="n"/>
      <c r="BP746" s="692" t="n"/>
      <c r="BQ746" s="692" t="n"/>
    </row>
    <row r="747">
      <c r="A747" s="220" t="n"/>
      <c r="B747" s="211" t="n"/>
      <c r="C747" s="211" t="n"/>
      <c r="D747" s="211" t="n"/>
      <c r="E747" s="221" t="n"/>
      <c r="F747" s="211" t="n"/>
      <c r="G747" s="211" t="n"/>
      <c r="H747" s="211" t="n"/>
      <c r="I747" s="211" t="n"/>
      <c r="J747" s="211" t="n"/>
      <c r="K747" s="211" t="n"/>
      <c r="L747" s="213" t="n"/>
      <c r="M747" s="692" t="n"/>
      <c r="N747" s="692" t="n"/>
      <c r="O747" s="692" t="n"/>
      <c r="P747" s="261" t="n"/>
      <c r="Q747" s="692" t="n"/>
      <c r="R747" s="692" t="n"/>
      <c r="S747" s="692" t="n"/>
      <c r="T747" s="692" t="n"/>
      <c r="U747" s="692" t="n"/>
      <c r="V747" s="692" t="n"/>
      <c r="W747" s="692" t="n"/>
      <c r="X747" s="692" t="n"/>
      <c r="Y747" s="692" t="n"/>
      <c r="Z747" s="692" t="n"/>
      <c r="AA747" s="692" t="n"/>
      <c r="AB747" s="692" t="n"/>
      <c r="AC747" s="692" t="n"/>
      <c r="AD747" s="692" t="n"/>
      <c r="AF747" s="236" t="n"/>
      <c r="AG747" s="236" t="n"/>
      <c r="AH747" s="236" t="n"/>
      <c r="AI747" s="236" t="n"/>
      <c r="AJ747" s="236" t="n"/>
      <c r="AK747" s="236" t="n"/>
      <c r="AL747" s="236" t="n"/>
      <c r="AM747" s="236" t="n"/>
      <c r="AN747" s="236" t="n"/>
      <c r="AO747" s="236" t="n"/>
      <c r="AP747" s="236" t="n"/>
      <c r="AQ747" s="236" t="n"/>
      <c r="AR747" s="236" t="n"/>
      <c r="AS747" s="236" t="n"/>
      <c r="AT747" s="236" t="n"/>
      <c r="AU747" s="236" t="n"/>
      <c r="AV747" s="236" t="n"/>
      <c r="AW747" s="236" t="n"/>
      <c r="AX747" s="692" t="n"/>
      <c r="AY747" s="692" t="n"/>
      <c r="AZ747" s="692" t="n"/>
      <c r="BA747" s="692" t="n"/>
      <c r="BB747" s="692" t="n"/>
      <c r="BC747" s="692" t="n"/>
      <c r="BD747" s="692" t="n"/>
      <c r="BE747" s="692" t="n"/>
      <c r="BF747" s="692" t="n"/>
      <c r="BG747" s="692" t="n"/>
      <c r="BH747" s="692" t="n"/>
      <c r="BI747" s="692" t="n"/>
      <c r="BJ747" s="692" t="n"/>
      <c r="BK747" s="692" t="n"/>
      <c r="BL747" s="692" t="n"/>
      <c r="BM747" s="692" t="n"/>
      <c r="BN747" s="692" t="n"/>
      <c r="BO747" s="692" t="n"/>
      <c r="BP747" s="692" t="n"/>
      <c r="BQ747" s="692" t="n"/>
    </row>
    <row r="748">
      <c r="A748" s="218" t="n"/>
      <c r="B748" s="215" t="n"/>
      <c r="C748" s="215" t="n"/>
      <c r="D748" s="215" t="n"/>
      <c r="E748" s="219" t="n"/>
      <c r="F748" s="215" t="n"/>
      <c r="G748" s="215" t="n"/>
      <c r="H748" s="215" t="n"/>
      <c r="I748" s="215" t="n"/>
      <c r="J748" s="215" t="n"/>
      <c r="K748" s="215" t="n"/>
      <c r="L748" s="217" t="n"/>
      <c r="M748" s="692" t="n"/>
      <c r="N748" s="692" t="n"/>
      <c r="O748" s="692" t="n"/>
      <c r="P748" s="261" t="n"/>
      <c r="Q748" s="692" t="n"/>
      <c r="R748" s="692" t="n"/>
      <c r="S748" s="692" t="n"/>
      <c r="T748" s="692" t="n"/>
      <c r="U748" s="692" t="n"/>
      <c r="V748" s="692" t="n"/>
      <c r="W748" s="692" t="n"/>
      <c r="X748" s="692" t="n"/>
      <c r="Y748" s="692" t="n"/>
      <c r="Z748" s="692" t="n"/>
      <c r="AA748" s="692" t="n"/>
      <c r="AB748" s="692" t="n"/>
      <c r="AC748" s="692" t="n"/>
      <c r="AD748" s="692" t="n"/>
      <c r="AF748" s="236" t="n"/>
      <c r="AG748" s="236" t="n"/>
      <c r="AH748" s="236" t="n"/>
      <c r="AI748" s="236" t="n"/>
      <c r="AJ748" s="236" t="n"/>
      <c r="AK748" s="236" t="n"/>
      <c r="AL748" s="236" t="n"/>
      <c r="AM748" s="236" t="n"/>
      <c r="AN748" s="236" t="n"/>
      <c r="AO748" s="236" t="n"/>
      <c r="AP748" s="236" t="n"/>
      <c r="AQ748" s="236" t="n"/>
      <c r="AR748" s="236" t="n"/>
      <c r="AS748" s="236" t="n"/>
      <c r="AT748" s="236" t="n"/>
      <c r="AU748" s="236" t="n"/>
      <c r="AV748" s="236" t="n"/>
      <c r="AW748" s="236" t="n"/>
      <c r="AX748" s="692" t="n"/>
      <c r="AY748" s="692" t="n"/>
      <c r="AZ748" s="692" t="n"/>
      <c r="BA748" s="692" t="n"/>
      <c r="BB748" s="692" t="n"/>
      <c r="BC748" s="692" t="n"/>
      <c r="BD748" s="692" t="n"/>
      <c r="BE748" s="692" t="n"/>
      <c r="BF748" s="692" t="n"/>
      <c r="BG748" s="692" t="n"/>
      <c r="BH748" s="692" t="n"/>
      <c r="BI748" s="692" t="n"/>
      <c r="BJ748" s="692" t="n"/>
      <c r="BK748" s="692" t="n"/>
      <c r="BL748" s="692" t="n"/>
      <c r="BM748" s="692" t="n"/>
      <c r="BN748" s="692" t="n"/>
      <c r="BO748" s="692" t="n"/>
      <c r="BP748" s="692" t="n"/>
      <c r="BQ748" s="692" t="n"/>
    </row>
    <row r="749">
      <c r="A749" s="220" t="n"/>
      <c r="B749" s="211" t="n"/>
      <c r="C749" s="211" t="n"/>
      <c r="D749" s="211" t="n"/>
      <c r="E749" s="221" t="n"/>
      <c r="F749" s="211" t="n"/>
      <c r="G749" s="211" t="n"/>
      <c r="H749" s="211" t="n"/>
      <c r="I749" s="211" t="n"/>
      <c r="J749" s="211" t="n"/>
      <c r="K749" s="211" t="n"/>
      <c r="L749" s="213" t="n"/>
      <c r="M749" s="692" t="n"/>
      <c r="N749" s="692" t="n"/>
      <c r="O749" s="692" t="n"/>
      <c r="P749" s="261" t="n"/>
      <c r="Q749" s="692" t="n"/>
      <c r="R749" s="692" t="n"/>
      <c r="S749" s="692" t="n"/>
      <c r="T749" s="692" t="n"/>
      <c r="U749" s="692" t="n"/>
      <c r="V749" s="692" t="n"/>
      <c r="W749" s="692" t="n"/>
      <c r="X749" s="692" t="n"/>
      <c r="Y749" s="692" t="n"/>
      <c r="Z749" s="692" t="n"/>
      <c r="AA749" s="692" t="n"/>
      <c r="AB749" s="692" t="n"/>
      <c r="AC749" s="692" t="n"/>
      <c r="AD749" s="692" t="n"/>
      <c r="AF749" s="236" t="n"/>
      <c r="AG749" s="236" t="n"/>
      <c r="AH749" s="236" t="n"/>
      <c r="AI749" s="236" t="n"/>
      <c r="AJ749" s="236" t="n"/>
      <c r="AK749" s="236" t="n"/>
      <c r="AL749" s="236" t="n"/>
      <c r="AM749" s="236" t="n"/>
      <c r="AN749" s="236" t="n"/>
      <c r="AO749" s="236" t="n"/>
      <c r="AP749" s="236" t="n"/>
      <c r="AQ749" s="236" t="n"/>
      <c r="AR749" s="236" t="n"/>
      <c r="AS749" s="236" t="n"/>
      <c r="AT749" s="236" t="n"/>
      <c r="AU749" s="236" t="n"/>
      <c r="AV749" s="236" t="n"/>
      <c r="AW749" s="236" t="n"/>
      <c r="AX749" s="692" t="n"/>
      <c r="AY749" s="692" t="n"/>
      <c r="AZ749" s="692" t="n"/>
      <c r="BA749" s="692" t="n"/>
      <c r="BB749" s="692" t="n"/>
      <c r="BC749" s="692" t="n"/>
      <c r="BD749" s="692" t="n"/>
      <c r="BE749" s="692" t="n"/>
      <c r="BF749" s="692" t="n"/>
      <c r="BG749" s="692" t="n"/>
      <c r="BH749" s="692" t="n"/>
      <c r="BI749" s="692" t="n"/>
      <c r="BJ749" s="692" t="n"/>
      <c r="BK749" s="692" t="n"/>
      <c r="BL749" s="692" t="n"/>
      <c r="BM749" s="692" t="n"/>
      <c r="BN749" s="692" t="n"/>
      <c r="BO749" s="692" t="n"/>
      <c r="BP749" s="692" t="n"/>
      <c r="BQ749" s="692" t="n"/>
    </row>
    <row r="750">
      <c r="A750" s="218" t="n"/>
      <c r="B750" s="215" t="n"/>
      <c r="C750" s="215" t="n"/>
      <c r="D750" s="215" t="n"/>
      <c r="E750" s="219" t="n"/>
      <c r="F750" s="215" t="n"/>
      <c r="G750" s="215" t="n"/>
      <c r="H750" s="215" t="n"/>
      <c r="I750" s="215" t="n"/>
      <c r="J750" s="215" t="n"/>
      <c r="K750" s="215" t="n"/>
      <c r="L750" s="217" t="n"/>
      <c r="M750" s="692" t="n"/>
      <c r="N750" s="692" t="n"/>
      <c r="O750" s="692" t="n"/>
      <c r="P750" s="261" t="n"/>
      <c r="Q750" s="692" t="n"/>
      <c r="R750" s="692" t="n"/>
      <c r="S750" s="692" t="n"/>
      <c r="T750" s="692" t="n"/>
      <c r="U750" s="692" t="n"/>
      <c r="V750" s="692" t="n"/>
      <c r="W750" s="692" t="n"/>
      <c r="X750" s="692" t="n"/>
      <c r="Y750" s="692" t="n"/>
      <c r="Z750" s="692" t="n"/>
      <c r="AA750" s="692" t="n"/>
      <c r="AB750" s="692" t="n"/>
      <c r="AC750" s="692" t="n"/>
      <c r="AD750" s="692" t="n"/>
      <c r="AF750" s="236" t="n"/>
      <c r="AG750" s="236" t="n"/>
      <c r="AH750" s="236" t="n"/>
      <c r="AI750" s="236" t="n"/>
      <c r="AJ750" s="236" t="n"/>
      <c r="AK750" s="236" t="n"/>
      <c r="AL750" s="236" t="n"/>
      <c r="AM750" s="236" t="n"/>
      <c r="AN750" s="236" t="n"/>
      <c r="AO750" s="236" t="n"/>
      <c r="AP750" s="236" t="n"/>
      <c r="AQ750" s="236" t="n"/>
      <c r="AR750" s="236" t="n"/>
      <c r="AS750" s="236" t="n"/>
      <c r="AT750" s="236" t="n"/>
      <c r="AU750" s="236" t="n"/>
      <c r="AV750" s="236" t="n"/>
      <c r="AW750" s="236" t="n"/>
      <c r="AX750" s="692" t="n"/>
      <c r="AY750" s="692" t="n"/>
      <c r="AZ750" s="692" t="n"/>
      <c r="BA750" s="692" t="n"/>
      <c r="BB750" s="692" t="n"/>
      <c r="BC750" s="692" t="n"/>
      <c r="BD750" s="692" t="n"/>
      <c r="BE750" s="692" t="n"/>
      <c r="BF750" s="692" t="n"/>
      <c r="BG750" s="692" t="n"/>
      <c r="BH750" s="692" t="n"/>
      <c r="BI750" s="692" t="n"/>
      <c r="BJ750" s="692" t="n"/>
      <c r="BK750" s="692" t="n"/>
      <c r="BL750" s="692" t="n"/>
      <c r="BM750" s="692" t="n"/>
      <c r="BN750" s="692" t="n"/>
      <c r="BO750" s="692" t="n"/>
      <c r="BP750" s="692" t="n"/>
      <c r="BQ750" s="692" t="n"/>
    </row>
    <row r="751">
      <c r="A751" s="220" t="n"/>
      <c r="B751" s="211" t="n"/>
      <c r="C751" s="211" t="n"/>
      <c r="D751" s="211" t="n"/>
      <c r="E751" s="221" t="n"/>
      <c r="F751" s="211" t="n"/>
      <c r="G751" s="211" t="n"/>
      <c r="H751" s="211" t="n"/>
      <c r="I751" s="211" t="n"/>
      <c r="J751" s="211" t="n"/>
      <c r="K751" s="211" t="n"/>
      <c r="L751" s="213" t="n"/>
      <c r="M751" s="692" t="n"/>
      <c r="N751" s="692" t="n"/>
      <c r="O751" s="692" t="n"/>
      <c r="P751" s="261" t="n"/>
      <c r="Q751" s="692" t="n"/>
      <c r="R751" s="692" t="n"/>
      <c r="S751" s="692" t="n"/>
      <c r="T751" s="692" t="n"/>
      <c r="U751" s="692" t="n"/>
      <c r="V751" s="692" t="n"/>
      <c r="W751" s="692" t="n"/>
      <c r="X751" s="692" t="n"/>
      <c r="Y751" s="692" t="n"/>
      <c r="Z751" s="692" t="n"/>
      <c r="AA751" s="692" t="n"/>
      <c r="AB751" s="692" t="n"/>
      <c r="AC751" s="692" t="n"/>
      <c r="AD751" s="692" t="n"/>
      <c r="AF751" s="236" t="n"/>
      <c r="AG751" s="236" t="n"/>
      <c r="AH751" s="236" t="n"/>
      <c r="AI751" s="236" t="n"/>
      <c r="AJ751" s="236" t="n"/>
      <c r="AK751" s="236" t="n"/>
      <c r="AL751" s="236" t="n"/>
      <c r="AM751" s="236" t="n"/>
      <c r="AN751" s="236" t="n"/>
      <c r="AO751" s="236" t="n"/>
      <c r="AP751" s="236" t="n"/>
      <c r="AQ751" s="236" t="n"/>
      <c r="AR751" s="236" t="n"/>
      <c r="AS751" s="236" t="n"/>
      <c r="AT751" s="236" t="n"/>
      <c r="AU751" s="236" t="n"/>
      <c r="AV751" s="236" t="n"/>
      <c r="AW751" s="236" t="n"/>
      <c r="AX751" s="692" t="n"/>
      <c r="AY751" s="692" t="n"/>
      <c r="AZ751" s="692" t="n"/>
      <c r="BA751" s="692" t="n"/>
      <c r="BB751" s="692" t="n"/>
      <c r="BC751" s="692" t="n"/>
      <c r="BD751" s="692" t="n"/>
      <c r="BE751" s="692" t="n"/>
      <c r="BF751" s="692" t="n"/>
      <c r="BG751" s="692" t="n"/>
      <c r="BH751" s="692" t="n"/>
      <c r="BI751" s="692" t="n"/>
      <c r="BJ751" s="692" t="n"/>
      <c r="BK751" s="692" t="n"/>
      <c r="BL751" s="692" t="n"/>
      <c r="BM751" s="692" t="n"/>
      <c r="BN751" s="692" t="n"/>
      <c r="BO751" s="692" t="n"/>
      <c r="BP751" s="692" t="n"/>
      <c r="BQ751" s="692" t="n"/>
    </row>
    <row r="752">
      <c r="A752" s="218" t="n"/>
      <c r="B752" s="215" t="n"/>
      <c r="C752" s="215" t="n"/>
      <c r="D752" s="215" t="n"/>
      <c r="E752" s="219" t="n"/>
      <c r="F752" s="215" t="n"/>
      <c r="G752" s="215" t="n"/>
      <c r="H752" s="215" t="n"/>
      <c r="I752" s="215" t="n"/>
      <c r="J752" s="215" t="n"/>
      <c r="K752" s="215" t="n"/>
      <c r="L752" s="217" t="n"/>
      <c r="M752" s="692" t="n"/>
      <c r="N752" s="692" t="n"/>
      <c r="O752" s="692" t="n"/>
      <c r="P752" s="261" t="n"/>
      <c r="Q752" s="692" t="n"/>
      <c r="R752" s="692" t="n"/>
      <c r="S752" s="692" t="n"/>
      <c r="T752" s="692" t="n"/>
      <c r="U752" s="692" t="n"/>
      <c r="V752" s="692" t="n"/>
      <c r="W752" s="692" t="n"/>
      <c r="X752" s="692" t="n"/>
      <c r="Y752" s="692" t="n"/>
      <c r="Z752" s="692" t="n"/>
      <c r="AA752" s="692" t="n"/>
      <c r="AB752" s="692" t="n"/>
      <c r="AC752" s="692" t="n"/>
      <c r="AD752" s="692" t="n"/>
      <c r="AF752" s="236" t="n"/>
      <c r="AG752" s="236" t="n"/>
      <c r="AH752" s="236" t="n"/>
      <c r="AI752" s="236" t="n"/>
      <c r="AJ752" s="236" t="n"/>
      <c r="AK752" s="236" t="n"/>
      <c r="AL752" s="236" t="n"/>
      <c r="AM752" s="236" t="n"/>
      <c r="AN752" s="236" t="n"/>
      <c r="AO752" s="236" t="n"/>
      <c r="AP752" s="236" t="n"/>
      <c r="AQ752" s="236" t="n"/>
      <c r="AR752" s="236" t="n"/>
      <c r="AS752" s="236" t="n"/>
      <c r="AT752" s="236" t="n"/>
      <c r="AU752" s="236" t="n"/>
      <c r="AV752" s="236" t="n"/>
      <c r="AW752" s="236" t="n"/>
      <c r="AX752" s="692" t="n"/>
      <c r="AY752" s="692" t="n"/>
      <c r="AZ752" s="692" t="n"/>
      <c r="BA752" s="692" t="n"/>
      <c r="BB752" s="692" t="n"/>
      <c r="BC752" s="692" t="n"/>
      <c r="BD752" s="692" t="n"/>
      <c r="BE752" s="692" t="n"/>
      <c r="BF752" s="692" t="n"/>
      <c r="BG752" s="692" t="n"/>
      <c r="BH752" s="692" t="n"/>
      <c r="BI752" s="692" t="n"/>
      <c r="BJ752" s="692" t="n"/>
      <c r="BK752" s="692" t="n"/>
      <c r="BL752" s="692" t="n"/>
      <c r="BM752" s="692" t="n"/>
      <c r="BN752" s="692" t="n"/>
      <c r="BO752" s="692" t="n"/>
      <c r="BP752" s="692" t="n"/>
      <c r="BQ752" s="692" t="n"/>
    </row>
    <row r="753">
      <c r="A753" s="220" t="n"/>
      <c r="B753" s="211" t="n"/>
      <c r="C753" s="211" t="n"/>
      <c r="D753" s="211" t="n"/>
      <c r="E753" s="221" t="n"/>
      <c r="F753" s="211" t="n"/>
      <c r="G753" s="211" t="n"/>
      <c r="H753" s="211" t="n"/>
      <c r="I753" s="211" t="n"/>
      <c r="J753" s="211" t="n"/>
      <c r="K753" s="211" t="n"/>
      <c r="L753" s="213" t="n"/>
      <c r="M753" s="692" t="n"/>
      <c r="N753" s="692" t="n"/>
      <c r="O753" s="692" t="n"/>
      <c r="P753" s="261" t="n"/>
      <c r="Q753" s="692" t="n"/>
      <c r="R753" s="692" t="n"/>
      <c r="S753" s="692" t="n"/>
      <c r="T753" s="692" t="n"/>
      <c r="U753" s="692" t="n"/>
      <c r="V753" s="692" t="n"/>
      <c r="W753" s="692" t="n"/>
      <c r="X753" s="692" t="n"/>
      <c r="Y753" s="692" t="n"/>
      <c r="Z753" s="692" t="n"/>
      <c r="AA753" s="692" t="n"/>
      <c r="AB753" s="692" t="n"/>
      <c r="AC753" s="692" t="n"/>
      <c r="AD753" s="692" t="n"/>
      <c r="AF753" s="236" t="n"/>
      <c r="AG753" s="236" t="n"/>
      <c r="AH753" s="236" t="n"/>
      <c r="AI753" s="236" t="n"/>
      <c r="AJ753" s="236" t="n"/>
      <c r="AK753" s="236" t="n"/>
      <c r="AL753" s="236" t="n"/>
      <c r="AM753" s="236" t="n"/>
      <c r="AN753" s="236" t="n"/>
      <c r="AO753" s="236" t="n"/>
      <c r="AP753" s="236" t="n"/>
      <c r="AQ753" s="236" t="n"/>
      <c r="AR753" s="236" t="n"/>
      <c r="AS753" s="236" t="n"/>
      <c r="AT753" s="236" t="n"/>
      <c r="AU753" s="236" t="n"/>
      <c r="AV753" s="236" t="n"/>
      <c r="AW753" s="236" t="n"/>
      <c r="AX753" s="692" t="n"/>
      <c r="AY753" s="692" t="n"/>
      <c r="AZ753" s="692" t="n"/>
      <c r="BA753" s="692" t="n"/>
      <c r="BB753" s="692" t="n"/>
      <c r="BC753" s="692" t="n"/>
      <c r="BD753" s="692" t="n"/>
      <c r="BE753" s="692" t="n"/>
      <c r="BF753" s="692" t="n"/>
      <c r="BG753" s="692" t="n"/>
      <c r="BH753" s="692" t="n"/>
      <c r="BI753" s="692" t="n"/>
      <c r="BJ753" s="692" t="n"/>
      <c r="BK753" s="692" t="n"/>
      <c r="BL753" s="692" t="n"/>
      <c r="BM753" s="692" t="n"/>
      <c r="BN753" s="692" t="n"/>
      <c r="BO753" s="692" t="n"/>
      <c r="BP753" s="692" t="n"/>
      <c r="BQ753" s="692" t="n"/>
    </row>
    <row r="754">
      <c r="A754" s="218" t="n"/>
      <c r="B754" s="215" t="n"/>
      <c r="C754" s="215" t="n"/>
      <c r="D754" s="215" t="n"/>
      <c r="E754" s="219" t="n"/>
      <c r="F754" s="215" t="n"/>
      <c r="G754" s="215" t="n"/>
      <c r="H754" s="215" t="n"/>
      <c r="I754" s="215" t="n"/>
      <c r="J754" s="215" t="n"/>
      <c r="K754" s="215" t="n"/>
      <c r="L754" s="217" t="n"/>
      <c r="M754" s="692" t="n"/>
      <c r="N754" s="692" t="n"/>
      <c r="O754" s="692" t="n"/>
      <c r="P754" s="261" t="n"/>
      <c r="Q754" s="692" t="n"/>
      <c r="R754" s="692" t="n"/>
      <c r="S754" s="692" t="n"/>
      <c r="T754" s="692" t="n"/>
      <c r="U754" s="692" t="n"/>
      <c r="V754" s="692" t="n"/>
      <c r="W754" s="692" t="n"/>
      <c r="X754" s="692" t="n"/>
      <c r="Y754" s="692" t="n"/>
      <c r="Z754" s="692" t="n"/>
      <c r="AA754" s="692" t="n"/>
      <c r="AB754" s="692" t="n"/>
      <c r="AC754" s="692" t="n"/>
      <c r="AD754" s="692" t="n"/>
      <c r="AF754" s="236" t="n"/>
      <c r="AG754" s="236" t="n"/>
      <c r="AH754" s="236" t="n"/>
      <c r="AI754" s="236" t="n"/>
      <c r="AJ754" s="236" t="n"/>
      <c r="AK754" s="236" t="n"/>
      <c r="AL754" s="236" t="n"/>
      <c r="AM754" s="236" t="n"/>
      <c r="AN754" s="236" t="n"/>
      <c r="AO754" s="236" t="n"/>
      <c r="AP754" s="236" t="n"/>
      <c r="AQ754" s="236" t="n"/>
      <c r="AR754" s="236" t="n"/>
      <c r="AS754" s="236" t="n"/>
      <c r="AT754" s="236" t="n"/>
      <c r="AU754" s="236" t="n"/>
      <c r="AV754" s="236" t="n"/>
      <c r="AW754" s="236" t="n"/>
      <c r="AX754" s="692" t="n"/>
      <c r="AY754" s="692" t="n"/>
      <c r="AZ754" s="692" t="n"/>
      <c r="BA754" s="692" t="n"/>
      <c r="BB754" s="692" t="n"/>
      <c r="BC754" s="692" t="n"/>
      <c r="BD754" s="692" t="n"/>
      <c r="BE754" s="692" t="n"/>
      <c r="BF754" s="692" t="n"/>
      <c r="BG754" s="692" t="n"/>
      <c r="BH754" s="692" t="n"/>
      <c r="BI754" s="692" t="n"/>
      <c r="BJ754" s="692" t="n"/>
      <c r="BK754" s="692" t="n"/>
      <c r="BL754" s="692" t="n"/>
      <c r="BM754" s="692" t="n"/>
      <c r="BN754" s="692" t="n"/>
      <c r="BO754" s="692" t="n"/>
      <c r="BP754" s="692" t="n"/>
      <c r="BQ754" s="692" t="n"/>
    </row>
    <row r="755">
      <c r="A755" s="220" t="n"/>
      <c r="B755" s="211" t="n"/>
      <c r="C755" s="211" t="n"/>
      <c r="D755" s="211" t="n"/>
      <c r="E755" s="221" t="n"/>
      <c r="F755" s="211" t="n"/>
      <c r="G755" s="211" t="n"/>
      <c r="H755" s="211" t="n"/>
      <c r="I755" s="211" t="n"/>
      <c r="J755" s="211" t="n"/>
      <c r="K755" s="211" t="n"/>
      <c r="L755" s="213" t="n"/>
      <c r="M755" s="692" t="n"/>
      <c r="N755" s="692" t="n"/>
      <c r="O755" s="692" t="n"/>
      <c r="P755" s="261" t="n"/>
      <c r="Q755" s="692" t="n"/>
      <c r="R755" s="692" t="n"/>
      <c r="S755" s="692" t="n"/>
      <c r="T755" s="692" t="n"/>
      <c r="U755" s="692" t="n"/>
      <c r="V755" s="692" t="n"/>
      <c r="W755" s="692" t="n"/>
      <c r="X755" s="692" t="n"/>
      <c r="Y755" s="692" t="n"/>
      <c r="Z755" s="692" t="n"/>
      <c r="AA755" s="692" t="n"/>
      <c r="AB755" s="692" t="n"/>
      <c r="AC755" s="692" t="n"/>
      <c r="AD755" s="692" t="n"/>
      <c r="AF755" s="236" t="n"/>
      <c r="AG755" s="236" t="n"/>
      <c r="AH755" s="236" t="n"/>
      <c r="AI755" s="236" t="n"/>
      <c r="AJ755" s="236" t="n"/>
      <c r="AK755" s="236" t="n"/>
      <c r="AL755" s="236" t="n"/>
      <c r="AM755" s="236" t="n"/>
      <c r="AN755" s="236" t="n"/>
      <c r="AO755" s="236" t="n"/>
      <c r="AP755" s="236" t="n"/>
      <c r="AQ755" s="236" t="n"/>
      <c r="AR755" s="236" t="n"/>
      <c r="AS755" s="236" t="n"/>
      <c r="AT755" s="236" t="n"/>
      <c r="AU755" s="236" t="n"/>
      <c r="AV755" s="236" t="n"/>
      <c r="AW755" s="236" t="n"/>
      <c r="AX755" s="692" t="n"/>
      <c r="AY755" s="692" t="n"/>
      <c r="AZ755" s="692" t="n"/>
      <c r="BA755" s="692" t="n"/>
      <c r="BB755" s="692" t="n"/>
      <c r="BC755" s="692" t="n"/>
      <c r="BD755" s="692" t="n"/>
      <c r="BE755" s="692" t="n"/>
      <c r="BF755" s="692" t="n"/>
      <c r="BG755" s="692" t="n"/>
      <c r="BH755" s="692" t="n"/>
      <c r="BI755" s="692" t="n"/>
      <c r="BJ755" s="692" t="n"/>
      <c r="BK755" s="692" t="n"/>
      <c r="BL755" s="692" t="n"/>
      <c r="BM755" s="692" t="n"/>
      <c r="BN755" s="692" t="n"/>
      <c r="BO755" s="692" t="n"/>
      <c r="BP755" s="692" t="n"/>
      <c r="BQ755" s="692" t="n"/>
    </row>
    <row r="756">
      <c r="A756" s="218" t="n"/>
      <c r="B756" s="215" t="n"/>
      <c r="C756" s="215" t="n"/>
      <c r="D756" s="215" t="n"/>
      <c r="E756" s="219" t="n"/>
      <c r="F756" s="215" t="n"/>
      <c r="G756" s="215" t="n"/>
      <c r="H756" s="215" t="n"/>
      <c r="I756" s="215" t="n"/>
      <c r="J756" s="215" t="n"/>
      <c r="K756" s="215" t="n"/>
      <c r="L756" s="217" t="n"/>
      <c r="M756" s="692" t="n"/>
      <c r="N756" s="692" t="n"/>
      <c r="O756" s="692" t="n"/>
      <c r="P756" s="261" t="n"/>
      <c r="Q756" s="692" t="n"/>
      <c r="R756" s="692" t="n"/>
      <c r="S756" s="692" t="n"/>
      <c r="T756" s="692" t="n"/>
      <c r="U756" s="692" t="n"/>
      <c r="V756" s="692" t="n"/>
      <c r="W756" s="692" t="n"/>
      <c r="X756" s="692" t="n"/>
      <c r="Y756" s="692" t="n"/>
      <c r="Z756" s="692" t="n"/>
      <c r="AA756" s="692" t="n"/>
      <c r="AB756" s="692" t="n"/>
      <c r="AC756" s="692" t="n"/>
      <c r="AD756" s="692" t="n"/>
      <c r="AF756" s="236" t="n"/>
      <c r="AG756" s="236" t="n"/>
      <c r="AH756" s="236" t="n"/>
      <c r="AI756" s="236" t="n"/>
      <c r="AJ756" s="236" t="n"/>
      <c r="AK756" s="236" t="n"/>
      <c r="AL756" s="236" t="n"/>
      <c r="AM756" s="236" t="n"/>
      <c r="AN756" s="236" t="n"/>
      <c r="AO756" s="236" t="n"/>
      <c r="AP756" s="236" t="n"/>
      <c r="AQ756" s="236" t="n"/>
      <c r="AR756" s="236" t="n"/>
      <c r="AS756" s="236" t="n"/>
      <c r="AT756" s="236" t="n"/>
      <c r="AU756" s="236" t="n"/>
      <c r="AV756" s="236" t="n"/>
      <c r="AW756" s="236" t="n"/>
      <c r="AX756" s="692" t="n"/>
      <c r="AY756" s="692" t="n"/>
      <c r="AZ756" s="692" t="n"/>
      <c r="BA756" s="692" t="n"/>
      <c r="BB756" s="692" t="n"/>
      <c r="BC756" s="692" t="n"/>
      <c r="BD756" s="692" t="n"/>
      <c r="BE756" s="692" t="n"/>
      <c r="BF756" s="692" t="n"/>
      <c r="BG756" s="692" t="n"/>
      <c r="BH756" s="692" t="n"/>
      <c r="BI756" s="692" t="n"/>
      <c r="BJ756" s="692" t="n"/>
      <c r="BK756" s="692" t="n"/>
      <c r="BL756" s="692" t="n"/>
      <c r="BM756" s="692" t="n"/>
      <c r="BN756" s="692" t="n"/>
      <c r="BO756" s="692" t="n"/>
      <c r="BP756" s="692" t="n"/>
      <c r="BQ756" s="692" t="n"/>
    </row>
    <row r="757">
      <c r="A757" s="220" t="n"/>
      <c r="B757" s="211" t="n"/>
      <c r="C757" s="211" t="n"/>
      <c r="D757" s="211" t="n"/>
      <c r="E757" s="221" t="n"/>
      <c r="F757" s="211" t="n"/>
      <c r="G757" s="211" t="n"/>
      <c r="H757" s="211" t="n"/>
      <c r="I757" s="211" t="n"/>
      <c r="J757" s="211" t="n"/>
      <c r="K757" s="211" t="n"/>
      <c r="L757" s="213" t="n"/>
      <c r="M757" s="692" t="n"/>
      <c r="N757" s="692" t="n"/>
      <c r="O757" s="692" t="n"/>
      <c r="P757" s="261" t="n"/>
      <c r="Q757" s="692" t="n"/>
      <c r="R757" s="692" t="n"/>
      <c r="S757" s="692" t="n"/>
      <c r="T757" s="692" t="n"/>
      <c r="U757" s="692" t="n"/>
      <c r="V757" s="692" t="n"/>
      <c r="W757" s="692" t="n"/>
      <c r="X757" s="692" t="n"/>
      <c r="Y757" s="692" t="n"/>
      <c r="Z757" s="692" t="n"/>
      <c r="AA757" s="692" t="n"/>
      <c r="AB757" s="692" t="n"/>
      <c r="AC757" s="692" t="n"/>
      <c r="AD757" s="692" t="n"/>
      <c r="AF757" s="236" t="n"/>
      <c r="AG757" s="236" t="n"/>
      <c r="AH757" s="236" t="n"/>
      <c r="AI757" s="236" t="n"/>
      <c r="AJ757" s="236" t="n"/>
      <c r="AK757" s="236" t="n"/>
      <c r="AL757" s="236" t="n"/>
      <c r="AM757" s="236" t="n"/>
      <c r="AN757" s="236" t="n"/>
      <c r="AO757" s="236" t="n"/>
      <c r="AP757" s="236" t="n"/>
      <c r="AQ757" s="236" t="n"/>
      <c r="AR757" s="236" t="n"/>
      <c r="AS757" s="236" t="n"/>
      <c r="AT757" s="236" t="n"/>
      <c r="AU757" s="236" t="n"/>
      <c r="AV757" s="236" t="n"/>
      <c r="AW757" s="236" t="n"/>
      <c r="AX757" s="692" t="n"/>
      <c r="AY757" s="692" t="n"/>
      <c r="AZ757" s="692" t="n"/>
      <c r="BA757" s="692" t="n"/>
      <c r="BB757" s="692" t="n"/>
      <c r="BC757" s="692" t="n"/>
      <c r="BD757" s="692" t="n"/>
      <c r="BE757" s="692" t="n"/>
      <c r="BF757" s="692" t="n"/>
      <c r="BG757" s="692" t="n"/>
      <c r="BH757" s="692" t="n"/>
      <c r="BI757" s="692" t="n"/>
      <c r="BJ757" s="692" t="n"/>
      <c r="BK757" s="692" t="n"/>
      <c r="BL757" s="692" t="n"/>
      <c r="BM757" s="692" t="n"/>
      <c r="BN757" s="692" t="n"/>
      <c r="BO757" s="692" t="n"/>
      <c r="BP757" s="692" t="n"/>
      <c r="BQ757" s="692" t="n"/>
    </row>
    <row r="758">
      <c r="A758" s="218" t="n"/>
      <c r="B758" s="215" t="n"/>
      <c r="C758" s="215" t="n"/>
      <c r="D758" s="215" t="n"/>
      <c r="E758" s="219" t="n"/>
      <c r="F758" s="215" t="n"/>
      <c r="G758" s="215" t="n"/>
      <c r="H758" s="215" t="n"/>
      <c r="I758" s="215" t="n"/>
      <c r="J758" s="215" t="n"/>
      <c r="K758" s="215" t="n"/>
      <c r="L758" s="217" t="n"/>
      <c r="M758" s="692" t="n"/>
      <c r="N758" s="692" t="n"/>
      <c r="O758" s="692" t="n"/>
      <c r="P758" s="261" t="n"/>
      <c r="Q758" s="692" t="n"/>
      <c r="R758" s="692" t="n"/>
      <c r="S758" s="692" t="n"/>
      <c r="T758" s="692" t="n"/>
      <c r="U758" s="692" t="n"/>
      <c r="V758" s="692" t="n"/>
      <c r="W758" s="692" t="n"/>
      <c r="X758" s="692" t="n"/>
      <c r="Y758" s="692" t="n"/>
      <c r="Z758" s="692" t="n"/>
      <c r="AA758" s="692" t="n"/>
      <c r="AB758" s="692" t="n"/>
      <c r="AC758" s="692" t="n"/>
      <c r="AD758" s="692" t="n"/>
      <c r="AF758" s="236" t="n"/>
      <c r="AG758" s="236" t="n"/>
      <c r="AH758" s="236" t="n"/>
      <c r="AI758" s="236" t="n"/>
      <c r="AJ758" s="236" t="n"/>
      <c r="AK758" s="236" t="n"/>
      <c r="AL758" s="236" t="n"/>
      <c r="AM758" s="236" t="n"/>
      <c r="AN758" s="236" t="n"/>
      <c r="AO758" s="236" t="n"/>
      <c r="AP758" s="236" t="n"/>
      <c r="AQ758" s="236" t="n"/>
      <c r="AR758" s="236" t="n"/>
      <c r="AS758" s="236" t="n"/>
      <c r="AT758" s="236" t="n"/>
      <c r="AU758" s="236" t="n"/>
      <c r="AV758" s="236" t="n"/>
      <c r="AW758" s="236" t="n"/>
      <c r="AX758" s="692" t="n"/>
      <c r="AY758" s="692" t="n"/>
      <c r="AZ758" s="692" t="n"/>
      <c r="BA758" s="692" t="n"/>
      <c r="BB758" s="692" t="n"/>
      <c r="BC758" s="692" t="n"/>
      <c r="BD758" s="692" t="n"/>
      <c r="BE758" s="692" t="n"/>
      <c r="BF758" s="692" t="n"/>
      <c r="BG758" s="692" t="n"/>
      <c r="BH758" s="692" t="n"/>
      <c r="BI758" s="692" t="n"/>
      <c r="BJ758" s="692" t="n"/>
      <c r="BK758" s="692" t="n"/>
      <c r="BL758" s="692" t="n"/>
      <c r="BM758" s="692" t="n"/>
      <c r="BN758" s="692" t="n"/>
      <c r="BO758" s="692" t="n"/>
      <c r="BP758" s="692" t="n"/>
      <c r="BQ758" s="692" t="n"/>
    </row>
    <row r="759">
      <c r="A759" s="220" t="n"/>
      <c r="B759" s="211" t="n"/>
      <c r="C759" s="211" t="n"/>
      <c r="D759" s="211" t="n"/>
      <c r="E759" s="221" t="n"/>
      <c r="F759" s="211" t="n"/>
      <c r="G759" s="211" t="n"/>
      <c r="H759" s="211" t="n"/>
      <c r="I759" s="211" t="n"/>
      <c r="J759" s="211" t="n"/>
      <c r="K759" s="211" t="n"/>
      <c r="L759" s="213" t="n"/>
      <c r="M759" s="692" t="n"/>
      <c r="N759" s="692" t="n"/>
      <c r="O759" s="692" t="n"/>
      <c r="P759" s="261" t="n"/>
      <c r="Q759" s="692" t="n"/>
      <c r="R759" s="692" t="n"/>
      <c r="S759" s="692" t="n"/>
      <c r="T759" s="692" t="n"/>
      <c r="U759" s="692" t="n"/>
      <c r="V759" s="692" t="n"/>
      <c r="W759" s="692" t="n"/>
      <c r="X759" s="692" t="n"/>
      <c r="Y759" s="692" t="n"/>
      <c r="Z759" s="692" t="n"/>
      <c r="AA759" s="692" t="n"/>
      <c r="AB759" s="692" t="n"/>
      <c r="AC759" s="692" t="n"/>
      <c r="AD759" s="692" t="n"/>
      <c r="AF759" s="236" t="n"/>
      <c r="AG759" s="236" t="n"/>
      <c r="AH759" s="236" t="n"/>
      <c r="AI759" s="236" t="n"/>
      <c r="AJ759" s="236" t="n"/>
      <c r="AK759" s="236" t="n"/>
      <c r="AL759" s="236" t="n"/>
      <c r="AM759" s="236" t="n"/>
      <c r="AN759" s="236" t="n"/>
      <c r="AO759" s="236" t="n"/>
      <c r="AP759" s="236" t="n"/>
      <c r="AQ759" s="236" t="n"/>
      <c r="AR759" s="236" t="n"/>
      <c r="AS759" s="236" t="n"/>
      <c r="AT759" s="236" t="n"/>
      <c r="AU759" s="236" t="n"/>
      <c r="AV759" s="236" t="n"/>
      <c r="AW759" s="236" t="n"/>
      <c r="AX759" s="692" t="n"/>
      <c r="AY759" s="692" t="n"/>
      <c r="AZ759" s="692" t="n"/>
      <c r="BA759" s="692" t="n"/>
      <c r="BB759" s="692" t="n"/>
      <c r="BC759" s="692" t="n"/>
      <c r="BD759" s="692" t="n"/>
      <c r="BE759" s="692" t="n"/>
      <c r="BF759" s="692" t="n"/>
      <c r="BG759" s="692" t="n"/>
      <c r="BH759" s="692" t="n"/>
      <c r="BI759" s="692" t="n"/>
      <c r="BJ759" s="692" t="n"/>
      <c r="BK759" s="692" t="n"/>
      <c r="BL759" s="692" t="n"/>
      <c r="BM759" s="692" t="n"/>
      <c r="BN759" s="692" t="n"/>
      <c r="BO759" s="692" t="n"/>
      <c r="BP759" s="692" t="n"/>
      <c r="BQ759" s="692" t="n"/>
    </row>
    <row r="760">
      <c r="A760" s="218" t="n"/>
      <c r="B760" s="215" t="n"/>
      <c r="C760" s="215" t="n"/>
      <c r="D760" s="215" t="n"/>
      <c r="E760" s="219" t="n"/>
      <c r="F760" s="215" t="n"/>
      <c r="G760" s="215" t="n"/>
      <c r="H760" s="215" t="n"/>
      <c r="I760" s="215" t="n"/>
      <c r="J760" s="215" t="n"/>
      <c r="K760" s="215" t="n"/>
      <c r="L760" s="217" t="n"/>
      <c r="M760" s="692" t="n"/>
      <c r="N760" s="692" t="n"/>
      <c r="O760" s="692" t="n"/>
      <c r="P760" s="261" t="n"/>
      <c r="Q760" s="692" t="n"/>
      <c r="R760" s="692" t="n"/>
      <c r="S760" s="692" t="n"/>
      <c r="T760" s="692" t="n"/>
      <c r="U760" s="692" t="n"/>
      <c r="V760" s="692" t="n"/>
      <c r="W760" s="692" t="n"/>
      <c r="X760" s="692" t="n"/>
      <c r="Y760" s="692" t="n"/>
      <c r="Z760" s="692" t="n"/>
      <c r="AA760" s="692" t="n"/>
      <c r="AB760" s="692" t="n"/>
      <c r="AC760" s="692" t="n"/>
      <c r="AD760" s="692" t="n"/>
      <c r="AF760" s="236" t="n"/>
      <c r="AG760" s="236" t="n"/>
      <c r="AH760" s="236" t="n"/>
      <c r="AI760" s="236" t="n"/>
      <c r="AJ760" s="236" t="n"/>
      <c r="AK760" s="236" t="n"/>
      <c r="AL760" s="236" t="n"/>
      <c r="AM760" s="236" t="n"/>
      <c r="AN760" s="236" t="n"/>
      <c r="AO760" s="236" t="n"/>
      <c r="AP760" s="236" t="n"/>
      <c r="AQ760" s="236" t="n"/>
      <c r="AR760" s="236" t="n"/>
      <c r="AS760" s="236" t="n"/>
      <c r="AT760" s="236" t="n"/>
      <c r="AU760" s="236" t="n"/>
      <c r="AV760" s="236" t="n"/>
      <c r="AW760" s="236" t="n"/>
      <c r="AX760" s="692" t="n"/>
      <c r="AY760" s="692" t="n"/>
      <c r="AZ760" s="692" t="n"/>
      <c r="BA760" s="692" t="n"/>
      <c r="BB760" s="692" t="n"/>
      <c r="BC760" s="692" t="n"/>
      <c r="BD760" s="692" t="n"/>
      <c r="BE760" s="692" t="n"/>
      <c r="BF760" s="692" t="n"/>
      <c r="BG760" s="692" t="n"/>
      <c r="BH760" s="692" t="n"/>
      <c r="BI760" s="692" t="n"/>
      <c r="BJ760" s="692" t="n"/>
      <c r="BK760" s="692" t="n"/>
      <c r="BL760" s="692" t="n"/>
      <c r="BM760" s="692" t="n"/>
      <c r="BN760" s="692" t="n"/>
      <c r="BO760" s="692" t="n"/>
      <c r="BP760" s="692" t="n"/>
      <c r="BQ760" s="692" t="n"/>
    </row>
    <row r="761">
      <c r="A761" s="220" t="n"/>
      <c r="B761" s="211" t="n"/>
      <c r="C761" s="211" t="n"/>
      <c r="D761" s="211" t="n"/>
      <c r="E761" s="221" t="n"/>
      <c r="F761" s="211" t="n"/>
      <c r="G761" s="211" t="n"/>
      <c r="H761" s="211" t="n"/>
      <c r="I761" s="211" t="n"/>
      <c r="J761" s="211" t="n"/>
      <c r="K761" s="211" t="n"/>
      <c r="L761" s="213" t="n"/>
      <c r="M761" s="692" t="n"/>
      <c r="N761" s="692" t="n"/>
      <c r="O761" s="692" t="n"/>
      <c r="P761" s="261" t="n"/>
      <c r="Q761" s="692" t="n"/>
      <c r="R761" s="692" t="n"/>
      <c r="S761" s="692" t="n"/>
      <c r="T761" s="692" t="n"/>
      <c r="U761" s="692" t="n"/>
      <c r="V761" s="692" t="n"/>
      <c r="W761" s="692" t="n"/>
      <c r="X761" s="692" t="n"/>
      <c r="Y761" s="692" t="n"/>
      <c r="Z761" s="692" t="n"/>
      <c r="AA761" s="692" t="n"/>
      <c r="AB761" s="692" t="n"/>
      <c r="AC761" s="692" t="n"/>
      <c r="AD761" s="692" t="n"/>
      <c r="AF761" s="236" t="n"/>
      <c r="AG761" s="236" t="n"/>
      <c r="AH761" s="236" t="n"/>
      <c r="AI761" s="236" t="n"/>
      <c r="AJ761" s="236" t="n"/>
      <c r="AK761" s="236" t="n"/>
      <c r="AL761" s="236" t="n"/>
      <c r="AM761" s="236" t="n"/>
      <c r="AN761" s="236" t="n"/>
      <c r="AO761" s="236" t="n"/>
      <c r="AP761" s="236" t="n"/>
      <c r="AQ761" s="236" t="n"/>
      <c r="AR761" s="236" t="n"/>
      <c r="AS761" s="236" t="n"/>
      <c r="AT761" s="236" t="n"/>
      <c r="AU761" s="236" t="n"/>
      <c r="AV761" s="236" t="n"/>
      <c r="AW761" s="236" t="n"/>
      <c r="AX761" s="692" t="n"/>
      <c r="AY761" s="692" t="n"/>
      <c r="AZ761" s="692" t="n"/>
      <c r="BA761" s="692" t="n"/>
      <c r="BB761" s="692" t="n"/>
      <c r="BC761" s="692" t="n"/>
      <c r="BD761" s="692" t="n"/>
      <c r="BE761" s="692" t="n"/>
      <c r="BF761" s="692" t="n"/>
      <c r="BG761" s="692" t="n"/>
      <c r="BH761" s="692" t="n"/>
      <c r="BI761" s="692" t="n"/>
      <c r="BJ761" s="692" t="n"/>
      <c r="BK761" s="692" t="n"/>
      <c r="BL761" s="692" t="n"/>
      <c r="BM761" s="692" t="n"/>
      <c r="BN761" s="692" t="n"/>
      <c r="BO761" s="692" t="n"/>
      <c r="BP761" s="692" t="n"/>
      <c r="BQ761" s="692" t="n"/>
    </row>
    <row r="762">
      <c r="A762" s="218" t="n"/>
      <c r="B762" s="215" t="n"/>
      <c r="C762" s="215" t="n"/>
      <c r="D762" s="215" t="n"/>
      <c r="E762" s="219" t="n"/>
      <c r="F762" s="215" t="n"/>
      <c r="G762" s="215" t="n"/>
      <c r="H762" s="215" t="n"/>
      <c r="I762" s="215" t="n"/>
      <c r="J762" s="215" t="n"/>
      <c r="K762" s="215" t="n"/>
      <c r="L762" s="217" t="n"/>
      <c r="M762" s="692" t="n"/>
      <c r="N762" s="692" t="n"/>
      <c r="O762" s="692" t="n"/>
      <c r="P762" s="261" t="n"/>
      <c r="Q762" s="692" t="n"/>
      <c r="R762" s="692" t="n"/>
      <c r="S762" s="692" t="n"/>
      <c r="T762" s="692" t="n"/>
      <c r="U762" s="692" t="n"/>
      <c r="V762" s="692" t="n"/>
      <c r="W762" s="692" t="n"/>
      <c r="X762" s="692" t="n"/>
      <c r="Y762" s="692" t="n"/>
      <c r="Z762" s="692" t="n"/>
      <c r="AA762" s="692" t="n"/>
      <c r="AB762" s="692" t="n"/>
      <c r="AC762" s="692" t="n"/>
      <c r="AD762" s="692" t="n"/>
      <c r="AF762" s="236" t="n"/>
      <c r="AG762" s="236" t="n"/>
      <c r="AH762" s="236" t="n"/>
      <c r="AI762" s="236" t="n"/>
      <c r="AJ762" s="236" t="n"/>
      <c r="AK762" s="236" t="n"/>
      <c r="AL762" s="236" t="n"/>
      <c r="AM762" s="236" t="n"/>
      <c r="AN762" s="236" t="n"/>
      <c r="AO762" s="236" t="n"/>
      <c r="AP762" s="236" t="n"/>
      <c r="AQ762" s="236" t="n"/>
      <c r="AR762" s="236" t="n"/>
      <c r="AS762" s="236" t="n"/>
      <c r="AT762" s="236" t="n"/>
      <c r="AU762" s="236" t="n"/>
      <c r="AV762" s="236" t="n"/>
      <c r="AW762" s="236" t="n"/>
      <c r="AX762" s="692" t="n"/>
      <c r="AY762" s="692" t="n"/>
      <c r="AZ762" s="692" t="n"/>
      <c r="BA762" s="692" t="n"/>
      <c r="BB762" s="692" t="n"/>
      <c r="BC762" s="692" t="n"/>
      <c r="BD762" s="692" t="n"/>
      <c r="BE762" s="692" t="n"/>
      <c r="BF762" s="692" t="n"/>
      <c r="BG762" s="692" t="n"/>
      <c r="BH762" s="692" t="n"/>
      <c r="BI762" s="692" t="n"/>
      <c r="BJ762" s="692" t="n"/>
      <c r="BK762" s="692" t="n"/>
      <c r="BL762" s="692" t="n"/>
      <c r="BM762" s="692" t="n"/>
      <c r="BN762" s="692" t="n"/>
      <c r="BO762" s="692" t="n"/>
      <c r="BP762" s="692" t="n"/>
      <c r="BQ762" s="692" t="n"/>
    </row>
    <row r="763">
      <c r="A763" s="220" t="n"/>
      <c r="B763" s="211" t="n"/>
      <c r="C763" s="211" t="n"/>
      <c r="D763" s="211" t="n"/>
      <c r="E763" s="221" t="n"/>
      <c r="F763" s="211" t="n"/>
      <c r="G763" s="211" t="n"/>
      <c r="H763" s="211" t="n"/>
      <c r="I763" s="211" t="n"/>
      <c r="J763" s="211" t="n"/>
      <c r="K763" s="211" t="n"/>
      <c r="L763" s="213" t="n"/>
      <c r="M763" s="692" t="n"/>
      <c r="N763" s="692" t="n"/>
      <c r="O763" s="692" t="n"/>
      <c r="P763" s="261" t="n"/>
      <c r="Q763" s="692" t="n"/>
      <c r="R763" s="692" t="n"/>
      <c r="S763" s="692" t="n"/>
      <c r="T763" s="692" t="n"/>
      <c r="U763" s="692" t="n"/>
      <c r="V763" s="692" t="n"/>
      <c r="W763" s="692" t="n"/>
      <c r="X763" s="692" t="n"/>
      <c r="Y763" s="692" t="n"/>
      <c r="Z763" s="692" t="n"/>
      <c r="AA763" s="692" t="n"/>
      <c r="AB763" s="692" t="n"/>
      <c r="AC763" s="692" t="n"/>
      <c r="AD763" s="692" t="n"/>
      <c r="AF763" s="236" t="n"/>
      <c r="AG763" s="236" t="n"/>
      <c r="AH763" s="236" t="n"/>
      <c r="AI763" s="236" t="n"/>
      <c r="AJ763" s="236" t="n"/>
      <c r="AK763" s="236" t="n"/>
      <c r="AL763" s="236" t="n"/>
      <c r="AM763" s="236" t="n"/>
      <c r="AN763" s="236" t="n"/>
      <c r="AO763" s="236" t="n"/>
      <c r="AP763" s="236" t="n"/>
      <c r="AQ763" s="236" t="n"/>
      <c r="AR763" s="236" t="n"/>
      <c r="AS763" s="236" t="n"/>
      <c r="AT763" s="236" t="n"/>
      <c r="AU763" s="236" t="n"/>
      <c r="AV763" s="236" t="n"/>
      <c r="AW763" s="236" t="n"/>
      <c r="AX763" s="692" t="n"/>
      <c r="AY763" s="692" t="n"/>
      <c r="AZ763" s="692" t="n"/>
      <c r="BA763" s="692" t="n"/>
      <c r="BB763" s="692" t="n"/>
      <c r="BC763" s="692" t="n"/>
      <c r="BD763" s="692" t="n"/>
      <c r="BE763" s="692" t="n"/>
      <c r="BF763" s="692" t="n"/>
      <c r="BG763" s="692" t="n"/>
      <c r="BH763" s="692" t="n"/>
      <c r="BI763" s="692" t="n"/>
      <c r="BJ763" s="692" t="n"/>
      <c r="BK763" s="692" t="n"/>
      <c r="BL763" s="692" t="n"/>
      <c r="BM763" s="692" t="n"/>
      <c r="BN763" s="692" t="n"/>
      <c r="BO763" s="692" t="n"/>
      <c r="BP763" s="692" t="n"/>
      <c r="BQ763" s="692" t="n"/>
    </row>
    <row r="764">
      <c r="A764" s="218" t="n"/>
      <c r="B764" s="215" t="n"/>
      <c r="C764" s="215" t="n"/>
      <c r="D764" s="215" t="n"/>
      <c r="E764" s="219" t="n"/>
      <c r="F764" s="215" t="n"/>
      <c r="G764" s="215" t="n"/>
      <c r="H764" s="215" t="n"/>
      <c r="I764" s="215" t="n"/>
      <c r="J764" s="215" t="n"/>
      <c r="K764" s="215" t="n"/>
      <c r="L764" s="217" t="n"/>
      <c r="M764" s="692" t="n"/>
      <c r="N764" s="692" t="n"/>
      <c r="O764" s="692" t="n"/>
      <c r="P764" s="261" t="n"/>
      <c r="Q764" s="692" t="n"/>
      <c r="R764" s="692" t="n"/>
      <c r="S764" s="692" t="n"/>
      <c r="T764" s="692" t="n"/>
      <c r="U764" s="692" t="n"/>
      <c r="V764" s="692" t="n"/>
      <c r="W764" s="692" t="n"/>
      <c r="X764" s="692" t="n"/>
      <c r="Y764" s="692" t="n"/>
      <c r="Z764" s="692" t="n"/>
      <c r="AA764" s="692" t="n"/>
      <c r="AB764" s="692" t="n"/>
      <c r="AC764" s="692" t="n"/>
      <c r="AD764" s="692" t="n"/>
      <c r="AF764" s="236" t="n"/>
      <c r="AG764" s="236" t="n"/>
      <c r="AH764" s="236" t="n"/>
      <c r="AI764" s="236" t="n"/>
      <c r="AJ764" s="236" t="n"/>
      <c r="AK764" s="236" t="n"/>
      <c r="AL764" s="236" t="n"/>
      <c r="AM764" s="236" t="n"/>
      <c r="AN764" s="236" t="n"/>
      <c r="AO764" s="236" t="n"/>
      <c r="AP764" s="236" t="n"/>
      <c r="AQ764" s="236" t="n"/>
      <c r="AR764" s="236" t="n"/>
      <c r="AS764" s="236" t="n"/>
      <c r="AT764" s="236" t="n"/>
      <c r="AU764" s="236" t="n"/>
      <c r="AV764" s="236" t="n"/>
      <c r="AW764" s="236" t="n"/>
      <c r="AX764" s="692" t="n"/>
      <c r="AY764" s="692" t="n"/>
      <c r="AZ764" s="692" t="n"/>
      <c r="BA764" s="692" t="n"/>
      <c r="BB764" s="692" t="n"/>
      <c r="BC764" s="692" t="n"/>
      <c r="BD764" s="692" t="n"/>
      <c r="BE764" s="692" t="n"/>
      <c r="BF764" s="692" t="n"/>
      <c r="BG764" s="692" t="n"/>
      <c r="BH764" s="692" t="n"/>
      <c r="BI764" s="692" t="n"/>
      <c r="BJ764" s="692" t="n"/>
      <c r="BK764" s="692" t="n"/>
      <c r="BL764" s="692" t="n"/>
      <c r="BM764" s="692" t="n"/>
      <c r="BN764" s="692" t="n"/>
      <c r="BO764" s="692" t="n"/>
      <c r="BP764" s="692" t="n"/>
      <c r="BQ764" s="692" t="n"/>
    </row>
    <row r="765">
      <c r="A765" s="220" t="n"/>
      <c r="B765" s="211" t="n"/>
      <c r="C765" s="211" t="n"/>
      <c r="D765" s="211" t="n"/>
      <c r="E765" s="221" t="n"/>
      <c r="F765" s="211" t="n"/>
      <c r="G765" s="211" t="n"/>
      <c r="H765" s="211" t="n"/>
      <c r="I765" s="211" t="n"/>
      <c r="J765" s="211" t="n"/>
      <c r="K765" s="211" t="n"/>
      <c r="L765" s="213" t="n"/>
      <c r="M765" s="692" t="n"/>
      <c r="N765" s="692" t="n"/>
      <c r="O765" s="692" t="n"/>
      <c r="P765" s="261" t="n"/>
      <c r="Q765" s="692" t="n"/>
      <c r="R765" s="692" t="n"/>
      <c r="S765" s="692" t="n"/>
      <c r="T765" s="692" t="n"/>
      <c r="U765" s="692" t="n"/>
      <c r="V765" s="692" t="n"/>
      <c r="W765" s="692" t="n"/>
      <c r="X765" s="692" t="n"/>
      <c r="Y765" s="692" t="n"/>
      <c r="Z765" s="692" t="n"/>
      <c r="AA765" s="692" t="n"/>
      <c r="AB765" s="692" t="n"/>
      <c r="AC765" s="692" t="n"/>
      <c r="AD765" s="692" t="n"/>
      <c r="AF765" s="236" t="n"/>
      <c r="AG765" s="236" t="n"/>
      <c r="AH765" s="236" t="n"/>
      <c r="AI765" s="236" t="n"/>
      <c r="AJ765" s="236" t="n"/>
      <c r="AK765" s="236" t="n"/>
      <c r="AL765" s="236" t="n"/>
      <c r="AM765" s="236" t="n"/>
      <c r="AN765" s="236" t="n"/>
      <c r="AO765" s="236" t="n"/>
      <c r="AP765" s="236" t="n"/>
      <c r="AQ765" s="236" t="n"/>
      <c r="AR765" s="236" t="n"/>
      <c r="AS765" s="236" t="n"/>
      <c r="AT765" s="236" t="n"/>
      <c r="AU765" s="236" t="n"/>
      <c r="AV765" s="236" t="n"/>
      <c r="AW765" s="236" t="n"/>
      <c r="AX765" s="692" t="n"/>
      <c r="AY765" s="692" t="n"/>
      <c r="AZ765" s="692" t="n"/>
      <c r="BA765" s="692" t="n"/>
      <c r="BB765" s="692" t="n"/>
      <c r="BC765" s="692" t="n"/>
      <c r="BD765" s="692" t="n"/>
      <c r="BE765" s="692" t="n"/>
      <c r="BF765" s="692" t="n"/>
      <c r="BG765" s="692" t="n"/>
      <c r="BH765" s="692" t="n"/>
      <c r="BI765" s="692" t="n"/>
      <c r="BJ765" s="692" t="n"/>
      <c r="BK765" s="692" t="n"/>
      <c r="BL765" s="692" t="n"/>
      <c r="BM765" s="692" t="n"/>
      <c r="BN765" s="692" t="n"/>
      <c r="BO765" s="692" t="n"/>
      <c r="BP765" s="692" t="n"/>
      <c r="BQ765" s="692" t="n"/>
    </row>
    <row r="766">
      <c r="A766" s="218" t="n"/>
      <c r="B766" s="215" t="n"/>
      <c r="C766" s="215" t="n"/>
      <c r="D766" s="215" t="n"/>
      <c r="E766" s="219" t="n"/>
      <c r="F766" s="215" t="n"/>
      <c r="G766" s="215" t="n"/>
      <c r="H766" s="215" t="n"/>
      <c r="I766" s="215" t="n"/>
      <c r="J766" s="215" t="n"/>
      <c r="K766" s="215" t="n"/>
      <c r="L766" s="217" t="n"/>
      <c r="M766" s="692" t="n"/>
      <c r="N766" s="692" t="n"/>
      <c r="O766" s="692" t="n"/>
      <c r="P766" s="261" t="n"/>
      <c r="Q766" s="692" t="n"/>
      <c r="R766" s="692" t="n"/>
      <c r="S766" s="692" t="n"/>
      <c r="T766" s="692" t="n"/>
      <c r="U766" s="692" t="n"/>
      <c r="V766" s="692" t="n"/>
      <c r="W766" s="692" t="n"/>
      <c r="X766" s="692" t="n"/>
      <c r="Y766" s="692" t="n"/>
      <c r="Z766" s="692" t="n"/>
      <c r="AA766" s="692" t="n"/>
      <c r="AB766" s="692" t="n"/>
      <c r="AC766" s="692" t="n"/>
      <c r="AD766" s="692" t="n"/>
      <c r="AF766" s="236" t="n"/>
      <c r="AG766" s="236" t="n"/>
      <c r="AH766" s="236" t="n"/>
      <c r="AI766" s="236" t="n"/>
      <c r="AJ766" s="236" t="n"/>
      <c r="AK766" s="236" t="n"/>
      <c r="AL766" s="236" t="n"/>
      <c r="AM766" s="236" t="n"/>
      <c r="AN766" s="236" t="n"/>
      <c r="AO766" s="236" t="n"/>
      <c r="AP766" s="236" t="n"/>
      <c r="AQ766" s="236" t="n"/>
      <c r="AR766" s="236" t="n"/>
      <c r="AS766" s="236" t="n"/>
      <c r="AT766" s="236" t="n"/>
      <c r="AU766" s="236" t="n"/>
      <c r="AV766" s="236" t="n"/>
      <c r="AW766" s="236" t="n"/>
      <c r="AX766" s="692" t="n"/>
      <c r="AY766" s="692" t="n"/>
      <c r="AZ766" s="692" t="n"/>
      <c r="BA766" s="692" t="n"/>
      <c r="BB766" s="692" t="n"/>
      <c r="BC766" s="692" t="n"/>
      <c r="BD766" s="692" t="n"/>
      <c r="BE766" s="692" t="n"/>
      <c r="BF766" s="692" t="n"/>
      <c r="BG766" s="692" t="n"/>
      <c r="BH766" s="692" t="n"/>
      <c r="BI766" s="692" t="n"/>
      <c r="BJ766" s="692" t="n"/>
      <c r="BK766" s="692" t="n"/>
      <c r="BL766" s="692" t="n"/>
      <c r="BM766" s="692" t="n"/>
      <c r="BN766" s="692" t="n"/>
      <c r="BO766" s="692" t="n"/>
      <c r="BP766" s="692" t="n"/>
      <c r="BQ766" s="692" t="n"/>
    </row>
    <row r="767">
      <c r="A767" s="220" t="n"/>
      <c r="B767" s="211" t="n"/>
      <c r="C767" s="211" t="n"/>
      <c r="D767" s="211" t="n"/>
      <c r="E767" s="221" t="n"/>
      <c r="F767" s="211" t="n"/>
      <c r="G767" s="211" t="n"/>
      <c r="H767" s="211" t="n"/>
      <c r="I767" s="211" t="n"/>
      <c r="J767" s="211" t="n"/>
      <c r="K767" s="211" t="n"/>
      <c r="L767" s="213" t="n"/>
      <c r="M767" s="692" t="n"/>
      <c r="N767" s="692" t="n"/>
      <c r="O767" s="692" t="n"/>
      <c r="P767" s="261" t="n"/>
      <c r="Q767" s="692" t="n"/>
      <c r="R767" s="692" t="n"/>
      <c r="S767" s="692" t="n"/>
      <c r="T767" s="692" t="n"/>
      <c r="U767" s="692" t="n"/>
      <c r="V767" s="692" t="n"/>
      <c r="W767" s="692" t="n"/>
      <c r="X767" s="692" t="n"/>
      <c r="Y767" s="692" t="n"/>
      <c r="Z767" s="692" t="n"/>
      <c r="AA767" s="692" t="n"/>
      <c r="AB767" s="692" t="n"/>
      <c r="AC767" s="692" t="n"/>
      <c r="AD767" s="692" t="n"/>
      <c r="AF767" s="236" t="n"/>
      <c r="AG767" s="236" t="n"/>
      <c r="AH767" s="236" t="n"/>
      <c r="AI767" s="236" t="n"/>
      <c r="AJ767" s="236" t="n"/>
      <c r="AK767" s="236" t="n"/>
      <c r="AL767" s="236" t="n"/>
      <c r="AM767" s="236" t="n"/>
      <c r="AN767" s="236" t="n"/>
      <c r="AO767" s="236" t="n"/>
      <c r="AP767" s="236" t="n"/>
      <c r="AQ767" s="236" t="n"/>
      <c r="AR767" s="236" t="n"/>
      <c r="AS767" s="236" t="n"/>
      <c r="AT767" s="236" t="n"/>
      <c r="AU767" s="236" t="n"/>
      <c r="AV767" s="236" t="n"/>
      <c r="AW767" s="236" t="n"/>
      <c r="AX767" s="692" t="n"/>
      <c r="AY767" s="692" t="n"/>
      <c r="AZ767" s="692" t="n"/>
      <c r="BA767" s="692" t="n"/>
      <c r="BB767" s="692" t="n"/>
      <c r="BC767" s="692" t="n"/>
      <c r="BD767" s="692" t="n"/>
      <c r="BE767" s="692" t="n"/>
      <c r="BF767" s="692" t="n"/>
      <c r="BG767" s="692" t="n"/>
      <c r="BH767" s="692" t="n"/>
      <c r="BI767" s="692" t="n"/>
      <c r="BJ767" s="692" t="n"/>
      <c r="BK767" s="692" t="n"/>
      <c r="BL767" s="692" t="n"/>
      <c r="BM767" s="692" t="n"/>
      <c r="BN767" s="692" t="n"/>
      <c r="BO767" s="692" t="n"/>
      <c r="BP767" s="692" t="n"/>
      <c r="BQ767" s="692" t="n"/>
    </row>
    <row r="768">
      <c r="A768" s="218" t="n"/>
      <c r="B768" s="215" t="n"/>
      <c r="C768" s="215" t="n"/>
      <c r="D768" s="215" t="n"/>
      <c r="E768" s="219" t="n"/>
      <c r="F768" s="215" t="n"/>
      <c r="G768" s="215" t="n"/>
      <c r="H768" s="215" t="n"/>
      <c r="I768" s="215" t="n"/>
      <c r="J768" s="215" t="n"/>
      <c r="K768" s="215" t="n"/>
      <c r="L768" s="217" t="n"/>
      <c r="M768" s="692" t="n"/>
      <c r="N768" s="692" t="n"/>
      <c r="O768" s="692" t="n"/>
      <c r="P768" s="261" t="n"/>
      <c r="Q768" s="692" t="n"/>
      <c r="R768" s="692" t="n"/>
      <c r="S768" s="692" t="n"/>
      <c r="T768" s="692" t="n"/>
      <c r="U768" s="692" t="n"/>
      <c r="V768" s="692" t="n"/>
      <c r="W768" s="692" t="n"/>
      <c r="X768" s="692" t="n"/>
      <c r="Y768" s="692" t="n"/>
      <c r="Z768" s="692" t="n"/>
      <c r="AA768" s="692" t="n"/>
      <c r="AB768" s="692" t="n"/>
      <c r="AC768" s="692" t="n"/>
      <c r="AD768" s="692" t="n"/>
      <c r="AF768" s="236" t="n"/>
      <c r="AG768" s="236" t="n"/>
      <c r="AH768" s="236" t="n"/>
      <c r="AI768" s="236" t="n"/>
      <c r="AJ768" s="236" t="n"/>
      <c r="AK768" s="236" t="n"/>
      <c r="AL768" s="236" t="n"/>
      <c r="AM768" s="236" t="n"/>
      <c r="AN768" s="236" t="n"/>
      <c r="AO768" s="236" t="n"/>
      <c r="AP768" s="236" t="n"/>
      <c r="AQ768" s="236" t="n"/>
      <c r="AR768" s="236" t="n"/>
      <c r="AS768" s="236" t="n"/>
      <c r="AT768" s="236" t="n"/>
      <c r="AU768" s="236" t="n"/>
      <c r="AV768" s="236" t="n"/>
      <c r="AW768" s="236" t="n"/>
      <c r="AX768" s="692" t="n"/>
      <c r="AY768" s="692" t="n"/>
      <c r="AZ768" s="692" t="n"/>
      <c r="BA768" s="692" t="n"/>
      <c r="BB768" s="692" t="n"/>
      <c r="BC768" s="692" t="n"/>
      <c r="BD768" s="692" t="n"/>
      <c r="BE768" s="692" t="n"/>
      <c r="BF768" s="692" t="n"/>
      <c r="BG768" s="692" t="n"/>
      <c r="BH768" s="692" t="n"/>
      <c r="BI768" s="692" t="n"/>
      <c r="BJ768" s="692" t="n"/>
      <c r="BK768" s="692" t="n"/>
      <c r="BL768" s="692" t="n"/>
      <c r="BM768" s="692" t="n"/>
      <c r="BN768" s="692" t="n"/>
      <c r="BO768" s="692" t="n"/>
      <c r="BP768" s="692" t="n"/>
      <c r="BQ768" s="692" t="n"/>
    </row>
    <row r="769">
      <c r="A769" s="220" t="n"/>
      <c r="B769" s="211" t="n"/>
      <c r="C769" s="211" t="n"/>
      <c r="D769" s="211" t="n"/>
      <c r="E769" s="221" t="n"/>
      <c r="F769" s="211" t="n"/>
      <c r="G769" s="211" t="n"/>
      <c r="H769" s="211" t="n"/>
      <c r="I769" s="211" t="n"/>
      <c r="J769" s="211" t="n"/>
      <c r="K769" s="211" t="n"/>
      <c r="L769" s="213" t="n"/>
      <c r="M769" s="692" t="n"/>
      <c r="N769" s="692" t="n"/>
      <c r="O769" s="692" t="n"/>
      <c r="P769" s="261" t="n"/>
      <c r="Q769" s="692" t="n"/>
      <c r="R769" s="692" t="n"/>
      <c r="S769" s="692" t="n"/>
      <c r="T769" s="692" t="n"/>
      <c r="U769" s="692" t="n"/>
      <c r="V769" s="692" t="n"/>
      <c r="W769" s="692" t="n"/>
      <c r="X769" s="692" t="n"/>
      <c r="Y769" s="692" t="n"/>
      <c r="Z769" s="692" t="n"/>
      <c r="AA769" s="692" t="n"/>
      <c r="AB769" s="692" t="n"/>
      <c r="AC769" s="692" t="n"/>
      <c r="AD769" s="692" t="n"/>
      <c r="AF769" s="236" t="n"/>
      <c r="AG769" s="236" t="n"/>
      <c r="AH769" s="236" t="n"/>
      <c r="AI769" s="236" t="n"/>
      <c r="AJ769" s="236" t="n"/>
      <c r="AK769" s="236" t="n"/>
      <c r="AL769" s="236" t="n"/>
      <c r="AM769" s="236" t="n"/>
      <c r="AN769" s="236" t="n"/>
      <c r="AO769" s="236" t="n"/>
      <c r="AP769" s="236" t="n"/>
      <c r="AQ769" s="236" t="n"/>
      <c r="AR769" s="236" t="n"/>
      <c r="AS769" s="236" t="n"/>
      <c r="AT769" s="236" t="n"/>
      <c r="AU769" s="236" t="n"/>
      <c r="AV769" s="236" t="n"/>
      <c r="AW769" s="236" t="n"/>
      <c r="AX769" s="692" t="n"/>
      <c r="AY769" s="692" t="n"/>
      <c r="AZ769" s="692" t="n"/>
      <c r="BA769" s="692" t="n"/>
      <c r="BB769" s="692" t="n"/>
      <c r="BC769" s="692" t="n"/>
      <c r="BD769" s="692" t="n"/>
      <c r="BE769" s="692" t="n"/>
      <c r="BF769" s="692" t="n"/>
      <c r="BG769" s="692" t="n"/>
      <c r="BH769" s="692" t="n"/>
      <c r="BI769" s="692" t="n"/>
      <c r="BJ769" s="692" t="n"/>
      <c r="BK769" s="692" t="n"/>
      <c r="BL769" s="692" t="n"/>
      <c r="BM769" s="692" t="n"/>
      <c r="BN769" s="692" t="n"/>
      <c r="BO769" s="692" t="n"/>
      <c r="BP769" s="692" t="n"/>
      <c r="BQ769" s="692" t="n"/>
    </row>
    <row r="770">
      <c r="A770" s="218" t="n"/>
      <c r="B770" s="215" t="n"/>
      <c r="C770" s="215" t="n"/>
      <c r="D770" s="215" t="n"/>
      <c r="E770" s="219" t="n"/>
      <c r="F770" s="215" t="n"/>
      <c r="G770" s="215" t="n"/>
      <c r="H770" s="215" t="n"/>
      <c r="I770" s="215" t="n"/>
      <c r="J770" s="215" t="n"/>
      <c r="K770" s="215" t="n"/>
      <c r="L770" s="217" t="n"/>
      <c r="M770" s="692" t="n"/>
      <c r="N770" s="692" t="n"/>
      <c r="O770" s="692" t="n"/>
      <c r="P770" s="261" t="n"/>
      <c r="Q770" s="692" t="n"/>
      <c r="R770" s="692" t="n"/>
      <c r="S770" s="692" t="n"/>
      <c r="T770" s="692" t="n"/>
      <c r="U770" s="692" t="n"/>
      <c r="V770" s="692" t="n"/>
      <c r="W770" s="692" t="n"/>
      <c r="X770" s="692" t="n"/>
      <c r="Y770" s="692" t="n"/>
      <c r="Z770" s="692" t="n"/>
      <c r="AA770" s="692" t="n"/>
      <c r="AB770" s="692" t="n"/>
      <c r="AC770" s="692" t="n"/>
      <c r="AD770" s="692" t="n"/>
      <c r="AF770" s="236" t="n"/>
      <c r="AG770" s="236" t="n"/>
      <c r="AH770" s="236" t="n"/>
      <c r="AI770" s="236" t="n"/>
      <c r="AJ770" s="236" t="n"/>
      <c r="AK770" s="236" t="n"/>
      <c r="AL770" s="236" t="n"/>
      <c r="AM770" s="236" t="n"/>
      <c r="AN770" s="236" t="n"/>
      <c r="AO770" s="236" t="n"/>
      <c r="AP770" s="236" t="n"/>
      <c r="AQ770" s="236" t="n"/>
      <c r="AR770" s="236" t="n"/>
      <c r="AS770" s="236" t="n"/>
      <c r="AT770" s="236" t="n"/>
      <c r="AU770" s="236" t="n"/>
      <c r="AV770" s="236" t="n"/>
      <c r="AW770" s="236" t="n"/>
      <c r="AX770" s="692" t="n"/>
      <c r="AY770" s="692" t="n"/>
      <c r="AZ770" s="692" t="n"/>
      <c r="BA770" s="692" t="n"/>
      <c r="BB770" s="692" t="n"/>
      <c r="BC770" s="692" t="n"/>
      <c r="BD770" s="692" t="n"/>
      <c r="BE770" s="692" t="n"/>
      <c r="BF770" s="692" t="n"/>
      <c r="BG770" s="692" t="n"/>
      <c r="BH770" s="692" t="n"/>
      <c r="BI770" s="692" t="n"/>
      <c r="BJ770" s="692" t="n"/>
      <c r="BK770" s="692" t="n"/>
      <c r="BL770" s="692" t="n"/>
      <c r="BM770" s="692" t="n"/>
      <c r="BN770" s="692" t="n"/>
      <c r="BO770" s="692" t="n"/>
      <c r="BP770" s="692" t="n"/>
      <c r="BQ770" s="692" t="n"/>
    </row>
    <row r="771">
      <c r="A771" s="220" t="n"/>
      <c r="B771" s="211" t="n"/>
      <c r="C771" s="211" t="n"/>
      <c r="D771" s="211" t="n"/>
      <c r="E771" s="221" t="n"/>
      <c r="F771" s="211" t="n"/>
      <c r="G771" s="211" t="n"/>
      <c r="H771" s="211" t="n"/>
      <c r="I771" s="211" t="n"/>
      <c r="J771" s="211" t="n"/>
      <c r="K771" s="211" t="n"/>
      <c r="L771" s="213" t="n"/>
      <c r="M771" s="692" t="n"/>
      <c r="N771" s="692" t="n"/>
      <c r="O771" s="692" t="n"/>
      <c r="P771" s="261" t="n"/>
      <c r="Q771" s="692" t="n"/>
      <c r="R771" s="692" t="n"/>
      <c r="S771" s="692" t="n"/>
      <c r="T771" s="692" t="n"/>
      <c r="U771" s="692" t="n"/>
      <c r="V771" s="692" t="n"/>
      <c r="W771" s="692" t="n"/>
      <c r="X771" s="692" t="n"/>
      <c r="Y771" s="692" t="n"/>
      <c r="Z771" s="692" t="n"/>
      <c r="AA771" s="692" t="n"/>
      <c r="AB771" s="692" t="n"/>
      <c r="AC771" s="692" t="n"/>
      <c r="AD771" s="692" t="n"/>
      <c r="AF771" s="236" t="n"/>
      <c r="AG771" s="236" t="n"/>
      <c r="AH771" s="236" t="n"/>
      <c r="AI771" s="236" t="n"/>
      <c r="AJ771" s="236" t="n"/>
      <c r="AK771" s="236" t="n"/>
      <c r="AL771" s="236" t="n"/>
      <c r="AM771" s="236" t="n"/>
      <c r="AN771" s="236" t="n"/>
      <c r="AO771" s="236" t="n"/>
      <c r="AP771" s="236" t="n"/>
      <c r="AQ771" s="236" t="n"/>
      <c r="AR771" s="236" t="n"/>
      <c r="AS771" s="236" t="n"/>
      <c r="AT771" s="236" t="n"/>
      <c r="AU771" s="236" t="n"/>
      <c r="AV771" s="236" t="n"/>
      <c r="AW771" s="236" t="n"/>
      <c r="AX771" s="692" t="n"/>
      <c r="AY771" s="692" t="n"/>
      <c r="AZ771" s="692" t="n"/>
      <c r="BA771" s="692" t="n"/>
      <c r="BB771" s="692" t="n"/>
      <c r="BC771" s="692" t="n"/>
      <c r="BD771" s="692" t="n"/>
      <c r="BE771" s="692" t="n"/>
      <c r="BF771" s="692" t="n"/>
      <c r="BG771" s="692" t="n"/>
      <c r="BH771" s="692" t="n"/>
      <c r="BI771" s="692" t="n"/>
      <c r="BJ771" s="692" t="n"/>
      <c r="BK771" s="692" t="n"/>
      <c r="BL771" s="692" t="n"/>
      <c r="BM771" s="692" t="n"/>
      <c r="BN771" s="692" t="n"/>
      <c r="BO771" s="692" t="n"/>
      <c r="BP771" s="692" t="n"/>
      <c r="BQ771" s="692" t="n"/>
    </row>
    <row r="772">
      <c r="A772" s="218" t="n"/>
      <c r="B772" s="215" t="n"/>
      <c r="C772" s="215" t="n"/>
      <c r="D772" s="215" t="n"/>
      <c r="E772" s="219" t="n"/>
      <c r="F772" s="215" t="n"/>
      <c r="G772" s="215" t="n"/>
      <c r="H772" s="215" t="n"/>
      <c r="I772" s="215" t="n"/>
      <c r="J772" s="215" t="n"/>
      <c r="K772" s="215" t="n"/>
      <c r="L772" s="217" t="n"/>
      <c r="M772" s="692" t="n"/>
      <c r="N772" s="692" t="n"/>
      <c r="O772" s="692" t="n"/>
      <c r="P772" s="261" t="n"/>
      <c r="Q772" s="692" t="n"/>
      <c r="R772" s="692" t="n"/>
      <c r="S772" s="692" t="n"/>
      <c r="T772" s="692" t="n"/>
      <c r="U772" s="692" t="n"/>
      <c r="V772" s="692" t="n"/>
      <c r="W772" s="692" t="n"/>
      <c r="X772" s="692" t="n"/>
      <c r="Y772" s="692" t="n"/>
      <c r="Z772" s="692" t="n"/>
      <c r="AA772" s="692" t="n"/>
      <c r="AB772" s="692" t="n"/>
      <c r="AC772" s="692" t="n"/>
      <c r="AD772" s="692" t="n"/>
      <c r="AF772" s="236" t="n"/>
      <c r="AG772" s="236" t="n"/>
      <c r="AH772" s="236" t="n"/>
      <c r="AI772" s="236" t="n"/>
      <c r="AJ772" s="236" t="n"/>
      <c r="AK772" s="236" t="n"/>
      <c r="AL772" s="236" t="n"/>
      <c r="AM772" s="236" t="n"/>
      <c r="AN772" s="236" t="n"/>
      <c r="AO772" s="236" t="n"/>
      <c r="AP772" s="236" t="n"/>
      <c r="AQ772" s="236" t="n"/>
      <c r="AR772" s="236" t="n"/>
      <c r="AS772" s="236" t="n"/>
      <c r="AT772" s="236" t="n"/>
      <c r="AU772" s="236" t="n"/>
      <c r="AV772" s="236" t="n"/>
      <c r="AW772" s="236" t="n"/>
      <c r="AX772" s="692" t="n"/>
      <c r="AY772" s="692" t="n"/>
      <c r="AZ772" s="692" t="n"/>
      <c r="BA772" s="692" t="n"/>
      <c r="BB772" s="692" t="n"/>
      <c r="BC772" s="692" t="n"/>
      <c r="BD772" s="692" t="n"/>
      <c r="BE772" s="692" t="n"/>
      <c r="BF772" s="692" t="n"/>
      <c r="BG772" s="692" t="n"/>
      <c r="BH772" s="692" t="n"/>
      <c r="BI772" s="692" t="n"/>
      <c r="BJ772" s="692" t="n"/>
      <c r="BK772" s="692" t="n"/>
      <c r="BL772" s="692" t="n"/>
      <c r="BM772" s="692" t="n"/>
      <c r="BN772" s="692" t="n"/>
      <c r="BO772" s="692" t="n"/>
      <c r="BP772" s="692" t="n"/>
      <c r="BQ772" s="692" t="n"/>
    </row>
    <row r="773">
      <c r="A773" s="220" t="n"/>
      <c r="B773" s="211" t="n"/>
      <c r="C773" s="211" t="n"/>
      <c r="D773" s="211" t="n"/>
      <c r="E773" s="221" t="n"/>
      <c r="F773" s="211" t="n"/>
      <c r="G773" s="211" t="n"/>
      <c r="H773" s="211" t="n"/>
      <c r="I773" s="211" t="n"/>
      <c r="J773" s="211" t="n"/>
      <c r="K773" s="211" t="n"/>
      <c r="L773" s="213" t="n"/>
      <c r="M773" s="692" t="n"/>
      <c r="N773" s="692" t="n"/>
      <c r="O773" s="692" t="n"/>
      <c r="P773" s="261" t="n"/>
      <c r="Q773" s="692" t="n"/>
      <c r="R773" s="692" t="n"/>
      <c r="S773" s="692" t="n"/>
      <c r="T773" s="692" t="n"/>
      <c r="U773" s="692" t="n"/>
      <c r="V773" s="692" t="n"/>
      <c r="W773" s="692" t="n"/>
      <c r="X773" s="692" t="n"/>
      <c r="Y773" s="692" t="n"/>
      <c r="Z773" s="692" t="n"/>
      <c r="AA773" s="692" t="n"/>
      <c r="AB773" s="692" t="n"/>
      <c r="AC773" s="692" t="n"/>
      <c r="AD773" s="692" t="n"/>
      <c r="AF773" s="236" t="n"/>
      <c r="AG773" s="236" t="n"/>
      <c r="AH773" s="236" t="n"/>
      <c r="AI773" s="236" t="n"/>
      <c r="AJ773" s="236" t="n"/>
      <c r="AK773" s="236" t="n"/>
      <c r="AL773" s="236" t="n"/>
      <c r="AM773" s="236" t="n"/>
      <c r="AN773" s="236" t="n"/>
      <c r="AO773" s="236" t="n"/>
      <c r="AP773" s="236" t="n"/>
      <c r="AQ773" s="236" t="n"/>
      <c r="AR773" s="236" t="n"/>
      <c r="AS773" s="236" t="n"/>
      <c r="AT773" s="236" t="n"/>
      <c r="AU773" s="236" t="n"/>
      <c r="AV773" s="236" t="n"/>
      <c r="AW773" s="236" t="n"/>
      <c r="AX773" s="692" t="n"/>
      <c r="AY773" s="692" t="n"/>
      <c r="AZ773" s="692" t="n"/>
      <c r="BA773" s="692" t="n"/>
      <c r="BB773" s="692" t="n"/>
      <c r="BC773" s="692" t="n"/>
      <c r="BD773" s="692" t="n"/>
      <c r="BE773" s="692" t="n"/>
      <c r="BF773" s="692" t="n"/>
      <c r="BG773" s="692" t="n"/>
      <c r="BH773" s="692" t="n"/>
      <c r="BI773" s="692" t="n"/>
      <c r="BJ773" s="692" t="n"/>
      <c r="BK773" s="692" t="n"/>
      <c r="BL773" s="692" t="n"/>
      <c r="BM773" s="692" t="n"/>
      <c r="BN773" s="692" t="n"/>
      <c r="BO773" s="692" t="n"/>
      <c r="BP773" s="692" t="n"/>
      <c r="BQ773" s="692" t="n"/>
    </row>
    <row r="774">
      <c r="A774" s="218" t="n"/>
      <c r="B774" s="215" t="n"/>
      <c r="C774" s="215" t="n"/>
      <c r="D774" s="215" t="n"/>
      <c r="E774" s="219" t="n"/>
      <c r="F774" s="215" t="n"/>
      <c r="G774" s="215" t="n"/>
      <c r="H774" s="215" t="n"/>
      <c r="I774" s="215" t="n"/>
      <c r="J774" s="215" t="n"/>
      <c r="K774" s="215" t="n"/>
      <c r="L774" s="217" t="n"/>
      <c r="M774" s="692" t="n"/>
      <c r="N774" s="692" t="n"/>
      <c r="O774" s="692" t="n"/>
      <c r="P774" s="261" t="n"/>
      <c r="Q774" s="692" t="n"/>
      <c r="R774" s="692" t="n"/>
      <c r="S774" s="692" t="n"/>
      <c r="T774" s="692" t="n"/>
      <c r="U774" s="692" t="n"/>
      <c r="V774" s="692" t="n"/>
      <c r="W774" s="692" t="n"/>
      <c r="X774" s="692" t="n"/>
      <c r="Y774" s="692" t="n"/>
      <c r="Z774" s="692" t="n"/>
      <c r="AA774" s="692" t="n"/>
      <c r="AB774" s="692" t="n"/>
      <c r="AC774" s="692" t="n"/>
      <c r="AD774" s="692" t="n"/>
      <c r="AF774" s="236" t="n"/>
      <c r="AG774" s="236" t="n"/>
      <c r="AH774" s="236" t="n"/>
      <c r="AI774" s="236" t="n"/>
      <c r="AJ774" s="236" t="n"/>
      <c r="AK774" s="236" t="n"/>
      <c r="AL774" s="236" t="n"/>
      <c r="AM774" s="236" t="n"/>
      <c r="AN774" s="236" t="n"/>
      <c r="AO774" s="236" t="n"/>
      <c r="AP774" s="236" t="n"/>
      <c r="AQ774" s="236" t="n"/>
      <c r="AR774" s="236" t="n"/>
      <c r="AS774" s="236" t="n"/>
      <c r="AT774" s="236" t="n"/>
      <c r="AU774" s="236" t="n"/>
      <c r="AV774" s="236" t="n"/>
      <c r="AW774" s="236" t="n"/>
      <c r="AX774" s="692" t="n"/>
      <c r="AY774" s="692" t="n"/>
      <c r="AZ774" s="692" t="n"/>
      <c r="BA774" s="692" t="n"/>
      <c r="BB774" s="692" t="n"/>
      <c r="BC774" s="692" t="n"/>
      <c r="BD774" s="692" t="n"/>
      <c r="BE774" s="692" t="n"/>
      <c r="BF774" s="692" t="n"/>
      <c r="BG774" s="692" t="n"/>
      <c r="BH774" s="692" t="n"/>
      <c r="BI774" s="692" t="n"/>
      <c r="BJ774" s="692" t="n"/>
      <c r="BK774" s="692" t="n"/>
      <c r="BL774" s="692" t="n"/>
      <c r="BM774" s="692" t="n"/>
      <c r="BN774" s="692" t="n"/>
      <c r="BO774" s="692" t="n"/>
      <c r="BP774" s="692" t="n"/>
      <c r="BQ774" s="692" t="n"/>
    </row>
    <row r="775">
      <c r="A775" s="220" t="n"/>
      <c r="B775" s="211" t="n"/>
      <c r="C775" s="211" t="n"/>
      <c r="D775" s="211" t="n"/>
      <c r="E775" s="221" t="n"/>
      <c r="F775" s="211" t="n"/>
      <c r="G775" s="211" t="n"/>
      <c r="H775" s="211" t="n"/>
      <c r="I775" s="211" t="n"/>
      <c r="J775" s="211" t="n"/>
      <c r="K775" s="211" t="n"/>
      <c r="L775" s="213" t="n"/>
      <c r="M775" s="692" t="n"/>
      <c r="N775" s="692" t="n"/>
      <c r="O775" s="692" t="n"/>
      <c r="P775" s="261" t="n"/>
      <c r="Q775" s="692" t="n"/>
      <c r="R775" s="692" t="n"/>
      <c r="S775" s="692" t="n"/>
      <c r="T775" s="692" t="n"/>
      <c r="U775" s="692" t="n"/>
      <c r="V775" s="692" t="n"/>
      <c r="W775" s="692" t="n"/>
      <c r="X775" s="692" t="n"/>
      <c r="Y775" s="692" t="n"/>
      <c r="Z775" s="692" t="n"/>
      <c r="AA775" s="692" t="n"/>
      <c r="AB775" s="692" t="n"/>
      <c r="AC775" s="692" t="n"/>
      <c r="AD775" s="692" t="n"/>
      <c r="AF775" s="236" t="n"/>
      <c r="AG775" s="236" t="n"/>
      <c r="AH775" s="236" t="n"/>
      <c r="AI775" s="236" t="n"/>
      <c r="AJ775" s="236" t="n"/>
      <c r="AK775" s="236" t="n"/>
      <c r="AL775" s="236" t="n"/>
      <c r="AM775" s="236" t="n"/>
      <c r="AN775" s="236" t="n"/>
      <c r="AO775" s="236" t="n"/>
      <c r="AP775" s="236" t="n"/>
      <c r="AQ775" s="236" t="n"/>
      <c r="AR775" s="236" t="n"/>
      <c r="AS775" s="236" t="n"/>
      <c r="AT775" s="236" t="n"/>
      <c r="AU775" s="236" t="n"/>
      <c r="AV775" s="236" t="n"/>
      <c r="AW775" s="236" t="n"/>
      <c r="AX775" s="692" t="n"/>
      <c r="AY775" s="692" t="n"/>
      <c r="AZ775" s="692" t="n"/>
      <c r="BA775" s="692" t="n"/>
      <c r="BB775" s="692" t="n"/>
      <c r="BC775" s="692" t="n"/>
      <c r="BD775" s="692" t="n"/>
      <c r="BE775" s="692" t="n"/>
      <c r="BF775" s="692" t="n"/>
      <c r="BG775" s="692" t="n"/>
      <c r="BH775" s="692" t="n"/>
      <c r="BI775" s="692" t="n"/>
      <c r="BJ775" s="692" t="n"/>
      <c r="BK775" s="692" t="n"/>
      <c r="BL775" s="692" t="n"/>
      <c r="BM775" s="692" t="n"/>
      <c r="BN775" s="692" t="n"/>
      <c r="BO775" s="692" t="n"/>
      <c r="BP775" s="692" t="n"/>
      <c r="BQ775" s="692" t="n"/>
    </row>
    <row r="776">
      <c r="A776" s="218" t="n"/>
      <c r="B776" s="215" t="n"/>
      <c r="C776" s="215" t="n"/>
      <c r="D776" s="215" t="n"/>
      <c r="E776" s="219" t="n"/>
      <c r="F776" s="215" t="n"/>
      <c r="G776" s="215" t="n"/>
      <c r="H776" s="215" t="n"/>
      <c r="I776" s="215" t="n"/>
      <c r="J776" s="215" t="n"/>
      <c r="K776" s="215" t="n"/>
      <c r="L776" s="217" t="n"/>
      <c r="M776" s="692" t="n"/>
      <c r="N776" s="692" t="n"/>
      <c r="O776" s="692" t="n"/>
      <c r="P776" s="261" t="n"/>
      <c r="Q776" s="692" t="n"/>
      <c r="R776" s="692" t="n"/>
      <c r="S776" s="692" t="n"/>
      <c r="T776" s="692" t="n"/>
      <c r="U776" s="692" t="n"/>
      <c r="V776" s="692" t="n"/>
      <c r="W776" s="692" t="n"/>
      <c r="X776" s="692" t="n"/>
      <c r="Y776" s="692" t="n"/>
      <c r="Z776" s="692" t="n"/>
      <c r="AA776" s="692" t="n"/>
      <c r="AB776" s="692" t="n"/>
      <c r="AC776" s="692" t="n"/>
      <c r="AD776" s="692" t="n"/>
      <c r="AF776" s="236" t="n"/>
      <c r="AG776" s="236" t="n"/>
      <c r="AH776" s="236" t="n"/>
      <c r="AI776" s="236" t="n"/>
      <c r="AJ776" s="236" t="n"/>
      <c r="AK776" s="236" t="n"/>
      <c r="AL776" s="236" t="n"/>
      <c r="AM776" s="236" t="n"/>
      <c r="AN776" s="236" t="n"/>
      <c r="AO776" s="236" t="n"/>
      <c r="AP776" s="236" t="n"/>
      <c r="AQ776" s="236" t="n"/>
      <c r="AR776" s="236" t="n"/>
      <c r="AS776" s="236" t="n"/>
      <c r="AT776" s="236" t="n"/>
      <c r="AU776" s="236" t="n"/>
      <c r="AV776" s="236" t="n"/>
      <c r="AW776" s="236" t="n"/>
      <c r="AX776" s="692" t="n"/>
      <c r="AY776" s="692" t="n"/>
      <c r="AZ776" s="692" t="n"/>
      <c r="BA776" s="692" t="n"/>
      <c r="BB776" s="692" t="n"/>
      <c r="BC776" s="692" t="n"/>
      <c r="BD776" s="692" t="n"/>
      <c r="BE776" s="692" t="n"/>
      <c r="BF776" s="692" t="n"/>
      <c r="BG776" s="692" t="n"/>
      <c r="BH776" s="692" t="n"/>
      <c r="BI776" s="692" t="n"/>
      <c r="BJ776" s="692" t="n"/>
      <c r="BK776" s="692" t="n"/>
      <c r="BL776" s="692" t="n"/>
      <c r="BM776" s="692" t="n"/>
      <c r="BN776" s="692" t="n"/>
      <c r="BO776" s="692" t="n"/>
      <c r="BP776" s="692" t="n"/>
      <c r="BQ776" s="692" t="n"/>
    </row>
    <row r="777">
      <c r="A777" s="220" t="n"/>
      <c r="B777" s="211" t="n"/>
      <c r="C777" s="211" t="n"/>
      <c r="D777" s="211" t="n"/>
      <c r="E777" s="221" t="n"/>
      <c r="F777" s="211" t="n"/>
      <c r="G777" s="211" t="n"/>
      <c r="H777" s="211" t="n"/>
      <c r="I777" s="211" t="n"/>
      <c r="J777" s="211" t="n"/>
      <c r="K777" s="211" t="n"/>
      <c r="L777" s="213" t="n"/>
      <c r="M777" s="692" t="n"/>
      <c r="N777" s="692" t="n"/>
      <c r="O777" s="692" t="n"/>
      <c r="P777" s="261" t="n"/>
      <c r="Q777" s="692" t="n"/>
      <c r="R777" s="692" t="n"/>
      <c r="S777" s="692" t="n"/>
      <c r="T777" s="692" t="n"/>
      <c r="U777" s="692" t="n"/>
      <c r="V777" s="692" t="n"/>
      <c r="W777" s="692" t="n"/>
      <c r="X777" s="692" t="n"/>
      <c r="Y777" s="692" t="n"/>
      <c r="Z777" s="692" t="n"/>
      <c r="AA777" s="692" t="n"/>
      <c r="AB777" s="692" t="n"/>
      <c r="AC777" s="692" t="n"/>
      <c r="AD777" s="692" t="n"/>
      <c r="AF777" s="236" t="n"/>
      <c r="AG777" s="236" t="n"/>
      <c r="AH777" s="236" t="n"/>
      <c r="AI777" s="236" t="n"/>
      <c r="AJ777" s="236" t="n"/>
      <c r="AK777" s="236" t="n"/>
      <c r="AL777" s="236" t="n"/>
      <c r="AM777" s="236" t="n"/>
      <c r="AN777" s="236" t="n"/>
      <c r="AO777" s="236" t="n"/>
      <c r="AP777" s="236" t="n"/>
      <c r="AQ777" s="236" t="n"/>
      <c r="AR777" s="236" t="n"/>
      <c r="AS777" s="236" t="n"/>
      <c r="AT777" s="236" t="n"/>
      <c r="AU777" s="236" t="n"/>
      <c r="AV777" s="236" t="n"/>
      <c r="AW777" s="236" t="n"/>
      <c r="AX777" s="692" t="n"/>
      <c r="AY777" s="692" t="n"/>
      <c r="AZ777" s="692" t="n"/>
      <c r="BA777" s="692" t="n"/>
      <c r="BB777" s="692" t="n"/>
      <c r="BC777" s="692" t="n"/>
      <c r="BD777" s="692" t="n"/>
      <c r="BE777" s="692" t="n"/>
      <c r="BF777" s="692" t="n"/>
      <c r="BG777" s="692" t="n"/>
      <c r="BH777" s="692" t="n"/>
      <c r="BI777" s="692" t="n"/>
      <c r="BJ777" s="692" t="n"/>
      <c r="BK777" s="692" t="n"/>
      <c r="BL777" s="692" t="n"/>
      <c r="BM777" s="692" t="n"/>
      <c r="BN777" s="692" t="n"/>
      <c r="BO777" s="692" t="n"/>
      <c r="BP777" s="692" t="n"/>
      <c r="BQ777" s="692" t="n"/>
    </row>
    <row r="778">
      <c r="A778" s="218" t="n"/>
      <c r="B778" s="215" t="n"/>
      <c r="C778" s="215" t="n"/>
      <c r="D778" s="215" t="n"/>
      <c r="E778" s="219" t="n"/>
      <c r="F778" s="215" t="n"/>
      <c r="G778" s="215" t="n"/>
      <c r="H778" s="215" t="n"/>
      <c r="I778" s="215" t="n"/>
      <c r="J778" s="215" t="n"/>
      <c r="K778" s="215" t="n"/>
      <c r="L778" s="217" t="n"/>
      <c r="M778" s="692" t="n"/>
      <c r="N778" s="692" t="n"/>
      <c r="O778" s="692" t="n"/>
      <c r="P778" s="261" t="n"/>
      <c r="Q778" s="692" t="n"/>
      <c r="R778" s="692" t="n"/>
      <c r="S778" s="692" t="n"/>
      <c r="T778" s="692" t="n"/>
      <c r="U778" s="692" t="n"/>
      <c r="V778" s="692" t="n"/>
      <c r="W778" s="692" t="n"/>
      <c r="X778" s="692" t="n"/>
      <c r="Y778" s="692" t="n"/>
      <c r="Z778" s="692" t="n"/>
      <c r="AA778" s="692" t="n"/>
      <c r="AB778" s="692" t="n"/>
      <c r="AC778" s="692" t="n"/>
      <c r="AD778" s="692" t="n"/>
      <c r="AF778" s="236" t="n"/>
      <c r="AG778" s="236" t="n"/>
      <c r="AH778" s="236" t="n"/>
      <c r="AI778" s="236" t="n"/>
      <c r="AJ778" s="236" t="n"/>
      <c r="AK778" s="236" t="n"/>
      <c r="AL778" s="236" t="n"/>
      <c r="AM778" s="236" t="n"/>
      <c r="AN778" s="236" t="n"/>
      <c r="AO778" s="236" t="n"/>
      <c r="AP778" s="236" t="n"/>
      <c r="AQ778" s="236" t="n"/>
      <c r="AR778" s="236" t="n"/>
      <c r="AS778" s="236" t="n"/>
      <c r="AT778" s="236" t="n"/>
      <c r="AU778" s="236" t="n"/>
      <c r="AV778" s="236" t="n"/>
      <c r="AW778" s="236" t="n"/>
      <c r="AX778" s="692" t="n"/>
      <c r="AY778" s="692" t="n"/>
      <c r="AZ778" s="692" t="n"/>
      <c r="BA778" s="692" t="n"/>
      <c r="BB778" s="692" t="n"/>
      <c r="BC778" s="692" t="n"/>
      <c r="BD778" s="692" t="n"/>
      <c r="BE778" s="692" t="n"/>
      <c r="BF778" s="692" t="n"/>
      <c r="BG778" s="692" t="n"/>
      <c r="BH778" s="692" t="n"/>
      <c r="BI778" s="692" t="n"/>
      <c r="BJ778" s="692" t="n"/>
      <c r="BK778" s="692" t="n"/>
      <c r="BL778" s="692" t="n"/>
      <c r="BM778" s="692" t="n"/>
      <c r="BN778" s="692" t="n"/>
      <c r="BO778" s="692" t="n"/>
      <c r="BP778" s="692" t="n"/>
      <c r="BQ778" s="692" t="n"/>
    </row>
    <row r="779">
      <c r="A779" s="220" t="n"/>
      <c r="B779" s="211" t="n"/>
      <c r="C779" s="211" t="n"/>
      <c r="D779" s="211" t="n"/>
      <c r="E779" s="221" t="n"/>
      <c r="F779" s="211" t="n"/>
      <c r="G779" s="211" t="n"/>
      <c r="H779" s="211" t="n"/>
      <c r="I779" s="211" t="n"/>
      <c r="J779" s="211" t="n"/>
      <c r="K779" s="211" t="n"/>
      <c r="L779" s="213" t="n"/>
      <c r="M779" s="692" t="n"/>
      <c r="N779" s="692" t="n"/>
      <c r="O779" s="692" t="n"/>
      <c r="P779" s="261" t="n"/>
      <c r="Q779" s="692" t="n"/>
      <c r="R779" s="692" t="n"/>
      <c r="S779" s="692" t="n"/>
      <c r="T779" s="692" t="n"/>
      <c r="U779" s="692" t="n"/>
      <c r="V779" s="692" t="n"/>
      <c r="W779" s="692" t="n"/>
      <c r="X779" s="692" t="n"/>
      <c r="Y779" s="692" t="n"/>
      <c r="Z779" s="692" t="n"/>
      <c r="AA779" s="692" t="n"/>
      <c r="AB779" s="692" t="n"/>
      <c r="AC779" s="692" t="n"/>
      <c r="AD779" s="692" t="n"/>
      <c r="AF779" s="236" t="n"/>
      <c r="AG779" s="236" t="n"/>
      <c r="AH779" s="236" t="n"/>
      <c r="AI779" s="236" t="n"/>
      <c r="AJ779" s="236" t="n"/>
      <c r="AK779" s="236" t="n"/>
      <c r="AL779" s="236" t="n"/>
      <c r="AM779" s="236" t="n"/>
      <c r="AN779" s="236" t="n"/>
      <c r="AO779" s="236" t="n"/>
      <c r="AP779" s="236" t="n"/>
      <c r="AQ779" s="236" t="n"/>
      <c r="AR779" s="236" t="n"/>
      <c r="AS779" s="236" t="n"/>
      <c r="AT779" s="236" t="n"/>
      <c r="AU779" s="236" t="n"/>
      <c r="AV779" s="236" t="n"/>
      <c r="AW779" s="236" t="n"/>
      <c r="AX779" s="692" t="n"/>
      <c r="AY779" s="692" t="n"/>
      <c r="AZ779" s="692" t="n"/>
      <c r="BA779" s="692" t="n"/>
      <c r="BB779" s="692" t="n"/>
      <c r="BC779" s="692" t="n"/>
      <c r="BD779" s="692" t="n"/>
      <c r="BE779" s="692" t="n"/>
      <c r="BF779" s="692" t="n"/>
      <c r="BG779" s="692" t="n"/>
      <c r="BH779" s="692" t="n"/>
      <c r="BI779" s="692" t="n"/>
      <c r="BJ779" s="692" t="n"/>
      <c r="BK779" s="692" t="n"/>
      <c r="BL779" s="692" t="n"/>
      <c r="BM779" s="692" t="n"/>
      <c r="BN779" s="692" t="n"/>
      <c r="BO779" s="692" t="n"/>
      <c r="BP779" s="692" t="n"/>
      <c r="BQ779" s="692" t="n"/>
    </row>
    <row r="780">
      <c r="A780" s="218" t="n"/>
      <c r="B780" s="215" t="n"/>
      <c r="C780" s="215" t="n"/>
      <c r="D780" s="215" t="n"/>
      <c r="E780" s="219" t="n"/>
      <c r="F780" s="215" t="n"/>
      <c r="G780" s="215" t="n"/>
      <c r="H780" s="215" t="n"/>
      <c r="I780" s="215" t="n"/>
      <c r="J780" s="215" t="n"/>
      <c r="K780" s="215" t="n"/>
      <c r="L780" s="217" t="n"/>
      <c r="M780" s="692" t="n"/>
      <c r="N780" s="692" t="n"/>
      <c r="O780" s="692" t="n"/>
      <c r="P780" s="261" t="n"/>
      <c r="Q780" s="692" t="n"/>
      <c r="R780" s="692" t="n"/>
      <c r="S780" s="692" t="n"/>
      <c r="T780" s="692" t="n"/>
      <c r="U780" s="692" t="n"/>
      <c r="V780" s="692" t="n"/>
      <c r="W780" s="692" t="n"/>
      <c r="X780" s="692" t="n"/>
      <c r="Y780" s="692" t="n"/>
      <c r="Z780" s="692" t="n"/>
      <c r="AA780" s="692" t="n"/>
      <c r="AB780" s="692" t="n"/>
      <c r="AC780" s="692" t="n"/>
      <c r="AD780" s="692" t="n"/>
      <c r="AF780" s="236" t="n"/>
      <c r="AG780" s="236" t="n"/>
      <c r="AH780" s="236" t="n"/>
      <c r="AI780" s="236" t="n"/>
      <c r="AJ780" s="236" t="n"/>
      <c r="AK780" s="236" t="n"/>
      <c r="AL780" s="236" t="n"/>
      <c r="AM780" s="236" t="n"/>
      <c r="AN780" s="236" t="n"/>
      <c r="AO780" s="236" t="n"/>
      <c r="AP780" s="236" t="n"/>
      <c r="AQ780" s="236" t="n"/>
      <c r="AR780" s="236" t="n"/>
      <c r="AS780" s="236" t="n"/>
      <c r="AT780" s="236" t="n"/>
      <c r="AU780" s="236" t="n"/>
      <c r="AV780" s="236" t="n"/>
      <c r="AW780" s="236" t="n"/>
      <c r="AX780" s="692" t="n"/>
      <c r="AY780" s="692" t="n"/>
      <c r="AZ780" s="692" t="n"/>
      <c r="BA780" s="692" t="n"/>
      <c r="BB780" s="692" t="n"/>
      <c r="BC780" s="692" t="n"/>
      <c r="BD780" s="692" t="n"/>
      <c r="BE780" s="692" t="n"/>
      <c r="BF780" s="692" t="n"/>
      <c r="BG780" s="692" t="n"/>
      <c r="BH780" s="692" t="n"/>
      <c r="BI780" s="692" t="n"/>
      <c r="BJ780" s="692" t="n"/>
      <c r="BK780" s="692" t="n"/>
      <c r="BL780" s="692" t="n"/>
      <c r="BM780" s="692" t="n"/>
      <c r="BN780" s="692" t="n"/>
      <c r="BO780" s="692" t="n"/>
      <c r="BP780" s="692" t="n"/>
      <c r="BQ780" s="692" t="n"/>
    </row>
    <row r="781">
      <c r="A781" s="220" t="n"/>
      <c r="B781" s="211" t="n"/>
      <c r="C781" s="211" t="n"/>
      <c r="D781" s="211" t="n"/>
      <c r="E781" s="221" t="n"/>
      <c r="F781" s="211" t="n"/>
      <c r="G781" s="211" t="n"/>
      <c r="H781" s="211" t="n"/>
      <c r="I781" s="211" t="n"/>
      <c r="J781" s="211" t="n"/>
      <c r="K781" s="211" t="n"/>
      <c r="L781" s="213" t="n"/>
      <c r="M781" s="692" t="n"/>
      <c r="N781" s="692" t="n"/>
      <c r="O781" s="692" t="n"/>
      <c r="P781" s="261" t="n"/>
      <c r="Q781" s="692" t="n"/>
      <c r="R781" s="692" t="n"/>
      <c r="S781" s="692" t="n"/>
      <c r="T781" s="692" t="n"/>
      <c r="U781" s="692" t="n"/>
      <c r="V781" s="692" t="n"/>
      <c r="W781" s="692" t="n"/>
      <c r="X781" s="692" t="n"/>
      <c r="Y781" s="692" t="n"/>
      <c r="Z781" s="692" t="n"/>
      <c r="AA781" s="692" t="n"/>
      <c r="AB781" s="692" t="n"/>
      <c r="AC781" s="692" t="n"/>
      <c r="AD781" s="692" t="n"/>
      <c r="AF781" s="236" t="n"/>
      <c r="AG781" s="236" t="n"/>
      <c r="AH781" s="236" t="n"/>
      <c r="AI781" s="236" t="n"/>
      <c r="AJ781" s="236" t="n"/>
      <c r="AK781" s="236" t="n"/>
      <c r="AL781" s="236" t="n"/>
      <c r="AM781" s="236" t="n"/>
      <c r="AN781" s="236" t="n"/>
      <c r="AO781" s="236" t="n"/>
      <c r="AP781" s="236" t="n"/>
      <c r="AQ781" s="236" t="n"/>
      <c r="AR781" s="236" t="n"/>
      <c r="AS781" s="236" t="n"/>
      <c r="AT781" s="236" t="n"/>
      <c r="AU781" s="236" t="n"/>
      <c r="AV781" s="236" t="n"/>
      <c r="AW781" s="236" t="n"/>
      <c r="AX781" s="692" t="n"/>
      <c r="AY781" s="692" t="n"/>
      <c r="AZ781" s="692" t="n"/>
      <c r="BA781" s="692" t="n"/>
      <c r="BB781" s="692" t="n"/>
      <c r="BC781" s="692" t="n"/>
      <c r="BD781" s="692" t="n"/>
      <c r="BE781" s="692" t="n"/>
      <c r="BF781" s="692" t="n"/>
      <c r="BG781" s="692" t="n"/>
      <c r="BH781" s="692" t="n"/>
      <c r="BI781" s="692" t="n"/>
      <c r="BJ781" s="692" t="n"/>
      <c r="BK781" s="692" t="n"/>
      <c r="BL781" s="692" t="n"/>
      <c r="BM781" s="692" t="n"/>
      <c r="BN781" s="692" t="n"/>
      <c r="BO781" s="692" t="n"/>
      <c r="BP781" s="692" t="n"/>
      <c r="BQ781" s="692" t="n"/>
    </row>
    <row r="782">
      <c r="A782" s="218" t="n"/>
      <c r="B782" s="215" t="n"/>
      <c r="C782" s="215" t="n"/>
      <c r="D782" s="215" t="n"/>
      <c r="E782" s="219" t="n"/>
      <c r="F782" s="215" t="n"/>
      <c r="G782" s="215" t="n"/>
      <c r="H782" s="215" t="n"/>
      <c r="I782" s="215" t="n"/>
      <c r="J782" s="215" t="n"/>
      <c r="K782" s="215" t="n"/>
      <c r="L782" s="217" t="n"/>
      <c r="M782" s="692" t="n"/>
      <c r="N782" s="692" t="n"/>
      <c r="O782" s="692" t="n"/>
      <c r="P782" s="261" t="n"/>
      <c r="Q782" s="692" t="n"/>
      <c r="R782" s="692" t="n"/>
      <c r="S782" s="692" t="n"/>
      <c r="T782" s="692" t="n"/>
      <c r="U782" s="692" t="n"/>
      <c r="V782" s="692" t="n"/>
      <c r="W782" s="692" t="n"/>
      <c r="X782" s="692" t="n"/>
      <c r="Y782" s="692" t="n"/>
      <c r="Z782" s="692" t="n"/>
      <c r="AA782" s="692" t="n"/>
      <c r="AB782" s="692" t="n"/>
      <c r="AC782" s="692" t="n"/>
      <c r="AD782" s="692" t="n"/>
      <c r="AF782" s="236" t="n"/>
      <c r="AG782" s="236" t="n"/>
      <c r="AH782" s="236" t="n"/>
      <c r="AI782" s="236" t="n"/>
      <c r="AJ782" s="236" t="n"/>
      <c r="AK782" s="236" t="n"/>
      <c r="AL782" s="236" t="n"/>
      <c r="AM782" s="236" t="n"/>
      <c r="AN782" s="236" t="n"/>
      <c r="AO782" s="236" t="n"/>
      <c r="AP782" s="236" t="n"/>
      <c r="AQ782" s="236" t="n"/>
      <c r="AR782" s="236" t="n"/>
      <c r="AS782" s="236" t="n"/>
      <c r="AT782" s="236" t="n"/>
      <c r="AU782" s="236" t="n"/>
      <c r="AV782" s="236" t="n"/>
      <c r="AW782" s="236" t="n"/>
      <c r="AX782" s="692" t="n"/>
      <c r="AY782" s="692" t="n"/>
      <c r="AZ782" s="692" t="n"/>
      <c r="BA782" s="692" t="n"/>
      <c r="BB782" s="692" t="n"/>
      <c r="BC782" s="692" t="n"/>
      <c r="BD782" s="692" t="n"/>
      <c r="BE782" s="692" t="n"/>
      <c r="BF782" s="692" t="n"/>
      <c r="BG782" s="692" t="n"/>
      <c r="BH782" s="692" t="n"/>
      <c r="BI782" s="692" t="n"/>
      <c r="BJ782" s="692" t="n"/>
      <c r="BK782" s="692" t="n"/>
      <c r="BL782" s="692" t="n"/>
      <c r="BM782" s="692" t="n"/>
      <c r="BN782" s="692" t="n"/>
      <c r="BO782" s="692" t="n"/>
      <c r="BP782" s="692" t="n"/>
      <c r="BQ782" s="692" t="n"/>
    </row>
    <row r="783">
      <c r="A783" s="220" t="n"/>
      <c r="B783" s="211" t="n"/>
      <c r="C783" s="211" t="n"/>
      <c r="D783" s="211" t="n"/>
      <c r="E783" s="221" t="n"/>
      <c r="F783" s="211" t="n"/>
      <c r="G783" s="211" t="n"/>
      <c r="H783" s="211" t="n"/>
      <c r="I783" s="211" t="n"/>
      <c r="J783" s="211" t="n"/>
      <c r="K783" s="211" t="n"/>
      <c r="L783" s="213" t="n"/>
      <c r="M783" s="692" t="n"/>
      <c r="N783" s="692" t="n"/>
      <c r="O783" s="692" t="n"/>
      <c r="P783" s="261" t="n"/>
      <c r="Q783" s="692" t="n"/>
      <c r="R783" s="692" t="n"/>
      <c r="S783" s="692" t="n"/>
      <c r="T783" s="692" t="n"/>
      <c r="U783" s="692" t="n"/>
      <c r="V783" s="692" t="n"/>
      <c r="W783" s="692" t="n"/>
      <c r="X783" s="692" t="n"/>
      <c r="Y783" s="692" t="n"/>
      <c r="Z783" s="692" t="n"/>
      <c r="AA783" s="692" t="n"/>
      <c r="AB783" s="692" t="n"/>
      <c r="AC783" s="692" t="n"/>
      <c r="AD783" s="692" t="n"/>
      <c r="AF783" s="236" t="n"/>
      <c r="AG783" s="236" t="n"/>
      <c r="AH783" s="236" t="n"/>
      <c r="AI783" s="236" t="n"/>
      <c r="AJ783" s="236" t="n"/>
      <c r="AK783" s="236" t="n"/>
      <c r="AL783" s="236" t="n"/>
      <c r="AM783" s="236" t="n"/>
      <c r="AN783" s="236" t="n"/>
      <c r="AO783" s="236" t="n"/>
      <c r="AP783" s="236" t="n"/>
      <c r="AQ783" s="236" t="n"/>
      <c r="AR783" s="236" t="n"/>
      <c r="AS783" s="236" t="n"/>
      <c r="AT783" s="236" t="n"/>
      <c r="AU783" s="236" t="n"/>
      <c r="AV783" s="236" t="n"/>
      <c r="AW783" s="236" t="n"/>
      <c r="AX783" s="692" t="n"/>
      <c r="AY783" s="692" t="n"/>
      <c r="AZ783" s="692" t="n"/>
      <c r="BA783" s="692" t="n"/>
      <c r="BB783" s="692" t="n"/>
      <c r="BC783" s="692" t="n"/>
      <c r="BD783" s="692" t="n"/>
      <c r="BE783" s="692" t="n"/>
      <c r="BF783" s="692" t="n"/>
      <c r="BG783" s="692" t="n"/>
      <c r="BH783" s="692" t="n"/>
      <c r="BI783" s="692" t="n"/>
      <c r="BJ783" s="692" t="n"/>
      <c r="BK783" s="692" t="n"/>
      <c r="BL783" s="692" t="n"/>
      <c r="BM783" s="692" t="n"/>
      <c r="BN783" s="692" t="n"/>
      <c r="BO783" s="692" t="n"/>
      <c r="BP783" s="692" t="n"/>
      <c r="BQ783" s="692" t="n"/>
    </row>
    <row r="784">
      <c r="A784" s="218" t="n"/>
      <c r="B784" s="215" t="n"/>
      <c r="C784" s="215" t="n"/>
      <c r="D784" s="215" t="n"/>
      <c r="E784" s="219" t="n"/>
      <c r="F784" s="215" t="n"/>
      <c r="G784" s="215" t="n"/>
      <c r="H784" s="215" t="n"/>
      <c r="I784" s="215" t="n"/>
      <c r="J784" s="215" t="n"/>
      <c r="K784" s="215" t="n"/>
      <c r="L784" s="217" t="n"/>
      <c r="M784" s="692" t="n"/>
      <c r="N784" s="692" t="n"/>
      <c r="O784" s="692" t="n"/>
      <c r="P784" s="261" t="n"/>
      <c r="Q784" s="692" t="n"/>
      <c r="R784" s="692" t="n"/>
      <c r="S784" s="692" t="n"/>
      <c r="T784" s="692" t="n"/>
      <c r="U784" s="692" t="n"/>
      <c r="V784" s="692" t="n"/>
      <c r="W784" s="692" t="n"/>
      <c r="X784" s="692" t="n"/>
      <c r="Y784" s="692" t="n"/>
      <c r="Z784" s="692" t="n"/>
      <c r="AA784" s="692" t="n"/>
      <c r="AB784" s="692" t="n"/>
      <c r="AC784" s="692" t="n"/>
      <c r="AD784" s="692" t="n"/>
      <c r="AF784" s="236" t="n"/>
      <c r="AG784" s="236" t="n"/>
      <c r="AH784" s="236" t="n"/>
      <c r="AI784" s="236" t="n"/>
      <c r="AJ784" s="236" t="n"/>
      <c r="AK784" s="236" t="n"/>
      <c r="AL784" s="236" t="n"/>
      <c r="AM784" s="236" t="n"/>
      <c r="AN784" s="236" t="n"/>
      <c r="AO784" s="236" t="n"/>
      <c r="AP784" s="236" t="n"/>
      <c r="AQ784" s="236" t="n"/>
      <c r="AR784" s="236" t="n"/>
      <c r="AS784" s="236" t="n"/>
      <c r="AT784" s="236" t="n"/>
      <c r="AU784" s="236" t="n"/>
      <c r="AV784" s="236" t="n"/>
      <c r="AW784" s="236" t="n"/>
      <c r="AX784" s="692" t="n"/>
      <c r="AY784" s="692" t="n"/>
      <c r="AZ784" s="692" t="n"/>
      <c r="BA784" s="692" t="n"/>
      <c r="BB784" s="692" t="n"/>
      <c r="BC784" s="692" t="n"/>
      <c r="BD784" s="692" t="n"/>
      <c r="BE784" s="692" t="n"/>
      <c r="BF784" s="692" t="n"/>
      <c r="BG784" s="692" t="n"/>
      <c r="BH784" s="692" t="n"/>
      <c r="BI784" s="692" t="n"/>
      <c r="BJ784" s="692" t="n"/>
      <c r="BK784" s="692" t="n"/>
      <c r="BL784" s="692" t="n"/>
      <c r="BM784" s="692" t="n"/>
      <c r="BN784" s="692" t="n"/>
      <c r="BO784" s="692" t="n"/>
      <c r="BP784" s="692" t="n"/>
      <c r="BQ784" s="692" t="n"/>
    </row>
    <row r="785">
      <c r="A785" s="220" t="n"/>
      <c r="B785" s="211" t="n"/>
      <c r="C785" s="211" t="n"/>
      <c r="D785" s="211" t="n"/>
      <c r="E785" s="221" t="n"/>
      <c r="F785" s="211" t="n"/>
      <c r="G785" s="211" t="n"/>
      <c r="H785" s="211" t="n"/>
      <c r="I785" s="211" t="n"/>
      <c r="J785" s="211" t="n"/>
      <c r="K785" s="211" t="n"/>
      <c r="L785" s="213" t="n"/>
      <c r="M785" s="692" t="n"/>
      <c r="N785" s="692" t="n"/>
      <c r="O785" s="692" t="n"/>
      <c r="P785" s="261" t="n"/>
      <c r="Q785" s="692" t="n"/>
      <c r="R785" s="692" t="n"/>
      <c r="S785" s="692" t="n"/>
      <c r="T785" s="692" t="n"/>
      <c r="U785" s="692" t="n"/>
      <c r="V785" s="692" t="n"/>
      <c r="W785" s="692" t="n"/>
      <c r="X785" s="692" t="n"/>
      <c r="Y785" s="692" t="n"/>
      <c r="Z785" s="692" t="n"/>
      <c r="AA785" s="692" t="n"/>
      <c r="AB785" s="692" t="n"/>
      <c r="AC785" s="692" t="n"/>
      <c r="AD785" s="692" t="n"/>
      <c r="AF785" s="236" t="n"/>
      <c r="AG785" s="236" t="n"/>
      <c r="AH785" s="236" t="n"/>
      <c r="AI785" s="236" t="n"/>
      <c r="AJ785" s="236" t="n"/>
      <c r="AK785" s="236" t="n"/>
      <c r="AL785" s="236" t="n"/>
      <c r="AM785" s="236" t="n"/>
      <c r="AN785" s="236" t="n"/>
      <c r="AO785" s="236" t="n"/>
      <c r="AP785" s="236" t="n"/>
      <c r="AQ785" s="236" t="n"/>
      <c r="AR785" s="236" t="n"/>
      <c r="AS785" s="236" t="n"/>
      <c r="AT785" s="236" t="n"/>
      <c r="AU785" s="236" t="n"/>
      <c r="AV785" s="236" t="n"/>
      <c r="AW785" s="236" t="n"/>
      <c r="AX785" s="692" t="n"/>
      <c r="AY785" s="692" t="n"/>
      <c r="AZ785" s="692" t="n"/>
      <c r="BA785" s="692" t="n"/>
      <c r="BB785" s="692" t="n"/>
      <c r="BC785" s="692" t="n"/>
      <c r="BD785" s="692" t="n"/>
      <c r="BE785" s="692" t="n"/>
      <c r="BF785" s="692" t="n"/>
      <c r="BG785" s="692" t="n"/>
      <c r="BH785" s="692" t="n"/>
      <c r="BI785" s="692" t="n"/>
      <c r="BJ785" s="692" t="n"/>
      <c r="BK785" s="692" t="n"/>
      <c r="BL785" s="692" t="n"/>
      <c r="BM785" s="692" t="n"/>
      <c r="BN785" s="692" t="n"/>
      <c r="BO785" s="692" t="n"/>
      <c r="BP785" s="692" t="n"/>
      <c r="BQ785" s="692" t="n"/>
    </row>
    <row r="786">
      <c r="A786" s="218" t="n"/>
      <c r="B786" s="215" t="n"/>
      <c r="C786" s="215" t="n"/>
      <c r="D786" s="215" t="n"/>
      <c r="E786" s="219" t="n"/>
      <c r="F786" s="215" t="n"/>
      <c r="G786" s="215" t="n"/>
      <c r="H786" s="215" t="n"/>
      <c r="I786" s="215" t="n"/>
      <c r="J786" s="215" t="n"/>
      <c r="K786" s="215" t="n"/>
      <c r="L786" s="217" t="n"/>
      <c r="M786" s="692" t="n"/>
      <c r="N786" s="692" t="n"/>
      <c r="O786" s="692" t="n"/>
      <c r="P786" s="261" t="n"/>
      <c r="Q786" s="692" t="n"/>
      <c r="R786" s="692" t="n"/>
      <c r="S786" s="692" t="n"/>
      <c r="T786" s="692" t="n"/>
      <c r="U786" s="692" t="n"/>
      <c r="V786" s="692" t="n"/>
      <c r="W786" s="692" t="n"/>
      <c r="X786" s="692" t="n"/>
      <c r="Y786" s="692" t="n"/>
      <c r="Z786" s="692" t="n"/>
      <c r="AA786" s="692" t="n"/>
      <c r="AB786" s="692" t="n"/>
      <c r="AC786" s="692" t="n"/>
      <c r="AD786" s="692" t="n"/>
      <c r="AF786" s="236" t="n"/>
      <c r="AG786" s="236" t="n"/>
      <c r="AH786" s="236" t="n"/>
      <c r="AI786" s="236" t="n"/>
      <c r="AJ786" s="236" t="n"/>
      <c r="AK786" s="236" t="n"/>
      <c r="AL786" s="236" t="n"/>
      <c r="AM786" s="236" t="n"/>
      <c r="AN786" s="236" t="n"/>
      <c r="AO786" s="236" t="n"/>
      <c r="AP786" s="236" t="n"/>
      <c r="AQ786" s="236" t="n"/>
      <c r="AR786" s="236" t="n"/>
      <c r="AS786" s="236" t="n"/>
      <c r="AT786" s="236" t="n"/>
      <c r="AU786" s="236" t="n"/>
      <c r="AV786" s="236" t="n"/>
      <c r="AW786" s="236" t="n"/>
      <c r="AX786" s="692" t="n"/>
      <c r="AY786" s="692" t="n"/>
      <c r="AZ786" s="692" t="n"/>
      <c r="BA786" s="692" t="n"/>
      <c r="BB786" s="692" t="n"/>
      <c r="BC786" s="692" t="n"/>
      <c r="BD786" s="692" t="n"/>
      <c r="BE786" s="692" t="n"/>
      <c r="BF786" s="692" t="n"/>
      <c r="BG786" s="692" t="n"/>
      <c r="BH786" s="692" t="n"/>
      <c r="BI786" s="692" t="n"/>
      <c r="BJ786" s="692" t="n"/>
      <c r="BK786" s="692" t="n"/>
      <c r="BL786" s="692" t="n"/>
      <c r="BM786" s="692" t="n"/>
      <c r="BN786" s="692" t="n"/>
      <c r="BO786" s="692" t="n"/>
      <c r="BP786" s="692" t="n"/>
      <c r="BQ786" s="692" t="n"/>
    </row>
    <row r="787">
      <c r="A787" s="220" t="n"/>
      <c r="B787" s="211" t="n"/>
      <c r="C787" s="211" t="n"/>
      <c r="D787" s="211" t="n"/>
      <c r="E787" s="221" t="n"/>
      <c r="F787" s="211" t="n"/>
      <c r="G787" s="211" t="n"/>
      <c r="H787" s="211" t="n"/>
      <c r="I787" s="211" t="n"/>
      <c r="J787" s="211" t="n"/>
      <c r="K787" s="211" t="n"/>
      <c r="L787" s="213" t="n"/>
      <c r="M787" s="692" t="n"/>
      <c r="N787" s="692" t="n"/>
      <c r="O787" s="692" t="n"/>
      <c r="P787" s="261" t="n"/>
      <c r="Q787" s="692" t="n"/>
      <c r="R787" s="692" t="n"/>
      <c r="S787" s="692" t="n"/>
      <c r="T787" s="692" t="n"/>
      <c r="U787" s="692" t="n"/>
      <c r="V787" s="692" t="n"/>
      <c r="W787" s="692" t="n"/>
      <c r="X787" s="692" t="n"/>
      <c r="Y787" s="692" t="n"/>
      <c r="Z787" s="692" t="n"/>
      <c r="AA787" s="692" t="n"/>
      <c r="AB787" s="692" t="n"/>
      <c r="AC787" s="692" t="n"/>
      <c r="AD787" s="692" t="n"/>
      <c r="AF787" s="236" t="n"/>
      <c r="AG787" s="236" t="n"/>
      <c r="AH787" s="236" t="n"/>
      <c r="AI787" s="236" t="n"/>
      <c r="AJ787" s="236" t="n"/>
      <c r="AK787" s="236" t="n"/>
      <c r="AL787" s="236" t="n"/>
      <c r="AM787" s="236" t="n"/>
      <c r="AN787" s="236" t="n"/>
      <c r="AO787" s="236" t="n"/>
      <c r="AP787" s="236" t="n"/>
      <c r="AQ787" s="236" t="n"/>
      <c r="AR787" s="236" t="n"/>
      <c r="AS787" s="236" t="n"/>
      <c r="AT787" s="236" t="n"/>
      <c r="AU787" s="236" t="n"/>
      <c r="AV787" s="236" t="n"/>
      <c r="AW787" s="236" t="n"/>
      <c r="AX787" s="692" t="n"/>
      <c r="AY787" s="692" t="n"/>
      <c r="AZ787" s="692" t="n"/>
      <c r="BA787" s="692" t="n"/>
      <c r="BB787" s="692" t="n"/>
      <c r="BC787" s="692" t="n"/>
      <c r="BD787" s="692" t="n"/>
      <c r="BE787" s="692" t="n"/>
      <c r="BF787" s="692" t="n"/>
      <c r="BG787" s="692" t="n"/>
      <c r="BH787" s="692" t="n"/>
      <c r="BI787" s="692" t="n"/>
      <c r="BJ787" s="692" t="n"/>
      <c r="BK787" s="692" t="n"/>
      <c r="BL787" s="692" t="n"/>
      <c r="BM787" s="692" t="n"/>
      <c r="BN787" s="692" t="n"/>
      <c r="BO787" s="692" t="n"/>
      <c r="BP787" s="692" t="n"/>
      <c r="BQ787" s="692" t="n"/>
    </row>
    <row r="788">
      <c r="A788" s="218" t="n"/>
      <c r="B788" s="215" t="n"/>
      <c r="C788" s="215" t="n"/>
      <c r="D788" s="215" t="n"/>
      <c r="E788" s="219" t="n"/>
      <c r="F788" s="215" t="n"/>
      <c r="G788" s="215" t="n"/>
      <c r="H788" s="215" t="n"/>
      <c r="I788" s="215" t="n"/>
      <c r="J788" s="215" t="n"/>
      <c r="K788" s="215" t="n"/>
      <c r="L788" s="217" t="n"/>
      <c r="M788" s="692" t="n"/>
      <c r="N788" s="692" t="n"/>
      <c r="O788" s="692" t="n"/>
      <c r="P788" s="261" t="n"/>
      <c r="Q788" s="692" t="n"/>
      <c r="R788" s="692" t="n"/>
      <c r="S788" s="692" t="n"/>
      <c r="T788" s="692" t="n"/>
      <c r="U788" s="692" t="n"/>
      <c r="V788" s="692" t="n"/>
      <c r="W788" s="692" t="n"/>
      <c r="X788" s="692" t="n"/>
      <c r="Y788" s="692" t="n"/>
      <c r="Z788" s="692" t="n"/>
      <c r="AA788" s="692" t="n"/>
      <c r="AB788" s="692" t="n"/>
      <c r="AC788" s="692" t="n"/>
      <c r="AD788" s="692" t="n"/>
      <c r="AF788" s="236" t="n"/>
      <c r="AG788" s="236" t="n"/>
      <c r="AH788" s="236" t="n"/>
      <c r="AI788" s="236" t="n"/>
      <c r="AJ788" s="236" t="n"/>
      <c r="AK788" s="236" t="n"/>
      <c r="AL788" s="236" t="n"/>
      <c r="AM788" s="236" t="n"/>
      <c r="AN788" s="236" t="n"/>
      <c r="AO788" s="236" t="n"/>
      <c r="AP788" s="236" t="n"/>
      <c r="AQ788" s="236" t="n"/>
      <c r="AR788" s="236" t="n"/>
      <c r="AS788" s="236" t="n"/>
      <c r="AT788" s="236" t="n"/>
      <c r="AU788" s="236" t="n"/>
      <c r="AV788" s="236" t="n"/>
      <c r="AW788" s="236" t="n"/>
      <c r="AX788" s="692" t="n"/>
      <c r="AY788" s="692" t="n"/>
      <c r="AZ788" s="692" t="n"/>
      <c r="BA788" s="692" t="n"/>
      <c r="BB788" s="692" t="n"/>
      <c r="BC788" s="692" t="n"/>
      <c r="BD788" s="692" t="n"/>
      <c r="BE788" s="692" t="n"/>
      <c r="BF788" s="692" t="n"/>
      <c r="BG788" s="692" t="n"/>
      <c r="BH788" s="692" t="n"/>
      <c r="BI788" s="692" t="n"/>
      <c r="BJ788" s="692" t="n"/>
      <c r="BK788" s="692" t="n"/>
      <c r="BL788" s="692" t="n"/>
      <c r="BM788" s="692" t="n"/>
      <c r="BN788" s="692" t="n"/>
      <c r="BO788" s="692" t="n"/>
      <c r="BP788" s="692" t="n"/>
      <c r="BQ788" s="692" t="n"/>
    </row>
    <row r="789">
      <c r="A789" s="220" t="n"/>
      <c r="B789" s="211" t="n"/>
      <c r="C789" s="211" t="n"/>
      <c r="D789" s="211" t="n"/>
      <c r="E789" s="221" t="n"/>
      <c r="F789" s="211" t="n"/>
      <c r="G789" s="211" t="n"/>
      <c r="H789" s="211" t="n"/>
      <c r="I789" s="211" t="n"/>
      <c r="J789" s="211" t="n"/>
      <c r="K789" s="211" t="n"/>
      <c r="L789" s="213" t="n"/>
      <c r="M789" s="692" t="n"/>
      <c r="N789" s="692" t="n"/>
      <c r="O789" s="692" t="n"/>
      <c r="P789" s="261" t="n"/>
      <c r="Q789" s="692" t="n"/>
      <c r="R789" s="692" t="n"/>
      <c r="S789" s="692" t="n"/>
      <c r="T789" s="692" t="n"/>
      <c r="U789" s="692" t="n"/>
      <c r="V789" s="692" t="n"/>
      <c r="W789" s="692" t="n"/>
      <c r="X789" s="692" t="n"/>
      <c r="Y789" s="692" t="n"/>
      <c r="Z789" s="692" t="n"/>
      <c r="AA789" s="692" t="n"/>
      <c r="AB789" s="692" t="n"/>
      <c r="AC789" s="692" t="n"/>
      <c r="AD789" s="692" t="n"/>
      <c r="AF789" s="236" t="n"/>
      <c r="AG789" s="236" t="n"/>
      <c r="AH789" s="236" t="n"/>
      <c r="AI789" s="236" t="n"/>
      <c r="AJ789" s="236" t="n"/>
      <c r="AK789" s="236" t="n"/>
      <c r="AL789" s="236" t="n"/>
      <c r="AM789" s="236" t="n"/>
      <c r="AN789" s="236" t="n"/>
      <c r="AO789" s="236" t="n"/>
      <c r="AP789" s="236" t="n"/>
      <c r="AQ789" s="236" t="n"/>
      <c r="AR789" s="236" t="n"/>
      <c r="AS789" s="236" t="n"/>
      <c r="AT789" s="236" t="n"/>
      <c r="AU789" s="236" t="n"/>
      <c r="AV789" s="236" t="n"/>
      <c r="AW789" s="236" t="n"/>
      <c r="AX789" s="692" t="n"/>
      <c r="AY789" s="692" t="n"/>
      <c r="AZ789" s="692" t="n"/>
      <c r="BA789" s="692" t="n"/>
      <c r="BB789" s="692" t="n"/>
      <c r="BC789" s="692" t="n"/>
      <c r="BD789" s="692" t="n"/>
      <c r="BE789" s="692" t="n"/>
      <c r="BF789" s="692" t="n"/>
      <c r="BG789" s="692" t="n"/>
      <c r="BH789" s="692" t="n"/>
      <c r="BI789" s="692" t="n"/>
      <c r="BJ789" s="692" t="n"/>
      <c r="BK789" s="692" t="n"/>
      <c r="BL789" s="692" t="n"/>
      <c r="BM789" s="692" t="n"/>
      <c r="BN789" s="692" t="n"/>
      <c r="BO789" s="692" t="n"/>
      <c r="BP789" s="692" t="n"/>
      <c r="BQ789" s="692" t="n"/>
    </row>
    <row r="790">
      <c r="A790" s="218" t="n"/>
      <c r="B790" s="215" t="n"/>
      <c r="C790" s="215" t="n"/>
      <c r="D790" s="215" t="n"/>
      <c r="E790" s="219" t="n"/>
      <c r="F790" s="215" t="n"/>
      <c r="G790" s="215" t="n"/>
      <c r="H790" s="215" t="n"/>
      <c r="I790" s="215" t="n"/>
      <c r="J790" s="215" t="n"/>
      <c r="K790" s="215" t="n"/>
      <c r="L790" s="217" t="n"/>
      <c r="M790" s="692" t="n"/>
      <c r="N790" s="692" t="n"/>
      <c r="O790" s="692" t="n"/>
      <c r="P790" s="261" t="n"/>
      <c r="Q790" s="692" t="n"/>
      <c r="R790" s="692" t="n"/>
      <c r="S790" s="692" t="n"/>
      <c r="T790" s="692" t="n"/>
      <c r="U790" s="692" t="n"/>
      <c r="V790" s="692" t="n"/>
      <c r="W790" s="692" t="n"/>
      <c r="X790" s="692" t="n"/>
      <c r="Y790" s="692" t="n"/>
      <c r="Z790" s="692" t="n"/>
      <c r="AA790" s="692" t="n"/>
      <c r="AB790" s="692" t="n"/>
      <c r="AC790" s="692" t="n"/>
      <c r="AD790" s="692" t="n"/>
      <c r="AF790" s="236" t="n"/>
      <c r="AG790" s="236" t="n"/>
      <c r="AH790" s="236" t="n"/>
      <c r="AI790" s="236" t="n"/>
      <c r="AJ790" s="236" t="n"/>
      <c r="AK790" s="236" t="n"/>
      <c r="AL790" s="236" t="n"/>
      <c r="AM790" s="236" t="n"/>
      <c r="AN790" s="236" t="n"/>
      <c r="AO790" s="236" t="n"/>
      <c r="AP790" s="236" t="n"/>
      <c r="AQ790" s="236" t="n"/>
      <c r="AR790" s="236" t="n"/>
      <c r="AS790" s="236" t="n"/>
      <c r="AT790" s="236" t="n"/>
      <c r="AU790" s="236" t="n"/>
      <c r="AV790" s="236" t="n"/>
      <c r="AW790" s="236" t="n"/>
      <c r="AX790" s="692" t="n"/>
      <c r="AY790" s="692" t="n"/>
      <c r="AZ790" s="692" t="n"/>
      <c r="BA790" s="692" t="n"/>
      <c r="BB790" s="692" t="n"/>
      <c r="BC790" s="692" t="n"/>
      <c r="BD790" s="692" t="n"/>
      <c r="BE790" s="692" t="n"/>
      <c r="BF790" s="692" t="n"/>
      <c r="BG790" s="692" t="n"/>
      <c r="BH790" s="692" t="n"/>
      <c r="BI790" s="692" t="n"/>
      <c r="BJ790" s="692" t="n"/>
      <c r="BK790" s="692" t="n"/>
      <c r="BL790" s="692" t="n"/>
      <c r="BM790" s="692" t="n"/>
      <c r="BN790" s="692" t="n"/>
      <c r="BO790" s="692" t="n"/>
      <c r="BP790" s="692" t="n"/>
      <c r="BQ790" s="692" t="n"/>
    </row>
    <row r="791">
      <c r="A791" s="220" t="n"/>
      <c r="B791" s="211" t="n"/>
      <c r="C791" s="211" t="n"/>
      <c r="D791" s="211" t="n"/>
      <c r="E791" s="221" t="n"/>
      <c r="F791" s="211" t="n"/>
      <c r="G791" s="211" t="n"/>
      <c r="H791" s="211" t="n"/>
      <c r="I791" s="211" t="n"/>
      <c r="J791" s="211" t="n"/>
      <c r="K791" s="211" t="n"/>
      <c r="L791" s="213" t="n"/>
      <c r="M791" s="692" t="n"/>
      <c r="N791" s="692" t="n"/>
      <c r="O791" s="692" t="n"/>
      <c r="P791" s="261" t="n"/>
      <c r="Q791" s="692" t="n"/>
      <c r="R791" s="692" t="n"/>
      <c r="S791" s="692" t="n"/>
      <c r="T791" s="692" t="n"/>
      <c r="U791" s="692" t="n"/>
      <c r="V791" s="692" t="n"/>
      <c r="W791" s="692" t="n"/>
      <c r="X791" s="692" t="n"/>
      <c r="Y791" s="692" t="n"/>
      <c r="Z791" s="692" t="n"/>
      <c r="AA791" s="692" t="n"/>
      <c r="AB791" s="692" t="n"/>
      <c r="AC791" s="692" t="n"/>
      <c r="AD791" s="692" t="n"/>
      <c r="AF791" s="236" t="n"/>
      <c r="AG791" s="236" t="n"/>
      <c r="AH791" s="236" t="n"/>
      <c r="AI791" s="236" t="n"/>
      <c r="AJ791" s="236" t="n"/>
      <c r="AK791" s="236" t="n"/>
      <c r="AL791" s="236" t="n"/>
      <c r="AM791" s="236" t="n"/>
      <c r="AN791" s="236" t="n"/>
      <c r="AO791" s="236" t="n"/>
      <c r="AP791" s="236" t="n"/>
      <c r="AQ791" s="236" t="n"/>
      <c r="AR791" s="236" t="n"/>
      <c r="AS791" s="236" t="n"/>
      <c r="AT791" s="236" t="n"/>
      <c r="AU791" s="236" t="n"/>
      <c r="AV791" s="236" t="n"/>
      <c r="AW791" s="236" t="n"/>
      <c r="AX791" s="692" t="n"/>
      <c r="AY791" s="692" t="n"/>
      <c r="AZ791" s="692" t="n"/>
      <c r="BA791" s="692" t="n"/>
      <c r="BB791" s="692" t="n"/>
      <c r="BC791" s="692" t="n"/>
      <c r="BD791" s="692" t="n"/>
      <c r="BE791" s="692" t="n"/>
      <c r="BF791" s="692" t="n"/>
      <c r="BG791" s="692" t="n"/>
      <c r="BH791" s="692" t="n"/>
      <c r="BI791" s="692" t="n"/>
      <c r="BJ791" s="692" t="n"/>
      <c r="BK791" s="692" t="n"/>
      <c r="BL791" s="692" t="n"/>
      <c r="BM791" s="692" t="n"/>
      <c r="BN791" s="692" t="n"/>
      <c r="BO791" s="692" t="n"/>
      <c r="BP791" s="692" t="n"/>
      <c r="BQ791" s="692" t="n"/>
    </row>
    <row r="792">
      <c r="A792" s="218" t="n"/>
      <c r="B792" s="215" t="n"/>
      <c r="C792" s="215" t="n"/>
      <c r="D792" s="215" t="n"/>
      <c r="E792" s="219" t="n"/>
      <c r="F792" s="215" t="n"/>
      <c r="G792" s="215" t="n"/>
      <c r="H792" s="215" t="n"/>
      <c r="I792" s="215" t="n"/>
      <c r="J792" s="215" t="n"/>
      <c r="K792" s="215" t="n"/>
      <c r="L792" s="217" t="n"/>
      <c r="M792" s="692" t="n"/>
      <c r="N792" s="692" t="n"/>
      <c r="O792" s="692" t="n"/>
      <c r="P792" s="261" t="n"/>
      <c r="Q792" s="692" t="n"/>
      <c r="R792" s="692" t="n"/>
      <c r="S792" s="692" t="n"/>
      <c r="T792" s="692" t="n"/>
      <c r="U792" s="692" t="n"/>
      <c r="V792" s="692" t="n"/>
      <c r="W792" s="692" t="n"/>
      <c r="X792" s="692" t="n"/>
      <c r="Y792" s="692" t="n"/>
      <c r="Z792" s="692" t="n"/>
      <c r="AA792" s="692" t="n"/>
      <c r="AB792" s="692" t="n"/>
      <c r="AC792" s="692" t="n"/>
      <c r="AD792" s="692" t="n"/>
      <c r="AF792" s="236" t="n"/>
      <c r="AG792" s="236" t="n"/>
      <c r="AH792" s="236" t="n"/>
      <c r="AI792" s="236" t="n"/>
      <c r="AJ792" s="236" t="n"/>
      <c r="AK792" s="236" t="n"/>
      <c r="AL792" s="236" t="n"/>
      <c r="AM792" s="236" t="n"/>
      <c r="AN792" s="236" t="n"/>
      <c r="AO792" s="236" t="n"/>
      <c r="AP792" s="236" t="n"/>
      <c r="AQ792" s="236" t="n"/>
      <c r="AR792" s="236" t="n"/>
      <c r="AS792" s="236" t="n"/>
      <c r="AT792" s="236" t="n"/>
      <c r="AU792" s="236" t="n"/>
      <c r="AV792" s="236" t="n"/>
      <c r="AW792" s="236" t="n"/>
      <c r="AX792" s="692" t="n"/>
      <c r="AY792" s="692" t="n"/>
      <c r="AZ792" s="692" t="n"/>
      <c r="BA792" s="692" t="n"/>
      <c r="BB792" s="692" t="n"/>
      <c r="BC792" s="692" t="n"/>
      <c r="BD792" s="692" t="n"/>
      <c r="BE792" s="692" t="n"/>
      <c r="BF792" s="692" t="n"/>
      <c r="BG792" s="692" t="n"/>
      <c r="BH792" s="692" t="n"/>
      <c r="BI792" s="692" t="n"/>
      <c r="BJ792" s="692" t="n"/>
      <c r="BK792" s="692" t="n"/>
      <c r="BL792" s="692" t="n"/>
      <c r="BM792" s="692" t="n"/>
      <c r="BN792" s="692" t="n"/>
      <c r="BO792" s="692" t="n"/>
      <c r="BP792" s="692" t="n"/>
      <c r="BQ792" s="692" t="n"/>
    </row>
    <row r="793">
      <c r="A793" s="220" t="n"/>
      <c r="B793" s="211" t="n"/>
      <c r="C793" s="211" t="n"/>
      <c r="D793" s="211" t="n"/>
      <c r="E793" s="221" t="n"/>
      <c r="F793" s="211" t="n"/>
      <c r="G793" s="211" t="n"/>
      <c r="H793" s="211" t="n"/>
      <c r="I793" s="211" t="n"/>
      <c r="J793" s="211" t="n"/>
      <c r="K793" s="211" t="n"/>
      <c r="L793" s="213" t="n"/>
      <c r="M793" s="692" t="n"/>
      <c r="N793" s="692" t="n"/>
      <c r="O793" s="692" t="n"/>
      <c r="P793" s="261" t="n"/>
      <c r="Q793" s="692" t="n"/>
      <c r="R793" s="692" t="n"/>
      <c r="S793" s="692" t="n"/>
      <c r="T793" s="692" t="n"/>
      <c r="U793" s="692" t="n"/>
      <c r="V793" s="692" t="n"/>
      <c r="W793" s="692" t="n"/>
      <c r="X793" s="692" t="n"/>
      <c r="Y793" s="692" t="n"/>
      <c r="Z793" s="692" t="n"/>
      <c r="AA793" s="692" t="n"/>
      <c r="AB793" s="692" t="n"/>
      <c r="AC793" s="692" t="n"/>
      <c r="AD793" s="692" t="n"/>
      <c r="AF793" s="236" t="n"/>
      <c r="AG793" s="236" t="n"/>
      <c r="AH793" s="236" t="n"/>
      <c r="AI793" s="236" t="n"/>
      <c r="AJ793" s="236" t="n"/>
      <c r="AK793" s="236" t="n"/>
      <c r="AL793" s="236" t="n"/>
      <c r="AM793" s="236" t="n"/>
      <c r="AN793" s="236" t="n"/>
      <c r="AO793" s="236" t="n"/>
      <c r="AP793" s="236" t="n"/>
      <c r="AQ793" s="236" t="n"/>
      <c r="AR793" s="236" t="n"/>
      <c r="AS793" s="236" t="n"/>
      <c r="AT793" s="236" t="n"/>
      <c r="AU793" s="236" t="n"/>
      <c r="AV793" s="236" t="n"/>
      <c r="AW793" s="236" t="n"/>
      <c r="AX793" s="692" t="n"/>
      <c r="AY793" s="692" t="n"/>
      <c r="AZ793" s="692" t="n"/>
      <c r="BA793" s="692" t="n"/>
      <c r="BB793" s="692" t="n"/>
      <c r="BC793" s="692" t="n"/>
      <c r="BD793" s="692" t="n"/>
      <c r="BE793" s="692" t="n"/>
      <c r="BF793" s="692" t="n"/>
      <c r="BG793" s="692" t="n"/>
      <c r="BH793" s="692" t="n"/>
      <c r="BI793" s="692" t="n"/>
      <c r="BJ793" s="692" t="n"/>
      <c r="BK793" s="692" t="n"/>
      <c r="BL793" s="692" t="n"/>
      <c r="BM793" s="692" t="n"/>
      <c r="BN793" s="692" t="n"/>
      <c r="BO793" s="692" t="n"/>
      <c r="BP793" s="692" t="n"/>
      <c r="BQ793" s="692" t="n"/>
    </row>
    <row r="794">
      <c r="A794" s="218" t="n"/>
      <c r="B794" s="215" t="n"/>
      <c r="C794" s="215" t="n"/>
      <c r="D794" s="215" t="n"/>
      <c r="E794" s="219" t="n"/>
      <c r="F794" s="215" t="n"/>
      <c r="G794" s="215" t="n"/>
      <c r="H794" s="215" t="n"/>
      <c r="I794" s="215" t="n"/>
      <c r="J794" s="215" t="n"/>
      <c r="K794" s="215" t="n"/>
      <c r="L794" s="217" t="n"/>
      <c r="M794" s="692" t="n"/>
      <c r="N794" s="692" t="n"/>
      <c r="O794" s="692" t="n"/>
      <c r="P794" s="261" t="n"/>
      <c r="Q794" s="692" t="n"/>
      <c r="R794" s="692" t="n"/>
      <c r="S794" s="692" t="n"/>
      <c r="T794" s="692" t="n"/>
      <c r="U794" s="692" t="n"/>
      <c r="V794" s="692" t="n"/>
      <c r="W794" s="692" t="n"/>
      <c r="X794" s="692" t="n"/>
      <c r="Y794" s="692" t="n"/>
      <c r="Z794" s="692" t="n"/>
      <c r="AA794" s="692" t="n"/>
      <c r="AB794" s="692" t="n"/>
      <c r="AC794" s="692" t="n"/>
      <c r="AD794" s="692" t="n"/>
      <c r="AF794" s="236" t="n"/>
      <c r="AG794" s="236" t="n"/>
      <c r="AH794" s="236" t="n"/>
      <c r="AI794" s="236" t="n"/>
      <c r="AJ794" s="236" t="n"/>
      <c r="AK794" s="236" t="n"/>
      <c r="AL794" s="236" t="n"/>
      <c r="AM794" s="236" t="n"/>
      <c r="AN794" s="236" t="n"/>
      <c r="AO794" s="236" t="n"/>
      <c r="AP794" s="236" t="n"/>
      <c r="AQ794" s="236" t="n"/>
      <c r="AR794" s="236" t="n"/>
      <c r="AS794" s="236" t="n"/>
      <c r="AT794" s="236" t="n"/>
      <c r="AU794" s="236" t="n"/>
      <c r="AV794" s="236" t="n"/>
      <c r="AW794" s="236" t="n"/>
      <c r="AX794" s="692" t="n"/>
      <c r="AY794" s="692" t="n"/>
      <c r="AZ794" s="692" t="n"/>
      <c r="BA794" s="692" t="n"/>
      <c r="BB794" s="692" t="n"/>
      <c r="BC794" s="692" t="n"/>
      <c r="BD794" s="692" t="n"/>
      <c r="BE794" s="692" t="n"/>
      <c r="BF794" s="692" t="n"/>
      <c r="BG794" s="692" t="n"/>
      <c r="BH794" s="692" t="n"/>
      <c r="BI794" s="692" t="n"/>
      <c r="BJ794" s="692" t="n"/>
      <c r="BK794" s="692" t="n"/>
      <c r="BL794" s="692" t="n"/>
      <c r="BM794" s="692" t="n"/>
      <c r="BN794" s="692" t="n"/>
      <c r="BO794" s="692" t="n"/>
      <c r="BP794" s="692" t="n"/>
      <c r="BQ794" s="692" t="n"/>
    </row>
    <row r="795">
      <c r="A795" s="220" t="n"/>
      <c r="B795" s="211" t="n"/>
      <c r="C795" s="211" t="n"/>
      <c r="D795" s="211" t="n"/>
      <c r="E795" s="221" t="n"/>
      <c r="F795" s="211" t="n"/>
      <c r="G795" s="211" t="n"/>
      <c r="H795" s="211" t="n"/>
      <c r="I795" s="211" t="n"/>
      <c r="J795" s="211" t="n"/>
      <c r="K795" s="211" t="n"/>
      <c r="L795" s="213" t="n"/>
      <c r="M795" s="692" t="n"/>
      <c r="N795" s="692" t="n"/>
      <c r="O795" s="692" t="n"/>
      <c r="P795" s="261" t="n"/>
      <c r="Q795" s="692" t="n"/>
      <c r="R795" s="692" t="n"/>
      <c r="S795" s="692" t="n"/>
      <c r="T795" s="692" t="n"/>
      <c r="U795" s="692" t="n"/>
      <c r="V795" s="692" t="n"/>
      <c r="W795" s="692" t="n"/>
      <c r="X795" s="692" t="n"/>
      <c r="Y795" s="692" t="n"/>
      <c r="Z795" s="692" t="n"/>
      <c r="AA795" s="692" t="n"/>
      <c r="AB795" s="692" t="n"/>
      <c r="AC795" s="692" t="n"/>
      <c r="AD795" s="692" t="n"/>
      <c r="AF795" s="236" t="n"/>
      <c r="AG795" s="236" t="n"/>
      <c r="AH795" s="236" t="n"/>
      <c r="AI795" s="236" t="n"/>
      <c r="AJ795" s="236" t="n"/>
      <c r="AK795" s="236" t="n"/>
      <c r="AL795" s="236" t="n"/>
      <c r="AM795" s="236" t="n"/>
      <c r="AN795" s="236" t="n"/>
      <c r="AO795" s="236" t="n"/>
      <c r="AP795" s="236" t="n"/>
      <c r="AQ795" s="236" t="n"/>
      <c r="AR795" s="236" t="n"/>
      <c r="AS795" s="236" t="n"/>
      <c r="AT795" s="236" t="n"/>
      <c r="AU795" s="236" t="n"/>
      <c r="AV795" s="236" t="n"/>
      <c r="AW795" s="236" t="n"/>
      <c r="AX795" s="692" t="n"/>
      <c r="AY795" s="692" t="n"/>
      <c r="AZ795" s="692" t="n"/>
      <c r="BA795" s="692" t="n"/>
      <c r="BB795" s="692" t="n"/>
      <c r="BC795" s="692" t="n"/>
      <c r="BD795" s="692" t="n"/>
      <c r="BE795" s="692" t="n"/>
      <c r="BF795" s="692" t="n"/>
      <c r="BG795" s="692" t="n"/>
      <c r="BH795" s="692" t="n"/>
      <c r="BI795" s="692" t="n"/>
      <c r="BJ795" s="692" t="n"/>
      <c r="BK795" s="692" t="n"/>
      <c r="BL795" s="692" t="n"/>
      <c r="BM795" s="692" t="n"/>
      <c r="BN795" s="692" t="n"/>
      <c r="BO795" s="692" t="n"/>
      <c r="BP795" s="692" t="n"/>
      <c r="BQ795" s="692" t="n"/>
    </row>
    <row r="796">
      <c r="A796" s="218" t="n"/>
      <c r="B796" s="215" t="n"/>
      <c r="C796" s="215" t="n"/>
      <c r="D796" s="215" t="n"/>
      <c r="E796" s="219" t="n"/>
      <c r="F796" s="215" t="n"/>
      <c r="G796" s="215" t="n"/>
      <c r="H796" s="215" t="n"/>
      <c r="I796" s="215" t="n"/>
      <c r="J796" s="215" t="n"/>
      <c r="K796" s="215" t="n"/>
      <c r="L796" s="217" t="n"/>
      <c r="M796" s="692" t="n"/>
      <c r="N796" s="692" t="n"/>
      <c r="O796" s="692" t="n"/>
      <c r="P796" s="261" t="n"/>
      <c r="Q796" s="692" t="n"/>
      <c r="R796" s="692" t="n"/>
      <c r="S796" s="692" t="n"/>
      <c r="T796" s="692" t="n"/>
      <c r="U796" s="692" t="n"/>
      <c r="V796" s="692" t="n"/>
      <c r="W796" s="692" t="n"/>
      <c r="X796" s="692" t="n"/>
      <c r="Y796" s="692" t="n"/>
      <c r="Z796" s="692" t="n"/>
      <c r="AA796" s="692" t="n"/>
      <c r="AB796" s="692" t="n"/>
      <c r="AC796" s="692" t="n"/>
      <c r="AD796" s="692" t="n"/>
      <c r="AF796" s="236" t="n"/>
      <c r="AG796" s="236" t="n"/>
      <c r="AH796" s="236" t="n"/>
      <c r="AI796" s="236" t="n"/>
      <c r="AJ796" s="236" t="n"/>
      <c r="AK796" s="236" t="n"/>
      <c r="AL796" s="236" t="n"/>
      <c r="AM796" s="236" t="n"/>
      <c r="AN796" s="236" t="n"/>
      <c r="AO796" s="236" t="n"/>
      <c r="AP796" s="236" t="n"/>
      <c r="AQ796" s="236" t="n"/>
      <c r="AR796" s="236" t="n"/>
      <c r="AS796" s="236" t="n"/>
      <c r="AT796" s="236" t="n"/>
      <c r="AU796" s="236" t="n"/>
      <c r="AV796" s="236" t="n"/>
      <c r="AW796" s="236" t="n"/>
      <c r="AX796" s="692" t="n"/>
      <c r="AY796" s="692" t="n"/>
      <c r="AZ796" s="692" t="n"/>
      <c r="BA796" s="692" t="n"/>
      <c r="BB796" s="692" t="n"/>
      <c r="BC796" s="692" t="n"/>
      <c r="BD796" s="692" t="n"/>
      <c r="BE796" s="692" t="n"/>
      <c r="BF796" s="692" t="n"/>
      <c r="BG796" s="692" t="n"/>
      <c r="BH796" s="692" t="n"/>
      <c r="BI796" s="692" t="n"/>
      <c r="BJ796" s="692" t="n"/>
      <c r="BK796" s="692" t="n"/>
      <c r="BL796" s="692" t="n"/>
      <c r="BM796" s="692" t="n"/>
      <c r="BN796" s="692" t="n"/>
      <c r="BO796" s="692" t="n"/>
      <c r="BP796" s="692" t="n"/>
      <c r="BQ796" s="692" t="n"/>
    </row>
    <row r="797">
      <c r="A797" s="220" t="n"/>
      <c r="B797" s="211" t="n"/>
      <c r="C797" s="211" t="n"/>
      <c r="D797" s="211" t="n"/>
      <c r="E797" s="221" t="n"/>
      <c r="F797" s="211" t="n"/>
      <c r="G797" s="211" t="n"/>
      <c r="H797" s="211" t="n"/>
      <c r="I797" s="211" t="n"/>
      <c r="J797" s="211" t="n"/>
      <c r="K797" s="211" t="n"/>
      <c r="L797" s="213" t="n"/>
      <c r="M797" s="692" t="n"/>
      <c r="N797" s="692" t="n"/>
      <c r="O797" s="692" t="n"/>
      <c r="P797" s="261" t="n"/>
      <c r="Q797" s="692" t="n"/>
      <c r="R797" s="692" t="n"/>
      <c r="S797" s="692" t="n"/>
      <c r="T797" s="692" t="n"/>
      <c r="U797" s="692" t="n"/>
      <c r="V797" s="692" t="n"/>
      <c r="W797" s="692" t="n"/>
      <c r="X797" s="692" t="n"/>
      <c r="Y797" s="692" t="n"/>
      <c r="Z797" s="692" t="n"/>
      <c r="AA797" s="692" t="n"/>
      <c r="AB797" s="692" t="n"/>
      <c r="AC797" s="692" t="n"/>
      <c r="AD797" s="692" t="n"/>
      <c r="AF797" s="236" t="n"/>
      <c r="AG797" s="236" t="n"/>
      <c r="AH797" s="236" t="n"/>
      <c r="AI797" s="236" t="n"/>
      <c r="AJ797" s="236" t="n"/>
      <c r="AK797" s="236" t="n"/>
      <c r="AL797" s="236" t="n"/>
      <c r="AM797" s="236" t="n"/>
      <c r="AN797" s="236" t="n"/>
      <c r="AO797" s="236" t="n"/>
      <c r="AP797" s="236" t="n"/>
      <c r="AQ797" s="236" t="n"/>
      <c r="AR797" s="236" t="n"/>
      <c r="AS797" s="236" t="n"/>
      <c r="AT797" s="236" t="n"/>
      <c r="AU797" s="236" t="n"/>
      <c r="AV797" s="236" t="n"/>
      <c r="AW797" s="236" t="n"/>
      <c r="AX797" s="692" t="n"/>
      <c r="AY797" s="692" t="n"/>
      <c r="AZ797" s="692" t="n"/>
      <c r="BA797" s="692" t="n"/>
      <c r="BB797" s="692" t="n"/>
      <c r="BC797" s="692" t="n"/>
      <c r="BD797" s="692" t="n"/>
      <c r="BE797" s="692" t="n"/>
      <c r="BF797" s="692" t="n"/>
      <c r="BG797" s="692" t="n"/>
      <c r="BH797" s="692" t="n"/>
      <c r="BI797" s="692" t="n"/>
      <c r="BJ797" s="692" t="n"/>
      <c r="BK797" s="692" t="n"/>
      <c r="BL797" s="692" t="n"/>
      <c r="BM797" s="692" t="n"/>
      <c r="BN797" s="692" t="n"/>
      <c r="BO797" s="692" t="n"/>
      <c r="BP797" s="692" t="n"/>
      <c r="BQ797" s="692" t="n"/>
    </row>
    <row r="798">
      <c r="A798" s="218" t="n"/>
      <c r="B798" s="215" t="n"/>
      <c r="C798" s="215" t="n"/>
      <c r="D798" s="215" t="n"/>
      <c r="E798" s="219" t="n"/>
      <c r="F798" s="215" t="n"/>
      <c r="G798" s="215" t="n"/>
      <c r="H798" s="215" t="n"/>
      <c r="I798" s="215" t="n"/>
      <c r="J798" s="215" t="n"/>
      <c r="K798" s="215" t="n"/>
      <c r="L798" s="217" t="n"/>
      <c r="M798" s="692" t="n"/>
      <c r="N798" s="692" t="n"/>
      <c r="O798" s="692" t="n"/>
      <c r="P798" s="261" t="n"/>
      <c r="Q798" s="692" t="n"/>
      <c r="R798" s="692" t="n"/>
      <c r="S798" s="692" t="n"/>
      <c r="T798" s="692" t="n"/>
      <c r="U798" s="692" t="n"/>
      <c r="V798" s="692" t="n"/>
      <c r="W798" s="692" t="n"/>
      <c r="X798" s="692" t="n"/>
      <c r="Y798" s="692" t="n"/>
      <c r="Z798" s="692" t="n"/>
      <c r="AA798" s="692" t="n"/>
      <c r="AB798" s="692" t="n"/>
      <c r="AC798" s="692" t="n"/>
      <c r="AD798" s="692" t="n"/>
      <c r="AF798" s="236" t="n"/>
      <c r="AG798" s="236" t="n"/>
      <c r="AH798" s="236" t="n"/>
      <c r="AI798" s="236" t="n"/>
      <c r="AJ798" s="236" t="n"/>
      <c r="AK798" s="236" t="n"/>
      <c r="AL798" s="236" t="n"/>
      <c r="AM798" s="236" t="n"/>
      <c r="AN798" s="236" t="n"/>
      <c r="AO798" s="236" t="n"/>
      <c r="AP798" s="236" t="n"/>
      <c r="AQ798" s="236" t="n"/>
      <c r="AR798" s="236" t="n"/>
      <c r="AS798" s="236" t="n"/>
      <c r="AT798" s="236" t="n"/>
      <c r="AU798" s="236" t="n"/>
      <c r="AV798" s="236" t="n"/>
      <c r="AW798" s="236" t="n"/>
      <c r="AX798" s="692" t="n"/>
      <c r="AY798" s="692" t="n"/>
      <c r="AZ798" s="692" t="n"/>
      <c r="BA798" s="692" t="n"/>
      <c r="BB798" s="692" t="n"/>
      <c r="BC798" s="692" t="n"/>
      <c r="BD798" s="692" t="n"/>
      <c r="BE798" s="692" t="n"/>
      <c r="BF798" s="692" t="n"/>
      <c r="BG798" s="692" t="n"/>
      <c r="BH798" s="692" t="n"/>
      <c r="BI798" s="692" t="n"/>
      <c r="BJ798" s="692" t="n"/>
      <c r="BK798" s="692" t="n"/>
      <c r="BL798" s="692" t="n"/>
      <c r="BM798" s="692" t="n"/>
      <c r="BN798" s="692" t="n"/>
      <c r="BO798" s="692" t="n"/>
      <c r="BP798" s="692" t="n"/>
      <c r="BQ798" s="692" t="n"/>
    </row>
    <row r="799">
      <c r="A799" s="220" t="n"/>
      <c r="B799" s="211" t="n"/>
      <c r="C799" s="211" t="n"/>
      <c r="D799" s="211" t="n"/>
      <c r="E799" s="221" t="n"/>
      <c r="F799" s="211" t="n"/>
      <c r="G799" s="211" t="n"/>
      <c r="H799" s="211" t="n"/>
      <c r="I799" s="211" t="n"/>
      <c r="J799" s="211" t="n"/>
      <c r="K799" s="211" t="n"/>
      <c r="L799" s="213" t="n"/>
      <c r="M799" s="692" t="n"/>
      <c r="N799" s="692" t="n"/>
      <c r="O799" s="692" t="n"/>
      <c r="P799" s="261" t="n"/>
      <c r="Q799" s="692" t="n"/>
      <c r="R799" s="692" t="n"/>
      <c r="S799" s="692" t="n"/>
      <c r="T799" s="692" t="n"/>
      <c r="U799" s="692" t="n"/>
      <c r="V799" s="692" t="n"/>
      <c r="W799" s="692" t="n"/>
      <c r="X799" s="692" t="n"/>
      <c r="Y799" s="692" t="n"/>
      <c r="Z799" s="692" t="n"/>
      <c r="AA799" s="692" t="n"/>
      <c r="AB799" s="692" t="n"/>
      <c r="AC799" s="692" t="n"/>
      <c r="AD799" s="692" t="n"/>
      <c r="AF799" s="236" t="n"/>
      <c r="AG799" s="236" t="n"/>
      <c r="AH799" s="236" t="n"/>
      <c r="AI799" s="236" t="n"/>
      <c r="AJ799" s="236" t="n"/>
      <c r="AK799" s="236" t="n"/>
      <c r="AL799" s="236" t="n"/>
      <c r="AM799" s="236" t="n"/>
      <c r="AN799" s="236" t="n"/>
      <c r="AO799" s="236" t="n"/>
      <c r="AP799" s="236" t="n"/>
      <c r="AQ799" s="236" t="n"/>
      <c r="AR799" s="236" t="n"/>
      <c r="AS799" s="236" t="n"/>
      <c r="AT799" s="236" t="n"/>
      <c r="AU799" s="236" t="n"/>
      <c r="AV799" s="236" t="n"/>
      <c r="AW799" s="236" t="n"/>
      <c r="AX799" s="692" t="n"/>
      <c r="AY799" s="692" t="n"/>
      <c r="AZ799" s="692" t="n"/>
      <c r="BA799" s="692" t="n"/>
      <c r="BB799" s="692" t="n"/>
      <c r="BC799" s="692" t="n"/>
      <c r="BD799" s="692" t="n"/>
      <c r="BE799" s="692" t="n"/>
      <c r="BF799" s="692" t="n"/>
      <c r="BG799" s="692" t="n"/>
      <c r="BH799" s="692" t="n"/>
      <c r="BI799" s="692" t="n"/>
      <c r="BJ799" s="692" t="n"/>
      <c r="BK799" s="692" t="n"/>
      <c r="BL799" s="692" t="n"/>
      <c r="BM799" s="692" t="n"/>
      <c r="BN799" s="692" t="n"/>
      <c r="BO799" s="692" t="n"/>
      <c r="BP799" s="692" t="n"/>
      <c r="BQ799" s="692" t="n"/>
    </row>
    <row r="800">
      <c r="A800" s="218" t="n"/>
      <c r="B800" s="215" t="n"/>
      <c r="C800" s="215" t="n"/>
      <c r="D800" s="215" t="n"/>
      <c r="E800" s="219" t="n"/>
      <c r="F800" s="215" t="n"/>
      <c r="G800" s="215" t="n"/>
      <c r="H800" s="215" t="n"/>
      <c r="I800" s="215" t="n"/>
      <c r="J800" s="215" t="n"/>
      <c r="K800" s="215" t="n"/>
      <c r="L800" s="217" t="n"/>
      <c r="M800" s="692" t="n"/>
      <c r="N800" s="692" t="n"/>
      <c r="O800" s="692" t="n"/>
      <c r="P800" s="261" t="n"/>
      <c r="Q800" s="692" t="n"/>
      <c r="R800" s="692" t="n"/>
      <c r="S800" s="692" t="n"/>
      <c r="T800" s="692" t="n"/>
      <c r="U800" s="692" t="n"/>
      <c r="V800" s="692" t="n"/>
      <c r="W800" s="692" t="n"/>
      <c r="X800" s="692" t="n"/>
      <c r="Y800" s="692" t="n"/>
      <c r="Z800" s="692" t="n"/>
      <c r="AA800" s="692" t="n"/>
      <c r="AB800" s="692" t="n"/>
      <c r="AC800" s="692" t="n"/>
      <c r="AD800" s="692" t="n"/>
      <c r="AF800" s="236" t="n"/>
      <c r="AG800" s="236" t="n"/>
      <c r="AH800" s="236" t="n"/>
      <c r="AI800" s="236" t="n"/>
      <c r="AJ800" s="236" t="n"/>
      <c r="AK800" s="236" t="n"/>
      <c r="AL800" s="236" t="n"/>
      <c r="AM800" s="236" t="n"/>
      <c r="AN800" s="236" t="n"/>
      <c r="AO800" s="236" t="n"/>
      <c r="AP800" s="236" t="n"/>
      <c r="AQ800" s="236" t="n"/>
      <c r="AR800" s="236" t="n"/>
      <c r="AS800" s="236" t="n"/>
      <c r="AT800" s="236" t="n"/>
      <c r="AU800" s="236" t="n"/>
      <c r="AV800" s="236" t="n"/>
      <c r="AW800" s="236" t="n"/>
      <c r="AX800" s="692" t="n"/>
      <c r="AY800" s="692" t="n"/>
      <c r="AZ800" s="692" t="n"/>
      <c r="BA800" s="692" t="n"/>
      <c r="BB800" s="692" t="n"/>
      <c r="BC800" s="692" t="n"/>
      <c r="BD800" s="692" t="n"/>
      <c r="BE800" s="692" t="n"/>
      <c r="BF800" s="692" t="n"/>
      <c r="BG800" s="692" t="n"/>
      <c r="BH800" s="692" t="n"/>
      <c r="BI800" s="692" t="n"/>
      <c r="BJ800" s="692" t="n"/>
      <c r="BK800" s="692" t="n"/>
      <c r="BL800" s="692" t="n"/>
      <c r="BM800" s="692" t="n"/>
      <c r="BN800" s="692" t="n"/>
      <c r="BO800" s="692" t="n"/>
      <c r="BP800" s="692" t="n"/>
      <c r="BQ800" s="692" t="n"/>
    </row>
    <row r="801">
      <c r="A801" s="220" t="n"/>
      <c r="B801" s="211" t="n"/>
      <c r="C801" s="211" t="n"/>
      <c r="D801" s="211" t="n"/>
      <c r="E801" s="221" t="n"/>
      <c r="F801" s="211" t="n"/>
      <c r="G801" s="211" t="n"/>
      <c r="H801" s="211" t="n"/>
      <c r="I801" s="211" t="n"/>
      <c r="J801" s="211" t="n"/>
      <c r="K801" s="211" t="n"/>
      <c r="L801" s="213" t="n"/>
      <c r="M801" s="692" t="n"/>
      <c r="N801" s="692" t="n"/>
      <c r="O801" s="692" t="n"/>
      <c r="P801" s="261" t="n"/>
      <c r="Q801" s="692" t="n"/>
      <c r="R801" s="692" t="n"/>
      <c r="S801" s="692" t="n"/>
      <c r="T801" s="692" t="n"/>
      <c r="U801" s="692" t="n"/>
      <c r="V801" s="692" t="n"/>
      <c r="W801" s="692" t="n"/>
      <c r="X801" s="692" t="n"/>
      <c r="Y801" s="692" t="n"/>
      <c r="Z801" s="692" t="n"/>
      <c r="AA801" s="692" t="n"/>
      <c r="AB801" s="692" t="n"/>
      <c r="AC801" s="692" t="n"/>
      <c r="AD801" s="692" t="n"/>
      <c r="AF801" s="236" t="n"/>
      <c r="AG801" s="236" t="n"/>
      <c r="AH801" s="236" t="n"/>
      <c r="AI801" s="236" t="n"/>
      <c r="AJ801" s="236" t="n"/>
      <c r="AK801" s="236" t="n"/>
      <c r="AL801" s="236" t="n"/>
      <c r="AM801" s="236" t="n"/>
      <c r="AN801" s="236" t="n"/>
      <c r="AO801" s="236" t="n"/>
      <c r="AP801" s="236" t="n"/>
      <c r="AQ801" s="236" t="n"/>
      <c r="AR801" s="236" t="n"/>
      <c r="AS801" s="236" t="n"/>
      <c r="AT801" s="236" t="n"/>
      <c r="AU801" s="236" t="n"/>
      <c r="AV801" s="236" t="n"/>
      <c r="AW801" s="236" t="n"/>
      <c r="AX801" s="692" t="n"/>
      <c r="AY801" s="692" t="n"/>
      <c r="AZ801" s="692" t="n"/>
      <c r="BA801" s="692" t="n"/>
      <c r="BB801" s="692" t="n"/>
      <c r="BC801" s="692" t="n"/>
      <c r="BD801" s="692" t="n"/>
      <c r="BE801" s="692" t="n"/>
      <c r="BF801" s="692" t="n"/>
      <c r="BG801" s="692" t="n"/>
      <c r="BH801" s="692" t="n"/>
      <c r="BI801" s="692" t="n"/>
      <c r="BJ801" s="692" t="n"/>
      <c r="BK801" s="692" t="n"/>
      <c r="BL801" s="692" t="n"/>
      <c r="BM801" s="692" t="n"/>
      <c r="BN801" s="692" t="n"/>
      <c r="BO801" s="692" t="n"/>
      <c r="BP801" s="692" t="n"/>
      <c r="BQ801" s="692" t="n"/>
    </row>
    <row r="802">
      <c r="A802" s="218" t="n"/>
      <c r="B802" s="215" t="n"/>
      <c r="C802" s="215" t="n"/>
      <c r="D802" s="215" t="n"/>
      <c r="E802" s="219" t="n"/>
      <c r="F802" s="215" t="n"/>
      <c r="G802" s="215" t="n"/>
      <c r="H802" s="215" t="n"/>
      <c r="I802" s="215" t="n"/>
      <c r="J802" s="215" t="n"/>
      <c r="K802" s="215" t="n"/>
      <c r="L802" s="217" t="n"/>
      <c r="M802" s="692" t="n"/>
      <c r="N802" s="692" t="n"/>
      <c r="O802" s="692" t="n"/>
      <c r="P802" s="261" t="n"/>
      <c r="Q802" s="692" t="n"/>
      <c r="R802" s="692" t="n"/>
      <c r="S802" s="692" t="n"/>
      <c r="T802" s="692" t="n"/>
      <c r="U802" s="692" t="n"/>
      <c r="V802" s="692" t="n"/>
      <c r="W802" s="692" t="n"/>
      <c r="X802" s="692" t="n"/>
      <c r="Y802" s="692" t="n"/>
      <c r="Z802" s="692" t="n"/>
      <c r="AA802" s="692" t="n"/>
      <c r="AB802" s="692" t="n"/>
      <c r="AC802" s="692" t="n"/>
      <c r="AD802" s="692" t="n"/>
      <c r="AF802" s="236" t="n"/>
      <c r="AG802" s="236" t="n"/>
      <c r="AH802" s="236" t="n"/>
      <c r="AI802" s="236" t="n"/>
      <c r="AJ802" s="236" t="n"/>
      <c r="AK802" s="236" t="n"/>
      <c r="AL802" s="236" t="n"/>
      <c r="AM802" s="236" t="n"/>
      <c r="AN802" s="236" t="n"/>
      <c r="AO802" s="236" t="n"/>
      <c r="AP802" s="236" t="n"/>
      <c r="AQ802" s="236" t="n"/>
      <c r="AR802" s="236" t="n"/>
      <c r="AS802" s="236" t="n"/>
      <c r="AT802" s="236" t="n"/>
      <c r="AU802" s="236" t="n"/>
      <c r="AV802" s="236" t="n"/>
      <c r="AW802" s="236" t="n"/>
      <c r="AX802" s="692" t="n"/>
      <c r="AY802" s="692" t="n"/>
      <c r="AZ802" s="692" t="n"/>
      <c r="BA802" s="692" t="n"/>
      <c r="BB802" s="692" t="n"/>
      <c r="BC802" s="692" t="n"/>
      <c r="BD802" s="692" t="n"/>
      <c r="BE802" s="692" t="n"/>
      <c r="BF802" s="692" t="n"/>
      <c r="BG802" s="692" t="n"/>
      <c r="BH802" s="692" t="n"/>
      <c r="BI802" s="692" t="n"/>
      <c r="BJ802" s="692" t="n"/>
      <c r="BK802" s="692" t="n"/>
      <c r="BL802" s="692" t="n"/>
      <c r="BM802" s="692" t="n"/>
      <c r="BN802" s="692" t="n"/>
      <c r="BO802" s="692" t="n"/>
      <c r="BP802" s="692" t="n"/>
      <c r="BQ802" s="692" t="n"/>
    </row>
    <row r="803">
      <c r="A803" s="220" t="n"/>
      <c r="B803" s="211" t="n"/>
      <c r="C803" s="211" t="n"/>
      <c r="D803" s="211" t="n"/>
      <c r="E803" s="221" t="n"/>
      <c r="F803" s="211" t="n"/>
      <c r="G803" s="211" t="n"/>
      <c r="H803" s="211" t="n"/>
      <c r="I803" s="211" t="n"/>
      <c r="J803" s="211" t="n"/>
      <c r="K803" s="211" t="n"/>
      <c r="L803" s="213" t="n"/>
      <c r="M803" s="692" t="n"/>
      <c r="N803" s="692" t="n"/>
      <c r="O803" s="692" t="n"/>
      <c r="P803" s="261" t="n"/>
      <c r="Q803" s="692" t="n"/>
      <c r="R803" s="692" t="n"/>
      <c r="S803" s="692" t="n"/>
      <c r="T803" s="692" t="n"/>
      <c r="U803" s="692" t="n"/>
      <c r="V803" s="692" t="n"/>
      <c r="W803" s="692" t="n"/>
      <c r="X803" s="692" t="n"/>
      <c r="Y803" s="692" t="n"/>
      <c r="Z803" s="692" t="n"/>
      <c r="AA803" s="692" t="n"/>
      <c r="AB803" s="692" t="n"/>
      <c r="AC803" s="692" t="n"/>
      <c r="AD803" s="692" t="n"/>
      <c r="AF803" s="236" t="n"/>
      <c r="AG803" s="236" t="n"/>
      <c r="AH803" s="236" t="n"/>
      <c r="AI803" s="236" t="n"/>
      <c r="AJ803" s="236" t="n"/>
      <c r="AK803" s="236" t="n"/>
      <c r="AL803" s="236" t="n"/>
      <c r="AM803" s="236" t="n"/>
      <c r="AN803" s="236" t="n"/>
      <c r="AO803" s="236" t="n"/>
      <c r="AP803" s="236" t="n"/>
      <c r="AQ803" s="236" t="n"/>
      <c r="AR803" s="236" t="n"/>
      <c r="AS803" s="236" t="n"/>
      <c r="AT803" s="236" t="n"/>
      <c r="AU803" s="236" t="n"/>
      <c r="AV803" s="236" t="n"/>
      <c r="AW803" s="236" t="n"/>
      <c r="AX803" s="692" t="n"/>
      <c r="AY803" s="692" t="n"/>
      <c r="AZ803" s="692" t="n"/>
      <c r="BA803" s="692" t="n"/>
      <c r="BB803" s="692" t="n"/>
      <c r="BC803" s="692" t="n"/>
      <c r="BD803" s="692" t="n"/>
      <c r="BE803" s="692" t="n"/>
      <c r="BF803" s="692" t="n"/>
      <c r="BG803" s="692" t="n"/>
      <c r="BH803" s="692" t="n"/>
      <c r="BI803" s="692" t="n"/>
      <c r="BJ803" s="692" t="n"/>
      <c r="BK803" s="692" t="n"/>
      <c r="BL803" s="692" t="n"/>
      <c r="BM803" s="692" t="n"/>
      <c r="BN803" s="692" t="n"/>
      <c r="BO803" s="692" t="n"/>
      <c r="BP803" s="692" t="n"/>
      <c r="BQ803" s="692" t="n"/>
    </row>
    <row r="804">
      <c r="A804" s="218" t="n"/>
      <c r="B804" s="215" t="n"/>
      <c r="C804" s="215" t="n"/>
      <c r="D804" s="215" t="n"/>
      <c r="E804" s="219" t="n"/>
      <c r="F804" s="215" t="n"/>
      <c r="G804" s="215" t="n"/>
      <c r="H804" s="215" t="n"/>
      <c r="I804" s="215" t="n"/>
      <c r="J804" s="215" t="n"/>
      <c r="K804" s="215" t="n"/>
      <c r="L804" s="217" t="n"/>
      <c r="M804" s="692" t="n"/>
      <c r="N804" s="692" t="n"/>
      <c r="O804" s="692" t="n"/>
      <c r="P804" s="261" t="n"/>
      <c r="Q804" s="692" t="n"/>
      <c r="R804" s="692" t="n"/>
      <c r="S804" s="692" t="n"/>
      <c r="T804" s="692" t="n"/>
      <c r="U804" s="692" t="n"/>
      <c r="V804" s="692" t="n"/>
      <c r="W804" s="692" t="n"/>
      <c r="X804" s="692" t="n"/>
      <c r="Y804" s="692" t="n"/>
      <c r="Z804" s="692" t="n"/>
      <c r="AA804" s="692" t="n"/>
      <c r="AB804" s="692" t="n"/>
      <c r="AC804" s="692" t="n"/>
      <c r="AD804" s="692" t="n"/>
      <c r="AF804" s="236" t="n"/>
      <c r="AG804" s="236" t="n"/>
      <c r="AH804" s="236" t="n"/>
      <c r="AI804" s="236" t="n"/>
      <c r="AJ804" s="236" t="n"/>
      <c r="AK804" s="236" t="n"/>
      <c r="AL804" s="236" t="n"/>
      <c r="AM804" s="236" t="n"/>
      <c r="AN804" s="236" t="n"/>
      <c r="AO804" s="236" t="n"/>
      <c r="AP804" s="236" t="n"/>
      <c r="AQ804" s="236" t="n"/>
      <c r="AR804" s="236" t="n"/>
      <c r="AS804" s="236" t="n"/>
      <c r="AT804" s="236" t="n"/>
      <c r="AU804" s="236" t="n"/>
      <c r="AV804" s="236" t="n"/>
      <c r="AW804" s="236" t="n"/>
      <c r="AX804" s="692" t="n"/>
      <c r="AY804" s="692" t="n"/>
      <c r="AZ804" s="692" t="n"/>
      <c r="BA804" s="692" t="n"/>
      <c r="BB804" s="692" t="n"/>
      <c r="BC804" s="692" t="n"/>
      <c r="BD804" s="692" t="n"/>
      <c r="BE804" s="692" t="n"/>
      <c r="BF804" s="692" t="n"/>
      <c r="BG804" s="692" t="n"/>
      <c r="BH804" s="692" t="n"/>
      <c r="BI804" s="692" t="n"/>
      <c r="BJ804" s="692" t="n"/>
      <c r="BK804" s="692" t="n"/>
      <c r="BL804" s="692" t="n"/>
      <c r="BM804" s="692" t="n"/>
      <c r="BN804" s="692" t="n"/>
      <c r="BO804" s="692" t="n"/>
      <c r="BP804" s="692" t="n"/>
      <c r="BQ804" s="692" t="n"/>
    </row>
    <row r="805">
      <c r="A805" s="220" t="n"/>
      <c r="B805" s="211" t="n"/>
      <c r="C805" s="211" t="n"/>
      <c r="D805" s="211" t="n"/>
      <c r="E805" s="221" t="n"/>
      <c r="F805" s="211" t="n"/>
      <c r="G805" s="211" t="n"/>
      <c r="H805" s="211" t="n"/>
      <c r="I805" s="211" t="n"/>
      <c r="J805" s="211" t="n"/>
      <c r="K805" s="211" t="n"/>
      <c r="L805" s="213" t="n"/>
      <c r="M805" s="692" t="n"/>
      <c r="N805" s="692" t="n"/>
      <c r="O805" s="692" t="n"/>
      <c r="P805" s="261" t="n"/>
      <c r="Q805" s="692" t="n"/>
      <c r="R805" s="692" t="n"/>
      <c r="S805" s="692" t="n"/>
      <c r="T805" s="692" t="n"/>
      <c r="U805" s="692" t="n"/>
      <c r="V805" s="692" t="n"/>
      <c r="W805" s="692" t="n"/>
      <c r="X805" s="692" t="n"/>
      <c r="Y805" s="692" t="n"/>
      <c r="Z805" s="692" t="n"/>
      <c r="AA805" s="692" t="n"/>
      <c r="AB805" s="692" t="n"/>
      <c r="AC805" s="692" t="n"/>
      <c r="AD805" s="692" t="n"/>
      <c r="AF805" s="236" t="n"/>
      <c r="AG805" s="236" t="n"/>
      <c r="AH805" s="236" t="n"/>
      <c r="AI805" s="236" t="n"/>
      <c r="AJ805" s="236" t="n"/>
      <c r="AK805" s="236" t="n"/>
      <c r="AL805" s="236" t="n"/>
      <c r="AM805" s="236" t="n"/>
      <c r="AN805" s="236" t="n"/>
      <c r="AO805" s="236" t="n"/>
      <c r="AP805" s="236" t="n"/>
      <c r="AQ805" s="236" t="n"/>
      <c r="AR805" s="236" t="n"/>
      <c r="AS805" s="236" t="n"/>
      <c r="AT805" s="236" t="n"/>
      <c r="AU805" s="236" t="n"/>
      <c r="AV805" s="236" t="n"/>
      <c r="AW805" s="236" t="n"/>
      <c r="AX805" s="692" t="n"/>
      <c r="AY805" s="692" t="n"/>
      <c r="AZ805" s="692" t="n"/>
      <c r="BA805" s="692" t="n"/>
      <c r="BB805" s="692" t="n"/>
      <c r="BC805" s="692" t="n"/>
      <c r="BD805" s="692" t="n"/>
      <c r="BE805" s="692" t="n"/>
      <c r="BF805" s="692" t="n"/>
      <c r="BG805" s="692" t="n"/>
      <c r="BH805" s="692" t="n"/>
      <c r="BI805" s="692" t="n"/>
      <c r="BJ805" s="692" t="n"/>
      <c r="BK805" s="692" t="n"/>
      <c r="BL805" s="692" t="n"/>
      <c r="BM805" s="692" t="n"/>
      <c r="BN805" s="692" t="n"/>
      <c r="BO805" s="692" t="n"/>
      <c r="BP805" s="692" t="n"/>
      <c r="BQ805" s="692" t="n"/>
    </row>
    <row r="806">
      <c r="A806" s="218" t="n"/>
      <c r="B806" s="215" t="n"/>
      <c r="C806" s="215" t="n"/>
      <c r="D806" s="215" t="n"/>
      <c r="E806" s="219" t="n"/>
      <c r="F806" s="215" t="n"/>
      <c r="G806" s="215" t="n"/>
      <c r="H806" s="215" t="n"/>
      <c r="I806" s="215" t="n"/>
      <c r="J806" s="215" t="n"/>
      <c r="K806" s="215" t="n"/>
      <c r="L806" s="217" t="n"/>
      <c r="M806" s="692" t="n"/>
      <c r="N806" s="692" t="n"/>
      <c r="O806" s="692" t="n"/>
      <c r="P806" s="261" t="n"/>
      <c r="Q806" s="692" t="n"/>
      <c r="R806" s="692" t="n"/>
      <c r="S806" s="692" t="n"/>
      <c r="T806" s="692" t="n"/>
      <c r="U806" s="692" t="n"/>
      <c r="V806" s="692" t="n"/>
      <c r="W806" s="692" t="n"/>
      <c r="X806" s="692" t="n"/>
      <c r="Y806" s="692" t="n"/>
      <c r="Z806" s="692" t="n"/>
      <c r="AA806" s="692" t="n"/>
      <c r="AB806" s="692" t="n"/>
      <c r="AC806" s="692" t="n"/>
      <c r="AD806" s="692" t="n"/>
      <c r="AF806" s="236" t="n"/>
      <c r="AG806" s="236" t="n"/>
      <c r="AH806" s="236" t="n"/>
      <c r="AI806" s="236" t="n"/>
      <c r="AJ806" s="236" t="n"/>
      <c r="AK806" s="236" t="n"/>
      <c r="AL806" s="236" t="n"/>
      <c r="AM806" s="236" t="n"/>
      <c r="AN806" s="236" t="n"/>
      <c r="AO806" s="236" t="n"/>
      <c r="AP806" s="236" t="n"/>
      <c r="AQ806" s="236" t="n"/>
      <c r="AR806" s="236" t="n"/>
      <c r="AS806" s="236" t="n"/>
      <c r="AT806" s="236" t="n"/>
      <c r="AU806" s="236" t="n"/>
      <c r="AV806" s="236" t="n"/>
      <c r="AW806" s="236" t="n"/>
      <c r="AX806" s="692" t="n"/>
      <c r="AY806" s="692" t="n"/>
      <c r="AZ806" s="692" t="n"/>
      <c r="BA806" s="692" t="n"/>
      <c r="BB806" s="692" t="n"/>
      <c r="BC806" s="692" t="n"/>
      <c r="BD806" s="692" t="n"/>
      <c r="BE806" s="692" t="n"/>
      <c r="BF806" s="692" t="n"/>
      <c r="BG806" s="692" t="n"/>
      <c r="BH806" s="692" t="n"/>
      <c r="BI806" s="692" t="n"/>
      <c r="BJ806" s="692" t="n"/>
      <c r="BK806" s="692" t="n"/>
      <c r="BL806" s="692" t="n"/>
      <c r="BM806" s="692" t="n"/>
      <c r="BN806" s="692" t="n"/>
      <c r="BO806" s="692" t="n"/>
      <c r="BP806" s="692" t="n"/>
      <c r="BQ806" s="692" t="n"/>
    </row>
    <row r="807">
      <c r="A807" s="220" t="n"/>
      <c r="B807" s="211" t="n"/>
      <c r="C807" s="211" t="n"/>
      <c r="D807" s="211" t="n"/>
      <c r="E807" s="221" t="n"/>
      <c r="F807" s="211" t="n"/>
      <c r="G807" s="211" t="n"/>
      <c r="H807" s="211" t="n"/>
      <c r="I807" s="211" t="n"/>
      <c r="J807" s="211" t="n"/>
      <c r="K807" s="211" t="n"/>
      <c r="L807" s="213" t="n"/>
      <c r="M807" s="692" t="n"/>
      <c r="N807" s="692" t="n"/>
      <c r="O807" s="692" t="n"/>
      <c r="P807" s="261" t="n"/>
      <c r="Q807" s="692" t="n"/>
      <c r="R807" s="692" t="n"/>
      <c r="S807" s="692" t="n"/>
      <c r="T807" s="692" t="n"/>
      <c r="U807" s="692" t="n"/>
      <c r="V807" s="692" t="n"/>
      <c r="W807" s="692" t="n"/>
      <c r="X807" s="692" t="n"/>
      <c r="Y807" s="692" t="n"/>
      <c r="Z807" s="692" t="n"/>
      <c r="AA807" s="692" t="n"/>
      <c r="AB807" s="692" t="n"/>
      <c r="AC807" s="692" t="n"/>
      <c r="AD807" s="692" t="n"/>
      <c r="AF807" s="236" t="n"/>
      <c r="AG807" s="236" t="n"/>
      <c r="AH807" s="236" t="n"/>
      <c r="AI807" s="236" t="n"/>
      <c r="AJ807" s="236" t="n"/>
      <c r="AK807" s="236" t="n"/>
      <c r="AL807" s="236" t="n"/>
      <c r="AM807" s="236" t="n"/>
      <c r="AN807" s="236" t="n"/>
      <c r="AO807" s="236" t="n"/>
      <c r="AP807" s="236" t="n"/>
      <c r="AQ807" s="236" t="n"/>
      <c r="AR807" s="236" t="n"/>
      <c r="AS807" s="236" t="n"/>
      <c r="AT807" s="236" t="n"/>
      <c r="AU807" s="236" t="n"/>
      <c r="AV807" s="236" t="n"/>
      <c r="AW807" s="236" t="n"/>
      <c r="AX807" s="692" t="n"/>
      <c r="AY807" s="692" t="n"/>
      <c r="AZ807" s="692" t="n"/>
      <c r="BA807" s="692" t="n"/>
      <c r="BB807" s="692" t="n"/>
      <c r="BC807" s="692" t="n"/>
      <c r="BD807" s="692" t="n"/>
      <c r="BE807" s="692" t="n"/>
      <c r="BF807" s="692" t="n"/>
      <c r="BG807" s="692" t="n"/>
      <c r="BH807" s="692" t="n"/>
      <c r="BI807" s="692" t="n"/>
      <c r="BJ807" s="692" t="n"/>
      <c r="BK807" s="692" t="n"/>
      <c r="BL807" s="692" t="n"/>
      <c r="BM807" s="692" t="n"/>
      <c r="BN807" s="692" t="n"/>
      <c r="BO807" s="692" t="n"/>
      <c r="BP807" s="692" t="n"/>
      <c r="BQ807" s="692" t="n"/>
    </row>
    <row r="808">
      <c r="A808" s="218" t="n"/>
      <c r="B808" s="215" t="n"/>
      <c r="C808" s="215" t="n"/>
      <c r="D808" s="215" t="n"/>
      <c r="E808" s="219" t="n"/>
      <c r="F808" s="215" t="n"/>
      <c r="G808" s="215" t="n"/>
      <c r="H808" s="215" t="n"/>
      <c r="I808" s="215" t="n"/>
      <c r="J808" s="215" t="n"/>
      <c r="K808" s="215" t="n"/>
      <c r="L808" s="217" t="n"/>
      <c r="M808" s="692" t="n"/>
      <c r="N808" s="692" t="n"/>
      <c r="O808" s="692" t="n"/>
      <c r="P808" s="261" t="n"/>
      <c r="Q808" s="692" t="n"/>
      <c r="R808" s="692" t="n"/>
      <c r="S808" s="692" t="n"/>
      <c r="T808" s="692" t="n"/>
      <c r="U808" s="692" t="n"/>
      <c r="V808" s="692" t="n"/>
      <c r="W808" s="692" t="n"/>
      <c r="X808" s="692" t="n"/>
      <c r="Y808" s="692" t="n"/>
      <c r="Z808" s="692" t="n"/>
      <c r="AA808" s="692" t="n"/>
      <c r="AB808" s="692" t="n"/>
      <c r="AC808" s="692" t="n"/>
      <c r="AD808" s="692" t="n"/>
      <c r="AF808" s="236" t="n"/>
      <c r="AG808" s="236" t="n"/>
      <c r="AH808" s="236" t="n"/>
      <c r="AI808" s="236" t="n"/>
      <c r="AJ808" s="236" t="n"/>
      <c r="AK808" s="236" t="n"/>
      <c r="AL808" s="236" t="n"/>
      <c r="AM808" s="236" t="n"/>
      <c r="AN808" s="236" t="n"/>
      <c r="AO808" s="236" t="n"/>
      <c r="AP808" s="236" t="n"/>
      <c r="AQ808" s="236" t="n"/>
      <c r="AR808" s="236" t="n"/>
      <c r="AS808" s="236" t="n"/>
      <c r="AT808" s="236" t="n"/>
      <c r="AU808" s="236" t="n"/>
      <c r="AV808" s="236" t="n"/>
      <c r="AW808" s="236" t="n"/>
      <c r="AX808" s="692" t="n"/>
      <c r="AY808" s="692" t="n"/>
      <c r="AZ808" s="692" t="n"/>
      <c r="BA808" s="692" t="n"/>
      <c r="BB808" s="692" t="n"/>
      <c r="BC808" s="692" t="n"/>
      <c r="BD808" s="692" t="n"/>
      <c r="BE808" s="692" t="n"/>
      <c r="BF808" s="692" t="n"/>
      <c r="BG808" s="692" t="n"/>
      <c r="BH808" s="692" t="n"/>
      <c r="BI808" s="692" t="n"/>
      <c r="BJ808" s="692" t="n"/>
      <c r="BK808" s="692" t="n"/>
      <c r="BL808" s="692" t="n"/>
      <c r="BM808" s="692" t="n"/>
      <c r="BN808" s="692" t="n"/>
      <c r="BO808" s="692" t="n"/>
      <c r="BP808" s="692" t="n"/>
      <c r="BQ808" s="692" t="n"/>
    </row>
    <row r="809">
      <c r="A809" s="220" t="n"/>
      <c r="B809" s="211" t="n"/>
      <c r="C809" s="211" t="n"/>
      <c r="D809" s="211" t="n"/>
      <c r="E809" s="221" t="n"/>
      <c r="F809" s="211" t="n"/>
      <c r="G809" s="211" t="n"/>
      <c r="H809" s="211" t="n"/>
      <c r="I809" s="211" t="n"/>
      <c r="J809" s="211" t="n"/>
      <c r="K809" s="211" t="n"/>
      <c r="L809" s="213" t="n"/>
      <c r="M809" s="692" t="n"/>
      <c r="N809" s="692" t="n"/>
      <c r="O809" s="692" t="n"/>
      <c r="P809" s="261" t="n"/>
      <c r="Q809" s="692" t="n"/>
      <c r="R809" s="692" t="n"/>
      <c r="S809" s="692" t="n"/>
      <c r="T809" s="692" t="n"/>
      <c r="U809" s="692" t="n"/>
      <c r="V809" s="692" t="n"/>
      <c r="W809" s="692" t="n"/>
      <c r="X809" s="692" t="n"/>
      <c r="Y809" s="692" t="n"/>
      <c r="Z809" s="692" t="n"/>
      <c r="AA809" s="692" t="n"/>
      <c r="AB809" s="692" t="n"/>
      <c r="AC809" s="692" t="n"/>
      <c r="AD809" s="692" t="n"/>
      <c r="AF809" s="236" t="n"/>
      <c r="AG809" s="236" t="n"/>
      <c r="AH809" s="236" t="n"/>
      <c r="AI809" s="236" t="n"/>
      <c r="AJ809" s="236" t="n"/>
      <c r="AK809" s="236" t="n"/>
      <c r="AL809" s="236" t="n"/>
      <c r="AM809" s="236" t="n"/>
      <c r="AN809" s="236" t="n"/>
      <c r="AO809" s="236" t="n"/>
      <c r="AP809" s="236" t="n"/>
      <c r="AQ809" s="236" t="n"/>
      <c r="AR809" s="236" t="n"/>
      <c r="AS809" s="236" t="n"/>
      <c r="AT809" s="236" t="n"/>
      <c r="AU809" s="236" t="n"/>
      <c r="AV809" s="236" t="n"/>
      <c r="AW809" s="236" t="n"/>
      <c r="AX809" s="692" t="n"/>
      <c r="AY809" s="692" t="n"/>
      <c r="AZ809" s="692" t="n"/>
      <c r="BA809" s="692" t="n"/>
      <c r="BB809" s="692" t="n"/>
      <c r="BC809" s="692" t="n"/>
      <c r="BD809" s="692" t="n"/>
      <c r="BE809" s="692" t="n"/>
      <c r="BF809" s="692" t="n"/>
      <c r="BG809" s="692" t="n"/>
      <c r="BH809" s="692" t="n"/>
      <c r="BI809" s="692" t="n"/>
      <c r="BJ809" s="692" t="n"/>
      <c r="BK809" s="692" t="n"/>
      <c r="BL809" s="692" t="n"/>
      <c r="BM809" s="692" t="n"/>
      <c r="BN809" s="692" t="n"/>
      <c r="BO809" s="692" t="n"/>
      <c r="BP809" s="692" t="n"/>
      <c r="BQ809" s="692" t="n"/>
    </row>
    <row r="810">
      <c r="A810" s="218" t="n"/>
      <c r="B810" s="215" t="n"/>
      <c r="C810" s="215" t="n"/>
      <c r="D810" s="215" t="n"/>
      <c r="E810" s="219" t="n"/>
      <c r="F810" s="215" t="n"/>
      <c r="G810" s="215" t="n"/>
      <c r="H810" s="215" t="n"/>
      <c r="I810" s="215" t="n"/>
      <c r="J810" s="215" t="n"/>
      <c r="K810" s="215" t="n"/>
      <c r="L810" s="217" t="n"/>
      <c r="M810" s="692" t="n"/>
      <c r="N810" s="692" t="n"/>
      <c r="O810" s="692" t="n"/>
      <c r="P810" s="261" t="n"/>
      <c r="Q810" s="692" t="n"/>
      <c r="R810" s="692" t="n"/>
      <c r="S810" s="692" t="n"/>
      <c r="T810" s="692" t="n"/>
      <c r="U810" s="692" t="n"/>
      <c r="V810" s="692" t="n"/>
      <c r="W810" s="692" t="n"/>
      <c r="X810" s="692" t="n"/>
      <c r="Y810" s="692" t="n"/>
      <c r="Z810" s="692" t="n"/>
      <c r="AA810" s="692" t="n"/>
      <c r="AB810" s="692" t="n"/>
      <c r="AC810" s="692" t="n"/>
      <c r="AD810" s="692" t="n"/>
      <c r="AF810" s="236" t="n"/>
      <c r="AG810" s="236" t="n"/>
      <c r="AH810" s="236" t="n"/>
      <c r="AI810" s="236" t="n"/>
      <c r="AJ810" s="236" t="n"/>
      <c r="AK810" s="236" t="n"/>
      <c r="AL810" s="236" t="n"/>
      <c r="AM810" s="236" t="n"/>
      <c r="AN810" s="236" t="n"/>
      <c r="AO810" s="236" t="n"/>
      <c r="AP810" s="236" t="n"/>
      <c r="AQ810" s="236" t="n"/>
      <c r="AR810" s="236" t="n"/>
      <c r="AS810" s="236" t="n"/>
      <c r="AT810" s="236" t="n"/>
      <c r="AU810" s="236" t="n"/>
      <c r="AV810" s="236" t="n"/>
      <c r="AW810" s="236" t="n"/>
      <c r="AX810" s="692" t="n"/>
      <c r="AY810" s="692" t="n"/>
      <c r="AZ810" s="692" t="n"/>
      <c r="BA810" s="692" t="n"/>
      <c r="BB810" s="692" t="n"/>
      <c r="BC810" s="692" t="n"/>
      <c r="BD810" s="692" t="n"/>
      <c r="BE810" s="692" t="n"/>
      <c r="BF810" s="692" t="n"/>
      <c r="BG810" s="692" t="n"/>
      <c r="BH810" s="692" t="n"/>
      <c r="BI810" s="692" t="n"/>
      <c r="BJ810" s="692" t="n"/>
      <c r="BK810" s="692" t="n"/>
      <c r="BL810" s="692" t="n"/>
      <c r="BM810" s="692" t="n"/>
      <c r="BN810" s="692" t="n"/>
      <c r="BO810" s="692" t="n"/>
      <c r="BP810" s="692" t="n"/>
      <c r="BQ810" s="692" t="n"/>
    </row>
    <row r="811">
      <c r="A811" s="220" t="n"/>
      <c r="B811" s="211" t="n"/>
      <c r="C811" s="211" t="n"/>
      <c r="D811" s="211" t="n"/>
      <c r="E811" s="221" t="n"/>
      <c r="F811" s="211" t="n"/>
      <c r="G811" s="211" t="n"/>
      <c r="H811" s="211" t="n"/>
      <c r="I811" s="211" t="n"/>
      <c r="J811" s="211" t="n"/>
      <c r="K811" s="211" t="n"/>
      <c r="L811" s="213" t="n"/>
      <c r="M811" s="692" t="n"/>
      <c r="N811" s="692" t="n"/>
      <c r="O811" s="692" t="n"/>
      <c r="P811" s="261" t="n"/>
      <c r="Q811" s="692" t="n"/>
      <c r="R811" s="692" t="n"/>
      <c r="S811" s="692" t="n"/>
      <c r="T811" s="692" t="n"/>
      <c r="U811" s="692" t="n"/>
      <c r="V811" s="692" t="n"/>
      <c r="W811" s="692" t="n"/>
      <c r="X811" s="692" t="n"/>
      <c r="Y811" s="692" t="n"/>
      <c r="Z811" s="692" t="n"/>
      <c r="AA811" s="692" t="n"/>
      <c r="AB811" s="692" t="n"/>
      <c r="AC811" s="692" t="n"/>
      <c r="AD811" s="692" t="n"/>
      <c r="AF811" s="236" t="n"/>
      <c r="AG811" s="236" t="n"/>
      <c r="AH811" s="236" t="n"/>
      <c r="AI811" s="236" t="n"/>
      <c r="AJ811" s="236" t="n"/>
      <c r="AK811" s="236" t="n"/>
      <c r="AL811" s="236" t="n"/>
      <c r="AM811" s="236" t="n"/>
      <c r="AN811" s="236" t="n"/>
      <c r="AO811" s="236" t="n"/>
      <c r="AP811" s="236" t="n"/>
      <c r="AQ811" s="236" t="n"/>
      <c r="AR811" s="236" t="n"/>
      <c r="AS811" s="236" t="n"/>
      <c r="AT811" s="236" t="n"/>
      <c r="AU811" s="236" t="n"/>
      <c r="AV811" s="236" t="n"/>
      <c r="AW811" s="236" t="n"/>
      <c r="AX811" s="692" t="n"/>
      <c r="AY811" s="692" t="n"/>
      <c r="AZ811" s="692" t="n"/>
      <c r="BA811" s="692" t="n"/>
      <c r="BB811" s="692" t="n"/>
      <c r="BC811" s="692" t="n"/>
      <c r="BD811" s="692" t="n"/>
      <c r="BE811" s="692" t="n"/>
      <c r="BF811" s="692" t="n"/>
      <c r="BG811" s="692" t="n"/>
      <c r="BH811" s="692" t="n"/>
      <c r="BI811" s="692" t="n"/>
      <c r="BJ811" s="692" t="n"/>
      <c r="BK811" s="692" t="n"/>
      <c r="BL811" s="692" t="n"/>
      <c r="BM811" s="692" t="n"/>
      <c r="BN811" s="692" t="n"/>
      <c r="BO811" s="692" t="n"/>
      <c r="BP811" s="692" t="n"/>
      <c r="BQ811" s="692" t="n"/>
    </row>
    <row r="812">
      <c r="A812" s="218" t="n"/>
      <c r="B812" s="215" t="n"/>
      <c r="C812" s="215" t="n"/>
      <c r="D812" s="215" t="n"/>
      <c r="E812" s="219" t="n"/>
      <c r="F812" s="215" t="n"/>
      <c r="G812" s="215" t="n"/>
      <c r="H812" s="215" t="n"/>
      <c r="I812" s="215" t="n"/>
      <c r="J812" s="215" t="n"/>
      <c r="K812" s="215" t="n"/>
      <c r="L812" s="217" t="n"/>
      <c r="M812" s="692" t="n"/>
      <c r="N812" s="692" t="n"/>
      <c r="O812" s="692" t="n"/>
      <c r="P812" s="261" t="n"/>
      <c r="Q812" s="692" t="n"/>
      <c r="R812" s="692" t="n"/>
      <c r="S812" s="692" t="n"/>
      <c r="T812" s="692" t="n"/>
      <c r="U812" s="692" t="n"/>
      <c r="V812" s="692" t="n"/>
      <c r="W812" s="692" t="n"/>
      <c r="X812" s="692" t="n"/>
      <c r="Y812" s="692" t="n"/>
      <c r="Z812" s="692" t="n"/>
      <c r="AA812" s="692" t="n"/>
      <c r="AB812" s="692" t="n"/>
      <c r="AC812" s="692" t="n"/>
      <c r="AD812" s="692" t="n"/>
      <c r="AF812" s="236" t="n"/>
      <c r="AG812" s="236" t="n"/>
      <c r="AH812" s="236" t="n"/>
      <c r="AI812" s="236" t="n"/>
      <c r="AJ812" s="236" t="n"/>
      <c r="AK812" s="236" t="n"/>
      <c r="AL812" s="236" t="n"/>
      <c r="AM812" s="236" t="n"/>
      <c r="AN812" s="236" t="n"/>
      <c r="AO812" s="236" t="n"/>
      <c r="AP812" s="236" t="n"/>
      <c r="AQ812" s="236" t="n"/>
      <c r="AR812" s="236" t="n"/>
      <c r="AS812" s="236" t="n"/>
      <c r="AT812" s="236" t="n"/>
      <c r="AU812" s="236" t="n"/>
      <c r="AV812" s="236" t="n"/>
      <c r="AW812" s="236" t="n"/>
      <c r="AX812" s="692" t="n"/>
      <c r="AY812" s="692" t="n"/>
      <c r="AZ812" s="692" t="n"/>
      <c r="BA812" s="692" t="n"/>
      <c r="BB812" s="692" t="n"/>
      <c r="BC812" s="692" t="n"/>
      <c r="BD812" s="692" t="n"/>
      <c r="BE812" s="692" t="n"/>
      <c r="BF812" s="692" t="n"/>
      <c r="BG812" s="692" t="n"/>
      <c r="BH812" s="692" t="n"/>
      <c r="BI812" s="692" t="n"/>
      <c r="BJ812" s="692" t="n"/>
      <c r="BK812" s="692" t="n"/>
      <c r="BL812" s="692" t="n"/>
      <c r="BM812" s="692" t="n"/>
      <c r="BN812" s="692" t="n"/>
      <c r="BO812" s="692" t="n"/>
      <c r="BP812" s="692" t="n"/>
      <c r="BQ812" s="692" t="n"/>
    </row>
    <row r="813">
      <c r="A813" s="220" t="n"/>
      <c r="B813" s="211" t="n"/>
      <c r="C813" s="211" t="n"/>
      <c r="D813" s="211" t="n"/>
      <c r="E813" s="221" t="n"/>
      <c r="F813" s="211" t="n"/>
      <c r="G813" s="211" t="n"/>
      <c r="H813" s="211" t="n"/>
      <c r="I813" s="211" t="n"/>
      <c r="J813" s="211" t="n"/>
      <c r="K813" s="211" t="n"/>
      <c r="L813" s="213" t="n"/>
      <c r="M813" s="692" t="n"/>
      <c r="N813" s="692" t="n"/>
      <c r="O813" s="692" t="n"/>
      <c r="P813" s="261" t="n"/>
      <c r="Q813" s="692" t="n"/>
      <c r="R813" s="692" t="n"/>
      <c r="S813" s="692" t="n"/>
      <c r="T813" s="692" t="n"/>
      <c r="U813" s="692" t="n"/>
      <c r="V813" s="692" t="n"/>
      <c r="W813" s="692" t="n"/>
      <c r="X813" s="692" t="n"/>
      <c r="Y813" s="692" t="n"/>
      <c r="Z813" s="692" t="n"/>
      <c r="AA813" s="692" t="n"/>
      <c r="AB813" s="692" t="n"/>
      <c r="AC813" s="692" t="n"/>
      <c r="AD813" s="692" t="n"/>
      <c r="AF813" s="236" t="n"/>
      <c r="AG813" s="236" t="n"/>
      <c r="AH813" s="236" t="n"/>
      <c r="AI813" s="236" t="n"/>
      <c r="AJ813" s="236" t="n"/>
      <c r="AK813" s="236" t="n"/>
      <c r="AL813" s="236" t="n"/>
      <c r="AM813" s="236" t="n"/>
      <c r="AN813" s="236" t="n"/>
      <c r="AO813" s="236" t="n"/>
      <c r="AP813" s="236" t="n"/>
      <c r="AQ813" s="236" t="n"/>
      <c r="AR813" s="236" t="n"/>
      <c r="AS813" s="236" t="n"/>
      <c r="AT813" s="236" t="n"/>
      <c r="AU813" s="236" t="n"/>
      <c r="AV813" s="236" t="n"/>
      <c r="AW813" s="236" t="n"/>
      <c r="AX813" s="692" t="n"/>
      <c r="AY813" s="692" t="n"/>
      <c r="AZ813" s="692" t="n"/>
      <c r="BA813" s="692" t="n"/>
      <c r="BB813" s="692" t="n"/>
      <c r="BC813" s="692" t="n"/>
      <c r="BD813" s="692" t="n"/>
      <c r="BE813" s="692" t="n"/>
      <c r="BF813" s="692" t="n"/>
      <c r="BG813" s="692" t="n"/>
      <c r="BH813" s="692" t="n"/>
      <c r="BI813" s="692" t="n"/>
      <c r="BJ813" s="692" t="n"/>
      <c r="BK813" s="692" t="n"/>
      <c r="BL813" s="692" t="n"/>
      <c r="BM813" s="692" t="n"/>
      <c r="BN813" s="692" t="n"/>
      <c r="BO813" s="692" t="n"/>
      <c r="BP813" s="692" t="n"/>
      <c r="BQ813" s="692" t="n"/>
    </row>
    <row r="814">
      <c r="A814" s="218" t="n"/>
      <c r="B814" s="215" t="n"/>
      <c r="C814" s="215" t="n"/>
      <c r="D814" s="215" t="n"/>
      <c r="E814" s="219" t="n"/>
      <c r="F814" s="215" t="n"/>
      <c r="G814" s="215" t="n"/>
      <c r="H814" s="215" t="n"/>
      <c r="I814" s="215" t="n"/>
      <c r="J814" s="215" t="n"/>
      <c r="K814" s="215" t="n"/>
      <c r="L814" s="217" t="n"/>
      <c r="M814" s="692" t="n"/>
      <c r="N814" s="692" t="n"/>
      <c r="O814" s="692" t="n"/>
      <c r="P814" s="261" t="n"/>
      <c r="Q814" s="692" t="n"/>
      <c r="R814" s="692" t="n"/>
      <c r="S814" s="692" t="n"/>
      <c r="T814" s="692" t="n"/>
      <c r="U814" s="692" t="n"/>
      <c r="V814" s="692" t="n"/>
      <c r="W814" s="692" t="n"/>
      <c r="X814" s="692" t="n"/>
      <c r="Y814" s="692" t="n"/>
      <c r="Z814" s="692" t="n"/>
      <c r="AA814" s="692" t="n"/>
      <c r="AB814" s="692" t="n"/>
      <c r="AC814" s="692" t="n"/>
      <c r="AD814" s="692" t="n"/>
      <c r="AF814" s="236" t="n"/>
      <c r="AG814" s="236" t="n"/>
      <c r="AH814" s="236" t="n"/>
      <c r="AI814" s="236" t="n"/>
      <c r="AJ814" s="236" t="n"/>
      <c r="AK814" s="236" t="n"/>
      <c r="AL814" s="236" t="n"/>
      <c r="AM814" s="236" t="n"/>
      <c r="AN814" s="236" t="n"/>
      <c r="AO814" s="236" t="n"/>
      <c r="AP814" s="236" t="n"/>
      <c r="AQ814" s="236" t="n"/>
      <c r="AR814" s="236" t="n"/>
      <c r="AS814" s="236" t="n"/>
      <c r="AT814" s="236" t="n"/>
      <c r="AU814" s="236" t="n"/>
      <c r="AV814" s="236" t="n"/>
      <c r="AW814" s="236" t="n"/>
      <c r="AX814" s="692" t="n"/>
      <c r="AY814" s="692" t="n"/>
      <c r="AZ814" s="692" t="n"/>
      <c r="BA814" s="692" t="n"/>
      <c r="BB814" s="692" t="n"/>
      <c r="BC814" s="692" t="n"/>
      <c r="BD814" s="692" t="n"/>
      <c r="BE814" s="692" t="n"/>
      <c r="BF814" s="692" t="n"/>
      <c r="BG814" s="692" t="n"/>
      <c r="BH814" s="692" t="n"/>
      <c r="BI814" s="692" t="n"/>
      <c r="BJ814" s="692" t="n"/>
      <c r="BK814" s="692" t="n"/>
      <c r="BL814" s="692" t="n"/>
      <c r="BM814" s="692" t="n"/>
      <c r="BN814" s="692" t="n"/>
      <c r="BO814" s="692" t="n"/>
      <c r="BP814" s="692" t="n"/>
      <c r="BQ814" s="692" t="n"/>
    </row>
    <row r="815">
      <c r="A815" s="220" t="n"/>
      <c r="B815" s="211" t="n"/>
      <c r="C815" s="211" t="n"/>
      <c r="D815" s="211" t="n"/>
      <c r="E815" s="221" t="n"/>
      <c r="F815" s="211" t="n"/>
      <c r="G815" s="211" t="n"/>
      <c r="H815" s="211" t="n"/>
      <c r="I815" s="211" t="n"/>
      <c r="J815" s="211" t="n"/>
      <c r="K815" s="211" t="n"/>
      <c r="L815" s="213" t="n"/>
      <c r="M815" s="692" t="n"/>
      <c r="N815" s="692" t="n"/>
      <c r="O815" s="692" t="n"/>
      <c r="P815" s="261" t="n"/>
      <c r="Q815" s="692" t="n"/>
      <c r="R815" s="692" t="n"/>
      <c r="S815" s="692" t="n"/>
      <c r="T815" s="692" t="n"/>
      <c r="U815" s="692" t="n"/>
      <c r="V815" s="692" t="n"/>
      <c r="W815" s="692" t="n"/>
      <c r="X815" s="692" t="n"/>
      <c r="Y815" s="692" t="n"/>
      <c r="Z815" s="692" t="n"/>
      <c r="AA815" s="692" t="n"/>
      <c r="AB815" s="692" t="n"/>
      <c r="AC815" s="692" t="n"/>
      <c r="AD815" s="692" t="n"/>
      <c r="AF815" s="236" t="n"/>
      <c r="AG815" s="236" t="n"/>
      <c r="AH815" s="236" t="n"/>
      <c r="AI815" s="236" t="n"/>
      <c r="AJ815" s="236" t="n"/>
      <c r="AK815" s="236" t="n"/>
      <c r="AL815" s="236" t="n"/>
      <c r="AM815" s="236" t="n"/>
      <c r="AN815" s="236" t="n"/>
      <c r="AO815" s="236" t="n"/>
      <c r="AP815" s="236" t="n"/>
      <c r="AQ815" s="236" t="n"/>
      <c r="AR815" s="236" t="n"/>
      <c r="AS815" s="236" t="n"/>
      <c r="AT815" s="236" t="n"/>
      <c r="AU815" s="236" t="n"/>
      <c r="AV815" s="236" t="n"/>
      <c r="AW815" s="236" t="n"/>
      <c r="AX815" s="692" t="n"/>
      <c r="AY815" s="692" t="n"/>
      <c r="AZ815" s="692" t="n"/>
      <c r="BA815" s="692" t="n"/>
      <c r="BB815" s="692" t="n"/>
      <c r="BC815" s="692" t="n"/>
      <c r="BD815" s="692" t="n"/>
      <c r="BE815" s="692" t="n"/>
      <c r="BF815" s="692" t="n"/>
      <c r="BG815" s="692" t="n"/>
      <c r="BH815" s="692" t="n"/>
      <c r="BI815" s="692" t="n"/>
      <c r="BJ815" s="692" t="n"/>
      <c r="BK815" s="692" t="n"/>
      <c r="BL815" s="692" t="n"/>
      <c r="BM815" s="692" t="n"/>
      <c r="BN815" s="692" t="n"/>
      <c r="BO815" s="692" t="n"/>
      <c r="BP815" s="692" t="n"/>
      <c r="BQ815" s="692" t="n"/>
    </row>
    <row r="816">
      <c r="A816" s="218" t="n"/>
      <c r="B816" s="215" t="n"/>
      <c r="C816" s="215" t="n"/>
      <c r="D816" s="215" t="n"/>
      <c r="E816" s="219" t="n"/>
      <c r="F816" s="215" t="n"/>
      <c r="G816" s="215" t="n"/>
      <c r="H816" s="215" t="n"/>
      <c r="I816" s="215" t="n"/>
      <c r="J816" s="215" t="n"/>
      <c r="K816" s="215" t="n"/>
      <c r="L816" s="217" t="n"/>
      <c r="M816" s="692" t="n"/>
      <c r="N816" s="692" t="n"/>
      <c r="O816" s="692" t="n"/>
      <c r="P816" s="261" t="n"/>
      <c r="Q816" s="692" t="n"/>
      <c r="R816" s="692" t="n"/>
      <c r="S816" s="692" t="n"/>
      <c r="T816" s="692" t="n"/>
      <c r="U816" s="692" t="n"/>
      <c r="V816" s="692" t="n"/>
      <c r="W816" s="692" t="n"/>
      <c r="X816" s="692" t="n"/>
      <c r="Y816" s="692" t="n"/>
      <c r="Z816" s="692" t="n"/>
      <c r="AA816" s="692" t="n"/>
      <c r="AB816" s="692" t="n"/>
      <c r="AC816" s="692" t="n"/>
      <c r="AD816" s="692" t="n"/>
      <c r="AF816" s="236" t="n"/>
      <c r="AG816" s="236" t="n"/>
      <c r="AH816" s="236" t="n"/>
      <c r="AI816" s="236" t="n"/>
      <c r="AJ816" s="236" t="n"/>
      <c r="AK816" s="236" t="n"/>
      <c r="AL816" s="236" t="n"/>
      <c r="AM816" s="236" t="n"/>
      <c r="AN816" s="236" t="n"/>
      <c r="AO816" s="236" t="n"/>
      <c r="AP816" s="236" t="n"/>
      <c r="AQ816" s="236" t="n"/>
      <c r="AR816" s="236" t="n"/>
      <c r="AS816" s="236" t="n"/>
      <c r="AT816" s="236" t="n"/>
      <c r="AU816" s="236" t="n"/>
      <c r="AV816" s="236" t="n"/>
      <c r="AW816" s="236" t="n"/>
      <c r="AX816" s="692" t="n"/>
      <c r="AY816" s="692" t="n"/>
      <c r="AZ816" s="692" t="n"/>
      <c r="BA816" s="692" t="n"/>
      <c r="BB816" s="692" t="n"/>
      <c r="BC816" s="692" t="n"/>
      <c r="BD816" s="692" t="n"/>
      <c r="BE816" s="692" t="n"/>
      <c r="BF816" s="692" t="n"/>
      <c r="BG816" s="692" t="n"/>
      <c r="BH816" s="692" t="n"/>
      <c r="BI816" s="692" t="n"/>
      <c r="BJ816" s="692" t="n"/>
      <c r="BK816" s="692" t="n"/>
      <c r="BL816" s="692" t="n"/>
      <c r="BM816" s="692" t="n"/>
      <c r="BN816" s="692" t="n"/>
      <c r="BO816" s="692" t="n"/>
      <c r="BP816" s="692" t="n"/>
      <c r="BQ816" s="692" t="n"/>
    </row>
    <row r="817">
      <c r="A817" s="220" t="n"/>
      <c r="B817" s="211" t="n"/>
      <c r="C817" s="211" t="n"/>
      <c r="D817" s="211" t="n"/>
      <c r="E817" s="221" t="n"/>
      <c r="F817" s="211" t="n"/>
      <c r="G817" s="211" t="n"/>
      <c r="H817" s="211" t="n"/>
      <c r="I817" s="211" t="n"/>
      <c r="J817" s="211" t="n"/>
      <c r="K817" s="211" t="n"/>
      <c r="L817" s="213" t="n"/>
      <c r="M817" s="692" t="n"/>
      <c r="N817" s="692" t="n"/>
      <c r="O817" s="692" t="n"/>
      <c r="P817" s="261" t="n"/>
      <c r="Q817" s="692" t="n"/>
      <c r="R817" s="692" t="n"/>
      <c r="S817" s="692" t="n"/>
      <c r="T817" s="692" t="n"/>
      <c r="U817" s="692" t="n"/>
      <c r="V817" s="692" t="n"/>
      <c r="W817" s="692" t="n"/>
      <c r="X817" s="692" t="n"/>
      <c r="Y817" s="692" t="n"/>
      <c r="Z817" s="692" t="n"/>
      <c r="AA817" s="692" t="n"/>
      <c r="AB817" s="692" t="n"/>
      <c r="AC817" s="692" t="n"/>
      <c r="AD817" s="692" t="n"/>
      <c r="AF817" s="236" t="n"/>
      <c r="AG817" s="236" t="n"/>
      <c r="AH817" s="236" t="n"/>
      <c r="AI817" s="236" t="n"/>
      <c r="AJ817" s="236" t="n"/>
      <c r="AK817" s="236" t="n"/>
      <c r="AL817" s="236" t="n"/>
      <c r="AM817" s="236" t="n"/>
      <c r="AN817" s="236" t="n"/>
      <c r="AO817" s="236" t="n"/>
      <c r="AP817" s="236" t="n"/>
      <c r="AQ817" s="236" t="n"/>
      <c r="AR817" s="236" t="n"/>
      <c r="AS817" s="236" t="n"/>
      <c r="AT817" s="236" t="n"/>
      <c r="AU817" s="236" t="n"/>
      <c r="AV817" s="236" t="n"/>
      <c r="AW817" s="236" t="n"/>
      <c r="AX817" s="692" t="n"/>
      <c r="AY817" s="692" t="n"/>
      <c r="AZ817" s="692" t="n"/>
      <c r="BA817" s="692" t="n"/>
      <c r="BB817" s="692" t="n"/>
      <c r="BC817" s="692" t="n"/>
      <c r="BD817" s="692" t="n"/>
      <c r="BE817" s="692" t="n"/>
      <c r="BF817" s="692" t="n"/>
      <c r="BG817" s="692" t="n"/>
      <c r="BH817" s="692" t="n"/>
      <c r="BI817" s="692" t="n"/>
      <c r="BJ817" s="692" t="n"/>
      <c r="BK817" s="692" t="n"/>
      <c r="BL817" s="692" t="n"/>
      <c r="BM817" s="692" t="n"/>
      <c r="BN817" s="692" t="n"/>
      <c r="BO817" s="692" t="n"/>
      <c r="BP817" s="692" t="n"/>
      <c r="BQ817" s="692" t="n"/>
    </row>
    <row r="818">
      <c r="A818" s="218" t="n"/>
      <c r="B818" s="215" t="n"/>
      <c r="C818" s="215" t="n"/>
      <c r="D818" s="215" t="n"/>
      <c r="E818" s="219" t="n"/>
      <c r="F818" s="215" t="n"/>
      <c r="G818" s="215" t="n"/>
      <c r="H818" s="215" t="n"/>
      <c r="I818" s="215" t="n"/>
      <c r="J818" s="215" t="n"/>
      <c r="K818" s="215" t="n"/>
      <c r="L818" s="217" t="n"/>
      <c r="M818" s="692" t="n"/>
      <c r="N818" s="692" t="n"/>
      <c r="O818" s="692" t="n"/>
      <c r="P818" s="261" t="n"/>
      <c r="Q818" s="692" t="n"/>
      <c r="R818" s="692" t="n"/>
      <c r="S818" s="692" t="n"/>
      <c r="T818" s="692" t="n"/>
      <c r="U818" s="692" t="n"/>
      <c r="V818" s="692" t="n"/>
      <c r="W818" s="692" t="n"/>
      <c r="X818" s="692" t="n"/>
      <c r="Y818" s="692" t="n"/>
      <c r="Z818" s="692" t="n"/>
      <c r="AA818" s="692" t="n"/>
      <c r="AB818" s="692" t="n"/>
      <c r="AC818" s="692" t="n"/>
      <c r="AD818" s="692" t="n"/>
      <c r="AF818" s="236" t="n"/>
      <c r="AG818" s="236" t="n"/>
      <c r="AH818" s="236" t="n"/>
      <c r="AI818" s="236" t="n"/>
      <c r="AJ818" s="236" t="n"/>
      <c r="AK818" s="236" t="n"/>
      <c r="AL818" s="236" t="n"/>
      <c r="AM818" s="236" t="n"/>
      <c r="AN818" s="236" t="n"/>
      <c r="AO818" s="236" t="n"/>
      <c r="AP818" s="236" t="n"/>
      <c r="AQ818" s="236" t="n"/>
      <c r="AR818" s="236" t="n"/>
      <c r="AS818" s="236" t="n"/>
      <c r="AT818" s="236" t="n"/>
      <c r="AU818" s="236" t="n"/>
      <c r="AV818" s="236" t="n"/>
      <c r="AW818" s="236" t="n"/>
      <c r="AX818" s="692" t="n"/>
      <c r="AY818" s="692" t="n"/>
      <c r="AZ818" s="692" t="n"/>
      <c r="BA818" s="692" t="n"/>
      <c r="BB818" s="692" t="n"/>
      <c r="BC818" s="692" t="n"/>
      <c r="BD818" s="692" t="n"/>
      <c r="BE818" s="692" t="n"/>
      <c r="BF818" s="692" t="n"/>
      <c r="BG818" s="692" t="n"/>
      <c r="BH818" s="692" t="n"/>
      <c r="BI818" s="692" t="n"/>
      <c r="BJ818" s="692" t="n"/>
      <c r="BK818" s="692" t="n"/>
      <c r="BL818" s="692" t="n"/>
      <c r="BM818" s="692" t="n"/>
      <c r="BN818" s="692" t="n"/>
      <c r="BO818" s="692" t="n"/>
      <c r="BP818" s="692" t="n"/>
      <c r="BQ818" s="692" t="n"/>
    </row>
    <row r="819">
      <c r="A819" s="220" t="n"/>
      <c r="B819" s="211" t="n"/>
      <c r="C819" s="211" t="n"/>
      <c r="D819" s="211" t="n"/>
      <c r="E819" s="221" t="n"/>
      <c r="F819" s="211" t="n"/>
      <c r="G819" s="211" t="n"/>
      <c r="H819" s="211" t="n"/>
      <c r="I819" s="211" t="n"/>
      <c r="J819" s="211" t="n"/>
      <c r="K819" s="211" t="n"/>
      <c r="L819" s="213" t="n"/>
      <c r="M819" s="692" t="n"/>
      <c r="N819" s="692" t="n"/>
      <c r="O819" s="692" t="n"/>
      <c r="P819" s="261" t="n"/>
      <c r="Q819" s="692" t="n"/>
      <c r="R819" s="692" t="n"/>
      <c r="S819" s="692" t="n"/>
      <c r="T819" s="692" t="n"/>
      <c r="U819" s="692" t="n"/>
      <c r="V819" s="692" t="n"/>
      <c r="W819" s="692" t="n"/>
      <c r="X819" s="692" t="n"/>
      <c r="Y819" s="692" t="n"/>
      <c r="Z819" s="692" t="n"/>
      <c r="AA819" s="692" t="n"/>
      <c r="AB819" s="692" t="n"/>
      <c r="AC819" s="692" t="n"/>
      <c r="AD819" s="692" t="n"/>
      <c r="AF819" s="236" t="n"/>
      <c r="AG819" s="236" t="n"/>
      <c r="AH819" s="236" t="n"/>
      <c r="AI819" s="236" t="n"/>
      <c r="AJ819" s="236" t="n"/>
      <c r="AK819" s="236" t="n"/>
      <c r="AL819" s="236" t="n"/>
      <c r="AM819" s="236" t="n"/>
      <c r="AN819" s="236" t="n"/>
      <c r="AO819" s="236" t="n"/>
      <c r="AP819" s="236" t="n"/>
      <c r="AQ819" s="236" t="n"/>
      <c r="AR819" s="236" t="n"/>
      <c r="AS819" s="236" t="n"/>
      <c r="AT819" s="236" t="n"/>
      <c r="AU819" s="236" t="n"/>
      <c r="AV819" s="236" t="n"/>
      <c r="AW819" s="236" t="n"/>
      <c r="AX819" s="692" t="n"/>
      <c r="AY819" s="692" t="n"/>
      <c r="AZ819" s="692" t="n"/>
      <c r="BA819" s="692" t="n"/>
      <c r="BB819" s="692" t="n"/>
      <c r="BC819" s="692" t="n"/>
      <c r="BD819" s="692" t="n"/>
      <c r="BE819" s="692" t="n"/>
      <c r="BF819" s="692" t="n"/>
      <c r="BG819" s="692" t="n"/>
      <c r="BH819" s="692" t="n"/>
      <c r="BI819" s="692" t="n"/>
      <c r="BJ819" s="692" t="n"/>
      <c r="BK819" s="692" t="n"/>
      <c r="BL819" s="692" t="n"/>
      <c r="BM819" s="692" t="n"/>
      <c r="BN819" s="692" t="n"/>
      <c r="BO819" s="692" t="n"/>
      <c r="BP819" s="692" t="n"/>
      <c r="BQ819" s="692" t="n"/>
    </row>
    <row r="820">
      <c r="A820" s="218" t="n"/>
      <c r="B820" s="215" t="n"/>
      <c r="C820" s="215" t="n"/>
      <c r="D820" s="215" t="n"/>
      <c r="E820" s="219" t="n"/>
      <c r="F820" s="215" t="n"/>
      <c r="G820" s="215" t="n"/>
      <c r="H820" s="215" t="n"/>
      <c r="I820" s="215" t="n"/>
      <c r="J820" s="215" t="n"/>
      <c r="K820" s="215" t="n"/>
      <c r="L820" s="217" t="n"/>
      <c r="M820" s="692" t="n"/>
      <c r="N820" s="692" t="n"/>
      <c r="O820" s="692" t="n"/>
      <c r="P820" s="261" t="n"/>
      <c r="Q820" s="692" t="n"/>
      <c r="R820" s="692" t="n"/>
      <c r="S820" s="692" t="n"/>
      <c r="T820" s="692" t="n"/>
      <c r="U820" s="692" t="n"/>
      <c r="V820" s="692" t="n"/>
      <c r="W820" s="692" t="n"/>
      <c r="X820" s="692" t="n"/>
      <c r="Y820" s="692" t="n"/>
      <c r="Z820" s="692" t="n"/>
      <c r="AA820" s="692" t="n"/>
      <c r="AB820" s="692" t="n"/>
      <c r="AC820" s="692" t="n"/>
      <c r="AD820" s="692" t="n"/>
      <c r="AF820" s="236" t="n"/>
      <c r="AG820" s="236" t="n"/>
      <c r="AH820" s="236" t="n"/>
      <c r="AI820" s="236" t="n"/>
      <c r="AJ820" s="236" t="n"/>
      <c r="AK820" s="236" t="n"/>
      <c r="AL820" s="236" t="n"/>
      <c r="AM820" s="236" t="n"/>
      <c r="AN820" s="236" t="n"/>
      <c r="AO820" s="236" t="n"/>
      <c r="AP820" s="236" t="n"/>
      <c r="AQ820" s="236" t="n"/>
      <c r="AR820" s="236" t="n"/>
      <c r="AS820" s="236" t="n"/>
      <c r="AT820" s="236" t="n"/>
      <c r="AU820" s="236" t="n"/>
      <c r="AV820" s="236" t="n"/>
      <c r="AW820" s="236" t="n"/>
      <c r="AX820" s="692" t="n"/>
      <c r="AY820" s="692" t="n"/>
      <c r="AZ820" s="692" t="n"/>
      <c r="BA820" s="692" t="n"/>
      <c r="BB820" s="692" t="n"/>
      <c r="BC820" s="692" t="n"/>
      <c r="BD820" s="692" t="n"/>
      <c r="BE820" s="692" t="n"/>
      <c r="BF820" s="692" t="n"/>
      <c r="BG820" s="692" t="n"/>
      <c r="BH820" s="692" t="n"/>
      <c r="BI820" s="692" t="n"/>
      <c r="BJ820" s="692" t="n"/>
      <c r="BK820" s="692" t="n"/>
      <c r="BL820" s="692" t="n"/>
      <c r="BM820" s="692" t="n"/>
      <c r="BN820" s="692" t="n"/>
      <c r="BO820" s="692" t="n"/>
      <c r="BP820" s="692" t="n"/>
      <c r="BQ820" s="692" t="n"/>
    </row>
    <row r="821">
      <c r="A821" s="220" t="n"/>
      <c r="B821" s="211" t="n"/>
      <c r="C821" s="211" t="n"/>
      <c r="D821" s="211" t="n"/>
      <c r="E821" s="221" t="n"/>
      <c r="F821" s="211" t="n"/>
      <c r="G821" s="211" t="n"/>
      <c r="H821" s="211" t="n"/>
      <c r="I821" s="211" t="n"/>
      <c r="J821" s="211" t="n"/>
      <c r="K821" s="211" t="n"/>
      <c r="L821" s="213" t="n"/>
      <c r="M821" s="692" t="n"/>
      <c r="N821" s="692" t="n"/>
      <c r="O821" s="692" t="n"/>
      <c r="P821" s="261" t="n"/>
      <c r="Q821" s="692" t="n"/>
      <c r="R821" s="692" t="n"/>
      <c r="S821" s="692" t="n"/>
      <c r="T821" s="692" t="n"/>
      <c r="U821" s="692" t="n"/>
      <c r="V821" s="692" t="n"/>
      <c r="W821" s="692" t="n"/>
      <c r="X821" s="692" t="n"/>
      <c r="Y821" s="692" t="n"/>
      <c r="Z821" s="692" t="n"/>
      <c r="AA821" s="692" t="n"/>
      <c r="AB821" s="692" t="n"/>
      <c r="AC821" s="692" t="n"/>
      <c r="AD821" s="692" t="n"/>
      <c r="AF821" s="236" t="n"/>
      <c r="AG821" s="236" t="n"/>
      <c r="AH821" s="236" t="n"/>
      <c r="AI821" s="236" t="n"/>
      <c r="AJ821" s="236" t="n"/>
      <c r="AK821" s="236" t="n"/>
      <c r="AL821" s="236" t="n"/>
      <c r="AM821" s="236" t="n"/>
      <c r="AN821" s="236" t="n"/>
      <c r="AO821" s="236" t="n"/>
      <c r="AP821" s="236" t="n"/>
      <c r="AQ821" s="236" t="n"/>
      <c r="AR821" s="236" t="n"/>
      <c r="AS821" s="236" t="n"/>
      <c r="AT821" s="236" t="n"/>
      <c r="AU821" s="236" t="n"/>
      <c r="AV821" s="236" t="n"/>
      <c r="AW821" s="236" t="n"/>
      <c r="AX821" s="692" t="n"/>
      <c r="AY821" s="692" t="n"/>
      <c r="AZ821" s="692" t="n"/>
      <c r="BA821" s="692" t="n"/>
      <c r="BB821" s="692" t="n"/>
      <c r="BC821" s="692" t="n"/>
      <c r="BD821" s="692" t="n"/>
      <c r="BE821" s="692" t="n"/>
      <c r="BF821" s="692" t="n"/>
      <c r="BG821" s="692" t="n"/>
      <c r="BH821" s="692" t="n"/>
      <c r="BI821" s="692" t="n"/>
      <c r="BJ821" s="692" t="n"/>
      <c r="BK821" s="692" t="n"/>
      <c r="BL821" s="692" t="n"/>
      <c r="BM821" s="692" t="n"/>
      <c r="BN821" s="692" t="n"/>
      <c r="BO821" s="692" t="n"/>
      <c r="BP821" s="692" t="n"/>
      <c r="BQ821" s="692" t="n"/>
    </row>
    <row r="822">
      <c r="A822" s="218" t="n"/>
      <c r="B822" s="215" t="n"/>
      <c r="C822" s="215" t="n"/>
      <c r="D822" s="215" t="n"/>
      <c r="E822" s="219" t="n"/>
      <c r="F822" s="215" t="n"/>
      <c r="G822" s="215" t="n"/>
      <c r="H822" s="215" t="n"/>
      <c r="I822" s="215" t="n"/>
      <c r="J822" s="215" t="n"/>
      <c r="K822" s="215" t="n"/>
      <c r="L822" s="217" t="n"/>
      <c r="M822" s="692" t="n"/>
      <c r="N822" s="692" t="n"/>
      <c r="O822" s="692" t="n"/>
      <c r="P822" s="261" t="n"/>
      <c r="Q822" s="692" t="n"/>
      <c r="R822" s="692" t="n"/>
      <c r="S822" s="692" t="n"/>
      <c r="T822" s="692" t="n"/>
      <c r="U822" s="692" t="n"/>
      <c r="V822" s="692" t="n"/>
      <c r="W822" s="692" t="n"/>
      <c r="X822" s="692" t="n"/>
      <c r="Y822" s="692" t="n"/>
      <c r="Z822" s="692" t="n"/>
      <c r="AA822" s="692" t="n"/>
      <c r="AB822" s="692" t="n"/>
      <c r="AC822" s="692" t="n"/>
      <c r="AD822" s="692" t="n"/>
      <c r="AF822" s="236" t="n"/>
      <c r="AG822" s="236" t="n"/>
      <c r="AH822" s="236" t="n"/>
      <c r="AI822" s="236" t="n"/>
      <c r="AJ822" s="236" t="n"/>
      <c r="AK822" s="236" t="n"/>
      <c r="AL822" s="236" t="n"/>
      <c r="AM822" s="236" t="n"/>
      <c r="AN822" s="236" t="n"/>
      <c r="AO822" s="236" t="n"/>
      <c r="AP822" s="236" t="n"/>
      <c r="AQ822" s="236" t="n"/>
      <c r="AR822" s="236" t="n"/>
      <c r="AS822" s="236" t="n"/>
      <c r="AT822" s="236" t="n"/>
      <c r="AU822" s="236" t="n"/>
      <c r="AV822" s="236" t="n"/>
      <c r="AW822" s="236" t="n"/>
      <c r="AX822" s="692" t="n"/>
      <c r="AY822" s="692" t="n"/>
      <c r="AZ822" s="692" t="n"/>
      <c r="BA822" s="692" t="n"/>
      <c r="BB822" s="692" t="n"/>
      <c r="BC822" s="692" t="n"/>
      <c r="BD822" s="692" t="n"/>
      <c r="BE822" s="692" t="n"/>
      <c r="BF822" s="692" t="n"/>
      <c r="BG822" s="692" t="n"/>
      <c r="BH822" s="692" t="n"/>
      <c r="BI822" s="692" t="n"/>
      <c r="BJ822" s="692" t="n"/>
      <c r="BK822" s="692" t="n"/>
      <c r="BL822" s="692" t="n"/>
      <c r="BM822" s="692" t="n"/>
      <c r="BN822" s="692" t="n"/>
      <c r="BO822" s="692" t="n"/>
      <c r="BP822" s="692" t="n"/>
      <c r="BQ822" s="692" t="n"/>
    </row>
    <row r="823">
      <c r="A823" s="220" t="n"/>
      <c r="B823" s="211" t="n"/>
      <c r="C823" s="211" t="n"/>
      <c r="D823" s="211" t="n"/>
      <c r="E823" s="221" t="n"/>
      <c r="F823" s="211" t="n"/>
      <c r="G823" s="211" t="n"/>
      <c r="H823" s="211" t="n"/>
      <c r="I823" s="211" t="n"/>
      <c r="J823" s="211" t="n"/>
      <c r="K823" s="211" t="n"/>
      <c r="L823" s="213" t="n"/>
      <c r="M823" s="692" t="n"/>
      <c r="N823" s="692" t="n"/>
      <c r="O823" s="692" t="n"/>
      <c r="P823" s="261" t="n"/>
      <c r="Q823" s="692" t="n"/>
      <c r="R823" s="692" t="n"/>
      <c r="S823" s="692" t="n"/>
      <c r="T823" s="692" t="n"/>
      <c r="U823" s="692" t="n"/>
      <c r="V823" s="692" t="n"/>
      <c r="W823" s="692" t="n"/>
      <c r="X823" s="692" t="n"/>
      <c r="Y823" s="692" t="n"/>
      <c r="Z823" s="692" t="n"/>
      <c r="AA823" s="692" t="n"/>
      <c r="AB823" s="692" t="n"/>
      <c r="AC823" s="692" t="n"/>
      <c r="AD823" s="692" t="n"/>
      <c r="AF823" s="236" t="n"/>
      <c r="AG823" s="236" t="n"/>
      <c r="AH823" s="236" t="n"/>
      <c r="AI823" s="236" t="n"/>
      <c r="AJ823" s="236" t="n"/>
      <c r="AK823" s="236" t="n"/>
      <c r="AL823" s="236" t="n"/>
      <c r="AM823" s="236" t="n"/>
      <c r="AN823" s="236" t="n"/>
      <c r="AO823" s="236" t="n"/>
      <c r="AP823" s="236" t="n"/>
      <c r="AQ823" s="236" t="n"/>
      <c r="AR823" s="236" t="n"/>
      <c r="AS823" s="236" t="n"/>
      <c r="AT823" s="236" t="n"/>
      <c r="AU823" s="236" t="n"/>
      <c r="AV823" s="236" t="n"/>
      <c r="AW823" s="236" t="n"/>
      <c r="AX823" s="692" t="n"/>
      <c r="AY823" s="692" t="n"/>
      <c r="AZ823" s="692" t="n"/>
      <c r="BA823" s="692" t="n"/>
      <c r="BB823" s="692" t="n"/>
      <c r="BC823" s="692" t="n"/>
      <c r="BD823" s="692" t="n"/>
      <c r="BE823" s="692" t="n"/>
      <c r="BF823" s="692" t="n"/>
      <c r="BG823" s="692" t="n"/>
      <c r="BH823" s="692" t="n"/>
      <c r="BI823" s="692" t="n"/>
      <c r="BJ823" s="692" t="n"/>
      <c r="BK823" s="692" t="n"/>
      <c r="BL823" s="692" t="n"/>
      <c r="BM823" s="692" t="n"/>
      <c r="BN823" s="692" t="n"/>
      <c r="BO823" s="692" t="n"/>
      <c r="BP823" s="692" t="n"/>
      <c r="BQ823" s="692" t="n"/>
    </row>
    <row r="824">
      <c r="A824" s="218" t="n"/>
      <c r="B824" s="215" t="n"/>
      <c r="C824" s="215" t="n"/>
      <c r="D824" s="215" t="n"/>
      <c r="E824" s="219" t="n"/>
      <c r="F824" s="215" t="n"/>
      <c r="G824" s="215" t="n"/>
      <c r="H824" s="215" t="n"/>
      <c r="I824" s="215" t="n"/>
      <c r="J824" s="215" t="n"/>
      <c r="K824" s="215" t="n"/>
      <c r="L824" s="217" t="n"/>
      <c r="M824" s="692" t="n"/>
      <c r="N824" s="692" t="n"/>
      <c r="O824" s="692" t="n"/>
      <c r="P824" s="261" t="n"/>
      <c r="Q824" s="692" t="n"/>
      <c r="R824" s="692" t="n"/>
      <c r="S824" s="692" t="n"/>
      <c r="T824" s="692" t="n"/>
      <c r="U824" s="692" t="n"/>
      <c r="V824" s="692" t="n"/>
      <c r="W824" s="692" t="n"/>
      <c r="X824" s="692" t="n"/>
      <c r="Y824" s="692" t="n"/>
      <c r="Z824" s="692" t="n"/>
      <c r="AA824" s="692" t="n"/>
      <c r="AB824" s="692" t="n"/>
      <c r="AC824" s="692" t="n"/>
      <c r="AD824" s="692" t="n"/>
      <c r="AF824" s="236" t="n"/>
      <c r="AG824" s="236" t="n"/>
      <c r="AH824" s="236" t="n"/>
      <c r="AI824" s="236" t="n"/>
      <c r="AJ824" s="236" t="n"/>
      <c r="AK824" s="236" t="n"/>
      <c r="AL824" s="236" t="n"/>
      <c r="AM824" s="236" t="n"/>
      <c r="AN824" s="236" t="n"/>
      <c r="AO824" s="236" t="n"/>
      <c r="AP824" s="236" t="n"/>
      <c r="AQ824" s="236" t="n"/>
      <c r="AR824" s="236" t="n"/>
      <c r="AS824" s="236" t="n"/>
      <c r="AT824" s="236" t="n"/>
      <c r="AU824" s="236" t="n"/>
      <c r="AV824" s="236" t="n"/>
      <c r="AW824" s="236" t="n"/>
      <c r="AX824" s="692" t="n"/>
      <c r="AY824" s="692" t="n"/>
      <c r="AZ824" s="692" t="n"/>
      <c r="BA824" s="692" t="n"/>
      <c r="BB824" s="692" t="n"/>
      <c r="BC824" s="692" t="n"/>
      <c r="BD824" s="692" t="n"/>
      <c r="BE824" s="692" t="n"/>
      <c r="BF824" s="692" t="n"/>
      <c r="BG824" s="692" t="n"/>
      <c r="BH824" s="692" t="n"/>
      <c r="BI824" s="692" t="n"/>
      <c r="BJ824" s="692" t="n"/>
      <c r="BK824" s="692" t="n"/>
      <c r="BL824" s="692" t="n"/>
      <c r="BM824" s="692" t="n"/>
      <c r="BN824" s="692" t="n"/>
      <c r="BO824" s="692" t="n"/>
      <c r="BP824" s="692" t="n"/>
      <c r="BQ824" s="692" t="n"/>
    </row>
    <row r="825">
      <c r="A825" s="220" t="n"/>
      <c r="B825" s="211" t="n"/>
      <c r="C825" s="211" t="n"/>
      <c r="D825" s="211" t="n"/>
      <c r="E825" s="221" t="n"/>
      <c r="F825" s="211" t="n"/>
      <c r="G825" s="211" t="n"/>
      <c r="H825" s="211" t="n"/>
      <c r="I825" s="211" t="n"/>
      <c r="J825" s="211" t="n"/>
      <c r="K825" s="211" t="n"/>
      <c r="L825" s="213" t="n"/>
      <c r="M825" s="692" t="n"/>
      <c r="N825" s="692" t="n"/>
      <c r="O825" s="692" t="n"/>
      <c r="P825" s="261" t="n"/>
      <c r="Q825" s="692" t="n"/>
      <c r="R825" s="692" t="n"/>
      <c r="S825" s="692" t="n"/>
      <c r="T825" s="692" t="n"/>
      <c r="U825" s="692" t="n"/>
      <c r="V825" s="692" t="n"/>
      <c r="W825" s="692" t="n"/>
      <c r="X825" s="692" t="n"/>
      <c r="Y825" s="692" t="n"/>
      <c r="Z825" s="692" t="n"/>
      <c r="AA825" s="692" t="n"/>
      <c r="AB825" s="692" t="n"/>
      <c r="AC825" s="692" t="n"/>
      <c r="AD825" s="692" t="n"/>
      <c r="AF825" s="236" t="n"/>
      <c r="AG825" s="236" t="n"/>
      <c r="AH825" s="236" t="n"/>
      <c r="AI825" s="236" t="n"/>
      <c r="AJ825" s="236" t="n"/>
      <c r="AK825" s="236" t="n"/>
      <c r="AL825" s="236" t="n"/>
      <c r="AM825" s="236" t="n"/>
      <c r="AN825" s="236" t="n"/>
      <c r="AO825" s="236" t="n"/>
      <c r="AP825" s="236" t="n"/>
      <c r="AQ825" s="236" t="n"/>
      <c r="AR825" s="236" t="n"/>
      <c r="AS825" s="236" t="n"/>
      <c r="AT825" s="236" t="n"/>
      <c r="AU825" s="236" t="n"/>
      <c r="AV825" s="236" t="n"/>
      <c r="AW825" s="236" t="n"/>
      <c r="AX825" s="692" t="n"/>
      <c r="AY825" s="692" t="n"/>
      <c r="AZ825" s="692" t="n"/>
      <c r="BA825" s="692" t="n"/>
      <c r="BB825" s="692" t="n"/>
      <c r="BC825" s="692" t="n"/>
      <c r="BD825" s="692" t="n"/>
      <c r="BE825" s="692" t="n"/>
      <c r="BF825" s="692" t="n"/>
      <c r="BG825" s="692" t="n"/>
      <c r="BH825" s="692" t="n"/>
      <c r="BI825" s="692" t="n"/>
      <c r="BJ825" s="692" t="n"/>
      <c r="BK825" s="692" t="n"/>
      <c r="BL825" s="692" t="n"/>
      <c r="BM825" s="692" t="n"/>
      <c r="BN825" s="692" t="n"/>
      <c r="BO825" s="692" t="n"/>
      <c r="BP825" s="692" t="n"/>
      <c r="BQ825" s="692" t="n"/>
    </row>
    <row r="826">
      <c r="A826" s="218" t="n"/>
      <c r="B826" s="215" t="n"/>
      <c r="C826" s="215" t="n"/>
      <c r="D826" s="215" t="n"/>
      <c r="E826" s="219" t="n"/>
      <c r="F826" s="215" t="n"/>
      <c r="G826" s="215" t="n"/>
      <c r="H826" s="215" t="n"/>
      <c r="I826" s="215" t="n"/>
      <c r="J826" s="215" t="n"/>
      <c r="K826" s="215" t="n"/>
      <c r="L826" s="217" t="n"/>
      <c r="M826" s="692" t="n"/>
      <c r="N826" s="692" t="n"/>
      <c r="O826" s="692" t="n"/>
      <c r="P826" s="261" t="n"/>
      <c r="Q826" s="692" t="n"/>
      <c r="R826" s="692" t="n"/>
      <c r="S826" s="692" t="n"/>
      <c r="T826" s="692" t="n"/>
      <c r="U826" s="692" t="n"/>
      <c r="V826" s="692" t="n"/>
      <c r="W826" s="692" t="n"/>
      <c r="X826" s="692" t="n"/>
      <c r="Y826" s="692" t="n"/>
      <c r="Z826" s="692" t="n"/>
      <c r="AA826" s="692" t="n"/>
      <c r="AB826" s="692" t="n"/>
      <c r="AC826" s="692" t="n"/>
      <c r="AD826" s="692" t="n"/>
      <c r="AF826" s="236" t="n"/>
      <c r="AG826" s="236" t="n"/>
      <c r="AH826" s="236" t="n"/>
      <c r="AI826" s="236" t="n"/>
      <c r="AJ826" s="236" t="n"/>
      <c r="AK826" s="236" t="n"/>
      <c r="AL826" s="236" t="n"/>
      <c r="AM826" s="236" t="n"/>
      <c r="AN826" s="236" t="n"/>
      <c r="AO826" s="236" t="n"/>
      <c r="AP826" s="236" t="n"/>
      <c r="AQ826" s="236" t="n"/>
      <c r="AR826" s="236" t="n"/>
      <c r="AS826" s="236" t="n"/>
      <c r="AT826" s="236" t="n"/>
      <c r="AU826" s="236" t="n"/>
      <c r="AV826" s="236" t="n"/>
      <c r="AW826" s="236" t="n"/>
      <c r="AX826" s="692" t="n"/>
      <c r="AY826" s="692" t="n"/>
      <c r="AZ826" s="692" t="n"/>
      <c r="BA826" s="692" t="n"/>
      <c r="BB826" s="692" t="n"/>
      <c r="BC826" s="692" t="n"/>
      <c r="BD826" s="692" t="n"/>
      <c r="BE826" s="692" t="n"/>
      <c r="BF826" s="692" t="n"/>
      <c r="BG826" s="692" t="n"/>
      <c r="BH826" s="692" t="n"/>
      <c r="BI826" s="692" t="n"/>
      <c r="BJ826" s="692" t="n"/>
      <c r="BK826" s="692" t="n"/>
      <c r="BL826" s="692" t="n"/>
      <c r="BM826" s="692" t="n"/>
      <c r="BN826" s="692" t="n"/>
      <c r="BO826" s="692" t="n"/>
      <c r="BP826" s="692" t="n"/>
      <c r="BQ826" s="692" t="n"/>
    </row>
    <row r="827">
      <c r="A827" s="220" t="n"/>
      <c r="B827" s="211" t="n"/>
      <c r="C827" s="211" t="n"/>
      <c r="D827" s="211" t="n"/>
      <c r="E827" s="221" t="n"/>
      <c r="F827" s="211" t="n"/>
      <c r="G827" s="211" t="n"/>
      <c r="H827" s="211" t="n"/>
      <c r="I827" s="211" t="n"/>
      <c r="J827" s="211" t="n"/>
      <c r="K827" s="211" t="n"/>
      <c r="L827" s="213" t="n"/>
      <c r="M827" s="692" t="n"/>
      <c r="N827" s="692" t="n"/>
      <c r="O827" s="692" t="n"/>
      <c r="P827" s="261" t="n"/>
      <c r="Q827" s="692" t="n"/>
      <c r="R827" s="692" t="n"/>
      <c r="S827" s="692" t="n"/>
      <c r="T827" s="692" t="n"/>
      <c r="U827" s="692" t="n"/>
      <c r="V827" s="692" t="n"/>
      <c r="W827" s="692" t="n"/>
      <c r="X827" s="692" t="n"/>
      <c r="Y827" s="692" t="n"/>
      <c r="Z827" s="692" t="n"/>
      <c r="AA827" s="692" t="n"/>
      <c r="AB827" s="692" t="n"/>
      <c r="AC827" s="692" t="n"/>
      <c r="AD827" s="692" t="n"/>
      <c r="AF827" s="236" t="n"/>
      <c r="AG827" s="236" t="n"/>
      <c r="AH827" s="236" t="n"/>
      <c r="AI827" s="236" t="n"/>
      <c r="AJ827" s="236" t="n"/>
      <c r="AK827" s="236" t="n"/>
      <c r="AL827" s="236" t="n"/>
      <c r="AM827" s="236" t="n"/>
      <c r="AN827" s="236" t="n"/>
      <c r="AO827" s="236" t="n"/>
      <c r="AP827" s="236" t="n"/>
      <c r="AQ827" s="236" t="n"/>
      <c r="AR827" s="236" t="n"/>
      <c r="AS827" s="236" t="n"/>
      <c r="AT827" s="236" t="n"/>
      <c r="AU827" s="236" t="n"/>
      <c r="AV827" s="236" t="n"/>
      <c r="AW827" s="236" t="n"/>
      <c r="AX827" s="692" t="n"/>
      <c r="AY827" s="692" t="n"/>
      <c r="AZ827" s="692" t="n"/>
      <c r="BA827" s="692" t="n"/>
      <c r="BB827" s="692" t="n"/>
      <c r="BC827" s="692" t="n"/>
      <c r="BD827" s="692" t="n"/>
      <c r="BE827" s="692" t="n"/>
      <c r="BF827" s="692" t="n"/>
      <c r="BG827" s="692" t="n"/>
      <c r="BH827" s="692" t="n"/>
      <c r="BI827" s="692" t="n"/>
      <c r="BJ827" s="692" t="n"/>
      <c r="BK827" s="692" t="n"/>
      <c r="BL827" s="692" t="n"/>
      <c r="BM827" s="692" t="n"/>
      <c r="BN827" s="692" t="n"/>
      <c r="BO827" s="692" t="n"/>
      <c r="BP827" s="692" t="n"/>
      <c r="BQ827" s="692" t="n"/>
    </row>
    <row r="828">
      <c r="A828" s="218" t="n"/>
      <c r="B828" s="215" t="n"/>
      <c r="C828" s="215" t="n"/>
      <c r="D828" s="215" t="n"/>
      <c r="E828" s="219" t="n"/>
      <c r="F828" s="215" t="n"/>
      <c r="G828" s="215" t="n"/>
      <c r="H828" s="215" t="n"/>
      <c r="I828" s="215" t="n"/>
      <c r="J828" s="215" t="n"/>
      <c r="K828" s="215" t="n"/>
      <c r="L828" s="217" t="n"/>
      <c r="M828" s="692" t="n"/>
      <c r="N828" s="692" t="n"/>
      <c r="O828" s="692" t="n"/>
      <c r="P828" s="261" t="n"/>
      <c r="Q828" s="692" t="n"/>
      <c r="R828" s="692" t="n"/>
      <c r="S828" s="692" t="n"/>
      <c r="T828" s="692" t="n"/>
      <c r="U828" s="692" t="n"/>
      <c r="V828" s="692" t="n"/>
      <c r="W828" s="692" t="n"/>
      <c r="X828" s="692" t="n"/>
      <c r="Y828" s="692" t="n"/>
      <c r="Z828" s="692" t="n"/>
      <c r="AA828" s="692" t="n"/>
      <c r="AB828" s="692" t="n"/>
      <c r="AC828" s="692" t="n"/>
      <c r="AD828" s="692" t="n"/>
      <c r="AF828" s="236" t="n"/>
      <c r="AG828" s="236" t="n"/>
      <c r="AH828" s="236" t="n"/>
      <c r="AI828" s="236" t="n"/>
      <c r="AJ828" s="236" t="n"/>
      <c r="AK828" s="236" t="n"/>
      <c r="AL828" s="236" t="n"/>
      <c r="AM828" s="236" t="n"/>
      <c r="AN828" s="236" t="n"/>
      <c r="AO828" s="236" t="n"/>
      <c r="AP828" s="236" t="n"/>
      <c r="AQ828" s="236" t="n"/>
      <c r="AR828" s="236" t="n"/>
      <c r="AS828" s="236" t="n"/>
      <c r="AT828" s="236" t="n"/>
      <c r="AU828" s="236" t="n"/>
      <c r="AV828" s="236" t="n"/>
      <c r="AW828" s="236" t="n"/>
      <c r="AX828" s="692" t="n"/>
      <c r="AY828" s="692" t="n"/>
      <c r="AZ828" s="692" t="n"/>
      <c r="BA828" s="692" t="n"/>
      <c r="BB828" s="692" t="n"/>
      <c r="BC828" s="692" t="n"/>
      <c r="BD828" s="692" t="n"/>
      <c r="BE828" s="692" t="n"/>
      <c r="BF828" s="692" t="n"/>
      <c r="BG828" s="692" t="n"/>
      <c r="BH828" s="692" t="n"/>
      <c r="BI828" s="692" t="n"/>
      <c r="BJ828" s="692" t="n"/>
      <c r="BK828" s="692" t="n"/>
      <c r="BL828" s="692" t="n"/>
      <c r="BM828" s="692" t="n"/>
      <c r="BN828" s="692" t="n"/>
      <c r="BO828" s="692" t="n"/>
      <c r="BP828" s="692" t="n"/>
      <c r="BQ828" s="692" t="n"/>
    </row>
    <row r="829">
      <c r="A829" s="220" t="n"/>
      <c r="B829" s="211" t="n"/>
      <c r="C829" s="211" t="n"/>
      <c r="D829" s="211" t="n"/>
      <c r="E829" s="221" t="n"/>
      <c r="F829" s="211" t="n"/>
      <c r="G829" s="211" t="n"/>
      <c r="H829" s="211" t="n"/>
      <c r="I829" s="211" t="n"/>
      <c r="J829" s="211" t="n"/>
      <c r="K829" s="211" t="n"/>
      <c r="L829" s="213" t="n"/>
      <c r="M829" s="692" t="n"/>
      <c r="N829" s="692" t="n"/>
      <c r="O829" s="692" t="n"/>
      <c r="P829" s="261" t="n"/>
      <c r="Q829" s="692" t="n"/>
      <c r="R829" s="692" t="n"/>
      <c r="S829" s="692" t="n"/>
      <c r="T829" s="692" t="n"/>
      <c r="U829" s="692" t="n"/>
      <c r="V829" s="692" t="n"/>
      <c r="W829" s="692" t="n"/>
      <c r="X829" s="692" t="n"/>
      <c r="Y829" s="692" t="n"/>
      <c r="Z829" s="692" t="n"/>
      <c r="AA829" s="692" t="n"/>
      <c r="AB829" s="692" t="n"/>
      <c r="AC829" s="692" t="n"/>
      <c r="AD829" s="692" t="n"/>
      <c r="AF829" s="236" t="n"/>
      <c r="AG829" s="236" t="n"/>
      <c r="AH829" s="236" t="n"/>
      <c r="AI829" s="236" t="n"/>
      <c r="AJ829" s="236" t="n"/>
      <c r="AK829" s="236" t="n"/>
      <c r="AL829" s="236" t="n"/>
      <c r="AM829" s="236" t="n"/>
      <c r="AN829" s="236" t="n"/>
      <c r="AO829" s="236" t="n"/>
      <c r="AP829" s="236" t="n"/>
      <c r="AQ829" s="236" t="n"/>
      <c r="AR829" s="236" t="n"/>
      <c r="AS829" s="236" t="n"/>
      <c r="AT829" s="236" t="n"/>
      <c r="AU829" s="236" t="n"/>
      <c r="AV829" s="236" t="n"/>
      <c r="AW829" s="236" t="n"/>
      <c r="AX829" s="692" t="n"/>
      <c r="AY829" s="692" t="n"/>
      <c r="AZ829" s="692" t="n"/>
      <c r="BA829" s="692" t="n"/>
      <c r="BB829" s="692" t="n"/>
      <c r="BC829" s="692" t="n"/>
      <c r="BD829" s="692" t="n"/>
      <c r="BE829" s="692" t="n"/>
      <c r="BF829" s="692" t="n"/>
      <c r="BG829" s="692" t="n"/>
      <c r="BH829" s="692" t="n"/>
      <c r="BI829" s="692" t="n"/>
      <c r="BJ829" s="692" t="n"/>
      <c r="BK829" s="692" t="n"/>
      <c r="BL829" s="692" t="n"/>
      <c r="BM829" s="692" t="n"/>
      <c r="BN829" s="692" t="n"/>
      <c r="BO829" s="692" t="n"/>
      <c r="BP829" s="692" t="n"/>
      <c r="BQ829" s="692" t="n"/>
    </row>
    <row r="830">
      <c r="A830" s="218" t="n"/>
      <c r="B830" s="215" t="n"/>
      <c r="C830" s="215" t="n"/>
      <c r="D830" s="215" t="n"/>
      <c r="E830" s="219" t="n"/>
      <c r="F830" s="215" t="n"/>
      <c r="G830" s="215" t="n"/>
      <c r="H830" s="215" t="n"/>
      <c r="I830" s="215" t="n"/>
      <c r="J830" s="215" t="n"/>
      <c r="K830" s="215" t="n"/>
      <c r="L830" s="217" t="n"/>
      <c r="M830" s="692" t="n"/>
      <c r="N830" s="692" t="n"/>
      <c r="O830" s="692" t="n"/>
      <c r="P830" s="261" t="n"/>
      <c r="Q830" s="692" t="n"/>
      <c r="R830" s="692" t="n"/>
      <c r="S830" s="692" t="n"/>
      <c r="T830" s="692" t="n"/>
      <c r="U830" s="692" t="n"/>
      <c r="V830" s="692" t="n"/>
      <c r="W830" s="692" t="n"/>
      <c r="X830" s="692" t="n"/>
      <c r="Y830" s="692" t="n"/>
      <c r="Z830" s="692" t="n"/>
      <c r="AA830" s="692" t="n"/>
      <c r="AB830" s="692" t="n"/>
      <c r="AC830" s="692" t="n"/>
      <c r="AD830" s="692" t="n"/>
      <c r="AF830" s="236" t="n"/>
      <c r="AG830" s="236" t="n"/>
      <c r="AH830" s="236" t="n"/>
      <c r="AI830" s="236" t="n"/>
      <c r="AJ830" s="236" t="n"/>
      <c r="AK830" s="236" t="n"/>
      <c r="AL830" s="236" t="n"/>
      <c r="AM830" s="236" t="n"/>
      <c r="AN830" s="236" t="n"/>
      <c r="AO830" s="236" t="n"/>
      <c r="AP830" s="236" t="n"/>
      <c r="AQ830" s="236" t="n"/>
      <c r="AR830" s="236" t="n"/>
      <c r="AS830" s="236" t="n"/>
      <c r="AT830" s="236" t="n"/>
      <c r="AU830" s="236" t="n"/>
      <c r="AV830" s="236" t="n"/>
      <c r="AW830" s="236" t="n"/>
      <c r="AX830" s="692" t="n"/>
      <c r="AY830" s="692" t="n"/>
      <c r="AZ830" s="692" t="n"/>
      <c r="BA830" s="692" t="n"/>
      <c r="BB830" s="692" t="n"/>
      <c r="BC830" s="692" t="n"/>
      <c r="BD830" s="692" t="n"/>
      <c r="BE830" s="692" t="n"/>
      <c r="BF830" s="692" t="n"/>
      <c r="BG830" s="692" t="n"/>
      <c r="BH830" s="692" t="n"/>
      <c r="BI830" s="692" t="n"/>
      <c r="BJ830" s="692" t="n"/>
      <c r="BK830" s="692" t="n"/>
      <c r="BL830" s="692" t="n"/>
      <c r="BM830" s="692" t="n"/>
      <c r="BN830" s="692" t="n"/>
      <c r="BO830" s="692" t="n"/>
      <c r="BP830" s="692" t="n"/>
      <c r="BQ830" s="692" t="n"/>
    </row>
    <row r="831">
      <c r="A831" s="220" t="n"/>
      <c r="B831" s="211" t="n"/>
      <c r="C831" s="211" t="n"/>
      <c r="D831" s="211" t="n"/>
      <c r="E831" s="221" t="n"/>
      <c r="F831" s="211" t="n"/>
      <c r="G831" s="211" t="n"/>
      <c r="H831" s="211" t="n"/>
      <c r="I831" s="211" t="n"/>
      <c r="J831" s="211" t="n"/>
      <c r="K831" s="211" t="n"/>
      <c r="L831" s="213" t="n"/>
      <c r="M831" s="692" t="n"/>
      <c r="N831" s="692" t="n"/>
      <c r="O831" s="692" t="n"/>
      <c r="P831" s="261" t="n"/>
      <c r="Q831" s="692" t="n"/>
      <c r="R831" s="692" t="n"/>
      <c r="S831" s="692" t="n"/>
      <c r="T831" s="692" t="n"/>
      <c r="U831" s="692" t="n"/>
      <c r="V831" s="692" t="n"/>
      <c r="W831" s="692" t="n"/>
      <c r="X831" s="692" t="n"/>
      <c r="Y831" s="692" t="n"/>
      <c r="Z831" s="692" t="n"/>
      <c r="AA831" s="692" t="n"/>
      <c r="AB831" s="692" t="n"/>
      <c r="AC831" s="692" t="n"/>
      <c r="AD831" s="692" t="n"/>
      <c r="AF831" s="236" t="n"/>
      <c r="AG831" s="236" t="n"/>
      <c r="AH831" s="236" t="n"/>
      <c r="AI831" s="236" t="n"/>
      <c r="AJ831" s="236" t="n"/>
      <c r="AK831" s="236" t="n"/>
      <c r="AL831" s="236" t="n"/>
      <c r="AM831" s="236" t="n"/>
      <c r="AN831" s="236" t="n"/>
      <c r="AO831" s="236" t="n"/>
      <c r="AP831" s="236" t="n"/>
      <c r="AQ831" s="236" t="n"/>
      <c r="AR831" s="236" t="n"/>
      <c r="AS831" s="236" t="n"/>
      <c r="AT831" s="236" t="n"/>
      <c r="AU831" s="236" t="n"/>
      <c r="AV831" s="236" t="n"/>
      <c r="AW831" s="236" t="n"/>
      <c r="AX831" s="692" t="n"/>
      <c r="AY831" s="692" t="n"/>
      <c r="AZ831" s="692" t="n"/>
      <c r="BA831" s="692" t="n"/>
      <c r="BB831" s="692" t="n"/>
      <c r="BC831" s="692" t="n"/>
      <c r="BD831" s="692" t="n"/>
      <c r="BE831" s="692" t="n"/>
      <c r="BF831" s="692" t="n"/>
      <c r="BG831" s="692" t="n"/>
      <c r="BH831" s="692" t="n"/>
      <c r="BI831" s="692" t="n"/>
      <c r="BJ831" s="692" t="n"/>
      <c r="BK831" s="692" t="n"/>
      <c r="BL831" s="692" t="n"/>
      <c r="BM831" s="692" t="n"/>
      <c r="BN831" s="692" t="n"/>
      <c r="BO831" s="692" t="n"/>
      <c r="BP831" s="692" t="n"/>
      <c r="BQ831" s="692" t="n"/>
    </row>
    <row r="832">
      <c r="A832" s="218" t="n"/>
      <c r="B832" s="215" t="n"/>
      <c r="C832" s="215" t="n"/>
      <c r="D832" s="215" t="n"/>
      <c r="E832" s="219" t="n"/>
      <c r="F832" s="215" t="n"/>
      <c r="G832" s="215" t="n"/>
      <c r="H832" s="215" t="n"/>
      <c r="I832" s="215" t="n"/>
      <c r="J832" s="215" t="n"/>
      <c r="K832" s="215" t="n"/>
      <c r="L832" s="217" t="n"/>
      <c r="M832" s="692" t="n"/>
      <c r="N832" s="692" t="n"/>
      <c r="O832" s="692" t="n"/>
      <c r="P832" s="261" t="n"/>
      <c r="Q832" s="692" t="n"/>
      <c r="R832" s="692" t="n"/>
      <c r="S832" s="692" t="n"/>
      <c r="T832" s="692" t="n"/>
      <c r="U832" s="692" t="n"/>
      <c r="V832" s="692" t="n"/>
      <c r="W832" s="692" t="n"/>
      <c r="X832" s="692" t="n"/>
      <c r="Y832" s="692" t="n"/>
      <c r="Z832" s="692" t="n"/>
      <c r="AA832" s="692" t="n"/>
      <c r="AB832" s="692" t="n"/>
      <c r="AC832" s="692" t="n"/>
      <c r="AD832" s="692" t="n"/>
      <c r="AF832" s="236" t="n"/>
      <c r="AG832" s="236" t="n"/>
      <c r="AH832" s="236" t="n"/>
      <c r="AI832" s="236" t="n"/>
      <c r="AJ832" s="236" t="n"/>
      <c r="AK832" s="236" t="n"/>
      <c r="AL832" s="236" t="n"/>
      <c r="AM832" s="236" t="n"/>
      <c r="AN832" s="236" t="n"/>
      <c r="AO832" s="236" t="n"/>
      <c r="AP832" s="236" t="n"/>
      <c r="AQ832" s="236" t="n"/>
      <c r="AR832" s="236" t="n"/>
      <c r="AS832" s="236" t="n"/>
      <c r="AT832" s="236" t="n"/>
      <c r="AU832" s="236" t="n"/>
      <c r="AV832" s="236" t="n"/>
      <c r="AW832" s="236" t="n"/>
      <c r="AX832" s="692" t="n"/>
      <c r="AY832" s="692" t="n"/>
      <c r="AZ832" s="692" t="n"/>
      <c r="BA832" s="692" t="n"/>
      <c r="BB832" s="692" t="n"/>
      <c r="BC832" s="692" t="n"/>
      <c r="BD832" s="692" t="n"/>
      <c r="BE832" s="692" t="n"/>
      <c r="BF832" s="692" t="n"/>
      <c r="BG832" s="692" t="n"/>
      <c r="BH832" s="692" t="n"/>
      <c r="BI832" s="692" t="n"/>
      <c r="BJ832" s="692" t="n"/>
      <c r="BK832" s="692" t="n"/>
      <c r="BL832" s="692" t="n"/>
      <c r="BM832" s="692" t="n"/>
      <c r="BN832" s="692" t="n"/>
      <c r="BO832" s="692" t="n"/>
      <c r="BP832" s="692" t="n"/>
      <c r="BQ832" s="692" t="n"/>
    </row>
    <row r="833">
      <c r="A833" s="220" t="n"/>
      <c r="B833" s="211" t="n"/>
      <c r="C833" s="211" t="n"/>
      <c r="D833" s="211" t="n"/>
      <c r="E833" s="221" t="n"/>
      <c r="F833" s="211" t="n"/>
      <c r="G833" s="211" t="n"/>
      <c r="H833" s="211" t="n"/>
      <c r="I833" s="211" t="n"/>
      <c r="J833" s="211" t="n"/>
      <c r="K833" s="211" t="n"/>
      <c r="L833" s="213" t="n"/>
      <c r="M833" s="692" t="n"/>
      <c r="N833" s="692" t="n"/>
      <c r="O833" s="692" t="n"/>
      <c r="P833" s="261" t="n"/>
      <c r="Q833" s="692" t="n"/>
      <c r="R833" s="692" t="n"/>
      <c r="S833" s="692" t="n"/>
      <c r="T833" s="692" t="n"/>
      <c r="U833" s="692" t="n"/>
      <c r="V833" s="692" t="n"/>
      <c r="W833" s="692" t="n"/>
      <c r="X833" s="692" t="n"/>
      <c r="Y833" s="692" t="n"/>
      <c r="Z833" s="692" t="n"/>
      <c r="AA833" s="692" t="n"/>
      <c r="AB833" s="692" t="n"/>
      <c r="AC833" s="692" t="n"/>
      <c r="AD833" s="692" t="n"/>
      <c r="AF833" s="236" t="n"/>
      <c r="AG833" s="236" t="n"/>
      <c r="AH833" s="236" t="n"/>
      <c r="AI833" s="236" t="n"/>
      <c r="AJ833" s="236" t="n"/>
      <c r="AK833" s="236" t="n"/>
      <c r="AL833" s="236" t="n"/>
      <c r="AM833" s="236" t="n"/>
      <c r="AN833" s="236" t="n"/>
      <c r="AO833" s="236" t="n"/>
      <c r="AP833" s="236" t="n"/>
      <c r="AQ833" s="236" t="n"/>
      <c r="AR833" s="236" t="n"/>
      <c r="AS833" s="236" t="n"/>
      <c r="AT833" s="236" t="n"/>
      <c r="AU833" s="236" t="n"/>
      <c r="AV833" s="236" t="n"/>
      <c r="AW833" s="236" t="n"/>
      <c r="AX833" s="692" t="n"/>
      <c r="AY833" s="692" t="n"/>
      <c r="AZ833" s="692" t="n"/>
      <c r="BA833" s="692" t="n"/>
      <c r="BB833" s="692" t="n"/>
      <c r="BC833" s="692" t="n"/>
      <c r="BD833" s="692" t="n"/>
      <c r="BE833" s="692" t="n"/>
      <c r="BF833" s="692" t="n"/>
      <c r="BG833" s="692" t="n"/>
      <c r="BH833" s="692" t="n"/>
      <c r="BI833" s="692" t="n"/>
      <c r="BJ833" s="692" t="n"/>
      <c r="BK833" s="692" t="n"/>
      <c r="BL833" s="692" t="n"/>
      <c r="BM833" s="692" t="n"/>
      <c r="BN833" s="692" t="n"/>
      <c r="BO833" s="692" t="n"/>
      <c r="BP833" s="692" t="n"/>
      <c r="BQ833" s="692" t="n"/>
    </row>
    <row r="834">
      <c r="A834" s="218" t="n"/>
      <c r="B834" s="215" t="n"/>
      <c r="C834" s="215" t="n"/>
      <c r="D834" s="215" t="n"/>
      <c r="E834" s="219" t="n"/>
      <c r="F834" s="215" t="n"/>
      <c r="G834" s="215" t="n"/>
      <c r="H834" s="215" t="n"/>
      <c r="I834" s="215" t="n"/>
      <c r="J834" s="215" t="n"/>
      <c r="K834" s="215" t="n"/>
      <c r="L834" s="217" t="n"/>
      <c r="M834" s="692" t="n"/>
      <c r="N834" s="692" t="n"/>
      <c r="O834" s="692" t="n"/>
      <c r="P834" s="261" t="n"/>
      <c r="Q834" s="692" t="n"/>
      <c r="R834" s="692" t="n"/>
      <c r="S834" s="692" t="n"/>
      <c r="T834" s="692" t="n"/>
      <c r="U834" s="692" t="n"/>
      <c r="V834" s="692" t="n"/>
      <c r="W834" s="692" t="n"/>
      <c r="X834" s="692" t="n"/>
      <c r="Y834" s="692" t="n"/>
      <c r="Z834" s="692" t="n"/>
      <c r="AA834" s="692" t="n"/>
      <c r="AB834" s="692" t="n"/>
      <c r="AC834" s="692" t="n"/>
      <c r="AD834" s="692" t="n"/>
      <c r="AF834" s="236" t="n"/>
      <c r="AG834" s="236" t="n"/>
      <c r="AH834" s="236" t="n"/>
      <c r="AI834" s="236" t="n"/>
      <c r="AJ834" s="236" t="n"/>
      <c r="AK834" s="236" t="n"/>
      <c r="AL834" s="236" t="n"/>
      <c r="AM834" s="236" t="n"/>
      <c r="AN834" s="236" t="n"/>
      <c r="AO834" s="236" t="n"/>
      <c r="AP834" s="236" t="n"/>
      <c r="AQ834" s="236" t="n"/>
      <c r="AR834" s="236" t="n"/>
      <c r="AS834" s="236" t="n"/>
      <c r="AT834" s="236" t="n"/>
      <c r="AU834" s="236" t="n"/>
      <c r="AV834" s="236" t="n"/>
      <c r="AW834" s="236" t="n"/>
      <c r="AX834" s="692" t="n"/>
      <c r="AY834" s="692" t="n"/>
      <c r="AZ834" s="692" t="n"/>
      <c r="BA834" s="692" t="n"/>
      <c r="BB834" s="692" t="n"/>
      <c r="BC834" s="692" t="n"/>
      <c r="BD834" s="692" t="n"/>
      <c r="BE834" s="692" t="n"/>
      <c r="BF834" s="692" t="n"/>
      <c r="BG834" s="692" t="n"/>
      <c r="BH834" s="692" t="n"/>
      <c r="BI834" s="692" t="n"/>
      <c r="BJ834" s="692" t="n"/>
      <c r="BK834" s="692" t="n"/>
      <c r="BL834" s="692" t="n"/>
      <c r="BM834" s="692" t="n"/>
      <c r="BN834" s="692" t="n"/>
      <c r="BO834" s="692" t="n"/>
      <c r="BP834" s="692" t="n"/>
      <c r="BQ834" s="692" t="n"/>
    </row>
    <row r="835">
      <c r="A835" s="220" t="n"/>
      <c r="B835" s="211" t="n"/>
      <c r="C835" s="211" t="n"/>
      <c r="D835" s="211" t="n"/>
      <c r="E835" s="221" t="n"/>
      <c r="F835" s="211" t="n"/>
      <c r="G835" s="211" t="n"/>
      <c r="H835" s="211" t="n"/>
      <c r="I835" s="211" t="n"/>
      <c r="J835" s="211" t="n"/>
      <c r="K835" s="211" t="n"/>
      <c r="L835" s="213" t="n"/>
      <c r="M835" s="692" t="n"/>
      <c r="N835" s="692" t="n"/>
      <c r="O835" s="692" t="n"/>
      <c r="P835" s="261" t="n"/>
      <c r="Q835" s="692" t="n"/>
      <c r="R835" s="692" t="n"/>
      <c r="S835" s="692" t="n"/>
      <c r="T835" s="692" t="n"/>
      <c r="U835" s="692" t="n"/>
      <c r="V835" s="692" t="n"/>
      <c r="W835" s="692" t="n"/>
      <c r="X835" s="692" t="n"/>
      <c r="Y835" s="692" t="n"/>
      <c r="Z835" s="692" t="n"/>
      <c r="AA835" s="692" t="n"/>
      <c r="AB835" s="692" t="n"/>
      <c r="AC835" s="692" t="n"/>
      <c r="AD835" s="692" t="n"/>
      <c r="AF835" s="236" t="n"/>
      <c r="AG835" s="236" t="n"/>
      <c r="AH835" s="236" t="n"/>
      <c r="AI835" s="236" t="n"/>
      <c r="AJ835" s="236" t="n"/>
      <c r="AK835" s="236" t="n"/>
      <c r="AL835" s="236" t="n"/>
      <c r="AM835" s="236" t="n"/>
      <c r="AN835" s="236" t="n"/>
      <c r="AO835" s="236" t="n"/>
      <c r="AP835" s="236" t="n"/>
      <c r="AQ835" s="236" t="n"/>
      <c r="AR835" s="236" t="n"/>
      <c r="AS835" s="236" t="n"/>
      <c r="AT835" s="236" t="n"/>
      <c r="AU835" s="236" t="n"/>
      <c r="AV835" s="236" t="n"/>
      <c r="AW835" s="236" t="n"/>
      <c r="AX835" s="692" t="n"/>
      <c r="AY835" s="692" t="n"/>
      <c r="AZ835" s="692" t="n"/>
      <c r="BA835" s="692" t="n"/>
      <c r="BB835" s="692" t="n"/>
      <c r="BC835" s="692" t="n"/>
      <c r="BD835" s="692" t="n"/>
      <c r="BE835" s="692" t="n"/>
      <c r="BF835" s="692" t="n"/>
      <c r="BG835" s="692" t="n"/>
      <c r="BH835" s="692" t="n"/>
      <c r="BI835" s="692" t="n"/>
      <c r="BJ835" s="692" t="n"/>
      <c r="BK835" s="692" t="n"/>
      <c r="BL835" s="692" t="n"/>
      <c r="BM835" s="692" t="n"/>
      <c r="BN835" s="692" t="n"/>
      <c r="BO835" s="692" t="n"/>
      <c r="BP835" s="692" t="n"/>
      <c r="BQ835" s="692" t="n"/>
    </row>
    <row r="836">
      <c r="A836" s="218" t="n"/>
      <c r="B836" s="215" t="n"/>
      <c r="C836" s="215" t="n"/>
      <c r="D836" s="215" t="n"/>
      <c r="E836" s="219" t="n"/>
      <c r="F836" s="215" t="n"/>
      <c r="G836" s="215" t="n"/>
      <c r="H836" s="215" t="n"/>
      <c r="I836" s="215" t="n"/>
      <c r="J836" s="215" t="n"/>
      <c r="K836" s="215" t="n"/>
      <c r="L836" s="217" t="n"/>
      <c r="M836" s="692" t="n"/>
      <c r="N836" s="692" t="n"/>
      <c r="O836" s="692" t="n"/>
      <c r="P836" s="261" t="n"/>
      <c r="Q836" s="692" t="n"/>
      <c r="R836" s="692" t="n"/>
      <c r="S836" s="692" t="n"/>
      <c r="T836" s="692" t="n"/>
      <c r="U836" s="692" t="n"/>
      <c r="V836" s="692" t="n"/>
      <c r="W836" s="692" t="n"/>
      <c r="X836" s="692" t="n"/>
      <c r="Y836" s="692" t="n"/>
      <c r="Z836" s="692" t="n"/>
      <c r="AA836" s="692" t="n"/>
      <c r="AB836" s="692" t="n"/>
      <c r="AC836" s="692" t="n"/>
      <c r="AD836" s="692" t="n"/>
      <c r="AF836" s="236" t="n"/>
      <c r="AG836" s="236" t="n"/>
      <c r="AH836" s="236" t="n"/>
      <c r="AI836" s="236" t="n"/>
      <c r="AJ836" s="236" t="n"/>
      <c r="AK836" s="236" t="n"/>
      <c r="AL836" s="236" t="n"/>
      <c r="AM836" s="236" t="n"/>
      <c r="AN836" s="236" t="n"/>
      <c r="AO836" s="236" t="n"/>
      <c r="AP836" s="236" t="n"/>
      <c r="AQ836" s="236" t="n"/>
      <c r="AR836" s="236" t="n"/>
      <c r="AS836" s="236" t="n"/>
      <c r="AT836" s="236" t="n"/>
      <c r="AU836" s="236" t="n"/>
      <c r="AV836" s="236" t="n"/>
      <c r="AW836" s="236" t="n"/>
      <c r="AX836" s="692" t="n"/>
      <c r="AY836" s="692" t="n"/>
      <c r="AZ836" s="692" t="n"/>
      <c r="BA836" s="692" t="n"/>
      <c r="BB836" s="692" t="n"/>
      <c r="BC836" s="692" t="n"/>
      <c r="BD836" s="692" t="n"/>
      <c r="BE836" s="692" t="n"/>
      <c r="BF836" s="692" t="n"/>
      <c r="BG836" s="692" t="n"/>
      <c r="BH836" s="692" t="n"/>
      <c r="BI836" s="692" t="n"/>
      <c r="BJ836" s="692" t="n"/>
      <c r="BK836" s="692" t="n"/>
      <c r="BL836" s="692" t="n"/>
      <c r="BM836" s="692" t="n"/>
      <c r="BN836" s="692" t="n"/>
      <c r="BO836" s="692" t="n"/>
      <c r="BP836" s="692" t="n"/>
      <c r="BQ836" s="692" t="n"/>
    </row>
    <row r="837">
      <c r="A837" s="220" t="n"/>
      <c r="B837" s="211" t="n"/>
      <c r="C837" s="211" t="n"/>
      <c r="D837" s="211" t="n"/>
      <c r="E837" s="221" t="n"/>
      <c r="F837" s="211" t="n"/>
      <c r="G837" s="211" t="n"/>
      <c r="H837" s="211" t="n"/>
      <c r="I837" s="211" t="n"/>
      <c r="J837" s="211" t="n"/>
      <c r="K837" s="211" t="n"/>
      <c r="L837" s="213" t="n"/>
      <c r="M837" s="692" t="n"/>
      <c r="N837" s="692" t="n"/>
      <c r="O837" s="692" t="n"/>
      <c r="P837" s="261" t="n"/>
      <c r="Q837" s="692" t="n"/>
      <c r="R837" s="692" t="n"/>
      <c r="S837" s="692" t="n"/>
      <c r="T837" s="692" t="n"/>
      <c r="U837" s="692" t="n"/>
      <c r="V837" s="692" t="n"/>
      <c r="W837" s="692" t="n"/>
      <c r="X837" s="692" t="n"/>
      <c r="Y837" s="692" t="n"/>
      <c r="Z837" s="692" t="n"/>
      <c r="AA837" s="692" t="n"/>
      <c r="AB837" s="692" t="n"/>
      <c r="AC837" s="692" t="n"/>
      <c r="AD837" s="692" t="n"/>
      <c r="AF837" s="236" t="n"/>
      <c r="AG837" s="236" t="n"/>
      <c r="AH837" s="236" t="n"/>
      <c r="AI837" s="236" t="n"/>
      <c r="AJ837" s="236" t="n"/>
      <c r="AK837" s="236" t="n"/>
      <c r="AL837" s="236" t="n"/>
      <c r="AM837" s="236" t="n"/>
      <c r="AN837" s="236" t="n"/>
      <c r="AO837" s="236" t="n"/>
      <c r="AP837" s="236" t="n"/>
      <c r="AQ837" s="236" t="n"/>
      <c r="AR837" s="236" t="n"/>
      <c r="AS837" s="236" t="n"/>
      <c r="AT837" s="236" t="n"/>
      <c r="AU837" s="236" t="n"/>
      <c r="AV837" s="236" t="n"/>
      <c r="AW837" s="236" t="n"/>
      <c r="AX837" s="692" t="n"/>
      <c r="AY837" s="692" t="n"/>
      <c r="AZ837" s="692" t="n"/>
      <c r="BA837" s="692" t="n"/>
      <c r="BB837" s="692" t="n"/>
      <c r="BC837" s="692" t="n"/>
      <c r="BD837" s="692" t="n"/>
      <c r="BE837" s="692" t="n"/>
      <c r="BF837" s="692" t="n"/>
      <c r="BG837" s="692" t="n"/>
      <c r="BH837" s="692" t="n"/>
      <c r="BI837" s="692" t="n"/>
      <c r="BJ837" s="692" t="n"/>
      <c r="BK837" s="692" t="n"/>
      <c r="BL837" s="692" t="n"/>
      <c r="BM837" s="692" t="n"/>
      <c r="BN837" s="692" t="n"/>
      <c r="BO837" s="692" t="n"/>
      <c r="BP837" s="692" t="n"/>
      <c r="BQ837" s="692" t="n"/>
    </row>
    <row r="838">
      <c r="A838" s="218" t="n"/>
      <c r="B838" s="215" t="n"/>
      <c r="C838" s="215" t="n"/>
      <c r="D838" s="215" t="n"/>
      <c r="E838" s="219" t="n"/>
      <c r="F838" s="215" t="n"/>
      <c r="G838" s="215" t="n"/>
      <c r="H838" s="215" t="n"/>
      <c r="I838" s="215" t="n"/>
      <c r="J838" s="215" t="n"/>
      <c r="K838" s="215" t="n"/>
      <c r="L838" s="217" t="n"/>
      <c r="M838" s="692" t="n"/>
      <c r="N838" s="692" t="n"/>
      <c r="O838" s="692" t="n"/>
      <c r="P838" s="261" t="n"/>
      <c r="Q838" s="692" t="n"/>
      <c r="R838" s="692" t="n"/>
      <c r="S838" s="692" t="n"/>
      <c r="T838" s="692" t="n"/>
      <c r="U838" s="692" t="n"/>
      <c r="V838" s="692" t="n"/>
      <c r="W838" s="692" t="n"/>
      <c r="X838" s="692" t="n"/>
      <c r="Y838" s="692" t="n"/>
      <c r="Z838" s="692" t="n"/>
      <c r="AA838" s="692" t="n"/>
      <c r="AB838" s="692" t="n"/>
      <c r="AC838" s="692" t="n"/>
      <c r="AD838" s="692" t="n"/>
      <c r="AF838" s="236" t="n"/>
      <c r="AG838" s="236" t="n"/>
      <c r="AH838" s="236" t="n"/>
      <c r="AI838" s="236" t="n"/>
      <c r="AJ838" s="236" t="n"/>
      <c r="AK838" s="236" t="n"/>
      <c r="AL838" s="236" t="n"/>
      <c r="AM838" s="236" t="n"/>
      <c r="AN838" s="236" t="n"/>
      <c r="AO838" s="236" t="n"/>
      <c r="AP838" s="236" t="n"/>
      <c r="AQ838" s="236" t="n"/>
      <c r="AR838" s="236" t="n"/>
      <c r="AS838" s="236" t="n"/>
      <c r="AT838" s="236" t="n"/>
      <c r="AU838" s="236" t="n"/>
      <c r="AV838" s="236" t="n"/>
      <c r="AW838" s="236" t="n"/>
      <c r="AX838" s="692" t="n"/>
      <c r="AY838" s="692" t="n"/>
      <c r="AZ838" s="692" t="n"/>
      <c r="BA838" s="692" t="n"/>
      <c r="BB838" s="692" t="n"/>
      <c r="BC838" s="692" t="n"/>
      <c r="BD838" s="692" t="n"/>
      <c r="BE838" s="692" t="n"/>
      <c r="BF838" s="692" t="n"/>
      <c r="BG838" s="692" t="n"/>
      <c r="BH838" s="692" t="n"/>
      <c r="BI838" s="692" t="n"/>
      <c r="BJ838" s="692" t="n"/>
      <c r="BK838" s="692" t="n"/>
      <c r="BL838" s="692" t="n"/>
      <c r="BM838" s="692" t="n"/>
      <c r="BN838" s="692" t="n"/>
      <c r="BO838" s="692" t="n"/>
      <c r="BP838" s="692" t="n"/>
      <c r="BQ838" s="692" t="n"/>
    </row>
    <row r="839">
      <c r="A839" s="220" t="n"/>
      <c r="B839" s="211" t="n"/>
      <c r="C839" s="211" t="n"/>
      <c r="D839" s="211" t="n"/>
      <c r="E839" s="221" t="n"/>
      <c r="F839" s="211" t="n"/>
      <c r="G839" s="211" t="n"/>
      <c r="H839" s="211" t="n"/>
      <c r="I839" s="211" t="n"/>
      <c r="J839" s="211" t="n"/>
      <c r="K839" s="211" t="n"/>
      <c r="L839" s="213" t="n"/>
      <c r="M839" s="692" t="n"/>
      <c r="N839" s="692" t="n"/>
      <c r="O839" s="692" t="n"/>
      <c r="P839" s="261" t="n"/>
      <c r="Q839" s="692" t="n"/>
      <c r="R839" s="692" t="n"/>
      <c r="S839" s="692" t="n"/>
      <c r="T839" s="692" t="n"/>
      <c r="U839" s="692" t="n"/>
      <c r="V839" s="692" t="n"/>
      <c r="W839" s="692" t="n"/>
      <c r="X839" s="692" t="n"/>
      <c r="Y839" s="692" t="n"/>
      <c r="Z839" s="692" t="n"/>
      <c r="AA839" s="692" t="n"/>
      <c r="AB839" s="692" t="n"/>
      <c r="AC839" s="692" t="n"/>
      <c r="AD839" s="692" t="n"/>
      <c r="AF839" s="236" t="n"/>
      <c r="AG839" s="236" t="n"/>
      <c r="AH839" s="236" t="n"/>
      <c r="AI839" s="236" t="n"/>
      <c r="AJ839" s="236" t="n"/>
      <c r="AK839" s="236" t="n"/>
      <c r="AL839" s="236" t="n"/>
      <c r="AM839" s="236" t="n"/>
      <c r="AN839" s="236" t="n"/>
      <c r="AO839" s="236" t="n"/>
      <c r="AP839" s="236" t="n"/>
      <c r="AQ839" s="236" t="n"/>
      <c r="AR839" s="236" t="n"/>
      <c r="AS839" s="236" t="n"/>
      <c r="AT839" s="236" t="n"/>
      <c r="AU839" s="236" t="n"/>
      <c r="AV839" s="236" t="n"/>
      <c r="AW839" s="236" t="n"/>
      <c r="AX839" s="692" t="n"/>
      <c r="AY839" s="692" t="n"/>
      <c r="AZ839" s="692" t="n"/>
      <c r="BA839" s="692" t="n"/>
      <c r="BB839" s="692" t="n"/>
      <c r="BC839" s="692" t="n"/>
      <c r="BD839" s="692" t="n"/>
      <c r="BE839" s="692" t="n"/>
      <c r="BF839" s="692" t="n"/>
      <c r="BG839" s="692" t="n"/>
      <c r="BH839" s="692" t="n"/>
      <c r="BI839" s="692" t="n"/>
      <c r="BJ839" s="692" t="n"/>
      <c r="BK839" s="692" t="n"/>
      <c r="BL839" s="692" t="n"/>
      <c r="BM839" s="692" t="n"/>
      <c r="BN839" s="692" t="n"/>
      <c r="BO839" s="692" t="n"/>
      <c r="BP839" s="692" t="n"/>
      <c r="BQ839" s="692" t="n"/>
    </row>
    <row r="840">
      <c r="A840" s="218" t="n"/>
      <c r="B840" s="215" t="n"/>
      <c r="C840" s="215" t="n"/>
      <c r="D840" s="215" t="n"/>
      <c r="E840" s="219" t="n"/>
      <c r="F840" s="215" t="n"/>
      <c r="G840" s="215" t="n"/>
      <c r="H840" s="215" t="n"/>
      <c r="I840" s="215" t="n"/>
      <c r="J840" s="215" t="n"/>
      <c r="K840" s="215" t="n"/>
      <c r="L840" s="217" t="n"/>
      <c r="M840" s="692" t="n"/>
      <c r="N840" s="692" t="n"/>
      <c r="O840" s="692" t="n"/>
      <c r="P840" s="261" t="n"/>
      <c r="Q840" s="692" t="n"/>
      <c r="R840" s="692" t="n"/>
      <c r="S840" s="692" t="n"/>
      <c r="T840" s="692" t="n"/>
      <c r="U840" s="692" t="n"/>
      <c r="V840" s="692" t="n"/>
      <c r="W840" s="692" t="n"/>
      <c r="X840" s="692" t="n"/>
      <c r="Y840" s="692" t="n"/>
      <c r="Z840" s="692" t="n"/>
      <c r="AA840" s="692" t="n"/>
      <c r="AB840" s="692" t="n"/>
      <c r="AC840" s="692" t="n"/>
      <c r="AD840" s="692" t="n"/>
      <c r="AF840" s="236" t="n"/>
      <c r="AG840" s="236" t="n"/>
      <c r="AH840" s="236" t="n"/>
      <c r="AI840" s="236" t="n"/>
      <c r="AJ840" s="236" t="n"/>
      <c r="AK840" s="236" t="n"/>
      <c r="AL840" s="236" t="n"/>
      <c r="AM840" s="236" t="n"/>
      <c r="AN840" s="236" t="n"/>
      <c r="AO840" s="236" t="n"/>
      <c r="AP840" s="236" t="n"/>
      <c r="AQ840" s="236" t="n"/>
      <c r="AR840" s="236" t="n"/>
      <c r="AS840" s="236" t="n"/>
      <c r="AT840" s="236" t="n"/>
      <c r="AU840" s="236" t="n"/>
      <c r="AV840" s="236" t="n"/>
      <c r="AW840" s="236" t="n"/>
      <c r="AX840" s="692" t="n"/>
      <c r="AY840" s="692" t="n"/>
      <c r="AZ840" s="692" t="n"/>
      <c r="BA840" s="692" t="n"/>
      <c r="BB840" s="692" t="n"/>
      <c r="BC840" s="692" t="n"/>
      <c r="BD840" s="692" t="n"/>
      <c r="BE840" s="692" t="n"/>
      <c r="BF840" s="692" t="n"/>
      <c r="BG840" s="692" t="n"/>
      <c r="BH840" s="692" t="n"/>
      <c r="BI840" s="692" t="n"/>
      <c r="BJ840" s="692" t="n"/>
      <c r="BK840" s="692" t="n"/>
      <c r="BL840" s="692" t="n"/>
      <c r="BM840" s="692" t="n"/>
      <c r="BN840" s="692" t="n"/>
      <c r="BO840" s="692" t="n"/>
      <c r="BP840" s="692" t="n"/>
      <c r="BQ840" s="692" t="n"/>
    </row>
    <row r="841">
      <c r="A841" s="220" t="n"/>
      <c r="B841" s="211" t="n"/>
      <c r="C841" s="211" t="n"/>
      <c r="D841" s="211" t="n"/>
      <c r="E841" s="221" t="n"/>
      <c r="F841" s="211" t="n"/>
      <c r="G841" s="211" t="n"/>
      <c r="H841" s="211" t="n"/>
      <c r="I841" s="211" t="n"/>
      <c r="J841" s="211" t="n"/>
      <c r="K841" s="211" t="n"/>
      <c r="L841" s="213" t="n"/>
      <c r="M841" s="692" t="n"/>
      <c r="N841" s="692" t="n"/>
      <c r="O841" s="692" t="n"/>
      <c r="P841" s="261" t="n"/>
      <c r="Q841" s="692" t="n"/>
      <c r="R841" s="692" t="n"/>
      <c r="S841" s="692" t="n"/>
      <c r="T841" s="692" t="n"/>
      <c r="U841" s="692" t="n"/>
      <c r="V841" s="692" t="n"/>
      <c r="W841" s="692" t="n"/>
      <c r="X841" s="692" t="n"/>
      <c r="Y841" s="692" t="n"/>
      <c r="Z841" s="692" t="n"/>
      <c r="AA841" s="692" t="n"/>
      <c r="AB841" s="692" t="n"/>
      <c r="AC841" s="692" t="n"/>
      <c r="AD841" s="692" t="n"/>
      <c r="AF841" s="236" t="n"/>
      <c r="AG841" s="236" t="n"/>
      <c r="AH841" s="236" t="n"/>
      <c r="AI841" s="236" t="n"/>
      <c r="AJ841" s="236" t="n"/>
      <c r="AK841" s="236" t="n"/>
      <c r="AL841" s="236" t="n"/>
      <c r="AM841" s="236" t="n"/>
      <c r="AN841" s="236" t="n"/>
      <c r="AO841" s="236" t="n"/>
      <c r="AP841" s="236" t="n"/>
      <c r="AQ841" s="236" t="n"/>
      <c r="AR841" s="236" t="n"/>
      <c r="AS841" s="236" t="n"/>
      <c r="AT841" s="236" t="n"/>
      <c r="AU841" s="236" t="n"/>
      <c r="AV841" s="236" t="n"/>
      <c r="AW841" s="236" t="n"/>
      <c r="AX841" s="692" t="n"/>
      <c r="AY841" s="692" t="n"/>
      <c r="AZ841" s="692" t="n"/>
      <c r="BA841" s="692" t="n"/>
      <c r="BB841" s="692" t="n"/>
      <c r="BC841" s="692" t="n"/>
      <c r="BD841" s="692" t="n"/>
      <c r="BE841" s="692" t="n"/>
      <c r="BF841" s="692" t="n"/>
      <c r="BG841" s="692" t="n"/>
      <c r="BH841" s="692" t="n"/>
      <c r="BI841" s="692" t="n"/>
      <c r="BJ841" s="692" t="n"/>
      <c r="BK841" s="692" t="n"/>
      <c r="BL841" s="692" t="n"/>
      <c r="BM841" s="692" t="n"/>
      <c r="BN841" s="692" t="n"/>
      <c r="BO841" s="692" t="n"/>
      <c r="BP841" s="692" t="n"/>
      <c r="BQ841" s="692" t="n"/>
    </row>
    <row r="842">
      <c r="A842" s="218" t="n"/>
      <c r="B842" s="215" t="n"/>
      <c r="C842" s="215" t="n"/>
      <c r="D842" s="215" t="n"/>
      <c r="E842" s="219" t="n"/>
      <c r="F842" s="215" t="n"/>
      <c r="G842" s="215" t="n"/>
      <c r="H842" s="215" t="n"/>
      <c r="I842" s="215" t="n"/>
      <c r="J842" s="215" t="n"/>
      <c r="K842" s="215" t="n"/>
      <c r="L842" s="217" t="n"/>
      <c r="M842" s="692" t="n"/>
      <c r="N842" s="692" t="n"/>
      <c r="O842" s="692" t="n"/>
      <c r="P842" s="261" t="n"/>
      <c r="Q842" s="692" t="n"/>
      <c r="R842" s="692" t="n"/>
      <c r="S842" s="692" t="n"/>
      <c r="T842" s="692" t="n"/>
      <c r="U842" s="692" t="n"/>
      <c r="V842" s="692" t="n"/>
      <c r="W842" s="692" t="n"/>
      <c r="X842" s="692" t="n"/>
      <c r="Y842" s="692" t="n"/>
      <c r="Z842" s="692" t="n"/>
      <c r="AA842" s="692" t="n"/>
      <c r="AB842" s="692" t="n"/>
      <c r="AC842" s="692" t="n"/>
      <c r="AD842" s="692" t="n"/>
      <c r="AF842" s="236" t="n"/>
      <c r="AG842" s="236" t="n"/>
      <c r="AH842" s="236" t="n"/>
      <c r="AI842" s="236" t="n"/>
      <c r="AJ842" s="236" t="n"/>
      <c r="AK842" s="236" t="n"/>
      <c r="AL842" s="236" t="n"/>
      <c r="AM842" s="236" t="n"/>
      <c r="AN842" s="236" t="n"/>
      <c r="AO842" s="236" t="n"/>
      <c r="AP842" s="236" t="n"/>
      <c r="AQ842" s="236" t="n"/>
      <c r="AR842" s="236" t="n"/>
      <c r="AS842" s="236" t="n"/>
      <c r="AT842" s="236" t="n"/>
      <c r="AU842" s="236" t="n"/>
      <c r="AV842" s="236" t="n"/>
      <c r="AW842" s="236" t="n"/>
      <c r="AX842" s="692" t="n"/>
      <c r="AY842" s="692" t="n"/>
      <c r="AZ842" s="692" t="n"/>
      <c r="BA842" s="692" t="n"/>
      <c r="BB842" s="692" t="n"/>
      <c r="BC842" s="692" t="n"/>
      <c r="BD842" s="692" t="n"/>
      <c r="BE842" s="692" t="n"/>
      <c r="BF842" s="692" t="n"/>
      <c r="BG842" s="692" t="n"/>
      <c r="BH842" s="692" t="n"/>
      <c r="BI842" s="692" t="n"/>
      <c r="BJ842" s="692" t="n"/>
      <c r="BK842" s="692" t="n"/>
      <c r="BL842" s="692" t="n"/>
      <c r="BM842" s="692" t="n"/>
      <c r="BN842" s="692" t="n"/>
      <c r="BO842" s="692" t="n"/>
      <c r="BP842" s="692" t="n"/>
      <c r="BQ842" s="692" t="n"/>
    </row>
    <row r="843">
      <c r="A843" s="220" t="n"/>
      <c r="B843" s="211" t="n"/>
      <c r="C843" s="211" t="n"/>
      <c r="D843" s="211" t="n"/>
      <c r="E843" s="221" t="n"/>
      <c r="F843" s="211" t="n"/>
      <c r="G843" s="211" t="n"/>
      <c r="H843" s="211" t="n"/>
      <c r="I843" s="211" t="n"/>
      <c r="J843" s="211" t="n"/>
      <c r="K843" s="211" t="n"/>
      <c r="L843" s="213" t="n"/>
      <c r="M843" s="692" t="n"/>
      <c r="N843" s="692" t="n"/>
      <c r="O843" s="692" t="n"/>
      <c r="P843" s="261" t="n"/>
      <c r="Q843" s="692" t="n"/>
      <c r="R843" s="692" t="n"/>
      <c r="S843" s="692" t="n"/>
      <c r="T843" s="692" t="n"/>
      <c r="U843" s="692" t="n"/>
      <c r="V843" s="692" t="n"/>
      <c r="W843" s="692" t="n"/>
      <c r="X843" s="692" t="n"/>
      <c r="Y843" s="692" t="n"/>
      <c r="Z843" s="692" t="n"/>
      <c r="AA843" s="692" t="n"/>
      <c r="AB843" s="692" t="n"/>
      <c r="AC843" s="692" t="n"/>
      <c r="AD843" s="692" t="n"/>
      <c r="AF843" s="236" t="n"/>
      <c r="AG843" s="236" t="n"/>
      <c r="AH843" s="236" t="n"/>
      <c r="AI843" s="236" t="n"/>
      <c r="AJ843" s="236" t="n"/>
      <c r="AK843" s="236" t="n"/>
      <c r="AL843" s="236" t="n"/>
      <c r="AM843" s="236" t="n"/>
      <c r="AN843" s="236" t="n"/>
      <c r="AO843" s="236" t="n"/>
      <c r="AP843" s="236" t="n"/>
      <c r="AQ843" s="236" t="n"/>
      <c r="AR843" s="236" t="n"/>
      <c r="AS843" s="236" t="n"/>
      <c r="AT843" s="236" t="n"/>
      <c r="AU843" s="236" t="n"/>
      <c r="AV843" s="236" t="n"/>
      <c r="AW843" s="236" t="n"/>
      <c r="AX843" s="692" t="n"/>
      <c r="AY843" s="692" t="n"/>
      <c r="AZ843" s="692" t="n"/>
      <c r="BA843" s="692" t="n"/>
      <c r="BB843" s="692" t="n"/>
      <c r="BC843" s="692" t="n"/>
      <c r="BD843" s="692" t="n"/>
      <c r="BE843" s="692" t="n"/>
      <c r="BF843" s="692" t="n"/>
      <c r="BG843" s="692" t="n"/>
      <c r="BH843" s="692" t="n"/>
      <c r="BI843" s="692" t="n"/>
      <c r="BJ843" s="692" t="n"/>
      <c r="BK843" s="692" t="n"/>
      <c r="BL843" s="692" t="n"/>
      <c r="BM843" s="692" t="n"/>
      <c r="BN843" s="692" t="n"/>
      <c r="BO843" s="692" t="n"/>
      <c r="BP843" s="692" t="n"/>
      <c r="BQ843" s="692" t="n"/>
    </row>
    <row r="844">
      <c r="A844" s="218" t="n"/>
      <c r="B844" s="215" t="n"/>
      <c r="C844" s="215" t="n"/>
      <c r="D844" s="215" t="n"/>
      <c r="E844" s="219" t="n"/>
      <c r="F844" s="215" t="n"/>
      <c r="G844" s="215" t="n"/>
      <c r="H844" s="215" t="n"/>
      <c r="I844" s="215" t="n"/>
      <c r="J844" s="215" t="n"/>
      <c r="K844" s="215" t="n"/>
      <c r="L844" s="217" t="n"/>
      <c r="M844" s="692" t="n"/>
      <c r="N844" s="692" t="n"/>
      <c r="O844" s="692" t="n"/>
      <c r="P844" s="261" t="n"/>
      <c r="Q844" s="692" t="n"/>
      <c r="R844" s="692" t="n"/>
      <c r="S844" s="692" t="n"/>
      <c r="T844" s="692" t="n"/>
      <c r="U844" s="692" t="n"/>
      <c r="V844" s="692" t="n"/>
      <c r="W844" s="692" t="n"/>
      <c r="X844" s="692" t="n"/>
      <c r="Y844" s="692" t="n"/>
      <c r="Z844" s="692" t="n"/>
      <c r="AA844" s="692" t="n"/>
      <c r="AB844" s="692" t="n"/>
      <c r="AC844" s="692" t="n"/>
      <c r="AD844" s="692" t="n"/>
      <c r="AF844" s="236" t="n"/>
      <c r="AG844" s="236" t="n"/>
      <c r="AH844" s="236" t="n"/>
      <c r="AI844" s="236" t="n"/>
      <c r="AJ844" s="236" t="n"/>
      <c r="AK844" s="236" t="n"/>
      <c r="AL844" s="236" t="n"/>
      <c r="AM844" s="236" t="n"/>
      <c r="AN844" s="236" t="n"/>
      <c r="AO844" s="236" t="n"/>
      <c r="AP844" s="236" t="n"/>
      <c r="AQ844" s="236" t="n"/>
      <c r="AR844" s="236" t="n"/>
      <c r="AS844" s="236" t="n"/>
      <c r="AT844" s="236" t="n"/>
      <c r="AU844" s="236" t="n"/>
      <c r="AV844" s="236" t="n"/>
      <c r="AW844" s="236" t="n"/>
      <c r="AX844" s="692" t="n"/>
      <c r="AY844" s="692" t="n"/>
      <c r="AZ844" s="692" t="n"/>
      <c r="BA844" s="692" t="n"/>
      <c r="BB844" s="692" t="n"/>
      <c r="BC844" s="692" t="n"/>
      <c r="BD844" s="692" t="n"/>
      <c r="BE844" s="692" t="n"/>
      <c r="BF844" s="692" t="n"/>
      <c r="BG844" s="692" t="n"/>
      <c r="BH844" s="692" t="n"/>
      <c r="BI844" s="692" t="n"/>
      <c r="BJ844" s="692" t="n"/>
      <c r="BK844" s="692" t="n"/>
      <c r="BL844" s="692" t="n"/>
      <c r="BM844" s="692" t="n"/>
      <c r="BN844" s="692" t="n"/>
      <c r="BO844" s="692" t="n"/>
      <c r="BP844" s="692" t="n"/>
      <c r="BQ844" s="692" t="n"/>
    </row>
    <row r="845">
      <c r="A845" s="220" t="n"/>
      <c r="B845" s="211" t="n"/>
      <c r="C845" s="211" t="n"/>
      <c r="D845" s="211" t="n"/>
      <c r="E845" s="221" t="n"/>
      <c r="F845" s="211" t="n"/>
      <c r="G845" s="211" t="n"/>
      <c r="H845" s="211" t="n"/>
      <c r="I845" s="211" t="n"/>
      <c r="J845" s="211" t="n"/>
      <c r="K845" s="211" t="n"/>
      <c r="L845" s="213" t="n"/>
      <c r="M845" s="692" t="n"/>
      <c r="N845" s="692" t="n"/>
      <c r="O845" s="692" t="n"/>
      <c r="P845" s="261" t="n"/>
      <c r="Q845" s="692" t="n"/>
      <c r="R845" s="692" t="n"/>
      <c r="S845" s="692" t="n"/>
      <c r="T845" s="692" t="n"/>
      <c r="U845" s="692" t="n"/>
      <c r="V845" s="692" t="n"/>
      <c r="W845" s="692" t="n"/>
      <c r="X845" s="692" t="n"/>
      <c r="Y845" s="692" t="n"/>
      <c r="Z845" s="692" t="n"/>
      <c r="AA845" s="692" t="n"/>
      <c r="AB845" s="692" t="n"/>
      <c r="AC845" s="692" t="n"/>
      <c r="AD845" s="692" t="n"/>
      <c r="AF845" s="236" t="n"/>
      <c r="AG845" s="236" t="n"/>
      <c r="AH845" s="236" t="n"/>
      <c r="AI845" s="236" t="n"/>
      <c r="AJ845" s="236" t="n"/>
      <c r="AK845" s="236" t="n"/>
      <c r="AL845" s="236" t="n"/>
      <c r="AM845" s="236" t="n"/>
      <c r="AN845" s="236" t="n"/>
      <c r="AO845" s="236" t="n"/>
      <c r="AP845" s="236" t="n"/>
      <c r="AQ845" s="236" t="n"/>
      <c r="AR845" s="236" t="n"/>
      <c r="AS845" s="236" t="n"/>
      <c r="AT845" s="236" t="n"/>
      <c r="AU845" s="236" t="n"/>
      <c r="AV845" s="236" t="n"/>
      <c r="AW845" s="236" t="n"/>
      <c r="AX845" s="692" t="n"/>
      <c r="AY845" s="692" t="n"/>
      <c r="AZ845" s="692" t="n"/>
      <c r="BA845" s="692" t="n"/>
      <c r="BB845" s="692" t="n"/>
      <c r="BC845" s="692" t="n"/>
      <c r="BD845" s="692" t="n"/>
      <c r="BE845" s="692" t="n"/>
      <c r="BF845" s="692" t="n"/>
      <c r="BG845" s="692" t="n"/>
      <c r="BH845" s="692" t="n"/>
      <c r="BI845" s="692" t="n"/>
      <c r="BJ845" s="692" t="n"/>
      <c r="BK845" s="692" t="n"/>
      <c r="BL845" s="692" t="n"/>
      <c r="BM845" s="692" t="n"/>
      <c r="BN845" s="692" t="n"/>
      <c r="BO845" s="692" t="n"/>
      <c r="BP845" s="692" t="n"/>
      <c r="BQ845" s="692" t="n"/>
    </row>
    <row r="846">
      <c r="A846" s="218" t="n"/>
      <c r="B846" s="215" t="n"/>
      <c r="C846" s="215" t="n"/>
      <c r="D846" s="215" t="n"/>
      <c r="E846" s="219" t="n"/>
      <c r="F846" s="215" t="n"/>
      <c r="G846" s="215" t="n"/>
      <c r="H846" s="215" t="n"/>
      <c r="I846" s="215" t="n"/>
      <c r="J846" s="215" t="n"/>
      <c r="K846" s="215" t="n"/>
      <c r="L846" s="217" t="n"/>
      <c r="M846" s="692" t="n"/>
      <c r="N846" s="692" t="n"/>
      <c r="O846" s="692" t="n"/>
      <c r="P846" s="261" t="n"/>
      <c r="Q846" s="692" t="n"/>
      <c r="R846" s="692" t="n"/>
      <c r="S846" s="692" t="n"/>
      <c r="T846" s="692" t="n"/>
      <c r="U846" s="692" t="n"/>
      <c r="V846" s="692" t="n"/>
      <c r="W846" s="692" t="n"/>
      <c r="X846" s="692" t="n"/>
      <c r="Y846" s="692" t="n"/>
      <c r="Z846" s="692" t="n"/>
      <c r="AA846" s="692" t="n"/>
      <c r="AB846" s="692" t="n"/>
      <c r="AC846" s="692" t="n"/>
      <c r="AD846" s="692" t="n"/>
      <c r="AF846" s="236" t="n"/>
      <c r="AG846" s="236" t="n"/>
      <c r="AH846" s="236" t="n"/>
      <c r="AI846" s="236" t="n"/>
      <c r="AJ846" s="236" t="n"/>
      <c r="AK846" s="236" t="n"/>
      <c r="AL846" s="236" t="n"/>
      <c r="AM846" s="236" t="n"/>
      <c r="AN846" s="236" t="n"/>
      <c r="AO846" s="236" t="n"/>
      <c r="AP846" s="236" t="n"/>
      <c r="AQ846" s="236" t="n"/>
      <c r="AR846" s="236" t="n"/>
      <c r="AS846" s="236" t="n"/>
      <c r="AT846" s="236" t="n"/>
      <c r="AU846" s="236" t="n"/>
      <c r="AV846" s="236" t="n"/>
      <c r="AW846" s="236" t="n"/>
      <c r="AX846" s="692" t="n"/>
      <c r="AY846" s="692" t="n"/>
      <c r="AZ846" s="692" t="n"/>
      <c r="BA846" s="692" t="n"/>
      <c r="BB846" s="692" t="n"/>
      <c r="BC846" s="692" t="n"/>
      <c r="BD846" s="692" t="n"/>
      <c r="BE846" s="692" t="n"/>
      <c r="BF846" s="692" t="n"/>
      <c r="BG846" s="692" t="n"/>
      <c r="BH846" s="692" t="n"/>
      <c r="BI846" s="692" t="n"/>
      <c r="BJ846" s="692" t="n"/>
      <c r="BK846" s="692" t="n"/>
      <c r="BL846" s="692" t="n"/>
      <c r="BM846" s="692" t="n"/>
      <c r="BN846" s="692" t="n"/>
      <c r="BO846" s="692" t="n"/>
      <c r="BP846" s="692" t="n"/>
      <c r="BQ846" s="692" t="n"/>
    </row>
    <row r="847">
      <c r="A847" s="220" t="n"/>
      <c r="B847" s="211" t="n"/>
      <c r="C847" s="211" t="n"/>
      <c r="D847" s="211" t="n"/>
      <c r="E847" s="221" t="n"/>
      <c r="F847" s="211" t="n"/>
      <c r="G847" s="211" t="n"/>
      <c r="H847" s="211" t="n"/>
      <c r="I847" s="211" t="n"/>
      <c r="J847" s="211" t="n"/>
      <c r="K847" s="211" t="n"/>
      <c r="L847" s="213" t="n"/>
      <c r="M847" s="692" t="n"/>
      <c r="N847" s="692" t="n"/>
      <c r="O847" s="692" t="n"/>
      <c r="P847" s="261" t="n"/>
      <c r="Q847" s="692" t="n"/>
      <c r="R847" s="692" t="n"/>
      <c r="S847" s="692" t="n"/>
      <c r="T847" s="692" t="n"/>
      <c r="U847" s="692" t="n"/>
      <c r="V847" s="692" t="n"/>
      <c r="W847" s="692" t="n"/>
      <c r="X847" s="692" t="n"/>
      <c r="Y847" s="692" t="n"/>
      <c r="Z847" s="692" t="n"/>
      <c r="AA847" s="692" t="n"/>
      <c r="AB847" s="692" t="n"/>
      <c r="AC847" s="692" t="n"/>
      <c r="AD847" s="692" t="n"/>
      <c r="AF847" s="236" t="n"/>
      <c r="AG847" s="236" t="n"/>
      <c r="AH847" s="236" t="n"/>
      <c r="AI847" s="236" t="n"/>
      <c r="AJ847" s="236" t="n"/>
      <c r="AK847" s="236" t="n"/>
      <c r="AL847" s="236" t="n"/>
      <c r="AM847" s="236" t="n"/>
      <c r="AN847" s="236" t="n"/>
      <c r="AO847" s="236" t="n"/>
      <c r="AP847" s="236" t="n"/>
      <c r="AQ847" s="236" t="n"/>
      <c r="AR847" s="236" t="n"/>
      <c r="AS847" s="236" t="n"/>
      <c r="AT847" s="236" t="n"/>
      <c r="AU847" s="236" t="n"/>
      <c r="AV847" s="236" t="n"/>
      <c r="AW847" s="236" t="n"/>
      <c r="AX847" s="692" t="n"/>
      <c r="AY847" s="692" t="n"/>
      <c r="AZ847" s="692" t="n"/>
      <c r="BA847" s="692" t="n"/>
      <c r="BB847" s="692" t="n"/>
      <c r="BC847" s="692" t="n"/>
      <c r="BD847" s="692" t="n"/>
      <c r="BE847" s="692" t="n"/>
      <c r="BF847" s="692" t="n"/>
      <c r="BG847" s="692" t="n"/>
      <c r="BH847" s="692" t="n"/>
      <c r="BI847" s="692" t="n"/>
      <c r="BJ847" s="692" t="n"/>
      <c r="BK847" s="692" t="n"/>
      <c r="BL847" s="692" t="n"/>
      <c r="BM847" s="692" t="n"/>
      <c r="BN847" s="692" t="n"/>
      <c r="BO847" s="692" t="n"/>
      <c r="BP847" s="692" t="n"/>
      <c r="BQ847" s="692" t="n"/>
    </row>
    <row r="848">
      <c r="A848" s="218" t="n"/>
      <c r="B848" s="215" t="n"/>
      <c r="C848" s="215" t="n"/>
      <c r="D848" s="215" t="n"/>
      <c r="E848" s="219" t="n"/>
      <c r="F848" s="215" t="n"/>
      <c r="G848" s="215" t="n"/>
      <c r="H848" s="215" t="n"/>
      <c r="I848" s="215" t="n"/>
      <c r="J848" s="215" t="n"/>
      <c r="K848" s="215" t="n"/>
      <c r="L848" s="217" t="n"/>
      <c r="M848" s="692" t="n"/>
      <c r="N848" s="692" t="n"/>
      <c r="O848" s="692" t="n"/>
      <c r="P848" s="261" t="n"/>
      <c r="Q848" s="692" t="n"/>
      <c r="R848" s="692" t="n"/>
      <c r="S848" s="692" t="n"/>
      <c r="T848" s="692" t="n"/>
      <c r="U848" s="692" t="n"/>
      <c r="V848" s="692" t="n"/>
      <c r="W848" s="692" t="n"/>
      <c r="X848" s="692" t="n"/>
      <c r="Y848" s="692" t="n"/>
      <c r="Z848" s="692" t="n"/>
      <c r="AA848" s="692" t="n"/>
      <c r="AB848" s="692" t="n"/>
      <c r="AC848" s="692" t="n"/>
      <c r="AD848" s="692" t="n"/>
      <c r="AF848" s="236" t="n"/>
      <c r="AG848" s="236" t="n"/>
      <c r="AH848" s="236" t="n"/>
      <c r="AI848" s="236" t="n"/>
      <c r="AJ848" s="236" t="n"/>
      <c r="AK848" s="236" t="n"/>
      <c r="AL848" s="236" t="n"/>
      <c r="AM848" s="236" t="n"/>
      <c r="AN848" s="236" t="n"/>
      <c r="AO848" s="236" t="n"/>
      <c r="AP848" s="236" t="n"/>
      <c r="AQ848" s="236" t="n"/>
      <c r="AR848" s="236" t="n"/>
      <c r="AS848" s="236" t="n"/>
      <c r="AT848" s="236" t="n"/>
      <c r="AU848" s="236" t="n"/>
      <c r="AV848" s="236" t="n"/>
      <c r="AW848" s="236" t="n"/>
      <c r="AX848" s="692" t="n"/>
      <c r="AY848" s="692" t="n"/>
      <c r="AZ848" s="692" t="n"/>
      <c r="BA848" s="692" t="n"/>
      <c r="BB848" s="692" t="n"/>
      <c r="BC848" s="692" t="n"/>
      <c r="BD848" s="692" t="n"/>
      <c r="BE848" s="692" t="n"/>
      <c r="BF848" s="692" t="n"/>
      <c r="BG848" s="692" t="n"/>
      <c r="BH848" s="692" t="n"/>
      <c r="BI848" s="692" t="n"/>
      <c r="BJ848" s="692" t="n"/>
      <c r="BK848" s="692" t="n"/>
      <c r="BL848" s="692" t="n"/>
      <c r="BM848" s="692" t="n"/>
      <c r="BN848" s="692" t="n"/>
      <c r="BO848" s="692" t="n"/>
      <c r="BP848" s="692" t="n"/>
      <c r="BQ848" s="692" t="n"/>
    </row>
    <row r="849">
      <c r="A849" s="220" t="n"/>
      <c r="B849" s="211" t="n"/>
      <c r="C849" s="211" t="n"/>
      <c r="D849" s="211" t="n"/>
      <c r="E849" s="221" t="n"/>
      <c r="F849" s="211" t="n"/>
      <c r="G849" s="211" t="n"/>
      <c r="H849" s="211" t="n"/>
      <c r="I849" s="211" t="n"/>
      <c r="J849" s="211" t="n"/>
      <c r="K849" s="211" t="n"/>
      <c r="L849" s="213" t="n"/>
      <c r="M849" s="692" t="n"/>
      <c r="N849" s="692" t="n"/>
      <c r="O849" s="692" t="n"/>
      <c r="P849" s="261" t="n"/>
      <c r="Q849" s="692" t="n"/>
      <c r="R849" s="692" t="n"/>
      <c r="S849" s="692" t="n"/>
      <c r="T849" s="692" t="n"/>
      <c r="U849" s="692" t="n"/>
      <c r="V849" s="692" t="n"/>
      <c r="W849" s="692" t="n"/>
      <c r="X849" s="692" t="n"/>
      <c r="Y849" s="692" t="n"/>
      <c r="Z849" s="692" t="n"/>
      <c r="AA849" s="692" t="n"/>
      <c r="AB849" s="692" t="n"/>
      <c r="AC849" s="692" t="n"/>
      <c r="AD849" s="692" t="n"/>
      <c r="AF849" s="236" t="n"/>
      <c r="AG849" s="236" t="n"/>
      <c r="AH849" s="236" t="n"/>
      <c r="AI849" s="236" t="n"/>
      <c r="AJ849" s="236" t="n"/>
      <c r="AK849" s="236" t="n"/>
      <c r="AL849" s="236" t="n"/>
      <c r="AM849" s="236" t="n"/>
      <c r="AN849" s="236" t="n"/>
      <c r="AO849" s="236" t="n"/>
      <c r="AP849" s="236" t="n"/>
      <c r="AQ849" s="236" t="n"/>
      <c r="AR849" s="236" t="n"/>
      <c r="AS849" s="236" t="n"/>
      <c r="AT849" s="236" t="n"/>
      <c r="AU849" s="236" t="n"/>
      <c r="AV849" s="236" t="n"/>
      <c r="AW849" s="236" t="n"/>
      <c r="AX849" s="692" t="n"/>
      <c r="AY849" s="692" t="n"/>
      <c r="AZ849" s="692" t="n"/>
      <c r="BA849" s="692" t="n"/>
      <c r="BB849" s="692" t="n"/>
      <c r="BC849" s="692" t="n"/>
      <c r="BD849" s="692" t="n"/>
      <c r="BE849" s="692" t="n"/>
      <c r="BF849" s="692" t="n"/>
      <c r="BG849" s="692" t="n"/>
      <c r="BH849" s="692" t="n"/>
      <c r="BI849" s="692" t="n"/>
      <c r="BJ849" s="692" t="n"/>
      <c r="BK849" s="692" t="n"/>
      <c r="BL849" s="692" t="n"/>
      <c r="BM849" s="692" t="n"/>
      <c r="BN849" s="692" t="n"/>
      <c r="BO849" s="692" t="n"/>
      <c r="BP849" s="692" t="n"/>
      <c r="BQ849" s="692" t="n"/>
    </row>
    <row r="850">
      <c r="A850" s="218" t="n"/>
      <c r="B850" s="215" t="n"/>
      <c r="C850" s="215" t="n"/>
      <c r="D850" s="215" t="n"/>
      <c r="E850" s="219" t="n"/>
      <c r="F850" s="215" t="n"/>
      <c r="G850" s="215" t="n"/>
      <c r="H850" s="215" t="n"/>
      <c r="I850" s="215" t="n"/>
      <c r="J850" s="215" t="n"/>
      <c r="K850" s="215" t="n"/>
      <c r="L850" s="217" t="n"/>
      <c r="M850" s="692" t="n"/>
      <c r="N850" s="692" t="n"/>
      <c r="O850" s="692" t="n"/>
      <c r="P850" s="261" t="n"/>
      <c r="Q850" s="692" t="n"/>
      <c r="R850" s="692" t="n"/>
      <c r="S850" s="692" t="n"/>
      <c r="T850" s="692" t="n"/>
      <c r="U850" s="692" t="n"/>
      <c r="V850" s="692" t="n"/>
      <c r="W850" s="692" t="n"/>
      <c r="X850" s="692" t="n"/>
      <c r="Y850" s="692" t="n"/>
      <c r="Z850" s="692" t="n"/>
      <c r="AA850" s="692" t="n"/>
      <c r="AB850" s="692" t="n"/>
      <c r="AC850" s="692" t="n"/>
      <c r="AD850" s="692" t="n"/>
      <c r="AF850" s="236" t="n"/>
      <c r="AG850" s="236" t="n"/>
      <c r="AH850" s="236" t="n"/>
      <c r="AI850" s="236" t="n"/>
      <c r="AJ850" s="236" t="n"/>
      <c r="AK850" s="236" t="n"/>
      <c r="AL850" s="236" t="n"/>
      <c r="AM850" s="236" t="n"/>
      <c r="AN850" s="236" t="n"/>
      <c r="AO850" s="236" t="n"/>
      <c r="AP850" s="236" t="n"/>
      <c r="AQ850" s="236" t="n"/>
      <c r="AR850" s="236" t="n"/>
      <c r="AS850" s="236" t="n"/>
      <c r="AT850" s="236" t="n"/>
      <c r="AU850" s="236" t="n"/>
      <c r="AV850" s="236" t="n"/>
      <c r="AW850" s="236" t="n"/>
      <c r="AX850" s="692" t="n"/>
      <c r="AY850" s="692" t="n"/>
      <c r="AZ850" s="692" t="n"/>
      <c r="BA850" s="692" t="n"/>
      <c r="BB850" s="692" t="n"/>
      <c r="BC850" s="692" t="n"/>
      <c r="BD850" s="692" t="n"/>
      <c r="BE850" s="692" t="n"/>
      <c r="BF850" s="692" t="n"/>
      <c r="BG850" s="692" t="n"/>
      <c r="BH850" s="692" t="n"/>
      <c r="BI850" s="692" t="n"/>
      <c r="BJ850" s="692" t="n"/>
      <c r="BK850" s="692" t="n"/>
      <c r="BL850" s="692" t="n"/>
      <c r="BM850" s="692" t="n"/>
      <c r="BN850" s="692" t="n"/>
      <c r="BO850" s="692" t="n"/>
      <c r="BP850" s="692" t="n"/>
      <c r="BQ850" s="692" t="n"/>
    </row>
    <row r="851">
      <c r="A851" s="220" t="n"/>
      <c r="B851" s="211" t="n"/>
      <c r="C851" s="211" t="n"/>
      <c r="D851" s="211" t="n"/>
      <c r="E851" s="221" t="n"/>
      <c r="F851" s="211" t="n"/>
      <c r="G851" s="211" t="n"/>
      <c r="H851" s="211" t="n"/>
      <c r="I851" s="211" t="n"/>
      <c r="J851" s="211" t="n"/>
      <c r="K851" s="211" t="n"/>
      <c r="L851" s="213" t="n"/>
      <c r="M851" s="692" t="n"/>
      <c r="N851" s="692" t="n"/>
      <c r="O851" s="692" t="n"/>
      <c r="P851" s="261" t="n"/>
      <c r="Q851" s="692" t="n"/>
      <c r="R851" s="692" t="n"/>
      <c r="S851" s="692" t="n"/>
      <c r="T851" s="692" t="n"/>
      <c r="U851" s="692" t="n"/>
      <c r="V851" s="692" t="n"/>
      <c r="W851" s="692" t="n"/>
      <c r="X851" s="692" t="n"/>
      <c r="Y851" s="692" t="n"/>
      <c r="Z851" s="692" t="n"/>
      <c r="AA851" s="692" t="n"/>
      <c r="AB851" s="692" t="n"/>
      <c r="AC851" s="692" t="n"/>
      <c r="AD851" s="692" t="n"/>
      <c r="AF851" s="236" t="n"/>
      <c r="AG851" s="236" t="n"/>
      <c r="AH851" s="236" t="n"/>
      <c r="AI851" s="236" t="n"/>
      <c r="AJ851" s="236" t="n"/>
      <c r="AK851" s="236" t="n"/>
      <c r="AL851" s="236" t="n"/>
      <c r="AM851" s="236" t="n"/>
      <c r="AN851" s="236" t="n"/>
      <c r="AO851" s="236" t="n"/>
      <c r="AP851" s="236" t="n"/>
      <c r="AQ851" s="236" t="n"/>
      <c r="AR851" s="236" t="n"/>
      <c r="AS851" s="236" t="n"/>
      <c r="AT851" s="236" t="n"/>
      <c r="AU851" s="236" t="n"/>
      <c r="AV851" s="236" t="n"/>
      <c r="AW851" s="236" t="n"/>
      <c r="AX851" s="692" t="n"/>
      <c r="AY851" s="692" t="n"/>
      <c r="AZ851" s="692" t="n"/>
      <c r="BA851" s="692" t="n"/>
      <c r="BB851" s="692" t="n"/>
      <c r="BC851" s="692" t="n"/>
      <c r="BD851" s="692" t="n"/>
      <c r="BE851" s="692" t="n"/>
      <c r="BF851" s="692" t="n"/>
      <c r="BG851" s="692" t="n"/>
      <c r="BH851" s="692" t="n"/>
      <c r="BI851" s="692" t="n"/>
      <c r="BJ851" s="692" t="n"/>
      <c r="BK851" s="692" t="n"/>
      <c r="BL851" s="692" t="n"/>
      <c r="BM851" s="692" t="n"/>
      <c r="BN851" s="692" t="n"/>
      <c r="BO851" s="692" t="n"/>
      <c r="BP851" s="692" t="n"/>
      <c r="BQ851" s="692" t="n"/>
    </row>
    <row r="852">
      <c r="A852" s="218" t="n"/>
      <c r="B852" s="215" t="n"/>
      <c r="C852" s="215" t="n"/>
      <c r="D852" s="215" t="n"/>
      <c r="E852" s="219" t="n"/>
      <c r="F852" s="215" t="n"/>
      <c r="G852" s="215" t="n"/>
      <c r="H852" s="215" t="n"/>
      <c r="I852" s="215" t="n"/>
      <c r="J852" s="215" t="n"/>
      <c r="K852" s="215" t="n"/>
      <c r="L852" s="217" t="n"/>
      <c r="M852" s="692" t="n"/>
      <c r="N852" s="692" t="n"/>
      <c r="O852" s="692" t="n"/>
      <c r="P852" s="261" t="n"/>
      <c r="Q852" s="692" t="n"/>
      <c r="R852" s="692" t="n"/>
      <c r="S852" s="692" t="n"/>
      <c r="T852" s="692" t="n"/>
      <c r="U852" s="692" t="n"/>
      <c r="V852" s="692" t="n"/>
      <c r="W852" s="692" t="n"/>
      <c r="X852" s="692" t="n"/>
      <c r="Y852" s="692" t="n"/>
      <c r="Z852" s="692" t="n"/>
      <c r="AA852" s="692" t="n"/>
      <c r="AB852" s="692" t="n"/>
      <c r="AC852" s="692" t="n"/>
      <c r="AD852" s="692" t="n"/>
      <c r="AF852" s="236" t="n"/>
      <c r="AG852" s="236" t="n"/>
      <c r="AH852" s="236" t="n"/>
      <c r="AI852" s="236" t="n"/>
      <c r="AJ852" s="236" t="n"/>
      <c r="AK852" s="236" t="n"/>
      <c r="AL852" s="236" t="n"/>
      <c r="AM852" s="236" t="n"/>
      <c r="AN852" s="236" t="n"/>
      <c r="AO852" s="236" t="n"/>
      <c r="AP852" s="236" t="n"/>
      <c r="AQ852" s="236" t="n"/>
      <c r="AR852" s="236" t="n"/>
      <c r="AS852" s="236" t="n"/>
      <c r="AT852" s="236" t="n"/>
      <c r="AU852" s="236" t="n"/>
      <c r="AV852" s="236" t="n"/>
      <c r="AW852" s="236" t="n"/>
      <c r="AX852" s="692" t="n"/>
      <c r="AY852" s="692" t="n"/>
      <c r="AZ852" s="692" t="n"/>
      <c r="BA852" s="692" t="n"/>
      <c r="BB852" s="692" t="n"/>
      <c r="BC852" s="692" t="n"/>
      <c r="BD852" s="692" t="n"/>
      <c r="BE852" s="692" t="n"/>
      <c r="BF852" s="692" t="n"/>
      <c r="BG852" s="692" t="n"/>
      <c r="BH852" s="692" t="n"/>
      <c r="BI852" s="692" t="n"/>
      <c r="BJ852" s="692" t="n"/>
      <c r="BK852" s="692" t="n"/>
      <c r="BL852" s="692" t="n"/>
      <c r="BM852" s="692" t="n"/>
      <c r="BN852" s="692" t="n"/>
      <c r="BO852" s="692" t="n"/>
      <c r="BP852" s="692" t="n"/>
      <c r="BQ852" s="692" t="n"/>
    </row>
    <row r="853">
      <c r="A853" s="220" t="n"/>
      <c r="B853" s="211" t="n"/>
      <c r="C853" s="211" t="n"/>
      <c r="D853" s="211" t="n"/>
      <c r="E853" s="221" t="n"/>
      <c r="F853" s="211" t="n"/>
      <c r="G853" s="211" t="n"/>
      <c r="H853" s="211" t="n"/>
      <c r="I853" s="211" t="n"/>
      <c r="J853" s="211" t="n"/>
      <c r="K853" s="211" t="n"/>
      <c r="L853" s="213" t="n"/>
      <c r="M853" s="692" t="n"/>
      <c r="N853" s="692" t="n"/>
      <c r="O853" s="692" t="n"/>
      <c r="P853" s="261" t="n"/>
      <c r="Q853" s="692" t="n"/>
      <c r="R853" s="692" t="n"/>
      <c r="S853" s="692" t="n"/>
      <c r="T853" s="692" t="n"/>
      <c r="U853" s="692" t="n"/>
      <c r="V853" s="692" t="n"/>
      <c r="W853" s="692" t="n"/>
      <c r="X853" s="692" t="n"/>
      <c r="Y853" s="692" t="n"/>
      <c r="Z853" s="692" t="n"/>
      <c r="AA853" s="692" t="n"/>
      <c r="AB853" s="692" t="n"/>
      <c r="AC853" s="692" t="n"/>
      <c r="AD853" s="692" t="n"/>
      <c r="AF853" s="236" t="n"/>
      <c r="AG853" s="236" t="n"/>
      <c r="AH853" s="236" t="n"/>
      <c r="AI853" s="236" t="n"/>
      <c r="AJ853" s="236" t="n"/>
      <c r="AK853" s="236" t="n"/>
      <c r="AL853" s="236" t="n"/>
      <c r="AM853" s="236" t="n"/>
      <c r="AN853" s="236" t="n"/>
      <c r="AO853" s="236" t="n"/>
      <c r="AP853" s="236" t="n"/>
      <c r="AQ853" s="236" t="n"/>
      <c r="AR853" s="236" t="n"/>
      <c r="AS853" s="236" t="n"/>
      <c r="AT853" s="236" t="n"/>
      <c r="AU853" s="236" t="n"/>
      <c r="AV853" s="236" t="n"/>
      <c r="AW853" s="236" t="n"/>
      <c r="AX853" s="692" t="n"/>
      <c r="AY853" s="692" t="n"/>
      <c r="AZ853" s="692" t="n"/>
      <c r="BA853" s="692" t="n"/>
      <c r="BB853" s="692" t="n"/>
      <c r="BC853" s="692" t="n"/>
      <c r="BD853" s="692" t="n"/>
      <c r="BE853" s="692" t="n"/>
      <c r="BF853" s="692" t="n"/>
      <c r="BG853" s="692" t="n"/>
      <c r="BH853" s="692" t="n"/>
      <c r="BI853" s="692" t="n"/>
      <c r="BJ853" s="692" t="n"/>
      <c r="BK853" s="692" t="n"/>
      <c r="BL853" s="692" t="n"/>
      <c r="BM853" s="692" t="n"/>
      <c r="BN853" s="692" t="n"/>
      <c r="BO853" s="692" t="n"/>
      <c r="BP853" s="692" t="n"/>
      <c r="BQ853" s="692" t="n"/>
    </row>
    <row r="854">
      <c r="A854" s="218" t="n"/>
      <c r="B854" s="215" t="n"/>
      <c r="C854" s="215" t="n"/>
      <c r="D854" s="215" t="n"/>
      <c r="E854" s="219" t="n"/>
      <c r="F854" s="215" t="n"/>
      <c r="G854" s="215" t="n"/>
      <c r="H854" s="215" t="n"/>
      <c r="I854" s="215" t="n"/>
      <c r="J854" s="215" t="n"/>
      <c r="K854" s="215" t="n"/>
      <c r="L854" s="217" t="n"/>
      <c r="M854" s="692" t="n"/>
      <c r="N854" s="692" t="n"/>
      <c r="O854" s="692" t="n"/>
      <c r="P854" s="261" t="n"/>
      <c r="Q854" s="692" t="n"/>
      <c r="R854" s="692" t="n"/>
      <c r="S854" s="692" t="n"/>
      <c r="T854" s="692" t="n"/>
      <c r="U854" s="692" t="n"/>
      <c r="V854" s="692" t="n"/>
      <c r="W854" s="692" t="n"/>
      <c r="X854" s="692" t="n"/>
      <c r="Y854" s="692" t="n"/>
      <c r="Z854" s="692" t="n"/>
      <c r="AA854" s="692" t="n"/>
      <c r="AB854" s="692" t="n"/>
      <c r="AC854" s="692" t="n"/>
      <c r="AD854" s="692" t="n"/>
      <c r="AF854" s="236" t="n"/>
      <c r="AG854" s="236" t="n"/>
      <c r="AH854" s="236" t="n"/>
      <c r="AI854" s="236" t="n"/>
      <c r="AJ854" s="236" t="n"/>
      <c r="AK854" s="236" t="n"/>
      <c r="AL854" s="236" t="n"/>
      <c r="AM854" s="236" t="n"/>
      <c r="AN854" s="236" t="n"/>
      <c r="AO854" s="236" t="n"/>
      <c r="AP854" s="236" t="n"/>
      <c r="AQ854" s="236" t="n"/>
      <c r="AR854" s="236" t="n"/>
      <c r="AS854" s="236" t="n"/>
      <c r="AT854" s="236" t="n"/>
      <c r="AU854" s="236" t="n"/>
      <c r="AV854" s="236" t="n"/>
      <c r="AW854" s="236" t="n"/>
      <c r="AX854" s="692" t="n"/>
      <c r="AY854" s="692" t="n"/>
      <c r="AZ854" s="692" t="n"/>
      <c r="BA854" s="692" t="n"/>
      <c r="BB854" s="692" t="n"/>
      <c r="BC854" s="692" t="n"/>
      <c r="BD854" s="692" t="n"/>
      <c r="BE854" s="692" t="n"/>
      <c r="BF854" s="692" t="n"/>
      <c r="BG854" s="692" t="n"/>
      <c r="BH854" s="692" t="n"/>
      <c r="BI854" s="692" t="n"/>
      <c r="BJ854" s="692" t="n"/>
      <c r="BK854" s="692" t="n"/>
      <c r="BL854" s="692" t="n"/>
      <c r="BM854" s="692" t="n"/>
      <c r="BN854" s="692" t="n"/>
      <c r="BO854" s="692" t="n"/>
      <c r="BP854" s="692" t="n"/>
      <c r="BQ854" s="692" t="n"/>
    </row>
    <row r="855">
      <c r="A855" s="220" t="n"/>
      <c r="B855" s="211" t="n"/>
      <c r="C855" s="211" t="n"/>
      <c r="D855" s="211" t="n"/>
      <c r="E855" s="221" t="n"/>
      <c r="F855" s="211" t="n"/>
      <c r="G855" s="211" t="n"/>
      <c r="H855" s="211" t="n"/>
      <c r="I855" s="211" t="n"/>
      <c r="J855" s="211" t="n"/>
      <c r="K855" s="211" t="n"/>
      <c r="L855" s="213" t="n"/>
      <c r="M855" s="692" t="n"/>
      <c r="N855" s="692" t="n"/>
      <c r="O855" s="692" t="n"/>
      <c r="P855" s="261" t="n"/>
      <c r="Q855" s="692" t="n"/>
      <c r="R855" s="692" t="n"/>
      <c r="S855" s="692" t="n"/>
      <c r="T855" s="692" t="n"/>
      <c r="U855" s="692" t="n"/>
      <c r="V855" s="692" t="n"/>
      <c r="W855" s="692" t="n"/>
      <c r="X855" s="692" t="n"/>
      <c r="Y855" s="692" t="n"/>
      <c r="Z855" s="692" t="n"/>
      <c r="AA855" s="692" t="n"/>
      <c r="AB855" s="692" t="n"/>
      <c r="AC855" s="692" t="n"/>
      <c r="AD855" s="692" t="n"/>
      <c r="AF855" s="236" t="n"/>
      <c r="AG855" s="236" t="n"/>
      <c r="AH855" s="236" t="n"/>
      <c r="AI855" s="236" t="n"/>
      <c r="AJ855" s="236" t="n"/>
      <c r="AK855" s="236" t="n"/>
      <c r="AL855" s="236" t="n"/>
      <c r="AM855" s="236" t="n"/>
      <c r="AN855" s="236" t="n"/>
      <c r="AO855" s="236" t="n"/>
      <c r="AP855" s="236" t="n"/>
      <c r="AQ855" s="236" t="n"/>
      <c r="AR855" s="236" t="n"/>
      <c r="AS855" s="236" t="n"/>
      <c r="AT855" s="236" t="n"/>
      <c r="AU855" s="236" t="n"/>
      <c r="AV855" s="236" t="n"/>
      <c r="AW855" s="236" t="n"/>
      <c r="AX855" s="692" t="n"/>
      <c r="AY855" s="692" t="n"/>
      <c r="AZ855" s="692" t="n"/>
      <c r="BA855" s="692" t="n"/>
      <c r="BB855" s="692" t="n"/>
      <c r="BC855" s="692" t="n"/>
      <c r="BD855" s="692" t="n"/>
      <c r="BE855" s="692" t="n"/>
      <c r="BF855" s="692" t="n"/>
      <c r="BG855" s="692" t="n"/>
      <c r="BH855" s="692" t="n"/>
      <c r="BI855" s="692" t="n"/>
      <c r="BJ855" s="692" t="n"/>
      <c r="BK855" s="692" t="n"/>
      <c r="BL855" s="692" t="n"/>
      <c r="BM855" s="692" t="n"/>
      <c r="BN855" s="692" t="n"/>
      <c r="BO855" s="692" t="n"/>
      <c r="BP855" s="692" t="n"/>
      <c r="BQ855" s="692" t="n"/>
    </row>
    <row r="856">
      <c r="A856" s="218" t="n"/>
      <c r="B856" s="215" t="n"/>
      <c r="C856" s="215" t="n"/>
      <c r="D856" s="215" t="n"/>
      <c r="E856" s="219" t="n"/>
      <c r="F856" s="215" t="n"/>
      <c r="G856" s="215" t="n"/>
      <c r="H856" s="215" t="n"/>
      <c r="I856" s="215" t="n"/>
      <c r="J856" s="215" t="n"/>
      <c r="K856" s="215" t="n"/>
      <c r="L856" s="217" t="n"/>
      <c r="M856" s="692" t="n"/>
      <c r="N856" s="692" t="n"/>
      <c r="O856" s="692" t="n"/>
      <c r="P856" s="261" t="n"/>
      <c r="Q856" s="692" t="n"/>
      <c r="R856" s="692" t="n"/>
      <c r="S856" s="692" t="n"/>
      <c r="T856" s="692" t="n"/>
      <c r="U856" s="692" t="n"/>
      <c r="V856" s="692" t="n"/>
      <c r="W856" s="692" t="n"/>
      <c r="X856" s="692" t="n"/>
      <c r="Y856" s="692" t="n"/>
      <c r="Z856" s="692" t="n"/>
      <c r="AA856" s="692" t="n"/>
      <c r="AB856" s="692" t="n"/>
      <c r="AC856" s="692" t="n"/>
      <c r="AD856" s="692" t="n"/>
      <c r="AF856" s="236" t="n"/>
      <c r="AG856" s="236" t="n"/>
      <c r="AH856" s="236" t="n"/>
      <c r="AI856" s="236" t="n"/>
      <c r="AJ856" s="236" t="n"/>
      <c r="AK856" s="236" t="n"/>
      <c r="AL856" s="236" t="n"/>
      <c r="AM856" s="236" t="n"/>
      <c r="AN856" s="236" t="n"/>
      <c r="AO856" s="236" t="n"/>
      <c r="AP856" s="236" t="n"/>
      <c r="AQ856" s="236" t="n"/>
      <c r="AR856" s="236" t="n"/>
      <c r="AS856" s="236" t="n"/>
      <c r="AT856" s="236" t="n"/>
      <c r="AU856" s="236" t="n"/>
      <c r="AV856" s="236" t="n"/>
      <c r="AW856" s="236" t="n"/>
      <c r="AX856" s="692" t="n"/>
      <c r="AY856" s="692" t="n"/>
      <c r="AZ856" s="692" t="n"/>
      <c r="BA856" s="692" t="n"/>
      <c r="BB856" s="692" t="n"/>
      <c r="BC856" s="692" t="n"/>
      <c r="BD856" s="692" t="n"/>
      <c r="BE856" s="692" t="n"/>
      <c r="BF856" s="692" t="n"/>
      <c r="BG856" s="692" t="n"/>
      <c r="BH856" s="692" t="n"/>
      <c r="BI856" s="692" t="n"/>
      <c r="BJ856" s="692" t="n"/>
      <c r="BK856" s="692" t="n"/>
      <c r="BL856" s="692" t="n"/>
      <c r="BM856" s="692" t="n"/>
      <c r="BN856" s="692" t="n"/>
      <c r="BO856" s="692" t="n"/>
      <c r="BP856" s="692" t="n"/>
      <c r="BQ856" s="692" t="n"/>
    </row>
    <row r="857">
      <c r="A857" s="220" t="n"/>
      <c r="B857" s="211" t="n"/>
      <c r="C857" s="211" t="n"/>
      <c r="D857" s="211" t="n"/>
      <c r="E857" s="221" t="n"/>
      <c r="F857" s="211" t="n"/>
      <c r="G857" s="211" t="n"/>
      <c r="H857" s="211" t="n"/>
      <c r="I857" s="211" t="n"/>
      <c r="J857" s="211" t="n"/>
      <c r="K857" s="211" t="n"/>
      <c r="L857" s="213" t="n"/>
      <c r="M857" s="692" t="n"/>
      <c r="N857" s="692" t="n"/>
      <c r="O857" s="692" t="n"/>
      <c r="P857" s="261" t="n"/>
      <c r="Q857" s="692" t="n"/>
      <c r="R857" s="692" t="n"/>
      <c r="S857" s="692" t="n"/>
      <c r="T857" s="692" t="n"/>
      <c r="U857" s="692" t="n"/>
      <c r="V857" s="692" t="n"/>
      <c r="W857" s="692" t="n"/>
      <c r="X857" s="692" t="n"/>
      <c r="Y857" s="692" t="n"/>
      <c r="Z857" s="692" t="n"/>
      <c r="AA857" s="692" t="n"/>
      <c r="AB857" s="692" t="n"/>
      <c r="AC857" s="692" t="n"/>
      <c r="AD857" s="692" t="n"/>
      <c r="AF857" s="236" t="n"/>
      <c r="AG857" s="236" t="n"/>
      <c r="AH857" s="236" t="n"/>
      <c r="AI857" s="236" t="n"/>
      <c r="AJ857" s="236" t="n"/>
      <c r="AK857" s="236" t="n"/>
      <c r="AL857" s="236" t="n"/>
      <c r="AM857" s="236" t="n"/>
      <c r="AN857" s="236" t="n"/>
      <c r="AO857" s="236" t="n"/>
      <c r="AP857" s="236" t="n"/>
      <c r="AQ857" s="236" t="n"/>
      <c r="AR857" s="236" t="n"/>
      <c r="AS857" s="236" t="n"/>
      <c r="AT857" s="236" t="n"/>
      <c r="AU857" s="236" t="n"/>
      <c r="AV857" s="236" t="n"/>
      <c r="AW857" s="236" t="n"/>
      <c r="AX857" s="692" t="n"/>
      <c r="AY857" s="692" t="n"/>
      <c r="AZ857" s="692" t="n"/>
      <c r="BA857" s="692" t="n"/>
      <c r="BB857" s="692" t="n"/>
      <c r="BC857" s="692" t="n"/>
      <c r="BD857" s="692" t="n"/>
      <c r="BE857" s="692" t="n"/>
      <c r="BF857" s="692" t="n"/>
      <c r="BG857" s="692" t="n"/>
      <c r="BH857" s="692" t="n"/>
      <c r="BI857" s="692" t="n"/>
      <c r="BJ857" s="692" t="n"/>
      <c r="BK857" s="692" t="n"/>
      <c r="BL857" s="692" t="n"/>
      <c r="BM857" s="692" t="n"/>
      <c r="BN857" s="692" t="n"/>
      <c r="BO857" s="692" t="n"/>
      <c r="BP857" s="692" t="n"/>
      <c r="BQ857" s="692" t="n"/>
    </row>
    <row r="858">
      <c r="A858" s="218" t="n"/>
      <c r="B858" s="215" t="n"/>
      <c r="C858" s="215" t="n"/>
      <c r="D858" s="215" t="n"/>
      <c r="E858" s="219" t="n"/>
      <c r="F858" s="215" t="n"/>
      <c r="G858" s="215" t="n"/>
      <c r="H858" s="215" t="n"/>
      <c r="I858" s="215" t="n"/>
      <c r="J858" s="215" t="n"/>
      <c r="K858" s="215" t="n"/>
      <c r="L858" s="217" t="n"/>
      <c r="M858" s="692" t="n"/>
      <c r="N858" s="692" t="n"/>
      <c r="O858" s="692" t="n"/>
      <c r="P858" s="261" t="n"/>
      <c r="Q858" s="692" t="n"/>
      <c r="R858" s="692" t="n"/>
      <c r="S858" s="692" t="n"/>
      <c r="T858" s="692" t="n"/>
      <c r="U858" s="692" t="n"/>
      <c r="V858" s="692" t="n"/>
      <c r="W858" s="692" t="n"/>
      <c r="X858" s="692" t="n"/>
      <c r="Y858" s="692" t="n"/>
      <c r="Z858" s="692" t="n"/>
      <c r="AA858" s="692" t="n"/>
      <c r="AB858" s="692" t="n"/>
      <c r="AC858" s="692" t="n"/>
      <c r="AD858" s="692" t="n"/>
      <c r="AF858" s="236" t="n"/>
      <c r="AG858" s="236" t="n"/>
      <c r="AH858" s="236" t="n"/>
      <c r="AI858" s="236" t="n"/>
      <c r="AJ858" s="236" t="n"/>
      <c r="AK858" s="236" t="n"/>
      <c r="AL858" s="236" t="n"/>
      <c r="AM858" s="236" t="n"/>
      <c r="AN858" s="236" t="n"/>
      <c r="AO858" s="236" t="n"/>
      <c r="AP858" s="236" t="n"/>
      <c r="AQ858" s="236" t="n"/>
      <c r="AR858" s="236" t="n"/>
      <c r="AS858" s="236" t="n"/>
      <c r="AT858" s="236" t="n"/>
      <c r="AU858" s="236" t="n"/>
      <c r="AV858" s="236" t="n"/>
      <c r="AW858" s="236" t="n"/>
      <c r="AX858" s="692" t="n"/>
      <c r="AY858" s="692" t="n"/>
      <c r="AZ858" s="692" t="n"/>
      <c r="BA858" s="692" t="n"/>
      <c r="BB858" s="692" t="n"/>
      <c r="BC858" s="692" t="n"/>
      <c r="BD858" s="692" t="n"/>
      <c r="BE858" s="692" t="n"/>
      <c r="BF858" s="692" t="n"/>
      <c r="BG858" s="692" t="n"/>
      <c r="BH858" s="692" t="n"/>
      <c r="BI858" s="692" t="n"/>
      <c r="BJ858" s="692" t="n"/>
      <c r="BK858" s="692" t="n"/>
      <c r="BL858" s="692" t="n"/>
      <c r="BM858" s="692" t="n"/>
      <c r="BN858" s="692" t="n"/>
      <c r="BO858" s="692" t="n"/>
      <c r="BP858" s="692" t="n"/>
      <c r="BQ858" s="692" t="n"/>
    </row>
    <row r="859">
      <c r="A859" s="220" t="n"/>
      <c r="B859" s="211" t="n"/>
      <c r="C859" s="211" t="n"/>
      <c r="D859" s="211" t="n"/>
      <c r="E859" s="221" t="n"/>
      <c r="F859" s="211" t="n"/>
      <c r="G859" s="211" t="n"/>
      <c r="H859" s="211" t="n"/>
      <c r="I859" s="211" t="n"/>
      <c r="J859" s="211" t="n"/>
      <c r="K859" s="211" t="n"/>
      <c r="L859" s="213" t="n"/>
      <c r="M859" s="692" t="n"/>
      <c r="N859" s="692" t="n"/>
      <c r="O859" s="692" t="n"/>
      <c r="P859" s="261" t="n"/>
      <c r="Q859" s="692" t="n"/>
      <c r="R859" s="692" t="n"/>
      <c r="S859" s="692" t="n"/>
      <c r="T859" s="692" t="n"/>
      <c r="U859" s="692" t="n"/>
      <c r="V859" s="692" t="n"/>
      <c r="W859" s="692" t="n"/>
      <c r="X859" s="692" t="n"/>
      <c r="Y859" s="692" t="n"/>
      <c r="Z859" s="692" t="n"/>
      <c r="AA859" s="692" t="n"/>
      <c r="AB859" s="692" t="n"/>
      <c r="AC859" s="692" t="n"/>
      <c r="AD859" s="692" t="n"/>
      <c r="AF859" s="236" t="n"/>
      <c r="AG859" s="236" t="n"/>
      <c r="AH859" s="236" t="n"/>
      <c r="AI859" s="236" t="n"/>
      <c r="AJ859" s="236" t="n"/>
      <c r="AK859" s="236" t="n"/>
      <c r="AL859" s="236" t="n"/>
      <c r="AM859" s="236" t="n"/>
      <c r="AN859" s="236" t="n"/>
      <c r="AO859" s="236" t="n"/>
      <c r="AP859" s="236" t="n"/>
      <c r="AQ859" s="236" t="n"/>
      <c r="AR859" s="236" t="n"/>
      <c r="AS859" s="236" t="n"/>
      <c r="AT859" s="236" t="n"/>
      <c r="AU859" s="236" t="n"/>
      <c r="AV859" s="236" t="n"/>
      <c r="AW859" s="236" t="n"/>
      <c r="AX859" s="692" t="n"/>
      <c r="AY859" s="692" t="n"/>
      <c r="AZ859" s="692" t="n"/>
      <c r="BA859" s="692" t="n"/>
      <c r="BB859" s="692" t="n"/>
      <c r="BC859" s="692" t="n"/>
      <c r="BD859" s="692" t="n"/>
      <c r="BE859" s="692" t="n"/>
      <c r="BF859" s="692" t="n"/>
      <c r="BG859" s="692" t="n"/>
      <c r="BH859" s="692" t="n"/>
      <c r="BI859" s="692" t="n"/>
      <c r="BJ859" s="692" t="n"/>
      <c r="BK859" s="692" t="n"/>
      <c r="BL859" s="692" t="n"/>
      <c r="BM859" s="692" t="n"/>
      <c r="BN859" s="692" t="n"/>
      <c r="BO859" s="692" t="n"/>
      <c r="BP859" s="692" t="n"/>
      <c r="BQ859" s="692" t="n"/>
    </row>
    <row r="860">
      <c r="A860" s="218" t="n"/>
      <c r="B860" s="215" t="n"/>
      <c r="C860" s="215" t="n"/>
      <c r="D860" s="215" t="n"/>
      <c r="E860" s="219" t="n"/>
      <c r="F860" s="215" t="n"/>
      <c r="G860" s="215" t="n"/>
      <c r="H860" s="215" t="n"/>
      <c r="I860" s="215" t="n"/>
      <c r="J860" s="215" t="n"/>
      <c r="K860" s="215" t="n"/>
      <c r="L860" s="217" t="n"/>
      <c r="M860" s="692" t="n"/>
      <c r="N860" s="692" t="n"/>
      <c r="O860" s="692" t="n"/>
      <c r="P860" s="261" t="n"/>
      <c r="Q860" s="692" t="n"/>
      <c r="R860" s="692" t="n"/>
      <c r="S860" s="692" t="n"/>
      <c r="T860" s="692" t="n"/>
      <c r="U860" s="692" t="n"/>
      <c r="V860" s="692" t="n"/>
      <c r="W860" s="692" t="n"/>
      <c r="X860" s="692" t="n"/>
      <c r="Y860" s="692" t="n"/>
      <c r="Z860" s="692" t="n"/>
      <c r="AA860" s="692" t="n"/>
      <c r="AB860" s="692" t="n"/>
      <c r="AC860" s="692" t="n"/>
      <c r="AD860" s="692" t="n"/>
      <c r="AF860" s="236" t="n"/>
      <c r="AG860" s="236" t="n"/>
      <c r="AH860" s="236" t="n"/>
      <c r="AI860" s="236" t="n"/>
      <c r="AJ860" s="236" t="n"/>
      <c r="AK860" s="236" t="n"/>
      <c r="AL860" s="236" t="n"/>
      <c r="AM860" s="236" t="n"/>
      <c r="AN860" s="236" t="n"/>
      <c r="AO860" s="236" t="n"/>
      <c r="AP860" s="236" t="n"/>
      <c r="AQ860" s="236" t="n"/>
      <c r="AR860" s="236" t="n"/>
      <c r="AS860" s="236" t="n"/>
      <c r="AT860" s="236" t="n"/>
      <c r="AU860" s="236" t="n"/>
      <c r="AV860" s="236" t="n"/>
      <c r="AW860" s="236" t="n"/>
      <c r="AX860" s="692" t="n"/>
      <c r="AY860" s="692" t="n"/>
      <c r="AZ860" s="692" t="n"/>
      <c r="BA860" s="692" t="n"/>
      <c r="BB860" s="692" t="n"/>
      <c r="BC860" s="692" t="n"/>
      <c r="BD860" s="692" t="n"/>
      <c r="BE860" s="692" t="n"/>
      <c r="BF860" s="692" t="n"/>
      <c r="BG860" s="692" t="n"/>
      <c r="BH860" s="692" t="n"/>
      <c r="BI860" s="692" t="n"/>
      <c r="BJ860" s="692" t="n"/>
      <c r="BK860" s="692" t="n"/>
      <c r="BL860" s="692" t="n"/>
      <c r="BM860" s="692" t="n"/>
      <c r="BN860" s="692" t="n"/>
      <c r="BO860" s="692" t="n"/>
      <c r="BP860" s="692" t="n"/>
      <c r="BQ860" s="692" t="n"/>
    </row>
    <row r="861">
      <c r="A861" s="220" t="n"/>
      <c r="B861" s="211" t="n"/>
      <c r="C861" s="211" t="n"/>
      <c r="D861" s="211" t="n"/>
      <c r="E861" s="221" t="n"/>
      <c r="F861" s="211" t="n"/>
      <c r="G861" s="211" t="n"/>
      <c r="H861" s="211" t="n"/>
      <c r="I861" s="211" t="n"/>
      <c r="J861" s="211" t="n"/>
      <c r="K861" s="211" t="n"/>
      <c r="L861" s="213" t="n"/>
      <c r="M861" s="692" t="n"/>
      <c r="N861" s="692" t="n"/>
      <c r="O861" s="692" t="n"/>
      <c r="P861" s="261" t="n"/>
      <c r="Q861" s="692" t="n"/>
      <c r="R861" s="692" t="n"/>
      <c r="S861" s="692" t="n"/>
      <c r="T861" s="692" t="n"/>
      <c r="U861" s="692" t="n"/>
      <c r="V861" s="692" t="n"/>
      <c r="W861" s="692" t="n"/>
      <c r="X861" s="692" t="n"/>
      <c r="Y861" s="692" t="n"/>
      <c r="Z861" s="692" t="n"/>
      <c r="AA861" s="692" t="n"/>
      <c r="AB861" s="692" t="n"/>
      <c r="AC861" s="692" t="n"/>
      <c r="AD861" s="692" t="n"/>
      <c r="AF861" s="236" t="n"/>
      <c r="AG861" s="236" t="n"/>
      <c r="AH861" s="236" t="n"/>
      <c r="AI861" s="236" t="n"/>
      <c r="AJ861" s="236" t="n"/>
      <c r="AK861" s="236" t="n"/>
      <c r="AL861" s="236" t="n"/>
      <c r="AM861" s="236" t="n"/>
      <c r="AN861" s="236" t="n"/>
      <c r="AO861" s="236" t="n"/>
      <c r="AP861" s="236" t="n"/>
      <c r="AQ861" s="236" t="n"/>
      <c r="AR861" s="236" t="n"/>
      <c r="AS861" s="236" t="n"/>
      <c r="AT861" s="236" t="n"/>
      <c r="AU861" s="236" t="n"/>
      <c r="AV861" s="236" t="n"/>
      <c r="AW861" s="236" t="n"/>
      <c r="AX861" s="692" t="n"/>
      <c r="AY861" s="692" t="n"/>
      <c r="AZ861" s="692" t="n"/>
      <c r="BA861" s="692" t="n"/>
      <c r="BB861" s="692" t="n"/>
      <c r="BC861" s="692" t="n"/>
      <c r="BD861" s="692" t="n"/>
      <c r="BE861" s="692" t="n"/>
      <c r="BF861" s="692" t="n"/>
      <c r="BG861" s="692" t="n"/>
      <c r="BH861" s="692" t="n"/>
      <c r="BI861" s="692" t="n"/>
      <c r="BJ861" s="692" t="n"/>
      <c r="BK861" s="692" t="n"/>
      <c r="BL861" s="692" t="n"/>
      <c r="BM861" s="692" t="n"/>
      <c r="BN861" s="692" t="n"/>
      <c r="BO861" s="692" t="n"/>
      <c r="BP861" s="692" t="n"/>
      <c r="BQ861" s="692" t="n"/>
    </row>
    <row r="862">
      <c r="A862" s="218" t="n"/>
      <c r="B862" s="215" t="n"/>
      <c r="C862" s="215" t="n"/>
      <c r="D862" s="215" t="n"/>
      <c r="E862" s="219" t="n"/>
      <c r="F862" s="215" t="n"/>
      <c r="G862" s="215" t="n"/>
      <c r="H862" s="215" t="n"/>
      <c r="I862" s="215" t="n"/>
      <c r="J862" s="215" t="n"/>
      <c r="K862" s="215" t="n"/>
      <c r="L862" s="217" t="n"/>
      <c r="M862" s="692" t="n"/>
      <c r="N862" s="692" t="n"/>
      <c r="O862" s="692" t="n"/>
      <c r="P862" s="261" t="n"/>
      <c r="Q862" s="692" t="n"/>
      <c r="R862" s="692" t="n"/>
      <c r="S862" s="692" t="n"/>
      <c r="T862" s="692" t="n"/>
      <c r="U862" s="692" t="n"/>
      <c r="V862" s="692" t="n"/>
      <c r="W862" s="692" t="n"/>
      <c r="X862" s="692" t="n"/>
      <c r="Y862" s="692" t="n"/>
      <c r="Z862" s="692" t="n"/>
      <c r="AA862" s="692" t="n"/>
      <c r="AB862" s="692" t="n"/>
      <c r="AC862" s="692" t="n"/>
      <c r="AD862" s="692" t="n"/>
      <c r="AF862" s="236" t="n"/>
      <c r="AG862" s="236" t="n"/>
      <c r="AH862" s="236" t="n"/>
      <c r="AI862" s="236" t="n"/>
      <c r="AJ862" s="236" t="n"/>
      <c r="AK862" s="236" t="n"/>
      <c r="AL862" s="236" t="n"/>
      <c r="AM862" s="236" t="n"/>
      <c r="AN862" s="236" t="n"/>
      <c r="AO862" s="236" t="n"/>
      <c r="AP862" s="236" t="n"/>
      <c r="AQ862" s="236" t="n"/>
      <c r="AR862" s="236" t="n"/>
      <c r="AS862" s="236" t="n"/>
      <c r="AT862" s="236" t="n"/>
      <c r="AU862" s="236" t="n"/>
      <c r="AV862" s="236" t="n"/>
      <c r="AW862" s="236" t="n"/>
      <c r="AX862" s="692" t="n"/>
      <c r="AY862" s="692" t="n"/>
      <c r="AZ862" s="692" t="n"/>
      <c r="BA862" s="692" t="n"/>
      <c r="BB862" s="692" t="n"/>
      <c r="BC862" s="692" t="n"/>
      <c r="BD862" s="692" t="n"/>
      <c r="BE862" s="692" t="n"/>
      <c r="BF862" s="692" t="n"/>
      <c r="BG862" s="692" t="n"/>
      <c r="BH862" s="692" t="n"/>
      <c r="BI862" s="692" t="n"/>
      <c r="BJ862" s="692" t="n"/>
      <c r="BK862" s="692" t="n"/>
      <c r="BL862" s="692" t="n"/>
      <c r="BM862" s="692" t="n"/>
      <c r="BN862" s="692" t="n"/>
      <c r="BO862" s="692" t="n"/>
      <c r="BP862" s="692" t="n"/>
      <c r="BQ862" s="692" t="n"/>
    </row>
    <row r="863">
      <c r="A863" s="220" t="n"/>
      <c r="B863" s="211" t="n"/>
      <c r="C863" s="211" t="n"/>
      <c r="D863" s="211" t="n"/>
      <c r="E863" s="221" t="n"/>
      <c r="F863" s="211" t="n"/>
      <c r="G863" s="211" t="n"/>
      <c r="H863" s="211" t="n"/>
      <c r="I863" s="211" t="n"/>
      <c r="J863" s="211" t="n"/>
      <c r="K863" s="211" t="n"/>
      <c r="L863" s="213" t="n"/>
      <c r="M863" s="692" t="n"/>
      <c r="N863" s="692" t="n"/>
      <c r="O863" s="692" t="n"/>
      <c r="P863" s="261" t="n"/>
      <c r="Q863" s="692" t="n"/>
      <c r="R863" s="692" t="n"/>
      <c r="S863" s="692" t="n"/>
      <c r="T863" s="692" t="n"/>
      <c r="U863" s="692" t="n"/>
      <c r="V863" s="692" t="n"/>
      <c r="W863" s="692" t="n"/>
      <c r="X863" s="692" t="n"/>
      <c r="Y863" s="692" t="n"/>
      <c r="Z863" s="692" t="n"/>
      <c r="AA863" s="692" t="n"/>
      <c r="AB863" s="692" t="n"/>
      <c r="AC863" s="692" t="n"/>
      <c r="AD863" s="692" t="n"/>
      <c r="AF863" s="236" t="n"/>
      <c r="AG863" s="236" t="n"/>
      <c r="AH863" s="236" t="n"/>
      <c r="AI863" s="236" t="n"/>
      <c r="AJ863" s="236" t="n"/>
      <c r="AK863" s="236" t="n"/>
      <c r="AL863" s="236" t="n"/>
      <c r="AM863" s="236" t="n"/>
      <c r="AN863" s="236" t="n"/>
      <c r="AO863" s="236" t="n"/>
      <c r="AP863" s="236" t="n"/>
      <c r="AQ863" s="236" t="n"/>
      <c r="AR863" s="236" t="n"/>
      <c r="AS863" s="236" t="n"/>
      <c r="AT863" s="236" t="n"/>
      <c r="AU863" s="236" t="n"/>
      <c r="AV863" s="236" t="n"/>
      <c r="AW863" s="236" t="n"/>
      <c r="AX863" s="692" t="n"/>
      <c r="AY863" s="692" t="n"/>
      <c r="AZ863" s="692" t="n"/>
      <c r="BA863" s="692" t="n"/>
      <c r="BB863" s="692" t="n"/>
      <c r="BC863" s="692" t="n"/>
      <c r="BD863" s="692" t="n"/>
      <c r="BE863" s="692" t="n"/>
      <c r="BF863" s="692" t="n"/>
      <c r="BG863" s="692" t="n"/>
      <c r="BH863" s="692" t="n"/>
      <c r="BI863" s="692" t="n"/>
      <c r="BJ863" s="692" t="n"/>
      <c r="BK863" s="692" t="n"/>
      <c r="BL863" s="692" t="n"/>
      <c r="BM863" s="692" t="n"/>
      <c r="BN863" s="692" t="n"/>
      <c r="BO863" s="692" t="n"/>
      <c r="BP863" s="692" t="n"/>
      <c r="BQ863" s="692" t="n"/>
    </row>
    <row r="864">
      <c r="A864" s="218" t="n"/>
      <c r="B864" s="215" t="n"/>
      <c r="C864" s="215" t="n"/>
      <c r="D864" s="215" t="n"/>
      <c r="E864" s="219" t="n"/>
      <c r="F864" s="215" t="n"/>
      <c r="G864" s="215" t="n"/>
      <c r="H864" s="215" t="n"/>
      <c r="I864" s="215" t="n"/>
      <c r="J864" s="215" t="n"/>
      <c r="K864" s="215" t="n"/>
      <c r="L864" s="217" t="n"/>
      <c r="M864" s="692" t="n"/>
      <c r="N864" s="692" t="n"/>
      <c r="O864" s="692" t="n"/>
      <c r="P864" s="261" t="n"/>
      <c r="Q864" s="692" t="n"/>
      <c r="R864" s="692" t="n"/>
      <c r="S864" s="692" t="n"/>
      <c r="T864" s="692" t="n"/>
      <c r="U864" s="692" t="n"/>
      <c r="V864" s="692" t="n"/>
      <c r="W864" s="692" t="n"/>
      <c r="X864" s="692" t="n"/>
      <c r="Y864" s="692" t="n"/>
      <c r="Z864" s="692" t="n"/>
      <c r="AA864" s="692" t="n"/>
      <c r="AB864" s="692" t="n"/>
      <c r="AC864" s="692" t="n"/>
      <c r="AD864" s="692" t="n"/>
      <c r="AF864" s="236" t="n"/>
      <c r="AG864" s="236" t="n"/>
      <c r="AH864" s="236" t="n"/>
      <c r="AI864" s="236" t="n"/>
      <c r="AJ864" s="236" t="n"/>
      <c r="AK864" s="236" t="n"/>
      <c r="AL864" s="236" t="n"/>
      <c r="AM864" s="236" t="n"/>
      <c r="AN864" s="236" t="n"/>
      <c r="AO864" s="236" t="n"/>
      <c r="AP864" s="236" t="n"/>
      <c r="AQ864" s="236" t="n"/>
      <c r="AR864" s="236" t="n"/>
      <c r="AS864" s="236" t="n"/>
      <c r="AT864" s="236" t="n"/>
      <c r="AU864" s="236" t="n"/>
      <c r="AV864" s="236" t="n"/>
      <c r="AW864" s="236" t="n"/>
      <c r="AX864" s="692" t="n"/>
      <c r="AY864" s="692" t="n"/>
      <c r="AZ864" s="692" t="n"/>
      <c r="BA864" s="692" t="n"/>
      <c r="BB864" s="692" t="n"/>
      <c r="BC864" s="692" t="n"/>
      <c r="BD864" s="692" t="n"/>
      <c r="BE864" s="692" t="n"/>
      <c r="BF864" s="692" t="n"/>
      <c r="BG864" s="692" t="n"/>
      <c r="BH864" s="692" t="n"/>
      <c r="BI864" s="692" t="n"/>
      <c r="BJ864" s="692" t="n"/>
      <c r="BK864" s="692" t="n"/>
      <c r="BL864" s="692" t="n"/>
      <c r="BM864" s="692" t="n"/>
      <c r="BN864" s="692" t="n"/>
      <c r="BO864" s="692" t="n"/>
      <c r="BP864" s="692" t="n"/>
      <c r="BQ864" s="692" t="n"/>
    </row>
    <row r="865">
      <c r="A865" s="220" t="n"/>
      <c r="B865" s="211" t="n"/>
      <c r="C865" s="211" t="n"/>
      <c r="D865" s="211" t="n"/>
      <c r="E865" s="221" t="n"/>
      <c r="F865" s="211" t="n"/>
      <c r="G865" s="211" t="n"/>
      <c r="H865" s="211" t="n"/>
      <c r="I865" s="211" t="n"/>
      <c r="J865" s="211" t="n"/>
      <c r="K865" s="211" t="n"/>
      <c r="L865" s="213" t="n"/>
      <c r="M865" s="692" t="n"/>
      <c r="N865" s="692" t="n"/>
      <c r="O865" s="692" t="n"/>
      <c r="P865" s="261" t="n"/>
      <c r="Q865" s="692" t="n"/>
      <c r="R865" s="692" t="n"/>
      <c r="S865" s="692" t="n"/>
      <c r="T865" s="692" t="n"/>
      <c r="U865" s="692" t="n"/>
      <c r="V865" s="692" t="n"/>
      <c r="W865" s="692" t="n"/>
      <c r="X865" s="692" t="n"/>
      <c r="Y865" s="692" t="n"/>
      <c r="Z865" s="692" t="n"/>
      <c r="AA865" s="692" t="n"/>
      <c r="AB865" s="692" t="n"/>
      <c r="AC865" s="692" t="n"/>
      <c r="AD865" s="692" t="n"/>
      <c r="AF865" s="236" t="n"/>
      <c r="AG865" s="236" t="n"/>
      <c r="AH865" s="236" t="n"/>
      <c r="AI865" s="236" t="n"/>
      <c r="AJ865" s="236" t="n"/>
      <c r="AK865" s="236" t="n"/>
      <c r="AL865" s="236" t="n"/>
      <c r="AM865" s="236" t="n"/>
      <c r="AN865" s="236" t="n"/>
      <c r="AO865" s="236" t="n"/>
      <c r="AP865" s="236" t="n"/>
      <c r="AQ865" s="236" t="n"/>
      <c r="AR865" s="236" t="n"/>
      <c r="AS865" s="236" t="n"/>
      <c r="AT865" s="236" t="n"/>
      <c r="AU865" s="236" t="n"/>
      <c r="AV865" s="236" t="n"/>
      <c r="AW865" s="236" t="n"/>
      <c r="AX865" s="692" t="n"/>
      <c r="AY865" s="692" t="n"/>
      <c r="AZ865" s="692" t="n"/>
      <c r="BA865" s="692" t="n"/>
      <c r="BB865" s="692" t="n"/>
      <c r="BC865" s="692" t="n"/>
      <c r="BD865" s="692" t="n"/>
      <c r="BE865" s="692" t="n"/>
      <c r="BF865" s="692" t="n"/>
      <c r="BG865" s="692" t="n"/>
      <c r="BH865" s="692" t="n"/>
      <c r="BI865" s="692" t="n"/>
      <c r="BJ865" s="692" t="n"/>
      <c r="BK865" s="692" t="n"/>
      <c r="BL865" s="692" t="n"/>
      <c r="BM865" s="692" t="n"/>
      <c r="BN865" s="692" t="n"/>
      <c r="BO865" s="692" t="n"/>
      <c r="BP865" s="692" t="n"/>
      <c r="BQ865" s="692" t="n"/>
    </row>
    <row r="866">
      <c r="A866" s="218" t="n"/>
      <c r="B866" s="215" t="n"/>
      <c r="C866" s="215" t="n"/>
      <c r="D866" s="215" t="n"/>
      <c r="E866" s="219" t="n"/>
      <c r="F866" s="215" t="n"/>
      <c r="G866" s="215" t="n"/>
      <c r="H866" s="215" t="n"/>
      <c r="I866" s="215" t="n"/>
      <c r="J866" s="215" t="n"/>
      <c r="K866" s="215" t="n"/>
      <c r="L866" s="217" t="n"/>
      <c r="M866" s="692" t="n"/>
      <c r="N866" s="692" t="n"/>
      <c r="O866" s="692" t="n"/>
      <c r="P866" s="261" t="n"/>
      <c r="Q866" s="692" t="n"/>
      <c r="R866" s="692" t="n"/>
      <c r="S866" s="692" t="n"/>
      <c r="T866" s="692" t="n"/>
      <c r="U866" s="692" t="n"/>
      <c r="V866" s="692" t="n"/>
      <c r="W866" s="692" t="n"/>
      <c r="X866" s="692" t="n"/>
      <c r="Y866" s="692" t="n"/>
      <c r="Z866" s="692" t="n"/>
      <c r="AA866" s="692" t="n"/>
      <c r="AB866" s="692" t="n"/>
      <c r="AC866" s="692" t="n"/>
      <c r="AD866" s="692" t="n"/>
      <c r="AF866" s="236" t="n"/>
      <c r="AG866" s="236" t="n"/>
      <c r="AH866" s="236" t="n"/>
      <c r="AI866" s="236" t="n"/>
      <c r="AJ866" s="236" t="n"/>
      <c r="AK866" s="236" t="n"/>
      <c r="AL866" s="236" t="n"/>
      <c r="AM866" s="236" t="n"/>
      <c r="AN866" s="236" t="n"/>
      <c r="AO866" s="236" t="n"/>
      <c r="AP866" s="236" t="n"/>
      <c r="AQ866" s="236" t="n"/>
      <c r="AR866" s="236" t="n"/>
      <c r="AS866" s="236" t="n"/>
      <c r="AT866" s="236" t="n"/>
      <c r="AU866" s="236" t="n"/>
      <c r="AV866" s="236" t="n"/>
      <c r="AW866" s="236" t="n"/>
      <c r="AX866" s="692" t="n"/>
      <c r="AY866" s="692" t="n"/>
      <c r="AZ866" s="692" t="n"/>
      <c r="BA866" s="692" t="n"/>
      <c r="BB866" s="692" t="n"/>
      <c r="BC866" s="692" t="n"/>
      <c r="BD866" s="692" t="n"/>
      <c r="BE866" s="692" t="n"/>
      <c r="BF866" s="692" t="n"/>
      <c r="BG866" s="692" t="n"/>
      <c r="BH866" s="692" t="n"/>
      <c r="BI866" s="692" t="n"/>
      <c r="BJ866" s="692" t="n"/>
      <c r="BK866" s="692" t="n"/>
      <c r="BL866" s="692" t="n"/>
      <c r="BM866" s="692" t="n"/>
      <c r="BN866" s="692" t="n"/>
      <c r="BO866" s="692" t="n"/>
      <c r="BP866" s="692" t="n"/>
      <c r="BQ866" s="692" t="n"/>
    </row>
    <row r="867">
      <c r="A867" s="220" t="n"/>
      <c r="B867" s="211" t="n"/>
      <c r="C867" s="211" t="n"/>
      <c r="D867" s="211" t="n"/>
      <c r="E867" s="221" t="n"/>
      <c r="F867" s="211" t="n"/>
      <c r="G867" s="211" t="n"/>
      <c r="H867" s="211" t="n"/>
      <c r="I867" s="211" t="n"/>
      <c r="J867" s="211" t="n"/>
      <c r="K867" s="211" t="n"/>
      <c r="L867" s="213" t="n"/>
      <c r="M867" s="692" t="n"/>
      <c r="N867" s="692" t="n"/>
      <c r="O867" s="692" t="n"/>
      <c r="P867" s="261" t="n"/>
      <c r="Q867" s="692" t="n"/>
      <c r="R867" s="692" t="n"/>
      <c r="S867" s="692" t="n"/>
      <c r="T867" s="692" t="n"/>
      <c r="U867" s="692" t="n"/>
      <c r="V867" s="692" t="n"/>
      <c r="W867" s="692" t="n"/>
      <c r="X867" s="692" t="n"/>
      <c r="Y867" s="692" t="n"/>
      <c r="Z867" s="692" t="n"/>
      <c r="AA867" s="692" t="n"/>
      <c r="AB867" s="692" t="n"/>
      <c r="AC867" s="692" t="n"/>
      <c r="AD867" s="692" t="n"/>
      <c r="AF867" s="236" t="n"/>
      <c r="AG867" s="236" t="n"/>
      <c r="AH867" s="236" t="n"/>
      <c r="AI867" s="236" t="n"/>
      <c r="AJ867" s="236" t="n"/>
      <c r="AK867" s="236" t="n"/>
      <c r="AL867" s="236" t="n"/>
      <c r="AM867" s="236" t="n"/>
      <c r="AN867" s="236" t="n"/>
      <c r="AO867" s="236" t="n"/>
      <c r="AP867" s="236" t="n"/>
      <c r="AQ867" s="236" t="n"/>
      <c r="AR867" s="236" t="n"/>
      <c r="AS867" s="236" t="n"/>
      <c r="AT867" s="236" t="n"/>
      <c r="AU867" s="236" t="n"/>
      <c r="AV867" s="236" t="n"/>
      <c r="AW867" s="236" t="n"/>
      <c r="AX867" s="692" t="n"/>
      <c r="AY867" s="692" t="n"/>
      <c r="AZ867" s="692" t="n"/>
      <c r="BA867" s="692" t="n"/>
      <c r="BB867" s="692" t="n"/>
      <c r="BC867" s="692" t="n"/>
      <c r="BD867" s="692" t="n"/>
      <c r="BE867" s="692" t="n"/>
      <c r="BF867" s="692" t="n"/>
      <c r="BG867" s="692" t="n"/>
      <c r="BH867" s="692" t="n"/>
      <c r="BI867" s="692" t="n"/>
      <c r="BJ867" s="692" t="n"/>
      <c r="BK867" s="692" t="n"/>
      <c r="BL867" s="692" t="n"/>
      <c r="BM867" s="692" t="n"/>
      <c r="BN867" s="692" t="n"/>
      <c r="BO867" s="692" t="n"/>
      <c r="BP867" s="692" t="n"/>
      <c r="BQ867" s="692" t="n"/>
    </row>
    <row r="868">
      <c r="A868" s="218" t="n"/>
      <c r="B868" s="215" t="n"/>
      <c r="C868" s="215" t="n"/>
      <c r="D868" s="215" t="n"/>
      <c r="E868" s="219" t="n"/>
      <c r="F868" s="215" t="n"/>
      <c r="G868" s="215" t="n"/>
      <c r="H868" s="215" t="n"/>
      <c r="I868" s="215" t="n"/>
      <c r="J868" s="215" t="n"/>
      <c r="K868" s="215" t="n"/>
      <c r="L868" s="217" t="n"/>
      <c r="M868" s="692" t="n"/>
      <c r="N868" s="692" t="n"/>
      <c r="O868" s="692" t="n"/>
      <c r="P868" s="261" t="n"/>
      <c r="Q868" s="692" t="n"/>
      <c r="R868" s="692" t="n"/>
      <c r="S868" s="692" t="n"/>
      <c r="T868" s="692" t="n"/>
      <c r="U868" s="692" t="n"/>
      <c r="V868" s="692" t="n"/>
      <c r="W868" s="692" t="n"/>
      <c r="X868" s="692" t="n"/>
      <c r="Y868" s="692" t="n"/>
      <c r="Z868" s="692" t="n"/>
      <c r="AA868" s="692" t="n"/>
      <c r="AB868" s="692" t="n"/>
      <c r="AC868" s="692" t="n"/>
      <c r="AD868" s="692" t="n"/>
      <c r="AF868" s="236" t="n"/>
      <c r="AG868" s="236" t="n"/>
      <c r="AH868" s="236" t="n"/>
      <c r="AI868" s="236" t="n"/>
      <c r="AJ868" s="236" t="n"/>
      <c r="AK868" s="236" t="n"/>
      <c r="AL868" s="236" t="n"/>
      <c r="AM868" s="236" t="n"/>
      <c r="AN868" s="236" t="n"/>
      <c r="AO868" s="236" t="n"/>
      <c r="AP868" s="236" t="n"/>
      <c r="AQ868" s="236" t="n"/>
      <c r="AR868" s="236" t="n"/>
      <c r="AS868" s="236" t="n"/>
      <c r="AT868" s="236" t="n"/>
      <c r="AU868" s="236" t="n"/>
      <c r="AV868" s="236" t="n"/>
      <c r="AW868" s="236" t="n"/>
      <c r="AX868" s="692" t="n"/>
      <c r="AY868" s="692" t="n"/>
      <c r="AZ868" s="692" t="n"/>
      <c r="BA868" s="692" t="n"/>
      <c r="BB868" s="692" t="n"/>
      <c r="BC868" s="692" t="n"/>
      <c r="BD868" s="692" t="n"/>
      <c r="BE868" s="692" t="n"/>
      <c r="BF868" s="692" t="n"/>
      <c r="BG868" s="692" t="n"/>
      <c r="BH868" s="692" t="n"/>
      <c r="BI868" s="692" t="n"/>
      <c r="BJ868" s="692" t="n"/>
      <c r="BK868" s="692" t="n"/>
      <c r="BL868" s="692" t="n"/>
      <c r="BM868" s="692" t="n"/>
      <c r="BN868" s="692" t="n"/>
      <c r="BO868" s="692" t="n"/>
      <c r="BP868" s="692" t="n"/>
      <c r="BQ868" s="692" t="n"/>
    </row>
    <row r="869">
      <c r="A869" s="220" t="n"/>
      <c r="B869" s="211" t="n"/>
      <c r="C869" s="211" t="n"/>
      <c r="D869" s="211" t="n"/>
      <c r="E869" s="221" t="n"/>
      <c r="F869" s="211" t="n"/>
      <c r="G869" s="211" t="n"/>
      <c r="H869" s="211" t="n"/>
      <c r="I869" s="211" t="n"/>
      <c r="J869" s="211" t="n"/>
      <c r="K869" s="211" t="n"/>
      <c r="L869" s="213" t="n"/>
      <c r="M869" s="692" t="n"/>
      <c r="N869" s="692" t="n"/>
      <c r="O869" s="692" t="n"/>
      <c r="P869" s="261" t="n"/>
      <c r="Q869" s="692" t="n"/>
      <c r="R869" s="692" t="n"/>
      <c r="S869" s="692" t="n"/>
      <c r="T869" s="692" t="n"/>
      <c r="U869" s="692" t="n"/>
      <c r="V869" s="692" t="n"/>
      <c r="W869" s="692" t="n"/>
      <c r="X869" s="692" t="n"/>
      <c r="Y869" s="692" t="n"/>
      <c r="Z869" s="692" t="n"/>
      <c r="AA869" s="692" t="n"/>
      <c r="AB869" s="692" t="n"/>
      <c r="AC869" s="692" t="n"/>
      <c r="AD869" s="692" t="n"/>
      <c r="AF869" s="236" t="n"/>
      <c r="AG869" s="236" t="n"/>
      <c r="AH869" s="236" t="n"/>
      <c r="AI869" s="236" t="n"/>
      <c r="AJ869" s="236" t="n"/>
      <c r="AK869" s="236" t="n"/>
      <c r="AL869" s="236" t="n"/>
      <c r="AM869" s="236" t="n"/>
      <c r="AN869" s="236" t="n"/>
      <c r="AO869" s="236" t="n"/>
      <c r="AP869" s="236" t="n"/>
      <c r="AQ869" s="236" t="n"/>
      <c r="AR869" s="236" t="n"/>
      <c r="AS869" s="236" t="n"/>
      <c r="AT869" s="236" t="n"/>
      <c r="AU869" s="236" t="n"/>
      <c r="AV869" s="236" t="n"/>
      <c r="AW869" s="236" t="n"/>
      <c r="AX869" s="692" t="n"/>
      <c r="AY869" s="692" t="n"/>
      <c r="AZ869" s="692" t="n"/>
      <c r="BA869" s="692" t="n"/>
      <c r="BB869" s="692" t="n"/>
      <c r="BC869" s="692" t="n"/>
      <c r="BD869" s="692" t="n"/>
      <c r="BE869" s="692" t="n"/>
      <c r="BF869" s="692" t="n"/>
      <c r="BG869" s="692" t="n"/>
      <c r="BH869" s="692" t="n"/>
      <c r="BI869" s="692" t="n"/>
      <c r="BJ869" s="692" t="n"/>
      <c r="BK869" s="692" t="n"/>
      <c r="BL869" s="692" t="n"/>
      <c r="BM869" s="692" t="n"/>
      <c r="BN869" s="692" t="n"/>
      <c r="BO869" s="692" t="n"/>
      <c r="BP869" s="692" t="n"/>
      <c r="BQ869" s="692" t="n"/>
    </row>
    <row r="870">
      <c r="A870" s="218" t="n"/>
      <c r="B870" s="215" t="n"/>
      <c r="C870" s="215" t="n"/>
      <c r="D870" s="215" t="n"/>
      <c r="E870" s="219" t="n"/>
      <c r="F870" s="215" t="n"/>
      <c r="G870" s="215" t="n"/>
      <c r="H870" s="215" t="n"/>
      <c r="I870" s="215" t="n"/>
      <c r="J870" s="215" t="n"/>
      <c r="K870" s="215" t="n"/>
      <c r="L870" s="217" t="n"/>
      <c r="M870" s="692" t="n"/>
      <c r="N870" s="692" t="n"/>
      <c r="O870" s="692" t="n"/>
      <c r="P870" s="261" t="n"/>
      <c r="Q870" s="692" t="n"/>
      <c r="R870" s="692" t="n"/>
      <c r="S870" s="692" t="n"/>
      <c r="T870" s="692" t="n"/>
      <c r="U870" s="692" t="n"/>
      <c r="V870" s="692" t="n"/>
      <c r="W870" s="692" t="n"/>
      <c r="X870" s="692" t="n"/>
      <c r="Y870" s="692" t="n"/>
      <c r="Z870" s="692" t="n"/>
      <c r="AA870" s="692" t="n"/>
      <c r="AB870" s="692" t="n"/>
      <c r="AC870" s="692" t="n"/>
      <c r="AD870" s="692" t="n"/>
      <c r="AF870" s="236" t="n"/>
      <c r="AG870" s="236" t="n"/>
      <c r="AH870" s="236" t="n"/>
      <c r="AI870" s="236" t="n"/>
      <c r="AJ870" s="236" t="n"/>
      <c r="AK870" s="236" t="n"/>
      <c r="AL870" s="236" t="n"/>
      <c r="AM870" s="236" t="n"/>
      <c r="AN870" s="236" t="n"/>
      <c r="AO870" s="236" t="n"/>
      <c r="AP870" s="236" t="n"/>
      <c r="AQ870" s="236" t="n"/>
      <c r="AR870" s="236" t="n"/>
      <c r="AS870" s="236" t="n"/>
      <c r="AT870" s="236" t="n"/>
      <c r="AU870" s="236" t="n"/>
      <c r="AV870" s="236" t="n"/>
      <c r="AW870" s="236" t="n"/>
      <c r="AX870" s="692" t="n"/>
      <c r="AY870" s="692" t="n"/>
      <c r="AZ870" s="692" t="n"/>
      <c r="BA870" s="692" t="n"/>
      <c r="BB870" s="692" t="n"/>
      <c r="BC870" s="692" t="n"/>
      <c r="BD870" s="692" t="n"/>
      <c r="BE870" s="692" t="n"/>
      <c r="BF870" s="692" t="n"/>
      <c r="BG870" s="692" t="n"/>
      <c r="BH870" s="692" t="n"/>
      <c r="BI870" s="692" t="n"/>
      <c r="BJ870" s="692" t="n"/>
      <c r="BK870" s="692" t="n"/>
      <c r="BL870" s="692" t="n"/>
      <c r="BM870" s="692" t="n"/>
      <c r="BN870" s="692" t="n"/>
      <c r="BO870" s="692" t="n"/>
      <c r="BP870" s="692" t="n"/>
      <c r="BQ870" s="692" t="n"/>
    </row>
    <row r="871">
      <c r="A871" s="220" t="n"/>
      <c r="B871" s="211" t="n"/>
      <c r="C871" s="211" t="n"/>
      <c r="D871" s="211" t="n"/>
      <c r="E871" s="221" t="n"/>
      <c r="F871" s="211" t="n"/>
      <c r="G871" s="211" t="n"/>
      <c r="H871" s="211" t="n"/>
      <c r="I871" s="211" t="n"/>
      <c r="J871" s="211" t="n"/>
      <c r="K871" s="211" t="n"/>
      <c r="L871" s="213" t="n"/>
      <c r="M871" s="692" t="n"/>
      <c r="N871" s="692" t="n"/>
      <c r="O871" s="692" t="n"/>
      <c r="P871" s="261" t="n"/>
      <c r="Q871" s="692" t="n"/>
      <c r="R871" s="692" t="n"/>
      <c r="S871" s="692" t="n"/>
      <c r="T871" s="692" t="n"/>
      <c r="U871" s="692" t="n"/>
      <c r="V871" s="692" t="n"/>
      <c r="W871" s="692" t="n"/>
      <c r="X871" s="692" t="n"/>
      <c r="Y871" s="692" t="n"/>
      <c r="Z871" s="692" t="n"/>
      <c r="AA871" s="692" t="n"/>
      <c r="AB871" s="692" t="n"/>
      <c r="AC871" s="692" t="n"/>
      <c r="AD871" s="692" t="n"/>
      <c r="AF871" s="236" t="n"/>
      <c r="AG871" s="236" t="n"/>
      <c r="AH871" s="236" t="n"/>
      <c r="AI871" s="236" t="n"/>
      <c r="AJ871" s="236" t="n"/>
      <c r="AK871" s="236" t="n"/>
      <c r="AL871" s="236" t="n"/>
      <c r="AM871" s="236" t="n"/>
      <c r="AN871" s="236" t="n"/>
      <c r="AO871" s="236" t="n"/>
      <c r="AP871" s="236" t="n"/>
      <c r="AQ871" s="236" t="n"/>
      <c r="AR871" s="236" t="n"/>
      <c r="AS871" s="236" t="n"/>
      <c r="AT871" s="236" t="n"/>
      <c r="AU871" s="236" t="n"/>
      <c r="AV871" s="236" t="n"/>
      <c r="AW871" s="236" t="n"/>
      <c r="AX871" s="692" t="n"/>
      <c r="AY871" s="692" t="n"/>
      <c r="AZ871" s="692" t="n"/>
      <c r="BA871" s="692" t="n"/>
      <c r="BB871" s="692" t="n"/>
      <c r="BC871" s="692" t="n"/>
      <c r="BD871" s="692" t="n"/>
      <c r="BE871" s="692" t="n"/>
      <c r="BF871" s="692" t="n"/>
      <c r="BG871" s="692" t="n"/>
      <c r="BH871" s="692" t="n"/>
      <c r="BI871" s="692" t="n"/>
      <c r="BJ871" s="692" t="n"/>
      <c r="BK871" s="692" t="n"/>
      <c r="BL871" s="692" t="n"/>
      <c r="BM871" s="692" t="n"/>
      <c r="BN871" s="692" t="n"/>
      <c r="BO871" s="692" t="n"/>
      <c r="BP871" s="692" t="n"/>
      <c r="BQ871" s="692" t="n"/>
    </row>
    <row r="872">
      <c r="A872" s="218" t="n"/>
      <c r="B872" s="215" t="n"/>
      <c r="C872" s="215" t="n"/>
      <c r="D872" s="215" t="n"/>
      <c r="E872" s="219" t="n"/>
      <c r="F872" s="215" t="n"/>
      <c r="G872" s="215" t="n"/>
      <c r="H872" s="215" t="n"/>
      <c r="I872" s="215" t="n"/>
      <c r="J872" s="215" t="n"/>
      <c r="K872" s="215" t="n"/>
      <c r="L872" s="217" t="n"/>
      <c r="M872" s="692" t="n"/>
      <c r="N872" s="692" t="n"/>
      <c r="O872" s="692" t="n"/>
      <c r="P872" s="261" t="n"/>
      <c r="Q872" s="692" t="n"/>
      <c r="R872" s="692" t="n"/>
      <c r="S872" s="692" t="n"/>
      <c r="T872" s="692" t="n"/>
      <c r="U872" s="692" t="n"/>
      <c r="V872" s="692" t="n"/>
      <c r="W872" s="692" t="n"/>
      <c r="X872" s="692" t="n"/>
      <c r="Y872" s="692" t="n"/>
      <c r="Z872" s="692" t="n"/>
      <c r="AA872" s="692" t="n"/>
      <c r="AB872" s="692" t="n"/>
      <c r="AC872" s="692" t="n"/>
      <c r="AD872" s="692" t="n"/>
      <c r="AF872" s="236" t="n"/>
      <c r="AG872" s="236" t="n"/>
      <c r="AH872" s="236" t="n"/>
      <c r="AI872" s="236" t="n"/>
      <c r="AJ872" s="236" t="n"/>
      <c r="AK872" s="236" t="n"/>
      <c r="AL872" s="236" t="n"/>
      <c r="AM872" s="236" t="n"/>
      <c r="AN872" s="236" t="n"/>
      <c r="AO872" s="236" t="n"/>
      <c r="AP872" s="236" t="n"/>
      <c r="AQ872" s="236" t="n"/>
      <c r="AR872" s="236" t="n"/>
      <c r="AS872" s="236" t="n"/>
      <c r="AT872" s="236" t="n"/>
      <c r="AU872" s="236" t="n"/>
      <c r="AV872" s="236" t="n"/>
      <c r="AW872" s="236" t="n"/>
      <c r="AX872" s="692" t="n"/>
      <c r="AY872" s="692" t="n"/>
      <c r="AZ872" s="692" t="n"/>
      <c r="BA872" s="692" t="n"/>
      <c r="BB872" s="692" t="n"/>
      <c r="BC872" s="692" t="n"/>
      <c r="BD872" s="692" t="n"/>
      <c r="BE872" s="692" t="n"/>
      <c r="BF872" s="692" t="n"/>
      <c r="BG872" s="692" t="n"/>
      <c r="BH872" s="692" t="n"/>
      <c r="BI872" s="692" t="n"/>
      <c r="BJ872" s="692" t="n"/>
      <c r="BK872" s="692" t="n"/>
      <c r="BL872" s="692" t="n"/>
      <c r="BM872" s="692" t="n"/>
      <c r="BN872" s="692" t="n"/>
      <c r="BO872" s="692" t="n"/>
      <c r="BP872" s="692" t="n"/>
      <c r="BQ872" s="692" t="n"/>
    </row>
    <row r="873">
      <c r="A873" s="220" t="n"/>
      <c r="B873" s="211" t="n"/>
      <c r="C873" s="211" t="n"/>
      <c r="D873" s="211" t="n"/>
      <c r="E873" s="221" t="n"/>
      <c r="F873" s="211" t="n"/>
      <c r="G873" s="211" t="n"/>
      <c r="H873" s="211" t="n"/>
      <c r="I873" s="211" t="n"/>
      <c r="J873" s="211" t="n"/>
      <c r="K873" s="211" t="n"/>
      <c r="L873" s="213" t="n"/>
      <c r="M873" s="692" t="n"/>
      <c r="N873" s="692" t="n"/>
      <c r="O873" s="692" t="n"/>
      <c r="P873" s="261" t="n"/>
      <c r="Q873" s="692" t="n"/>
      <c r="R873" s="692" t="n"/>
      <c r="S873" s="692" t="n"/>
      <c r="T873" s="692" t="n"/>
      <c r="U873" s="692" t="n"/>
      <c r="V873" s="692" t="n"/>
      <c r="W873" s="692" t="n"/>
      <c r="X873" s="692" t="n"/>
      <c r="Y873" s="692" t="n"/>
      <c r="Z873" s="692" t="n"/>
      <c r="AA873" s="692" t="n"/>
      <c r="AB873" s="692" t="n"/>
      <c r="AC873" s="692" t="n"/>
      <c r="AD873" s="692" t="n"/>
      <c r="AF873" s="236" t="n"/>
      <c r="AG873" s="236" t="n"/>
      <c r="AH873" s="236" t="n"/>
      <c r="AI873" s="236" t="n"/>
      <c r="AJ873" s="236" t="n"/>
      <c r="AK873" s="236" t="n"/>
      <c r="AL873" s="236" t="n"/>
      <c r="AM873" s="236" t="n"/>
      <c r="AN873" s="236" t="n"/>
      <c r="AO873" s="236" t="n"/>
      <c r="AP873" s="236" t="n"/>
      <c r="AQ873" s="236" t="n"/>
      <c r="AR873" s="236" t="n"/>
      <c r="AS873" s="236" t="n"/>
      <c r="AT873" s="236" t="n"/>
      <c r="AU873" s="236" t="n"/>
      <c r="AV873" s="236" t="n"/>
      <c r="AW873" s="236" t="n"/>
      <c r="AX873" s="692" t="n"/>
      <c r="AY873" s="692" t="n"/>
      <c r="AZ873" s="692" t="n"/>
      <c r="BA873" s="692" t="n"/>
      <c r="BB873" s="692" t="n"/>
      <c r="BC873" s="692" t="n"/>
      <c r="BD873" s="692" t="n"/>
      <c r="BE873" s="692" t="n"/>
      <c r="BF873" s="692" t="n"/>
      <c r="BG873" s="692" t="n"/>
      <c r="BH873" s="692" t="n"/>
      <c r="BI873" s="692" t="n"/>
      <c r="BJ873" s="692" t="n"/>
      <c r="BK873" s="692" t="n"/>
      <c r="BL873" s="692" t="n"/>
      <c r="BM873" s="692" t="n"/>
      <c r="BN873" s="692" t="n"/>
      <c r="BO873" s="692" t="n"/>
      <c r="BP873" s="692" t="n"/>
      <c r="BQ873" s="692" t="n"/>
    </row>
    <row r="874">
      <c r="A874" s="218" t="n"/>
      <c r="B874" s="215" t="n"/>
      <c r="C874" s="215" t="n"/>
      <c r="D874" s="215" t="n"/>
      <c r="E874" s="219" t="n"/>
      <c r="F874" s="215" t="n"/>
      <c r="G874" s="215" t="n"/>
      <c r="H874" s="215" t="n"/>
      <c r="I874" s="215" t="n"/>
      <c r="J874" s="215" t="n"/>
      <c r="K874" s="215" t="n"/>
      <c r="L874" s="217" t="n"/>
      <c r="M874" s="692" t="n"/>
      <c r="N874" s="692" t="n"/>
      <c r="O874" s="692" t="n"/>
      <c r="P874" s="261" t="n"/>
      <c r="Q874" s="692" t="n"/>
      <c r="R874" s="692" t="n"/>
      <c r="S874" s="692" t="n"/>
      <c r="T874" s="692" t="n"/>
      <c r="U874" s="692" t="n"/>
      <c r="V874" s="692" t="n"/>
      <c r="W874" s="692" t="n"/>
      <c r="X874" s="692" t="n"/>
      <c r="Y874" s="692" t="n"/>
      <c r="Z874" s="692" t="n"/>
      <c r="AA874" s="692" t="n"/>
      <c r="AB874" s="692" t="n"/>
      <c r="AC874" s="692" t="n"/>
      <c r="AD874" s="692" t="n"/>
      <c r="AF874" s="236" t="n"/>
      <c r="AG874" s="236" t="n"/>
      <c r="AH874" s="236" t="n"/>
      <c r="AI874" s="236" t="n"/>
      <c r="AJ874" s="236" t="n"/>
      <c r="AK874" s="236" t="n"/>
      <c r="AL874" s="236" t="n"/>
      <c r="AM874" s="236" t="n"/>
      <c r="AN874" s="236" t="n"/>
      <c r="AO874" s="236" t="n"/>
      <c r="AP874" s="236" t="n"/>
      <c r="AQ874" s="236" t="n"/>
      <c r="AR874" s="236" t="n"/>
      <c r="AS874" s="236" t="n"/>
      <c r="AT874" s="236" t="n"/>
      <c r="AU874" s="236" t="n"/>
      <c r="AV874" s="236" t="n"/>
      <c r="AW874" s="236" t="n"/>
      <c r="AX874" s="692" t="n"/>
      <c r="AY874" s="692" t="n"/>
      <c r="AZ874" s="692" t="n"/>
      <c r="BA874" s="692" t="n"/>
      <c r="BB874" s="692" t="n"/>
      <c r="BC874" s="692" t="n"/>
      <c r="BD874" s="692" t="n"/>
      <c r="BE874" s="692" t="n"/>
      <c r="BF874" s="692" t="n"/>
      <c r="BG874" s="692" t="n"/>
      <c r="BH874" s="692" t="n"/>
      <c r="BI874" s="692" t="n"/>
      <c r="BJ874" s="692" t="n"/>
      <c r="BK874" s="692" t="n"/>
      <c r="BL874" s="692" t="n"/>
      <c r="BM874" s="692" t="n"/>
      <c r="BN874" s="692" t="n"/>
      <c r="BO874" s="692" t="n"/>
      <c r="BP874" s="692" t="n"/>
      <c r="BQ874" s="692" t="n"/>
    </row>
    <row r="875">
      <c r="A875" s="220" t="n"/>
      <c r="B875" s="211" t="n"/>
      <c r="C875" s="211" t="n"/>
      <c r="D875" s="211" t="n"/>
      <c r="E875" s="221" t="n"/>
      <c r="F875" s="211" t="n"/>
      <c r="G875" s="211" t="n"/>
      <c r="H875" s="211" t="n"/>
      <c r="I875" s="211" t="n"/>
      <c r="J875" s="211" t="n"/>
      <c r="K875" s="211" t="n"/>
      <c r="L875" s="213" t="n"/>
      <c r="M875" s="692" t="n"/>
      <c r="N875" s="692" t="n"/>
      <c r="O875" s="692" t="n"/>
      <c r="P875" s="261" t="n"/>
      <c r="Q875" s="692" t="n"/>
      <c r="R875" s="692" t="n"/>
      <c r="S875" s="692" t="n"/>
      <c r="T875" s="692" t="n"/>
      <c r="U875" s="692" t="n"/>
      <c r="V875" s="692" t="n"/>
      <c r="W875" s="692" t="n"/>
      <c r="X875" s="692" t="n"/>
      <c r="Y875" s="692" t="n"/>
      <c r="Z875" s="692" t="n"/>
      <c r="AA875" s="692" t="n"/>
      <c r="AB875" s="692" t="n"/>
      <c r="AC875" s="692" t="n"/>
      <c r="AD875" s="692" t="n"/>
      <c r="AF875" s="236" t="n"/>
      <c r="AG875" s="236" t="n"/>
      <c r="AH875" s="236" t="n"/>
      <c r="AI875" s="236" t="n"/>
      <c r="AJ875" s="236" t="n"/>
      <c r="AK875" s="236" t="n"/>
      <c r="AL875" s="236" t="n"/>
      <c r="AM875" s="236" t="n"/>
      <c r="AN875" s="236" t="n"/>
      <c r="AO875" s="236" t="n"/>
      <c r="AP875" s="236" t="n"/>
      <c r="AQ875" s="236" t="n"/>
      <c r="AR875" s="236" t="n"/>
      <c r="AS875" s="236" t="n"/>
      <c r="AT875" s="236" t="n"/>
      <c r="AU875" s="236" t="n"/>
      <c r="AV875" s="236" t="n"/>
      <c r="AW875" s="236" t="n"/>
      <c r="AX875" s="692" t="n"/>
      <c r="AY875" s="692" t="n"/>
      <c r="AZ875" s="692" t="n"/>
      <c r="BA875" s="692" t="n"/>
      <c r="BB875" s="692" t="n"/>
      <c r="BC875" s="692" t="n"/>
      <c r="BD875" s="692" t="n"/>
      <c r="BE875" s="692" t="n"/>
      <c r="BF875" s="692" t="n"/>
      <c r="BG875" s="692" t="n"/>
      <c r="BH875" s="692" t="n"/>
      <c r="BI875" s="692" t="n"/>
      <c r="BJ875" s="692" t="n"/>
      <c r="BK875" s="692" t="n"/>
      <c r="BL875" s="692" t="n"/>
      <c r="BM875" s="692" t="n"/>
      <c r="BN875" s="692" t="n"/>
      <c r="BO875" s="692" t="n"/>
      <c r="BP875" s="692" t="n"/>
      <c r="BQ875" s="692" t="n"/>
    </row>
    <row r="876">
      <c r="A876" s="218" t="n"/>
      <c r="B876" s="215" t="n"/>
      <c r="C876" s="215" t="n"/>
      <c r="D876" s="215" t="n"/>
      <c r="E876" s="219" t="n"/>
      <c r="F876" s="215" t="n"/>
      <c r="G876" s="215" t="n"/>
      <c r="H876" s="215" t="n"/>
      <c r="I876" s="215" t="n"/>
      <c r="J876" s="215" t="n"/>
      <c r="K876" s="215" t="n"/>
      <c r="L876" s="217" t="n"/>
      <c r="M876" s="692" t="n"/>
      <c r="N876" s="692" t="n"/>
      <c r="O876" s="692" t="n"/>
      <c r="P876" s="261" t="n"/>
      <c r="Q876" s="692" t="n"/>
      <c r="R876" s="692" t="n"/>
      <c r="S876" s="692" t="n"/>
      <c r="T876" s="692" t="n"/>
      <c r="U876" s="692" t="n"/>
      <c r="V876" s="692" t="n"/>
      <c r="W876" s="692" t="n"/>
      <c r="X876" s="692" t="n"/>
      <c r="Y876" s="692" t="n"/>
      <c r="Z876" s="692" t="n"/>
      <c r="AA876" s="692" t="n"/>
      <c r="AB876" s="692" t="n"/>
      <c r="AC876" s="692" t="n"/>
      <c r="AD876" s="692" t="n"/>
      <c r="AF876" s="236" t="n"/>
      <c r="AG876" s="236" t="n"/>
      <c r="AH876" s="236" t="n"/>
      <c r="AI876" s="236" t="n"/>
      <c r="AJ876" s="236" t="n"/>
      <c r="AK876" s="236" t="n"/>
      <c r="AL876" s="236" t="n"/>
      <c r="AM876" s="236" t="n"/>
      <c r="AN876" s="236" t="n"/>
      <c r="AO876" s="236" t="n"/>
      <c r="AP876" s="236" t="n"/>
      <c r="AQ876" s="236" t="n"/>
      <c r="AR876" s="236" t="n"/>
      <c r="AS876" s="236" t="n"/>
      <c r="AT876" s="236" t="n"/>
      <c r="AU876" s="236" t="n"/>
      <c r="AV876" s="236" t="n"/>
      <c r="AW876" s="236" t="n"/>
      <c r="AX876" s="692" t="n"/>
      <c r="AY876" s="692" t="n"/>
      <c r="AZ876" s="692" t="n"/>
      <c r="BA876" s="692" t="n"/>
      <c r="BB876" s="692" t="n"/>
      <c r="BC876" s="692" t="n"/>
      <c r="BD876" s="692" t="n"/>
      <c r="BE876" s="692" t="n"/>
      <c r="BF876" s="692" t="n"/>
      <c r="BG876" s="692" t="n"/>
      <c r="BH876" s="692" t="n"/>
      <c r="BI876" s="692" t="n"/>
      <c r="BJ876" s="692" t="n"/>
      <c r="BK876" s="692" t="n"/>
      <c r="BL876" s="692" t="n"/>
      <c r="BM876" s="692" t="n"/>
      <c r="BN876" s="692" t="n"/>
      <c r="BO876" s="692" t="n"/>
      <c r="BP876" s="692" t="n"/>
      <c r="BQ876" s="692" t="n"/>
    </row>
    <row r="877">
      <c r="A877" s="220" t="n"/>
      <c r="B877" s="211" t="n"/>
      <c r="C877" s="211" t="n"/>
      <c r="D877" s="211" t="n"/>
      <c r="E877" s="221" t="n"/>
      <c r="F877" s="211" t="n"/>
      <c r="G877" s="211" t="n"/>
      <c r="H877" s="211" t="n"/>
      <c r="I877" s="211" t="n"/>
      <c r="J877" s="211" t="n"/>
      <c r="K877" s="211" t="n"/>
      <c r="L877" s="213" t="n"/>
      <c r="M877" s="692" t="n"/>
      <c r="N877" s="692" t="n"/>
      <c r="O877" s="692" t="n"/>
      <c r="P877" s="261" t="n"/>
      <c r="Q877" s="692" t="n"/>
      <c r="R877" s="692" t="n"/>
      <c r="S877" s="692" t="n"/>
      <c r="T877" s="692" t="n"/>
      <c r="U877" s="692" t="n"/>
      <c r="V877" s="692" t="n"/>
      <c r="W877" s="692" t="n"/>
      <c r="X877" s="692" t="n"/>
      <c r="Y877" s="692" t="n"/>
      <c r="Z877" s="692" t="n"/>
      <c r="AA877" s="692" t="n"/>
      <c r="AB877" s="692" t="n"/>
      <c r="AC877" s="692" t="n"/>
      <c r="AD877" s="692" t="n"/>
      <c r="AF877" s="236" t="n"/>
      <c r="AG877" s="236" t="n"/>
      <c r="AH877" s="236" t="n"/>
      <c r="AI877" s="236" t="n"/>
      <c r="AJ877" s="236" t="n"/>
      <c r="AK877" s="236" t="n"/>
      <c r="AL877" s="236" t="n"/>
      <c r="AM877" s="236" t="n"/>
      <c r="AN877" s="236" t="n"/>
      <c r="AO877" s="236" t="n"/>
      <c r="AP877" s="236" t="n"/>
      <c r="AQ877" s="236" t="n"/>
      <c r="AR877" s="236" t="n"/>
      <c r="AS877" s="236" t="n"/>
      <c r="AT877" s="236" t="n"/>
      <c r="AU877" s="236" t="n"/>
      <c r="AV877" s="236" t="n"/>
      <c r="AW877" s="236" t="n"/>
      <c r="AX877" s="692" t="n"/>
      <c r="AY877" s="692" t="n"/>
      <c r="AZ877" s="692" t="n"/>
      <c r="BA877" s="692" t="n"/>
      <c r="BB877" s="692" t="n"/>
      <c r="BC877" s="692" t="n"/>
      <c r="BD877" s="692" t="n"/>
      <c r="BE877" s="692" t="n"/>
      <c r="BF877" s="692" t="n"/>
      <c r="BG877" s="692" t="n"/>
      <c r="BH877" s="692" t="n"/>
      <c r="BI877" s="692" t="n"/>
      <c r="BJ877" s="692" t="n"/>
      <c r="BK877" s="692" t="n"/>
      <c r="BL877" s="692" t="n"/>
      <c r="BM877" s="692" t="n"/>
      <c r="BN877" s="692" t="n"/>
      <c r="BO877" s="692" t="n"/>
      <c r="BP877" s="692" t="n"/>
      <c r="BQ877" s="692" t="n"/>
    </row>
    <row r="878">
      <c r="A878" s="218" t="n"/>
      <c r="B878" s="215" t="n"/>
      <c r="C878" s="215" t="n"/>
      <c r="D878" s="215" t="n"/>
      <c r="E878" s="219" t="n"/>
      <c r="F878" s="215" t="n"/>
      <c r="G878" s="215" t="n"/>
      <c r="H878" s="215" t="n"/>
      <c r="I878" s="215" t="n"/>
      <c r="J878" s="215" t="n"/>
      <c r="K878" s="215" t="n"/>
      <c r="L878" s="217" t="n"/>
      <c r="M878" s="692" t="n"/>
      <c r="N878" s="692" t="n"/>
      <c r="O878" s="692" t="n"/>
      <c r="P878" s="261" t="n"/>
      <c r="Q878" s="692" t="n"/>
      <c r="R878" s="692" t="n"/>
      <c r="S878" s="692" t="n"/>
      <c r="T878" s="692" t="n"/>
      <c r="U878" s="692" t="n"/>
      <c r="V878" s="692" t="n"/>
      <c r="W878" s="692" t="n"/>
      <c r="X878" s="692" t="n"/>
      <c r="Y878" s="692" t="n"/>
      <c r="Z878" s="692" t="n"/>
      <c r="AA878" s="692" t="n"/>
      <c r="AB878" s="692" t="n"/>
      <c r="AC878" s="692" t="n"/>
      <c r="AD878" s="692" t="n"/>
      <c r="AF878" s="236" t="n"/>
      <c r="AG878" s="236" t="n"/>
      <c r="AH878" s="236" t="n"/>
      <c r="AI878" s="236" t="n"/>
      <c r="AJ878" s="236" t="n"/>
      <c r="AK878" s="236" t="n"/>
      <c r="AL878" s="236" t="n"/>
      <c r="AM878" s="236" t="n"/>
      <c r="AN878" s="236" t="n"/>
      <c r="AO878" s="236" t="n"/>
      <c r="AP878" s="236" t="n"/>
      <c r="AQ878" s="236" t="n"/>
      <c r="AR878" s="236" t="n"/>
      <c r="AS878" s="236" t="n"/>
      <c r="AT878" s="236" t="n"/>
      <c r="AU878" s="236" t="n"/>
      <c r="AV878" s="236" t="n"/>
      <c r="AW878" s="236" t="n"/>
      <c r="AX878" s="692" t="n"/>
      <c r="AY878" s="692" t="n"/>
      <c r="AZ878" s="692" t="n"/>
      <c r="BA878" s="692" t="n"/>
      <c r="BB878" s="692" t="n"/>
      <c r="BC878" s="692" t="n"/>
      <c r="BD878" s="692" t="n"/>
      <c r="BE878" s="692" t="n"/>
      <c r="BF878" s="692" t="n"/>
      <c r="BG878" s="692" t="n"/>
      <c r="BH878" s="692" t="n"/>
      <c r="BI878" s="692" t="n"/>
      <c r="BJ878" s="692" t="n"/>
      <c r="BK878" s="692" t="n"/>
      <c r="BL878" s="692" t="n"/>
      <c r="BM878" s="692" t="n"/>
      <c r="BN878" s="692" t="n"/>
      <c r="BO878" s="692" t="n"/>
      <c r="BP878" s="692" t="n"/>
      <c r="BQ878" s="692" t="n"/>
    </row>
    <row r="879">
      <c r="A879" s="220" t="n"/>
      <c r="B879" s="211" t="n"/>
      <c r="C879" s="211" t="n"/>
      <c r="D879" s="211" t="n"/>
      <c r="E879" s="221" t="n"/>
      <c r="F879" s="211" t="n"/>
      <c r="G879" s="211" t="n"/>
      <c r="H879" s="211" t="n"/>
      <c r="I879" s="211" t="n"/>
      <c r="J879" s="211" t="n"/>
      <c r="K879" s="211" t="n"/>
      <c r="L879" s="213" t="n"/>
      <c r="M879" s="692" t="n"/>
      <c r="N879" s="692" t="n"/>
      <c r="O879" s="692" t="n"/>
      <c r="P879" s="261" t="n"/>
      <c r="Q879" s="692" t="n"/>
      <c r="R879" s="692" t="n"/>
      <c r="S879" s="692" t="n"/>
      <c r="T879" s="692" t="n"/>
      <c r="U879" s="692" t="n"/>
      <c r="V879" s="692" t="n"/>
      <c r="W879" s="692" t="n"/>
      <c r="X879" s="692" t="n"/>
      <c r="Y879" s="692" t="n"/>
      <c r="Z879" s="692" t="n"/>
      <c r="AA879" s="692" t="n"/>
      <c r="AB879" s="692" t="n"/>
      <c r="AC879" s="692" t="n"/>
      <c r="AD879" s="692" t="n"/>
      <c r="AF879" s="236" t="n"/>
      <c r="AG879" s="236" t="n"/>
      <c r="AH879" s="236" t="n"/>
      <c r="AI879" s="236" t="n"/>
      <c r="AJ879" s="236" t="n"/>
      <c r="AK879" s="236" t="n"/>
      <c r="AL879" s="236" t="n"/>
      <c r="AM879" s="236" t="n"/>
      <c r="AN879" s="236" t="n"/>
      <c r="AO879" s="236" t="n"/>
      <c r="AP879" s="236" t="n"/>
      <c r="AQ879" s="236" t="n"/>
      <c r="AR879" s="236" t="n"/>
      <c r="AS879" s="236" t="n"/>
      <c r="AT879" s="236" t="n"/>
      <c r="AU879" s="236" t="n"/>
      <c r="AV879" s="236" t="n"/>
      <c r="AW879" s="236" t="n"/>
      <c r="AX879" s="692" t="n"/>
      <c r="AY879" s="692" t="n"/>
      <c r="AZ879" s="692" t="n"/>
      <c r="BA879" s="692" t="n"/>
      <c r="BB879" s="692" t="n"/>
      <c r="BC879" s="692" t="n"/>
      <c r="BD879" s="692" t="n"/>
      <c r="BE879" s="692" t="n"/>
      <c r="BF879" s="692" t="n"/>
      <c r="BG879" s="692" t="n"/>
      <c r="BH879" s="692" t="n"/>
      <c r="BI879" s="692" t="n"/>
      <c r="BJ879" s="692" t="n"/>
      <c r="BK879" s="692" t="n"/>
      <c r="BL879" s="692" t="n"/>
      <c r="BM879" s="692" t="n"/>
      <c r="BN879" s="692" t="n"/>
      <c r="BO879" s="692" t="n"/>
      <c r="BP879" s="692" t="n"/>
      <c r="BQ879" s="692" t="n"/>
    </row>
    <row r="880">
      <c r="A880" s="218" t="n"/>
      <c r="B880" s="215" t="n"/>
      <c r="C880" s="215" t="n"/>
      <c r="D880" s="215" t="n"/>
      <c r="E880" s="219" t="n"/>
      <c r="F880" s="215" t="n"/>
      <c r="G880" s="215" t="n"/>
      <c r="H880" s="215" t="n"/>
      <c r="I880" s="215" t="n"/>
      <c r="J880" s="215" t="n"/>
      <c r="K880" s="215" t="n"/>
      <c r="L880" s="217" t="n"/>
      <c r="M880" s="692" t="n"/>
      <c r="N880" s="692" t="n"/>
      <c r="O880" s="692" t="n"/>
      <c r="P880" s="261" t="n"/>
      <c r="Q880" s="692" t="n"/>
      <c r="R880" s="692" t="n"/>
      <c r="S880" s="692" t="n"/>
      <c r="T880" s="692" t="n"/>
      <c r="U880" s="692" t="n"/>
      <c r="V880" s="692" t="n"/>
      <c r="W880" s="692" t="n"/>
      <c r="X880" s="692" t="n"/>
      <c r="Y880" s="692" t="n"/>
      <c r="Z880" s="692" t="n"/>
      <c r="AA880" s="692" t="n"/>
      <c r="AB880" s="692" t="n"/>
      <c r="AC880" s="692" t="n"/>
      <c r="AD880" s="692" t="n"/>
      <c r="AF880" s="236" t="n"/>
      <c r="AG880" s="236" t="n"/>
      <c r="AH880" s="236" t="n"/>
      <c r="AI880" s="236" t="n"/>
      <c r="AJ880" s="236" t="n"/>
      <c r="AK880" s="236" t="n"/>
      <c r="AL880" s="236" t="n"/>
      <c r="AM880" s="236" t="n"/>
      <c r="AN880" s="236" t="n"/>
      <c r="AO880" s="236" t="n"/>
      <c r="AP880" s="236" t="n"/>
      <c r="AQ880" s="236" t="n"/>
      <c r="AR880" s="236" t="n"/>
      <c r="AS880" s="236" t="n"/>
      <c r="AT880" s="236" t="n"/>
      <c r="AU880" s="236" t="n"/>
      <c r="AV880" s="236" t="n"/>
      <c r="AW880" s="236" t="n"/>
      <c r="AX880" s="692" t="n"/>
      <c r="AY880" s="692" t="n"/>
      <c r="AZ880" s="692" t="n"/>
      <c r="BA880" s="692" t="n"/>
      <c r="BB880" s="692" t="n"/>
      <c r="BC880" s="692" t="n"/>
      <c r="BD880" s="692" t="n"/>
      <c r="BE880" s="692" t="n"/>
      <c r="BF880" s="692" t="n"/>
      <c r="BG880" s="692" t="n"/>
      <c r="BH880" s="692" t="n"/>
      <c r="BI880" s="692" t="n"/>
      <c r="BJ880" s="692" t="n"/>
      <c r="BK880" s="692" t="n"/>
      <c r="BL880" s="692" t="n"/>
      <c r="BM880" s="692" t="n"/>
      <c r="BN880" s="692" t="n"/>
      <c r="BO880" s="692" t="n"/>
      <c r="BP880" s="692" t="n"/>
      <c r="BQ880" s="692" t="n"/>
    </row>
    <row r="881">
      <c r="A881" s="220" t="n"/>
      <c r="B881" s="211" t="n"/>
      <c r="C881" s="211" t="n"/>
      <c r="D881" s="211" t="n"/>
      <c r="E881" s="221" t="n"/>
      <c r="F881" s="211" t="n"/>
      <c r="G881" s="211" t="n"/>
      <c r="H881" s="211" t="n"/>
      <c r="I881" s="211" t="n"/>
      <c r="J881" s="211" t="n"/>
      <c r="K881" s="211" t="n"/>
      <c r="L881" s="213" t="n"/>
      <c r="M881" s="692" t="n"/>
      <c r="N881" s="692" t="n"/>
      <c r="O881" s="692" t="n"/>
      <c r="P881" s="261" t="n"/>
      <c r="Q881" s="692" t="n"/>
      <c r="R881" s="692" t="n"/>
      <c r="S881" s="692" t="n"/>
      <c r="T881" s="692" t="n"/>
      <c r="U881" s="692" t="n"/>
      <c r="V881" s="692" t="n"/>
      <c r="W881" s="692" t="n"/>
      <c r="X881" s="692" t="n"/>
      <c r="Y881" s="692" t="n"/>
      <c r="Z881" s="692" t="n"/>
      <c r="AA881" s="692" t="n"/>
      <c r="AB881" s="692" t="n"/>
      <c r="AC881" s="692" t="n"/>
      <c r="AD881" s="692" t="n"/>
      <c r="AF881" s="236" t="n"/>
      <c r="AG881" s="236" t="n"/>
      <c r="AH881" s="236" t="n"/>
      <c r="AI881" s="236" t="n"/>
      <c r="AJ881" s="236" t="n"/>
      <c r="AK881" s="236" t="n"/>
      <c r="AL881" s="236" t="n"/>
      <c r="AM881" s="236" t="n"/>
      <c r="AN881" s="236" t="n"/>
      <c r="AO881" s="236" t="n"/>
      <c r="AP881" s="236" t="n"/>
      <c r="AQ881" s="236" t="n"/>
      <c r="AR881" s="236" t="n"/>
      <c r="AS881" s="236" t="n"/>
      <c r="AT881" s="236" t="n"/>
      <c r="AU881" s="236" t="n"/>
      <c r="AV881" s="236" t="n"/>
      <c r="AW881" s="236" t="n"/>
      <c r="AX881" s="692" t="n"/>
      <c r="AY881" s="692" t="n"/>
      <c r="AZ881" s="692" t="n"/>
      <c r="BA881" s="692" t="n"/>
      <c r="BB881" s="692" t="n"/>
      <c r="BC881" s="692" t="n"/>
      <c r="BD881" s="692" t="n"/>
      <c r="BE881" s="692" t="n"/>
      <c r="BF881" s="692" t="n"/>
      <c r="BG881" s="692" t="n"/>
      <c r="BH881" s="692" t="n"/>
      <c r="BI881" s="692" t="n"/>
      <c r="BJ881" s="692" t="n"/>
      <c r="BK881" s="692" t="n"/>
      <c r="BL881" s="692" t="n"/>
      <c r="BM881" s="692" t="n"/>
      <c r="BN881" s="692" t="n"/>
      <c r="BO881" s="692" t="n"/>
      <c r="BP881" s="692" t="n"/>
      <c r="BQ881" s="692" t="n"/>
    </row>
    <row r="882">
      <c r="A882" s="218" t="n"/>
      <c r="B882" s="215" t="n"/>
      <c r="C882" s="215" t="n"/>
      <c r="D882" s="215" t="n"/>
      <c r="E882" s="219" t="n"/>
      <c r="F882" s="215" t="n"/>
      <c r="G882" s="215" t="n"/>
      <c r="H882" s="215" t="n"/>
      <c r="I882" s="215" t="n"/>
      <c r="J882" s="215" t="n"/>
      <c r="K882" s="215" t="n"/>
      <c r="L882" s="217" t="n"/>
      <c r="M882" s="692" t="n"/>
      <c r="N882" s="692" t="n"/>
      <c r="O882" s="692" t="n"/>
      <c r="P882" s="261" t="n"/>
      <c r="Q882" s="692" t="n"/>
      <c r="R882" s="692" t="n"/>
      <c r="S882" s="692" t="n"/>
      <c r="T882" s="692" t="n"/>
      <c r="U882" s="692" t="n"/>
      <c r="V882" s="692" t="n"/>
      <c r="W882" s="692" t="n"/>
      <c r="X882" s="692" t="n"/>
      <c r="Y882" s="692" t="n"/>
      <c r="Z882" s="692" t="n"/>
      <c r="AA882" s="692" t="n"/>
      <c r="AB882" s="692" t="n"/>
      <c r="AC882" s="692" t="n"/>
      <c r="AD882" s="692" t="n"/>
      <c r="AF882" s="236" t="n"/>
      <c r="AG882" s="236" t="n"/>
      <c r="AH882" s="236" t="n"/>
      <c r="AI882" s="236" t="n"/>
      <c r="AJ882" s="236" t="n"/>
      <c r="AK882" s="236" t="n"/>
      <c r="AL882" s="236" t="n"/>
      <c r="AM882" s="236" t="n"/>
      <c r="AN882" s="236" t="n"/>
      <c r="AO882" s="236" t="n"/>
      <c r="AP882" s="236" t="n"/>
      <c r="AQ882" s="236" t="n"/>
      <c r="AR882" s="236" t="n"/>
      <c r="AS882" s="236" t="n"/>
      <c r="AT882" s="236" t="n"/>
      <c r="AU882" s="236" t="n"/>
      <c r="AV882" s="236" t="n"/>
      <c r="AW882" s="236" t="n"/>
      <c r="AX882" s="692" t="n"/>
      <c r="AY882" s="692" t="n"/>
      <c r="AZ882" s="692" t="n"/>
      <c r="BA882" s="692" t="n"/>
      <c r="BB882" s="692" t="n"/>
      <c r="BC882" s="692" t="n"/>
      <c r="BD882" s="692" t="n"/>
      <c r="BE882" s="692" t="n"/>
      <c r="BF882" s="692" t="n"/>
      <c r="BG882" s="692" t="n"/>
      <c r="BH882" s="692" t="n"/>
      <c r="BI882" s="692" t="n"/>
      <c r="BJ882" s="692" t="n"/>
      <c r="BK882" s="692" t="n"/>
      <c r="BL882" s="692" t="n"/>
      <c r="BM882" s="692" t="n"/>
      <c r="BN882" s="692" t="n"/>
      <c r="BO882" s="692" t="n"/>
      <c r="BP882" s="692" t="n"/>
      <c r="BQ882" s="692" t="n"/>
    </row>
    <row r="883">
      <c r="A883" s="220" t="n"/>
      <c r="B883" s="211" t="n"/>
      <c r="C883" s="211" t="n"/>
      <c r="D883" s="211" t="n"/>
      <c r="E883" s="221" t="n"/>
      <c r="F883" s="211" t="n"/>
      <c r="G883" s="211" t="n"/>
      <c r="H883" s="211" t="n"/>
      <c r="I883" s="211" t="n"/>
      <c r="J883" s="211" t="n"/>
      <c r="K883" s="211" t="n"/>
      <c r="L883" s="213" t="n"/>
      <c r="M883" s="692" t="n"/>
      <c r="N883" s="692" t="n"/>
      <c r="O883" s="692" t="n"/>
      <c r="P883" s="261" t="n"/>
      <c r="Q883" s="692" t="n"/>
      <c r="R883" s="692" t="n"/>
      <c r="S883" s="692" t="n"/>
      <c r="T883" s="692" t="n"/>
      <c r="U883" s="692" t="n"/>
      <c r="V883" s="692" t="n"/>
      <c r="W883" s="692" t="n"/>
      <c r="X883" s="692" t="n"/>
      <c r="Y883" s="692" t="n"/>
      <c r="Z883" s="692" t="n"/>
      <c r="AA883" s="692" t="n"/>
      <c r="AB883" s="692" t="n"/>
      <c r="AC883" s="692" t="n"/>
      <c r="AD883" s="692" t="n"/>
      <c r="AF883" s="236" t="n"/>
      <c r="AG883" s="236" t="n"/>
      <c r="AH883" s="236" t="n"/>
      <c r="AI883" s="236" t="n"/>
      <c r="AJ883" s="236" t="n"/>
      <c r="AK883" s="236" t="n"/>
      <c r="AL883" s="236" t="n"/>
      <c r="AM883" s="236" t="n"/>
      <c r="AN883" s="236" t="n"/>
      <c r="AO883" s="236" t="n"/>
      <c r="AP883" s="236" t="n"/>
      <c r="AQ883" s="236" t="n"/>
      <c r="AR883" s="236" t="n"/>
      <c r="AS883" s="236" t="n"/>
      <c r="AT883" s="236" t="n"/>
      <c r="AU883" s="236" t="n"/>
      <c r="AV883" s="236" t="n"/>
      <c r="AW883" s="236" t="n"/>
      <c r="AX883" s="692" t="n"/>
      <c r="AY883" s="692" t="n"/>
      <c r="AZ883" s="692" t="n"/>
      <c r="BA883" s="692" t="n"/>
      <c r="BB883" s="692" t="n"/>
      <c r="BC883" s="692" t="n"/>
      <c r="BD883" s="692" t="n"/>
      <c r="BE883" s="692" t="n"/>
      <c r="BF883" s="692" t="n"/>
      <c r="BG883" s="692" t="n"/>
      <c r="BH883" s="692" t="n"/>
      <c r="BI883" s="692" t="n"/>
      <c r="BJ883" s="692" t="n"/>
      <c r="BK883" s="692" t="n"/>
      <c r="BL883" s="692" t="n"/>
      <c r="BM883" s="692" t="n"/>
      <c r="BN883" s="692" t="n"/>
      <c r="BO883" s="692" t="n"/>
      <c r="BP883" s="692" t="n"/>
      <c r="BQ883" s="692" t="n"/>
    </row>
    <row r="884">
      <c r="A884" s="218" t="n"/>
      <c r="B884" s="215" t="n"/>
      <c r="C884" s="215" t="n"/>
      <c r="D884" s="215" t="n"/>
      <c r="E884" s="219" t="n"/>
      <c r="F884" s="215" t="n"/>
      <c r="G884" s="215" t="n"/>
      <c r="H884" s="215" t="n"/>
      <c r="I884" s="215" t="n"/>
      <c r="J884" s="215" t="n"/>
      <c r="K884" s="215" t="n"/>
      <c r="L884" s="217" t="n"/>
      <c r="M884" s="692" t="n"/>
      <c r="N884" s="692" t="n"/>
      <c r="O884" s="692" t="n"/>
      <c r="P884" s="261" t="n"/>
      <c r="Q884" s="692" t="n"/>
      <c r="R884" s="692" t="n"/>
      <c r="S884" s="692" t="n"/>
      <c r="T884" s="692" t="n"/>
      <c r="U884" s="692" t="n"/>
      <c r="V884" s="692" t="n"/>
      <c r="W884" s="692" t="n"/>
      <c r="X884" s="692" t="n"/>
      <c r="Y884" s="692" t="n"/>
      <c r="Z884" s="692" t="n"/>
      <c r="AA884" s="692" t="n"/>
      <c r="AB884" s="692" t="n"/>
      <c r="AC884" s="692" t="n"/>
      <c r="AD884" s="692" t="n"/>
      <c r="AF884" s="236" t="n"/>
      <c r="AG884" s="236" t="n"/>
      <c r="AH884" s="236" t="n"/>
      <c r="AI884" s="236" t="n"/>
      <c r="AJ884" s="236" t="n"/>
      <c r="AK884" s="236" t="n"/>
      <c r="AL884" s="236" t="n"/>
      <c r="AM884" s="236" t="n"/>
      <c r="AN884" s="236" t="n"/>
      <c r="AO884" s="236" t="n"/>
      <c r="AP884" s="236" t="n"/>
      <c r="AQ884" s="236" t="n"/>
      <c r="AR884" s="236" t="n"/>
      <c r="AS884" s="236" t="n"/>
      <c r="AT884" s="236" t="n"/>
      <c r="AU884" s="236" t="n"/>
      <c r="AV884" s="236" t="n"/>
      <c r="AW884" s="236" t="n"/>
      <c r="AX884" s="692" t="n"/>
      <c r="AY884" s="692" t="n"/>
      <c r="AZ884" s="692" t="n"/>
      <c r="BA884" s="692" t="n"/>
      <c r="BB884" s="692" t="n"/>
      <c r="BC884" s="692" t="n"/>
      <c r="BD884" s="692" t="n"/>
      <c r="BE884" s="692" t="n"/>
      <c r="BF884" s="692" t="n"/>
      <c r="BG884" s="692" t="n"/>
      <c r="BH884" s="692" t="n"/>
      <c r="BI884" s="692" t="n"/>
      <c r="BJ884" s="692" t="n"/>
      <c r="BK884" s="692" t="n"/>
      <c r="BL884" s="692" t="n"/>
      <c r="BM884" s="692" t="n"/>
      <c r="BN884" s="692" t="n"/>
      <c r="BO884" s="692" t="n"/>
      <c r="BP884" s="692" t="n"/>
      <c r="BQ884" s="692" t="n"/>
    </row>
    <row r="885">
      <c r="A885" s="220" t="n"/>
      <c r="B885" s="211" t="n"/>
      <c r="C885" s="211" t="n"/>
      <c r="D885" s="211" t="n"/>
      <c r="E885" s="221" t="n"/>
      <c r="F885" s="211" t="n"/>
      <c r="G885" s="211" t="n"/>
      <c r="H885" s="211" t="n"/>
      <c r="I885" s="211" t="n"/>
      <c r="J885" s="211" t="n"/>
      <c r="K885" s="211" t="n"/>
      <c r="L885" s="213" t="n"/>
      <c r="M885" s="692" t="n"/>
      <c r="N885" s="692" t="n"/>
      <c r="O885" s="692" t="n"/>
      <c r="P885" s="261" t="n"/>
      <c r="Q885" s="692" t="n"/>
      <c r="R885" s="692" t="n"/>
      <c r="S885" s="692" t="n"/>
      <c r="T885" s="692" t="n"/>
      <c r="U885" s="692" t="n"/>
      <c r="V885" s="692" t="n"/>
      <c r="W885" s="692" t="n"/>
      <c r="X885" s="692" t="n"/>
      <c r="Y885" s="692" t="n"/>
      <c r="Z885" s="692" t="n"/>
      <c r="AA885" s="692" t="n"/>
      <c r="AB885" s="692" t="n"/>
      <c r="AC885" s="692" t="n"/>
      <c r="AD885" s="692" t="n"/>
      <c r="AF885" s="236" t="n"/>
      <c r="AG885" s="236" t="n"/>
      <c r="AH885" s="236" t="n"/>
      <c r="AI885" s="236" t="n"/>
      <c r="AJ885" s="236" t="n"/>
      <c r="AK885" s="236" t="n"/>
      <c r="AL885" s="236" t="n"/>
      <c r="AM885" s="236" t="n"/>
      <c r="AN885" s="236" t="n"/>
      <c r="AO885" s="236" t="n"/>
      <c r="AP885" s="236" t="n"/>
      <c r="AQ885" s="236" t="n"/>
      <c r="AR885" s="236" t="n"/>
      <c r="AS885" s="236" t="n"/>
      <c r="AT885" s="236" t="n"/>
      <c r="AU885" s="236" t="n"/>
      <c r="AV885" s="236" t="n"/>
      <c r="AW885" s="236" t="n"/>
      <c r="AX885" s="692" t="n"/>
      <c r="AY885" s="692" t="n"/>
      <c r="AZ885" s="692" t="n"/>
      <c r="BA885" s="692" t="n"/>
      <c r="BB885" s="692" t="n"/>
      <c r="BC885" s="692" t="n"/>
      <c r="BD885" s="692" t="n"/>
      <c r="BE885" s="692" t="n"/>
      <c r="BF885" s="692" t="n"/>
      <c r="BG885" s="692" t="n"/>
      <c r="BH885" s="692" t="n"/>
      <c r="BI885" s="692" t="n"/>
      <c r="BJ885" s="692" t="n"/>
      <c r="BK885" s="692" t="n"/>
      <c r="BL885" s="692" t="n"/>
      <c r="BM885" s="692" t="n"/>
      <c r="BN885" s="692" t="n"/>
      <c r="BO885" s="692" t="n"/>
      <c r="BP885" s="692" t="n"/>
      <c r="BQ885" s="692" t="n"/>
    </row>
    <row r="886">
      <c r="A886" s="218" t="n"/>
      <c r="B886" s="215" t="n"/>
      <c r="C886" s="215" t="n"/>
      <c r="D886" s="215" t="n"/>
      <c r="E886" s="219" t="n"/>
      <c r="F886" s="215" t="n"/>
      <c r="G886" s="215" t="n"/>
      <c r="H886" s="215" t="n"/>
      <c r="I886" s="215" t="n"/>
      <c r="J886" s="215" t="n"/>
      <c r="K886" s="215" t="n"/>
      <c r="L886" s="217" t="n"/>
      <c r="M886" s="692" t="n"/>
      <c r="N886" s="692" t="n"/>
      <c r="O886" s="692" t="n"/>
      <c r="P886" s="261" t="n"/>
      <c r="Q886" s="692" t="n"/>
      <c r="R886" s="692" t="n"/>
      <c r="S886" s="692" t="n"/>
      <c r="T886" s="692" t="n"/>
      <c r="U886" s="692" t="n"/>
      <c r="V886" s="692" t="n"/>
      <c r="W886" s="692" t="n"/>
      <c r="X886" s="692" t="n"/>
      <c r="Y886" s="692" t="n"/>
      <c r="Z886" s="692" t="n"/>
      <c r="AA886" s="692" t="n"/>
      <c r="AB886" s="692" t="n"/>
      <c r="AC886" s="692" t="n"/>
      <c r="AD886" s="692" t="n"/>
      <c r="AF886" s="236" t="n"/>
      <c r="AG886" s="236" t="n"/>
      <c r="AH886" s="236" t="n"/>
      <c r="AI886" s="236" t="n"/>
      <c r="AJ886" s="236" t="n"/>
      <c r="AK886" s="236" t="n"/>
      <c r="AL886" s="236" t="n"/>
      <c r="AM886" s="236" t="n"/>
      <c r="AN886" s="236" t="n"/>
      <c r="AO886" s="236" t="n"/>
      <c r="AP886" s="236" t="n"/>
      <c r="AQ886" s="236" t="n"/>
      <c r="AR886" s="236" t="n"/>
      <c r="AS886" s="236" t="n"/>
      <c r="AT886" s="236" t="n"/>
      <c r="AU886" s="236" t="n"/>
      <c r="AV886" s="236" t="n"/>
      <c r="AW886" s="236" t="n"/>
      <c r="AX886" s="692" t="n"/>
      <c r="AY886" s="692" t="n"/>
      <c r="AZ886" s="692" t="n"/>
      <c r="BA886" s="692" t="n"/>
      <c r="BB886" s="692" t="n"/>
      <c r="BC886" s="692" t="n"/>
      <c r="BD886" s="692" t="n"/>
      <c r="BE886" s="692" t="n"/>
      <c r="BF886" s="692" t="n"/>
      <c r="BG886" s="692" t="n"/>
      <c r="BH886" s="692" t="n"/>
      <c r="BI886" s="692" t="n"/>
      <c r="BJ886" s="692" t="n"/>
      <c r="BK886" s="692" t="n"/>
      <c r="BL886" s="692" t="n"/>
      <c r="BM886" s="692" t="n"/>
      <c r="BN886" s="692" t="n"/>
      <c r="BO886" s="692" t="n"/>
      <c r="BP886" s="692" t="n"/>
      <c r="BQ886" s="692" t="n"/>
    </row>
    <row r="887">
      <c r="A887" s="220" t="n"/>
      <c r="B887" s="211" t="n"/>
      <c r="C887" s="211" t="n"/>
      <c r="D887" s="211" t="n"/>
      <c r="E887" s="221" t="n"/>
      <c r="F887" s="211" t="n"/>
      <c r="G887" s="211" t="n"/>
      <c r="H887" s="211" t="n"/>
      <c r="I887" s="211" t="n"/>
      <c r="J887" s="211" t="n"/>
      <c r="K887" s="211" t="n"/>
      <c r="L887" s="213" t="n"/>
      <c r="M887" s="692" t="n"/>
      <c r="N887" s="692" t="n"/>
      <c r="O887" s="692" t="n"/>
      <c r="P887" s="261" t="n"/>
      <c r="Q887" s="692" t="n"/>
      <c r="R887" s="692" t="n"/>
      <c r="S887" s="692" t="n"/>
      <c r="T887" s="692" t="n"/>
      <c r="U887" s="692" t="n"/>
      <c r="V887" s="692" t="n"/>
      <c r="W887" s="692" t="n"/>
      <c r="X887" s="692" t="n"/>
      <c r="Y887" s="692" t="n"/>
      <c r="Z887" s="692" t="n"/>
      <c r="AA887" s="692" t="n"/>
      <c r="AB887" s="692" t="n"/>
      <c r="AC887" s="692" t="n"/>
      <c r="AD887" s="692" t="n"/>
      <c r="AF887" s="236" t="n"/>
      <c r="AG887" s="236" t="n"/>
      <c r="AH887" s="236" t="n"/>
      <c r="AI887" s="236" t="n"/>
      <c r="AJ887" s="236" t="n"/>
      <c r="AK887" s="236" t="n"/>
      <c r="AL887" s="236" t="n"/>
      <c r="AM887" s="236" t="n"/>
      <c r="AN887" s="236" t="n"/>
      <c r="AO887" s="236" t="n"/>
      <c r="AP887" s="236" t="n"/>
      <c r="AQ887" s="236" t="n"/>
      <c r="AR887" s="236" t="n"/>
      <c r="AS887" s="236" t="n"/>
      <c r="AT887" s="236" t="n"/>
      <c r="AU887" s="236" t="n"/>
      <c r="AV887" s="236" t="n"/>
      <c r="AW887" s="236" t="n"/>
      <c r="AX887" s="692" t="n"/>
      <c r="AY887" s="692" t="n"/>
      <c r="AZ887" s="692" t="n"/>
      <c r="BA887" s="692" t="n"/>
      <c r="BB887" s="692" t="n"/>
      <c r="BC887" s="692" t="n"/>
      <c r="BD887" s="692" t="n"/>
      <c r="BE887" s="692" t="n"/>
      <c r="BF887" s="692" t="n"/>
      <c r="BG887" s="692" t="n"/>
      <c r="BH887" s="692" t="n"/>
      <c r="BI887" s="692" t="n"/>
      <c r="BJ887" s="692" t="n"/>
      <c r="BK887" s="692" t="n"/>
      <c r="BL887" s="692" t="n"/>
      <c r="BM887" s="692" t="n"/>
      <c r="BN887" s="692" t="n"/>
      <c r="BO887" s="692" t="n"/>
      <c r="BP887" s="692" t="n"/>
      <c r="BQ887" s="692" t="n"/>
    </row>
    <row r="888">
      <c r="A888" s="218" t="n"/>
      <c r="B888" s="215" t="n"/>
      <c r="C888" s="215" t="n"/>
      <c r="D888" s="215" t="n"/>
      <c r="E888" s="219" t="n"/>
      <c r="F888" s="215" t="n"/>
      <c r="G888" s="215" t="n"/>
      <c r="H888" s="215" t="n"/>
      <c r="I888" s="215" t="n"/>
      <c r="J888" s="215" t="n"/>
      <c r="K888" s="215" t="n"/>
      <c r="L888" s="217" t="n"/>
      <c r="M888" s="692" t="n"/>
      <c r="N888" s="692" t="n"/>
      <c r="O888" s="692" t="n"/>
      <c r="P888" s="261" t="n"/>
      <c r="Q888" s="692" t="n"/>
      <c r="R888" s="692" t="n"/>
      <c r="S888" s="692" t="n"/>
      <c r="T888" s="692" t="n"/>
      <c r="U888" s="692" t="n"/>
      <c r="V888" s="692" t="n"/>
      <c r="W888" s="692" t="n"/>
      <c r="X888" s="692" t="n"/>
      <c r="Y888" s="692" t="n"/>
      <c r="Z888" s="692" t="n"/>
      <c r="AA888" s="692" t="n"/>
      <c r="AB888" s="692" t="n"/>
      <c r="AC888" s="692" t="n"/>
      <c r="AD888" s="692" t="n"/>
      <c r="AF888" s="236" t="n"/>
      <c r="AG888" s="236" t="n"/>
      <c r="AH888" s="236" t="n"/>
      <c r="AI888" s="236" t="n"/>
      <c r="AJ888" s="236" t="n"/>
      <c r="AK888" s="236" t="n"/>
      <c r="AL888" s="236" t="n"/>
      <c r="AM888" s="236" t="n"/>
      <c r="AN888" s="236" t="n"/>
      <c r="AO888" s="236" t="n"/>
      <c r="AP888" s="236" t="n"/>
      <c r="AQ888" s="236" t="n"/>
      <c r="AR888" s="236" t="n"/>
      <c r="AS888" s="236" t="n"/>
      <c r="AT888" s="236" t="n"/>
      <c r="AU888" s="236" t="n"/>
      <c r="AV888" s="236" t="n"/>
      <c r="AW888" s="236" t="n"/>
      <c r="AX888" s="692" t="n"/>
      <c r="AY888" s="692" t="n"/>
      <c r="AZ888" s="692" t="n"/>
      <c r="BA888" s="692" t="n"/>
      <c r="BB888" s="692" t="n"/>
      <c r="BC888" s="692" t="n"/>
      <c r="BD888" s="692" t="n"/>
      <c r="BE888" s="692" t="n"/>
      <c r="BF888" s="692" t="n"/>
      <c r="BG888" s="692" t="n"/>
      <c r="BH888" s="692" t="n"/>
      <c r="BI888" s="692" t="n"/>
      <c r="BJ888" s="692" t="n"/>
      <c r="BK888" s="692" t="n"/>
      <c r="BL888" s="692" t="n"/>
      <c r="BM888" s="692" t="n"/>
      <c r="BN888" s="692" t="n"/>
      <c r="BO888" s="692" t="n"/>
      <c r="BP888" s="692" t="n"/>
      <c r="BQ888" s="692" t="n"/>
    </row>
    <row r="889">
      <c r="A889" s="220" t="n"/>
      <c r="B889" s="211" t="n"/>
      <c r="C889" s="211" t="n"/>
      <c r="D889" s="211" t="n"/>
      <c r="E889" s="221" t="n"/>
      <c r="F889" s="211" t="n"/>
      <c r="G889" s="211" t="n"/>
      <c r="H889" s="211" t="n"/>
      <c r="I889" s="211" t="n"/>
      <c r="J889" s="211" t="n"/>
      <c r="K889" s="211" t="n"/>
      <c r="L889" s="213" t="n"/>
      <c r="M889" s="692" t="n"/>
      <c r="N889" s="692" t="n"/>
      <c r="O889" s="692" t="n"/>
      <c r="P889" s="261" t="n"/>
      <c r="Q889" s="692" t="n"/>
      <c r="R889" s="692" t="n"/>
      <c r="S889" s="692" t="n"/>
      <c r="T889" s="692" t="n"/>
      <c r="U889" s="692" t="n"/>
      <c r="V889" s="692" t="n"/>
      <c r="W889" s="692" t="n"/>
      <c r="X889" s="692" t="n"/>
      <c r="Y889" s="692" t="n"/>
      <c r="Z889" s="692" t="n"/>
      <c r="AA889" s="692" t="n"/>
      <c r="AB889" s="692" t="n"/>
      <c r="AC889" s="692" t="n"/>
      <c r="AD889" s="692" t="n"/>
      <c r="AF889" s="236" t="n"/>
      <c r="AG889" s="236" t="n"/>
      <c r="AH889" s="236" t="n"/>
      <c r="AI889" s="236" t="n"/>
      <c r="AJ889" s="236" t="n"/>
      <c r="AK889" s="236" t="n"/>
      <c r="AL889" s="236" t="n"/>
      <c r="AM889" s="236" t="n"/>
      <c r="AN889" s="236" t="n"/>
      <c r="AO889" s="236" t="n"/>
      <c r="AP889" s="236" t="n"/>
      <c r="AQ889" s="236" t="n"/>
      <c r="AR889" s="236" t="n"/>
      <c r="AS889" s="236" t="n"/>
      <c r="AT889" s="236" t="n"/>
      <c r="AU889" s="236" t="n"/>
      <c r="AV889" s="236" t="n"/>
      <c r="AW889" s="236" t="n"/>
      <c r="AX889" s="692" t="n"/>
      <c r="AY889" s="692" t="n"/>
      <c r="AZ889" s="692" t="n"/>
      <c r="BA889" s="692" t="n"/>
      <c r="BB889" s="692" t="n"/>
      <c r="BC889" s="692" t="n"/>
      <c r="BD889" s="692" t="n"/>
      <c r="BE889" s="692" t="n"/>
      <c r="BF889" s="692" t="n"/>
      <c r="BG889" s="692" t="n"/>
      <c r="BH889" s="692" t="n"/>
      <c r="BI889" s="692" t="n"/>
      <c r="BJ889" s="692" t="n"/>
      <c r="BK889" s="692" t="n"/>
      <c r="BL889" s="692" t="n"/>
      <c r="BM889" s="692" t="n"/>
      <c r="BN889" s="692" t="n"/>
      <c r="BO889" s="692" t="n"/>
      <c r="BP889" s="692" t="n"/>
      <c r="BQ889" s="692" t="n"/>
    </row>
    <row r="890">
      <c r="A890" s="218" t="n"/>
      <c r="B890" s="215" t="n"/>
      <c r="C890" s="215" t="n"/>
      <c r="D890" s="215" t="n"/>
      <c r="E890" s="219" t="n"/>
      <c r="F890" s="215" t="n"/>
      <c r="G890" s="215" t="n"/>
      <c r="H890" s="215" t="n"/>
      <c r="I890" s="215" t="n"/>
      <c r="J890" s="215" t="n"/>
      <c r="K890" s="215" t="n"/>
      <c r="L890" s="217" t="n"/>
      <c r="M890" s="692" t="n"/>
      <c r="N890" s="692" t="n"/>
      <c r="O890" s="692" t="n"/>
      <c r="P890" s="261" t="n"/>
      <c r="Q890" s="692" t="n"/>
      <c r="R890" s="692" t="n"/>
      <c r="S890" s="692" t="n"/>
      <c r="T890" s="692" t="n"/>
      <c r="U890" s="692" t="n"/>
      <c r="V890" s="692" t="n"/>
      <c r="W890" s="692" t="n"/>
      <c r="X890" s="692" t="n"/>
      <c r="Y890" s="692" t="n"/>
      <c r="Z890" s="692" t="n"/>
      <c r="AA890" s="692" t="n"/>
      <c r="AB890" s="692" t="n"/>
      <c r="AC890" s="692" t="n"/>
      <c r="AD890" s="692" t="n"/>
      <c r="AF890" s="236" t="n"/>
      <c r="AG890" s="236" t="n"/>
      <c r="AH890" s="236" t="n"/>
      <c r="AI890" s="236" t="n"/>
      <c r="AJ890" s="236" t="n"/>
      <c r="AK890" s="236" t="n"/>
      <c r="AL890" s="236" t="n"/>
      <c r="AM890" s="236" t="n"/>
      <c r="AN890" s="236" t="n"/>
      <c r="AO890" s="236" t="n"/>
      <c r="AP890" s="236" t="n"/>
      <c r="AQ890" s="236" t="n"/>
      <c r="AR890" s="236" t="n"/>
      <c r="AS890" s="236" t="n"/>
      <c r="AT890" s="236" t="n"/>
      <c r="AU890" s="236" t="n"/>
      <c r="AV890" s="236" t="n"/>
      <c r="AW890" s="236" t="n"/>
      <c r="AX890" s="692" t="n"/>
      <c r="AY890" s="692" t="n"/>
      <c r="AZ890" s="692" t="n"/>
      <c r="BA890" s="692" t="n"/>
      <c r="BB890" s="692" t="n"/>
      <c r="BC890" s="692" t="n"/>
      <c r="BD890" s="692" t="n"/>
      <c r="BE890" s="692" t="n"/>
      <c r="BF890" s="692" t="n"/>
      <c r="BG890" s="692" t="n"/>
      <c r="BH890" s="692" t="n"/>
      <c r="BI890" s="692" t="n"/>
      <c r="BJ890" s="692" t="n"/>
      <c r="BK890" s="692" t="n"/>
      <c r="BL890" s="692" t="n"/>
      <c r="BM890" s="692" t="n"/>
      <c r="BN890" s="692" t="n"/>
      <c r="BO890" s="692" t="n"/>
      <c r="BP890" s="692" t="n"/>
      <c r="BQ890" s="692" t="n"/>
    </row>
    <row r="891">
      <c r="A891" s="220" t="n"/>
      <c r="B891" s="211" t="n"/>
      <c r="C891" s="211" t="n"/>
      <c r="D891" s="211" t="n"/>
      <c r="E891" s="221" t="n"/>
      <c r="F891" s="211" t="n"/>
      <c r="G891" s="211" t="n"/>
      <c r="H891" s="211" t="n"/>
      <c r="I891" s="211" t="n"/>
      <c r="J891" s="211" t="n"/>
      <c r="K891" s="211" t="n"/>
      <c r="L891" s="213" t="n"/>
      <c r="M891" s="692" t="n"/>
      <c r="N891" s="692" t="n"/>
      <c r="O891" s="692" t="n"/>
      <c r="P891" s="261" t="n"/>
      <c r="Q891" s="692" t="n"/>
      <c r="R891" s="692" t="n"/>
      <c r="S891" s="692" t="n"/>
      <c r="T891" s="692" t="n"/>
      <c r="U891" s="692" t="n"/>
      <c r="V891" s="692" t="n"/>
      <c r="W891" s="692" t="n"/>
      <c r="X891" s="692" t="n"/>
      <c r="Y891" s="692" t="n"/>
      <c r="Z891" s="692" t="n"/>
      <c r="AA891" s="692" t="n"/>
      <c r="AB891" s="692" t="n"/>
      <c r="AC891" s="692" t="n"/>
      <c r="AD891" s="692" t="n"/>
      <c r="AF891" s="236" t="n"/>
      <c r="AG891" s="236" t="n"/>
      <c r="AH891" s="236" t="n"/>
      <c r="AI891" s="236" t="n"/>
      <c r="AJ891" s="236" t="n"/>
      <c r="AK891" s="236" t="n"/>
      <c r="AL891" s="236" t="n"/>
      <c r="AM891" s="236" t="n"/>
      <c r="AN891" s="236" t="n"/>
      <c r="AO891" s="236" t="n"/>
      <c r="AP891" s="236" t="n"/>
      <c r="AQ891" s="236" t="n"/>
      <c r="AR891" s="236" t="n"/>
      <c r="AS891" s="236" t="n"/>
      <c r="AT891" s="236" t="n"/>
      <c r="AU891" s="236" t="n"/>
      <c r="AV891" s="236" t="n"/>
      <c r="AW891" s="236" t="n"/>
      <c r="AX891" s="692" t="n"/>
      <c r="AY891" s="692" t="n"/>
      <c r="AZ891" s="692" t="n"/>
      <c r="BA891" s="692" t="n"/>
      <c r="BB891" s="692" t="n"/>
      <c r="BC891" s="692" t="n"/>
      <c r="BD891" s="692" t="n"/>
      <c r="BE891" s="692" t="n"/>
      <c r="BF891" s="692" t="n"/>
      <c r="BG891" s="692" t="n"/>
      <c r="BH891" s="692" t="n"/>
      <c r="BI891" s="692" t="n"/>
      <c r="BJ891" s="692" t="n"/>
      <c r="BK891" s="692" t="n"/>
      <c r="BL891" s="692" t="n"/>
      <c r="BM891" s="692" t="n"/>
      <c r="BN891" s="692" t="n"/>
      <c r="BO891" s="692" t="n"/>
      <c r="BP891" s="692" t="n"/>
      <c r="BQ891" s="692" t="n"/>
    </row>
    <row r="892">
      <c r="A892" s="218" t="n"/>
      <c r="B892" s="215" t="n"/>
      <c r="C892" s="215" t="n"/>
      <c r="D892" s="215" t="n"/>
      <c r="E892" s="219" t="n"/>
      <c r="F892" s="215" t="n"/>
      <c r="G892" s="215" t="n"/>
      <c r="H892" s="215" t="n"/>
      <c r="I892" s="215" t="n"/>
      <c r="J892" s="215" t="n"/>
      <c r="K892" s="215" t="n"/>
      <c r="L892" s="217" t="n"/>
      <c r="M892" s="692" t="n"/>
      <c r="N892" s="692" t="n"/>
      <c r="O892" s="692" t="n"/>
      <c r="P892" s="261" t="n"/>
      <c r="Q892" s="692" t="n"/>
      <c r="R892" s="692" t="n"/>
      <c r="S892" s="692" t="n"/>
      <c r="T892" s="692" t="n"/>
      <c r="U892" s="692" t="n"/>
      <c r="V892" s="692" t="n"/>
      <c r="W892" s="692" t="n"/>
      <c r="X892" s="692" t="n"/>
      <c r="Y892" s="692" t="n"/>
      <c r="Z892" s="692" t="n"/>
      <c r="AA892" s="692" t="n"/>
      <c r="AB892" s="692" t="n"/>
      <c r="AC892" s="692" t="n"/>
      <c r="AD892" s="692" t="n"/>
      <c r="AF892" s="236" t="n"/>
      <c r="AG892" s="236" t="n"/>
      <c r="AH892" s="236" t="n"/>
      <c r="AI892" s="236" t="n"/>
      <c r="AJ892" s="236" t="n"/>
      <c r="AK892" s="236" t="n"/>
      <c r="AL892" s="236" t="n"/>
      <c r="AM892" s="236" t="n"/>
      <c r="AN892" s="236" t="n"/>
      <c r="AO892" s="236" t="n"/>
      <c r="AP892" s="236" t="n"/>
      <c r="AQ892" s="236" t="n"/>
      <c r="AR892" s="236" t="n"/>
      <c r="AS892" s="236" t="n"/>
      <c r="AT892" s="236" t="n"/>
      <c r="AU892" s="236" t="n"/>
      <c r="AV892" s="236" t="n"/>
      <c r="AW892" s="236" t="n"/>
      <c r="AX892" s="692" t="n"/>
      <c r="AY892" s="692" t="n"/>
      <c r="AZ892" s="692" t="n"/>
      <c r="BA892" s="692" t="n"/>
      <c r="BB892" s="692" t="n"/>
      <c r="BC892" s="692" t="n"/>
      <c r="BD892" s="692" t="n"/>
      <c r="BE892" s="692" t="n"/>
      <c r="BF892" s="692" t="n"/>
      <c r="BG892" s="692" t="n"/>
      <c r="BH892" s="692" t="n"/>
      <c r="BI892" s="692" t="n"/>
      <c r="BJ892" s="692" t="n"/>
      <c r="BK892" s="692" t="n"/>
      <c r="BL892" s="692" t="n"/>
      <c r="BM892" s="692" t="n"/>
      <c r="BN892" s="692" t="n"/>
      <c r="BO892" s="692" t="n"/>
      <c r="BP892" s="692" t="n"/>
      <c r="BQ892" s="692" t="n"/>
    </row>
    <row r="893">
      <c r="A893" s="220" t="n"/>
      <c r="B893" s="211" t="n"/>
      <c r="C893" s="211" t="n"/>
      <c r="D893" s="211" t="n"/>
      <c r="E893" s="221" t="n"/>
      <c r="F893" s="211" t="n"/>
      <c r="G893" s="211" t="n"/>
      <c r="H893" s="211" t="n"/>
      <c r="I893" s="211" t="n"/>
      <c r="J893" s="211" t="n"/>
      <c r="K893" s="211" t="n"/>
      <c r="L893" s="213" t="n"/>
      <c r="M893" s="692" t="n"/>
      <c r="N893" s="692" t="n"/>
      <c r="O893" s="692" t="n"/>
      <c r="P893" s="261" t="n"/>
      <c r="Q893" s="692" t="n"/>
      <c r="R893" s="692" t="n"/>
      <c r="S893" s="692" t="n"/>
      <c r="T893" s="692" t="n"/>
      <c r="U893" s="692" t="n"/>
      <c r="V893" s="692" t="n"/>
      <c r="W893" s="692" t="n"/>
      <c r="X893" s="692" t="n"/>
      <c r="Y893" s="692" t="n"/>
      <c r="Z893" s="692" t="n"/>
      <c r="AA893" s="692" t="n"/>
      <c r="AB893" s="692" t="n"/>
      <c r="AC893" s="692" t="n"/>
      <c r="AD893" s="692" t="n"/>
      <c r="AF893" s="236" t="n"/>
      <c r="AG893" s="236" t="n"/>
      <c r="AH893" s="236" t="n"/>
      <c r="AI893" s="236" t="n"/>
      <c r="AJ893" s="236" t="n"/>
      <c r="AK893" s="236" t="n"/>
      <c r="AL893" s="236" t="n"/>
      <c r="AM893" s="236" t="n"/>
      <c r="AN893" s="236" t="n"/>
      <c r="AO893" s="236" t="n"/>
      <c r="AP893" s="236" t="n"/>
      <c r="AQ893" s="236" t="n"/>
      <c r="AR893" s="236" t="n"/>
      <c r="AS893" s="236" t="n"/>
      <c r="AT893" s="236" t="n"/>
      <c r="AU893" s="236" t="n"/>
      <c r="AV893" s="236" t="n"/>
      <c r="AW893" s="236" t="n"/>
      <c r="AX893" s="692" t="n"/>
      <c r="AY893" s="692" t="n"/>
      <c r="AZ893" s="692" t="n"/>
      <c r="BA893" s="692" t="n"/>
      <c r="BB893" s="692" t="n"/>
      <c r="BC893" s="692" t="n"/>
      <c r="BD893" s="692" t="n"/>
      <c r="BE893" s="692" t="n"/>
      <c r="BF893" s="692" t="n"/>
      <c r="BG893" s="692" t="n"/>
      <c r="BH893" s="692" t="n"/>
      <c r="BI893" s="692" t="n"/>
      <c r="BJ893" s="692" t="n"/>
      <c r="BK893" s="692" t="n"/>
      <c r="BL893" s="692" t="n"/>
      <c r="BM893" s="692" t="n"/>
      <c r="BN893" s="692" t="n"/>
      <c r="BO893" s="692" t="n"/>
      <c r="BP893" s="692" t="n"/>
      <c r="BQ893" s="692" t="n"/>
    </row>
    <row r="894">
      <c r="A894" s="218" t="n"/>
      <c r="B894" s="215" t="n"/>
      <c r="C894" s="215" t="n"/>
      <c r="D894" s="215" t="n"/>
      <c r="E894" s="219" t="n"/>
      <c r="F894" s="215" t="n"/>
      <c r="G894" s="215" t="n"/>
      <c r="H894" s="215" t="n"/>
      <c r="I894" s="215" t="n"/>
      <c r="J894" s="215" t="n"/>
      <c r="K894" s="215" t="n"/>
      <c r="L894" s="217" t="n"/>
      <c r="M894" s="692" t="n"/>
      <c r="N894" s="692" t="n"/>
      <c r="O894" s="692" t="n"/>
      <c r="P894" s="261" t="n"/>
      <c r="Q894" s="692" t="n"/>
      <c r="R894" s="692" t="n"/>
      <c r="S894" s="692" t="n"/>
      <c r="T894" s="692" t="n"/>
      <c r="U894" s="692" t="n"/>
      <c r="V894" s="692" t="n"/>
      <c r="W894" s="692" t="n"/>
      <c r="X894" s="692" t="n"/>
      <c r="Y894" s="692" t="n"/>
      <c r="Z894" s="692" t="n"/>
      <c r="AA894" s="692" t="n"/>
      <c r="AB894" s="692" t="n"/>
      <c r="AC894" s="692" t="n"/>
      <c r="AD894" s="692" t="n"/>
      <c r="AF894" s="236" t="n"/>
      <c r="AG894" s="236" t="n"/>
      <c r="AH894" s="236" t="n"/>
      <c r="AI894" s="236" t="n"/>
      <c r="AJ894" s="236" t="n"/>
      <c r="AK894" s="236" t="n"/>
      <c r="AL894" s="236" t="n"/>
      <c r="AM894" s="236" t="n"/>
      <c r="AN894" s="236" t="n"/>
      <c r="AO894" s="236" t="n"/>
      <c r="AP894" s="236" t="n"/>
      <c r="AQ894" s="236" t="n"/>
      <c r="AR894" s="236" t="n"/>
      <c r="AS894" s="236" t="n"/>
      <c r="AT894" s="236" t="n"/>
      <c r="AU894" s="236" t="n"/>
      <c r="AV894" s="236" t="n"/>
      <c r="AW894" s="236" t="n"/>
      <c r="AX894" s="692" t="n"/>
      <c r="AY894" s="692" t="n"/>
      <c r="AZ894" s="692" t="n"/>
      <c r="BA894" s="692" t="n"/>
      <c r="BB894" s="692" t="n"/>
      <c r="BC894" s="692" t="n"/>
      <c r="BD894" s="692" t="n"/>
      <c r="BE894" s="692" t="n"/>
      <c r="BF894" s="692" t="n"/>
      <c r="BG894" s="692" t="n"/>
      <c r="BH894" s="692" t="n"/>
      <c r="BI894" s="692" t="n"/>
      <c r="BJ894" s="692" t="n"/>
      <c r="BK894" s="692" t="n"/>
      <c r="BL894" s="692" t="n"/>
      <c r="BM894" s="692" t="n"/>
      <c r="BN894" s="692" t="n"/>
      <c r="BO894" s="692" t="n"/>
      <c r="BP894" s="692" t="n"/>
      <c r="BQ894" s="692" t="n"/>
    </row>
    <row r="895">
      <c r="A895" s="220" t="n"/>
      <c r="B895" s="211" t="n"/>
      <c r="C895" s="211" t="n"/>
      <c r="D895" s="211" t="n"/>
      <c r="E895" s="221" t="n"/>
      <c r="F895" s="211" t="n"/>
      <c r="G895" s="211" t="n"/>
      <c r="H895" s="211" t="n"/>
      <c r="I895" s="211" t="n"/>
      <c r="J895" s="211" t="n"/>
      <c r="K895" s="211" t="n"/>
      <c r="L895" s="213" t="n"/>
      <c r="M895" s="692" t="n"/>
      <c r="N895" s="692" t="n"/>
      <c r="O895" s="692" t="n"/>
      <c r="P895" s="261" t="n"/>
      <c r="Q895" s="692" t="n"/>
      <c r="R895" s="692" t="n"/>
      <c r="S895" s="692" t="n"/>
      <c r="T895" s="692" t="n"/>
      <c r="U895" s="692" t="n"/>
      <c r="V895" s="692" t="n"/>
      <c r="W895" s="692" t="n"/>
      <c r="X895" s="692" t="n"/>
      <c r="Y895" s="692" t="n"/>
      <c r="Z895" s="692" t="n"/>
      <c r="AA895" s="692" t="n"/>
      <c r="AB895" s="692" t="n"/>
      <c r="AC895" s="692" t="n"/>
      <c r="AD895" s="692" t="n"/>
      <c r="AF895" s="236" t="n"/>
      <c r="AG895" s="236" t="n"/>
      <c r="AH895" s="236" t="n"/>
      <c r="AI895" s="236" t="n"/>
      <c r="AJ895" s="236" t="n"/>
      <c r="AK895" s="236" t="n"/>
      <c r="AL895" s="236" t="n"/>
      <c r="AM895" s="236" t="n"/>
      <c r="AN895" s="236" t="n"/>
      <c r="AO895" s="236" t="n"/>
      <c r="AP895" s="236" t="n"/>
      <c r="AQ895" s="236" t="n"/>
      <c r="AR895" s="236" t="n"/>
      <c r="AS895" s="236" t="n"/>
      <c r="AT895" s="236" t="n"/>
      <c r="AU895" s="236" t="n"/>
      <c r="AV895" s="236" t="n"/>
      <c r="AW895" s="236" t="n"/>
      <c r="AX895" s="692" t="n"/>
      <c r="AY895" s="692" t="n"/>
      <c r="AZ895" s="692" t="n"/>
      <c r="BA895" s="692" t="n"/>
      <c r="BB895" s="692" t="n"/>
      <c r="BC895" s="692" t="n"/>
      <c r="BD895" s="692" t="n"/>
      <c r="BE895" s="692" t="n"/>
      <c r="BF895" s="692" t="n"/>
      <c r="BG895" s="692" t="n"/>
      <c r="BH895" s="692" t="n"/>
      <c r="BI895" s="692" t="n"/>
      <c r="BJ895" s="692" t="n"/>
      <c r="BK895" s="692" t="n"/>
      <c r="BL895" s="692" t="n"/>
      <c r="BM895" s="692" t="n"/>
      <c r="BN895" s="692" t="n"/>
      <c r="BO895" s="692" t="n"/>
      <c r="BP895" s="692" t="n"/>
      <c r="BQ895" s="692" t="n"/>
    </row>
    <row r="896">
      <c r="A896" s="218" t="n"/>
      <c r="B896" s="215" t="n"/>
      <c r="C896" s="215" t="n"/>
      <c r="D896" s="215" t="n"/>
      <c r="E896" s="219" t="n"/>
      <c r="F896" s="215" t="n"/>
      <c r="G896" s="215" t="n"/>
      <c r="H896" s="215" t="n"/>
      <c r="I896" s="215" t="n"/>
      <c r="J896" s="215" t="n"/>
      <c r="K896" s="215" t="n"/>
      <c r="L896" s="217" t="n"/>
      <c r="M896" s="692" t="n"/>
      <c r="N896" s="692" t="n"/>
      <c r="O896" s="692" t="n"/>
      <c r="P896" s="261" t="n"/>
      <c r="Q896" s="692" t="n"/>
      <c r="R896" s="692" t="n"/>
      <c r="S896" s="692" t="n"/>
      <c r="T896" s="692" t="n"/>
      <c r="U896" s="692" t="n"/>
      <c r="V896" s="692" t="n"/>
      <c r="W896" s="692" t="n"/>
      <c r="X896" s="692" t="n"/>
      <c r="Y896" s="692" t="n"/>
      <c r="Z896" s="692" t="n"/>
      <c r="AA896" s="692" t="n"/>
      <c r="AB896" s="692" t="n"/>
      <c r="AC896" s="692" t="n"/>
      <c r="AD896" s="692" t="n"/>
      <c r="AF896" s="236" t="n"/>
      <c r="AG896" s="236" t="n"/>
      <c r="AH896" s="236" t="n"/>
      <c r="AI896" s="236" t="n"/>
      <c r="AJ896" s="236" t="n"/>
      <c r="AK896" s="236" t="n"/>
      <c r="AL896" s="236" t="n"/>
      <c r="AM896" s="236" t="n"/>
      <c r="AN896" s="236" t="n"/>
      <c r="AO896" s="236" t="n"/>
      <c r="AP896" s="236" t="n"/>
      <c r="AQ896" s="236" t="n"/>
      <c r="AR896" s="236" t="n"/>
      <c r="AS896" s="236" t="n"/>
      <c r="AT896" s="236" t="n"/>
      <c r="AU896" s="236" t="n"/>
      <c r="AV896" s="236" t="n"/>
      <c r="AW896" s="236" t="n"/>
      <c r="AX896" s="692" t="n"/>
      <c r="AY896" s="692" t="n"/>
      <c r="AZ896" s="692" t="n"/>
      <c r="BA896" s="692" t="n"/>
      <c r="BB896" s="692" t="n"/>
      <c r="BC896" s="692" t="n"/>
      <c r="BD896" s="692" t="n"/>
      <c r="BE896" s="692" t="n"/>
      <c r="BF896" s="692" t="n"/>
      <c r="BG896" s="692" t="n"/>
      <c r="BH896" s="692" t="n"/>
      <c r="BI896" s="692" t="n"/>
      <c r="BJ896" s="692" t="n"/>
      <c r="BK896" s="692" t="n"/>
      <c r="BL896" s="692" t="n"/>
      <c r="BM896" s="692" t="n"/>
      <c r="BN896" s="692" t="n"/>
      <c r="BO896" s="692" t="n"/>
      <c r="BP896" s="692" t="n"/>
      <c r="BQ896" s="692" t="n"/>
    </row>
    <row r="897">
      <c r="A897" s="220" t="n"/>
      <c r="B897" s="211" t="n"/>
      <c r="C897" s="211" t="n"/>
      <c r="D897" s="211" t="n"/>
      <c r="E897" s="221" t="n"/>
      <c r="F897" s="211" t="n"/>
      <c r="G897" s="211" t="n"/>
      <c r="H897" s="211" t="n"/>
      <c r="I897" s="211" t="n"/>
      <c r="J897" s="211" t="n"/>
      <c r="K897" s="211" t="n"/>
      <c r="L897" s="213" t="n"/>
      <c r="M897" s="692" t="n"/>
      <c r="N897" s="692" t="n"/>
      <c r="O897" s="692" t="n"/>
      <c r="P897" s="261" t="n"/>
      <c r="Q897" s="692" t="n"/>
      <c r="R897" s="692" t="n"/>
      <c r="S897" s="692" t="n"/>
      <c r="T897" s="692" t="n"/>
      <c r="U897" s="692" t="n"/>
      <c r="V897" s="692" t="n"/>
      <c r="W897" s="692" t="n"/>
      <c r="X897" s="692" t="n"/>
      <c r="Y897" s="692" t="n"/>
      <c r="Z897" s="692" t="n"/>
      <c r="AA897" s="692" t="n"/>
      <c r="AB897" s="692" t="n"/>
      <c r="AC897" s="692" t="n"/>
      <c r="AD897" s="692" t="n"/>
      <c r="AF897" s="236" t="n"/>
      <c r="AG897" s="236" t="n"/>
      <c r="AH897" s="236" t="n"/>
      <c r="AI897" s="236" t="n"/>
      <c r="AJ897" s="236" t="n"/>
      <c r="AK897" s="236" t="n"/>
      <c r="AL897" s="236" t="n"/>
      <c r="AM897" s="236" t="n"/>
      <c r="AN897" s="236" t="n"/>
      <c r="AO897" s="236" t="n"/>
      <c r="AP897" s="236" t="n"/>
      <c r="AQ897" s="236" t="n"/>
      <c r="AR897" s="236" t="n"/>
      <c r="AS897" s="236" t="n"/>
      <c r="AT897" s="236" t="n"/>
      <c r="AU897" s="236" t="n"/>
      <c r="AV897" s="236" t="n"/>
      <c r="AW897" s="236" t="n"/>
      <c r="AX897" s="692" t="n"/>
      <c r="AY897" s="692" t="n"/>
      <c r="AZ897" s="692" t="n"/>
      <c r="BA897" s="692" t="n"/>
      <c r="BB897" s="692" t="n"/>
      <c r="BC897" s="692" t="n"/>
      <c r="BD897" s="692" t="n"/>
      <c r="BE897" s="692" t="n"/>
      <c r="BF897" s="692" t="n"/>
      <c r="BG897" s="692" t="n"/>
      <c r="BH897" s="692" t="n"/>
      <c r="BI897" s="692" t="n"/>
      <c r="BJ897" s="692" t="n"/>
      <c r="BK897" s="692" t="n"/>
      <c r="BL897" s="692" t="n"/>
      <c r="BM897" s="692" t="n"/>
      <c r="BN897" s="692" t="n"/>
      <c r="BO897" s="692" t="n"/>
      <c r="BP897" s="692" t="n"/>
      <c r="BQ897" s="692" t="n"/>
    </row>
    <row r="898">
      <c r="A898" s="218" t="n"/>
      <c r="B898" s="215" t="n"/>
      <c r="C898" s="215" t="n"/>
      <c r="D898" s="215" t="n"/>
      <c r="E898" s="219" t="n"/>
      <c r="F898" s="215" t="n"/>
      <c r="G898" s="215" t="n"/>
      <c r="H898" s="215" t="n"/>
      <c r="I898" s="215" t="n"/>
      <c r="J898" s="215" t="n"/>
      <c r="K898" s="215" t="n"/>
      <c r="L898" s="217" t="n"/>
      <c r="M898" s="692" t="n"/>
      <c r="N898" s="692" t="n"/>
      <c r="O898" s="692" t="n"/>
      <c r="P898" s="261" t="n"/>
      <c r="Q898" s="692" t="n"/>
      <c r="R898" s="692" t="n"/>
      <c r="S898" s="692" t="n"/>
      <c r="T898" s="692" t="n"/>
      <c r="U898" s="692" t="n"/>
      <c r="V898" s="692" t="n"/>
      <c r="W898" s="692" t="n"/>
      <c r="X898" s="692" t="n"/>
      <c r="Y898" s="692" t="n"/>
      <c r="Z898" s="692" t="n"/>
      <c r="AA898" s="692" t="n"/>
      <c r="AB898" s="692" t="n"/>
      <c r="AC898" s="692" t="n"/>
      <c r="AD898" s="692" t="n"/>
      <c r="AF898" s="236" t="n"/>
      <c r="AG898" s="236" t="n"/>
      <c r="AH898" s="236" t="n"/>
      <c r="AI898" s="236" t="n"/>
      <c r="AJ898" s="236" t="n"/>
      <c r="AK898" s="236" t="n"/>
      <c r="AL898" s="236" t="n"/>
      <c r="AM898" s="236" t="n"/>
      <c r="AN898" s="236" t="n"/>
      <c r="AO898" s="236" t="n"/>
      <c r="AP898" s="236" t="n"/>
      <c r="AQ898" s="236" t="n"/>
      <c r="AR898" s="236" t="n"/>
      <c r="AS898" s="236" t="n"/>
      <c r="AT898" s="236" t="n"/>
      <c r="AU898" s="236" t="n"/>
      <c r="AV898" s="236" t="n"/>
      <c r="AW898" s="236" t="n"/>
      <c r="AX898" s="692" t="n"/>
      <c r="AY898" s="692" t="n"/>
      <c r="AZ898" s="692" t="n"/>
      <c r="BA898" s="692" t="n"/>
      <c r="BB898" s="692" t="n"/>
      <c r="BC898" s="692" t="n"/>
      <c r="BD898" s="692" t="n"/>
      <c r="BE898" s="692" t="n"/>
      <c r="BF898" s="692" t="n"/>
      <c r="BG898" s="692" t="n"/>
      <c r="BH898" s="692" t="n"/>
      <c r="BI898" s="692" t="n"/>
      <c r="BJ898" s="692" t="n"/>
      <c r="BK898" s="692" t="n"/>
      <c r="BL898" s="692" t="n"/>
      <c r="BM898" s="692" t="n"/>
      <c r="BN898" s="692" t="n"/>
      <c r="BO898" s="692" t="n"/>
      <c r="BP898" s="692" t="n"/>
      <c r="BQ898" s="692" t="n"/>
    </row>
    <row r="899">
      <c r="A899" s="220" t="n"/>
      <c r="B899" s="211" t="n"/>
      <c r="C899" s="211" t="n"/>
      <c r="D899" s="211" t="n"/>
      <c r="E899" s="221" t="n"/>
      <c r="F899" s="211" t="n"/>
      <c r="G899" s="211" t="n"/>
      <c r="H899" s="211" t="n"/>
      <c r="I899" s="211" t="n"/>
      <c r="J899" s="211" t="n"/>
      <c r="K899" s="211" t="n"/>
      <c r="L899" s="213" t="n"/>
      <c r="M899" s="692" t="n"/>
      <c r="N899" s="692" t="n"/>
      <c r="O899" s="692" t="n"/>
      <c r="P899" s="261" t="n"/>
      <c r="Q899" s="692" t="n"/>
      <c r="R899" s="692" t="n"/>
      <c r="S899" s="692" t="n"/>
      <c r="T899" s="692" t="n"/>
      <c r="U899" s="692" t="n"/>
      <c r="V899" s="692" t="n"/>
      <c r="W899" s="692" t="n"/>
      <c r="X899" s="692" t="n"/>
      <c r="Y899" s="692" t="n"/>
      <c r="Z899" s="692" t="n"/>
      <c r="AA899" s="692" t="n"/>
      <c r="AB899" s="692" t="n"/>
      <c r="AC899" s="692" t="n"/>
      <c r="AD899" s="692" t="n"/>
      <c r="AF899" s="236" t="n"/>
      <c r="AG899" s="236" t="n"/>
      <c r="AH899" s="236" t="n"/>
      <c r="AI899" s="236" t="n"/>
      <c r="AJ899" s="236" t="n"/>
      <c r="AK899" s="236" t="n"/>
      <c r="AL899" s="236" t="n"/>
      <c r="AM899" s="236" t="n"/>
      <c r="AN899" s="236" t="n"/>
      <c r="AO899" s="236" t="n"/>
      <c r="AP899" s="236" t="n"/>
      <c r="AQ899" s="236" t="n"/>
      <c r="AR899" s="236" t="n"/>
      <c r="AS899" s="236" t="n"/>
      <c r="AT899" s="236" t="n"/>
      <c r="AU899" s="236" t="n"/>
      <c r="AV899" s="236" t="n"/>
      <c r="AW899" s="236" t="n"/>
      <c r="AX899" s="692" t="n"/>
      <c r="AY899" s="692" t="n"/>
      <c r="AZ899" s="692" t="n"/>
      <c r="BA899" s="692" t="n"/>
      <c r="BB899" s="692" t="n"/>
      <c r="BC899" s="692" t="n"/>
      <c r="BD899" s="692" t="n"/>
      <c r="BE899" s="692" t="n"/>
      <c r="BF899" s="692" t="n"/>
      <c r="BG899" s="692" t="n"/>
      <c r="BH899" s="692" t="n"/>
      <c r="BI899" s="692" t="n"/>
      <c r="BJ899" s="692" t="n"/>
      <c r="BK899" s="692" t="n"/>
      <c r="BL899" s="692" t="n"/>
      <c r="BM899" s="692" t="n"/>
      <c r="BN899" s="692" t="n"/>
      <c r="BO899" s="692" t="n"/>
      <c r="BP899" s="692" t="n"/>
      <c r="BQ899" s="692" t="n"/>
    </row>
    <row r="900">
      <c r="A900" s="218" t="n"/>
      <c r="B900" s="215" t="n"/>
      <c r="C900" s="215" t="n"/>
      <c r="D900" s="215" t="n"/>
      <c r="E900" s="219" t="n"/>
      <c r="F900" s="215" t="n"/>
      <c r="G900" s="215" t="n"/>
      <c r="H900" s="215" t="n"/>
      <c r="I900" s="215" t="n"/>
      <c r="J900" s="215" t="n"/>
      <c r="K900" s="215" t="n"/>
      <c r="L900" s="217" t="n"/>
      <c r="M900" s="692" t="n"/>
      <c r="N900" s="692" t="n"/>
      <c r="O900" s="692" t="n"/>
      <c r="P900" s="261" t="n"/>
      <c r="Q900" s="692" t="n"/>
      <c r="R900" s="692" t="n"/>
      <c r="S900" s="692" t="n"/>
      <c r="T900" s="692" t="n"/>
      <c r="U900" s="692" t="n"/>
      <c r="V900" s="692" t="n"/>
      <c r="W900" s="692" t="n"/>
      <c r="X900" s="692" t="n"/>
      <c r="Y900" s="692" t="n"/>
      <c r="Z900" s="692" t="n"/>
      <c r="AA900" s="692" t="n"/>
      <c r="AB900" s="692" t="n"/>
      <c r="AC900" s="692" t="n"/>
      <c r="AD900" s="692" t="n"/>
      <c r="AF900" s="236" t="n"/>
      <c r="AG900" s="236" t="n"/>
      <c r="AH900" s="236" t="n"/>
      <c r="AI900" s="236" t="n"/>
      <c r="AJ900" s="236" t="n"/>
      <c r="AK900" s="236" t="n"/>
      <c r="AL900" s="236" t="n"/>
      <c r="AM900" s="236" t="n"/>
      <c r="AN900" s="236" t="n"/>
      <c r="AO900" s="236" t="n"/>
      <c r="AP900" s="236" t="n"/>
      <c r="AQ900" s="236" t="n"/>
      <c r="AR900" s="236" t="n"/>
      <c r="AS900" s="236" t="n"/>
      <c r="AT900" s="236" t="n"/>
      <c r="AU900" s="236" t="n"/>
      <c r="AV900" s="236" t="n"/>
      <c r="AW900" s="236" t="n"/>
      <c r="AX900" s="692" t="n"/>
      <c r="AY900" s="692" t="n"/>
      <c r="AZ900" s="692" t="n"/>
      <c r="BA900" s="692" t="n"/>
      <c r="BB900" s="692" t="n"/>
      <c r="BC900" s="692" t="n"/>
      <c r="BD900" s="692" t="n"/>
      <c r="BE900" s="692" t="n"/>
      <c r="BF900" s="692" t="n"/>
      <c r="BG900" s="692" t="n"/>
      <c r="BH900" s="692" t="n"/>
      <c r="BI900" s="692" t="n"/>
      <c r="BJ900" s="692" t="n"/>
      <c r="BK900" s="692" t="n"/>
      <c r="BL900" s="692" t="n"/>
      <c r="BM900" s="692" t="n"/>
      <c r="BN900" s="692" t="n"/>
      <c r="BO900" s="692" t="n"/>
      <c r="BP900" s="692" t="n"/>
      <c r="BQ900" s="692" t="n"/>
    </row>
    <row r="901">
      <c r="A901" s="220" t="n"/>
      <c r="B901" s="211" t="n"/>
      <c r="C901" s="211" t="n"/>
      <c r="D901" s="211" t="n"/>
      <c r="E901" s="221" t="n"/>
      <c r="F901" s="211" t="n"/>
      <c r="G901" s="211" t="n"/>
      <c r="H901" s="211" t="n"/>
      <c r="I901" s="211" t="n"/>
      <c r="J901" s="211" t="n"/>
      <c r="K901" s="211" t="n"/>
      <c r="L901" s="213" t="n"/>
      <c r="M901" s="692" t="n"/>
      <c r="N901" s="692" t="n"/>
      <c r="O901" s="692" t="n"/>
      <c r="P901" s="261" t="n"/>
      <c r="Q901" s="692" t="n"/>
      <c r="R901" s="692" t="n"/>
      <c r="S901" s="692" t="n"/>
      <c r="T901" s="692" t="n"/>
      <c r="U901" s="692" t="n"/>
      <c r="V901" s="692" t="n"/>
      <c r="W901" s="692" t="n"/>
      <c r="X901" s="692" t="n"/>
      <c r="Y901" s="692" t="n"/>
      <c r="Z901" s="692" t="n"/>
      <c r="AA901" s="692" t="n"/>
      <c r="AB901" s="692" t="n"/>
      <c r="AC901" s="692" t="n"/>
      <c r="AD901" s="692" t="n"/>
      <c r="AF901" s="236" t="n"/>
      <c r="AG901" s="236" t="n"/>
      <c r="AH901" s="236" t="n"/>
      <c r="AI901" s="236" t="n"/>
      <c r="AJ901" s="236" t="n"/>
      <c r="AK901" s="236" t="n"/>
      <c r="AL901" s="236" t="n"/>
      <c r="AM901" s="236" t="n"/>
      <c r="AN901" s="236" t="n"/>
      <c r="AO901" s="236" t="n"/>
      <c r="AP901" s="236" t="n"/>
      <c r="AQ901" s="236" t="n"/>
      <c r="AR901" s="236" t="n"/>
      <c r="AS901" s="236" t="n"/>
      <c r="AT901" s="236" t="n"/>
      <c r="AU901" s="236" t="n"/>
      <c r="AV901" s="236" t="n"/>
      <c r="AW901" s="236" t="n"/>
      <c r="AX901" s="692" t="n"/>
      <c r="AY901" s="692" t="n"/>
      <c r="AZ901" s="692" t="n"/>
      <c r="BA901" s="692" t="n"/>
      <c r="BB901" s="692" t="n"/>
      <c r="BC901" s="692" t="n"/>
      <c r="BD901" s="692" t="n"/>
      <c r="BE901" s="692" t="n"/>
      <c r="BF901" s="692" t="n"/>
      <c r="BG901" s="692" t="n"/>
      <c r="BH901" s="692" t="n"/>
      <c r="BI901" s="692" t="n"/>
      <c r="BJ901" s="692" t="n"/>
      <c r="BK901" s="692" t="n"/>
      <c r="BL901" s="692" t="n"/>
      <c r="BM901" s="692" t="n"/>
      <c r="BN901" s="692" t="n"/>
      <c r="BO901" s="692" t="n"/>
      <c r="BP901" s="692" t="n"/>
      <c r="BQ901" s="692" t="n"/>
    </row>
    <row r="902">
      <c r="A902" s="218" t="n"/>
      <c r="B902" s="215" t="n"/>
      <c r="C902" s="215" t="n"/>
      <c r="D902" s="215" t="n"/>
      <c r="E902" s="219" t="n"/>
      <c r="F902" s="215" t="n"/>
      <c r="G902" s="215" t="n"/>
      <c r="H902" s="215" t="n"/>
      <c r="I902" s="215" t="n"/>
      <c r="J902" s="215" t="n"/>
      <c r="K902" s="215" t="n"/>
      <c r="L902" s="217" t="n"/>
      <c r="M902" s="692" t="n"/>
      <c r="N902" s="692" t="n"/>
      <c r="O902" s="692" t="n"/>
      <c r="P902" s="261" t="n"/>
      <c r="Q902" s="692" t="n"/>
      <c r="R902" s="692" t="n"/>
      <c r="S902" s="692" t="n"/>
      <c r="T902" s="692" t="n"/>
      <c r="U902" s="692" t="n"/>
      <c r="V902" s="692" t="n"/>
      <c r="W902" s="692" t="n"/>
      <c r="X902" s="692" t="n"/>
      <c r="Y902" s="692" t="n"/>
      <c r="Z902" s="692" t="n"/>
      <c r="AA902" s="692" t="n"/>
      <c r="AB902" s="692" t="n"/>
      <c r="AC902" s="692" t="n"/>
      <c r="AD902" s="692" t="n"/>
      <c r="AF902" s="236" t="n"/>
      <c r="AG902" s="236" t="n"/>
      <c r="AH902" s="236" t="n"/>
      <c r="AI902" s="236" t="n"/>
      <c r="AJ902" s="236" t="n"/>
      <c r="AK902" s="236" t="n"/>
      <c r="AL902" s="236" t="n"/>
      <c r="AM902" s="236" t="n"/>
      <c r="AN902" s="236" t="n"/>
      <c r="AO902" s="236" t="n"/>
      <c r="AP902" s="236" t="n"/>
      <c r="AQ902" s="236" t="n"/>
      <c r="AR902" s="236" t="n"/>
      <c r="AS902" s="236" t="n"/>
      <c r="AT902" s="236" t="n"/>
      <c r="AU902" s="236" t="n"/>
      <c r="AV902" s="236" t="n"/>
      <c r="AW902" s="236" t="n"/>
      <c r="AX902" s="692" t="n"/>
      <c r="AY902" s="692" t="n"/>
      <c r="AZ902" s="692" t="n"/>
      <c r="BA902" s="692" t="n"/>
      <c r="BB902" s="692" t="n"/>
      <c r="BC902" s="692" t="n"/>
      <c r="BD902" s="692" t="n"/>
      <c r="BE902" s="692" t="n"/>
      <c r="BF902" s="692" t="n"/>
      <c r="BG902" s="692" t="n"/>
      <c r="BH902" s="692" t="n"/>
      <c r="BI902" s="692" t="n"/>
      <c r="BJ902" s="692" t="n"/>
      <c r="BK902" s="692" t="n"/>
      <c r="BL902" s="692" t="n"/>
      <c r="BM902" s="692" t="n"/>
      <c r="BN902" s="692" t="n"/>
      <c r="BO902" s="692" t="n"/>
      <c r="BP902" s="692" t="n"/>
      <c r="BQ902" s="692" t="n"/>
    </row>
    <row r="903">
      <c r="A903" s="220" t="n"/>
      <c r="B903" s="211" t="n"/>
      <c r="C903" s="211" t="n"/>
      <c r="D903" s="211" t="n"/>
      <c r="E903" s="221" t="n"/>
      <c r="F903" s="211" t="n"/>
      <c r="G903" s="211" t="n"/>
      <c r="H903" s="211" t="n"/>
      <c r="I903" s="211" t="n"/>
      <c r="J903" s="211" t="n"/>
      <c r="K903" s="211" t="n"/>
      <c r="L903" s="213" t="n"/>
      <c r="M903" s="692" t="n"/>
      <c r="N903" s="692" t="n"/>
      <c r="O903" s="692" t="n"/>
      <c r="P903" s="261" t="n"/>
      <c r="Q903" s="692" t="n"/>
      <c r="R903" s="692" t="n"/>
      <c r="S903" s="692" t="n"/>
      <c r="T903" s="692" t="n"/>
      <c r="U903" s="692" t="n"/>
      <c r="V903" s="692" t="n"/>
      <c r="W903" s="692" t="n"/>
      <c r="X903" s="692" t="n"/>
      <c r="Y903" s="692" t="n"/>
      <c r="Z903" s="692" t="n"/>
      <c r="AA903" s="692" t="n"/>
      <c r="AB903" s="692" t="n"/>
      <c r="AC903" s="692" t="n"/>
      <c r="AD903" s="692" t="n"/>
      <c r="AF903" s="236" t="n"/>
      <c r="AG903" s="236" t="n"/>
      <c r="AH903" s="236" t="n"/>
      <c r="AI903" s="236" t="n"/>
      <c r="AJ903" s="236" t="n"/>
      <c r="AK903" s="236" t="n"/>
      <c r="AL903" s="236" t="n"/>
      <c r="AM903" s="236" t="n"/>
      <c r="AN903" s="236" t="n"/>
      <c r="AO903" s="236" t="n"/>
      <c r="AP903" s="236" t="n"/>
      <c r="AQ903" s="236" t="n"/>
      <c r="AR903" s="236" t="n"/>
      <c r="AS903" s="236" t="n"/>
      <c r="AT903" s="236" t="n"/>
      <c r="AU903" s="236" t="n"/>
      <c r="AV903" s="236" t="n"/>
      <c r="AW903" s="236" t="n"/>
      <c r="AX903" s="692" t="n"/>
      <c r="AY903" s="692" t="n"/>
      <c r="AZ903" s="692" t="n"/>
      <c r="BA903" s="692" t="n"/>
      <c r="BB903" s="692" t="n"/>
      <c r="BC903" s="692" t="n"/>
      <c r="BD903" s="692" t="n"/>
      <c r="BE903" s="692" t="n"/>
      <c r="BF903" s="692" t="n"/>
      <c r="BG903" s="692" t="n"/>
      <c r="BH903" s="692" t="n"/>
      <c r="BI903" s="692" t="n"/>
      <c r="BJ903" s="692" t="n"/>
      <c r="BK903" s="692" t="n"/>
      <c r="BL903" s="692" t="n"/>
      <c r="BM903" s="692" t="n"/>
      <c r="BN903" s="692" t="n"/>
      <c r="BO903" s="692" t="n"/>
      <c r="BP903" s="692" t="n"/>
      <c r="BQ903" s="692" t="n"/>
    </row>
    <row r="904">
      <c r="A904" s="218" t="n"/>
      <c r="B904" s="215" t="n"/>
      <c r="C904" s="215" t="n"/>
      <c r="D904" s="215" t="n"/>
      <c r="E904" s="219" t="n"/>
      <c r="F904" s="215" t="n"/>
      <c r="G904" s="215" t="n"/>
      <c r="H904" s="215" t="n"/>
      <c r="I904" s="215" t="n"/>
      <c r="J904" s="215" t="n"/>
      <c r="K904" s="215" t="n"/>
      <c r="L904" s="217" t="n"/>
      <c r="M904" s="692" t="n"/>
      <c r="N904" s="692" t="n"/>
      <c r="O904" s="692" t="n"/>
      <c r="P904" s="261" t="n"/>
      <c r="Q904" s="692" t="n"/>
      <c r="R904" s="692" t="n"/>
      <c r="S904" s="692" t="n"/>
      <c r="T904" s="692" t="n"/>
      <c r="U904" s="692" t="n"/>
      <c r="V904" s="692" t="n"/>
      <c r="W904" s="692" t="n"/>
      <c r="X904" s="692" t="n"/>
      <c r="Y904" s="692" t="n"/>
      <c r="Z904" s="692" t="n"/>
      <c r="AA904" s="692" t="n"/>
      <c r="AB904" s="692" t="n"/>
      <c r="AC904" s="692" t="n"/>
      <c r="AD904" s="692" t="n"/>
      <c r="AF904" s="236" t="n"/>
      <c r="AG904" s="236" t="n"/>
      <c r="AH904" s="236" t="n"/>
      <c r="AI904" s="236" t="n"/>
      <c r="AJ904" s="236" t="n"/>
      <c r="AK904" s="236" t="n"/>
      <c r="AL904" s="236" t="n"/>
      <c r="AM904" s="236" t="n"/>
      <c r="AN904" s="236" t="n"/>
      <c r="AO904" s="236" t="n"/>
      <c r="AP904" s="236" t="n"/>
      <c r="AQ904" s="236" t="n"/>
      <c r="AR904" s="236" t="n"/>
      <c r="AS904" s="236" t="n"/>
      <c r="AT904" s="236" t="n"/>
      <c r="AU904" s="236" t="n"/>
      <c r="AV904" s="236" t="n"/>
      <c r="AW904" s="236" t="n"/>
      <c r="AX904" s="692" t="n"/>
      <c r="AY904" s="692" t="n"/>
      <c r="AZ904" s="692" t="n"/>
      <c r="BA904" s="692" t="n"/>
      <c r="BB904" s="692" t="n"/>
      <c r="BC904" s="692" t="n"/>
      <c r="BD904" s="692" t="n"/>
      <c r="BE904" s="692" t="n"/>
      <c r="BF904" s="692" t="n"/>
      <c r="BG904" s="692" t="n"/>
      <c r="BH904" s="692" t="n"/>
      <c r="BI904" s="692" t="n"/>
      <c r="BJ904" s="692" t="n"/>
      <c r="BK904" s="692" t="n"/>
      <c r="BL904" s="692" t="n"/>
      <c r="BM904" s="692" t="n"/>
      <c r="BN904" s="692" t="n"/>
      <c r="BO904" s="692" t="n"/>
      <c r="BP904" s="692" t="n"/>
      <c r="BQ904" s="692" t="n"/>
    </row>
    <row r="905">
      <c r="A905" s="220" t="n"/>
      <c r="B905" s="211" t="n"/>
      <c r="C905" s="211" t="n"/>
      <c r="D905" s="211" t="n"/>
      <c r="E905" s="221" t="n"/>
      <c r="F905" s="211" t="n"/>
      <c r="G905" s="211" t="n"/>
      <c r="H905" s="211" t="n"/>
      <c r="I905" s="211" t="n"/>
      <c r="J905" s="211" t="n"/>
      <c r="K905" s="211" t="n"/>
      <c r="L905" s="213" t="n"/>
      <c r="M905" s="692" t="n"/>
      <c r="N905" s="692" t="n"/>
      <c r="O905" s="692" t="n"/>
      <c r="P905" s="261" t="n"/>
      <c r="Q905" s="692" t="n"/>
      <c r="R905" s="692" t="n"/>
      <c r="S905" s="692" t="n"/>
      <c r="T905" s="692" t="n"/>
      <c r="U905" s="692" t="n"/>
      <c r="V905" s="692" t="n"/>
      <c r="W905" s="692" t="n"/>
      <c r="X905" s="692" t="n"/>
      <c r="Y905" s="692" t="n"/>
      <c r="Z905" s="692" t="n"/>
      <c r="AA905" s="692" t="n"/>
      <c r="AB905" s="692" t="n"/>
      <c r="AC905" s="692" t="n"/>
      <c r="AD905" s="692" t="n"/>
      <c r="AF905" s="236" t="n"/>
      <c r="AG905" s="236" t="n"/>
      <c r="AH905" s="236" t="n"/>
      <c r="AI905" s="236" t="n"/>
      <c r="AJ905" s="236" t="n"/>
      <c r="AK905" s="236" t="n"/>
      <c r="AL905" s="236" t="n"/>
      <c r="AM905" s="236" t="n"/>
      <c r="AN905" s="236" t="n"/>
      <c r="AO905" s="236" t="n"/>
      <c r="AP905" s="236" t="n"/>
      <c r="AQ905" s="236" t="n"/>
      <c r="AR905" s="236" t="n"/>
      <c r="AS905" s="236" t="n"/>
      <c r="AT905" s="236" t="n"/>
      <c r="AU905" s="236" t="n"/>
      <c r="AV905" s="236" t="n"/>
      <c r="AW905" s="236" t="n"/>
      <c r="AX905" s="692" t="n"/>
      <c r="AY905" s="692" t="n"/>
      <c r="AZ905" s="692" t="n"/>
      <c r="BA905" s="692" t="n"/>
      <c r="BB905" s="692" t="n"/>
      <c r="BC905" s="692" t="n"/>
      <c r="BD905" s="692" t="n"/>
      <c r="BE905" s="692" t="n"/>
      <c r="BF905" s="692" t="n"/>
      <c r="BG905" s="692" t="n"/>
      <c r="BH905" s="692" t="n"/>
      <c r="BI905" s="692" t="n"/>
      <c r="BJ905" s="692" t="n"/>
      <c r="BK905" s="692" t="n"/>
      <c r="BL905" s="692" t="n"/>
      <c r="BM905" s="692" t="n"/>
      <c r="BN905" s="692" t="n"/>
      <c r="BO905" s="692" t="n"/>
      <c r="BP905" s="692" t="n"/>
      <c r="BQ905" s="692" t="n"/>
    </row>
    <row r="906">
      <c r="A906" s="218" t="n"/>
      <c r="B906" s="215" t="n"/>
      <c r="C906" s="215" t="n"/>
      <c r="D906" s="215" t="n"/>
      <c r="E906" s="219" t="n"/>
      <c r="F906" s="215" t="n"/>
      <c r="G906" s="215" t="n"/>
      <c r="H906" s="215" t="n"/>
      <c r="I906" s="215" t="n"/>
      <c r="J906" s="215" t="n"/>
      <c r="K906" s="215" t="n"/>
      <c r="L906" s="217" t="n"/>
      <c r="M906" s="692" t="n"/>
      <c r="N906" s="692" t="n"/>
      <c r="O906" s="692" t="n"/>
      <c r="P906" s="261" t="n"/>
      <c r="Q906" s="692" t="n"/>
      <c r="R906" s="692" t="n"/>
      <c r="S906" s="692" t="n"/>
      <c r="T906" s="692" t="n"/>
      <c r="U906" s="692" t="n"/>
      <c r="V906" s="692" t="n"/>
      <c r="W906" s="692" t="n"/>
      <c r="X906" s="692" t="n"/>
      <c r="Y906" s="692" t="n"/>
      <c r="Z906" s="692" t="n"/>
      <c r="AA906" s="692" t="n"/>
      <c r="AB906" s="692" t="n"/>
      <c r="AC906" s="692" t="n"/>
      <c r="AD906" s="692" t="n"/>
      <c r="AF906" s="236" t="n"/>
      <c r="AG906" s="236" t="n"/>
      <c r="AH906" s="236" t="n"/>
      <c r="AI906" s="236" t="n"/>
      <c r="AJ906" s="236" t="n"/>
      <c r="AK906" s="236" t="n"/>
      <c r="AL906" s="236" t="n"/>
      <c r="AM906" s="236" t="n"/>
      <c r="AN906" s="236" t="n"/>
      <c r="AO906" s="236" t="n"/>
      <c r="AP906" s="236" t="n"/>
      <c r="AQ906" s="236" t="n"/>
      <c r="AR906" s="236" t="n"/>
      <c r="AS906" s="236" t="n"/>
      <c r="AT906" s="236" t="n"/>
      <c r="AU906" s="236" t="n"/>
      <c r="AV906" s="236" t="n"/>
      <c r="AW906" s="236" t="n"/>
      <c r="AX906" s="692" t="n"/>
      <c r="AY906" s="692" t="n"/>
      <c r="AZ906" s="692" t="n"/>
      <c r="BA906" s="692" t="n"/>
      <c r="BB906" s="692" t="n"/>
      <c r="BC906" s="692" t="n"/>
      <c r="BD906" s="692" t="n"/>
      <c r="BE906" s="692" t="n"/>
      <c r="BF906" s="692" t="n"/>
      <c r="BG906" s="692" t="n"/>
      <c r="BH906" s="692" t="n"/>
      <c r="BI906" s="692" t="n"/>
      <c r="BJ906" s="692" t="n"/>
      <c r="BK906" s="692" t="n"/>
      <c r="BL906" s="692" t="n"/>
      <c r="BM906" s="692" t="n"/>
      <c r="BN906" s="692" t="n"/>
      <c r="BO906" s="692" t="n"/>
      <c r="BP906" s="692" t="n"/>
      <c r="BQ906" s="692" t="n"/>
    </row>
    <row r="907">
      <c r="A907" s="220" t="n"/>
      <c r="B907" s="211" t="n"/>
      <c r="C907" s="211" t="n"/>
      <c r="D907" s="211" t="n"/>
      <c r="E907" s="221" t="n"/>
      <c r="F907" s="211" t="n"/>
      <c r="G907" s="211" t="n"/>
      <c r="H907" s="211" t="n"/>
      <c r="I907" s="211" t="n"/>
      <c r="J907" s="211" t="n"/>
      <c r="K907" s="211" t="n"/>
      <c r="L907" s="213" t="n"/>
      <c r="M907" s="692" t="n"/>
      <c r="N907" s="692" t="n"/>
      <c r="O907" s="692" t="n"/>
      <c r="P907" s="261" t="n"/>
      <c r="Q907" s="692" t="n"/>
      <c r="R907" s="692" t="n"/>
      <c r="S907" s="692" t="n"/>
      <c r="T907" s="692" t="n"/>
      <c r="U907" s="692" t="n"/>
      <c r="V907" s="692" t="n"/>
      <c r="W907" s="692" t="n"/>
      <c r="X907" s="692" t="n"/>
      <c r="Y907" s="692" t="n"/>
      <c r="Z907" s="692" t="n"/>
      <c r="AA907" s="692" t="n"/>
      <c r="AB907" s="692" t="n"/>
      <c r="AC907" s="692" t="n"/>
      <c r="AD907" s="692" t="n"/>
      <c r="AF907" s="236" t="n"/>
      <c r="AG907" s="236" t="n"/>
      <c r="AH907" s="236" t="n"/>
      <c r="AI907" s="236" t="n"/>
      <c r="AJ907" s="236" t="n"/>
      <c r="AK907" s="236" t="n"/>
      <c r="AL907" s="236" t="n"/>
      <c r="AM907" s="236" t="n"/>
      <c r="AN907" s="236" t="n"/>
      <c r="AO907" s="236" t="n"/>
      <c r="AP907" s="236" t="n"/>
      <c r="AQ907" s="236" t="n"/>
      <c r="AR907" s="236" t="n"/>
      <c r="AS907" s="236" t="n"/>
      <c r="AT907" s="236" t="n"/>
      <c r="AU907" s="236" t="n"/>
      <c r="AV907" s="236" t="n"/>
      <c r="AW907" s="236" t="n"/>
      <c r="AX907" s="692" t="n"/>
      <c r="AY907" s="692" t="n"/>
      <c r="AZ907" s="692" t="n"/>
      <c r="BA907" s="692" t="n"/>
      <c r="BB907" s="692" t="n"/>
      <c r="BC907" s="692" t="n"/>
      <c r="BD907" s="692" t="n"/>
      <c r="BE907" s="692" t="n"/>
      <c r="BF907" s="692" t="n"/>
      <c r="BG907" s="692" t="n"/>
      <c r="BH907" s="692" t="n"/>
      <c r="BI907" s="692" t="n"/>
      <c r="BJ907" s="692" t="n"/>
      <c r="BK907" s="692" t="n"/>
      <c r="BL907" s="692" t="n"/>
      <c r="BM907" s="692" t="n"/>
      <c r="BN907" s="692" t="n"/>
      <c r="BO907" s="692" t="n"/>
      <c r="BP907" s="692" t="n"/>
      <c r="BQ907" s="692" t="n"/>
    </row>
    <row r="908">
      <c r="A908" s="218" t="n"/>
      <c r="B908" s="215" t="n"/>
      <c r="C908" s="215" t="n"/>
      <c r="D908" s="215" t="n"/>
      <c r="E908" s="219" t="n"/>
      <c r="F908" s="215" t="n"/>
      <c r="G908" s="215" t="n"/>
      <c r="H908" s="215" t="n"/>
      <c r="I908" s="215" t="n"/>
      <c r="J908" s="215" t="n"/>
      <c r="K908" s="215" t="n"/>
      <c r="L908" s="217" t="n"/>
      <c r="M908" s="692" t="n"/>
      <c r="N908" s="692" t="n"/>
      <c r="O908" s="692" t="n"/>
      <c r="P908" s="261" t="n"/>
      <c r="Q908" s="692" t="n"/>
      <c r="R908" s="692" t="n"/>
      <c r="S908" s="692" t="n"/>
      <c r="T908" s="692" t="n"/>
      <c r="U908" s="692" t="n"/>
      <c r="V908" s="692" t="n"/>
      <c r="W908" s="692" t="n"/>
      <c r="X908" s="692" t="n"/>
      <c r="Y908" s="692" t="n"/>
      <c r="Z908" s="692" t="n"/>
      <c r="AA908" s="692" t="n"/>
      <c r="AB908" s="692" t="n"/>
      <c r="AC908" s="692" t="n"/>
      <c r="AD908" s="692" t="n"/>
      <c r="AF908" s="236" t="n"/>
      <c r="AG908" s="236" t="n"/>
      <c r="AH908" s="236" t="n"/>
      <c r="AI908" s="236" t="n"/>
      <c r="AJ908" s="236" t="n"/>
      <c r="AK908" s="236" t="n"/>
      <c r="AL908" s="236" t="n"/>
      <c r="AM908" s="236" t="n"/>
      <c r="AN908" s="236" t="n"/>
      <c r="AO908" s="236" t="n"/>
      <c r="AP908" s="236" t="n"/>
      <c r="AQ908" s="236" t="n"/>
      <c r="AR908" s="236" t="n"/>
      <c r="AS908" s="236" t="n"/>
      <c r="AT908" s="236" t="n"/>
      <c r="AU908" s="236" t="n"/>
      <c r="AV908" s="236" t="n"/>
      <c r="AW908" s="236" t="n"/>
      <c r="AX908" s="692" t="n"/>
      <c r="AY908" s="692" t="n"/>
      <c r="AZ908" s="692" t="n"/>
      <c r="BA908" s="692" t="n"/>
      <c r="BB908" s="692" t="n"/>
      <c r="BC908" s="692" t="n"/>
      <c r="BD908" s="692" t="n"/>
      <c r="BE908" s="692" t="n"/>
      <c r="BF908" s="692" t="n"/>
      <c r="BG908" s="692" t="n"/>
      <c r="BH908" s="692" t="n"/>
      <c r="BI908" s="692" t="n"/>
      <c r="BJ908" s="692" t="n"/>
      <c r="BK908" s="692" t="n"/>
      <c r="BL908" s="692" t="n"/>
      <c r="BM908" s="692" t="n"/>
      <c r="BN908" s="692" t="n"/>
      <c r="BO908" s="692" t="n"/>
      <c r="BP908" s="692" t="n"/>
      <c r="BQ908" s="692" t="n"/>
    </row>
    <row r="909">
      <c r="A909" s="220" t="n"/>
      <c r="B909" s="211" t="n"/>
      <c r="C909" s="211" t="n"/>
      <c r="D909" s="211" t="n"/>
      <c r="E909" s="221" t="n"/>
      <c r="F909" s="211" t="n"/>
      <c r="G909" s="211" t="n"/>
      <c r="H909" s="211" t="n"/>
      <c r="I909" s="211" t="n"/>
      <c r="J909" s="211" t="n"/>
      <c r="K909" s="211" t="n"/>
      <c r="L909" s="213" t="n"/>
      <c r="M909" s="692" t="n"/>
      <c r="N909" s="692" t="n"/>
      <c r="O909" s="692" t="n"/>
      <c r="P909" s="261" t="n"/>
      <c r="Q909" s="692" t="n"/>
      <c r="R909" s="692" t="n"/>
      <c r="S909" s="692" t="n"/>
      <c r="T909" s="692" t="n"/>
      <c r="U909" s="692" t="n"/>
      <c r="V909" s="692" t="n"/>
      <c r="W909" s="692" t="n"/>
      <c r="X909" s="692" t="n"/>
      <c r="Y909" s="692" t="n"/>
      <c r="Z909" s="692" t="n"/>
      <c r="AA909" s="692" t="n"/>
      <c r="AB909" s="692" t="n"/>
      <c r="AC909" s="692" t="n"/>
      <c r="AD909" s="692" t="n"/>
      <c r="AF909" s="236" t="n"/>
      <c r="AG909" s="236" t="n"/>
      <c r="AH909" s="236" t="n"/>
      <c r="AI909" s="236" t="n"/>
      <c r="AJ909" s="236" t="n"/>
      <c r="AK909" s="236" t="n"/>
      <c r="AL909" s="236" t="n"/>
      <c r="AM909" s="236" t="n"/>
      <c r="AN909" s="236" t="n"/>
      <c r="AO909" s="236" t="n"/>
      <c r="AP909" s="236" t="n"/>
      <c r="AQ909" s="236" t="n"/>
      <c r="AR909" s="236" t="n"/>
      <c r="AS909" s="236" t="n"/>
      <c r="AT909" s="236" t="n"/>
      <c r="AU909" s="236" t="n"/>
      <c r="AV909" s="236" t="n"/>
      <c r="AW909" s="236" t="n"/>
      <c r="AX909" s="692" t="n"/>
      <c r="AY909" s="692" t="n"/>
      <c r="AZ909" s="692" t="n"/>
      <c r="BA909" s="692" t="n"/>
      <c r="BB909" s="692" t="n"/>
      <c r="BC909" s="692" t="n"/>
      <c r="BD909" s="692" t="n"/>
      <c r="BE909" s="692" t="n"/>
      <c r="BF909" s="692" t="n"/>
      <c r="BG909" s="692" t="n"/>
      <c r="BH909" s="692" t="n"/>
      <c r="BI909" s="692" t="n"/>
      <c r="BJ909" s="692" t="n"/>
      <c r="BK909" s="692" t="n"/>
      <c r="BL909" s="692" t="n"/>
      <c r="BM909" s="692" t="n"/>
      <c r="BN909" s="692" t="n"/>
      <c r="BO909" s="692" t="n"/>
      <c r="BP909" s="692" t="n"/>
      <c r="BQ909" s="692" t="n"/>
    </row>
    <row r="910">
      <c r="A910" s="218" t="n"/>
      <c r="B910" s="215" t="n"/>
      <c r="C910" s="215" t="n"/>
      <c r="D910" s="215" t="n"/>
      <c r="E910" s="219" t="n"/>
      <c r="F910" s="215" t="n"/>
      <c r="G910" s="215" t="n"/>
      <c r="H910" s="215" t="n"/>
      <c r="I910" s="215" t="n"/>
      <c r="J910" s="215" t="n"/>
      <c r="K910" s="215" t="n"/>
      <c r="L910" s="217" t="n"/>
      <c r="M910" s="692" t="n"/>
      <c r="N910" s="692" t="n"/>
      <c r="O910" s="692" t="n"/>
      <c r="P910" s="261" t="n"/>
      <c r="Q910" s="692" t="n"/>
      <c r="R910" s="692" t="n"/>
      <c r="S910" s="692" t="n"/>
      <c r="T910" s="692" t="n"/>
      <c r="U910" s="692" t="n"/>
      <c r="V910" s="692" t="n"/>
      <c r="W910" s="692" t="n"/>
      <c r="X910" s="692" t="n"/>
      <c r="Y910" s="692" t="n"/>
      <c r="Z910" s="692" t="n"/>
      <c r="AA910" s="692" t="n"/>
      <c r="AB910" s="692" t="n"/>
      <c r="AC910" s="692" t="n"/>
      <c r="AD910" s="692" t="n"/>
      <c r="AF910" s="236" t="n"/>
      <c r="AG910" s="236" t="n"/>
      <c r="AH910" s="236" t="n"/>
      <c r="AI910" s="236" t="n"/>
      <c r="AJ910" s="236" t="n"/>
      <c r="AK910" s="236" t="n"/>
      <c r="AL910" s="236" t="n"/>
      <c r="AM910" s="236" t="n"/>
      <c r="AN910" s="236" t="n"/>
      <c r="AO910" s="236" t="n"/>
      <c r="AP910" s="236" t="n"/>
      <c r="AQ910" s="236" t="n"/>
      <c r="AR910" s="236" t="n"/>
      <c r="AS910" s="236" t="n"/>
      <c r="AT910" s="236" t="n"/>
      <c r="AU910" s="236" t="n"/>
      <c r="AV910" s="236" t="n"/>
      <c r="AW910" s="236" t="n"/>
      <c r="AX910" s="692" t="n"/>
      <c r="AY910" s="692" t="n"/>
      <c r="AZ910" s="692" t="n"/>
      <c r="BA910" s="692" t="n"/>
      <c r="BB910" s="692" t="n"/>
      <c r="BC910" s="692" t="n"/>
      <c r="BD910" s="692" t="n"/>
      <c r="BE910" s="692" t="n"/>
      <c r="BF910" s="692" t="n"/>
      <c r="BG910" s="692" t="n"/>
      <c r="BH910" s="692" t="n"/>
      <c r="BI910" s="692" t="n"/>
      <c r="BJ910" s="692" t="n"/>
      <c r="BK910" s="692" t="n"/>
      <c r="BL910" s="692" t="n"/>
      <c r="BM910" s="692" t="n"/>
      <c r="BN910" s="692" t="n"/>
      <c r="BO910" s="692" t="n"/>
      <c r="BP910" s="692" t="n"/>
      <c r="BQ910" s="692" t="n"/>
    </row>
    <row r="911">
      <c r="A911" s="220" t="n"/>
      <c r="B911" s="211" t="n"/>
      <c r="C911" s="211" t="n"/>
      <c r="D911" s="211" t="n"/>
      <c r="E911" s="221" t="n"/>
      <c r="F911" s="211" t="n"/>
      <c r="G911" s="211" t="n"/>
      <c r="H911" s="211" t="n"/>
      <c r="I911" s="211" t="n"/>
      <c r="J911" s="211" t="n"/>
      <c r="K911" s="211" t="n"/>
      <c r="L911" s="213" t="n"/>
      <c r="M911" s="692" t="n"/>
      <c r="N911" s="692" t="n"/>
      <c r="O911" s="692" t="n"/>
      <c r="P911" s="261" t="n"/>
      <c r="Q911" s="692" t="n"/>
      <c r="R911" s="692" t="n"/>
      <c r="S911" s="692" t="n"/>
      <c r="T911" s="692" t="n"/>
      <c r="U911" s="692" t="n"/>
      <c r="V911" s="692" t="n"/>
      <c r="W911" s="692" t="n"/>
      <c r="X911" s="692" t="n"/>
      <c r="Y911" s="692" t="n"/>
      <c r="Z911" s="692" t="n"/>
      <c r="AA911" s="692" t="n"/>
      <c r="AB911" s="692" t="n"/>
      <c r="AC911" s="692" t="n"/>
      <c r="AD911" s="692" t="n"/>
      <c r="AF911" s="236" t="n"/>
      <c r="AG911" s="236" t="n"/>
      <c r="AH911" s="236" t="n"/>
      <c r="AI911" s="236" t="n"/>
      <c r="AJ911" s="236" t="n"/>
      <c r="AK911" s="236" t="n"/>
      <c r="AL911" s="236" t="n"/>
      <c r="AM911" s="236" t="n"/>
      <c r="AN911" s="236" t="n"/>
      <c r="AO911" s="236" t="n"/>
      <c r="AP911" s="236" t="n"/>
      <c r="AQ911" s="236" t="n"/>
      <c r="AR911" s="236" t="n"/>
      <c r="AS911" s="236" t="n"/>
      <c r="AT911" s="236" t="n"/>
      <c r="AU911" s="236" t="n"/>
      <c r="AV911" s="236" t="n"/>
      <c r="AW911" s="236" t="n"/>
      <c r="AX911" s="692" t="n"/>
      <c r="AY911" s="692" t="n"/>
      <c r="AZ911" s="692" t="n"/>
      <c r="BA911" s="692" t="n"/>
      <c r="BB911" s="692" t="n"/>
      <c r="BC911" s="692" t="n"/>
      <c r="BD911" s="692" t="n"/>
      <c r="BE911" s="692" t="n"/>
      <c r="BF911" s="692" t="n"/>
      <c r="BG911" s="692" t="n"/>
      <c r="BH911" s="692" t="n"/>
      <c r="BI911" s="692" t="n"/>
      <c r="BJ911" s="692" t="n"/>
      <c r="BK911" s="692" t="n"/>
      <c r="BL911" s="692" t="n"/>
      <c r="BM911" s="692" t="n"/>
      <c r="BN911" s="692" t="n"/>
      <c r="BO911" s="692" t="n"/>
      <c r="BP911" s="692" t="n"/>
      <c r="BQ911" s="692" t="n"/>
    </row>
    <row r="912">
      <c r="A912" s="218" t="n"/>
      <c r="B912" s="215" t="n"/>
      <c r="C912" s="215" t="n"/>
      <c r="D912" s="215" t="n"/>
      <c r="E912" s="219" t="n"/>
      <c r="F912" s="215" t="n"/>
      <c r="G912" s="215" t="n"/>
      <c r="H912" s="215" t="n"/>
      <c r="I912" s="215" t="n"/>
      <c r="J912" s="215" t="n"/>
      <c r="K912" s="215" t="n"/>
      <c r="L912" s="217" t="n"/>
      <c r="M912" s="692" t="n"/>
      <c r="N912" s="692" t="n"/>
      <c r="O912" s="692" t="n"/>
      <c r="P912" s="261" t="n"/>
      <c r="Q912" s="692" t="n"/>
      <c r="R912" s="692" t="n"/>
      <c r="S912" s="692" t="n"/>
      <c r="T912" s="692" t="n"/>
      <c r="U912" s="692" t="n"/>
      <c r="V912" s="692" t="n"/>
      <c r="W912" s="692" t="n"/>
      <c r="X912" s="692" t="n"/>
      <c r="Y912" s="692" t="n"/>
      <c r="Z912" s="692" t="n"/>
      <c r="AA912" s="692" t="n"/>
      <c r="AB912" s="692" t="n"/>
      <c r="AC912" s="692" t="n"/>
      <c r="AD912" s="692" t="n"/>
      <c r="AF912" s="236" t="n"/>
      <c r="AG912" s="236" t="n"/>
      <c r="AH912" s="236" t="n"/>
      <c r="AI912" s="236" t="n"/>
      <c r="AJ912" s="236" t="n"/>
      <c r="AK912" s="236" t="n"/>
      <c r="AL912" s="236" t="n"/>
      <c r="AM912" s="236" t="n"/>
      <c r="AN912" s="236" t="n"/>
      <c r="AO912" s="236" t="n"/>
      <c r="AP912" s="236" t="n"/>
      <c r="AQ912" s="236" t="n"/>
      <c r="AR912" s="236" t="n"/>
      <c r="AS912" s="236" t="n"/>
      <c r="AT912" s="236" t="n"/>
      <c r="AU912" s="236" t="n"/>
      <c r="AV912" s="236" t="n"/>
      <c r="AW912" s="236" t="n"/>
      <c r="AX912" s="692" t="n"/>
      <c r="AY912" s="692" t="n"/>
      <c r="AZ912" s="692" t="n"/>
      <c r="BA912" s="692" t="n"/>
      <c r="BB912" s="692" t="n"/>
      <c r="BC912" s="692" t="n"/>
      <c r="BD912" s="692" t="n"/>
      <c r="BE912" s="692" t="n"/>
      <c r="BF912" s="692" t="n"/>
      <c r="BG912" s="692" t="n"/>
      <c r="BH912" s="692" t="n"/>
      <c r="BI912" s="692" t="n"/>
      <c r="BJ912" s="692" t="n"/>
      <c r="BK912" s="692" t="n"/>
      <c r="BL912" s="692" t="n"/>
      <c r="BM912" s="692" t="n"/>
      <c r="BN912" s="692" t="n"/>
      <c r="BO912" s="692" t="n"/>
      <c r="BP912" s="692" t="n"/>
      <c r="BQ912" s="692" t="n"/>
    </row>
    <row r="913">
      <c r="A913" s="220" t="n"/>
      <c r="B913" s="211" t="n"/>
      <c r="C913" s="211" t="n"/>
      <c r="D913" s="211" t="n"/>
      <c r="E913" s="221" t="n"/>
      <c r="F913" s="211" t="n"/>
      <c r="G913" s="211" t="n"/>
      <c r="H913" s="211" t="n"/>
      <c r="I913" s="211" t="n"/>
      <c r="J913" s="211" t="n"/>
      <c r="K913" s="211" t="n"/>
      <c r="L913" s="213" t="n"/>
      <c r="M913" s="692" t="n"/>
      <c r="N913" s="692" t="n"/>
      <c r="O913" s="692" t="n"/>
      <c r="P913" s="261" t="n"/>
      <c r="Q913" s="692" t="n"/>
      <c r="R913" s="692" t="n"/>
      <c r="S913" s="692" t="n"/>
      <c r="T913" s="692" t="n"/>
      <c r="U913" s="692" t="n"/>
      <c r="V913" s="692" t="n"/>
      <c r="W913" s="692" t="n"/>
      <c r="X913" s="692" t="n"/>
      <c r="Y913" s="692" t="n"/>
      <c r="Z913" s="692" t="n"/>
      <c r="AA913" s="692" t="n"/>
      <c r="AB913" s="692" t="n"/>
      <c r="AC913" s="692" t="n"/>
      <c r="AD913" s="692" t="n"/>
      <c r="AF913" s="236" t="n"/>
      <c r="AG913" s="236" t="n"/>
      <c r="AH913" s="236" t="n"/>
      <c r="AI913" s="236" t="n"/>
      <c r="AJ913" s="236" t="n"/>
      <c r="AK913" s="236" t="n"/>
      <c r="AL913" s="236" t="n"/>
      <c r="AM913" s="236" t="n"/>
      <c r="AN913" s="236" t="n"/>
      <c r="AO913" s="236" t="n"/>
      <c r="AP913" s="236" t="n"/>
      <c r="AQ913" s="236" t="n"/>
      <c r="AR913" s="236" t="n"/>
      <c r="AS913" s="236" t="n"/>
      <c r="AT913" s="236" t="n"/>
      <c r="AU913" s="236" t="n"/>
      <c r="AV913" s="236" t="n"/>
      <c r="AW913" s="236" t="n"/>
      <c r="AX913" s="692" t="n"/>
      <c r="AY913" s="692" t="n"/>
      <c r="AZ913" s="692" t="n"/>
      <c r="BA913" s="692" t="n"/>
      <c r="BB913" s="692" t="n"/>
      <c r="BC913" s="692" t="n"/>
      <c r="BD913" s="692" t="n"/>
      <c r="BE913" s="692" t="n"/>
      <c r="BF913" s="692" t="n"/>
      <c r="BG913" s="692" t="n"/>
      <c r="BH913" s="692" t="n"/>
      <c r="BI913" s="692" t="n"/>
      <c r="BJ913" s="692" t="n"/>
      <c r="BK913" s="692" t="n"/>
      <c r="BL913" s="692" t="n"/>
      <c r="BM913" s="692" t="n"/>
      <c r="BN913" s="692" t="n"/>
      <c r="BO913" s="692" t="n"/>
      <c r="BP913" s="692" t="n"/>
      <c r="BQ913" s="692" t="n"/>
    </row>
    <row r="914">
      <c r="A914" s="218" t="n"/>
      <c r="B914" s="215" t="n"/>
      <c r="C914" s="215" t="n"/>
      <c r="D914" s="215" t="n"/>
      <c r="E914" s="219" t="n"/>
      <c r="F914" s="215" t="n"/>
      <c r="G914" s="215" t="n"/>
      <c r="H914" s="215" t="n"/>
      <c r="I914" s="215" t="n"/>
      <c r="J914" s="215" t="n"/>
      <c r="K914" s="215" t="n"/>
      <c r="L914" s="217" t="n"/>
      <c r="M914" s="692" t="n"/>
      <c r="N914" s="692" t="n"/>
      <c r="O914" s="692" t="n"/>
      <c r="P914" s="261" t="n"/>
      <c r="Q914" s="692" t="n"/>
      <c r="R914" s="692" t="n"/>
      <c r="S914" s="692" t="n"/>
      <c r="T914" s="692" t="n"/>
      <c r="U914" s="692" t="n"/>
      <c r="V914" s="692" t="n"/>
      <c r="W914" s="692" t="n"/>
      <c r="X914" s="692" t="n"/>
      <c r="Y914" s="692" t="n"/>
      <c r="Z914" s="692" t="n"/>
      <c r="AA914" s="692" t="n"/>
      <c r="AB914" s="692" t="n"/>
      <c r="AC914" s="692" t="n"/>
      <c r="AD914" s="692" t="n"/>
      <c r="AF914" s="236" t="n"/>
      <c r="AG914" s="236" t="n"/>
      <c r="AH914" s="236" t="n"/>
      <c r="AI914" s="236" t="n"/>
      <c r="AJ914" s="236" t="n"/>
      <c r="AK914" s="236" t="n"/>
      <c r="AL914" s="236" t="n"/>
      <c r="AM914" s="236" t="n"/>
      <c r="AN914" s="236" t="n"/>
      <c r="AO914" s="236" t="n"/>
      <c r="AP914" s="236" t="n"/>
      <c r="AQ914" s="236" t="n"/>
      <c r="AR914" s="236" t="n"/>
      <c r="AS914" s="236" t="n"/>
      <c r="AT914" s="236" t="n"/>
      <c r="AU914" s="236" t="n"/>
      <c r="AV914" s="236" t="n"/>
      <c r="AW914" s="236" t="n"/>
      <c r="AX914" s="692" t="n"/>
      <c r="AY914" s="692" t="n"/>
      <c r="AZ914" s="692" t="n"/>
      <c r="BA914" s="692" t="n"/>
      <c r="BB914" s="692" t="n"/>
      <c r="BC914" s="692" t="n"/>
      <c r="BD914" s="692" t="n"/>
      <c r="BE914" s="692" t="n"/>
      <c r="BF914" s="692" t="n"/>
      <c r="BG914" s="692" t="n"/>
      <c r="BH914" s="692" t="n"/>
      <c r="BI914" s="692" t="n"/>
      <c r="BJ914" s="692" t="n"/>
      <c r="BK914" s="692" t="n"/>
      <c r="BL914" s="692" t="n"/>
      <c r="BM914" s="692" t="n"/>
      <c r="BN914" s="692" t="n"/>
      <c r="BO914" s="692" t="n"/>
      <c r="BP914" s="692" t="n"/>
      <c r="BQ914" s="692" t="n"/>
    </row>
    <row r="915">
      <c r="A915" s="220" t="n"/>
      <c r="B915" s="211" t="n"/>
      <c r="C915" s="211" t="n"/>
      <c r="D915" s="211" t="n"/>
      <c r="E915" s="221" t="n"/>
      <c r="F915" s="211" t="n"/>
      <c r="G915" s="211" t="n"/>
      <c r="H915" s="211" t="n"/>
      <c r="I915" s="211" t="n"/>
      <c r="J915" s="211" t="n"/>
      <c r="K915" s="211" t="n"/>
      <c r="L915" s="213" t="n"/>
      <c r="M915" s="692" t="n"/>
      <c r="N915" s="692" t="n"/>
      <c r="O915" s="692" t="n"/>
      <c r="P915" s="261" t="n"/>
      <c r="Q915" s="692" t="n"/>
      <c r="R915" s="692" t="n"/>
      <c r="S915" s="692" t="n"/>
      <c r="T915" s="692" t="n"/>
      <c r="U915" s="692" t="n"/>
      <c r="V915" s="692" t="n"/>
      <c r="W915" s="692" t="n"/>
      <c r="X915" s="692" t="n"/>
      <c r="Y915" s="692" t="n"/>
      <c r="Z915" s="692" t="n"/>
      <c r="AA915" s="692" t="n"/>
      <c r="AB915" s="692" t="n"/>
      <c r="AC915" s="692" t="n"/>
      <c r="AD915" s="692" t="n"/>
      <c r="AF915" s="236" t="n"/>
      <c r="AG915" s="236" t="n"/>
      <c r="AH915" s="236" t="n"/>
      <c r="AI915" s="236" t="n"/>
      <c r="AJ915" s="236" t="n"/>
      <c r="AK915" s="236" t="n"/>
      <c r="AL915" s="236" t="n"/>
      <c r="AM915" s="236" t="n"/>
      <c r="AN915" s="236" t="n"/>
      <c r="AO915" s="236" t="n"/>
      <c r="AP915" s="236" t="n"/>
      <c r="AQ915" s="236" t="n"/>
      <c r="AR915" s="236" t="n"/>
      <c r="AS915" s="236" t="n"/>
      <c r="AT915" s="236" t="n"/>
      <c r="AU915" s="236" t="n"/>
      <c r="AV915" s="236" t="n"/>
      <c r="AW915" s="236" t="n"/>
      <c r="AX915" s="692" t="n"/>
      <c r="AY915" s="692" t="n"/>
      <c r="AZ915" s="692" t="n"/>
      <c r="BA915" s="692" t="n"/>
      <c r="BB915" s="692" t="n"/>
      <c r="BC915" s="692" t="n"/>
      <c r="BD915" s="692" t="n"/>
      <c r="BE915" s="692" t="n"/>
      <c r="BF915" s="692" t="n"/>
      <c r="BG915" s="692" t="n"/>
      <c r="BH915" s="692" t="n"/>
      <c r="BI915" s="692" t="n"/>
      <c r="BJ915" s="692" t="n"/>
      <c r="BK915" s="692" t="n"/>
      <c r="BL915" s="692" t="n"/>
      <c r="BM915" s="692" t="n"/>
      <c r="BN915" s="692" t="n"/>
      <c r="BO915" s="692" t="n"/>
      <c r="BP915" s="692" t="n"/>
      <c r="BQ915" s="692" t="n"/>
    </row>
    <row r="916">
      <c r="A916" s="218" t="n"/>
      <c r="B916" s="215" t="n"/>
      <c r="C916" s="215" t="n"/>
      <c r="D916" s="215" t="n"/>
      <c r="E916" s="219" t="n"/>
      <c r="F916" s="215" t="n"/>
      <c r="G916" s="215" t="n"/>
      <c r="H916" s="215" t="n"/>
      <c r="I916" s="215" t="n"/>
      <c r="J916" s="215" t="n"/>
      <c r="K916" s="215" t="n"/>
      <c r="L916" s="217" t="n"/>
      <c r="M916" s="692" t="n"/>
      <c r="N916" s="692" t="n"/>
      <c r="O916" s="692" t="n"/>
      <c r="P916" s="261" t="n"/>
      <c r="Q916" s="692" t="n"/>
      <c r="R916" s="692" t="n"/>
      <c r="S916" s="692" t="n"/>
      <c r="T916" s="692" t="n"/>
      <c r="U916" s="692" t="n"/>
      <c r="V916" s="692" t="n"/>
      <c r="W916" s="692" t="n"/>
      <c r="X916" s="692" t="n"/>
      <c r="Y916" s="692" t="n"/>
      <c r="Z916" s="692" t="n"/>
      <c r="AA916" s="692" t="n"/>
      <c r="AB916" s="692" t="n"/>
      <c r="AC916" s="692" t="n"/>
      <c r="AD916" s="692" t="n"/>
      <c r="AF916" s="236" t="n"/>
      <c r="AG916" s="236" t="n"/>
      <c r="AH916" s="236" t="n"/>
      <c r="AI916" s="236" t="n"/>
      <c r="AJ916" s="236" t="n"/>
      <c r="AK916" s="236" t="n"/>
      <c r="AL916" s="236" t="n"/>
      <c r="AM916" s="236" t="n"/>
      <c r="AN916" s="236" t="n"/>
      <c r="AO916" s="236" t="n"/>
      <c r="AP916" s="236" t="n"/>
      <c r="AQ916" s="236" t="n"/>
      <c r="AR916" s="236" t="n"/>
      <c r="AS916" s="236" t="n"/>
      <c r="AT916" s="236" t="n"/>
      <c r="AU916" s="236" t="n"/>
      <c r="AV916" s="236" t="n"/>
      <c r="AW916" s="236" t="n"/>
      <c r="AX916" s="692" t="n"/>
      <c r="AY916" s="692" t="n"/>
      <c r="AZ916" s="692" t="n"/>
      <c r="BA916" s="692" t="n"/>
      <c r="BB916" s="692" t="n"/>
      <c r="BC916" s="692" t="n"/>
      <c r="BD916" s="692" t="n"/>
      <c r="BE916" s="692" t="n"/>
      <c r="BF916" s="692" t="n"/>
      <c r="BG916" s="692" t="n"/>
      <c r="BH916" s="692" t="n"/>
      <c r="BI916" s="692" t="n"/>
      <c r="BJ916" s="692" t="n"/>
      <c r="BK916" s="692" t="n"/>
      <c r="BL916" s="692" t="n"/>
      <c r="BM916" s="692" t="n"/>
      <c r="BN916" s="692" t="n"/>
      <c r="BO916" s="692" t="n"/>
      <c r="BP916" s="692" t="n"/>
      <c r="BQ916" s="692" t="n"/>
    </row>
    <row r="917">
      <c r="A917" s="220" t="n"/>
      <c r="B917" s="211" t="n"/>
      <c r="C917" s="211" t="n"/>
      <c r="D917" s="211" t="n"/>
      <c r="E917" s="221" t="n"/>
      <c r="F917" s="211" t="n"/>
      <c r="G917" s="211" t="n"/>
      <c r="H917" s="211" t="n"/>
      <c r="I917" s="211" t="n"/>
      <c r="J917" s="211" t="n"/>
      <c r="K917" s="211" t="n"/>
      <c r="L917" s="213" t="n"/>
      <c r="M917" s="692" t="n"/>
      <c r="N917" s="692" t="n"/>
      <c r="O917" s="692" t="n"/>
      <c r="P917" s="261" t="n"/>
      <c r="Q917" s="692" t="n"/>
      <c r="R917" s="692" t="n"/>
      <c r="S917" s="692" t="n"/>
      <c r="T917" s="692" t="n"/>
      <c r="U917" s="692" t="n"/>
      <c r="V917" s="692" t="n"/>
      <c r="W917" s="692" t="n"/>
      <c r="X917" s="692" t="n"/>
      <c r="Y917" s="692" t="n"/>
      <c r="Z917" s="692" t="n"/>
      <c r="AA917" s="692" t="n"/>
      <c r="AB917" s="692" t="n"/>
      <c r="AC917" s="692" t="n"/>
      <c r="AD917" s="692" t="n"/>
      <c r="AF917" s="236" t="n"/>
      <c r="AG917" s="236" t="n"/>
      <c r="AH917" s="236" t="n"/>
      <c r="AI917" s="236" t="n"/>
      <c r="AJ917" s="236" t="n"/>
      <c r="AK917" s="236" t="n"/>
      <c r="AL917" s="236" t="n"/>
      <c r="AM917" s="236" t="n"/>
      <c r="AN917" s="236" t="n"/>
      <c r="AO917" s="236" t="n"/>
      <c r="AP917" s="236" t="n"/>
      <c r="AQ917" s="236" t="n"/>
      <c r="AR917" s="236" t="n"/>
      <c r="AS917" s="236" t="n"/>
      <c r="AT917" s="236" t="n"/>
      <c r="AU917" s="236" t="n"/>
      <c r="AV917" s="236" t="n"/>
      <c r="AW917" s="236" t="n"/>
      <c r="AX917" s="692" t="n"/>
      <c r="AY917" s="692" t="n"/>
      <c r="AZ917" s="692" t="n"/>
      <c r="BA917" s="692" t="n"/>
      <c r="BB917" s="692" t="n"/>
      <c r="BC917" s="692" t="n"/>
      <c r="BD917" s="692" t="n"/>
      <c r="BE917" s="692" t="n"/>
      <c r="BF917" s="692" t="n"/>
      <c r="BG917" s="692" t="n"/>
      <c r="BH917" s="692" t="n"/>
      <c r="BI917" s="692" t="n"/>
      <c r="BJ917" s="692" t="n"/>
      <c r="BK917" s="692" t="n"/>
      <c r="BL917" s="692" t="n"/>
      <c r="BM917" s="692" t="n"/>
      <c r="BN917" s="692" t="n"/>
      <c r="BO917" s="692" t="n"/>
      <c r="BP917" s="692" t="n"/>
      <c r="BQ917" s="692" t="n"/>
    </row>
    <row r="918">
      <c r="A918" s="218" t="n"/>
      <c r="B918" s="215" t="n"/>
      <c r="C918" s="215" t="n"/>
      <c r="D918" s="215" t="n"/>
      <c r="E918" s="219" t="n"/>
      <c r="F918" s="215" t="n"/>
      <c r="G918" s="215" t="n"/>
      <c r="H918" s="215" t="n"/>
      <c r="I918" s="215" t="n"/>
      <c r="J918" s="215" t="n"/>
      <c r="K918" s="215" t="n"/>
      <c r="L918" s="217" t="n"/>
      <c r="M918" s="692" t="n"/>
      <c r="N918" s="692" t="n"/>
      <c r="O918" s="692" t="n"/>
      <c r="P918" s="261" t="n"/>
      <c r="Q918" s="692" t="n"/>
      <c r="R918" s="692" t="n"/>
      <c r="S918" s="692" t="n"/>
      <c r="T918" s="692" t="n"/>
      <c r="U918" s="692" t="n"/>
      <c r="V918" s="692" t="n"/>
      <c r="W918" s="692" t="n"/>
      <c r="X918" s="692" t="n"/>
      <c r="Y918" s="692" t="n"/>
      <c r="Z918" s="692" t="n"/>
      <c r="AA918" s="692" t="n"/>
      <c r="AB918" s="692" t="n"/>
      <c r="AC918" s="692" t="n"/>
      <c r="AD918" s="692" t="n"/>
      <c r="AF918" s="236" t="n"/>
      <c r="AG918" s="236" t="n"/>
      <c r="AH918" s="236" t="n"/>
      <c r="AI918" s="236" t="n"/>
      <c r="AJ918" s="236" t="n"/>
      <c r="AK918" s="236" t="n"/>
      <c r="AL918" s="236" t="n"/>
      <c r="AM918" s="236" t="n"/>
      <c r="AN918" s="236" t="n"/>
      <c r="AO918" s="236" t="n"/>
      <c r="AP918" s="236" t="n"/>
      <c r="AQ918" s="236" t="n"/>
      <c r="AR918" s="236" t="n"/>
      <c r="AS918" s="236" t="n"/>
      <c r="AT918" s="236" t="n"/>
      <c r="AU918" s="236" t="n"/>
      <c r="AV918" s="236" t="n"/>
      <c r="AW918" s="236" t="n"/>
      <c r="AX918" s="692" t="n"/>
      <c r="AY918" s="692" t="n"/>
      <c r="AZ918" s="692" t="n"/>
      <c r="BA918" s="692" t="n"/>
      <c r="BB918" s="692" t="n"/>
      <c r="BC918" s="692" t="n"/>
      <c r="BD918" s="692" t="n"/>
      <c r="BE918" s="692" t="n"/>
      <c r="BF918" s="692" t="n"/>
      <c r="BG918" s="692" t="n"/>
      <c r="BH918" s="692" t="n"/>
      <c r="BI918" s="692" t="n"/>
      <c r="BJ918" s="692" t="n"/>
      <c r="BK918" s="692" t="n"/>
      <c r="BL918" s="692" t="n"/>
      <c r="BM918" s="692" t="n"/>
      <c r="BN918" s="692" t="n"/>
      <c r="BO918" s="692" t="n"/>
      <c r="BP918" s="692" t="n"/>
      <c r="BQ918" s="692" t="n"/>
    </row>
    <row r="919">
      <c r="A919" s="220" t="n"/>
      <c r="B919" s="211" t="n"/>
      <c r="C919" s="211" t="n"/>
      <c r="D919" s="211" t="n"/>
      <c r="E919" s="221" t="n"/>
      <c r="F919" s="211" t="n"/>
      <c r="G919" s="211" t="n"/>
      <c r="H919" s="211" t="n"/>
      <c r="I919" s="211" t="n"/>
      <c r="J919" s="211" t="n"/>
      <c r="K919" s="211" t="n"/>
      <c r="L919" s="213" t="n"/>
      <c r="M919" s="692" t="n"/>
      <c r="N919" s="692" t="n"/>
      <c r="O919" s="692" t="n"/>
      <c r="P919" s="261" t="n"/>
      <c r="Q919" s="692" t="n"/>
      <c r="R919" s="692" t="n"/>
      <c r="S919" s="692" t="n"/>
      <c r="T919" s="692" t="n"/>
      <c r="U919" s="692" t="n"/>
      <c r="V919" s="692" t="n"/>
      <c r="W919" s="692" t="n"/>
      <c r="X919" s="692" t="n"/>
      <c r="Y919" s="692" t="n"/>
      <c r="Z919" s="692" t="n"/>
      <c r="AA919" s="692" t="n"/>
      <c r="AB919" s="692" t="n"/>
      <c r="AC919" s="692" t="n"/>
      <c r="AD919" s="692" t="n"/>
      <c r="AF919" s="236" t="n"/>
      <c r="AG919" s="236" t="n"/>
      <c r="AH919" s="236" t="n"/>
      <c r="AI919" s="236" t="n"/>
      <c r="AJ919" s="236" t="n"/>
      <c r="AK919" s="236" t="n"/>
      <c r="AL919" s="236" t="n"/>
      <c r="AM919" s="236" t="n"/>
      <c r="AN919" s="236" t="n"/>
      <c r="AO919" s="236" t="n"/>
      <c r="AP919" s="236" t="n"/>
      <c r="AQ919" s="236" t="n"/>
      <c r="AR919" s="236" t="n"/>
      <c r="AS919" s="236" t="n"/>
      <c r="AT919" s="236" t="n"/>
      <c r="AU919" s="236" t="n"/>
      <c r="AV919" s="236" t="n"/>
      <c r="AW919" s="236" t="n"/>
      <c r="AX919" s="692" t="n"/>
      <c r="AY919" s="692" t="n"/>
      <c r="AZ919" s="692" t="n"/>
      <c r="BA919" s="692" t="n"/>
      <c r="BB919" s="692" t="n"/>
      <c r="BC919" s="692" t="n"/>
      <c r="BD919" s="692" t="n"/>
      <c r="BE919" s="692" t="n"/>
      <c r="BF919" s="692" t="n"/>
      <c r="BG919" s="692" t="n"/>
      <c r="BH919" s="692" t="n"/>
      <c r="BI919" s="692" t="n"/>
      <c r="BJ919" s="692" t="n"/>
      <c r="BK919" s="692" t="n"/>
      <c r="BL919" s="692" t="n"/>
      <c r="BM919" s="692" t="n"/>
      <c r="BN919" s="692" t="n"/>
      <c r="BO919" s="692" t="n"/>
      <c r="BP919" s="692" t="n"/>
      <c r="BQ919" s="692" t="n"/>
    </row>
    <row r="920">
      <c r="A920" s="218" t="n"/>
      <c r="B920" s="215" t="n"/>
      <c r="C920" s="215" t="n"/>
      <c r="D920" s="215" t="n"/>
      <c r="E920" s="219" t="n"/>
      <c r="F920" s="215" t="n"/>
      <c r="G920" s="215" t="n"/>
      <c r="H920" s="215" t="n"/>
      <c r="I920" s="215" t="n"/>
      <c r="J920" s="215" t="n"/>
      <c r="K920" s="215" t="n"/>
      <c r="L920" s="217" t="n"/>
      <c r="M920" s="692" t="n"/>
      <c r="N920" s="692" t="n"/>
      <c r="O920" s="692" t="n"/>
      <c r="P920" s="261" t="n"/>
      <c r="Q920" s="692" t="n"/>
      <c r="R920" s="692" t="n"/>
      <c r="S920" s="692" t="n"/>
      <c r="T920" s="692" t="n"/>
      <c r="U920" s="692" t="n"/>
      <c r="V920" s="692" t="n"/>
      <c r="W920" s="692" t="n"/>
      <c r="X920" s="692" t="n"/>
      <c r="Y920" s="692" t="n"/>
      <c r="Z920" s="692" t="n"/>
      <c r="AA920" s="692" t="n"/>
      <c r="AB920" s="692" t="n"/>
      <c r="AC920" s="692" t="n"/>
      <c r="AD920" s="692" t="n"/>
      <c r="AF920" s="236" t="n"/>
      <c r="AG920" s="236" t="n"/>
      <c r="AH920" s="236" t="n"/>
      <c r="AI920" s="236" t="n"/>
      <c r="AJ920" s="236" t="n"/>
      <c r="AK920" s="236" t="n"/>
      <c r="AL920" s="236" t="n"/>
      <c r="AM920" s="236" t="n"/>
      <c r="AN920" s="236" t="n"/>
      <c r="AO920" s="236" t="n"/>
      <c r="AP920" s="236" t="n"/>
      <c r="AQ920" s="236" t="n"/>
      <c r="AR920" s="236" t="n"/>
      <c r="AS920" s="236" t="n"/>
      <c r="AT920" s="236" t="n"/>
      <c r="AU920" s="236" t="n"/>
      <c r="AV920" s="236" t="n"/>
      <c r="AW920" s="236" t="n"/>
      <c r="AX920" s="692" t="n"/>
      <c r="AY920" s="692" t="n"/>
      <c r="AZ920" s="692" t="n"/>
      <c r="BA920" s="692" t="n"/>
      <c r="BB920" s="692" t="n"/>
      <c r="BC920" s="692" t="n"/>
      <c r="BD920" s="692" t="n"/>
      <c r="BE920" s="692" t="n"/>
      <c r="BF920" s="692" t="n"/>
      <c r="BG920" s="692" t="n"/>
      <c r="BH920" s="692" t="n"/>
      <c r="BI920" s="692" t="n"/>
      <c r="BJ920" s="692" t="n"/>
      <c r="BK920" s="692" t="n"/>
      <c r="BL920" s="692" t="n"/>
      <c r="BM920" s="692" t="n"/>
      <c r="BN920" s="692" t="n"/>
      <c r="BO920" s="692" t="n"/>
      <c r="BP920" s="692" t="n"/>
      <c r="BQ920" s="692" t="n"/>
    </row>
    <row r="921">
      <c r="A921" s="220" t="n"/>
      <c r="B921" s="211" t="n"/>
      <c r="C921" s="211" t="n"/>
      <c r="D921" s="211" t="n"/>
      <c r="E921" s="221" t="n"/>
      <c r="F921" s="211" t="n"/>
      <c r="G921" s="211" t="n"/>
      <c r="H921" s="211" t="n"/>
      <c r="I921" s="211" t="n"/>
      <c r="J921" s="211" t="n"/>
      <c r="K921" s="211" t="n"/>
      <c r="L921" s="213" t="n"/>
      <c r="M921" s="692" t="n"/>
      <c r="N921" s="692" t="n"/>
      <c r="O921" s="692" t="n"/>
      <c r="P921" s="261" t="n"/>
      <c r="Q921" s="692" t="n"/>
      <c r="R921" s="692" t="n"/>
      <c r="S921" s="692" t="n"/>
      <c r="T921" s="692" t="n"/>
      <c r="U921" s="692" t="n"/>
      <c r="V921" s="692" t="n"/>
      <c r="W921" s="692" t="n"/>
      <c r="X921" s="692" t="n"/>
      <c r="Y921" s="692" t="n"/>
      <c r="Z921" s="692" t="n"/>
      <c r="AA921" s="692" t="n"/>
      <c r="AB921" s="692" t="n"/>
      <c r="AC921" s="692" t="n"/>
      <c r="AD921" s="692" t="n"/>
      <c r="AF921" s="236" t="n"/>
      <c r="AG921" s="236" t="n"/>
      <c r="AH921" s="236" t="n"/>
      <c r="AI921" s="236" t="n"/>
      <c r="AJ921" s="236" t="n"/>
      <c r="AK921" s="236" t="n"/>
      <c r="AL921" s="236" t="n"/>
      <c r="AM921" s="236" t="n"/>
      <c r="AN921" s="236" t="n"/>
      <c r="AO921" s="236" t="n"/>
      <c r="AP921" s="236" t="n"/>
      <c r="AQ921" s="236" t="n"/>
      <c r="AR921" s="236" t="n"/>
      <c r="AS921" s="236" t="n"/>
      <c r="AT921" s="236" t="n"/>
      <c r="AU921" s="236" t="n"/>
      <c r="AV921" s="236" t="n"/>
      <c r="AW921" s="236" t="n"/>
      <c r="AX921" s="692" t="n"/>
      <c r="AY921" s="692" t="n"/>
      <c r="AZ921" s="692" t="n"/>
      <c r="BA921" s="692" t="n"/>
      <c r="BB921" s="692" t="n"/>
      <c r="BC921" s="692" t="n"/>
      <c r="BD921" s="692" t="n"/>
      <c r="BE921" s="692" t="n"/>
      <c r="BF921" s="692" t="n"/>
      <c r="BG921" s="692" t="n"/>
      <c r="BH921" s="692" t="n"/>
      <c r="BI921" s="692" t="n"/>
      <c r="BJ921" s="692" t="n"/>
      <c r="BK921" s="692" t="n"/>
      <c r="BL921" s="692" t="n"/>
      <c r="BM921" s="692" t="n"/>
      <c r="BN921" s="692" t="n"/>
      <c r="BO921" s="692" t="n"/>
      <c r="BP921" s="692" t="n"/>
      <c r="BQ921" s="692" t="n"/>
    </row>
    <row r="922">
      <c r="A922" s="218" t="n"/>
      <c r="B922" s="215" t="n"/>
      <c r="C922" s="215" t="n"/>
      <c r="D922" s="215" t="n"/>
      <c r="E922" s="219" t="n"/>
      <c r="F922" s="215" t="n"/>
      <c r="G922" s="215" t="n"/>
      <c r="H922" s="215" t="n"/>
      <c r="I922" s="215" t="n"/>
      <c r="J922" s="215" t="n"/>
      <c r="K922" s="215" t="n"/>
      <c r="L922" s="217" t="n"/>
      <c r="M922" s="692" t="n"/>
      <c r="N922" s="692" t="n"/>
      <c r="O922" s="692" t="n"/>
      <c r="P922" s="261" t="n"/>
      <c r="Q922" s="692" t="n"/>
      <c r="R922" s="692" t="n"/>
      <c r="S922" s="692" t="n"/>
      <c r="T922" s="692" t="n"/>
      <c r="U922" s="692" t="n"/>
      <c r="V922" s="692" t="n"/>
      <c r="W922" s="692" t="n"/>
      <c r="X922" s="692" t="n"/>
      <c r="Y922" s="692" t="n"/>
      <c r="Z922" s="692" t="n"/>
      <c r="AA922" s="692" t="n"/>
      <c r="AB922" s="692" t="n"/>
      <c r="AC922" s="692" t="n"/>
      <c r="AD922" s="692" t="n"/>
      <c r="AF922" s="236" t="n"/>
      <c r="AG922" s="236" t="n"/>
      <c r="AH922" s="236" t="n"/>
      <c r="AI922" s="236" t="n"/>
      <c r="AJ922" s="236" t="n"/>
      <c r="AK922" s="236" t="n"/>
      <c r="AL922" s="236" t="n"/>
      <c r="AM922" s="236" t="n"/>
      <c r="AN922" s="236" t="n"/>
      <c r="AO922" s="236" t="n"/>
      <c r="AP922" s="236" t="n"/>
      <c r="AQ922" s="236" t="n"/>
      <c r="AR922" s="236" t="n"/>
      <c r="AS922" s="236" t="n"/>
      <c r="AT922" s="236" t="n"/>
      <c r="AU922" s="236" t="n"/>
      <c r="AV922" s="236" t="n"/>
      <c r="AW922" s="236" t="n"/>
      <c r="AX922" s="692" t="n"/>
      <c r="AY922" s="692" t="n"/>
      <c r="AZ922" s="692" t="n"/>
      <c r="BA922" s="692" t="n"/>
      <c r="BB922" s="692" t="n"/>
      <c r="BC922" s="692" t="n"/>
      <c r="BD922" s="692" t="n"/>
      <c r="BE922" s="692" t="n"/>
      <c r="BF922" s="692" t="n"/>
      <c r="BG922" s="692" t="n"/>
      <c r="BH922" s="692" t="n"/>
      <c r="BI922" s="692" t="n"/>
      <c r="BJ922" s="692" t="n"/>
      <c r="BK922" s="692" t="n"/>
      <c r="BL922" s="692" t="n"/>
      <c r="BM922" s="692" t="n"/>
      <c r="BN922" s="692" t="n"/>
      <c r="BO922" s="692" t="n"/>
      <c r="BP922" s="692" t="n"/>
      <c r="BQ922" s="692" t="n"/>
    </row>
    <row r="923">
      <c r="A923" s="220" t="n"/>
      <c r="B923" s="211" t="n"/>
      <c r="C923" s="211" t="n"/>
      <c r="D923" s="211" t="n"/>
      <c r="E923" s="221" t="n"/>
      <c r="F923" s="211" t="n"/>
      <c r="G923" s="211" t="n"/>
      <c r="H923" s="211" t="n"/>
      <c r="I923" s="211" t="n"/>
      <c r="J923" s="211" t="n"/>
      <c r="K923" s="211" t="n"/>
      <c r="L923" s="213" t="n"/>
      <c r="M923" s="692" t="n"/>
      <c r="N923" s="692" t="n"/>
      <c r="O923" s="692" t="n"/>
      <c r="P923" s="261" t="n"/>
      <c r="Q923" s="692" t="n"/>
      <c r="R923" s="692" t="n"/>
      <c r="S923" s="692" t="n"/>
      <c r="T923" s="692" t="n"/>
      <c r="U923" s="692" t="n"/>
      <c r="V923" s="692" t="n"/>
      <c r="W923" s="692" t="n"/>
      <c r="X923" s="692" t="n"/>
      <c r="Y923" s="692" t="n"/>
      <c r="Z923" s="692" t="n"/>
      <c r="AA923" s="692" t="n"/>
      <c r="AB923" s="692" t="n"/>
      <c r="AC923" s="692" t="n"/>
      <c r="AD923" s="692" t="n"/>
      <c r="AF923" s="236" t="n"/>
      <c r="AG923" s="236" t="n"/>
      <c r="AH923" s="236" t="n"/>
      <c r="AI923" s="236" t="n"/>
      <c r="AJ923" s="236" t="n"/>
      <c r="AK923" s="236" t="n"/>
      <c r="AL923" s="236" t="n"/>
      <c r="AM923" s="236" t="n"/>
      <c r="AN923" s="236" t="n"/>
      <c r="AO923" s="236" t="n"/>
      <c r="AP923" s="236" t="n"/>
      <c r="AQ923" s="236" t="n"/>
      <c r="AR923" s="236" t="n"/>
      <c r="AS923" s="236" t="n"/>
      <c r="AT923" s="236" t="n"/>
      <c r="AU923" s="236" t="n"/>
      <c r="AV923" s="236" t="n"/>
      <c r="AW923" s="236" t="n"/>
      <c r="AX923" s="692" t="n"/>
      <c r="AY923" s="692" t="n"/>
      <c r="AZ923" s="692" t="n"/>
      <c r="BA923" s="692" t="n"/>
      <c r="BB923" s="692" t="n"/>
      <c r="BC923" s="692" t="n"/>
      <c r="BD923" s="692" t="n"/>
      <c r="BE923" s="692" t="n"/>
      <c r="BF923" s="692" t="n"/>
      <c r="BG923" s="692" t="n"/>
      <c r="BH923" s="692" t="n"/>
      <c r="BI923" s="692" t="n"/>
      <c r="BJ923" s="692" t="n"/>
      <c r="BK923" s="692" t="n"/>
      <c r="BL923" s="692" t="n"/>
      <c r="BM923" s="692" t="n"/>
      <c r="BN923" s="692" t="n"/>
      <c r="BO923" s="692" t="n"/>
      <c r="BP923" s="692" t="n"/>
      <c r="BQ923" s="692" t="n"/>
    </row>
    <row r="924">
      <c r="A924" s="218" t="n"/>
      <c r="B924" s="215" t="n"/>
      <c r="C924" s="215" t="n"/>
      <c r="D924" s="215" t="n"/>
      <c r="E924" s="219" t="n"/>
      <c r="F924" s="215" t="n"/>
      <c r="G924" s="215" t="n"/>
      <c r="H924" s="215" t="n"/>
      <c r="I924" s="215" t="n"/>
      <c r="J924" s="215" t="n"/>
      <c r="K924" s="215" t="n"/>
      <c r="L924" s="217" t="n"/>
      <c r="M924" s="692" t="n"/>
      <c r="N924" s="692" t="n"/>
      <c r="O924" s="692" t="n"/>
      <c r="P924" s="261" t="n"/>
      <c r="Q924" s="692" t="n"/>
      <c r="R924" s="692" t="n"/>
      <c r="S924" s="692" t="n"/>
      <c r="T924" s="692" t="n"/>
      <c r="U924" s="692" t="n"/>
      <c r="V924" s="692" t="n"/>
      <c r="W924" s="692" t="n"/>
      <c r="X924" s="692" t="n"/>
      <c r="Y924" s="692" t="n"/>
      <c r="Z924" s="692" t="n"/>
      <c r="AA924" s="692" t="n"/>
      <c r="AB924" s="692" t="n"/>
      <c r="AC924" s="692" t="n"/>
      <c r="AD924" s="692" t="n"/>
      <c r="AF924" s="236" t="n"/>
      <c r="AG924" s="236" t="n"/>
      <c r="AH924" s="236" t="n"/>
      <c r="AI924" s="236" t="n"/>
      <c r="AJ924" s="236" t="n"/>
      <c r="AK924" s="236" t="n"/>
      <c r="AL924" s="236" t="n"/>
      <c r="AM924" s="236" t="n"/>
      <c r="AN924" s="236" t="n"/>
      <c r="AO924" s="236" t="n"/>
      <c r="AP924" s="236" t="n"/>
      <c r="AQ924" s="236" t="n"/>
      <c r="AR924" s="236" t="n"/>
      <c r="AS924" s="236" t="n"/>
      <c r="AT924" s="236" t="n"/>
      <c r="AU924" s="236" t="n"/>
      <c r="AV924" s="236" t="n"/>
      <c r="AW924" s="236" t="n"/>
      <c r="AX924" s="692" t="n"/>
      <c r="AY924" s="692" t="n"/>
      <c r="AZ924" s="692" t="n"/>
      <c r="BA924" s="692" t="n"/>
      <c r="BB924" s="692" t="n"/>
      <c r="BC924" s="692" t="n"/>
      <c r="BD924" s="692" t="n"/>
      <c r="BE924" s="692" t="n"/>
      <c r="BF924" s="692" t="n"/>
      <c r="BG924" s="692" t="n"/>
      <c r="BH924" s="692" t="n"/>
      <c r="BI924" s="692" t="n"/>
      <c r="BJ924" s="692" t="n"/>
      <c r="BK924" s="692" t="n"/>
      <c r="BL924" s="692" t="n"/>
      <c r="BM924" s="692" t="n"/>
      <c r="BN924" s="692" t="n"/>
      <c r="BO924" s="692" t="n"/>
      <c r="BP924" s="692" t="n"/>
      <c r="BQ924" s="692" t="n"/>
    </row>
    <row r="925">
      <c r="A925" s="220" t="n"/>
      <c r="B925" s="211" t="n"/>
      <c r="C925" s="211" t="n"/>
      <c r="D925" s="211" t="n"/>
      <c r="E925" s="221" t="n"/>
      <c r="F925" s="211" t="n"/>
      <c r="G925" s="211" t="n"/>
      <c r="H925" s="211" t="n"/>
      <c r="I925" s="211" t="n"/>
      <c r="J925" s="211" t="n"/>
      <c r="K925" s="211" t="n"/>
      <c r="L925" s="213" t="n"/>
      <c r="M925" s="692" t="n"/>
      <c r="N925" s="692" t="n"/>
      <c r="O925" s="692" t="n"/>
      <c r="P925" s="261" t="n"/>
      <c r="Q925" s="692" t="n"/>
      <c r="R925" s="692" t="n"/>
      <c r="S925" s="692" t="n"/>
      <c r="T925" s="692" t="n"/>
      <c r="U925" s="692" t="n"/>
      <c r="V925" s="692" t="n"/>
      <c r="W925" s="692" t="n"/>
      <c r="X925" s="692" t="n"/>
      <c r="Y925" s="692" t="n"/>
      <c r="Z925" s="692" t="n"/>
      <c r="AA925" s="692" t="n"/>
      <c r="AB925" s="692" t="n"/>
      <c r="AC925" s="692" t="n"/>
      <c r="AD925" s="692" t="n"/>
      <c r="AF925" s="236" t="n"/>
      <c r="AG925" s="236" t="n"/>
      <c r="AH925" s="236" t="n"/>
      <c r="AI925" s="236" t="n"/>
      <c r="AJ925" s="236" t="n"/>
      <c r="AK925" s="236" t="n"/>
      <c r="AL925" s="236" t="n"/>
      <c r="AM925" s="236" t="n"/>
      <c r="AN925" s="236" t="n"/>
      <c r="AO925" s="236" t="n"/>
      <c r="AP925" s="236" t="n"/>
      <c r="AQ925" s="236" t="n"/>
      <c r="AR925" s="236" t="n"/>
      <c r="AS925" s="236" t="n"/>
      <c r="AT925" s="236" t="n"/>
      <c r="AU925" s="236" t="n"/>
      <c r="AV925" s="236" t="n"/>
      <c r="AW925" s="236" t="n"/>
      <c r="AX925" s="692" t="n"/>
      <c r="AY925" s="692" t="n"/>
      <c r="AZ925" s="692" t="n"/>
      <c r="BA925" s="692" t="n"/>
      <c r="BB925" s="692" t="n"/>
      <c r="BC925" s="692" t="n"/>
      <c r="BD925" s="692" t="n"/>
      <c r="BE925" s="692" t="n"/>
      <c r="BF925" s="692" t="n"/>
      <c r="BG925" s="692" t="n"/>
      <c r="BH925" s="692" t="n"/>
      <c r="BI925" s="692" t="n"/>
      <c r="BJ925" s="692" t="n"/>
      <c r="BK925" s="692" t="n"/>
      <c r="BL925" s="692" t="n"/>
      <c r="BM925" s="692" t="n"/>
      <c r="BN925" s="692" t="n"/>
      <c r="BO925" s="692" t="n"/>
      <c r="BP925" s="692" t="n"/>
      <c r="BQ925" s="692" t="n"/>
    </row>
    <row r="926">
      <c r="A926" s="218" t="n"/>
      <c r="B926" s="215" t="n"/>
      <c r="C926" s="215" t="n"/>
      <c r="D926" s="215" t="n"/>
      <c r="E926" s="219" t="n"/>
      <c r="F926" s="215" t="n"/>
      <c r="G926" s="215" t="n"/>
      <c r="H926" s="215" t="n"/>
      <c r="I926" s="215" t="n"/>
      <c r="J926" s="215" t="n"/>
      <c r="K926" s="215" t="n"/>
      <c r="L926" s="217" t="n"/>
      <c r="M926" s="692" t="n"/>
      <c r="N926" s="692" t="n"/>
      <c r="O926" s="692" t="n"/>
      <c r="P926" s="261" t="n"/>
      <c r="Q926" s="692" t="n"/>
      <c r="R926" s="692" t="n"/>
      <c r="S926" s="692" t="n"/>
      <c r="T926" s="692" t="n"/>
      <c r="U926" s="692" t="n"/>
      <c r="V926" s="692" t="n"/>
      <c r="W926" s="692" t="n"/>
      <c r="X926" s="692" t="n"/>
      <c r="Y926" s="692" t="n"/>
      <c r="Z926" s="692" t="n"/>
      <c r="AA926" s="692" t="n"/>
      <c r="AB926" s="692" t="n"/>
      <c r="AC926" s="692" t="n"/>
      <c r="AD926" s="692" t="n"/>
      <c r="AF926" s="236" t="n"/>
      <c r="AG926" s="236" t="n"/>
      <c r="AH926" s="236" t="n"/>
      <c r="AI926" s="236" t="n"/>
      <c r="AJ926" s="236" t="n"/>
      <c r="AK926" s="236" t="n"/>
      <c r="AL926" s="236" t="n"/>
      <c r="AM926" s="236" t="n"/>
      <c r="AN926" s="236" t="n"/>
      <c r="AO926" s="236" t="n"/>
      <c r="AP926" s="236" t="n"/>
      <c r="AQ926" s="236" t="n"/>
      <c r="AR926" s="236" t="n"/>
      <c r="AS926" s="236" t="n"/>
      <c r="AT926" s="236" t="n"/>
      <c r="AU926" s="236" t="n"/>
      <c r="AV926" s="236" t="n"/>
      <c r="AW926" s="236" t="n"/>
      <c r="AX926" s="692" t="n"/>
      <c r="AY926" s="692" t="n"/>
      <c r="AZ926" s="692" t="n"/>
      <c r="BA926" s="692" t="n"/>
      <c r="BB926" s="692" t="n"/>
      <c r="BC926" s="692" t="n"/>
      <c r="BD926" s="692" t="n"/>
      <c r="BE926" s="692" t="n"/>
      <c r="BF926" s="692" t="n"/>
      <c r="BG926" s="692" t="n"/>
      <c r="BH926" s="692" t="n"/>
      <c r="BI926" s="692" t="n"/>
      <c r="BJ926" s="692" t="n"/>
      <c r="BK926" s="692" t="n"/>
      <c r="BL926" s="692" t="n"/>
      <c r="BM926" s="692" t="n"/>
      <c r="BN926" s="692" t="n"/>
      <c r="BO926" s="692" t="n"/>
      <c r="BP926" s="692" t="n"/>
      <c r="BQ926" s="692" t="n"/>
    </row>
    <row r="927">
      <c r="A927" s="220" t="n"/>
      <c r="B927" s="211" t="n"/>
      <c r="C927" s="211" t="n"/>
      <c r="D927" s="211" t="n"/>
      <c r="E927" s="221" t="n"/>
      <c r="F927" s="211" t="n"/>
      <c r="G927" s="211" t="n"/>
      <c r="H927" s="211" t="n"/>
      <c r="I927" s="211" t="n"/>
      <c r="J927" s="211" t="n"/>
      <c r="K927" s="211" t="n"/>
      <c r="L927" s="213" t="n"/>
      <c r="M927" s="692" t="n"/>
      <c r="N927" s="692" t="n"/>
      <c r="O927" s="692" t="n"/>
      <c r="P927" s="261" t="n"/>
      <c r="Q927" s="692" t="n"/>
      <c r="R927" s="692" t="n"/>
      <c r="S927" s="692" t="n"/>
      <c r="T927" s="692" t="n"/>
      <c r="U927" s="692" t="n"/>
      <c r="V927" s="692" t="n"/>
      <c r="W927" s="692" t="n"/>
      <c r="X927" s="692" t="n"/>
      <c r="Y927" s="692" t="n"/>
      <c r="Z927" s="692" t="n"/>
      <c r="AA927" s="692" t="n"/>
      <c r="AB927" s="692" t="n"/>
      <c r="AC927" s="692" t="n"/>
      <c r="AD927" s="692" t="n"/>
      <c r="AF927" s="236" t="n"/>
      <c r="AG927" s="236" t="n"/>
      <c r="AH927" s="236" t="n"/>
      <c r="AI927" s="236" t="n"/>
      <c r="AJ927" s="236" t="n"/>
      <c r="AK927" s="236" t="n"/>
      <c r="AL927" s="236" t="n"/>
      <c r="AM927" s="236" t="n"/>
      <c r="AN927" s="236" t="n"/>
      <c r="AO927" s="236" t="n"/>
      <c r="AP927" s="236" t="n"/>
      <c r="AQ927" s="236" t="n"/>
      <c r="AR927" s="236" t="n"/>
      <c r="AS927" s="236" t="n"/>
      <c r="AT927" s="236" t="n"/>
      <c r="AU927" s="236" t="n"/>
      <c r="AV927" s="236" t="n"/>
      <c r="AW927" s="236" t="n"/>
      <c r="AX927" s="692" t="n"/>
      <c r="AY927" s="692" t="n"/>
      <c r="AZ927" s="692" t="n"/>
      <c r="BA927" s="692" t="n"/>
      <c r="BB927" s="692" t="n"/>
      <c r="BC927" s="692" t="n"/>
      <c r="BD927" s="692" t="n"/>
      <c r="BE927" s="692" t="n"/>
      <c r="BF927" s="692" t="n"/>
      <c r="BG927" s="692" t="n"/>
      <c r="BH927" s="692" t="n"/>
      <c r="BI927" s="692" t="n"/>
      <c r="BJ927" s="692" t="n"/>
      <c r="BK927" s="692" t="n"/>
      <c r="BL927" s="692" t="n"/>
      <c r="BM927" s="692" t="n"/>
      <c r="BN927" s="692" t="n"/>
      <c r="BO927" s="692" t="n"/>
      <c r="BP927" s="692" t="n"/>
      <c r="BQ927" s="692" t="n"/>
    </row>
    <row r="928">
      <c r="A928" s="218" t="n"/>
      <c r="B928" s="215" t="n"/>
      <c r="C928" s="215" t="n"/>
      <c r="D928" s="215" t="n"/>
      <c r="E928" s="219" t="n"/>
      <c r="F928" s="215" t="n"/>
      <c r="G928" s="215" t="n"/>
      <c r="H928" s="215" t="n"/>
      <c r="I928" s="215" t="n"/>
      <c r="J928" s="215" t="n"/>
      <c r="K928" s="215" t="n"/>
      <c r="L928" s="217" t="n"/>
      <c r="M928" s="692" t="n"/>
      <c r="N928" s="692" t="n"/>
      <c r="O928" s="692" t="n"/>
      <c r="P928" s="261" t="n"/>
      <c r="Q928" s="692" t="n"/>
      <c r="R928" s="692" t="n"/>
      <c r="S928" s="692" t="n"/>
      <c r="T928" s="692" t="n"/>
      <c r="U928" s="692" t="n"/>
      <c r="V928" s="692" t="n"/>
      <c r="W928" s="692" t="n"/>
      <c r="X928" s="692" t="n"/>
      <c r="Y928" s="692" t="n"/>
      <c r="Z928" s="692" t="n"/>
      <c r="AA928" s="692" t="n"/>
      <c r="AB928" s="692" t="n"/>
      <c r="AC928" s="692" t="n"/>
      <c r="AD928" s="692" t="n"/>
      <c r="AF928" s="236" t="n"/>
      <c r="AG928" s="236" t="n"/>
      <c r="AH928" s="236" t="n"/>
      <c r="AI928" s="236" t="n"/>
      <c r="AJ928" s="236" t="n"/>
      <c r="AK928" s="236" t="n"/>
      <c r="AL928" s="236" t="n"/>
      <c r="AM928" s="236" t="n"/>
      <c r="AN928" s="236" t="n"/>
      <c r="AO928" s="236" t="n"/>
      <c r="AP928" s="236" t="n"/>
      <c r="AQ928" s="236" t="n"/>
      <c r="AR928" s="236" t="n"/>
      <c r="AS928" s="236" t="n"/>
      <c r="AT928" s="236" t="n"/>
      <c r="AU928" s="236" t="n"/>
      <c r="AV928" s="236" t="n"/>
      <c r="AW928" s="236" t="n"/>
      <c r="AX928" s="692" t="n"/>
      <c r="AY928" s="692" t="n"/>
      <c r="AZ928" s="692" t="n"/>
      <c r="BA928" s="692" t="n"/>
      <c r="BB928" s="692" t="n"/>
      <c r="BC928" s="692" t="n"/>
      <c r="BD928" s="692" t="n"/>
      <c r="BE928" s="692" t="n"/>
      <c r="BF928" s="692" t="n"/>
      <c r="BG928" s="692" t="n"/>
      <c r="BH928" s="692" t="n"/>
      <c r="BI928" s="692" t="n"/>
      <c r="BJ928" s="692" t="n"/>
      <c r="BK928" s="692" t="n"/>
      <c r="BL928" s="692" t="n"/>
      <c r="BM928" s="692" t="n"/>
      <c r="BN928" s="692" t="n"/>
      <c r="BO928" s="692" t="n"/>
      <c r="BP928" s="692" t="n"/>
      <c r="BQ928" s="692" t="n"/>
    </row>
    <row r="929">
      <c r="A929" s="220" t="n"/>
      <c r="B929" s="211" t="n"/>
      <c r="C929" s="211" t="n"/>
      <c r="D929" s="211" t="n"/>
      <c r="E929" s="221" t="n"/>
      <c r="F929" s="211" t="n"/>
      <c r="G929" s="211" t="n"/>
      <c r="H929" s="211" t="n"/>
      <c r="I929" s="211" t="n"/>
      <c r="J929" s="211" t="n"/>
      <c r="K929" s="211" t="n"/>
      <c r="L929" s="213" t="n"/>
      <c r="M929" s="692" t="n"/>
      <c r="N929" s="692" t="n"/>
      <c r="O929" s="692" t="n"/>
      <c r="P929" s="261" t="n"/>
      <c r="Q929" s="692" t="n"/>
      <c r="R929" s="692" t="n"/>
      <c r="S929" s="692" t="n"/>
      <c r="T929" s="692" t="n"/>
      <c r="U929" s="692" t="n"/>
      <c r="V929" s="692" t="n"/>
      <c r="W929" s="692" t="n"/>
      <c r="X929" s="692" t="n"/>
      <c r="Y929" s="692" t="n"/>
      <c r="Z929" s="692" t="n"/>
      <c r="AA929" s="692" t="n"/>
      <c r="AB929" s="692" t="n"/>
      <c r="AC929" s="692" t="n"/>
      <c r="AD929" s="692" t="n"/>
      <c r="AF929" s="236" t="n"/>
      <c r="AG929" s="236" t="n"/>
      <c r="AH929" s="236" t="n"/>
      <c r="AI929" s="236" t="n"/>
      <c r="AJ929" s="236" t="n"/>
      <c r="AK929" s="236" t="n"/>
      <c r="AL929" s="236" t="n"/>
      <c r="AM929" s="236" t="n"/>
      <c r="AN929" s="236" t="n"/>
      <c r="AO929" s="236" t="n"/>
      <c r="AP929" s="236" t="n"/>
      <c r="AQ929" s="236" t="n"/>
      <c r="AR929" s="236" t="n"/>
      <c r="AS929" s="236" t="n"/>
      <c r="AT929" s="236" t="n"/>
      <c r="AU929" s="236" t="n"/>
      <c r="AV929" s="236" t="n"/>
      <c r="AW929" s="236" t="n"/>
      <c r="AX929" s="692" t="n"/>
      <c r="AY929" s="692" t="n"/>
      <c r="AZ929" s="692" t="n"/>
      <c r="BA929" s="692" t="n"/>
      <c r="BB929" s="692" t="n"/>
      <c r="BC929" s="692" t="n"/>
      <c r="BD929" s="692" t="n"/>
      <c r="BE929" s="692" t="n"/>
      <c r="BF929" s="692" t="n"/>
      <c r="BG929" s="692" t="n"/>
      <c r="BH929" s="692" t="n"/>
      <c r="BI929" s="692" t="n"/>
      <c r="BJ929" s="692" t="n"/>
      <c r="BK929" s="692" t="n"/>
      <c r="BL929" s="692" t="n"/>
      <c r="BM929" s="692" t="n"/>
      <c r="BN929" s="692" t="n"/>
      <c r="BO929" s="692" t="n"/>
      <c r="BP929" s="692" t="n"/>
      <c r="BQ929" s="692" t="n"/>
    </row>
    <row r="930">
      <c r="A930" s="218" t="n"/>
      <c r="B930" s="215" t="n"/>
      <c r="C930" s="215" t="n"/>
      <c r="D930" s="215" t="n"/>
      <c r="E930" s="219" t="n"/>
      <c r="F930" s="215" t="n"/>
      <c r="G930" s="215" t="n"/>
      <c r="H930" s="215" t="n"/>
      <c r="I930" s="215" t="n"/>
      <c r="J930" s="215" t="n"/>
      <c r="K930" s="215" t="n"/>
      <c r="L930" s="217" t="n"/>
      <c r="M930" s="692" t="n"/>
      <c r="N930" s="692" t="n"/>
      <c r="O930" s="692" t="n"/>
      <c r="P930" s="261" t="n"/>
      <c r="Q930" s="692" t="n"/>
      <c r="R930" s="692" t="n"/>
      <c r="S930" s="692" t="n"/>
      <c r="T930" s="692" t="n"/>
      <c r="U930" s="692" t="n"/>
      <c r="V930" s="692" t="n"/>
      <c r="W930" s="692" t="n"/>
      <c r="X930" s="692" t="n"/>
      <c r="Y930" s="692" t="n"/>
      <c r="Z930" s="692" t="n"/>
      <c r="AA930" s="692" t="n"/>
      <c r="AB930" s="692" t="n"/>
      <c r="AC930" s="692" t="n"/>
      <c r="AD930" s="692" t="n"/>
      <c r="AF930" s="236" t="n"/>
      <c r="AG930" s="236" t="n"/>
      <c r="AH930" s="236" t="n"/>
      <c r="AI930" s="236" t="n"/>
      <c r="AJ930" s="236" t="n"/>
      <c r="AK930" s="236" t="n"/>
      <c r="AL930" s="236" t="n"/>
      <c r="AM930" s="236" t="n"/>
      <c r="AN930" s="236" t="n"/>
      <c r="AO930" s="236" t="n"/>
      <c r="AP930" s="236" t="n"/>
      <c r="AQ930" s="236" t="n"/>
      <c r="AR930" s="236" t="n"/>
      <c r="AS930" s="236" t="n"/>
      <c r="AT930" s="236" t="n"/>
      <c r="AU930" s="236" t="n"/>
      <c r="AV930" s="236" t="n"/>
      <c r="AW930" s="236" t="n"/>
      <c r="AX930" s="692" t="n"/>
      <c r="AY930" s="692" t="n"/>
      <c r="AZ930" s="692" t="n"/>
      <c r="BA930" s="692" t="n"/>
      <c r="BB930" s="692" t="n"/>
      <c r="BC930" s="692" t="n"/>
      <c r="BD930" s="692" t="n"/>
      <c r="BE930" s="692" t="n"/>
      <c r="BF930" s="692" t="n"/>
      <c r="BG930" s="692" t="n"/>
      <c r="BH930" s="692" t="n"/>
      <c r="BI930" s="692" t="n"/>
      <c r="BJ930" s="692" t="n"/>
      <c r="BK930" s="692" t="n"/>
      <c r="BL930" s="692" t="n"/>
      <c r="BM930" s="692" t="n"/>
      <c r="BN930" s="692" t="n"/>
      <c r="BO930" s="692" t="n"/>
      <c r="BP930" s="692" t="n"/>
      <c r="BQ930" s="692" t="n"/>
    </row>
    <row r="931">
      <c r="A931" s="220" t="n"/>
      <c r="B931" s="211" t="n"/>
      <c r="C931" s="211" t="n"/>
      <c r="D931" s="211" t="n"/>
      <c r="E931" s="221" t="n"/>
      <c r="F931" s="211" t="n"/>
      <c r="G931" s="211" t="n"/>
      <c r="H931" s="211" t="n"/>
      <c r="I931" s="211" t="n"/>
      <c r="J931" s="211" t="n"/>
      <c r="K931" s="211" t="n"/>
      <c r="L931" s="213" t="n"/>
      <c r="M931" s="692" t="n"/>
      <c r="N931" s="692" t="n"/>
      <c r="O931" s="692" t="n"/>
      <c r="P931" s="261" t="n"/>
      <c r="Q931" s="692" t="n"/>
      <c r="R931" s="692" t="n"/>
      <c r="S931" s="692" t="n"/>
      <c r="T931" s="692" t="n"/>
      <c r="U931" s="692" t="n"/>
      <c r="V931" s="692" t="n"/>
      <c r="W931" s="692" t="n"/>
      <c r="X931" s="692" t="n"/>
      <c r="Y931" s="692" t="n"/>
      <c r="Z931" s="692" t="n"/>
      <c r="AA931" s="692" t="n"/>
      <c r="AB931" s="692" t="n"/>
      <c r="AC931" s="692" t="n"/>
      <c r="AD931" s="692" t="n"/>
      <c r="AF931" s="236" t="n"/>
      <c r="AG931" s="236" t="n"/>
      <c r="AH931" s="236" t="n"/>
      <c r="AI931" s="236" t="n"/>
      <c r="AJ931" s="236" t="n"/>
      <c r="AK931" s="236" t="n"/>
      <c r="AL931" s="236" t="n"/>
      <c r="AM931" s="236" t="n"/>
      <c r="AN931" s="236" t="n"/>
      <c r="AO931" s="236" t="n"/>
      <c r="AP931" s="236" t="n"/>
      <c r="AQ931" s="236" t="n"/>
      <c r="AR931" s="236" t="n"/>
      <c r="AS931" s="236" t="n"/>
      <c r="AT931" s="236" t="n"/>
      <c r="AU931" s="236" t="n"/>
      <c r="AV931" s="236" t="n"/>
      <c r="AW931" s="236" t="n"/>
      <c r="AX931" s="692" t="n"/>
      <c r="AY931" s="692" t="n"/>
      <c r="AZ931" s="692" t="n"/>
      <c r="BA931" s="692" t="n"/>
      <c r="BB931" s="692" t="n"/>
      <c r="BC931" s="692" t="n"/>
      <c r="BD931" s="692" t="n"/>
      <c r="BE931" s="692" t="n"/>
      <c r="BF931" s="692" t="n"/>
      <c r="BG931" s="692" t="n"/>
      <c r="BH931" s="692" t="n"/>
      <c r="BI931" s="692" t="n"/>
      <c r="BJ931" s="692" t="n"/>
      <c r="BK931" s="692" t="n"/>
      <c r="BL931" s="692" t="n"/>
      <c r="BM931" s="692" t="n"/>
      <c r="BN931" s="692" t="n"/>
      <c r="BO931" s="692" t="n"/>
      <c r="BP931" s="692" t="n"/>
      <c r="BQ931" s="692" t="n"/>
    </row>
    <row r="932">
      <c r="A932" s="218" t="n"/>
      <c r="B932" s="215" t="n"/>
      <c r="C932" s="215" t="n"/>
      <c r="D932" s="215" t="n"/>
      <c r="E932" s="219" t="n"/>
      <c r="F932" s="215" t="n"/>
      <c r="G932" s="215" t="n"/>
      <c r="H932" s="215" t="n"/>
      <c r="I932" s="215" t="n"/>
      <c r="J932" s="215" t="n"/>
      <c r="K932" s="215" t="n"/>
      <c r="L932" s="217" t="n"/>
      <c r="M932" s="692" t="n"/>
      <c r="N932" s="692" t="n"/>
      <c r="O932" s="692" t="n"/>
      <c r="P932" s="261" t="n"/>
      <c r="Q932" s="692" t="n"/>
      <c r="R932" s="692" t="n"/>
      <c r="S932" s="692" t="n"/>
      <c r="T932" s="692" t="n"/>
      <c r="U932" s="692" t="n"/>
      <c r="V932" s="692" t="n"/>
      <c r="W932" s="692" t="n"/>
      <c r="X932" s="692" t="n"/>
      <c r="Y932" s="692" t="n"/>
      <c r="Z932" s="692" t="n"/>
      <c r="AA932" s="692" t="n"/>
      <c r="AB932" s="692" t="n"/>
      <c r="AC932" s="692" t="n"/>
      <c r="AD932" s="692" t="n"/>
      <c r="AF932" s="236" t="n"/>
      <c r="AG932" s="236" t="n"/>
      <c r="AH932" s="236" t="n"/>
      <c r="AI932" s="236" t="n"/>
      <c r="AJ932" s="236" t="n"/>
      <c r="AK932" s="236" t="n"/>
      <c r="AL932" s="236" t="n"/>
      <c r="AM932" s="236" t="n"/>
      <c r="AN932" s="236" t="n"/>
      <c r="AO932" s="236" t="n"/>
      <c r="AP932" s="236" t="n"/>
      <c r="AQ932" s="236" t="n"/>
      <c r="AR932" s="236" t="n"/>
      <c r="AS932" s="236" t="n"/>
      <c r="AT932" s="236" t="n"/>
      <c r="AU932" s="236" t="n"/>
      <c r="AV932" s="236" t="n"/>
      <c r="AW932" s="236" t="n"/>
      <c r="AX932" s="692" t="n"/>
      <c r="AY932" s="692" t="n"/>
      <c r="AZ932" s="692" t="n"/>
      <c r="BA932" s="692" t="n"/>
      <c r="BB932" s="692" t="n"/>
      <c r="BC932" s="692" t="n"/>
      <c r="BD932" s="692" t="n"/>
      <c r="BE932" s="692" t="n"/>
      <c r="BF932" s="692" t="n"/>
      <c r="BG932" s="692" t="n"/>
      <c r="BH932" s="692" t="n"/>
      <c r="BI932" s="692" t="n"/>
      <c r="BJ932" s="692" t="n"/>
      <c r="BK932" s="692" t="n"/>
      <c r="BL932" s="692" t="n"/>
      <c r="BM932" s="692" t="n"/>
      <c r="BN932" s="692" t="n"/>
      <c r="BO932" s="692" t="n"/>
      <c r="BP932" s="692" t="n"/>
      <c r="BQ932" s="692" t="n"/>
    </row>
    <row r="933">
      <c r="A933" s="220" t="n"/>
      <c r="B933" s="211" t="n"/>
      <c r="C933" s="211" t="n"/>
      <c r="D933" s="211" t="n"/>
      <c r="E933" s="221" t="n"/>
      <c r="F933" s="211" t="n"/>
      <c r="G933" s="211" t="n"/>
      <c r="H933" s="211" t="n"/>
      <c r="I933" s="211" t="n"/>
      <c r="J933" s="211" t="n"/>
      <c r="K933" s="211" t="n"/>
      <c r="L933" s="213" t="n"/>
      <c r="M933" s="692" t="n"/>
      <c r="N933" s="692" t="n"/>
      <c r="O933" s="692" t="n"/>
      <c r="P933" s="261" t="n"/>
      <c r="Q933" s="692" t="n"/>
      <c r="R933" s="692" t="n"/>
      <c r="S933" s="692" t="n"/>
      <c r="T933" s="692" t="n"/>
      <c r="U933" s="692" t="n"/>
      <c r="V933" s="692" t="n"/>
      <c r="W933" s="692" t="n"/>
      <c r="X933" s="692" t="n"/>
      <c r="Y933" s="692" t="n"/>
      <c r="Z933" s="692" t="n"/>
      <c r="AA933" s="692" t="n"/>
      <c r="AB933" s="692" t="n"/>
      <c r="AC933" s="692" t="n"/>
      <c r="AD933" s="692" t="n"/>
      <c r="AF933" s="236" t="n"/>
      <c r="AG933" s="236" t="n"/>
      <c r="AH933" s="236" t="n"/>
      <c r="AI933" s="236" t="n"/>
      <c r="AJ933" s="236" t="n"/>
      <c r="AK933" s="236" t="n"/>
      <c r="AL933" s="236" t="n"/>
      <c r="AM933" s="236" t="n"/>
      <c r="AN933" s="236" t="n"/>
      <c r="AO933" s="236" t="n"/>
      <c r="AP933" s="236" t="n"/>
      <c r="AQ933" s="236" t="n"/>
      <c r="AR933" s="236" t="n"/>
      <c r="AS933" s="236" t="n"/>
      <c r="AT933" s="236" t="n"/>
      <c r="AU933" s="236" t="n"/>
      <c r="AV933" s="236" t="n"/>
      <c r="AW933" s="236" t="n"/>
      <c r="AX933" s="692" t="n"/>
      <c r="AY933" s="692" t="n"/>
      <c r="AZ933" s="692" t="n"/>
      <c r="BA933" s="692" t="n"/>
      <c r="BB933" s="692" t="n"/>
      <c r="BC933" s="692" t="n"/>
      <c r="BD933" s="692" t="n"/>
      <c r="BE933" s="692" t="n"/>
      <c r="BF933" s="692" t="n"/>
      <c r="BG933" s="692" t="n"/>
      <c r="BH933" s="692" t="n"/>
      <c r="BI933" s="692" t="n"/>
      <c r="BJ933" s="692" t="n"/>
      <c r="BK933" s="692" t="n"/>
      <c r="BL933" s="692" t="n"/>
      <c r="BM933" s="692" t="n"/>
      <c r="BN933" s="692" t="n"/>
      <c r="BO933" s="692" t="n"/>
      <c r="BP933" s="692" t="n"/>
      <c r="BQ933" s="692" t="n"/>
    </row>
    <row r="934">
      <c r="A934" s="218" t="n"/>
      <c r="B934" s="215" t="n"/>
      <c r="C934" s="215" t="n"/>
      <c r="D934" s="215" t="n"/>
      <c r="E934" s="219" t="n"/>
      <c r="F934" s="215" t="n"/>
      <c r="G934" s="215" t="n"/>
      <c r="H934" s="215" t="n"/>
      <c r="I934" s="215" t="n"/>
      <c r="J934" s="215" t="n"/>
      <c r="K934" s="215" t="n"/>
      <c r="L934" s="217" t="n"/>
      <c r="M934" s="692" t="n"/>
      <c r="N934" s="692" t="n"/>
      <c r="O934" s="692" t="n"/>
      <c r="P934" s="261" t="n"/>
      <c r="Q934" s="692" t="n"/>
      <c r="R934" s="692" t="n"/>
      <c r="S934" s="692" t="n"/>
      <c r="T934" s="692" t="n"/>
      <c r="U934" s="692" t="n"/>
      <c r="V934" s="692" t="n"/>
      <c r="W934" s="692" t="n"/>
      <c r="X934" s="692" t="n"/>
      <c r="Y934" s="692" t="n"/>
      <c r="Z934" s="692" t="n"/>
      <c r="AA934" s="692" t="n"/>
      <c r="AB934" s="692" t="n"/>
      <c r="AC934" s="692" t="n"/>
      <c r="AD934" s="692" t="n"/>
      <c r="AF934" s="236" t="n"/>
      <c r="AG934" s="236" t="n"/>
      <c r="AH934" s="236" t="n"/>
      <c r="AI934" s="236" t="n"/>
      <c r="AJ934" s="236" t="n"/>
      <c r="AK934" s="236" t="n"/>
      <c r="AL934" s="236" t="n"/>
      <c r="AM934" s="236" t="n"/>
      <c r="AN934" s="236" t="n"/>
      <c r="AO934" s="236" t="n"/>
      <c r="AP934" s="236" t="n"/>
      <c r="AQ934" s="236" t="n"/>
      <c r="AR934" s="236" t="n"/>
      <c r="AS934" s="236" t="n"/>
      <c r="AT934" s="236" t="n"/>
      <c r="AU934" s="236" t="n"/>
      <c r="AV934" s="236" t="n"/>
      <c r="AW934" s="236" t="n"/>
      <c r="AX934" s="692" t="n"/>
      <c r="AY934" s="692" t="n"/>
      <c r="AZ934" s="692" t="n"/>
      <c r="BA934" s="692" t="n"/>
      <c r="BB934" s="692" t="n"/>
      <c r="BC934" s="692" t="n"/>
      <c r="BD934" s="692" t="n"/>
      <c r="BE934" s="692" t="n"/>
      <c r="BF934" s="692" t="n"/>
      <c r="BG934" s="692" t="n"/>
      <c r="BH934" s="692" t="n"/>
      <c r="BI934" s="692" t="n"/>
      <c r="BJ934" s="692" t="n"/>
      <c r="BK934" s="692" t="n"/>
      <c r="BL934" s="692" t="n"/>
      <c r="BM934" s="692" t="n"/>
      <c r="BN934" s="692" t="n"/>
      <c r="BO934" s="692" t="n"/>
      <c r="BP934" s="692" t="n"/>
      <c r="BQ934" s="692" t="n"/>
    </row>
    <row r="935">
      <c r="A935" s="220" t="n"/>
      <c r="B935" s="211" t="n"/>
      <c r="C935" s="211" t="n"/>
      <c r="D935" s="211" t="n"/>
      <c r="E935" s="221" t="n"/>
      <c r="F935" s="211" t="n"/>
      <c r="G935" s="211" t="n"/>
      <c r="H935" s="211" t="n"/>
      <c r="I935" s="211" t="n"/>
      <c r="J935" s="211" t="n"/>
      <c r="K935" s="211" t="n"/>
      <c r="L935" s="213" t="n"/>
      <c r="M935" s="692" t="n"/>
      <c r="N935" s="692" t="n"/>
      <c r="O935" s="692" t="n"/>
      <c r="P935" s="261" t="n"/>
      <c r="Q935" s="692" t="n"/>
      <c r="R935" s="692" t="n"/>
      <c r="S935" s="692" t="n"/>
      <c r="T935" s="692" t="n"/>
      <c r="U935" s="692" t="n"/>
      <c r="V935" s="692" t="n"/>
      <c r="W935" s="692" t="n"/>
      <c r="X935" s="692" t="n"/>
      <c r="Y935" s="692" t="n"/>
      <c r="Z935" s="692" t="n"/>
      <c r="AA935" s="692" t="n"/>
      <c r="AB935" s="692" t="n"/>
      <c r="AC935" s="692" t="n"/>
      <c r="AD935" s="692" t="n"/>
      <c r="AF935" s="236" t="n"/>
      <c r="AG935" s="236" t="n"/>
      <c r="AH935" s="236" t="n"/>
      <c r="AI935" s="236" t="n"/>
      <c r="AJ935" s="236" t="n"/>
      <c r="AK935" s="236" t="n"/>
      <c r="AL935" s="236" t="n"/>
      <c r="AM935" s="236" t="n"/>
      <c r="AN935" s="236" t="n"/>
      <c r="AO935" s="236" t="n"/>
      <c r="AP935" s="236" t="n"/>
      <c r="AQ935" s="236" t="n"/>
      <c r="AR935" s="236" t="n"/>
      <c r="AS935" s="236" t="n"/>
      <c r="AT935" s="236" t="n"/>
      <c r="AU935" s="236" t="n"/>
      <c r="AV935" s="236" t="n"/>
      <c r="AW935" s="236" t="n"/>
      <c r="AX935" s="692" t="n"/>
      <c r="AY935" s="692" t="n"/>
      <c r="AZ935" s="692" t="n"/>
      <c r="BA935" s="692" t="n"/>
      <c r="BB935" s="692" t="n"/>
      <c r="BC935" s="692" t="n"/>
      <c r="BD935" s="692" t="n"/>
      <c r="BE935" s="692" t="n"/>
      <c r="BF935" s="692" t="n"/>
      <c r="BG935" s="692" t="n"/>
      <c r="BH935" s="692" t="n"/>
      <c r="BI935" s="692" t="n"/>
      <c r="BJ935" s="692" t="n"/>
      <c r="BK935" s="692" t="n"/>
      <c r="BL935" s="692" t="n"/>
      <c r="BM935" s="692" t="n"/>
      <c r="BN935" s="692" t="n"/>
      <c r="BO935" s="692" t="n"/>
      <c r="BP935" s="692" t="n"/>
      <c r="BQ935" s="692" t="n"/>
    </row>
    <row r="936">
      <c r="A936" s="218" t="n"/>
      <c r="B936" s="215" t="n"/>
      <c r="C936" s="215" t="n"/>
      <c r="D936" s="215" t="n"/>
      <c r="E936" s="219" t="n"/>
      <c r="F936" s="215" t="n"/>
      <c r="G936" s="215" t="n"/>
      <c r="H936" s="215" t="n"/>
      <c r="I936" s="215" t="n"/>
      <c r="J936" s="215" t="n"/>
      <c r="K936" s="215" t="n"/>
      <c r="L936" s="217" t="n"/>
      <c r="M936" s="692" t="n"/>
      <c r="N936" s="692" t="n"/>
      <c r="O936" s="692" t="n"/>
      <c r="P936" s="261" t="n"/>
      <c r="Q936" s="692" t="n"/>
      <c r="R936" s="692" t="n"/>
      <c r="S936" s="692" t="n"/>
      <c r="T936" s="692" t="n"/>
      <c r="U936" s="692" t="n"/>
      <c r="V936" s="692" t="n"/>
      <c r="W936" s="692" t="n"/>
      <c r="X936" s="692" t="n"/>
      <c r="Y936" s="692" t="n"/>
      <c r="Z936" s="692" t="n"/>
      <c r="AA936" s="692" t="n"/>
      <c r="AB936" s="692" t="n"/>
      <c r="AC936" s="692" t="n"/>
      <c r="AD936" s="692" t="n"/>
      <c r="AF936" s="236" t="n"/>
      <c r="AG936" s="236" t="n"/>
      <c r="AH936" s="236" t="n"/>
      <c r="AI936" s="236" t="n"/>
      <c r="AJ936" s="236" t="n"/>
      <c r="AK936" s="236" t="n"/>
      <c r="AL936" s="236" t="n"/>
      <c r="AM936" s="236" t="n"/>
      <c r="AN936" s="236" t="n"/>
      <c r="AO936" s="236" t="n"/>
      <c r="AP936" s="236" t="n"/>
      <c r="AQ936" s="236" t="n"/>
      <c r="AR936" s="236" t="n"/>
      <c r="AS936" s="236" t="n"/>
      <c r="AT936" s="236" t="n"/>
      <c r="AU936" s="236" t="n"/>
      <c r="AV936" s="236" t="n"/>
      <c r="AW936" s="236" t="n"/>
      <c r="AX936" s="692" t="n"/>
      <c r="AY936" s="692" t="n"/>
      <c r="AZ936" s="692" t="n"/>
      <c r="BA936" s="692" t="n"/>
      <c r="BB936" s="692" t="n"/>
      <c r="BC936" s="692" t="n"/>
      <c r="BD936" s="692" t="n"/>
      <c r="BE936" s="692" t="n"/>
      <c r="BF936" s="692" t="n"/>
      <c r="BG936" s="692" t="n"/>
      <c r="BH936" s="692" t="n"/>
      <c r="BI936" s="692" t="n"/>
      <c r="BJ936" s="692" t="n"/>
      <c r="BK936" s="692" t="n"/>
      <c r="BL936" s="692" t="n"/>
      <c r="BM936" s="692" t="n"/>
      <c r="BN936" s="692" t="n"/>
      <c r="BO936" s="692" t="n"/>
      <c r="BP936" s="692" t="n"/>
      <c r="BQ936" s="692" t="n"/>
    </row>
    <row r="937">
      <c r="A937" s="220" t="n"/>
      <c r="B937" s="211" t="n"/>
      <c r="C937" s="211" t="n"/>
      <c r="D937" s="211" t="n"/>
      <c r="E937" s="221" t="n"/>
      <c r="F937" s="211" t="n"/>
      <c r="G937" s="211" t="n"/>
      <c r="H937" s="211" t="n"/>
      <c r="I937" s="211" t="n"/>
      <c r="J937" s="211" t="n"/>
      <c r="K937" s="211" t="n"/>
      <c r="L937" s="213" t="n"/>
      <c r="M937" s="692" t="n"/>
      <c r="N937" s="692" t="n"/>
      <c r="O937" s="692" t="n"/>
      <c r="P937" s="261" t="n"/>
      <c r="Q937" s="692" t="n"/>
      <c r="R937" s="692" t="n"/>
      <c r="S937" s="692" t="n"/>
      <c r="T937" s="692" t="n"/>
      <c r="U937" s="692" t="n"/>
      <c r="V937" s="692" t="n"/>
      <c r="W937" s="692" t="n"/>
      <c r="X937" s="692" t="n"/>
      <c r="Y937" s="692" t="n"/>
      <c r="Z937" s="692" t="n"/>
      <c r="AA937" s="692" t="n"/>
      <c r="AB937" s="692" t="n"/>
      <c r="AC937" s="692" t="n"/>
      <c r="AD937" s="692" t="n"/>
      <c r="AF937" s="236" t="n"/>
      <c r="AG937" s="236" t="n"/>
      <c r="AH937" s="236" t="n"/>
      <c r="AI937" s="236" t="n"/>
      <c r="AJ937" s="236" t="n"/>
      <c r="AK937" s="236" t="n"/>
      <c r="AL937" s="236" t="n"/>
      <c r="AM937" s="236" t="n"/>
      <c r="AN937" s="236" t="n"/>
      <c r="AO937" s="236" t="n"/>
      <c r="AP937" s="236" t="n"/>
      <c r="AQ937" s="236" t="n"/>
      <c r="AR937" s="236" t="n"/>
      <c r="AS937" s="236" t="n"/>
      <c r="AT937" s="236" t="n"/>
      <c r="AU937" s="236" t="n"/>
      <c r="AV937" s="236" t="n"/>
      <c r="AW937" s="236" t="n"/>
      <c r="AX937" s="692" t="n"/>
      <c r="AY937" s="692" t="n"/>
      <c r="AZ937" s="692" t="n"/>
      <c r="BA937" s="692" t="n"/>
      <c r="BB937" s="692" t="n"/>
      <c r="BC937" s="692" t="n"/>
      <c r="BD937" s="692" t="n"/>
      <c r="BE937" s="692" t="n"/>
      <c r="BF937" s="692" t="n"/>
      <c r="BG937" s="692" t="n"/>
      <c r="BH937" s="692" t="n"/>
      <c r="BI937" s="692" t="n"/>
      <c r="BJ937" s="692" t="n"/>
      <c r="BK937" s="692" t="n"/>
      <c r="BL937" s="692" t="n"/>
      <c r="BM937" s="692" t="n"/>
      <c r="BN937" s="692" t="n"/>
      <c r="BO937" s="692" t="n"/>
      <c r="BP937" s="692" t="n"/>
      <c r="BQ937" s="692" t="n"/>
    </row>
    <row r="938">
      <c r="A938" s="218" t="n"/>
      <c r="B938" s="215" t="n"/>
      <c r="C938" s="215" t="n"/>
      <c r="D938" s="215" t="n"/>
      <c r="E938" s="219" t="n"/>
      <c r="F938" s="215" t="n"/>
      <c r="G938" s="215" t="n"/>
      <c r="H938" s="215" t="n"/>
      <c r="I938" s="215" t="n"/>
      <c r="J938" s="215" t="n"/>
      <c r="K938" s="215" t="n"/>
      <c r="L938" s="217" t="n"/>
      <c r="M938" s="692" t="n"/>
      <c r="N938" s="692" t="n"/>
      <c r="O938" s="692" t="n"/>
      <c r="P938" s="261" t="n"/>
      <c r="Q938" s="692" t="n"/>
      <c r="R938" s="692" t="n"/>
      <c r="S938" s="692" t="n"/>
      <c r="T938" s="692" t="n"/>
      <c r="U938" s="692" t="n"/>
      <c r="V938" s="692" t="n"/>
      <c r="W938" s="692" t="n"/>
      <c r="X938" s="692" t="n"/>
      <c r="Y938" s="692" t="n"/>
      <c r="Z938" s="692" t="n"/>
      <c r="AA938" s="692" t="n"/>
      <c r="AB938" s="692" t="n"/>
      <c r="AC938" s="692" t="n"/>
      <c r="AD938" s="692" t="n"/>
      <c r="AF938" s="236" t="n"/>
      <c r="AG938" s="236" t="n"/>
      <c r="AH938" s="236" t="n"/>
      <c r="AI938" s="236" t="n"/>
      <c r="AJ938" s="236" t="n"/>
      <c r="AK938" s="236" t="n"/>
      <c r="AL938" s="236" t="n"/>
      <c r="AM938" s="236" t="n"/>
      <c r="AN938" s="236" t="n"/>
      <c r="AO938" s="236" t="n"/>
      <c r="AP938" s="236" t="n"/>
      <c r="AQ938" s="236" t="n"/>
      <c r="AR938" s="236" t="n"/>
      <c r="AS938" s="236" t="n"/>
      <c r="AT938" s="236" t="n"/>
      <c r="AU938" s="236" t="n"/>
      <c r="AV938" s="236" t="n"/>
      <c r="AW938" s="236" t="n"/>
      <c r="AX938" s="692" t="n"/>
      <c r="AY938" s="692" t="n"/>
      <c r="AZ938" s="692" t="n"/>
      <c r="BA938" s="692" t="n"/>
      <c r="BB938" s="692" t="n"/>
      <c r="BC938" s="692" t="n"/>
      <c r="BD938" s="692" t="n"/>
      <c r="BE938" s="692" t="n"/>
      <c r="BF938" s="692" t="n"/>
      <c r="BG938" s="692" t="n"/>
      <c r="BH938" s="692" t="n"/>
      <c r="BI938" s="692" t="n"/>
      <c r="BJ938" s="692" t="n"/>
      <c r="BK938" s="692" t="n"/>
      <c r="BL938" s="692" t="n"/>
      <c r="BM938" s="692" t="n"/>
      <c r="BN938" s="692" t="n"/>
      <c r="BO938" s="692" t="n"/>
      <c r="BP938" s="692" t="n"/>
      <c r="BQ938" s="692" t="n"/>
    </row>
    <row r="939">
      <c r="A939" s="220" t="n"/>
      <c r="B939" s="211" t="n"/>
      <c r="C939" s="211" t="n"/>
      <c r="D939" s="211" t="n"/>
      <c r="E939" s="221" t="n"/>
      <c r="F939" s="211" t="n"/>
      <c r="G939" s="211" t="n"/>
      <c r="H939" s="211" t="n"/>
      <c r="I939" s="211" t="n"/>
      <c r="J939" s="211" t="n"/>
      <c r="K939" s="211" t="n"/>
      <c r="L939" s="213" t="n"/>
      <c r="M939" s="692" t="n"/>
      <c r="N939" s="692" t="n"/>
      <c r="O939" s="692" t="n"/>
      <c r="P939" s="261" t="n"/>
      <c r="Q939" s="692" t="n"/>
      <c r="R939" s="692" t="n"/>
      <c r="S939" s="692" t="n"/>
      <c r="T939" s="692" t="n"/>
      <c r="U939" s="692" t="n"/>
      <c r="V939" s="692" t="n"/>
      <c r="W939" s="692" t="n"/>
      <c r="X939" s="692" t="n"/>
      <c r="Y939" s="692" t="n"/>
      <c r="Z939" s="692" t="n"/>
      <c r="AA939" s="692" t="n"/>
      <c r="AB939" s="692" t="n"/>
      <c r="AC939" s="692" t="n"/>
      <c r="AD939" s="692" t="n"/>
      <c r="AF939" s="236" t="n"/>
      <c r="AG939" s="236" t="n"/>
      <c r="AH939" s="236" t="n"/>
      <c r="AI939" s="236" t="n"/>
      <c r="AJ939" s="236" t="n"/>
      <c r="AK939" s="236" t="n"/>
      <c r="AL939" s="236" t="n"/>
      <c r="AM939" s="236" t="n"/>
      <c r="AN939" s="236" t="n"/>
      <c r="AO939" s="236" t="n"/>
      <c r="AP939" s="236" t="n"/>
      <c r="AQ939" s="236" t="n"/>
      <c r="AR939" s="236" t="n"/>
      <c r="AS939" s="236" t="n"/>
      <c r="AT939" s="236" t="n"/>
      <c r="AU939" s="236" t="n"/>
      <c r="AV939" s="236" t="n"/>
      <c r="AW939" s="236" t="n"/>
      <c r="AX939" s="692" t="n"/>
      <c r="AY939" s="692" t="n"/>
      <c r="AZ939" s="692" t="n"/>
      <c r="BA939" s="692" t="n"/>
      <c r="BB939" s="692" t="n"/>
      <c r="BC939" s="692" t="n"/>
      <c r="BD939" s="692" t="n"/>
      <c r="BE939" s="692" t="n"/>
      <c r="BF939" s="692" t="n"/>
      <c r="BG939" s="692" t="n"/>
      <c r="BH939" s="692" t="n"/>
      <c r="BI939" s="692" t="n"/>
      <c r="BJ939" s="692" t="n"/>
      <c r="BK939" s="692" t="n"/>
      <c r="BL939" s="692" t="n"/>
      <c r="BM939" s="692" t="n"/>
      <c r="BN939" s="692" t="n"/>
      <c r="BO939" s="692" t="n"/>
      <c r="BP939" s="692" t="n"/>
      <c r="BQ939" s="692" t="n"/>
    </row>
    <row r="940">
      <c r="A940" s="218" t="n"/>
      <c r="B940" s="215" t="n"/>
      <c r="C940" s="215" t="n"/>
      <c r="D940" s="215" t="n"/>
      <c r="E940" s="219" t="n"/>
      <c r="F940" s="215" t="n"/>
      <c r="G940" s="215" t="n"/>
      <c r="H940" s="215" t="n"/>
      <c r="I940" s="215" t="n"/>
      <c r="J940" s="215" t="n"/>
      <c r="K940" s="215" t="n"/>
      <c r="L940" s="217" t="n"/>
      <c r="M940" s="692" t="n"/>
      <c r="N940" s="692" t="n"/>
      <c r="O940" s="692" t="n"/>
      <c r="P940" s="261" t="n"/>
      <c r="Q940" s="692" t="n"/>
      <c r="R940" s="692" t="n"/>
      <c r="S940" s="692" t="n"/>
      <c r="T940" s="692" t="n"/>
      <c r="U940" s="692" t="n"/>
      <c r="V940" s="692" t="n"/>
      <c r="W940" s="692" t="n"/>
      <c r="X940" s="692" t="n"/>
      <c r="Y940" s="692" t="n"/>
      <c r="Z940" s="692" t="n"/>
      <c r="AA940" s="692" t="n"/>
      <c r="AB940" s="692" t="n"/>
      <c r="AC940" s="692" t="n"/>
      <c r="AD940" s="692" t="n"/>
      <c r="AF940" s="236" t="n"/>
      <c r="AG940" s="236" t="n"/>
      <c r="AH940" s="236" t="n"/>
      <c r="AI940" s="236" t="n"/>
      <c r="AJ940" s="236" t="n"/>
      <c r="AK940" s="236" t="n"/>
      <c r="AL940" s="236" t="n"/>
      <c r="AM940" s="236" t="n"/>
      <c r="AN940" s="236" t="n"/>
      <c r="AO940" s="236" t="n"/>
      <c r="AP940" s="236" t="n"/>
      <c r="AQ940" s="236" t="n"/>
      <c r="AR940" s="236" t="n"/>
      <c r="AS940" s="236" t="n"/>
      <c r="AT940" s="236" t="n"/>
      <c r="AU940" s="236" t="n"/>
      <c r="AV940" s="236" t="n"/>
      <c r="AW940" s="236" t="n"/>
      <c r="AX940" s="692" t="n"/>
      <c r="AY940" s="692" t="n"/>
      <c r="AZ940" s="692" t="n"/>
      <c r="BA940" s="692" t="n"/>
      <c r="BB940" s="692" t="n"/>
      <c r="BC940" s="692" t="n"/>
      <c r="BD940" s="692" t="n"/>
      <c r="BE940" s="692" t="n"/>
      <c r="BF940" s="692" t="n"/>
      <c r="BG940" s="692" t="n"/>
      <c r="BH940" s="692" t="n"/>
      <c r="BI940" s="692" t="n"/>
      <c r="BJ940" s="692" t="n"/>
      <c r="BK940" s="692" t="n"/>
      <c r="BL940" s="692" t="n"/>
      <c r="BM940" s="692" t="n"/>
      <c r="BN940" s="692" t="n"/>
      <c r="BO940" s="692" t="n"/>
      <c r="BP940" s="692" t="n"/>
      <c r="BQ940" s="692" t="n"/>
    </row>
    <row r="941">
      <c r="A941" s="220" t="n"/>
      <c r="B941" s="211" t="n"/>
      <c r="C941" s="211" t="n"/>
      <c r="D941" s="211" t="n"/>
      <c r="E941" s="221" t="n"/>
      <c r="F941" s="211" t="n"/>
      <c r="G941" s="211" t="n"/>
      <c r="H941" s="211" t="n"/>
      <c r="I941" s="211" t="n"/>
      <c r="J941" s="211" t="n"/>
      <c r="K941" s="211" t="n"/>
      <c r="L941" s="213" t="n"/>
      <c r="M941" s="692" t="n"/>
      <c r="N941" s="692" t="n"/>
      <c r="O941" s="692" t="n"/>
      <c r="P941" s="261" t="n"/>
      <c r="Q941" s="692" t="n"/>
      <c r="R941" s="692" t="n"/>
      <c r="S941" s="692" t="n"/>
      <c r="T941" s="692" t="n"/>
      <c r="U941" s="692" t="n"/>
      <c r="V941" s="692" t="n"/>
      <c r="W941" s="692" t="n"/>
      <c r="X941" s="692" t="n"/>
      <c r="Y941" s="692" t="n"/>
      <c r="Z941" s="692" t="n"/>
      <c r="AA941" s="692" t="n"/>
      <c r="AB941" s="692" t="n"/>
      <c r="AC941" s="692" t="n"/>
      <c r="AD941" s="692" t="n"/>
      <c r="AF941" s="236" t="n"/>
      <c r="AG941" s="236" t="n"/>
      <c r="AH941" s="236" t="n"/>
      <c r="AI941" s="236" t="n"/>
      <c r="AJ941" s="236" t="n"/>
      <c r="AK941" s="236" t="n"/>
      <c r="AL941" s="236" t="n"/>
      <c r="AM941" s="236" t="n"/>
      <c r="AN941" s="236" t="n"/>
      <c r="AO941" s="236" t="n"/>
      <c r="AP941" s="236" t="n"/>
      <c r="AQ941" s="236" t="n"/>
      <c r="AR941" s="236" t="n"/>
      <c r="AS941" s="236" t="n"/>
      <c r="AT941" s="236" t="n"/>
      <c r="AU941" s="236" t="n"/>
      <c r="AV941" s="236" t="n"/>
      <c r="AW941" s="236" t="n"/>
      <c r="AX941" s="692" t="n"/>
      <c r="AY941" s="692" t="n"/>
      <c r="AZ941" s="692" t="n"/>
      <c r="BA941" s="692" t="n"/>
      <c r="BB941" s="692" t="n"/>
      <c r="BC941" s="692" t="n"/>
      <c r="BD941" s="692" t="n"/>
      <c r="BE941" s="692" t="n"/>
      <c r="BF941" s="692" t="n"/>
      <c r="BG941" s="692" t="n"/>
      <c r="BH941" s="692" t="n"/>
      <c r="BI941" s="692" t="n"/>
      <c r="BJ941" s="692" t="n"/>
      <c r="BK941" s="692" t="n"/>
      <c r="BL941" s="692" t="n"/>
      <c r="BM941" s="692" t="n"/>
      <c r="BN941" s="692" t="n"/>
      <c r="BO941" s="692" t="n"/>
      <c r="BP941" s="692" t="n"/>
      <c r="BQ941" s="692" t="n"/>
    </row>
    <row r="942">
      <c r="A942" s="218" t="n"/>
      <c r="B942" s="215" t="n"/>
      <c r="C942" s="215" t="n"/>
      <c r="D942" s="215" t="n"/>
      <c r="E942" s="219" t="n"/>
      <c r="F942" s="215" t="n"/>
      <c r="G942" s="215" t="n"/>
      <c r="H942" s="215" t="n"/>
      <c r="I942" s="215" t="n"/>
      <c r="J942" s="215" t="n"/>
      <c r="K942" s="215" t="n"/>
      <c r="L942" s="217" t="n"/>
      <c r="M942" s="692" t="n"/>
      <c r="N942" s="692" t="n"/>
      <c r="O942" s="692" t="n"/>
      <c r="P942" s="261" t="n"/>
      <c r="Q942" s="692" t="n"/>
      <c r="R942" s="692" t="n"/>
      <c r="S942" s="692" t="n"/>
      <c r="T942" s="692" t="n"/>
      <c r="U942" s="692" t="n"/>
      <c r="V942" s="692" t="n"/>
      <c r="W942" s="692" t="n"/>
      <c r="X942" s="692" t="n"/>
      <c r="Y942" s="692" t="n"/>
      <c r="Z942" s="692" t="n"/>
      <c r="AA942" s="692" t="n"/>
      <c r="AB942" s="692" t="n"/>
      <c r="AC942" s="692" t="n"/>
      <c r="AD942" s="692" t="n"/>
      <c r="AF942" s="236" t="n"/>
      <c r="AG942" s="236" t="n"/>
      <c r="AH942" s="236" t="n"/>
      <c r="AI942" s="236" t="n"/>
      <c r="AJ942" s="236" t="n"/>
      <c r="AK942" s="236" t="n"/>
      <c r="AL942" s="236" t="n"/>
      <c r="AM942" s="236" t="n"/>
      <c r="AN942" s="236" t="n"/>
      <c r="AO942" s="236" t="n"/>
      <c r="AP942" s="236" t="n"/>
      <c r="AQ942" s="236" t="n"/>
      <c r="AR942" s="236" t="n"/>
      <c r="AS942" s="236" t="n"/>
      <c r="AT942" s="236" t="n"/>
      <c r="AU942" s="236" t="n"/>
      <c r="AV942" s="236" t="n"/>
      <c r="AW942" s="236" t="n"/>
      <c r="AX942" s="692" t="n"/>
      <c r="AY942" s="692" t="n"/>
      <c r="AZ942" s="692" t="n"/>
      <c r="BA942" s="692" t="n"/>
      <c r="BB942" s="692" t="n"/>
      <c r="BC942" s="692" t="n"/>
      <c r="BD942" s="692" t="n"/>
      <c r="BE942" s="692" t="n"/>
      <c r="BF942" s="692" t="n"/>
      <c r="BG942" s="692" t="n"/>
      <c r="BH942" s="692" t="n"/>
      <c r="BI942" s="692" t="n"/>
      <c r="BJ942" s="692" t="n"/>
      <c r="BK942" s="692" t="n"/>
      <c r="BL942" s="692" t="n"/>
      <c r="BM942" s="692" t="n"/>
      <c r="BN942" s="692" t="n"/>
      <c r="BO942" s="692" t="n"/>
      <c r="BP942" s="692" t="n"/>
      <c r="BQ942" s="692" t="n"/>
    </row>
    <row r="943">
      <c r="A943" s="220" t="n"/>
      <c r="B943" s="211" t="n"/>
      <c r="C943" s="211" t="n"/>
      <c r="D943" s="211" t="n"/>
      <c r="E943" s="221" t="n"/>
      <c r="F943" s="211" t="n"/>
      <c r="G943" s="211" t="n"/>
      <c r="H943" s="211" t="n"/>
      <c r="I943" s="211" t="n"/>
      <c r="J943" s="211" t="n"/>
      <c r="K943" s="211" t="n"/>
      <c r="L943" s="213" t="n"/>
      <c r="M943" s="692" t="n"/>
      <c r="N943" s="692" t="n"/>
      <c r="O943" s="692" t="n"/>
      <c r="P943" s="261" t="n"/>
      <c r="Q943" s="692" t="n"/>
      <c r="R943" s="692" t="n"/>
      <c r="S943" s="692" t="n"/>
      <c r="T943" s="692" t="n"/>
      <c r="U943" s="692" t="n"/>
      <c r="V943" s="692" t="n"/>
      <c r="W943" s="692" t="n"/>
      <c r="X943" s="692" t="n"/>
      <c r="Y943" s="692" t="n"/>
      <c r="Z943" s="692" t="n"/>
      <c r="AA943" s="692" t="n"/>
      <c r="AB943" s="692" t="n"/>
      <c r="AC943" s="692" t="n"/>
      <c r="AD943" s="692" t="n"/>
      <c r="AF943" s="236" t="n"/>
      <c r="AG943" s="236" t="n"/>
      <c r="AH943" s="236" t="n"/>
      <c r="AI943" s="236" t="n"/>
      <c r="AJ943" s="236" t="n"/>
      <c r="AK943" s="236" t="n"/>
      <c r="AL943" s="236" t="n"/>
      <c r="AM943" s="236" t="n"/>
      <c r="AN943" s="236" t="n"/>
      <c r="AO943" s="236" t="n"/>
      <c r="AP943" s="236" t="n"/>
      <c r="AQ943" s="236" t="n"/>
      <c r="AR943" s="236" t="n"/>
      <c r="AS943" s="236" t="n"/>
      <c r="AT943" s="236" t="n"/>
      <c r="AU943" s="236" t="n"/>
      <c r="AV943" s="236" t="n"/>
      <c r="AW943" s="236" t="n"/>
      <c r="AX943" s="692" t="n"/>
      <c r="AY943" s="692" t="n"/>
      <c r="AZ943" s="692" t="n"/>
      <c r="BA943" s="692" t="n"/>
      <c r="BB943" s="692" t="n"/>
      <c r="BC943" s="692" t="n"/>
      <c r="BD943" s="692" t="n"/>
      <c r="BE943" s="692" t="n"/>
      <c r="BF943" s="692" t="n"/>
      <c r="BG943" s="692" t="n"/>
      <c r="BH943" s="692" t="n"/>
      <c r="BI943" s="692" t="n"/>
      <c r="BJ943" s="692" t="n"/>
      <c r="BK943" s="692" t="n"/>
      <c r="BL943" s="692" t="n"/>
      <c r="BM943" s="692" t="n"/>
      <c r="BN943" s="692" t="n"/>
      <c r="BO943" s="692" t="n"/>
      <c r="BP943" s="692" t="n"/>
      <c r="BQ943" s="692" t="n"/>
    </row>
    <row r="944">
      <c r="A944" s="218" t="n"/>
      <c r="B944" s="215" t="n"/>
      <c r="C944" s="215" t="n"/>
      <c r="D944" s="215" t="n"/>
      <c r="E944" s="219" t="n"/>
      <c r="F944" s="215" t="n"/>
      <c r="G944" s="215" t="n"/>
      <c r="H944" s="215" t="n"/>
      <c r="I944" s="215" t="n"/>
      <c r="J944" s="215" t="n"/>
      <c r="K944" s="215" t="n"/>
      <c r="L944" s="217" t="n"/>
      <c r="M944" s="692" t="n"/>
      <c r="N944" s="692" t="n"/>
      <c r="O944" s="692" t="n"/>
      <c r="P944" s="261" t="n"/>
      <c r="Q944" s="692" t="n"/>
      <c r="R944" s="692" t="n"/>
      <c r="S944" s="692" t="n"/>
      <c r="T944" s="692" t="n"/>
      <c r="U944" s="692" t="n"/>
      <c r="V944" s="692" t="n"/>
      <c r="W944" s="692" t="n"/>
      <c r="X944" s="692" t="n"/>
      <c r="Y944" s="692" t="n"/>
      <c r="Z944" s="692" t="n"/>
      <c r="AA944" s="692" t="n"/>
      <c r="AB944" s="692" t="n"/>
      <c r="AC944" s="692" t="n"/>
      <c r="AD944" s="692" t="n"/>
      <c r="AF944" s="236" t="n"/>
      <c r="AG944" s="236" t="n"/>
      <c r="AH944" s="236" t="n"/>
      <c r="AI944" s="236" t="n"/>
      <c r="AJ944" s="236" t="n"/>
      <c r="AK944" s="236" t="n"/>
      <c r="AL944" s="236" t="n"/>
      <c r="AM944" s="236" t="n"/>
      <c r="AN944" s="236" t="n"/>
      <c r="AO944" s="236" t="n"/>
      <c r="AP944" s="236" t="n"/>
      <c r="AQ944" s="236" t="n"/>
      <c r="AR944" s="236" t="n"/>
      <c r="AS944" s="236" t="n"/>
      <c r="AT944" s="236" t="n"/>
      <c r="AU944" s="236" t="n"/>
      <c r="AV944" s="236" t="n"/>
      <c r="AW944" s="236" t="n"/>
      <c r="AX944" s="692" t="n"/>
      <c r="AY944" s="692" t="n"/>
      <c r="AZ944" s="692" t="n"/>
      <c r="BA944" s="692" t="n"/>
      <c r="BB944" s="692" t="n"/>
      <c r="BC944" s="692" t="n"/>
      <c r="BD944" s="692" t="n"/>
      <c r="BE944" s="692" t="n"/>
      <c r="BF944" s="692" t="n"/>
      <c r="BG944" s="692" t="n"/>
      <c r="BH944" s="692" t="n"/>
      <c r="BI944" s="692" t="n"/>
      <c r="BJ944" s="692" t="n"/>
      <c r="BK944" s="692" t="n"/>
      <c r="BL944" s="692" t="n"/>
      <c r="BM944" s="692" t="n"/>
      <c r="BN944" s="692" t="n"/>
      <c r="BO944" s="692" t="n"/>
      <c r="BP944" s="692" t="n"/>
      <c r="BQ944" s="692" t="n"/>
    </row>
    <row r="945">
      <c r="A945" s="220" t="n"/>
      <c r="B945" s="211" t="n"/>
      <c r="C945" s="211" t="n"/>
      <c r="D945" s="211" t="n"/>
      <c r="E945" s="221" t="n"/>
      <c r="F945" s="211" t="n"/>
      <c r="G945" s="211" t="n"/>
      <c r="H945" s="211" t="n"/>
      <c r="I945" s="211" t="n"/>
      <c r="J945" s="211" t="n"/>
      <c r="K945" s="211" t="n"/>
      <c r="L945" s="213" t="n"/>
      <c r="M945" s="692" t="n"/>
      <c r="N945" s="692" t="n"/>
      <c r="O945" s="692" t="n"/>
      <c r="P945" s="261" t="n"/>
      <c r="Q945" s="692" t="n"/>
      <c r="R945" s="692" t="n"/>
      <c r="S945" s="692" t="n"/>
      <c r="T945" s="692" t="n"/>
      <c r="U945" s="692" t="n"/>
      <c r="V945" s="692" t="n"/>
      <c r="W945" s="692" t="n"/>
      <c r="X945" s="692" t="n"/>
      <c r="Y945" s="692" t="n"/>
      <c r="Z945" s="692" t="n"/>
      <c r="AA945" s="692" t="n"/>
      <c r="AB945" s="692" t="n"/>
      <c r="AC945" s="692" t="n"/>
      <c r="AD945" s="692" t="n"/>
      <c r="AF945" s="236" t="n"/>
      <c r="AG945" s="236" t="n"/>
      <c r="AH945" s="236" t="n"/>
      <c r="AI945" s="236" t="n"/>
      <c r="AJ945" s="236" t="n"/>
      <c r="AK945" s="236" t="n"/>
      <c r="AL945" s="236" t="n"/>
      <c r="AM945" s="236" t="n"/>
      <c r="AN945" s="236" t="n"/>
      <c r="AO945" s="236" t="n"/>
      <c r="AP945" s="236" t="n"/>
      <c r="AQ945" s="236" t="n"/>
      <c r="AR945" s="236" t="n"/>
      <c r="AS945" s="236" t="n"/>
      <c r="AT945" s="236" t="n"/>
      <c r="AU945" s="236" t="n"/>
      <c r="AV945" s="236" t="n"/>
      <c r="AW945" s="236" t="n"/>
      <c r="AX945" s="692" t="n"/>
      <c r="AY945" s="692" t="n"/>
      <c r="AZ945" s="692" t="n"/>
      <c r="BA945" s="692" t="n"/>
      <c r="BB945" s="692" t="n"/>
      <c r="BC945" s="692" t="n"/>
      <c r="BD945" s="692" t="n"/>
      <c r="BE945" s="692" t="n"/>
      <c r="BF945" s="692" t="n"/>
      <c r="BG945" s="692" t="n"/>
      <c r="BH945" s="692" t="n"/>
      <c r="BI945" s="692" t="n"/>
      <c r="BJ945" s="692" t="n"/>
      <c r="BK945" s="692" t="n"/>
      <c r="BL945" s="692" t="n"/>
      <c r="BM945" s="692" t="n"/>
      <c r="BN945" s="692" t="n"/>
      <c r="BO945" s="692" t="n"/>
      <c r="BP945" s="692" t="n"/>
      <c r="BQ945" s="692" t="n"/>
    </row>
    <row r="946">
      <c r="A946" s="218" t="n"/>
      <c r="B946" s="215" t="n"/>
      <c r="C946" s="215" t="n"/>
      <c r="D946" s="215" t="n"/>
      <c r="E946" s="219" t="n"/>
      <c r="F946" s="215" t="n"/>
      <c r="G946" s="215" t="n"/>
      <c r="H946" s="215" t="n"/>
      <c r="I946" s="215" t="n"/>
      <c r="J946" s="215" t="n"/>
      <c r="K946" s="215" t="n"/>
      <c r="L946" s="217" t="n"/>
      <c r="M946" s="692" t="n"/>
      <c r="N946" s="692" t="n"/>
      <c r="O946" s="692" t="n"/>
      <c r="P946" s="261" t="n"/>
      <c r="Q946" s="692" t="n"/>
      <c r="R946" s="692" t="n"/>
      <c r="S946" s="692" t="n"/>
      <c r="T946" s="692" t="n"/>
      <c r="U946" s="692" t="n"/>
      <c r="V946" s="692" t="n"/>
      <c r="W946" s="692" t="n"/>
      <c r="X946" s="692" t="n"/>
      <c r="Y946" s="692" t="n"/>
      <c r="Z946" s="692" t="n"/>
      <c r="AA946" s="692" t="n"/>
      <c r="AB946" s="692" t="n"/>
      <c r="AC946" s="692" t="n"/>
      <c r="AD946" s="692" t="n"/>
      <c r="AF946" s="236" t="n"/>
      <c r="AG946" s="236" t="n"/>
      <c r="AH946" s="236" t="n"/>
      <c r="AI946" s="236" t="n"/>
      <c r="AJ946" s="236" t="n"/>
      <c r="AK946" s="236" t="n"/>
      <c r="AL946" s="236" t="n"/>
      <c r="AM946" s="236" t="n"/>
      <c r="AN946" s="236" t="n"/>
      <c r="AO946" s="236" t="n"/>
      <c r="AP946" s="236" t="n"/>
      <c r="AQ946" s="236" t="n"/>
      <c r="AR946" s="236" t="n"/>
      <c r="AS946" s="236" t="n"/>
      <c r="AT946" s="236" t="n"/>
      <c r="AU946" s="236" t="n"/>
      <c r="AV946" s="236" t="n"/>
      <c r="AW946" s="236" t="n"/>
      <c r="AX946" s="692" t="n"/>
      <c r="AY946" s="692" t="n"/>
      <c r="AZ946" s="692" t="n"/>
      <c r="BA946" s="692" t="n"/>
      <c r="BB946" s="692" t="n"/>
      <c r="BC946" s="692" t="n"/>
      <c r="BD946" s="692" t="n"/>
      <c r="BE946" s="692" t="n"/>
      <c r="BF946" s="692" t="n"/>
      <c r="BG946" s="692" t="n"/>
      <c r="BH946" s="692" t="n"/>
      <c r="BI946" s="692" t="n"/>
      <c r="BJ946" s="692" t="n"/>
      <c r="BK946" s="692" t="n"/>
      <c r="BL946" s="692" t="n"/>
      <c r="BM946" s="692" t="n"/>
      <c r="BN946" s="692" t="n"/>
      <c r="BO946" s="692" t="n"/>
      <c r="BP946" s="692" t="n"/>
      <c r="BQ946" s="692" t="n"/>
    </row>
    <row r="947">
      <c r="A947" s="220" t="n"/>
      <c r="B947" s="211" t="n"/>
      <c r="C947" s="211" t="n"/>
      <c r="D947" s="211" t="n"/>
      <c r="E947" s="221" t="n"/>
      <c r="F947" s="211" t="n"/>
      <c r="G947" s="211" t="n"/>
      <c r="H947" s="211" t="n"/>
      <c r="I947" s="211" t="n"/>
      <c r="J947" s="211" t="n"/>
      <c r="K947" s="211" t="n"/>
      <c r="L947" s="213" t="n"/>
      <c r="M947" s="692" t="n"/>
      <c r="N947" s="692" t="n"/>
      <c r="O947" s="692" t="n"/>
      <c r="P947" s="261" t="n"/>
      <c r="Q947" s="692" t="n"/>
      <c r="R947" s="692" t="n"/>
      <c r="S947" s="692" t="n"/>
      <c r="T947" s="692" t="n"/>
      <c r="U947" s="692" t="n"/>
      <c r="V947" s="692" t="n"/>
      <c r="W947" s="692" t="n"/>
      <c r="X947" s="692" t="n"/>
      <c r="Y947" s="692" t="n"/>
      <c r="Z947" s="692" t="n"/>
      <c r="AA947" s="692" t="n"/>
      <c r="AB947" s="692" t="n"/>
      <c r="AC947" s="692" t="n"/>
      <c r="AD947" s="692" t="n"/>
      <c r="AF947" s="236" t="n"/>
      <c r="AG947" s="236" t="n"/>
      <c r="AH947" s="236" t="n"/>
      <c r="AI947" s="236" t="n"/>
      <c r="AJ947" s="236" t="n"/>
      <c r="AK947" s="236" t="n"/>
      <c r="AL947" s="236" t="n"/>
      <c r="AM947" s="236" t="n"/>
      <c r="AN947" s="236" t="n"/>
      <c r="AO947" s="236" t="n"/>
      <c r="AP947" s="236" t="n"/>
      <c r="AQ947" s="236" t="n"/>
      <c r="AR947" s="236" t="n"/>
      <c r="AS947" s="236" t="n"/>
      <c r="AT947" s="236" t="n"/>
      <c r="AU947" s="236" t="n"/>
      <c r="AV947" s="236" t="n"/>
      <c r="AW947" s="236" t="n"/>
      <c r="AX947" s="692" t="n"/>
      <c r="AY947" s="692" t="n"/>
      <c r="AZ947" s="692" t="n"/>
      <c r="BA947" s="692" t="n"/>
      <c r="BB947" s="692" t="n"/>
      <c r="BC947" s="692" t="n"/>
      <c r="BD947" s="692" t="n"/>
      <c r="BE947" s="692" t="n"/>
      <c r="BF947" s="692" t="n"/>
      <c r="BG947" s="692" t="n"/>
      <c r="BH947" s="692" t="n"/>
      <c r="BI947" s="692" t="n"/>
      <c r="BJ947" s="692" t="n"/>
      <c r="BK947" s="692" t="n"/>
      <c r="BL947" s="692" t="n"/>
      <c r="BM947" s="692" t="n"/>
      <c r="BN947" s="692" t="n"/>
      <c r="BO947" s="692" t="n"/>
      <c r="BP947" s="692" t="n"/>
      <c r="BQ947" s="692" t="n"/>
    </row>
    <row r="948">
      <c r="A948" s="218" t="n"/>
      <c r="B948" s="215" t="n"/>
      <c r="C948" s="215" t="n"/>
      <c r="D948" s="215" t="n"/>
      <c r="E948" s="219" t="n"/>
      <c r="F948" s="215" t="n"/>
      <c r="G948" s="215" t="n"/>
      <c r="H948" s="215" t="n"/>
      <c r="I948" s="215" t="n"/>
      <c r="J948" s="215" t="n"/>
      <c r="K948" s="215" t="n"/>
      <c r="L948" s="217" t="n"/>
      <c r="M948" s="692" t="n"/>
      <c r="N948" s="692" t="n"/>
      <c r="O948" s="692" t="n"/>
      <c r="P948" s="261" t="n"/>
      <c r="Q948" s="692" t="n"/>
      <c r="R948" s="692" t="n"/>
      <c r="S948" s="692" t="n"/>
      <c r="T948" s="692" t="n"/>
      <c r="U948" s="692" t="n"/>
      <c r="V948" s="692" t="n"/>
      <c r="W948" s="692" t="n"/>
      <c r="X948" s="692" t="n"/>
      <c r="Y948" s="692" t="n"/>
      <c r="Z948" s="692" t="n"/>
      <c r="AA948" s="692" t="n"/>
      <c r="AB948" s="692" t="n"/>
      <c r="AC948" s="692" t="n"/>
      <c r="AD948" s="692" t="n"/>
      <c r="AF948" s="236" t="n"/>
      <c r="AG948" s="236" t="n"/>
      <c r="AH948" s="236" t="n"/>
      <c r="AI948" s="236" t="n"/>
      <c r="AJ948" s="236" t="n"/>
      <c r="AK948" s="236" t="n"/>
      <c r="AL948" s="236" t="n"/>
      <c r="AM948" s="236" t="n"/>
      <c r="AN948" s="236" t="n"/>
      <c r="AO948" s="236" t="n"/>
      <c r="AP948" s="236" t="n"/>
      <c r="AQ948" s="236" t="n"/>
      <c r="AR948" s="236" t="n"/>
      <c r="AS948" s="236" t="n"/>
      <c r="AT948" s="236" t="n"/>
      <c r="AU948" s="236" t="n"/>
      <c r="AV948" s="236" t="n"/>
      <c r="AW948" s="236" t="n"/>
      <c r="AX948" s="692" t="n"/>
      <c r="AY948" s="692" t="n"/>
      <c r="AZ948" s="692" t="n"/>
      <c r="BA948" s="692" t="n"/>
      <c r="BB948" s="692" t="n"/>
      <c r="BC948" s="692" t="n"/>
      <c r="BD948" s="692" t="n"/>
      <c r="BE948" s="692" t="n"/>
      <c r="BF948" s="692" t="n"/>
      <c r="BG948" s="692" t="n"/>
      <c r="BH948" s="692" t="n"/>
      <c r="BI948" s="692" t="n"/>
      <c r="BJ948" s="692" t="n"/>
      <c r="BK948" s="692" t="n"/>
      <c r="BL948" s="692" t="n"/>
      <c r="BM948" s="692" t="n"/>
      <c r="BN948" s="692" t="n"/>
      <c r="BO948" s="692" t="n"/>
      <c r="BP948" s="692" t="n"/>
      <c r="BQ948" s="692" t="n"/>
    </row>
    <row r="949">
      <c r="A949" s="220" t="n"/>
      <c r="B949" s="211" t="n"/>
      <c r="C949" s="211" t="n"/>
      <c r="D949" s="211" t="n"/>
      <c r="E949" s="221" t="n"/>
      <c r="F949" s="211" t="n"/>
      <c r="G949" s="211" t="n"/>
      <c r="H949" s="211" t="n"/>
      <c r="I949" s="211" t="n"/>
      <c r="J949" s="211" t="n"/>
      <c r="K949" s="211" t="n"/>
      <c r="L949" s="213" t="n"/>
      <c r="M949" s="692" t="n"/>
      <c r="N949" s="692" t="n"/>
      <c r="O949" s="692" t="n"/>
      <c r="P949" s="261" t="n"/>
      <c r="Q949" s="692" t="n"/>
      <c r="R949" s="692" t="n"/>
      <c r="S949" s="692" t="n"/>
      <c r="T949" s="692" t="n"/>
      <c r="U949" s="692" t="n"/>
      <c r="V949" s="692" t="n"/>
      <c r="W949" s="692" t="n"/>
      <c r="X949" s="692" t="n"/>
      <c r="Y949" s="692" t="n"/>
      <c r="Z949" s="692" t="n"/>
      <c r="AA949" s="692" t="n"/>
      <c r="AB949" s="692" t="n"/>
      <c r="AC949" s="692" t="n"/>
      <c r="AD949" s="692" t="n"/>
      <c r="AF949" s="236" t="n"/>
      <c r="AG949" s="236" t="n"/>
      <c r="AH949" s="236" t="n"/>
      <c r="AI949" s="236" t="n"/>
      <c r="AJ949" s="236" t="n"/>
      <c r="AK949" s="236" t="n"/>
      <c r="AL949" s="236" t="n"/>
      <c r="AM949" s="236" t="n"/>
      <c r="AN949" s="236" t="n"/>
      <c r="AO949" s="236" t="n"/>
      <c r="AP949" s="236" t="n"/>
      <c r="AQ949" s="236" t="n"/>
      <c r="AR949" s="236" t="n"/>
      <c r="AS949" s="236" t="n"/>
      <c r="AT949" s="236" t="n"/>
      <c r="AU949" s="236" t="n"/>
      <c r="AV949" s="236" t="n"/>
      <c r="AW949" s="236" t="n"/>
      <c r="AX949" s="692" t="n"/>
      <c r="AY949" s="692" t="n"/>
      <c r="AZ949" s="692" t="n"/>
      <c r="BA949" s="692" t="n"/>
      <c r="BB949" s="692" t="n"/>
      <c r="BC949" s="692" t="n"/>
      <c r="BD949" s="692" t="n"/>
      <c r="BE949" s="692" t="n"/>
      <c r="BF949" s="692" t="n"/>
      <c r="BG949" s="692" t="n"/>
      <c r="BH949" s="692" t="n"/>
      <c r="BI949" s="692" t="n"/>
      <c r="BJ949" s="692" t="n"/>
      <c r="BK949" s="692" t="n"/>
      <c r="BL949" s="692" t="n"/>
      <c r="BM949" s="692" t="n"/>
      <c r="BN949" s="692" t="n"/>
      <c r="BO949" s="692" t="n"/>
      <c r="BP949" s="692" t="n"/>
      <c r="BQ949" s="692" t="n"/>
    </row>
    <row r="950">
      <c r="A950" s="218" t="n"/>
      <c r="B950" s="215" t="n"/>
      <c r="C950" s="215" t="n"/>
      <c r="D950" s="215" t="n"/>
      <c r="E950" s="219" t="n"/>
      <c r="F950" s="215" t="n"/>
      <c r="G950" s="215" t="n"/>
      <c r="H950" s="215" t="n"/>
      <c r="I950" s="215" t="n"/>
      <c r="J950" s="215" t="n"/>
      <c r="K950" s="215" t="n"/>
      <c r="L950" s="217" t="n"/>
      <c r="M950" s="692" t="n"/>
      <c r="N950" s="692" t="n"/>
      <c r="O950" s="692" t="n"/>
      <c r="P950" s="261" t="n"/>
      <c r="Q950" s="692" t="n"/>
      <c r="R950" s="692" t="n"/>
      <c r="S950" s="692" t="n"/>
      <c r="T950" s="692" t="n"/>
      <c r="U950" s="692" t="n"/>
      <c r="V950" s="692" t="n"/>
      <c r="W950" s="692" t="n"/>
      <c r="X950" s="692" t="n"/>
      <c r="Y950" s="692" t="n"/>
      <c r="Z950" s="692" t="n"/>
      <c r="AA950" s="692" t="n"/>
      <c r="AB950" s="692" t="n"/>
      <c r="AC950" s="692" t="n"/>
      <c r="AD950" s="692" t="n"/>
      <c r="AF950" s="236" t="n"/>
      <c r="AG950" s="236" t="n"/>
      <c r="AH950" s="236" t="n"/>
      <c r="AI950" s="236" t="n"/>
      <c r="AJ950" s="236" t="n"/>
      <c r="AK950" s="236" t="n"/>
      <c r="AL950" s="236" t="n"/>
      <c r="AM950" s="236" t="n"/>
      <c r="AN950" s="236" t="n"/>
      <c r="AO950" s="236" t="n"/>
      <c r="AP950" s="236" t="n"/>
      <c r="AQ950" s="236" t="n"/>
      <c r="AR950" s="236" t="n"/>
      <c r="AS950" s="236" t="n"/>
      <c r="AT950" s="236" t="n"/>
      <c r="AU950" s="236" t="n"/>
      <c r="AV950" s="236" t="n"/>
      <c r="AW950" s="236" t="n"/>
      <c r="AX950" s="692" t="n"/>
      <c r="AY950" s="692" t="n"/>
      <c r="AZ950" s="692" t="n"/>
      <c r="BA950" s="692" t="n"/>
      <c r="BB950" s="692" t="n"/>
      <c r="BC950" s="692" t="n"/>
      <c r="BD950" s="692" t="n"/>
      <c r="BE950" s="692" t="n"/>
      <c r="BF950" s="692" t="n"/>
      <c r="BG950" s="692" t="n"/>
      <c r="BH950" s="692" t="n"/>
      <c r="BI950" s="692" t="n"/>
      <c r="BJ950" s="692" t="n"/>
      <c r="BK950" s="692" t="n"/>
      <c r="BL950" s="692" t="n"/>
      <c r="BM950" s="692" t="n"/>
      <c r="BN950" s="692" t="n"/>
      <c r="BO950" s="692" t="n"/>
      <c r="BP950" s="692" t="n"/>
      <c r="BQ950" s="692" t="n"/>
    </row>
    <row r="951">
      <c r="A951" s="220" t="n"/>
      <c r="B951" s="211" t="n"/>
      <c r="C951" s="211" t="n"/>
      <c r="D951" s="211" t="n"/>
      <c r="E951" s="221" t="n"/>
      <c r="F951" s="211" t="n"/>
      <c r="G951" s="211" t="n"/>
      <c r="H951" s="211" t="n"/>
      <c r="I951" s="211" t="n"/>
      <c r="J951" s="211" t="n"/>
      <c r="K951" s="211" t="n"/>
      <c r="L951" s="213" t="n"/>
      <c r="M951" s="692" t="n"/>
      <c r="N951" s="692" t="n"/>
      <c r="O951" s="692" t="n"/>
      <c r="P951" s="261" t="n"/>
      <c r="Q951" s="692" t="n"/>
      <c r="R951" s="692" t="n"/>
      <c r="S951" s="692" t="n"/>
      <c r="T951" s="692" t="n"/>
      <c r="U951" s="692" t="n"/>
      <c r="V951" s="692" t="n"/>
      <c r="W951" s="692" t="n"/>
      <c r="X951" s="692" t="n"/>
      <c r="Y951" s="692" t="n"/>
      <c r="Z951" s="692" t="n"/>
      <c r="AA951" s="692" t="n"/>
      <c r="AB951" s="692" t="n"/>
      <c r="AC951" s="692" t="n"/>
      <c r="AD951" s="692" t="n"/>
      <c r="AF951" s="236" t="n"/>
      <c r="AG951" s="236" t="n"/>
      <c r="AH951" s="236" t="n"/>
      <c r="AI951" s="236" t="n"/>
      <c r="AJ951" s="236" t="n"/>
      <c r="AK951" s="236" t="n"/>
      <c r="AL951" s="236" t="n"/>
      <c r="AM951" s="236" t="n"/>
      <c r="AN951" s="236" t="n"/>
      <c r="AO951" s="236" t="n"/>
      <c r="AP951" s="236" t="n"/>
      <c r="AQ951" s="236" t="n"/>
      <c r="AR951" s="236" t="n"/>
      <c r="AS951" s="236" t="n"/>
      <c r="AT951" s="236" t="n"/>
      <c r="AU951" s="236" t="n"/>
      <c r="AV951" s="236" t="n"/>
      <c r="AW951" s="236" t="n"/>
      <c r="AX951" s="692" t="n"/>
      <c r="AY951" s="692" t="n"/>
      <c r="AZ951" s="692" t="n"/>
      <c r="BA951" s="692" t="n"/>
      <c r="BB951" s="692" t="n"/>
      <c r="BC951" s="692" t="n"/>
      <c r="BD951" s="692" t="n"/>
      <c r="BE951" s="692" t="n"/>
      <c r="BF951" s="692" t="n"/>
      <c r="BG951" s="692" t="n"/>
      <c r="BH951" s="692" t="n"/>
      <c r="BI951" s="692" t="n"/>
      <c r="BJ951" s="692" t="n"/>
      <c r="BK951" s="692" t="n"/>
      <c r="BL951" s="692" t="n"/>
      <c r="BM951" s="692" t="n"/>
      <c r="BN951" s="692" t="n"/>
      <c r="BO951" s="692" t="n"/>
      <c r="BP951" s="692" t="n"/>
      <c r="BQ951" s="692" t="n"/>
    </row>
    <row r="952">
      <c r="A952" s="218" t="n"/>
      <c r="B952" s="215" t="n"/>
      <c r="C952" s="215" t="n"/>
      <c r="D952" s="215" t="n"/>
      <c r="E952" s="219" t="n"/>
      <c r="F952" s="215" t="n"/>
      <c r="G952" s="215" t="n"/>
      <c r="H952" s="215" t="n"/>
      <c r="I952" s="215" t="n"/>
      <c r="J952" s="215" t="n"/>
      <c r="K952" s="215" t="n"/>
      <c r="L952" s="217" t="n"/>
      <c r="M952" s="692" t="n"/>
      <c r="N952" s="692" t="n"/>
      <c r="O952" s="692" t="n"/>
      <c r="P952" s="261" t="n"/>
      <c r="Q952" s="692" t="n"/>
      <c r="R952" s="692" t="n"/>
      <c r="S952" s="692" t="n"/>
      <c r="T952" s="692" t="n"/>
      <c r="U952" s="692" t="n"/>
      <c r="V952" s="692" t="n"/>
      <c r="W952" s="692" t="n"/>
      <c r="X952" s="692" t="n"/>
      <c r="Y952" s="692" t="n"/>
      <c r="Z952" s="692" t="n"/>
      <c r="AA952" s="692" t="n"/>
      <c r="AB952" s="692" t="n"/>
      <c r="AC952" s="692" t="n"/>
      <c r="AD952" s="692" t="n"/>
      <c r="AF952" s="236" t="n"/>
      <c r="AG952" s="236" t="n"/>
      <c r="AH952" s="236" t="n"/>
      <c r="AI952" s="236" t="n"/>
      <c r="AJ952" s="236" t="n"/>
      <c r="AK952" s="236" t="n"/>
      <c r="AL952" s="236" t="n"/>
      <c r="AM952" s="236" t="n"/>
      <c r="AN952" s="236" t="n"/>
      <c r="AO952" s="236" t="n"/>
      <c r="AP952" s="236" t="n"/>
      <c r="AQ952" s="236" t="n"/>
      <c r="AR952" s="236" t="n"/>
      <c r="AS952" s="236" t="n"/>
      <c r="AT952" s="236" t="n"/>
      <c r="AU952" s="236" t="n"/>
      <c r="AV952" s="236" t="n"/>
      <c r="AW952" s="236" t="n"/>
      <c r="AX952" s="692" t="n"/>
      <c r="AY952" s="692" t="n"/>
      <c r="AZ952" s="692" t="n"/>
      <c r="BA952" s="692" t="n"/>
      <c r="BB952" s="692" t="n"/>
      <c r="BC952" s="692" t="n"/>
      <c r="BD952" s="692" t="n"/>
      <c r="BE952" s="692" t="n"/>
      <c r="BF952" s="692" t="n"/>
      <c r="BG952" s="692" t="n"/>
      <c r="BH952" s="692" t="n"/>
      <c r="BI952" s="692" t="n"/>
      <c r="BJ952" s="692" t="n"/>
      <c r="BK952" s="692" t="n"/>
      <c r="BL952" s="692" t="n"/>
      <c r="BM952" s="692" t="n"/>
      <c r="BN952" s="692" t="n"/>
      <c r="BO952" s="692" t="n"/>
      <c r="BP952" s="692" t="n"/>
      <c r="BQ952" s="692" t="n"/>
    </row>
    <row r="953">
      <c r="A953" s="220" t="n"/>
      <c r="B953" s="211" t="n"/>
      <c r="C953" s="211" t="n"/>
      <c r="D953" s="211" t="n"/>
      <c r="E953" s="221" t="n"/>
      <c r="F953" s="211" t="n"/>
      <c r="G953" s="211" t="n"/>
      <c r="H953" s="211" t="n"/>
      <c r="I953" s="211" t="n"/>
      <c r="J953" s="211" t="n"/>
      <c r="K953" s="211" t="n"/>
      <c r="L953" s="213" t="n"/>
      <c r="M953" s="692" t="n"/>
      <c r="N953" s="692" t="n"/>
      <c r="O953" s="692" t="n"/>
      <c r="P953" s="261" t="n"/>
      <c r="Q953" s="692" t="n"/>
      <c r="R953" s="692" t="n"/>
      <c r="S953" s="692" t="n"/>
      <c r="T953" s="692" t="n"/>
      <c r="U953" s="692" t="n"/>
      <c r="V953" s="692" t="n"/>
      <c r="W953" s="692" t="n"/>
      <c r="X953" s="692" t="n"/>
      <c r="Y953" s="692" t="n"/>
      <c r="Z953" s="692" t="n"/>
      <c r="AA953" s="692" t="n"/>
      <c r="AB953" s="692" t="n"/>
      <c r="AC953" s="692" t="n"/>
      <c r="AD953" s="692" t="n"/>
      <c r="AF953" s="236" t="n"/>
      <c r="AG953" s="236" t="n"/>
      <c r="AH953" s="236" t="n"/>
      <c r="AI953" s="236" t="n"/>
      <c r="AJ953" s="236" t="n"/>
      <c r="AK953" s="236" t="n"/>
      <c r="AL953" s="236" t="n"/>
      <c r="AM953" s="236" t="n"/>
      <c r="AN953" s="236" t="n"/>
      <c r="AO953" s="236" t="n"/>
      <c r="AP953" s="236" t="n"/>
      <c r="AQ953" s="236" t="n"/>
      <c r="AR953" s="236" t="n"/>
      <c r="AS953" s="236" t="n"/>
      <c r="AT953" s="236" t="n"/>
      <c r="AU953" s="236" t="n"/>
      <c r="AV953" s="236" t="n"/>
      <c r="AW953" s="236" t="n"/>
      <c r="AX953" s="692" t="n"/>
      <c r="AY953" s="692" t="n"/>
      <c r="AZ953" s="692" t="n"/>
      <c r="BA953" s="692" t="n"/>
      <c r="BB953" s="692" t="n"/>
      <c r="BC953" s="692" t="n"/>
      <c r="BD953" s="692" t="n"/>
      <c r="BE953" s="692" t="n"/>
      <c r="BF953" s="692" t="n"/>
      <c r="BG953" s="692" t="n"/>
      <c r="BH953" s="692" t="n"/>
      <c r="BI953" s="692" t="n"/>
      <c r="BJ953" s="692" t="n"/>
      <c r="BK953" s="692" t="n"/>
      <c r="BL953" s="692" t="n"/>
      <c r="BM953" s="692" t="n"/>
      <c r="BN953" s="692" t="n"/>
      <c r="BO953" s="692" t="n"/>
      <c r="BP953" s="692" t="n"/>
      <c r="BQ953" s="692" t="n"/>
    </row>
    <row r="954">
      <c r="A954" s="218" t="n"/>
      <c r="B954" s="215" t="n"/>
      <c r="C954" s="215" t="n"/>
      <c r="D954" s="215" t="n"/>
      <c r="E954" s="219" t="n"/>
      <c r="F954" s="215" t="n"/>
      <c r="G954" s="215" t="n"/>
      <c r="H954" s="215" t="n"/>
      <c r="I954" s="215" t="n"/>
      <c r="J954" s="215" t="n"/>
      <c r="K954" s="215" t="n"/>
      <c r="L954" s="217" t="n"/>
      <c r="M954" s="692" t="n"/>
      <c r="N954" s="692" t="n"/>
      <c r="O954" s="692" t="n"/>
      <c r="P954" s="261" t="n"/>
      <c r="Q954" s="692" t="n"/>
      <c r="R954" s="692" t="n"/>
      <c r="S954" s="692" t="n"/>
      <c r="T954" s="692" t="n"/>
      <c r="U954" s="692" t="n"/>
      <c r="V954" s="692" t="n"/>
      <c r="W954" s="692" t="n"/>
      <c r="X954" s="692" t="n"/>
      <c r="Y954" s="692" t="n"/>
      <c r="Z954" s="692" t="n"/>
      <c r="AA954" s="692" t="n"/>
      <c r="AB954" s="692" t="n"/>
      <c r="AC954" s="692" t="n"/>
      <c r="AD954" s="692" t="n"/>
      <c r="AF954" s="236" t="n"/>
      <c r="AG954" s="236" t="n"/>
      <c r="AH954" s="236" t="n"/>
      <c r="AI954" s="236" t="n"/>
      <c r="AJ954" s="236" t="n"/>
      <c r="AK954" s="236" t="n"/>
      <c r="AL954" s="236" t="n"/>
      <c r="AM954" s="236" t="n"/>
      <c r="AN954" s="236" t="n"/>
      <c r="AO954" s="236" t="n"/>
      <c r="AP954" s="236" t="n"/>
      <c r="AQ954" s="236" t="n"/>
      <c r="AR954" s="236" t="n"/>
      <c r="AS954" s="236" t="n"/>
      <c r="AT954" s="236" t="n"/>
      <c r="AU954" s="236" t="n"/>
      <c r="AV954" s="236" t="n"/>
      <c r="AW954" s="236" t="n"/>
      <c r="AX954" s="692" t="n"/>
      <c r="AY954" s="692" t="n"/>
      <c r="AZ954" s="692" t="n"/>
      <c r="BA954" s="692" t="n"/>
      <c r="BB954" s="692" t="n"/>
      <c r="BC954" s="692" t="n"/>
      <c r="BD954" s="692" t="n"/>
      <c r="BE954" s="692" t="n"/>
      <c r="BF954" s="692" t="n"/>
      <c r="BG954" s="692" t="n"/>
      <c r="BH954" s="692" t="n"/>
      <c r="BI954" s="692" t="n"/>
      <c r="BJ954" s="692" t="n"/>
      <c r="BK954" s="692" t="n"/>
      <c r="BL954" s="692" t="n"/>
      <c r="BM954" s="692" t="n"/>
      <c r="BN954" s="692" t="n"/>
      <c r="BO954" s="692" t="n"/>
      <c r="BP954" s="692" t="n"/>
      <c r="BQ954" s="692" t="n"/>
    </row>
    <row r="955">
      <c r="A955" s="220" t="n"/>
      <c r="B955" s="211" t="n"/>
      <c r="C955" s="211" t="n"/>
      <c r="D955" s="211" t="n"/>
      <c r="E955" s="221" t="n"/>
      <c r="F955" s="211" t="n"/>
      <c r="G955" s="211" t="n"/>
      <c r="H955" s="211" t="n"/>
      <c r="I955" s="211" t="n"/>
      <c r="J955" s="211" t="n"/>
      <c r="K955" s="211" t="n"/>
      <c r="L955" s="213" t="n"/>
      <c r="M955" s="692" t="n"/>
      <c r="N955" s="692" t="n"/>
      <c r="O955" s="692" t="n"/>
      <c r="P955" s="261" t="n"/>
      <c r="Q955" s="692" t="n"/>
      <c r="R955" s="692" t="n"/>
      <c r="S955" s="692" t="n"/>
      <c r="T955" s="692" t="n"/>
      <c r="U955" s="692" t="n"/>
      <c r="V955" s="692" t="n"/>
      <c r="W955" s="692" t="n"/>
      <c r="X955" s="692" t="n"/>
      <c r="Y955" s="692" t="n"/>
      <c r="Z955" s="692" t="n"/>
      <c r="AA955" s="692" t="n"/>
      <c r="AB955" s="692" t="n"/>
      <c r="AC955" s="692" t="n"/>
      <c r="AD955" s="692" t="n"/>
      <c r="AF955" s="236" t="n"/>
      <c r="AG955" s="236" t="n"/>
      <c r="AH955" s="236" t="n"/>
      <c r="AI955" s="236" t="n"/>
      <c r="AJ955" s="236" t="n"/>
      <c r="AK955" s="236" t="n"/>
      <c r="AL955" s="236" t="n"/>
      <c r="AM955" s="236" t="n"/>
      <c r="AN955" s="236" t="n"/>
      <c r="AO955" s="236" t="n"/>
      <c r="AP955" s="236" t="n"/>
      <c r="AQ955" s="236" t="n"/>
      <c r="AR955" s="236" t="n"/>
      <c r="AS955" s="236" t="n"/>
      <c r="AT955" s="236" t="n"/>
      <c r="AU955" s="236" t="n"/>
      <c r="AV955" s="236" t="n"/>
      <c r="AW955" s="236" t="n"/>
      <c r="AX955" s="692" t="n"/>
      <c r="AY955" s="692" t="n"/>
      <c r="AZ955" s="692" t="n"/>
      <c r="BA955" s="692" t="n"/>
      <c r="BB955" s="692" t="n"/>
      <c r="BC955" s="692" t="n"/>
      <c r="BD955" s="692" t="n"/>
      <c r="BE955" s="692" t="n"/>
      <c r="BF955" s="692" t="n"/>
      <c r="BG955" s="692" t="n"/>
      <c r="BH955" s="692" t="n"/>
      <c r="BI955" s="692" t="n"/>
      <c r="BJ955" s="692" t="n"/>
      <c r="BK955" s="692" t="n"/>
      <c r="BL955" s="692" t="n"/>
      <c r="BM955" s="692" t="n"/>
      <c r="BN955" s="692" t="n"/>
      <c r="BO955" s="692" t="n"/>
      <c r="BP955" s="692" t="n"/>
      <c r="BQ955" s="692" t="n"/>
    </row>
    <row r="956">
      <c r="A956" s="218" t="n"/>
      <c r="B956" s="215" t="n"/>
      <c r="C956" s="215" t="n"/>
      <c r="D956" s="215" t="n"/>
      <c r="E956" s="219" t="n"/>
      <c r="F956" s="215" t="n"/>
      <c r="G956" s="215" t="n"/>
      <c r="H956" s="215" t="n"/>
      <c r="I956" s="215" t="n"/>
      <c r="J956" s="215" t="n"/>
      <c r="K956" s="215" t="n"/>
      <c r="L956" s="217" t="n"/>
      <c r="M956" s="692" t="n"/>
      <c r="N956" s="692" t="n"/>
      <c r="O956" s="692" t="n"/>
      <c r="P956" s="261" t="n"/>
      <c r="Q956" s="692" t="n"/>
      <c r="R956" s="692" t="n"/>
      <c r="S956" s="692" t="n"/>
      <c r="T956" s="692" t="n"/>
      <c r="U956" s="692" t="n"/>
      <c r="V956" s="692" t="n"/>
      <c r="W956" s="692" t="n"/>
      <c r="X956" s="692" t="n"/>
      <c r="Y956" s="692" t="n"/>
      <c r="Z956" s="692" t="n"/>
      <c r="AA956" s="692" t="n"/>
      <c r="AB956" s="692" t="n"/>
      <c r="AC956" s="692" t="n"/>
      <c r="AD956" s="692" t="n"/>
      <c r="AF956" s="236" t="n"/>
      <c r="AG956" s="236" t="n"/>
      <c r="AH956" s="236" t="n"/>
      <c r="AI956" s="236" t="n"/>
      <c r="AJ956" s="236" t="n"/>
      <c r="AK956" s="236" t="n"/>
      <c r="AL956" s="236" t="n"/>
      <c r="AM956" s="236" t="n"/>
      <c r="AN956" s="236" t="n"/>
      <c r="AO956" s="236" t="n"/>
      <c r="AP956" s="236" t="n"/>
      <c r="AQ956" s="236" t="n"/>
      <c r="AR956" s="236" t="n"/>
      <c r="AS956" s="236" t="n"/>
      <c r="AT956" s="236" t="n"/>
      <c r="AU956" s="236" t="n"/>
      <c r="AV956" s="236" t="n"/>
      <c r="AW956" s="236" t="n"/>
      <c r="AX956" s="692" t="n"/>
      <c r="AY956" s="692" t="n"/>
      <c r="AZ956" s="692" t="n"/>
      <c r="BA956" s="692" t="n"/>
      <c r="BB956" s="692" t="n"/>
      <c r="BC956" s="692" t="n"/>
      <c r="BD956" s="692" t="n"/>
      <c r="BE956" s="692" t="n"/>
      <c r="BF956" s="692" t="n"/>
      <c r="BG956" s="692" t="n"/>
      <c r="BH956" s="692" t="n"/>
      <c r="BI956" s="692" t="n"/>
      <c r="BJ956" s="692" t="n"/>
      <c r="BK956" s="692" t="n"/>
      <c r="BL956" s="692" t="n"/>
      <c r="BM956" s="692" t="n"/>
      <c r="BN956" s="692" t="n"/>
      <c r="BO956" s="692" t="n"/>
      <c r="BP956" s="692" t="n"/>
      <c r="BQ956" s="692" t="n"/>
    </row>
    <row r="957">
      <c r="A957" s="220" t="n"/>
      <c r="B957" s="211" t="n"/>
      <c r="C957" s="211" t="n"/>
      <c r="D957" s="211" t="n"/>
      <c r="E957" s="221" t="n"/>
      <c r="F957" s="211" t="n"/>
      <c r="G957" s="211" t="n"/>
      <c r="H957" s="211" t="n"/>
      <c r="I957" s="211" t="n"/>
      <c r="J957" s="211" t="n"/>
      <c r="K957" s="211" t="n"/>
      <c r="L957" s="213" t="n"/>
      <c r="M957" s="692" t="n"/>
      <c r="N957" s="692" t="n"/>
      <c r="O957" s="692" t="n"/>
      <c r="P957" s="261" t="n"/>
      <c r="Q957" s="692" t="n"/>
      <c r="R957" s="692" t="n"/>
      <c r="S957" s="692" t="n"/>
      <c r="T957" s="692" t="n"/>
      <c r="U957" s="692" t="n"/>
      <c r="V957" s="692" t="n"/>
      <c r="W957" s="692" t="n"/>
      <c r="X957" s="692" t="n"/>
      <c r="Y957" s="692" t="n"/>
      <c r="Z957" s="692" t="n"/>
      <c r="AA957" s="692" t="n"/>
      <c r="AB957" s="692" t="n"/>
      <c r="AC957" s="692" t="n"/>
      <c r="AD957" s="692" t="n"/>
      <c r="AF957" s="236" t="n"/>
      <c r="AG957" s="236" t="n"/>
      <c r="AH957" s="236" t="n"/>
      <c r="AI957" s="236" t="n"/>
      <c r="AJ957" s="236" t="n"/>
      <c r="AK957" s="236" t="n"/>
      <c r="AL957" s="236" t="n"/>
      <c r="AM957" s="236" t="n"/>
      <c r="AN957" s="236" t="n"/>
      <c r="AO957" s="236" t="n"/>
      <c r="AP957" s="236" t="n"/>
      <c r="AQ957" s="236" t="n"/>
      <c r="AR957" s="236" t="n"/>
      <c r="AS957" s="236" t="n"/>
      <c r="AT957" s="236" t="n"/>
      <c r="AU957" s="236" t="n"/>
      <c r="AV957" s="236" t="n"/>
      <c r="AW957" s="236" t="n"/>
      <c r="AX957" s="692" t="n"/>
      <c r="AY957" s="692" t="n"/>
      <c r="AZ957" s="692" t="n"/>
      <c r="BA957" s="692" t="n"/>
      <c r="BB957" s="692" t="n"/>
      <c r="BC957" s="692" t="n"/>
      <c r="BD957" s="692" t="n"/>
      <c r="BE957" s="692" t="n"/>
      <c r="BF957" s="692" t="n"/>
      <c r="BG957" s="692" t="n"/>
      <c r="BH957" s="692" t="n"/>
      <c r="BI957" s="692" t="n"/>
      <c r="BJ957" s="692" t="n"/>
      <c r="BK957" s="692" t="n"/>
      <c r="BL957" s="692" t="n"/>
      <c r="BM957" s="692" t="n"/>
      <c r="BN957" s="692" t="n"/>
      <c r="BO957" s="692" t="n"/>
      <c r="BP957" s="692" t="n"/>
      <c r="BQ957" s="692" t="n"/>
    </row>
    <row r="958">
      <c r="A958" s="218" t="n"/>
      <c r="B958" s="215" t="n"/>
      <c r="C958" s="215" t="n"/>
      <c r="D958" s="215" t="n"/>
      <c r="E958" s="219" t="n"/>
      <c r="F958" s="215" t="n"/>
      <c r="G958" s="215" t="n"/>
      <c r="H958" s="215" t="n"/>
      <c r="I958" s="215" t="n"/>
      <c r="J958" s="215" t="n"/>
      <c r="K958" s="215" t="n"/>
      <c r="L958" s="217" t="n"/>
      <c r="M958" s="692" t="n"/>
      <c r="N958" s="692" t="n"/>
      <c r="O958" s="692" t="n"/>
      <c r="P958" s="261" t="n"/>
      <c r="Q958" s="692" t="n"/>
      <c r="R958" s="692" t="n"/>
      <c r="S958" s="692" t="n"/>
      <c r="T958" s="692" t="n"/>
      <c r="U958" s="692" t="n"/>
      <c r="V958" s="692" t="n"/>
      <c r="W958" s="692" t="n"/>
      <c r="X958" s="692" t="n"/>
      <c r="Y958" s="692" t="n"/>
      <c r="Z958" s="692" t="n"/>
      <c r="AA958" s="692" t="n"/>
      <c r="AB958" s="692" t="n"/>
      <c r="AC958" s="692" t="n"/>
      <c r="AD958" s="692" t="n"/>
      <c r="AF958" s="236" t="n"/>
      <c r="AG958" s="236" t="n"/>
      <c r="AH958" s="236" t="n"/>
      <c r="AI958" s="236" t="n"/>
      <c r="AJ958" s="236" t="n"/>
      <c r="AK958" s="236" t="n"/>
      <c r="AL958" s="236" t="n"/>
      <c r="AM958" s="236" t="n"/>
      <c r="AN958" s="236" t="n"/>
      <c r="AO958" s="236" t="n"/>
      <c r="AP958" s="236" t="n"/>
      <c r="AQ958" s="236" t="n"/>
      <c r="AR958" s="236" t="n"/>
      <c r="AS958" s="236" t="n"/>
      <c r="AT958" s="236" t="n"/>
      <c r="AU958" s="236" t="n"/>
      <c r="AV958" s="236" t="n"/>
      <c r="AW958" s="236" t="n"/>
      <c r="AX958" s="692" t="n"/>
      <c r="AY958" s="692" t="n"/>
      <c r="AZ958" s="692" t="n"/>
      <c r="BA958" s="692" t="n"/>
      <c r="BB958" s="692" t="n"/>
      <c r="BC958" s="692" t="n"/>
      <c r="BD958" s="692" t="n"/>
      <c r="BE958" s="692" t="n"/>
      <c r="BF958" s="692" t="n"/>
      <c r="BG958" s="692" t="n"/>
      <c r="BH958" s="692" t="n"/>
      <c r="BI958" s="692" t="n"/>
      <c r="BJ958" s="692" t="n"/>
      <c r="BK958" s="692" t="n"/>
      <c r="BL958" s="692" t="n"/>
      <c r="BM958" s="692" t="n"/>
      <c r="BN958" s="692" t="n"/>
      <c r="BO958" s="692" t="n"/>
      <c r="BP958" s="692" t="n"/>
      <c r="BQ958" s="692" t="n"/>
    </row>
    <row r="959">
      <c r="A959" s="220" t="n"/>
      <c r="B959" s="211" t="n"/>
      <c r="C959" s="211" t="n"/>
      <c r="D959" s="211" t="n"/>
      <c r="E959" s="221" t="n"/>
      <c r="F959" s="211" t="n"/>
      <c r="G959" s="211" t="n"/>
      <c r="H959" s="211" t="n"/>
      <c r="I959" s="211" t="n"/>
      <c r="J959" s="211" t="n"/>
      <c r="K959" s="211" t="n"/>
      <c r="L959" s="213" t="n"/>
      <c r="M959" s="692" t="n"/>
      <c r="N959" s="692" t="n"/>
      <c r="O959" s="692" t="n"/>
      <c r="P959" s="261" t="n"/>
      <c r="Q959" s="692" t="n"/>
      <c r="R959" s="692" t="n"/>
      <c r="S959" s="692" t="n"/>
      <c r="T959" s="692" t="n"/>
      <c r="U959" s="692" t="n"/>
      <c r="V959" s="692" t="n"/>
      <c r="W959" s="692" t="n"/>
      <c r="X959" s="692" t="n"/>
      <c r="Y959" s="692" t="n"/>
      <c r="Z959" s="692" t="n"/>
      <c r="AA959" s="692" t="n"/>
      <c r="AB959" s="692" t="n"/>
      <c r="AC959" s="692" t="n"/>
      <c r="AD959" s="692" t="n"/>
      <c r="AF959" s="236" t="n"/>
      <c r="AG959" s="236" t="n"/>
      <c r="AH959" s="236" t="n"/>
      <c r="AI959" s="236" t="n"/>
      <c r="AJ959" s="236" t="n"/>
      <c r="AK959" s="236" t="n"/>
      <c r="AL959" s="236" t="n"/>
      <c r="AM959" s="236" t="n"/>
      <c r="AN959" s="236" t="n"/>
      <c r="AO959" s="236" t="n"/>
      <c r="AP959" s="236" t="n"/>
      <c r="AQ959" s="236" t="n"/>
      <c r="AR959" s="236" t="n"/>
      <c r="AS959" s="236" t="n"/>
      <c r="AT959" s="236" t="n"/>
      <c r="AU959" s="236" t="n"/>
      <c r="AV959" s="236" t="n"/>
      <c r="AW959" s="236" t="n"/>
      <c r="AY959" s="692" t="n"/>
      <c r="AZ959" s="692" t="n"/>
      <c r="BA959" s="692" t="n"/>
      <c r="BB959" s="692" t="n"/>
      <c r="BC959" s="692" t="n"/>
      <c r="BD959" s="692" t="n"/>
      <c r="BE959" s="692" t="n"/>
      <c r="BF959" s="692" t="n"/>
      <c r="BG959" s="692" t="n"/>
      <c r="BH959" s="692" t="n"/>
      <c r="BI959" s="692" t="n"/>
      <c r="BJ959" s="692" t="n"/>
      <c r="BK959" s="692" t="n"/>
      <c r="BL959" s="692" t="n"/>
      <c r="BM959" s="692" t="n"/>
      <c r="BN959" s="692" t="n"/>
      <c r="BO959" s="692" t="n"/>
      <c r="BP959" s="692" t="n"/>
      <c r="BQ959" s="692" t="n"/>
    </row>
    <row r="960">
      <c r="A960" s="218" t="n"/>
      <c r="B960" s="215" t="n"/>
      <c r="C960" s="215" t="n"/>
      <c r="D960" s="215" t="n"/>
      <c r="E960" s="219" t="n"/>
      <c r="F960" s="215" t="n"/>
      <c r="G960" s="215" t="n"/>
      <c r="H960" s="215" t="n"/>
      <c r="I960" s="215" t="n"/>
      <c r="J960" s="215" t="n"/>
      <c r="K960" s="215" t="n"/>
      <c r="L960" s="217" t="n"/>
      <c r="M960" s="692" t="n"/>
      <c r="N960" s="692" t="n"/>
      <c r="O960" s="692" t="n"/>
      <c r="P960" s="261" t="n"/>
      <c r="Q960" s="692" t="n"/>
      <c r="R960" s="692" t="n"/>
      <c r="S960" s="692" t="n"/>
      <c r="T960" s="692" t="n"/>
      <c r="U960" s="692" t="n"/>
      <c r="V960" s="692" t="n"/>
      <c r="W960" s="692" t="n"/>
      <c r="X960" s="692" t="n"/>
      <c r="Y960" s="692" t="n"/>
      <c r="Z960" s="692" t="n"/>
      <c r="AA960" s="692" t="n"/>
      <c r="AB960" s="692" t="n"/>
      <c r="AC960" s="692" t="n"/>
      <c r="AD960" s="692" t="n"/>
      <c r="AF960" s="233" t="n"/>
      <c r="AG960" s="233" t="n"/>
      <c r="AH960" s="233" t="n"/>
      <c r="AI960" s="233" t="n"/>
      <c r="AJ960" s="233" t="n"/>
      <c r="AK960" s="233" t="n"/>
      <c r="AL960" s="233" t="n"/>
      <c r="AM960" s="233" t="n"/>
      <c r="AN960" s="233" t="n"/>
      <c r="AO960" s="233" t="n"/>
      <c r="AP960" s="233" t="n"/>
      <c r="AQ960" s="233" t="n"/>
      <c r="AR960" s="233" t="n"/>
      <c r="AS960" s="233" t="n"/>
      <c r="AT960" s="233" t="n"/>
      <c r="AU960" s="233" t="n"/>
      <c r="AV960" s="233" t="n"/>
      <c r="AW960" s="233" t="n"/>
      <c r="AY960" s="692" t="n"/>
      <c r="AZ960" s="692" t="n"/>
      <c r="BA960" s="692" t="n"/>
      <c r="BB960" s="692" t="n"/>
      <c r="BC960" s="692" t="n"/>
      <c r="BD960" s="692" t="n"/>
      <c r="BE960" s="692" t="n"/>
      <c r="BF960" s="692" t="n"/>
      <c r="BG960" s="692" t="n"/>
      <c r="BH960" s="692" t="n"/>
      <c r="BI960" s="692" t="n"/>
      <c r="BJ960" s="692" t="n"/>
      <c r="BK960" s="692" t="n"/>
      <c r="BL960" s="692" t="n"/>
      <c r="BM960" s="692" t="n"/>
      <c r="BN960" s="692" t="n"/>
      <c r="BO960" s="692" t="n"/>
      <c r="BP960" s="692" t="n"/>
      <c r="BQ960" s="692" t="n"/>
    </row>
    <row r="961">
      <c r="A961" s="220" t="n"/>
      <c r="B961" s="211" t="n"/>
      <c r="C961" s="211" t="n"/>
      <c r="D961" s="211" t="n"/>
      <c r="E961" s="221" t="n"/>
      <c r="F961" s="211" t="n"/>
      <c r="G961" s="211" t="n"/>
      <c r="H961" s="211" t="n"/>
      <c r="I961" s="211" t="n"/>
      <c r="J961" s="211" t="n"/>
      <c r="K961" s="211" t="n"/>
      <c r="L961" s="213" t="n"/>
      <c r="M961" s="692" t="n"/>
      <c r="N961" s="692" t="n"/>
      <c r="O961" s="692" t="n"/>
      <c r="P961" s="261" t="n"/>
      <c r="Q961" s="692" t="n"/>
      <c r="R961" s="692" t="n"/>
      <c r="S961" s="692" t="n"/>
      <c r="T961" s="692" t="n"/>
      <c r="U961" s="692" t="n"/>
      <c r="V961" s="692" t="n"/>
      <c r="W961" s="692" t="n"/>
      <c r="X961" s="692" t="n"/>
      <c r="Y961" s="692" t="n"/>
      <c r="Z961" s="692" t="n"/>
      <c r="AA961" s="692" t="n"/>
      <c r="AB961" s="692" t="n"/>
      <c r="AC961" s="692" t="n"/>
      <c r="AD961" s="692" t="n"/>
      <c r="AF961" s="233" t="n"/>
      <c r="AG961" s="233" t="n"/>
      <c r="AH961" s="233" t="n"/>
      <c r="AI961" s="233" t="n"/>
      <c r="AJ961" s="233" t="n"/>
      <c r="AK961" s="233" t="n"/>
      <c r="AL961" s="233" t="n"/>
      <c r="AM961" s="233" t="n"/>
      <c r="AN961" s="233" t="n"/>
      <c r="AO961" s="233" t="n"/>
      <c r="AP961" s="233" t="n"/>
      <c r="AQ961" s="233" t="n"/>
      <c r="AR961" s="233" t="n"/>
      <c r="AS961" s="233" t="n"/>
      <c r="AT961" s="233" t="n"/>
      <c r="AU961" s="233" t="n"/>
      <c r="AV961" s="233" t="n"/>
      <c r="AW961" s="233" t="n"/>
      <c r="AY961" s="692" t="n"/>
      <c r="AZ961" s="692" t="n"/>
      <c r="BA961" s="692" t="n"/>
      <c r="BB961" s="692" t="n"/>
      <c r="BC961" s="692" t="n"/>
      <c r="BD961" s="692" t="n"/>
      <c r="BE961" s="692" t="n"/>
      <c r="BF961" s="692" t="n"/>
      <c r="BG961" s="692" t="n"/>
      <c r="BH961" s="692" t="n"/>
      <c r="BI961" s="692" t="n"/>
      <c r="BJ961" s="692" t="n"/>
      <c r="BK961" s="692" t="n"/>
      <c r="BL961" s="692" t="n"/>
      <c r="BM961" s="692" t="n"/>
      <c r="BN961" s="692" t="n"/>
      <c r="BO961" s="692" t="n"/>
      <c r="BP961" s="692" t="n"/>
      <c r="BQ961" s="692" t="n"/>
    </row>
    <row r="962">
      <c r="A962" s="218" t="n"/>
      <c r="B962" s="215" t="n"/>
      <c r="C962" s="215" t="n"/>
      <c r="D962" s="215" t="n"/>
      <c r="E962" s="219" t="n"/>
      <c r="F962" s="215" t="n"/>
      <c r="G962" s="215" t="n"/>
      <c r="H962" s="215" t="n"/>
      <c r="I962" s="215" t="n"/>
      <c r="J962" s="215" t="n"/>
      <c r="K962" s="215" t="n"/>
      <c r="L962" s="217" t="n"/>
      <c r="M962" s="692" t="n"/>
      <c r="N962" s="692" t="n"/>
      <c r="O962" s="692" t="n"/>
      <c r="P962" s="261" t="n"/>
      <c r="Q962" s="692" t="n"/>
      <c r="R962" s="692" t="n"/>
      <c r="S962" s="692" t="n"/>
      <c r="T962" s="692" t="n"/>
      <c r="U962" s="692" t="n"/>
      <c r="V962" s="692" t="n"/>
      <c r="W962" s="692" t="n"/>
      <c r="X962" s="692" t="n"/>
      <c r="Y962" s="692" t="n"/>
      <c r="Z962" s="692" t="n"/>
      <c r="AA962" s="692" t="n"/>
      <c r="AB962" s="692" t="n"/>
      <c r="AC962" s="692" t="n"/>
      <c r="AD962" s="692" t="n"/>
      <c r="AF962" s="233" t="n"/>
      <c r="AG962" s="233" t="n"/>
      <c r="AH962" s="233" t="n"/>
      <c r="AI962" s="233" t="n"/>
      <c r="AJ962" s="233" t="n"/>
      <c r="AK962" s="233" t="n"/>
      <c r="AL962" s="233" t="n"/>
      <c r="AM962" s="233" t="n"/>
      <c r="AN962" s="233" t="n"/>
      <c r="AO962" s="233" t="n"/>
      <c r="AP962" s="233" t="n"/>
      <c r="AQ962" s="233" t="n"/>
      <c r="AR962" s="233" t="n"/>
      <c r="AS962" s="233" t="n"/>
      <c r="AT962" s="233" t="n"/>
      <c r="AU962" s="233" t="n"/>
      <c r="AV962" s="233" t="n"/>
      <c r="AW962" s="233" t="n"/>
      <c r="AY962" s="692" t="n"/>
      <c r="AZ962" s="692" t="n"/>
      <c r="BA962" s="692" t="n"/>
      <c r="BB962" s="692" t="n"/>
      <c r="BC962" s="692" t="n"/>
      <c r="BD962" s="692" t="n"/>
      <c r="BE962" s="692" t="n"/>
      <c r="BF962" s="692" t="n"/>
      <c r="BG962" s="692" t="n"/>
      <c r="BH962" s="692" t="n"/>
      <c r="BI962" s="692" t="n"/>
      <c r="BJ962" s="692" t="n"/>
      <c r="BK962" s="692" t="n"/>
      <c r="BL962" s="692" t="n"/>
      <c r="BM962" s="692" t="n"/>
      <c r="BN962" s="692" t="n"/>
      <c r="BO962" s="692" t="n"/>
      <c r="BP962" s="692" t="n"/>
      <c r="BQ962" s="692" t="n"/>
    </row>
    <row r="963">
      <c r="A963" s="220" t="n"/>
      <c r="B963" s="211" t="n"/>
      <c r="C963" s="211" t="n"/>
      <c r="D963" s="211" t="n"/>
      <c r="E963" s="221" t="n"/>
      <c r="F963" s="211" t="n"/>
      <c r="G963" s="211" t="n"/>
      <c r="H963" s="211" t="n"/>
      <c r="I963" s="211" t="n"/>
      <c r="J963" s="211" t="n"/>
      <c r="K963" s="211" t="n"/>
      <c r="L963" s="213" t="n"/>
      <c r="M963" s="692" t="n"/>
      <c r="N963" s="692" t="n"/>
      <c r="O963" s="692" t="n"/>
      <c r="P963" s="261" t="n"/>
      <c r="Q963" s="692" t="n"/>
      <c r="R963" s="692" t="n"/>
      <c r="S963" s="692" t="n"/>
      <c r="T963" s="692" t="n"/>
      <c r="U963" s="692" t="n"/>
      <c r="V963" s="692" t="n"/>
      <c r="W963" s="692" t="n"/>
      <c r="X963" s="692" t="n"/>
      <c r="Y963" s="692" t="n"/>
      <c r="Z963" s="692" t="n"/>
      <c r="AA963" s="692" t="n"/>
      <c r="AB963" s="692" t="n"/>
      <c r="AC963" s="692" t="n"/>
      <c r="AD963" s="692" t="n"/>
      <c r="AF963" s="233" t="n"/>
      <c r="AG963" s="233" t="n"/>
      <c r="AH963" s="233" t="n"/>
      <c r="AI963" s="233" t="n"/>
      <c r="AJ963" s="233" t="n"/>
      <c r="AK963" s="233" t="n"/>
      <c r="AL963" s="233" t="n"/>
      <c r="AM963" s="233" t="n"/>
      <c r="AN963" s="233" t="n"/>
      <c r="AO963" s="233" t="n"/>
      <c r="AP963" s="233" t="n"/>
      <c r="AQ963" s="233" t="n"/>
      <c r="AR963" s="233" t="n"/>
      <c r="AS963" s="233" t="n"/>
      <c r="AT963" s="233" t="n"/>
      <c r="AU963" s="233" t="n"/>
      <c r="AV963" s="233" t="n"/>
      <c r="AW963" s="233" t="n"/>
      <c r="AY963" s="692" t="n"/>
      <c r="AZ963" s="692" t="n"/>
      <c r="BA963" s="692" t="n"/>
      <c r="BB963" s="692" t="n"/>
      <c r="BC963" s="692" t="n"/>
      <c r="BD963" s="692" t="n"/>
      <c r="BE963" s="692" t="n"/>
      <c r="BF963" s="692" t="n"/>
      <c r="BG963" s="692" t="n"/>
      <c r="BH963" s="692" t="n"/>
      <c r="BI963" s="692" t="n"/>
      <c r="BJ963" s="692" t="n"/>
      <c r="BK963" s="692" t="n"/>
      <c r="BL963" s="692" t="n"/>
      <c r="BM963" s="692" t="n"/>
      <c r="BN963" s="692" t="n"/>
      <c r="BO963" s="692" t="n"/>
      <c r="BP963" s="692" t="n"/>
      <c r="BQ963" s="692" t="n"/>
    </row>
    <row r="964">
      <c r="A964" s="218" t="n"/>
      <c r="B964" s="215" t="n"/>
      <c r="C964" s="215" t="n"/>
      <c r="D964" s="215" t="n"/>
      <c r="E964" s="219" t="n"/>
      <c r="F964" s="215" t="n"/>
      <c r="G964" s="215" t="n"/>
      <c r="H964" s="215" t="n"/>
      <c r="I964" s="215" t="n"/>
      <c r="J964" s="215" t="n"/>
      <c r="K964" s="215" t="n"/>
      <c r="L964" s="217" t="n"/>
      <c r="M964" s="692" t="n"/>
      <c r="N964" s="692" t="n"/>
      <c r="O964" s="692" t="n"/>
      <c r="P964" s="261" t="n"/>
      <c r="Q964" s="692" t="n"/>
      <c r="R964" s="692" t="n"/>
      <c r="S964" s="692" t="n"/>
      <c r="T964" s="692" t="n"/>
      <c r="U964" s="692" t="n"/>
      <c r="V964" s="692" t="n"/>
      <c r="W964" s="692" t="n"/>
      <c r="X964" s="692" t="n"/>
      <c r="Y964" s="692" t="n"/>
      <c r="Z964" s="692" t="n"/>
      <c r="AA964" s="692" t="n"/>
      <c r="AB964" s="692" t="n"/>
      <c r="AC964" s="692" t="n"/>
      <c r="AD964" s="692" t="n"/>
      <c r="AF964" s="233" t="n"/>
      <c r="AG964" s="233" t="n"/>
      <c r="AH964" s="233" t="n"/>
      <c r="AI964" s="233" t="n"/>
      <c r="AJ964" s="233" t="n"/>
      <c r="AK964" s="233" t="n"/>
      <c r="AL964" s="233" t="n"/>
      <c r="AM964" s="233" t="n"/>
      <c r="AN964" s="233" t="n"/>
      <c r="AO964" s="233" t="n"/>
      <c r="AP964" s="233" t="n"/>
      <c r="AQ964" s="233" t="n"/>
      <c r="AR964" s="233" t="n"/>
      <c r="AS964" s="233" t="n"/>
      <c r="AT964" s="233" t="n"/>
      <c r="AU964" s="233" t="n"/>
      <c r="AV964" s="233" t="n"/>
      <c r="AW964" s="233" t="n"/>
      <c r="AY964" s="692" t="n"/>
      <c r="AZ964" s="692" t="n"/>
      <c r="BA964" s="692" t="n"/>
      <c r="BB964" s="692" t="n"/>
      <c r="BC964" s="692" t="n"/>
      <c r="BD964" s="692" t="n"/>
      <c r="BE964" s="692" t="n"/>
      <c r="BF964" s="692" t="n"/>
      <c r="BG964" s="692" t="n"/>
      <c r="BH964" s="692" t="n"/>
      <c r="BI964" s="692" t="n"/>
      <c r="BJ964" s="692" t="n"/>
      <c r="BK964" s="692" t="n"/>
      <c r="BL964" s="692" t="n"/>
      <c r="BM964" s="692" t="n"/>
      <c r="BN964" s="692" t="n"/>
      <c r="BO964" s="692" t="n"/>
      <c r="BP964" s="692" t="n"/>
      <c r="BQ964" s="692" t="n"/>
    </row>
    <row r="965">
      <c r="A965" s="220" t="n"/>
      <c r="B965" s="211" t="n"/>
      <c r="C965" s="211" t="n"/>
      <c r="D965" s="211" t="n"/>
      <c r="E965" s="221" t="n"/>
      <c r="F965" s="211" t="n"/>
      <c r="G965" s="211" t="n"/>
      <c r="H965" s="211" t="n"/>
      <c r="I965" s="211" t="n"/>
      <c r="J965" s="211" t="n"/>
      <c r="K965" s="211" t="n"/>
      <c r="L965" s="213" t="n"/>
      <c r="M965" s="692" t="n"/>
      <c r="N965" s="692" t="n"/>
      <c r="O965" s="692" t="n"/>
      <c r="P965" s="261" t="n"/>
      <c r="Q965" s="692" t="n"/>
      <c r="R965" s="692" t="n"/>
      <c r="S965" s="692" t="n"/>
      <c r="T965" s="692" t="n"/>
      <c r="U965" s="692" t="n"/>
      <c r="V965" s="692" t="n"/>
      <c r="W965" s="692" t="n"/>
      <c r="X965" s="692" t="n"/>
      <c r="Y965" s="692" t="n"/>
      <c r="Z965" s="692" t="n"/>
      <c r="AA965" s="692" t="n"/>
      <c r="AB965" s="692" t="n"/>
      <c r="AC965" s="692" t="n"/>
      <c r="AD965" s="692" t="n"/>
      <c r="AY965" s="692" t="n"/>
      <c r="AZ965" s="692" t="n"/>
      <c r="BA965" s="692" t="n"/>
      <c r="BB965" s="692" t="n"/>
      <c r="BC965" s="692" t="n"/>
      <c r="BD965" s="692" t="n"/>
      <c r="BE965" s="692" t="n"/>
      <c r="BF965" s="692" t="n"/>
      <c r="BG965" s="692" t="n"/>
      <c r="BH965" s="692" t="n"/>
      <c r="BI965" s="692" t="n"/>
      <c r="BJ965" s="692" t="n"/>
      <c r="BK965" s="692" t="n"/>
      <c r="BL965" s="692" t="n"/>
      <c r="BM965" s="692" t="n"/>
      <c r="BN965" s="692" t="n"/>
      <c r="BO965" s="692" t="n"/>
      <c r="BP965" s="692" t="n"/>
      <c r="BQ965" s="692" t="n"/>
    </row>
    <row r="966">
      <c r="A966" s="218" t="n"/>
      <c r="B966" s="215" t="n"/>
      <c r="C966" s="215" t="n"/>
      <c r="D966" s="215" t="n"/>
      <c r="E966" s="219" t="n"/>
      <c r="F966" s="215" t="n"/>
      <c r="G966" s="215" t="n"/>
      <c r="H966" s="215" t="n"/>
      <c r="I966" s="215" t="n"/>
      <c r="J966" s="215" t="n"/>
      <c r="K966" s="215" t="n"/>
      <c r="L966" s="217" t="n"/>
      <c r="M966" s="692" t="n"/>
      <c r="N966" s="692" t="n"/>
      <c r="O966" s="692" t="n"/>
      <c r="P966" s="261" t="n"/>
      <c r="Q966" s="692" t="n"/>
      <c r="R966" s="692" t="n"/>
      <c r="S966" s="692" t="n"/>
      <c r="T966" s="692" t="n"/>
      <c r="U966" s="692" t="n"/>
      <c r="V966" s="692" t="n"/>
      <c r="W966" s="692" t="n"/>
      <c r="X966" s="692" t="n"/>
      <c r="Y966" s="692" t="n"/>
      <c r="Z966" s="692" t="n"/>
      <c r="AA966" s="692" t="n"/>
      <c r="AB966" s="692" t="n"/>
      <c r="AC966" s="692" t="n"/>
      <c r="AD966" s="692" t="n"/>
      <c r="AY966" s="692" t="n"/>
      <c r="AZ966" s="692" t="n"/>
      <c r="BA966" s="692" t="n"/>
      <c r="BB966" s="692" t="n"/>
      <c r="BC966" s="692" t="n"/>
      <c r="BD966" s="692" t="n"/>
      <c r="BE966" s="692" t="n"/>
      <c r="BF966" s="692" t="n"/>
      <c r="BG966" s="692" t="n"/>
      <c r="BH966" s="692" t="n"/>
      <c r="BI966" s="692" t="n"/>
      <c r="BJ966" s="692" t="n"/>
      <c r="BK966" s="692" t="n"/>
      <c r="BL966" s="692" t="n"/>
      <c r="BM966" s="692" t="n"/>
      <c r="BN966" s="692" t="n"/>
      <c r="BO966" s="692" t="n"/>
      <c r="BP966" s="692" t="n"/>
      <c r="BQ966" s="692" t="n"/>
    </row>
    <row r="967">
      <c r="A967" s="220" t="n"/>
      <c r="B967" s="211" t="n"/>
      <c r="C967" s="211" t="n"/>
      <c r="D967" s="211" t="n"/>
      <c r="E967" s="221" t="n"/>
      <c r="F967" s="211" t="n"/>
      <c r="G967" s="211" t="n"/>
      <c r="H967" s="211" t="n"/>
      <c r="I967" s="211" t="n"/>
      <c r="J967" s="211" t="n"/>
      <c r="K967" s="211" t="n"/>
      <c r="L967" s="213" t="n"/>
      <c r="M967" s="692" t="n"/>
      <c r="N967" s="692" t="n"/>
      <c r="O967" s="692" t="n"/>
      <c r="P967" s="261" t="n"/>
      <c r="Q967" s="692" t="n"/>
      <c r="R967" s="692" t="n"/>
      <c r="S967" s="692" t="n"/>
      <c r="T967" s="692" t="n"/>
      <c r="U967" s="692" t="n"/>
      <c r="V967" s="692" t="n"/>
      <c r="W967" s="692" t="n"/>
      <c r="X967" s="692" t="n"/>
      <c r="Y967" s="692" t="n"/>
      <c r="Z967" s="692" t="n"/>
      <c r="AA967" s="692" t="n"/>
      <c r="AB967" s="692" t="n"/>
      <c r="AC967" s="692" t="n"/>
      <c r="AD967" s="692" t="n"/>
      <c r="AY967" s="692" t="n"/>
      <c r="AZ967" s="692" t="n"/>
      <c r="BA967" s="692" t="n"/>
      <c r="BB967" s="692" t="n"/>
      <c r="BC967" s="692" t="n"/>
      <c r="BD967" s="692" t="n"/>
      <c r="BE967" s="692" t="n"/>
      <c r="BF967" s="692" t="n"/>
      <c r="BG967" s="692" t="n"/>
      <c r="BH967" s="692" t="n"/>
      <c r="BI967" s="692" t="n"/>
      <c r="BJ967" s="692" t="n"/>
      <c r="BK967" s="692" t="n"/>
      <c r="BL967" s="692" t="n"/>
      <c r="BM967" s="692" t="n"/>
      <c r="BN967" s="692" t="n"/>
      <c r="BO967" s="692" t="n"/>
      <c r="BP967" s="692" t="n"/>
      <c r="BQ967" s="692" t="n"/>
    </row>
    <row r="968">
      <c r="A968" s="218" t="n"/>
      <c r="B968" s="215" t="n"/>
      <c r="C968" s="215" t="n"/>
      <c r="D968" s="215" t="n"/>
      <c r="E968" s="219" t="n"/>
      <c r="F968" s="215" t="n"/>
      <c r="G968" s="215" t="n"/>
      <c r="H968" s="215" t="n"/>
      <c r="I968" s="215" t="n"/>
      <c r="J968" s="215" t="n"/>
      <c r="K968" s="215" t="n"/>
      <c r="L968" s="217" t="n"/>
      <c r="M968" s="692" t="n"/>
      <c r="N968" s="692" t="n"/>
      <c r="O968" s="692" t="n"/>
      <c r="P968" s="261" t="n"/>
      <c r="Q968" s="692" t="n"/>
      <c r="R968" s="692" t="n"/>
      <c r="S968" s="692" t="n"/>
      <c r="T968" s="692" t="n"/>
      <c r="U968" s="692" t="n"/>
      <c r="V968" s="692" t="n"/>
      <c r="W968" s="692" t="n"/>
      <c r="X968" s="692" t="n"/>
      <c r="Y968" s="692" t="n"/>
      <c r="Z968" s="692" t="n"/>
      <c r="AA968" s="692" t="n"/>
      <c r="AB968" s="692" t="n"/>
      <c r="AC968" s="692" t="n"/>
      <c r="AD968" s="692" t="n"/>
      <c r="AY968" s="692" t="n"/>
      <c r="AZ968" s="692" t="n"/>
      <c r="BA968" s="692" t="n"/>
      <c r="BB968" s="692" t="n"/>
      <c r="BC968" s="692" t="n"/>
      <c r="BD968" s="692" t="n"/>
      <c r="BE968" s="692" t="n"/>
      <c r="BF968" s="692" t="n"/>
      <c r="BG968" s="692" t="n"/>
      <c r="BH968" s="692" t="n"/>
      <c r="BI968" s="692" t="n"/>
      <c r="BJ968" s="692" t="n"/>
      <c r="BK968" s="692" t="n"/>
      <c r="BL968" s="692" t="n"/>
      <c r="BM968" s="692" t="n"/>
      <c r="BN968" s="692" t="n"/>
      <c r="BO968" s="692" t="n"/>
      <c r="BP968" s="692" t="n"/>
      <c r="BQ968" s="692" t="n"/>
    </row>
    <row r="969">
      <c r="A969" s="220" t="n"/>
      <c r="B969" s="211" t="n"/>
      <c r="C969" s="211" t="n"/>
      <c r="D969" s="211" t="n"/>
      <c r="E969" s="221" t="n"/>
      <c r="F969" s="211" t="n"/>
      <c r="G969" s="211" t="n"/>
      <c r="H969" s="211" t="n"/>
      <c r="I969" s="211" t="n"/>
      <c r="J969" s="211" t="n"/>
      <c r="K969" s="211" t="n"/>
      <c r="L969" s="213" t="n"/>
      <c r="M969" s="692" t="n"/>
      <c r="N969" s="692" t="n"/>
      <c r="O969" s="692" t="n"/>
      <c r="P969" s="261" t="n"/>
      <c r="Q969" s="692" t="n"/>
      <c r="R969" s="692" t="n"/>
      <c r="S969" s="692" t="n"/>
      <c r="T969" s="692" t="n"/>
      <c r="U969" s="692" t="n"/>
      <c r="V969" s="692" t="n"/>
      <c r="W969" s="692" t="n"/>
      <c r="X969" s="692" t="n"/>
      <c r="Y969" s="692" t="n"/>
      <c r="Z969" s="692" t="n"/>
      <c r="AA969" s="692" t="n"/>
      <c r="AB969" s="692" t="n"/>
      <c r="AC969" s="692" t="n"/>
      <c r="AD969" s="692" t="n"/>
      <c r="AY969" s="692" t="n"/>
      <c r="AZ969" s="692" t="n"/>
      <c r="BA969" s="692" t="n"/>
      <c r="BB969" s="692" t="n"/>
      <c r="BC969" s="692" t="n"/>
      <c r="BD969" s="692" t="n"/>
      <c r="BE969" s="692" t="n"/>
      <c r="BF969" s="692" t="n"/>
      <c r="BG969" s="692" t="n"/>
      <c r="BH969" s="692" t="n"/>
      <c r="BI969" s="692" t="n"/>
      <c r="BJ969" s="692" t="n"/>
      <c r="BK969" s="692" t="n"/>
      <c r="BL969" s="692" t="n"/>
      <c r="BM969" s="692" t="n"/>
      <c r="BN969" s="692" t="n"/>
      <c r="BO969" s="692" t="n"/>
      <c r="BP969" s="692" t="n"/>
      <c r="BQ969" s="692" t="n"/>
    </row>
    <row r="970">
      <c r="A970" s="218" t="n"/>
      <c r="B970" s="215" t="n"/>
      <c r="C970" s="215" t="n"/>
      <c r="D970" s="215" t="n"/>
      <c r="E970" s="219" t="n"/>
      <c r="F970" s="215" t="n"/>
      <c r="G970" s="215" t="n"/>
      <c r="H970" s="215" t="n"/>
      <c r="I970" s="215" t="n"/>
      <c r="J970" s="215" t="n"/>
      <c r="K970" s="215" t="n"/>
      <c r="L970" s="217" t="n"/>
      <c r="M970" s="692" t="n"/>
      <c r="N970" s="692" t="n"/>
      <c r="O970" s="692" t="n"/>
      <c r="P970" s="261" t="n"/>
      <c r="Q970" s="692" t="n"/>
      <c r="R970" s="692" t="n"/>
      <c r="S970" s="692" t="n"/>
      <c r="T970" s="692" t="n"/>
      <c r="U970" s="692" t="n"/>
      <c r="V970" s="692" t="n"/>
      <c r="W970" s="692" t="n"/>
      <c r="X970" s="692" t="n"/>
      <c r="Y970" s="692" t="n"/>
      <c r="Z970" s="692" t="n"/>
      <c r="AA970" s="692" t="n"/>
      <c r="AB970" s="692" t="n"/>
      <c r="AC970" s="692" t="n"/>
      <c r="AD970" s="692" t="n"/>
      <c r="AY970" s="692" t="n"/>
      <c r="AZ970" s="692" t="n"/>
      <c r="BA970" s="692" t="n"/>
      <c r="BB970" s="692" t="n"/>
      <c r="BC970" s="692" t="n"/>
      <c r="BD970" s="692" t="n"/>
      <c r="BE970" s="692" t="n"/>
      <c r="BF970" s="692" t="n"/>
      <c r="BG970" s="692" t="n"/>
      <c r="BH970" s="692" t="n"/>
      <c r="BI970" s="692" t="n"/>
      <c r="BJ970" s="692" t="n"/>
      <c r="BK970" s="692" t="n"/>
      <c r="BL970" s="692" t="n"/>
      <c r="BM970" s="692" t="n"/>
      <c r="BN970" s="692" t="n"/>
      <c r="BO970" s="692" t="n"/>
      <c r="BP970" s="692" t="n"/>
      <c r="BQ970" s="692" t="n"/>
    </row>
    <row r="971">
      <c r="A971" s="220" t="n"/>
      <c r="B971" s="211" t="n"/>
      <c r="C971" s="211" t="n"/>
      <c r="D971" s="211" t="n"/>
      <c r="E971" s="221" t="n"/>
      <c r="F971" s="211" t="n"/>
      <c r="G971" s="211" t="n"/>
      <c r="H971" s="211" t="n"/>
      <c r="I971" s="211" t="n"/>
      <c r="J971" s="211" t="n"/>
      <c r="K971" s="211" t="n"/>
      <c r="L971" s="213" t="n"/>
      <c r="M971" s="692" t="n"/>
      <c r="N971" s="692" t="n"/>
      <c r="O971" s="692" t="n"/>
      <c r="P971" s="261" t="n"/>
      <c r="Q971" s="692" t="n"/>
      <c r="R971" s="692" t="n"/>
      <c r="S971" s="692" t="n"/>
      <c r="T971" s="692" t="n"/>
      <c r="U971" s="692" t="n"/>
      <c r="V971" s="692" t="n"/>
      <c r="W971" s="692" t="n"/>
      <c r="X971" s="692" t="n"/>
      <c r="Y971" s="692" t="n"/>
      <c r="Z971" s="692" t="n"/>
      <c r="AA971" s="692" t="n"/>
      <c r="AB971" s="692" t="n"/>
      <c r="AC971" s="692" t="n"/>
      <c r="AD971" s="692" t="n"/>
      <c r="AY971" s="692" t="n"/>
      <c r="AZ971" s="692" t="n"/>
      <c r="BA971" s="692" t="n"/>
      <c r="BB971" s="692" t="n"/>
      <c r="BC971" s="692" t="n"/>
      <c r="BD971" s="692" t="n"/>
      <c r="BE971" s="692" t="n"/>
      <c r="BF971" s="692" t="n"/>
      <c r="BG971" s="692" t="n"/>
      <c r="BH971" s="692" t="n"/>
      <c r="BI971" s="692" t="n"/>
      <c r="BJ971" s="692" t="n"/>
      <c r="BK971" s="692" t="n"/>
      <c r="BL971" s="692" t="n"/>
      <c r="BM971" s="692" t="n"/>
      <c r="BN971" s="692" t="n"/>
      <c r="BO971" s="692" t="n"/>
      <c r="BP971" s="692" t="n"/>
      <c r="BQ971" s="692" t="n"/>
    </row>
    <row r="972">
      <c r="A972" s="218" t="n"/>
      <c r="B972" s="215" t="n"/>
      <c r="C972" s="215" t="n"/>
      <c r="D972" s="215" t="n"/>
      <c r="E972" s="219" t="n"/>
      <c r="F972" s="215" t="n"/>
      <c r="G972" s="215" t="n"/>
      <c r="H972" s="215" t="n"/>
      <c r="I972" s="215" t="n"/>
      <c r="J972" s="215" t="n"/>
      <c r="K972" s="215" t="n"/>
      <c r="L972" s="217" t="n"/>
      <c r="M972" s="692" t="n"/>
      <c r="N972" s="692" t="n"/>
      <c r="O972" s="692" t="n"/>
      <c r="P972" s="261" t="n"/>
      <c r="Q972" s="692" t="n"/>
      <c r="R972" s="692" t="n"/>
      <c r="S972" s="692" t="n"/>
      <c r="T972" s="692" t="n"/>
      <c r="U972" s="692" t="n"/>
      <c r="V972" s="692" t="n"/>
      <c r="W972" s="692" t="n"/>
      <c r="X972" s="692" t="n"/>
      <c r="Y972" s="692" t="n"/>
      <c r="Z972" s="692" t="n"/>
      <c r="AA972" s="692" t="n"/>
      <c r="AB972" s="692" t="n"/>
      <c r="AC972" s="692" t="n"/>
      <c r="AD972" s="692" t="n"/>
      <c r="AY972" s="692" t="n"/>
      <c r="AZ972" s="692" t="n"/>
      <c r="BA972" s="692" t="n"/>
      <c r="BB972" s="692" t="n"/>
      <c r="BC972" s="692" t="n"/>
      <c r="BD972" s="692" t="n"/>
      <c r="BE972" s="692" t="n"/>
      <c r="BF972" s="692" t="n"/>
      <c r="BG972" s="692" t="n"/>
      <c r="BH972" s="692" t="n"/>
      <c r="BI972" s="692" t="n"/>
      <c r="BJ972" s="692" t="n"/>
      <c r="BK972" s="692" t="n"/>
      <c r="BL972" s="692" t="n"/>
      <c r="BM972" s="692" t="n"/>
      <c r="BN972" s="692" t="n"/>
      <c r="BO972" s="692" t="n"/>
      <c r="BP972" s="692" t="n"/>
      <c r="BQ972" s="692" t="n"/>
    </row>
    <row r="973">
      <c r="A973" s="220" t="n"/>
      <c r="B973" s="211" t="n"/>
      <c r="C973" s="211" t="n"/>
      <c r="D973" s="211" t="n"/>
      <c r="E973" s="221" t="n"/>
      <c r="F973" s="211" t="n"/>
      <c r="G973" s="211" t="n"/>
      <c r="H973" s="211" t="n"/>
      <c r="I973" s="211" t="n"/>
      <c r="J973" s="211" t="n"/>
      <c r="K973" s="211" t="n"/>
      <c r="L973" s="213" t="n"/>
      <c r="M973" s="692" t="n"/>
      <c r="N973" s="692" t="n"/>
      <c r="O973" s="692" t="n"/>
      <c r="P973" s="261" t="n"/>
      <c r="Q973" s="692" t="n"/>
      <c r="R973" s="692" t="n"/>
      <c r="S973" s="692" t="n"/>
      <c r="T973" s="692" t="n"/>
      <c r="U973" s="692" t="n"/>
      <c r="V973" s="692" t="n"/>
      <c r="W973" s="692" t="n"/>
      <c r="X973" s="692" t="n"/>
      <c r="Y973" s="692" t="n"/>
      <c r="Z973" s="692" t="n"/>
      <c r="AA973" s="692" t="n"/>
      <c r="AB973" s="692" t="n"/>
      <c r="AC973" s="692" t="n"/>
      <c r="AD973" s="692" t="n"/>
      <c r="AY973" s="692" t="n"/>
      <c r="AZ973" s="692" t="n"/>
      <c r="BA973" s="692" t="n"/>
      <c r="BB973" s="692" t="n"/>
      <c r="BC973" s="692" t="n"/>
      <c r="BD973" s="692" t="n"/>
      <c r="BE973" s="692" t="n"/>
      <c r="BF973" s="692" t="n"/>
      <c r="BG973" s="692" t="n"/>
      <c r="BH973" s="692" t="n"/>
      <c r="BI973" s="692" t="n"/>
      <c r="BJ973" s="692" t="n"/>
      <c r="BK973" s="692" t="n"/>
      <c r="BL973" s="692" t="n"/>
      <c r="BM973" s="692" t="n"/>
      <c r="BN973" s="692" t="n"/>
      <c r="BO973" s="692" t="n"/>
      <c r="BP973" s="692" t="n"/>
      <c r="BQ973" s="692" t="n"/>
    </row>
    <row r="974">
      <c r="A974" s="218" t="n"/>
      <c r="B974" s="215" t="n"/>
      <c r="C974" s="215" t="n"/>
      <c r="D974" s="215" t="n"/>
      <c r="E974" s="219" t="n"/>
      <c r="F974" s="215" t="n"/>
      <c r="G974" s="215" t="n"/>
      <c r="H974" s="215" t="n"/>
      <c r="I974" s="215" t="n"/>
      <c r="J974" s="215" t="n"/>
      <c r="K974" s="215" t="n"/>
      <c r="L974" s="217" t="n"/>
      <c r="M974" s="692" t="n"/>
      <c r="N974" s="692" t="n"/>
      <c r="O974" s="692" t="n"/>
      <c r="P974" s="261" t="n"/>
      <c r="Q974" s="692" t="n"/>
      <c r="R974" s="692" t="n"/>
      <c r="S974" s="692" t="n"/>
      <c r="T974" s="692" t="n"/>
      <c r="U974" s="692" t="n"/>
      <c r="V974" s="692" t="n"/>
      <c r="W974" s="692" t="n"/>
      <c r="X974" s="692" t="n"/>
      <c r="Y974" s="692" t="n"/>
      <c r="Z974" s="692" t="n"/>
      <c r="AA974" s="692" t="n"/>
      <c r="AB974" s="692" t="n"/>
      <c r="AC974" s="692" t="n"/>
      <c r="AD974" s="692" t="n"/>
      <c r="AY974" s="692" t="n"/>
      <c r="AZ974" s="692" t="n"/>
      <c r="BA974" s="692" t="n"/>
      <c r="BB974" s="692" t="n"/>
      <c r="BC974" s="692" t="n"/>
      <c r="BD974" s="692" t="n"/>
      <c r="BE974" s="692" t="n"/>
      <c r="BF974" s="692" t="n"/>
      <c r="BG974" s="692" t="n"/>
      <c r="BH974" s="692" t="n"/>
      <c r="BI974" s="692" t="n"/>
      <c r="BJ974" s="692" t="n"/>
      <c r="BK974" s="692" t="n"/>
      <c r="BL974" s="692" t="n"/>
      <c r="BM974" s="692" t="n"/>
      <c r="BN974" s="692" t="n"/>
      <c r="BO974" s="692" t="n"/>
      <c r="BP974" s="692" t="n"/>
      <c r="BQ974" s="692" t="n"/>
    </row>
    <row r="975">
      <c r="A975" s="220" t="n"/>
      <c r="B975" s="211" t="n"/>
      <c r="C975" s="211" t="n"/>
      <c r="D975" s="211" t="n"/>
      <c r="E975" s="221" t="n"/>
      <c r="F975" s="211" t="n"/>
      <c r="G975" s="211" t="n"/>
      <c r="H975" s="211" t="n"/>
      <c r="I975" s="211" t="n"/>
      <c r="J975" s="211" t="n"/>
      <c r="K975" s="211" t="n"/>
      <c r="L975" s="213" t="n"/>
      <c r="M975" s="692" t="n"/>
      <c r="N975" s="692" t="n"/>
      <c r="O975" s="692" t="n"/>
      <c r="P975" s="261" t="n"/>
      <c r="Q975" s="692" t="n"/>
      <c r="R975" s="692" t="n"/>
      <c r="S975" s="692" t="n"/>
      <c r="T975" s="692" t="n"/>
      <c r="U975" s="692" t="n"/>
      <c r="V975" s="692" t="n"/>
      <c r="W975" s="692" t="n"/>
      <c r="X975" s="692" t="n"/>
      <c r="Y975" s="692" t="n"/>
      <c r="Z975" s="692" t="n"/>
      <c r="AA975" s="692" t="n"/>
      <c r="AB975" s="692" t="n"/>
      <c r="AC975" s="692" t="n"/>
      <c r="AD975" s="692" t="n"/>
      <c r="AY975" s="692" t="n"/>
      <c r="AZ975" s="692" t="n"/>
      <c r="BA975" s="692" t="n"/>
      <c r="BB975" s="692" t="n"/>
      <c r="BC975" s="692" t="n"/>
      <c r="BD975" s="692" t="n"/>
      <c r="BE975" s="692" t="n"/>
      <c r="BF975" s="692" t="n"/>
      <c r="BG975" s="692" t="n"/>
      <c r="BH975" s="692" t="n"/>
      <c r="BI975" s="692" t="n"/>
      <c r="BJ975" s="692" t="n"/>
      <c r="BK975" s="692" t="n"/>
      <c r="BL975" s="692" t="n"/>
      <c r="BM975" s="692" t="n"/>
      <c r="BN975" s="692" t="n"/>
      <c r="BO975" s="692" t="n"/>
      <c r="BP975" s="692" t="n"/>
      <c r="BQ975" s="692" t="n"/>
    </row>
    <row r="976">
      <c r="A976" s="218" t="n"/>
      <c r="B976" s="215" t="n"/>
      <c r="C976" s="215" t="n"/>
      <c r="D976" s="215" t="n"/>
      <c r="E976" s="219" t="n"/>
      <c r="F976" s="215" t="n"/>
      <c r="G976" s="215" t="n"/>
      <c r="H976" s="215" t="n"/>
      <c r="I976" s="215" t="n"/>
      <c r="J976" s="215" t="n"/>
      <c r="K976" s="215" t="n"/>
      <c r="L976" s="217" t="n"/>
      <c r="M976" s="692" t="n"/>
      <c r="N976" s="692" t="n"/>
      <c r="O976" s="692" t="n"/>
      <c r="P976" s="261" t="n"/>
      <c r="Q976" s="692" t="n"/>
      <c r="R976" s="692" t="n"/>
      <c r="S976" s="692" t="n"/>
      <c r="T976" s="692" t="n"/>
      <c r="U976" s="692" t="n"/>
      <c r="V976" s="692" t="n"/>
      <c r="W976" s="692" t="n"/>
      <c r="X976" s="692" t="n"/>
      <c r="Y976" s="692" t="n"/>
      <c r="Z976" s="692" t="n"/>
      <c r="AA976" s="692" t="n"/>
      <c r="AB976" s="692" t="n"/>
      <c r="AC976" s="692" t="n"/>
      <c r="AD976" s="692" t="n"/>
      <c r="AY976" s="692" t="n"/>
      <c r="AZ976" s="692" t="n"/>
      <c r="BA976" s="692" t="n"/>
      <c r="BB976" s="692" t="n"/>
      <c r="BC976" s="692" t="n"/>
      <c r="BD976" s="692" t="n"/>
      <c r="BE976" s="692" t="n"/>
      <c r="BF976" s="692" t="n"/>
      <c r="BG976" s="692" t="n"/>
      <c r="BH976" s="692" t="n"/>
      <c r="BI976" s="692" t="n"/>
      <c r="BJ976" s="692" t="n"/>
      <c r="BK976" s="692" t="n"/>
      <c r="BL976" s="692" t="n"/>
      <c r="BM976" s="692" t="n"/>
      <c r="BN976" s="692" t="n"/>
      <c r="BO976" s="692" t="n"/>
      <c r="BP976" s="692" t="n"/>
      <c r="BQ976" s="692" t="n"/>
    </row>
    <row r="977">
      <c r="A977" s="220" t="n"/>
      <c r="B977" s="211" t="n"/>
      <c r="C977" s="211" t="n"/>
      <c r="D977" s="211" t="n"/>
      <c r="E977" s="221" t="n"/>
      <c r="F977" s="211" t="n"/>
      <c r="G977" s="211" t="n"/>
      <c r="H977" s="211" t="n"/>
      <c r="I977" s="211" t="n"/>
      <c r="J977" s="211" t="n"/>
      <c r="K977" s="211" t="n"/>
      <c r="L977" s="213" t="n"/>
      <c r="M977" s="692" t="n"/>
      <c r="N977" s="692" t="n"/>
      <c r="O977" s="692" t="n"/>
      <c r="P977" s="261" t="n"/>
      <c r="Q977" s="692" t="n"/>
      <c r="R977" s="692" t="n"/>
      <c r="S977" s="692" t="n"/>
      <c r="T977" s="692" t="n"/>
      <c r="U977" s="692" t="n"/>
      <c r="V977" s="692" t="n"/>
      <c r="W977" s="692" t="n"/>
      <c r="X977" s="692" t="n"/>
      <c r="Y977" s="692" t="n"/>
      <c r="Z977" s="692" t="n"/>
      <c r="AA977" s="692" t="n"/>
      <c r="AB977" s="692" t="n"/>
      <c r="AC977" s="692" t="n"/>
      <c r="AD977" s="692" t="n"/>
      <c r="AY977" s="692" t="n"/>
      <c r="AZ977" s="692" t="n"/>
      <c r="BA977" s="692" t="n"/>
      <c r="BB977" s="692" t="n"/>
      <c r="BC977" s="692" t="n"/>
      <c r="BD977" s="692" t="n"/>
      <c r="BE977" s="692" t="n"/>
      <c r="BF977" s="692" t="n"/>
      <c r="BG977" s="692" t="n"/>
      <c r="BH977" s="692" t="n"/>
      <c r="BI977" s="692" t="n"/>
      <c r="BJ977" s="692" t="n"/>
      <c r="BK977" s="692" t="n"/>
      <c r="BL977" s="692" t="n"/>
      <c r="BM977" s="692" t="n"/>
      <c r="BN977" s="692" t="n"/>
      <c r="BO977" s="692" t="n"/>
      <c r="BP977" s="692" t="n"/>
      <c r="BQ977" s="692" t="n"/>
    </row>
    <row r="978">
      <c r="A978" s="218" t="n"/>
      <c r="B978" s="215" t="n"/>
      <c r="C978" s="215" t="n"/>
      <c r="D978" s="215" t="n"/>
      <c r="E978" s="219" t="n"/>
      <c r="F978" s="215" t="n"/>
      <c r="G978" s="215" t="n"/>
      <c r="H978" s="215" t="n"/>
      <c r="I978" s="215" t="n"/>
      <c r="J978" s="215" t="n"/>
      <c r="K978" s="215" t="n"/>
      <c r="L978" s="217" t="n"/>
      <c r="M978" s="692" t="n"/>
      <c r="N978" s="692" t="n"/>
      <c r="O978" s="692" t="n"/>
      <c r="P978" s="261" t="n"/>
      <c r="Q978" s="692" t="n"/>
      <c r="R978" s="692" t="n"/>
      <c r="S978" s="692" t="n"/>
      <c r="T978" s="692" t="n"/>
      <c r="U978" s="692" t="n"/>
      <c r="V978" s="692" t="n"/>
      <c r="W978" s="692" t="n"/>
      <c r="X978" s="692" t="n"/>
      <c r="Y978" s="692" t="n"/>
      <c r="Z978" s="692" t="n"/>
      <c r="AA978" s="692" t="n"/>
      <c r="AB978" s="692" t="n"/>
      <c r="AC978" s="692" t="n"/>
      <c r="AD978" s="692" t="n"/>
      <c r="AY978" s="692" t="n"/>
      <c r="AZ978" s="692" t="n"/>
      <c r="BA978" s="692" t="n"/>
      <c r="BB978" s="692" t="n"/>
      <c r="BC978" s="692" t="n"/>
      <c r="BD978" s="692" t="n"/>
      <c r="BE978" s="692" t="n"/>
      <c r="BF978" s="692" t="n"/>
      <c r="BG978" s="692" t="n"/>
      <c r="BH978" s="692" t="n"/>
      <c r="BI978" s="692" t="n"/>
      <c r="BJ978" s="692" t="n"/>
      <c r="BK978" s="692" t="n"/>
      <c r="BL978" s="692" t="n"/>
      <c r="BM978" s="692" t="n"/>
      <c r="BN978" s="692" t="n"/>
      <c r="BO978" s="692" t="n"/>
      <c r="BP978" s="692" t="n"/>
      <c r="BQ978" s="692" t="n"/>
    </row>
    <row r="979">
      <c r="A979" s="220" t="n"/>
      <c r="B979" s="211" t="n"/>
      <c r="C979" s="211" t="n"/>
      <c r="D979" s="211" t="n"/>
      <c r="E979" s="221" t="n"/>
      <c r="F979" s="211" t="n"/>
      <c r="G979" s="211" t="n"/>
      <c r="H979" s="211" t="n"/>
      <c r="I979" s="211" t="n"/>
      <c r="J979" s="211" t="n"/>
      <c r="K979" s="211" t="n"/>
      <c r="L979" s="213" t="n"/>
      <c r="M979" s="692" t="n"/>
      <c r="N979" s="692" t="n"/>
      <c r="O979" s="692" t="n"/>
      <c r="P979" s="261" t="n"/>
      <c r="Q979" s="692" t="n"/>
      <c r="R979" s="692" t="n"/>
      <c r="S979" s="692" t="n"/>
      <c r="T979" s="692" t="n"/>
      <c r="U979" s="692" t="n"/>
      <c r="V979" s="692" t="n"/>
      <c r="W979" s="692" t="n"/>
      <c r="X979" s="692" t="n"/>
      <c r="Y979" s="692" t="n"/>
      <c r="Z979" s="692" t="n"/>
      <c r="AA979" s="692" t="n"/>
      <c r="AB979" s="692" t="n"/>
      <c r="AC979" s="692" t="n"/>
      <c r="AD979" s="692" t="n"/>
      <c r="AY979" s="692" t="n"/>
      <c r="AZ979" s="692" t="n"/>
      <c r="BA979" s="692" t="n"/>
      <c r="BB979" s="692" t="n"/>
      <c r="BC979" s="692" t="n"/>
      <c r="BD979" s="692" t="n"/>
      <c r="BE979" s="692" t="n"/>
      <c r="BF979" s="692" t="n"/>
      <c r="BG979" s="692" t="n"/>
      <c r="BH979" s="692" t="n"/>
      <c r="BI979" s="692" t="n"/>
      <c r="BJ979" s="692" t="n"/>
      <c r="BK979" s="692" t="n"/>
      <c r="BL979" s="692" t="n"/>
      <c r="BM979" s="692" t="n"/>
      <c r="BN979" s="692" t="n"/>
      <c r="BO979" s="692" t="n"/>
      <c r="BP979" s="692" t="n"/>
      <c r="BQ979" s="692" t="n"/>
    </row>
    <row r="980">
      <c r="A980" s="218" t="n"/>
      <c r="B980" s="215" t="n"/>
      <c r="C980" s="215" t="n"/>
      <c r="D980" s="215" t="n"/>
      <c r="E980" s="219" t="n"/>
      <c r="F980" s="215" t="n"/>
      <c r="G980" s="215" t="n"/>
      <c r="H980" s="215" t="n"/>
      <c r="I980" s="215" t="n"/>
      <c r="J980" s="215" t="n"/>
      <c r="K980" s="215" t="n"/>
      <c r="L980" s="217" t="n"/>
      <c r="M980" s="692" t="n"/>
      <c r="N980" s="692" t="n"/>
      <c r="O980" s="692" t="n"/>
      <c r="P980" s="261" t="n"/>
      <c r="Q980" s="692" t="n"/>
      <c r="R980" s="692" t="n"/>
      <c r="S980" s="692" t="n"/>
      <c r="T980" s="692" t="n"/>
      <c r="U980" s="692" t="n"/>
      <c r="V980" s="692" t="n"/>
      <c r="W980" s="692" t="n"/>
      <c r="X980" s="692" t="n"/>
      <c r="Y980" s="692" t="n"/>
      <c r="Z980" s="692" t="n"/>
      <c r="AA980" s="692" t="n"/>
      <c r="AB980" s="692" t="n"/>
      <c r="AC980" s="692" t="n"/>
      <c r="AD980" s="692" t="n"/>
      <c r="AY980" s="692" t="n"/>
      <c r="AZ980" s="692" t="n"/>
      <c r="BA980" s="692" t="n"/>
      <c r="BB980" s="692" t="n"/>
      <c r="BC980" s="692" t="n"/>
      <c r="BD980" s="692" t="n"/>
      <c r="BE980" s="692" t="n"/>
      <c r="BF980" s="692" t="n"/>
      <c r="BG980" s="692" t="n"/>
      <c r="BH980" s="692" t="n"/>
      <c r="BI980" s="692" t="n"/>
      <c r="BJ980" s="692" t="n"/>
      <c r="BK980" s="692" t="n"/>
      <c r="BL980" s="692" t="n"/>
      <c r="BM980" s="692" t="n"/>
      <c r="BN980" s="692" t="n"/>
      <c r="BO980" s="692" t="n"/>
      <c r="BP980" s="692" t="n"/>
      <c r="BQ980" s="692" t="n"/>
    </row>
    <row r="981">
      <c r="A981" s="220" t="n"/>
      <c r="B981" s="211" t="n"/>
      <c r="C981" s="211" t="n"/>
      <c r="D981" s="211" t="n"/>
      <c r="E981" s="221" t="n"/>
      <c r="F981" s="211" t="n"/>
      <c r="G981" s="211" t="n"/>
      <c r="H981" s="211" t="n"/>
      <c r="I981" s="211" t="n"/>
      <c r="J981" s="211" t="n"/>
      <c r="K981" s="211" t="n"/>
      <c r="L981" s="213" t="n"/>
      <c r="M981" s="692" t="n"/>
      <c r="N981" s="692" t="n"/>
      <c r="O981" s="692" t="n"/>
      <c r="P981" s="261" t="n"/>
      <c r="Q981" s="692" t="n"/>
      <c r="R981" s="692" t="n"/>
      <c r="S981" s="692" t="n"/>
      <c r="T981" s="692" t="n"/>
      <c r="U981" s="692" t="n"/>
      <c r="V981" s="692" t="n"/>
      <c r="W981" s="692" t="n"/>
      <c r="X981" s="692" t="n"/>
      <c r="Y981" s="692" t="n"/>
      <c r="Z981" s="692" t="n"/>
      <c r="AA981" s="692" t="n"/>
      <c r="AB981" s="692" t="n"/>
      <c r="AC981" s="692" t="n"/>
      <c r="AD981" s="692" t="n"/>
      <c r="AY981" s="692" t="n"/>
      <c r="AZ981" s="692" t="n"/>
      <c r="BA981" s="692" t="n"/>
      <c r="BB981" s="692" t="n"/>
      <c r="BC981" s="692" t="n"/>
      <c r="BD981" s="692" t="n"/>
      <c r="BE981" s="692" t="n"/>
      <c r="BF981" s="692" t="n"/>
      <c r="BG981" s="692" t="n"/>
      <c r="BH981" s="692" t="n"/>
      <c r="BI981" s="692" t="n"/>
      <c r="BJ981" s="692" t="n"/>
      <c r="BK981" s="692" t="n"/>
      <c r="BL981" s="692" t="n"/>
      <c r="BM981" s="692" t="n"/>
      <c r="BN981" s="692" t="n"/>
      <c r="BO981" s="692" t="n"/>
      <c r="BP981" s="692" t="n"/>
      <c r="BQ981" s="692" t="n"/>
    </row>
    <row r="982">
      <c r="A982" s="218" t="n"/>
      <c r="B982" s="215" t="n"/>
      <c r="C982" s="215" t="n"/>
      <c r="D982" s="215" t="n"/>
      <c r="E982" s="219" t="n"/>
      <c r="F982" s="215" t="n"/>
      <c r="G982" s="215" t="n"/>
      <c r="H982" s="215" t="n"/>
      <c r="I982" s="215" t="n"/>
      <c r="J982" s="215" t="n"/>
      <c r="K982" s="215" t="n"/>
      <c r="L982" s="217" t="n"/>
      <c r="M982" s="692" t="n"/>
      <c r="N982" s="692" t="n"/>
      <c r="O982" s="692" t="n"/>
      <c r="P982" s="261" t="n"/>
      <c r="Q982" s="692" t="n"/>
      <c r="R982" s="692" t="n"/>
      <c r="S982" s="692" t="n"/>
      <c r="T982" s="692" t="n"/>
      <c r="U982" s="692" t="n"/>
      <c r="V982" s="692" t="n"/>
      <c r="W982" s="692" t="n"/>
      <c r="X982" s="692" t="n"/>
      <c r="Y982" s="692" t="n"/>
      <c r="Z982" s="692" t="n"/>
      <c r="AA982" s="692" t="n"/>
      <c r="AB982" s="692" t="n"/>
      <c r="AC982" s="692" t="n"/>
      <c r="AD982" s="692" t="n"/>
      <c r="AY982" s="692" t="n"/>
      <c r="AZ982" s="692" t="n"/>
      <c r="BA982" s="692" t="n"/>
      <c r="BB982" s="692" t="n"/>
      <c r="BC982" s="692" t="n"/>
      <c r="BD982" s="692" t="n"/>
      <c r="BE982" s="692" t="n"/>
      <c r="BF982" s="692" t="n"/>
      <c r="BG982" s="692" t="n"/>
      <c r="BH982" s="692" t="n"/>
      <c r="BI982" s="692" t="n"/>
      <c r="BJ982" s="692" t="n"/>
      <c r="BK982" s="692" t="n"/>
      <c r="BL982" s="692" t="n"/>
      <c r="BM982" s="692" t="n"/>
      <c r="BN982" s="692" t="n"/>
      <c r="BO982" s="692" t="n"/>
      <c r="BP982" s="692" t="n"/>
      <c r="BQ982" s="692" t="n"/>
    </row>
    <row r="983">
      <c r="A983" s="220" t="n"/>
      <c r="B983" s="211" t="n"/>
      <c r="C983" s="211" t="n"/>
      <c r="D983" s="211" t="n"/>
      <c r="E983" s="221" t="n"/>
      <c r="F983" s="211" t="n"/>
      <c r="G983" s="211" t="n"/>
      <c r="H983" s="211" t="n"/>
      <c r="I983" s="211" t="n"/>
      <c r="J983" s="211" t="n"/>
      <c r="K983" s="211" t="n"/>
      <c r="L983" s="213" t="n"/>
      <c r="M983" s="692" t="n"/>
      <c r="N983" s="692" t="n"/>
      <c r="O983" s="692" t="n"/>
      <c r="P983" s="261" t="n"/>
      <c r="Q983" s="692" t="n"/>
      <c r="R983" s="692" t="n"/>
      <c r="S983" s="692" t="n"/>
      <c r="T983" s="692" t="n"/>
      <c r="U983" s="692" t="n"/>
      <c r="V983" s="692" t="n"/>
      <c r="W983" s="692" t="n"/>
      <c r="X983" s="692" t="n"/>
      <c r="Y983" s="692" t="n"/>
      <c r="Z983" s="692" t="n"/>
      <c r="AA983" s="692" t="n"/>
      <c r="AB983" s="692" t="n"/>
      <c r="AC983" s="692" t="n"/>
      <c r="AD983" s="692" t="n"/>
      <c r="AY983" s="692" t="n"/>
      <c r="AZ983" s="692" t="n"/>
      <c r="BA983" s="692" t="n"/>
      <c r="BB983" s="692" t="n"/>
      <c r="BC983" s="692" t="n"/>
      <c r="BD983" s="692" t="n"/>
      <c r="BE983" s="692" t="n"/>
      <c r="BF983" s="692" t="n"/>
      <c r="BG983" s="692" t="n"/>
      <c r="BH983" s="692" t="n"/>
      <c r="BI983" s="692" t="n"/>
      <c r="BJ983" s="692" t="n"/>
      <c r="BK983" s="692" t="n"/>
      <c r="BL983" s="692" t="n"/>
      <c r="BM983" s="692" t="n"/>
      <c r="BN983" s="692" t="n"/>
      <c r="BO983" s="692" t="n"/>
      <c r="BP983" s="692" t="n"/>
      <c r="BQ983" s="692" t="n"/>
    </row>
    <row r="984">
      <c r="A984" s="218" t="n"/>
      <c r="B984" s="215" t="n"/>
      <c r="C984" s="215" t="n"/>
      <c r="D984" s="215" t="n"/>
      <c r="E984" s="219" t="n"/>
      <c r="F984" s="215" t="n"/>
      <c r="G984" s="215" t="n"/>
      <c r="H984" s="215" t="n"/>
      <c r="I984" s="215" t="n"/>
      <c r="J984" s="215" t="n"/>
      <c r="K984" s="215" t="n"/>
      <c r="L984" s="217" t="n"/>
      <c r="M984" s="692" t="n"/>
      <c r="N984" s="692" t="n"/>
      <c r="O984" s="692" t="n"/>
      <c r="P984" s="261" t="n"/>
      <c r="Q984" s="692" t="n"/>
      <c r="R984" s="692" t="n"/>
      <c r="S984" s="692" t="n"/>
      <c r="T984" s="692" t="n"/>
      <c r="U984" s="692" t="n"/>
      <c r="V984" s="692" t="n"/>
      <c r="W984" s="692" t="n"/>
      <c r="X984" s="692" t="n"/>
      <c r="Y984" s="692" t="n"/>
      <c r="Z984" s="692" t="n"/>
      <c r="AA984" s="692" t="n"/>
      <c r="AB984" s="692" t="n"/>
      <c r="AC984" s="692" t="n"/>
      <c r="AD984" s="692" t="n"/>
      <c r="AY984" s="692" t="n"/>
      <c r="AZ984" s="692" t="n"/>
      <c r="BA984" s="692" t="n"/>
      <c r="BB984" s="692" t="n"/>
      <c r="BC984" s="692" t="n"/>
      <c r="BD984" s="692" t="n"/>
      <c r="BE984" s="692" t="n"/>
      <c r="BF984" s="692" t="n"/>
      <c r="BG984" s="692" t="n"/>
      <c r="BH984" s="692" t="n"/>
      <c r="BI984" s="692" t="n"/>
      <c r="BJ984" s="692" t="n"/>
      <c r="BK984" s="692" t="n"/>
      <c r="BL984" s="692" t="n"/>
      <c r="BM984" s="692" t="n"/>
      <c r="BN984" s="692" t="n"/>
      <c r="BO984" s="692" t="n"/>
      <c r="BP984" s="692" t="n"/>
      <c r="BQ984" s="692" t="n"/>
    </row>
    <row r="985">
      <c r="A985" s="220" t="n"/>
      <c r="B985" s="211" t="n"/>
      <c r="C985" s="211" t="n"/>
      <c r="D985" s="211" t="n"/>
      <c r="E985" s="221" t="n"/>
      <c r="F985" s="211" t="n"/>
      <c r="G985" s="211" t="n"/>
      <c r="H985" s="211" t="n"/>
      <c r="I985" s="211" t="n"/>
      <c r="J985" s="211" t="n"/>
      <c r="K985" s="211" t="n"/>
      <c r="L985" s="213" t="n"/>
      <c r="M985" s="692" t="n"/>
      <c r="N985" s="692" t="n"/>
      <c r="O985" s="692" t="n"/>
      <c r="P985" s="261" t="n"/>
      <c r="Q985" s="692" t="n"/>
      <c r="R985" s="692" t="n"/>
      <c r="S985" s="692" t="n"/>
      <c r="T985" s="692" t="n"/>
      <c r="U985" s="692" t="n"/>
      <c r="V985" s="692" t="n"/>
      <c r="W985" s="692" t="n"/>
      <c r="X985" s="692" t="n"/>
      <c r="Y985" s="692" t="n"/>
      <c r="Z985" s="692" t="n"/>
      <c r="AA985" s="692" t="n"/>
      <c r="AB985" s="692" t="n"/>
      <c r="AC985" s="692" t="n"/>
      <c r="AD985" s="692" t="n"/>
      <c r="AY985" s="692" t="n"/>
      <c r="AZ985" s="692" t="n"/>
      <c r="BA985" s="692" t="n"/>
      <c r="BB985" s="692" t="n"/>
      <c r="BC985" s="692" t="n"/>
      <c r="BD985" s="692" t="n"/>
      <c r="BE985" s="692" t="n"/>
      <c r="BF985" s="692" t="n"/>
      <c r="BG985" s="692" t="n"/>
      <c r="BH985" s="692" t="n"/>
      <c r="BI985" s="692" t="n"/>
      <c r="BJ985" s="692" t="n"/>
      <c r="BK985" s="692" t="n"/>
      <c r="BL985" s="692" t="n"/>
      <c r="BM985" s="692" t="n"/>
      <c r="BN985" s="692" t="n"/>
      <c r="BO985" s="692" t="n"/>
      <c r="BP985" s="692" t="n"/>
      <c r="BQ985" s="692" t="n"/>
    </row>
    <row r="986">
      <c r="A986" s="218" t="n"/>
      <c r="B986" s="215" t="n"/>
      <c r="C986" s="215" t="n"/>
      <c r="D986" s="215" t="n"/>
      <c r="E986" s="219" t="n"/>
      <c r="F986" s="215" t="n"/>
      <c r="G986" s="215" t="n"/>
      <c r="H986" s="215" t="n"/>
      <c r="I986" s="215" t="n"/>
      <c r="J986" s="215" t="n"/>
      <c r="K986" s="215" t="n"/>
      <c r="L986" s="217" t="n"/>
      <c r="M986" s="692" t="n"/>
      <c r="N986" s="692" t="n"/>
      <c r="O986" s="692" t="n"/>
      <c r="P986" s="261" t="n"/>
      <c r="Q986" s="692" t="n"/>
      <c r="R986" s="692" t="n"/>
      <c r="S986" s="692" t="n"/>
      <c r="T986" s="692" t="n"/>
      <c r="U986" s="692" t="n"/>
      <c r="V986" s="692" t="n"/>
      <c r="W986" s="692" t="n"/>
      <c r="X986" s="692" t="n"/>
      <c r="Y986" s="692" t="n"/>
      <c r="Z986" s="692" t="n"/>
      <c r="AA986" s="692" t="n"/>
      <c r="AB986" s="692" t="n"/>
      <c r="AC986" s="692" t="n"/>
      <c r="AD986" s="692" t="n"/>
      <c r="AY986" s="692" t="n"/>
      <c r="AZ986" s="692" t="n"/>
      <c r="BA986" s="692" t="n"/>
      <c r="BB986" s="692" t="n"/>
      <c r="BC986" s="692" t="n"/>
      <c r="BD986" s="692" t="n"/>
      <c r="BE986" s="692" t="n"/>
      <c r="BF986" s="692" t="n"/>
      <c r="BG986" s="692" t="n"/>
      <c r="BH986" s="692" t="n"/>
      <c r="BI986" s="692" t="n"/>
      <c r="BJ986" s="692" t="n"/>
      <c r="BK986" s="692" t="n"/>
      <c r="BL986" s="692" t="n"/>
      <c r="BM986" s="692" t="n"/>
      <c r="BN986" s="692" t="n"/>
      <c r="BO986" s="692" t="n"/>
      <c r="BP986" s="692" t="n"/>
      <c r="BQ986" s="692" t="n"/>
    </row>
    <row r="987">
      <c r="A987" s="220" t="n"/>
      <c r="B987" s="211" t="n"/>
      <c r="C987" s="211" t="n"/>
      <c r="D987" s="211" t="n"/>
      <c r="E987" s="221" t="n"/>
      <c r="F987" s="211" t="n"/>
      <c r="G987" s="211" t="n"/>
      <c r="H987" s="211" t="n"/>
      <c r="I987" s="211" t="n"/>
      <c r="J987" s="211" t="n"/>
      <c r="K987" s="211" t="n"/>
      <c r="L987" s="213" t="n"/>
      <c r="M987" s="692" t="n"/>
      <c r="N987" s="692" t="n"/>
      <c r="O987" s="692" t="n"/>
      <c r="P987" s="261" t="n"/>
      <c r="Q987" s="692" t="n"/>
      <c r="R987" s="692" t="n"/>
      <c r="S987" s="692" t="n"/>
      <c r="T987" s="692" t="n"/>
      <c r="U987" s="692" t="n"/>
      <c r="V987" s="692" t="n"/>
      <c r="W987" s="692" t="n"/>
      <c r="X987" s="692" t="n"/>
      <c r="Y987" s="692" t="n"/>
      <c r="Z987" s="692" t="n"/>
      <c r="AA987" s="692" t="n"/>
      <c r="AB987" s="692" t="n"/>
      <c r="AC987" s="692" t="n"/>
      <c r="AD987" s="692" t="n"/>
      <c r="AY987" s="692" t="n"/>
      <c r="AZ987" s="692" t="n"/>
      <c r="BA987" s="692" t="n"/>
      <c r="BB987" s="692" t="n"/>
      <c r="BC987" s="692" t="n"/>
      <c r="BD987" s="692" t="n"/>
      <c r="BE987" s="692" t="n"/>
      <c r="BF987" s="692" t="n"/>
      <c r="BG987" s="692" t="n"/>
      <c r="BH987" s="692" t="n"/>
      <c r="BI987" s="692" t="n"/>
      <c r="BJ987" s="692" t="n"/>
      <c r="BK987" s="692" t="n"/>
      <c r="BL987" s="692" t="n"/>
      <c r="BM987" s="692" t="n"/>
      <c r="BN987" s="692" t="n"/>
      <c r="BO987" s="692" t="n"/>
      <c r="BP987" s="692" t="n"/>
      <c r="BQ987" s="692" t="n"/>
    </row>
    <row r="988">
      <c r="A988" s="218" t="n"/>
      <c r="B988" s="215" t="n"/>
      <c r="C988" s="215" t="n"/>
      <c r="D988" s="215" t="n"/>
      <c r="E988" s="219" t="n"/>
      <c r="F988" s="215" t="n"/>
      <c r="G988" s="215" t="n"/>
      <c r="H988" s="215" t="n"/>
      <c r="I988" s="215" t="n"/>
      <c r="J988" s="215" t="n"/>
      <c r="K988" s="215" t="n"/>
      <c r="L988" s="217" t="n"/>
      <c r="M988" s="692" t="n"/>
      <c r="N988" s="692" t="n"/>
      <c r="O988" s="692" t="n"/>
      <c r="P988" s="261" t="n"/>
      <c r="Q988" s="692" t="n"/>
      <c r="R988" s="692" t="n"/>
      <c r="S988" s="692" t="n"/>
      <c r="T988" s="692" t="n"/>
      <c r="U988" s="692" t="n"/>
      <c r="V988" s="692" t="n"/>
      <c r="W988" s="692" t="n"/>
      <c r="X988" s="692" t="n"/>
      <c r="Y988" s="692" t="n"/>
      <c r="Z988" s="692" t="n"/>
      <c r="AA988" s="692" t="n"/>
      <c r="AB988" s="692" t="n"/>
      <c r="AC988" s="692" t="n"/>
      <c r="AD988" s="692" t="n"/>
      <c r="AY988" s="692" t="n"/>
      <c r="AZ988" s="692" t="n"/>
      <c r="BA988" s="692" t="n"/>
      <c r="BB988" s="692" t="n"/>
      <c r="BC988" s="692" t="n"/>
      <c r="BD988" s="692" t="n"/>
      <c r="BE988" s="692" t="n"/>
      <c r="BF988" s="692" t="n"/>
      <c r="BG988" s="692" t="n"/>
      <c r="BH988" s="692" t="n"/>
      <c r="BI988" s="692" t="n"/>
      <c r="BJ988" s="692" t="n"/>
      <c r="BK988" s="692" t="n"/>
      <c r="BL988" s="692" t="n"/>
      <c r="BM988" s="692" t="n"/>
      <c r="BN988" s="692" t="n"/>
      <c r="BO988" s="692" t="n"/>
      <c r="BP988" s="692" t="n"/>
      <c r="BQ988" s="692" t="n"/>
    </row>
    <row r="989">
      <c r="A989" s="220" t="n"/>
      <c r="B989" s="211" t="n"/>
      <c r="C989" s="211" t="n"/>
      <c r="D989" s="211" t="n"/>
      <c r="E989" s="221" t="n"/>
      <c r="F989" s="211" t="n"/>
      <c r="G989" s="211" t="n"/>
      <c r="H989" s="211" t="n"/>
      <c r="I989" s="211" t="n"/>
      <c r="J989" s="211" t="n"/>
      <c r="K989" s="211" t="n"/>
      <c r="L989" s="213" t="n"/>
      <c r="M989" s="692" t="n"/>
      <c r="N989" s="692" t="n"/>
      <c r="O989" s="692" t="n"/>
      <c r="P989" s="261" t="n"/>
      <c r="Q989" s="692" t="n"/>
      <c r="R989" s="692" t="n"/>
      <c r="S989" s="692" t="n"/>
      <c r="T989" s="692" t="n"/>
      <c r="U989" s="692" t="n"/>
      <c r="V989" s="692" t="n"/>
      <c r="W989" s="692" t="n"/>
      <c r="X989" s="692" t="n"/>
      <c r="Y989" s="692" t="n"/>
      <c r="Z989" s="692" t="n"/>
      <c r="AA989" s="692" t="n"/>
      <c r="AB989" s="692" t="n"/>
      <c r="AC989" s="692" t="n"/>
      <c r="AD989" s="692" t="n"/>
      <c r="AY989" s="692" t="n"/>
      <c r="AZ989" s="692" t="n"/>
      <c r="BA989" s="692" t="n"/>
      <c r="BB989" s="692" t="n"/>
      <c r="BC989" s="692" t="n"/>
      <c r="BD989" s="692" t="n"/>
      <c r="BE989" s="692" t="n"/>
      <c r="BF989" s="692" t="n"/>
      <c r="BG989" s="692" t="n"/>
      <c r="BH989" s="692" t="n"/>
      <c r="BI989" s="692" t="n"/>
      <c r="BJ989" s="692" t="n"/>
      <c r="BK989" s="692" t="n"/>
      <c r="BL989" s="692" t="n"/>
      <c r="BM989" s="692" t="n"/>
      <c r="BN989" s="692" t="n"/>
      <c r="BO989" s="692" t="n"/>
      <c r="BP989" s="692" t="n"/>
      <c r="BQ989" s="692" t="n"/>
    </row>
    <row r="990">
      <c r="A990" s="218" t="n"/>
      <c r="B990" s="215" t="n"/>
      <c r="C990" s="215" t="n"/>
      <c r="D990" s="215" t="n"/>
      <c r="E990" s="219" t="n"/>
      <c r="F990" s="215" t="n"/>
      <c r="G990" s="215" t="n"/>
      <c r="H990" s="215" t="n"/>
      <c r="I990" s="215" t="n"/>
      <c r="J990" s="215" t="n"/>
      <c r="K990" s="215" t="n"/>
      <c r="L990" s="217" t="n"/>
      <c r="M990" s="692" t="n"/>
      <c r="N990" s="692" t="n"/>
      <c r="O990" s="692" t="n"/>
      <c r="P990" s="261" t="n"/>
      <c r="Q990" s="692" t="n"/>
      <c r="R990" s="692" t="n"/>
      <c r="S990" s="692" t="n"/>
      <c r="T990" s="692" t="n"/>
      <c r="U990" s="692" t="n"/>
      <c r="V990" s="692" t="n"/>
      <c r="W990" s="692" t="n"/>
      <c r="X990" s="692" t="n"/>
      <c r="Y990" s="692" t="n"/>
      <c r="Z990" s="692" t="n"/>
      <c r="AA990" s="692" t="n"/>
      <c r="AB990" s="692" t="n"/>
      <c r="AC990" s="692" t="n"/>
      <c r="AD990" s="692" t="n"/>
      <c r="AY990" s="692" t="n"/>
      <c r="AZ990" s="692" t="n"/>
      <c r="BA990" s="692" t="n"/>
      <c r="BB990" s="692" t="n"/>
      <c r="BC990" s="692" t="n"/>
      <c r="BD990" s="692" t="n"/>
      <c r="BE990" s="692" t="n"/>
      <c r="BF990" s="692" t="n"/>
      <c r="BG990" s="692" t="n"/>
      <c r="BH990" s="692" t="n"/>
      <c r="BI990" s="692" t="n"/>
      <c r="BJ990" s="692" t="n"/>
      <c r="BK990" s="692" t="n"/>
      <c r="BL990" s="692" t="n"/>
      <c r="BM990" s="692" t="n"/>
      <c r="BN990" s="692" t="n"/>
      <c r="BO990" s="692" t="n"/>
      <c r="BP990" s="692" t="n"/>
      <c r="BQ990" s="692" t="n"/>
    </row>
    <row r="991">
      <c r="A991" s="220" t="n"/>
      <c r="B991" s="211" t="n"/>
      <c r="C991" s="211" t="n"/>
      <c r="D991" s="211" t="n"/>
      <c r="E991" s="221" t="n"/>
      <c r="F991" s="211" t="n"/>
      <c r="G991" s="211" t="n"/>
      <c r="H991" s="211" t="n"/>
      <c r="I991" s="211" t="n"/>
      <c r="J991" s="211" t="n"/>
      <c r="K991" s="211" t="n"/>
      <c r="L991" s="213" t="n"/>
      <c r="M991" s="692" t="n"/>
      <c r="N991" s="692" t="n"/>
      <c r="O991" s="692" t="n"/>
      <c r="P991" s="261" t="n"/>
      <c r="Q991" s="692" t="n"/>
      <c r="R991" s="692" t="n"/>
      <c r="S991" s="692" t="n"/>
      <c r="T991" s="692" t="n"/>
      <c r="U991" s="692" t="n"/>
      <c r="V991" s="692" t="n"/>
      <c r="W991" s="692" t="n"/>
      <c r="X991" s="692" t="n"/>
      <c r="Y991" s="692" t="n"/>
      <c r="Z991" s="692" t="n"/>
      <c r="AA991" s="692" t="n"/>
      <c r="AB991" s="692" t="n"/>
      <c r="AC991" s="692" t="n"/>
      <c r="AD991" s="692" t="n"/>
      <c r="AY991" s="692" t="n"/>
      <c r="AZ991" s="692" t="n"/>
      <c r="BA991" s="692" t="n"/>
      <c r="BB991" s="692" t="n"/>
      <c r="BC991" s="692" t="n"/>
      <c r="BD991" s="692" t="n"/>
      <c r="BE991" s="692" t="n"/>
      <c r="BF991" s="692" t="n"/>
      <c r="BG991" s="692" t="n"/>
      <c r="BH991" s="692" t="n"/>
      <c r="BI991" s="692" t="n"/>
      <c r="BJ991" s="692" t="n"/>
      <c r="BK991" s="692" t="n"/>
      <c r="BL991" s="692" t="n"/>
      <c r="BM991" s="692" t="n"/>
      <c r="BN991" s="692" t="n"/>
      <c r="BO991" s="692" t="n"/>
      <c r="BP991" s="692" t="n"/>
      <c r="BQ991" s="692" t="n"/>
    </row>
    <row r="992">
      <c r="A992" s="218" t="n"/>
      <c r="B992" s="215" t="n"/>
      <c r="C992" s="215" t="n"/>
      <c r="D992" s="215" t="n"/>
      <c r="E992" s="219" t="n"/>
      <c r="F992" s="215" t="n"/>
      <c r="G992" s="215" t="n"/>
      <c r="H992" s="215" t="n"/>
      <c r="I992" s="215" t="n"/>
      <c r="J992" s="215" t="n"/>
      <c r="K992" s="215" t="n"/>
      <c r="L992" s="217" t="n"/>
      <c r="M992" s="692" t="n"/>
      <c r="N992" s="692" t="n"/>
      <c r="O992" s="692" t="n"/>
      <c r="P992" s="261" t="n"/>
      <c r="Q992" s="692" t="n"/>
      <c r="R992" s="692" t="n"/>
      <c r="S992" s="692" t="n"/>
      <c r="T992" s="692" t="n"/>
      <c r="U992" s="692" t="n"/>
      <c r="V992" s="692" t="n"/>
      <c r="W992" s="692" t="n"/>
      <c r="X992" s="692" t="n"/>
      <c r="Y992" s="692" t="n"/>
      <c r="Z992" s="692" t="n"/>
      <c r="AA992" s="692" t="n"/>
      <c r="AB992" s="692" t="n"/>
      <c r="AC992" s="692" t="n"/>
      <c r="AD992" s="692" t="n"/>
      <c r="AY992" s="692" t="n"/>
      <c r="AZ992" s="692" t="n"/>
      <c r="BA992" s="692" t="n"/>
      <c r="BB992" s="692" t="n"/>
      <c r="BC992" s="692" t="n"/>
      <c r="BD992" s="692" t="n"/>
      <c r="BE992" s="692" t="n"/>
      <c r="BF992" s="692" t="n"/>
      <c r="BG992" s="692" t="n"/>
      <c r="BH992" s="692" t="n"/>
      <c r="BI992" s="692" t="n"/>
      <c r="BJ992" s="692" t="n"/>
      <c r="BK992" s="692" t="n"/>
      <c r="BL992" s="692" t="n"/>
      <c r="BM992" s="692" t="n"/>
      <c r="BN992" s="692" t="n"/>
      <c r="BO992" s="692" t="n"/>
      <c r="BP992" s="692" t="n"/>
      <c r="BQ992" s="692" t="n"/>
    </row>
    <row r="993">
      <c r="A993" s="220" t="n"/>
      <c r="B993" s="211" t="n"/>
      <c r="C993" s="211" t="n"/>
      <c r="D993" s="211" t="n"/>
      <c r="E993" s="221" t="n"/>
      <c r="F993" s="211" t="n"/>
      <c r="G993" s="211" t="n"/>
      <c r="H993" s="211" t="n"/>
      <c r="I993" s="211" t="n"/>
      <c r="J993" s="211" t="n"/>
      <c r="K993" s="211" t="n"/>
      <c r="L993" s="213" t="n"/>
      <c r="M993" s="692" t="n"/>
      <c r="N993" s="692" t="n"/>
      <c r="O993" s="692" t="n"/>
      <c r="P993" s="261" t="n"/>
      <c r="Q993" s="692" t="n"/>
      <c r="R993" s="692" t="n"/>
      <c r="S993" s="692" t="n"/>
      <c r="T993" s="692" t="n"/>
      <c r="U993" s="692" t="n"/>
      <c r="V993" s="692" t="n"/>
      <c r="W993" s="692" t="n"/>
      <c r="X993" s="692" t="n"/>
      <c r="Y993" s="692" t="n"/>
      <c r="Z993" s="692" t="n"/>
      <c r="AA993" s="692" t="n"/>
      <c r="AB993" s="692" t="n"/>
      <c r="AC993" s="692" t="n"/>
      <c r="AD993" s="692" t="n"/>
      <c r="AY993" s="692" t="n"/>
      <c r="AZ993" s="692" t="n"/>
      <c r="BA993" s="692" t="n"/>
      <c r="BB993" s="692" t="n"/>
      <c r="BC993" s="692" t="n"/>
      <c r="BD993" s="692" t="n"/>
      <c r="BE993" s="692" t="n"/>
      <c r="BF993" s="692" t="n"/>
      <c r="BG993" s="692" t="n"/>
      <c r="BH993" s="692" t="n"/>
      <c r="BI993" s="692" t="n"/>
      <c r="BJ993" s="692" t="n"/>
      <c r="BK993" s="692" t="n"/>
      <c r="BL993" s="692" t="n"/>
      <c r="BM993" s="692" t="n"/>
      <c r="BN993" s="692" t="n"/>
      <c r="BO993" s="692" t="n"/>
      <c r="BP993" s="692" t="n"/>
      <c r="BQ993" s="692" t="n"/>
    </row>
    <row r="994">
      <c r="A994" s="218" t="n"/>
      <c r="B994" s="215" t="n"/>
      <c r="C994" s="215" t="n"/>
      <c r="D994" s="215" t="n"/>
      <c r="E994" s="219" t="n"/>
      <c r="F994" s="215" t="n"/>
      <c r="G994" s="215" t="n"/>
      <c r="H994" s="215" t="n"/>
      <c r="I994" s="215" t="n"/>
      <c r="J994" s="215" t="n"/>
      <c r="K994" s="215" t="n"/>
      <c r="L994" s="217" t="n"/>
      <c r="M994" s="692" t="n"/>
      <c r="N994" s="692" t="n"/>
      <c r="O994" s="692" t="n"/>
      <c r="P994" s="261" t="n"/>
      <c r="Q994" s="692" t="n"/>
      <c r="R994" s="692" t="n"/>
      <c r="S994" s="692" t="n"/>
      <c r="T994" s="692" t="n"/>
      <c r="U994" s="692" t="n"/>
      <c r="V994" s="692" t="n"/>
      <c r="W994" s="692" t="n"/>
      <c r="X994" s="692" t="n"/>
      <c r="Y994" s="692" t="n"/>
      <c r="Z994" s="692" t="n"/>
      <c r="AA994" s="692" t="n"/>
      <c r="AB994" s="692" t="n"/>
      <c r="AC994" s="692" t="n"/>
      <c r="AD994" s="692" t="n"/>
      <c r="AY994" s="692" t="n"/>
      <c r="AZ994" s="692" t="n"/>
      <c r="BA994" s="692" t="n"/>
      <c r="BB994" s="692" t="n"/>
      <c r="BC994" s="692" t="n"/>
      <c r="BD994" s="692" t="n"/>
      <c r="BE994" s="692" t="n"/>
      <c r="BF994" s="692" t="n"/>
      <c r="BG994" s="692" t="n"/>
      <c r="BH994" s="692" t="n"/>
      <c r="BI994" s="692" t="n"/>
      <c r="BJ994" s="692" t="n"/>
      <c r="BK994" s="692" t="n"/>
      <c r="BL994" s="692" t="n"/>
      <c r="BM994" s="692" t="n"/>
      <c r="BN994" s="692" t="n"/>
      <c r="BO994" s="692" t="n"/>
      <c r="BP994" s="692" t="n"/>
      <c r="BQ994" s="692" t="n"/>
    </row>
    <row r="995">
      <c r="A995" s="220" t="n"/>
      <c r="B995" s="211" t="n"/>
      <c r="C995" s="211" t="n"/>
      <c r="D995" s="211" t="n"/>
      <c r="E995" s="221" t="n"/>
      <c r="F995" s="211" t="n"/>
      <c r="G995" s="211" t="n"/>
      <c r="H995" s="211" t="n"/>
      <c r="I995" s="211" t="n"/>
      <c r="J995" s="211" t="n"/>
      <c r="K995" s="211" t="n"/>
      <c r="L995" s="213" t="n"/>
      <c r="M995" s="692" t="n"/>
      <c r="N995" s="692" t="n"/>
      <c r="O995" s="692" t="n"/>
      <c r="P995" s="261" t="n"/>
      <c r="Q995" s="692" t="n"/>
      <c r="R995" s="692" t="n"/>
      <c r="S995" s="692" t="n"/>
      <c r="T995" s="692" t="n"/>
      <c r="U995" s="692" t="n"/>
      <c r="V995" s="692" t="n"/>
      <c r="W995" s="692" t="n"/>
      <c r="X995" s="692" t="n"/>
      <c r="Y995" s="692" t="n"/>
      <c r="Z995" s="692" t="n"/>
      <c r="AA995" s="692" t="n"/>
      <c r="AB995" s="692" t="n"/>
      <c r="AC995" s="692" t="n"/>
      <c r="AD995" s="692" t="n"/>
      <c r="AY995" s="692" t="n"/>
      <c r="AZ995" s="692" t="n"/>
      <c r="BA995" s="692" t="n"/>
      <c r="BB995" s="692" t="n"/>
      <c r="BC995" s="692" t="n"/>
      <c r="BD995" s="692" t="n"/>
      <c r="BE995" s="692" t="n"/>
      <c r="BF995" s="692" t="n"/>
      <c r="BG995" s="692" t="n"/>
      <c r="BH995" s="692" t="n"/>
      <c r="BI995" s="692" t="n"/>
      <c r="BJ995" s="692" t="n"/>
      <c r="BK995" s="692" t="n"/>
      <c r="BL995" s="692" t="n"/>
      <c r="BM995" s="692" t="n"/>
      <c r="BN995" s="692" t="n"/>
      <c r="BO995" s="692" t="n"/>
      <c r="BP995" s="692" t="n"/>
      <c r="BQ995" s="692" t="n"/>
    </row>
    <row r="996">
      <c r="A996" s="218" t="n"/>
      <c r="B996" s="215" t="n"/>
      <c r="C996" s="215" t="n"/>
      <c r="D996" s="215" t="n"/>
      <c r="E996" s="219" t="n"/>
      <c r="F996" s="215" t="n"/>
      <c r="G996" s="215" t="n"/>
      <c r="H996" s="215" t="n"/>
      <c r="I996" s="215" t="n"/>
      <c r="J996" s="215" t="n"/>
      <c r="K996" s="215" t="n"/>
      <c r="L996" s="217" t="n"/>
      <c r="M996" s="692" t="n"/>
      <c r="N996" s="692" t="n"/>
      <c r="O996" s="692" t="n"/>
      <c r="P996" s="261" t="n"/>
      <c r="Q996" s="692" t="n"/>
      <c r="R996" s="692" t="n"/>
      <c r="S996" s="692" t="n"/>
      <c r="T996" s="692" t="n"/>
      <c r="U996" s="692" t="n"/>
      <c r="V996" s="692" t="n"/>
      <c r="W996" s="692" t="n"/>
      <c r="X996" s="692" t="n"/>
      <c r="Y996" s="692" t="n"/>
      <c r="Z996" s="692" t="n"/>
      <c r="AA996" s="692" t="n"/>
      <c r="AB996" s="692" t="n"/>
      <c r="AC996" s="692" t="n"/>
      <c r="AD996" s="692" t="n"/>
      <c r="AY996" s="692" t="n"/>
      <c r="AZ996" s="692" t="n"/>
      <c r="BA996" s="692" t="n"/>
      <c r="BB996" s="692" t="n"/>
      <c r="BC996" s="692" t="n"/>
      <c r="BD996" s="692" t="n"/>
      <c r="BE996" s="692" t="n"/>
      <c r="BF996" s="692" t="n"/>
      <c r="BG996" s="692" t="n"/>
      <c r="BH996" s="692" t="n"/>
      <c r="BI996" s="692" t="n"/>
      <c r="BJ996" s="692" t="n"/>
      <c r="BK996" s="692" t="n"/>
      <c r="BL996" s="692" t="n"/>
      <c r="BM996" s="692" t="n"/>
      <c r="BN996" s="692" t="n"/>
      <c r="BO996" s="692" t="n"/>
      <c r="BP996" s="692" t="n"/>
      <c r="BQ996" s="692" t="n"/>
    </row>
    <row r="997">
      <c r="A997" s="220" t="n"/>
      <c r="B997" s="211" t="n"/>
      <c r="C997" s="211" t="n"/>
      <c r="D997" s="211" t="n"/>
      <c r="E997" s="221" t="n"/>
      <c r="F997" s="211" t="n"/>
      <c r="G997" s="211" t="n"/>
      <c r="H997" s="211" t="n"/>
      <c r="I997" s="211" t="n"/>
      <c r="J997" s="211" t="n"/>
      <c r="K997" s="211" t="n"/>
      <c r="L997" s="213" t="n"/>
      <c r="M997" s="692" t="n"/>
      <c r="N997" s="692" t="n"/>
      <c r="O997" s="692" t="n"/>
      <c r="P997" s="261" t="n"/>
      <c r="Q997" s="692" t="n"/>
      <c r="R997" s="692" t="n"/>
      <c r="S997" s="692" t="n"/>
      <c r="T997" s="692" t="n"/>
      <c r="U997" s="692" t="n"/>
      <c r="V997" s="692" t="n"/>
      <c r="W997" s="692" t="n"/>
      <c r="X997" s="692" t="n"/>
      <c r="Y997" s="692" t="n"/>
      <c r="Z997" s="692" t="n"/>
      <c r="AA997" s="692" t="n"/>
      <c r="AB997" s="692" t="n"/>
      <c r="AC997" s="692" t="n"/>
      <c r="AD997" s="692" t="n"/>
      <c r="AY997" s="692" t="n"/>
      <c r="AZ997" s="692" t="n"/>
      <c r="BA997" s="692" t="n"/>
      <c r="BB997" s="692" t="n"/>
      <c r="BC997" s="692" t="n"/>
      <c r="BD997" s="692" t="n"/>
      <c r="BE997" s="692" t="n"/>
      <c r="BF997" s="692" t="n"/>
      <c r="BG997" s="692" t="n"/>
      <c r="BH997" s="692" t="n"/>
      <c r="BI997" s="692" t="n"/>
      <c r="BJ997" s="692" t="n"/>
      <c r="BK997" s="692" t="n"/>
      <c r="BL997" s="692" t="n"/>
      <c r="BM997" s="692" t="n"/>
      <c r="BN997" s="692" t="n"/>
      <c r="BO997" s="692" t="n"/>
      <c r="BP997" s="692" t="n"/>
      <c r="BQ997" s="692" t="n"/>
    </row>
    <row r="998">
      <c r="A998" s="218" t="n"/>
      <c r="B998" s="215" t="n"/>
      <c r="C998" s="215" t="n"/>
      <c r="D998" s="215" t="n"/>
      <c r="E998" s="219" t="n"/>
      <c r="F998" s="215" t="n"/>
      <c r="G998" s="215" t="n"/>
      <c r="H998" s="215" t="n"/>
      <c r="I998" s="215" t="n"/>
      <c r="J998" s="215" t="n"/>
      <c r="K998" s="215" t="n"/>
      <c r="L998" s="217" t="n"/>
      <c r="M998" s="692" t="n"/>
      <c r="N998" s="692" t="n"/>
      <c r="O998" s="692" t="n"/>
      <c r="P998" s="261" t="n"/>
      <c r="Q998" s="692" t="n"/>
      <c r="R998" s="692" t="n"/>
      <c r="S998" s="692" t="n"/>
      <c r="T998" s="692" t="n"/>
      <c r="U998" s="692" t="n"/>
      <c r="V998" s="692" t="n"/>
      <c r="W998" s="692" t="n"/>
      <c r="X998" s="692" t="n"/>
      <c r="Y998" s="692" t="n"/>
      <c r="Z998" s="692" t="n"/>
      <c r="AA998" s="692" t="n"/>
      <c r="AB998" s="692" t="n"/>
      <c r="AC998" s="692" t="n"/>
      <c r="AD998" s="692" t="n"/>
      <c r="AY998" s="692" t="n"/>
      <c r="AZ998" s="692" t="n"/>
      <c r="BA998" s="692" t="n"/>
      <c r="BB998" s="692" t="n"/>
      <c r="BC998" s="692" t="n"/>
      <c r="BD998" s="692" t="n"/>
      <c r="BE998" s="692" t="n"/>
      <c r="BF998" s="692" t="n"/>
      <c r="BG998" s="692" t="n"/>
      <c r="BH998" s="692" t="n"/>
      <c r="BI998" s="692" t="n"/>
      <c r="BJ998" s="692" t="n"/>
      <c r="BK998" s="692" t="n"/>
      <c r="BL998" s="692" t="n"/>
      <c r="BM998" s="692" t="n"/>
      <c r="BN998" s="692" t="n"/>
      <c r="BO998" s="692" t="n"/>
      <c r="BP998" s="692" t="n"/>
      <c r="BQ998" s="692" t="n"/>
    </row>
    <row r="999">
      <c r="A999" s="220" t="n"/>
      <c r="B999" s="211" t="n"/>
      <c r="C999" s="211" t="n"/>
      <c r="D999" s="211" t="n"/>
      <c r="E999" s="221" t="n"/>
      <c r="F999" s="211" t="n"/>
      <c r="G999" s="211" t="n"/>
      <c r="H999" s="211" t="n"/>
      <c r="I999" s="211" t="n"/>
      <c r="J999" s="211" t="n"/>
      <c r="K999" s="211" t="n"/>
      <c r="L999" s="213" t="n"/>
      <c r="M999" s="692" t="n"/>
      <c r="N999" s="692" t="n"/>
      <c r="O999" s="692" t="n"/>
      <c r="P999" s="261" t="n"/>
      <c r="Q999" s="692" t="n"/>
      <c r="R999" s="692" t="n"/>
      <c r="S999" s="692" t="n"/>
      <c r="T999" s="692" t="n"/>
      <c r="U999" s="692" t="n"/>
      <c r="V999" s="692" t="n"/>
      <c r="W999" s="692" t="n"/>
      <c r="X999" s="692" t="n"/>
      <c r="Y999" s="692" t="n"/>
      <c r="Z999" s="692" t="n"/>
      <c r="AA999" s="692" t="n"/>
      <c r="AB999" s="692" t="n"/>
      <c r="AC999" s="692" t="n"/>
      <c r="AD999" s="692" t="n"/>
      <c r="AY999" s="692" t="n"/>
      <c r="AZ999" s="692" t="n"/>
      <c r="BA999" s="692" t="n"/>
      <c r="BB999" s="692" t="n"/>
      <c r="BC999" s="692" t="n"/>
      <c r="BD999" s="692" t="n"/>
      <c r="BE999" s="692" t="n"/>
      <c r="BF999" s="692" t="n"/>
      <c r="BG999" s="692" t="n"/>
      <c r="BH999" s="692" t="n"/>
      <c r="BI999" s="692" t="n"/>
      <c r="BJ999" s="692" t="n"/>
      <c r="BK999" s="692" t="n"/>
      <c r="BL999" s="692" t="n"/>
      <c r="BM999" s="692" t="n"/>
      <c r="BN999" s="692" t="n"/>
      <c r="BO999" s="692" t="n"/>
      <c r="BP999" s="692" t="n"/>
      <c r="BQ999" s="692" t="n"/>
    </row>
    <row r="1000">
      <c r="A1000" s="218" t="n"/>
      <c r="B1000" s="215" t="n"/>
      <c r="C1000" s="215" t="n"/>
      <c r="D1000" s="215" t="n"/>
      <c r="E1000" s="219" t="n"/>
      <c r="F1000" s="215" t="n"/>
      <c r="G1000" s="215" t="n"/>
      <c r="H1000" s="215" t="n"/>
      <c r="I1000" s="215" t="n"/>
      <c r="J1000" s="215" t="n"/>
      <c r="K1000" s="215" t="n"/>
      <c r="L1000" s="217" t="n"/>
      <c r="M1000" s="692" t="n"/>
      <c r="N1000" s="692" t="n"/>
      <c r="O1000" s="692" t="n"/>
      <c r="P1000" s="261" t="n"/>
      <c r="Q1000" s="692" t="n"/>
      <c r="R1000" s="692" t="n"/>
      <c r="S1000" s="692" t="n"/>
      <c r="T1000" s="692" t="n"/>
      <c r="U1000" s="692" t="n"/>
      <c r="V1000" s="692" t="n"/>
      <c r="W1000" s="692" t="n"/>
      <c r="X1000" s="692" t="n"/>
      <c r="Y1000" s="692" t="n"/>
      <c r="Z1000" s="692" t="n"/>
      <c r="AA1000" s="692" t="n"/>
      <c r="AB1000" s="692" t="n"/>
      <c r="AC1000" s="692" t="n"/>
      <c r="AD1000" s="692" t="n"/>
      <c r="AY1000" s="692" t="n"/>
      <c r="AZ1000" s="692" t="n"/>
      <c r="BA1000" s="692" t="n"/>
      <c r="BB1000" s="692" t="n"/>
      <c r="BC1000" s="692" t="n"/>
      <c r="BD1000" s="692" t="n"/>
      <c r="BE1000" s="692" t="n"/>
      <c r="BF1000" s="692" t="n"/>
      <c r="BG1000" s="692" t="n"/>
      <c r="BH1000" s="692" t="n"/>
      <c r="BI1000" s="692" t="n"/>
      <c r="BJ1000" s="692" t="n"/>
      <c r="BK1000" s="692" t="n"/>
      <c r="BL1000" s="692" t="n"/>
      <c r="BM1000" s="692" t="n"/>
      <c r="BN1000" s="692" t="n"/>
      <c r="BO1000" s="692" t="n"/>
      <c r="BP1000" s="692" t="n"/>
      <c r="BQ1000" s="692" t="n"/>
    </row>
    <row r="1001">
      <c r="A1001" s="220" t="n"/>
      <c r="B1001" s="211" t="n"/>
      <c r="C1001" s="211" t="n"/>
      <c r="D1001" s="211" t="n"/>
      <c r="E1001" s="221" t="n"/>
      <c r="F1001" s="211" t="n"/>
      <c r="G1001" s="211" t="n"/>
      <c r="H1001" s="211" t="n"/>
      <c r="I1001" s="211" t="n"/>
      <c r="J1001" s="211" t="n"/>
      <c r="K1001" s="211" t="n"/>
      <c r="L1001" s="213" t="n"/>
      <c r="M1001" s="692" t="n"/>
      <c r="N1001" s="692" t="n"/>
      <c r="O1001" s="692" t="n"/>
      <c r="P1001" s="261" t="n"/>
      <c r="Q1001" s="692" t="n"/>
      <c r="R1001" s="692" t="n"/>
      <c r="S1001" s="692" t="n"/>
      <c r="T1001" s="692" t="n"/>
      <c r="U1001" s="692" t="n"/>
      <c r="V1001" s="692" t="n"/>
      <c r="W1001" s="692" t="n"/>
      <c r="X1001" s="692" t="n"/>
      <c r="Y1001" s="692" t="n"/>
      <c r="Z1001" s="692" t="n"/>
      <c r="AA1001" s="692" t="n"/>
      <c r="AB1001" s="692" t="n"/>
      <c r="AC1001" s="692" t="n"/>
      <c r="AD1001" s="692" t="n"/>
      <c r="AY1001" s="692" t="n"/>
      <c r="AZ1001" s="692" t="n"/>
      <c r="BA1001" s="692" t="n"/>
      <c r="BB1001" s="692" t="n"/>
      <c r="BC1001" s="692" t="n"/>
      <c r="BD1001" s="692" t="n"/>
      <c r="BE1001" s="692" t="n"/>
      <c r="BF1001" s="692" t="n"/>
      <c r="BG1001" s="692" t="n"/>
      <c r="BH1001" s="692" t="n"/>
      <c r="BI1001" s="692" t="n"/>
      <c r="BJ1001" s="692" t="n"/>
      <c r="BK1001" s="692" t="n"/>
      <c r="BL1001" s="692" t="n"/>
      <c r="BM1001" s="692" t="n"/>
      <c r="BN1001" s="692" t="n"/>
      <c r="BO1001" s="692" t="n"/>
      <c r="BP1001" s="692" t="n"/>
      <c r="BQ1001" s="692" t="n"/>
    </row>
    <row r="1002">
      <c r="A1002" s="218" t="n"/>
      <c r="B1002" s="215" t="n"/>
      <c r="C1002" s="215" t="n"/>
      <c r="D1002" s="215" t="n"/>
      <c r="E1002" s="219" t="n"/>
      <c r="F1002" s="215" t="n"/>
      <c r="G1002" s="215" t="n"/>
      <c r="H1002" s="215" t="n"/>
      <c r="I1002" s="215" t="n"/>
      <c r="J1002" s="215" t="n"/>
      <c r="K1002" s="215" t="n"/>
      <c r="L1002" s="217" t="n"/>
      <c r="M1002" s="692" t="n"/>
      <c r="N1002" s="692" t="n"/>
      <c r="O1002" s="692" t="n"/>
      <c r="P1002" s="261" t="n"/>
      <c r="Q1002" s="692" t="n"/>
      <c r="R1002" s="692" t="n"/>
      <c r="S1002" s="692" t="n"/>
      <c r="T1002" s="692" t="n"/>
      <c r="U1002" s="692" t="n"/>
      <c r="V1002" s="692" t="n"/>
      <c r="W1002" s="692" t="n"/>
      <c r="X1002" s="692" t="n"/>
      <c r="AY1002" s="692" t="n"/>
      <c r="AZ1002" s="692" t="n"/>
      <c r="BA1002" s="692" t="n"/>
      <c r="BB1002" s="692" t="n"/>
      <c r="BC1002" s="692" t="n"/>
      <c r="BD1002" s="692" t="n"/>
      <c r="BE1002" s="692" t="n"/>
      <c r="BF1002" s="692" t="n"/>
      <c r="BG1002" s="692" t="n"/>
      <c r="BH1002" s="692" t="n"/>
      <c r="BI1002" s="692" t="n"/>
      <c r="BJ1002" s="692" t="n"/>
      <c r="BK1002" s="692" t="n"/>
      <c r="BL1002" s="692" t="n"/>
      <c r="BM1002" s="692" t="n"/>
      <c r="BN1002" s="692" t="n"/>
      <c r="BO1002" s="692" t="n"/>
      <c r="BP1002" s="692" t="n"/>
      <c r="BQ1002" s="692" t="n"/>
    </row>
    <row r="1003">
      <c r="A1003" s="220" t="n"/>
      <c r="B1003" s="211" t="n"/>
      <c r="C1003" s="211" t="n"/>
      <c r="D1003" s="211" t="n"/>
      <c r="E1003" s="221" t="n"/>
      <c r="F1003" s="211" t="n"/>
      <c r="G1003" s="211" t="n"/>
      <c r="H1003" s="211" t="n"/>
      <c r="I1003" s="211" t="n"/>
      <c r="J1003" s="211" t="n"/>
      <c r="K1003" s="211" t="n"/>
      <c r="L1003" s="213" t="n"/>
      <c r="P1003" s="227" t="n"/>
      <c r="X1003" s="692" t="n"/>
    </row>
    <row r="1004">
      <c r="A1004" s="218" t="n"/>
      <c r="B1004" s="215" t="n"/>
      <c r="C1004" s="215" t="n"/>
      <c r="D1004" s="215" t="n"/>
      <c r="E1004" s="219" t="n"/>
      <c r="F1004" s="215" t="n"/>
      <c r="G1004" s="215" t="n"/>
      <c r="H1004" s="215" t="n"/>
      <c r="I1004" s="215" t="n"/>
      <c r="J1004" s="215" t="n"/>
      <c r="K1004" s="215" t="n"/>
      <c r="L1004" s="217" t="n"/>
      <c r="P1004" s="227" t="n"/>
      <c r="X1004" s="692" t="n"/>
    </row>
    <row r="1005">
      <c r="A1005" s="220" t="n"/>
      <c r="B1005" s="211" t="n"/>
      <c r="C1005" s="211" t="n"/>
      <c r="D1005" s="211" t="n"/>
      <c r="E1005" s="221" t="n"/>
      <c r="F1005" s="211" t="n"/>
      <c r="G1005" s="211" t="n"/>
      <c r="H1005" s="211" t="n"/>
      <c r="I1005" s="211" t="n"/>
      <c r="J1005" s="211" t="n"/>
      <c r="K1005" s="211" t="n"/>
      <c r="L1005" s="213" t="n"/>
      <c r="P1005" s="227" t="n"/>
      <c r="X1005" s="692" t="n"/>
    </row>
    <row r="1006">
      <c r="A1006" s="218" t="n"/>
      <c r="B1006" s="215" t="n"/>
      <c r="C1006" s="215" t="n"/>
      <c r="D1006" s="215" t="n"/>
      <c r="E1006" s="219" t="n"/>
      <c r="F1006" s="215" t="n"/>
      <c r="G1006" s="215" t="n"/>
      <c r="H1006" s="215" t="n"/>
      <c r="I1006" s="215" t="n"/>
      <c r="J1006" s="215" t="n"/>
      <c r="K1006" s="215" t="n"/>
      <c r="L1006" s="217" t="n"/>
      <c r="P1006" s="227" t="n"/>
      <c r="X1006" s="692" t="n"/>
    </row>
    <row r="1007">
      <c r="A1007" s="222" t="n"/>
      <c r="B1007" s="755" t="n"/>
      <c r="C1007" s="755" t="n"/>
      <c r="D1007" s="755" t="n"/>
      <c r="E1007" s="224" t="n"/>
      <c r="F1007" s="755" t="n"/>
      <c r="G1007" s="755" t="n"/>
      <c r="H1007" s="755" t="n"/>
      <c r="I1007" s="755" t="n"/>
      <c r="J1007" s="755" t="n"/>
      <c r="K1007" s="755" t="n"/>
      <c r="L1007" s="225" t="n"/>
      <c r="P1007" s="227" t="n"/>
      <c r="X1007" s="692" t="n"/>
    </row>
  </sheetData>
  <dataValidations count="1">
    <dataValidation sqref="P4:P35" showDropDown="1" showInputMessage="0" showErrorMessage="0" allowBlank="1" type="custom">
      <formula1>AND(ISNUMBER(P4),(NOT(OR(NOT(ISERROR(DATEVALUE(P4))), AND(ISNUMBER(P4), LEFT(CELL("format", P4))="D")))))</formula1>
    </dataValidation>
  </dataValidations>
  <printOptions horizontalCentered="1" gridLines="1"/>
  <pageMargins left="0.7" right="0.7" top="0.75" bottom="0.75" header="0" footer="0"/>
  <pageSetup orientation="landscape" fitToHeight="0" pageOrder="overThenDown" cellComments="atEnd"/>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outlinePr summaryBelow="0" summaryRight="0"/>
    <pageSetUpPr/>
  </sheetPr>
  <dimension ref="A1:W992"/>
  <sheetViews>
    <sheetView workbookViewId="0">
      <pane ySplit="2" topLeftCell="A3" activePane="bottomLeft" state="frozen"/>
      <selection pane="bottomLeft" activeCell="B4" sqref="B4"/>
    </sheetView>
  </sheetViews>
  <sheetFormatPr baseColWidth="8" defaultColWidth="12.63" defaultRowHeight="15.75" customHeight="1"/>
  <cols>
    <col width="10.25" customWidth="1" style="763" min="1" max="1"/>
    <col width="11.25" customWidth="1" style="763" min="2" max="2"/>
    <col width="11" customWidth="1" style="763" min="3" max="3"/>
    <col width="16.63" customWidth="1" style="763" min="4" max="4"/>
    <col width="14.88" customWidth="1" style="763" min="5" max="5"/>
    <col width="11.88" customWidth="1" style="763" min="7" max="7"/>
    <col width="16.63" customWidth="1" style="763" min="10" max="10"/>
    <col width="14.88" customWidth="1" style="763" min="11" max="11"/>
    <col width="10.25" customWidth="1" style="763" min="13" max="13"/>
    <col width="14.38" customWidth="1" style="763" min="14" max="14"/>
    <col width="16.63" customWidth="1" style="763" min="15" max="15"/>
    <col width="15.38" customWidth="1" style="763" min="16" max="16"/>
    <col width="14.25" customWidth="1" style="763" min="17" max="17"/>
    <col width="11.88" customWidth="1" style="763" min="19" max="19"/>
    <col width="14.13" customWidth="1" style="763" min="20" max="20"/>
    <col width="16.63" customWidth="1" style="763" min="21" max="21"/>
    <col width="15.38" customWidth="1" style="763" min="22" max="22"/>
    <col width="14.88" customWidth="1" style="763" min="23" max="23"/>
  </cols>
  <sheetData>
    <row r="1">
      <c r="A1" s="239" t="inlineStr">
        <is>
          <t>Female Event Age Ranges</t>
        </is>
      </c>
      <c r="F1" s="89" t="n"/>
      <c r="G1" s="239" t="inlineStr">
        <is>
          <t>Male Event Age Ranges</t>
        </is>
      </c>
      <c r="L1" s="89" t="n"/>
      <c r="M1" s="239" t="inlineStr">
        <is>
          <t>Female Athlete and Event Development</t>
        </is>
      </c>
      <c r="R1" s="89" t="n"/>
      <c r="S1" s="239" t="inlineStr">
        <is>
          <t>Male Athlete and Event Development</t>
        </is>
      </c>
    </row>
    <row r="2">
      <c r="A2" s="167" t="inlineStr">
        <is>
          <t>Event</t>
        </is>
      </c>
      <c r="B2" s="240" t="inlineStr">
        <is>
          <t>Canada T1 End</t>
        </is>
      </c>
      <c r="C2" s="240" t="inlineStr">
        <is>
          <t>Canada T3 End</t>
        </is>
      </c>
      <c r="D2" s="240" t="inlineStr">
        <is>
          <t>SEA Games Medal Age</t>
        </is>
      </c>
      <c r="E2" s="170" t="inlineStr">
        <is>
          <t>World Top 10 Average Age</t>
        </is>
      </c>
      <c r="F2" s="89" t="n"/>
      <c r="G2" s="167" t="inlineStr">
        <is>
          <t>Event</t>
        </is>
      </c>
      <c r="H2" s="240" t="inlineStr">
        <is>
          <t>Canada T1 End</t>
        </is>
      </c>
      <c r="I2" s="240" t="inlineStr">
        <is>
          <t>Canada T3 End</t>
        </is>
      </c>
      <c r="J2" s="240" t="inlineStr">
        <is>
          <t>SEA Games Medal Age</t>
        </is>
      </c>
      <c r="K2" s="170" t="inlineStr">
        <is>
          <t>World Top 10 Average Age</t>
        </is>
      </c>
      <c r="L2" s="89" t="n"/>
      <c r="M2" s="167" t="inlineStr">
        <is>
          <t>Event</t>
        </is>
      </c>
      <c r="N2" s="240" t="inlineStr">
        <is>
          <t>Canada T3 End</t>
        </is>
      </c>
      <c r="O2" s="240" t="inlineStr">
        <is>
          <t>SEA Games Medal Age</t>
        </is>
      </c>
      <c r="P2" s="240" t="inlineStr">
        <is>
          <t>World Top 10 Average Age</t>
        </is>
      </c>
      <c r="Q2" s="170" t="inlineStr">
        <is>
          <t>SEA Medal vs World Top 10</t>
        </is>
      </c>
      <c r="R2" s="89" t="n"/>
      <c r="S2" s="167" t="inlineStr">
        <is>
          <t>Event</t>
        </is>
      </c>
      <c r="T2" s="240" t="inlineStr">
        <is>
          <t>Canada T3 End</t>
        </is>
      </c>
      <c r="U2" s="240" t="inlineStr">
        <is>
          <t>SEA Games Medal Age</t>
        </is>
      </c>
      <c r="V2" s="240" t="inlineStr">
        <is>
          <t>World Top 10 Average Age</t>
        </is>
      </c>
      <c r="W2" s="170" t="inlineStr">
        <is>
          <t>SEA Medal vs World Top 10</t>
        </is>
      </c>
    </row>
    <row r="3">
      <c r="A3" s="241" t="inlineStr">
        <is>
          <t>800 Free</t>
        </is>
      </c>
      <c r="B3" s="593" t="n">
        <v>18</v>
      </c>
      <c r="C3" s="593" t="n">
        <v>22</v>
      </c>
      <c r="D3" s="244" t="n">
        <v>18</v>
      </c>
      <c r="E3" s="245" t="n">
        <v>22.75</v>
      </c>
      <c r="F3" s="692" t="n"/>
      <c r="G3" s="241" t="inlineStr">
        <is>
          <t>400 IM</t>
        </is>
      </c>
      <c r="H3" s="593" t="n">
        <v>19</v>
      </c>
      <c r="I3" s="593" t="n">
        <v>23</v>
      </c>
      <c r="J3" s="244" t="n">
        <v>19</v>
      </c>
      <c r="K3" s="245">
        <f>23.3+0.55</f>
        <v/>
      </c>
      <c r="L3" s="692" t="n"/>
      <c r="M3" s="241" t="inlineStr">
        <is>
          <t>400 IM</t>
        </is>
      </c>
      <c r="N3" s="593" t="n">
        <v>22</v>
      </c>
      <c r="O3" s="244" t="n">
        <v>18.44</v>
      </c>
      <c r="P3" s="244">
        <f>22.3+0.95</f>
        <v/>
      </c>
      <c r="Q3" s="245">
        <f>O3-P3</f>
        <v/>
      </c>
      <c r="R3" s="692" t="n"/>
      <c r="S3" s="241" t="inlineStr">
        <is>
          <t>50 Breast</t>
        </is>
      </c>
      <c r="T3" s="593" t="n">
        <v>23</v>
      </c>
      <c r="U3" s="244" t="n">
        <v>22.44</v>
      </c>
      <c r="V3" s="244" t="n">
        <v>28.35</v>
      </c>
      <c r="W3" s="245">
        <f>U3-V3</f>
        <v/>
      </c>
    </row>
    <row r="4">
      <c r="A4" s="246" t="inlineStr">
        <is>
          <t>400 IM</t>
        </is>
      </c>
      <c r="B4" s="616" t="n">
        <v>17</v>
      </c>
      <c r="C4" s="616" t="n">
        <v>21</v>
      </c>
      <c r="D4" s="249" t="n">
        <v>18.44</v>
      </c>
      <c r="E4" s="250">
        <f>22.3+0.95</f>
        <v/>
      </c>
      <c r="F4" s="692" t="n"/>
      <c r="G4" s="246" t="inlineStr">
        <is>
          <t>200 Back</t>
        </is>
      </c>
      <c r="H4" s="616" t="n">
        <v>19</v>
      </c>
      <c r="I4" s="616" t="n">
        <v>23</v>
      </c>
      <c r="J4" s="249" t="n">
        <v>19.67</v>
      </c>
      <c r="K4" s="250" t="n">
        <v>23.05</v>
      </c>
      <c r="L4" s="692" t="n"/>
      <c r="M4" s="246" t="inlineStr">
        <is>
          <t>800 Free</t>
        </is>
      </c>
      <c r="N4" s="616" t="n">
        <v>21</v>
      </c>
      <c r="O4" s="249" t="n">
        <v>18</v>
      </c>
      <c r="P4" s="249" t="n">
        <v>22.75</v>
      </c>
      <c r="Q4" s="250">
        <f>O4-P4</f>
        <v/>
      </c>
      <c r="R4" s="692" t="n"/>
      <c r="S4" s="246" t="inlineStr">
        <is>
          <t>400 IM</t>
        </is>
      </c>
      <c r="T4" s="616" t="n">
        <v>23</v>
      </c>
      <c r="U4" s="249" t="n">
        <v>19</v>
      </c>
      <c r="V4" s="249">
        <f>23.3+0.55</f>
        <v/>
      </c>
      <c r="W4" s="250">
        <f>U4-V4</f>
        <v/>
      </c>
    </row>
    <row r="5">
      <c r="A5" s="241" t="inlineStr">
        <is>
          <t>50 Back</t>
        </is>
      </c>
      <c r="B5" s="593" t="n">
        <v>19</v>
      </c>
      <c r="C5" s="593" t="n">
        <v>23</v>
      </c>
      <c r="D5" s="244" t="n">
        <v>20.33</v>
      </c>
      <c r="E5" s="245" t="n">
        <v>23.85</v>
      </c>
      <c r="F5" s="692" t="n"/>
      <c r="G5" s="241" t="inlineStr">
        <is>
          <t>1500 Free</t>
        </is>
      </c>
      <c r="H5" s="593" t="n">
        <v>19</v>
      </c>
      <c r="I5" s="593" t="n">
        <v>23</v>
      </c>
      <c r="J5" s="244" t="n">
        <v>20.22</v>
      </c>
      <c r="K5" s="245" t="n">
        <v>24.75</v>
      </c>
      <c r="L5" s="692" t="n"/>
      <c r="M5" s="241" t="inlineStr">
        <is>
          <t>50 Back</t>
        </is>
      </c>
      <c r="N5" s="593" t="n">
        <v>23</v>
      </c>
      <c r="O5" s="244" t="n">
        <v>20.33</v>
      </c>
      <c r="P5" s="244" t="n">
        <v>23.85</v>
      </c>
      <c r="Q5" s="245">
        <f>O5-P5</f>
        <v/>
      </c>
      <c r="R5" s="692" t="n"/>
      <c r="S5" s="241" t="inlineStr">
        <is>
          <t>200 Breast</t>
        </is>
      </c>
      <c r="T5" s="593" t="n">
        <v>23</v>
      </c>
      <c r="U5" s="244" t="n">
        <v>21</v>
      </c>
      <c r="V5" s="244" t="n">
        <v>25.55</v>
      </c>
      <c r="W5" s="245">
        <f>U5-V5</f>
        <v/>
      </c>
    </row>
    <row r="6">
      <c r="A6" s="246" t="inlineStr">
        <is>
          <t>200 IM</t>
        </is>
      </c>
      <c r="B6" s="616" t="n">
        <v>19</v>
      </c>
      <c r="C6" s="616" t="n">
        <v>23</v>
      </c>
      <c r="D6" s="249" t="n">
        <v>20.56</v>
      </c>
      <c r="E6" s="250" t="n">
        <v>22.75</v>
      </c>
      <c r="F6" s="692" t="n"/>
      <c r="G6" s="246" t="inlineStr">
        <is>
          <t>200 IM</t>
        </is>
      </c>
      <c r="H6" s="616" t="n">
        <v>20</v>
      </c>
      <c r="I6" s="616" t="n">
        <v>24</v>
      </c>
      <c r="J6" s="249" t="n">
        <v>20.44</v>
      </c>
      <c r="K6" s="250" t="n">
        <v>23.35</v>
      </c>
      <c r="L6" s="692" t="n"/>
      <c r="M6" s="246" t="inlineStr">
        <is>
          <t>100 Breast</t>
        </is>
      </c>
      <c r="N6" s="616" t="n">
        <v>23</v>
      </c>
      <c r="O6" s="249" t="n">
        <v>21.33</v>
      </c>
      <c r="P6" s="249" t="n">
        <v>24.35</v>
      </c>
      <c r="Q6" s="250">
        <f>O6-P6</f>
        <v/>
      </c>
      <c r="R6" s="692" t="n"/>
      <c r="S6" s="246" t="inlineStr">
        <is>
          <t>1500 Free</t>
        </is>
      </c>
      <c r="T6" s="616" t="n">
        <v>24</v>
      </c>
      <c r="U6" s="249" t="n">
        <v>20.22</v>
      </c>
      <c r="V6" s="249" t="n">
        <v>24.75</v>
      </c>
      <c r="W6" s="250">
        <f>U6-V6</f>
        <v/>
      </c>
    </row>
    <row r="7">
      <c r="A7" s="241" t="inlineStr">
        <is>
          <t>400 Free</t>
        </is>
      </c>
      <c r="B7" s="593" t="n">
        <v>18</v>
      </c>
      <c r="C7" s="593" t="n">
        <v>22</v>
      </c>
      <c r="D7" s="244" t="n">
        <v>21.11</v>
      </c>
      <c r="E7" s="245" t="n">
        <v>22.35</v>
      </c>
      <c r="F7" s="692" t="n"/>
      <c r="G7" s="241" t="inlineStr">
        <is>
          <t>200 Breast</t>
        </is>
      </c>
      <c r="H7" s="593" t="n">
        <v>19</v>
      </c>
      <c r="I7" s="593" t="n">
        <v>23</v>
      </c>
      <c r="J7" s="244" t="n">
        <v>21</v>
      </c>
      <c r="K7" s="245" t="n">
        <v>25.55</v>
      </c>
      <c r="L7" s="692" t="n"/>
      <c r="M7" s="241" t="inlineStr">
        <is>
          <t>200 Breast</t>
        </is>
      </c>
      <c r="N7" s="593" t="n">
        <v>22</v>
      </c>
      <c r="O7" s="244" t="n">
        <v>22.33</v>
      </c>
      <c r="P7" s="244" t="n">
        <v>25.25</v>
      </c>
      <c r="Q7" s="245">
        <f>O7-P7</f>
        <v/>
      </c>
      <c r="R7" s="692" t="n"/>
      <c r="S7" s="241" t="inlineStr">
        <is>
          <t>100 Breast</t>
        </is>
      </c>
      <c r="T7" s="593" t="n">
        <v>23</v>
      </c>
      <c r="U7" s="244" t="n">
        <v>22.11</v>
      </c>
      <c r="V7" s="244" t="n">
        <v>26.35</v>
      </c>
      <c r="W7" s="245">
        <f>U7-V7</f>
        <v/>
      </c>
    </row>
    <row r="8">
      <c r="A8" s="246" t="inlineStr">
        <is>
          <t>100 Breast</t>
        </is>
      </c>
      <c r="B8" s="616" t="n">
        <v>19</v>
      </c>
      <c r="C8" s="616" t="n">
        <v>23</v>
      </c>
      <c r="D8" s="249" t="n">
        <v>21.33</v>
      </c>
      <c r="E8" s="250" t="n">
        <v>24.35</v>
      </c>
      <c r="F8" s="692" t="n"/>
      <c r="G8" s="246" t="inlineStr">
        <is>
          <t>400 Free</t>
        </is>
      </c>
      <c r="H8" s="616" t="n">
        <v>19</v>
      </c>
      <c r="I8" s="616" t="n">
        <v>23</v>
      </c>
      <c r="J8" s="249" t="n">
        <v>21.11</v>
      </c>
      <c r="K8" s="250" t="n">
        <v>23.05</v>
      </c>
      <c r="L8" s="692" t="n"/>
      <c r="M8" s="246" t="inlineStr">
        <is>
          <t>200 IM</t>
        </is>
      </c>
      <c r="N8" s="616" t="n">
        <v>23</v>
      </c>
      <c r="O8" s="249" t="n">
        <v>20.56</v>
      </c>
      <c r="P8" s="249" t="n">
        <v>22.75</v>
      </c>
      <c r="Q8" s="250">
        <f>O8-P8</f>
        <v/>
      </c>
      <c r="R8" s="692" t="n"/>
      <c r="S8" s="246" t="inlineStr">
        <is>
          <t>50 Free</t>
        </is>
      </c>
      <c r="T8" s="616" t="n">
        <v>23</v>
      </c>
      <c r="U8" s="249" t="n">
        <v>22.11</v>
      </c>
      <c r="V8" s="249" t="n">
        <v>26.15</v>
      </c>
      <c r="W8" s="250">
        <f>U8-V8</f>
        <v/>
      </c>
    </row>
    <row r="9">
      <c r="A9" s="241" t="inlineStr">
        <is>
          <t>100 Back</t>
        </is>
      </c>
      <c r="B9" s="593" t="n">
        <v>17</v>
      </c>
      <c r="C9" s="593" t="n">
        <v>21</v>
      </c>
      <c r="D9" s="244" t="n">
        <v>21.67</v>
      </c>
      <c r="E9" s="245" t="n">
        <v>22.65</v>
      </c>
      <c r="F9" s="692" t="n"/>
      <c r="G9" s="241" t="inlineStr">
        <is>
          <t>200 Fly</t>
        </is>
      </c>
      <c r="H9" s="593" t="n">
        <v>19</v>
      </c>
      <c r="I9" s="593" t="n">
        <v>23</v>
      </c>
      <c r="J9" s="244" t="n">
        <v>21.89</v>
      </c>
      <c r="K9" s="245" t="n">
        <v>22.55</v>
      </c>
      <c r="L9" s="692" t="n"/>
      <c r="M9" s="241" t="inlineStr">
        <is>
          <t>200 Free</t>
        </is>
      </c>
      <c r="N9" s="593" t="n">
        <v>21</v>
      </c>
      <c r="O9" s="244" t="n">
        <v>21.78</v>
      </c>
      <c r="P9" s="244" t="n">
        <v>23.15</v>
      </c>
      <c r="Q9" s="245">
        <f>O9-P9</f>
        <v/>
      </c>
      <c r="R9" s="692" t="n"/>
      <c r="S9" s="241" t="inlineStr">
        <is>
          <t>200 Back</t>
        </is>
      </c>
      <c r="T9" s="593" t="n">
        <v>23</v>
      </c>
      <c r="U9" s="244" t="n">
        <v>19.67</v>
      </c>
      <c r="V9" s="244" t="n">
        <v>23.05</v>
      </c>
      <c r="W9" s="245">
        <f>U9-V9</f>
        <v/>
      </c>
    </row>
    <row r="10">
      <c r="A10" s="246" t="inlineStr">
        <is>
          <t>200 Free</t>
        </is>
      </c>
      <c r="B10" s="616" t="n">
        <v>18</v>
      </c>
      <c r="C10" s="616" t="n">
        <v>22</v>
      </c>
      <c r="D10" s="249" t="n">
        <v>21.78</v>
      </c>
      <c r="E10" s="250" t="n">
        <v>23.15</v>
      </c>
      <c r="F10" s="692" t="n"/>
      <c r="G10" s="246" t="inlineStr">
        <is>
          <t>100 Breast</t>
        </is>
      </c>
      <c r="H10" s="616" t="n">
        <v>20</v>
      </c>
      <c r="I10" s="616" t="n">
        <v>24</v>
      </c>
      <c r="J10" s="249" t="n">
        <v>22.11</v>
      </c>
      <c r="K10" s="250" t="n">
        <v>26.35</v>
      </c>
      <c r="L10" s="692" t="n"/>
      <c r="M10" s="246" t="inlineStr">
        <is>
          <t>400 Free</t>
        </is>
      </c>
      <c r="N10" s="616" t="n">
        <v>22</v>
      </c>
      <c r="O10" s="249" t="n">
        <v>21.11</v>
      </c>
      <c r="P10" s="249" t="n">
        <v>22.35</v>
      </c>
      <c r="Q10" s="250">
        <f>O10-P10</f>
        <v/>
      </c>
      <c r="R10" s="692" t="n"/>
      <c r="S10" s="246" t="inlineStr">
        <is>
          <t>200 IM</t>
        </is>
      </c>
      <c r="T10" s="616" t="n">
        <v>24</v>
      </c>
      <c r="U10" s="249" t="n">
        <v>20.44</v>
      </c>
      <c r="V10" s="249" t="n">
        <v>23.35</v>
      </c>
      <c r="W10" s="250">
        <f>U10-V10</f>
        <v/>
      </c>
    </row>
    <row r="11">
      <c r="A11" s="241" t="inlineStr">
        <is>
          <t>200 Breast</t>
        </is>
      </c>
      <c r="B11" s="593" t="n">
        <v>19</v>
      </c>
      <c r="C11" s="593" t="n">
        <v>23</v>
      </c>
      <c r="D11" s="244" t="n">
        <v>22.33</v>
      </c>
      <c r="E11" s="245" t="n">
        <v>25.25</v>
      </c>
      <c r="F11" s="692" t="n"/>
      <c r="G11" s="241" t="inlineStr">
        <is>
          <t>50 Free</t>
        </is>
      </c>
      <c r="H11" s="593" t="n">
        <v>21</v>
      </c>
      <c r="I11" s="593" t="n">
        <v>25</v>
      </c>
      <c r="J11" s="244" t="n">
        <v>22.11</v>
      </c>
      <c r="K11" s="245" t="n">
        <v>26.15</v>
      </c>
      <c r="L11" s="692" t="n"/>
      <c r="M11" s="241" t="inlineStr">
        <is>
          <t>100 Back</t>
        </is>
      </c>
      <c r="N11" s="593" t="n">
        <v>23</v>
      </c>
      <c r="O11" s="244" t="n">
        <v>21.67</v>
      </c>
      <c r="P11" s="244" t="n">
        <v>22.65</v>
      </c>
      <c r="Q11" s="245">
        <f>O11-P11</f>
        <v/>
      </c>
      <c r="R11" s="692" t="n"/>
      <c r="S11" s="241" t="inlineStr">
        <is>
          <t>50 Fly</t>
        </is>
      </c>
      <c r="T11" s="593" t="n">
        <v>25</v>
      </c>
      <c r="U11" s="244" t="n">
        <v>25.11</v>
      </c>
      <c r="V11" s="244" t="n">
        <v>27.65</v>
      </c>
      <c r="W11" s="245">
        <f>U11-V11</f>
        <v/>
      </c>
    </row>
    <row r="12">
      <c r="A12" s="246" t="inlineStr">
        <is>
          <t>200 Back</t>
        </is>
      </c>
      <c r="B12" s="616" t="n">
        <v>17</v>
      </c>
      <c r="C12" s="616" t="n">
        <v>21</v>
      </c>
      <c r="D12" s="249" t="n">
        <v>22.44</v>
      </c>
      <c r="E12" s="250" t="n">
        <v>22.35</v>
      </c>
      <c r="F12" s="692" t="n"/>
      <c r="G12" s="246" t="inlineStr">
        <is>
          <t>50 Breast</t>
        </is>
      </c>
      <c r="H12" s="616" t="n">
        <v>22</v>
      </c>
      <c r="I12" s="616" t="n">
        <v>26</v>
      </c>
      <c r="J12" s="249" t="n">
        <v>22.44</v>
      </c>
      <c r="K12" s="250" t="n">
        <v>28.35</v>
      </c>
      <c r="L12" s="692" t="n"/>
      <c r="M12" s="246" t="inlineStr">
        <is>
          <t>200 Back</t>
        </is>
      </c>
      <c r="N12" s="616" t="n">
        <v>21</v>
      </c>
      <c r="O12" s="249" t="n">
        <v>22.44</v>
      </c>
      <c r="P12" s="249" t="n">
        <v>22.35</v>
      </c>
      <c r="Q12" s="250">
        <f>O12-P12</f>
        <v/>
      </c>
      <c r="R12" s="692" t="n"/>
      <c r="S12" s="246" t="inlineStr">
        <is>
          <t>400 Free</t>
        </is>
      </c>
      <c r="T12" s="616" t="n">
        <v>26</v>
      </c>
      <c r="U12" s="249" t="n">
        <v>21.11</v>
      </c>
      <c r="V12" s="249" t="n">
        <v>23.05</v>
      </c>
      <c r="W12" s="250">
        <f>U12-V12</f>
        <v/>
      </c>
    </row>
    <row r="13">
      <c r="A13" s="241" t="inlineStr">
        <is>
          <t>200 Fly</t>
        </is>
      </c>
      <c r="B13" s="593" t="n">
        <v>18</v>
      </c>
      <c r="C13" s="593" t="n">
        <v>22</v>
      </c>
      <c r="D13" s="244" t="n">
        <v>23</v>
      </c>
      <c r="E13" s="245" t="n">
        <v>22.05</v>
      </c>
      <c r="F13" s="692" t="n"/>
      <c r="G13" s="241" t="inlineStr">
        <is>
          <t>200 Free</t>
        </is>
      </c>
      <c r="H13" s="593" t="n">
        <v>19</v>
      </c>
      <c r="I13" s="593" t="n">
        <v>23</v>
      </c>
      <c r="J13" s="244" t="n">
        <v>23</v>
      </c>
      <c r="K13" s="245" t="n">
        <v>22.45</v>
      </c>
      <c r="L13" s="692" t="n"/>
      <c r="M13" s="241" t="inlineStr">
        <is>
          <t>50 Breast</t>
        </is>
      </c>
      <c r="N13" s="593" t="n">
        <v>22</v>
      </c>
      <c r="O13" s="244" t="n">
        <v>23</v>
      </c>
      <c r="P13" s="244" t="n">
        <v>22.15</v>
      </c>
      <c r="Q13" s="245">
        <f>O13-P13</f>
        <v/>
      </c>
      <c r="R13" s="692" t="n"/>
      <c r="S13" s="241" t="inlineStr">
        <is>
          <t>200 Fly</t>
        </is>
      </c>
      <c r="T13" s="593" t="n">
        <v>23</v>
      </c>
      <c r="U13" s="244" t="n">
        <v>21.89</v>
      </c>
      <c r="V13" s="244" t="n">
        <v>22.55</v>
      </c>
      <c r="W13" s="245">
        <f>U13-V13</f>
        <v/>
      </c>
    </row>
    <row r="14">
      <c r="A14" s="246" t="inlineStr">
        <is>
          <t>50 Breast</t>
        </is>
      </c>
      <c r="B14" s="616" t="n">
        <v>20</v>
      </c>
      <c r="C14" s="616" t="n">
        <v>24</v>
      </c>
      <c r="D14" s="249" t="n">
        <v>23</v>
      </c>
      <c r="E14" s="250" t="n">
        <v>22.15</v>
      </c>
      <c r="F14" s="692" t="n"/>
      <c r="G14" s="246" t="inlineStr">
        <is>
          <t>100 Free</t>
        </is>
      </c>
      <c r="H14" s="616" t="n">
        <v>19</v>
      </c>
      <c r="I14" s="616" t="n">
        <v>23</v>
      </c>
      <c r="J14" s="249" t="n">
        <v>23.11</v>
      </c>
      <c r="K14" s="250" t="n">
        <v>22.65</v>
      </c>
      <c r="L14" s="692" t="n"/>
      <c r="M14" s="246" t="inlineStr">
        <is>
          <t>200 Fly</t>
        </is>
      </c>
      <c r="N14" s="616" t="n">
        <v>24</v>
      </c>
      <c r="O14" s="249" t="n">
        <v>23</v>
      </c>
      <c r="P14" s="249" t="n">
        <v>22.05</v>
      </c>
      <c r="Q14" s="250">
        <f>O14-P14</f>
        <v/>
      </c>
      <c r="R14" s="692" t="n"/>
      <c r="S14" s="246" t="inlineStr">
        <is>
          <t>100 Free</t>
        </is>
      </c>
      <c r="T14" s="616" t="n">
        <v>23</v>
      </c>
      <c r="U14" s="249" t="n">
        <v>23.11</v>
      </c>
      <c r="V14" s="249" t="n">
        <v>22.65</v>
      </c>
      <c r="W14" s="250">
        <f>U14-V14</f>
        <v/>
      </c>
    </row>
    <row r="15">
      <c r="A15" s="241" t="inlineStr">
        <is>
          <t>100 Free</t>
        </is>
      </c>
      <c r="B15" s="593" t="n">
        <v>19</v>
      </c>
      <c r="C15" s="593" t="n">
        <v>23</v>
      </c>
      <c r="D15" s="244" t="n">
        <v>24.89</v>
      </c>
      <c r="E15" s="245" t="n">
        <v>23.85</v>
      </c>
      <c r="F15" s="692" t="n"/>
      <c r="G15" s="241" t="inlineStr">
        <is>
          <t>100 Back</t>
        </is>
      </c>
      <c r="H15" s="593" t="n">
        <v>20</v>
      </c>
      <c r="I15" s="593" t="n">
        <v>24</v>
      </c>
      <c r="J15" s="244" t="n">
        <v>24.78</v>
      </c>
      <c r="K15" s="245" t="n">
        <v>24.15</v>
      </c>
      <c r="L15" s="692" t="n"/>
      <c r="M15" s="241" t="inlineStr">
        <is>
          <t>100 Free</t>
        </is>
      </c>
      <c r="N15" s="593" t="n">
        <v>23</v>
      </c>
      <c r="O15" s="244" t="n">
        <v>24.89</v>
      </c>
      <c r="P15" s="244" t="n">
        <v>23.85</v>
      </c>
      <c r="Q15" s="245">
        <f>O15-P15</f>
        <v/>
      </c>
      <c r="R15" s="692" t="n"/>
      <c r="S15" s="241" t="inlineStr">
        <is>
          <t>200 Free</t>
        </is>
      </c>
      <c r="T15" s="593" t="n">
        <v>24</v>
      </c>
      <c r="U15" s="244" t="n">
        <v>23</v>
      </c>
      <c r="V15" s="244" t="n">
        <v>22.45</v>
      </c>
      <c r="W15" s="245">
        <f>U15-V15</f>
        <v/>
      </c>
    </row>
    <row r="16">
      <c r="A16" s="246" t="inlineStr">
        <is>
          <t>50 Free</t>
        </is>
      </c>
      <c r="B16" s="616" t="n">
        <v>20</v>
      </c>
      <c r="C16" s="616" t="n">
        <v>24</v>
      </c>
      <c r="D16" s="249" t="n">
        <v>27.89</v>
      </c>
      <c r="E16" s="250" t="n">
        <v>24.05</v>
      </c>
      <c r="F16" s="692" t="n"/>
      <c r="G16" s="246" t="inlineStr">
        <is>
          <t>50 Fly</t>
        </is>
      </c>
      <c r="H16" s="616" t="n">
        <v>21</v>
      </c>
      <c r="I16" s="616" t="n">
        <v>25</v>
      </c>
      <c r="J16" s="249" t="n">
        <v>25.11</v>
      </c>
      <c r="K16" s="250" t="n">
        <v>27.65</v>
      </c>
      <c r="L16" s="692" t="n"/>
      <c r="M16" s="246" t="inlineStr">
        <is>
          <t>50 Fly</t>
        </is>
      </c>
      <c r="N16" s="616" t="n">
        <v>24</v>
      </c>
      <c r="O16" s="249" t="n">
        <v>27.89</v>
      </c>
      <c r="P16" s="249" t="n">
        <v>24.65</v>
      </c>
      <c r="Q16" s="250">
        <f>O16-P16</f>
        <v/>
      </c>
      <c r="R16" s="692" t="n"/>
      <c r="S16" s="246" t="inlineStr">
        <is>
          <t>100 Back</t>
        </is>
      </c>
      <c r="T16" s="616" t="n">
        <v>25</v>
      </c>
      <c r="U16" s="249" t="n">
        <v>24.78</v>
      </c>
      <c r="V16" s="249" t="n">
        <v>24.15</v>
      </c>
      <c r="W16" s="250">
        <f>U16-V16</f>
        <v/>
      </c>
    </row>
    <row r="17">
      <c r="A17" s="241" t="inlineStr">
        <is>
          <t>50 Fly</t>
        </is>
      </c>
      <c r="B17" s="593" t="n">
        <v>21</v>
      </c>
      <c r="C17" s="593" t="n">
        <v>25</v>
      </c>
      <c r="D17" s="244" t="n">
        <v>27.89</v>
      </c>
      <c r="E17" s="245" t="n">
        <v>24.65</v>
      </c>
      <c r="F17" s="692" t="n"/>
      <c r="G17" s="241" t="inlineStr">
        <is>
          <t>100 Fly</t>
        </is>
      </c>
      <c r="H17" s="593" t="n">
        <v>20</v>
      </c>
      <c r="I17" s="593" t="n">
        <v>24</v>
      </c>
      <c r="J17" s="244" t="n">
        <v>25.56</v>
      </c>
      <c r="K17" s="245" t="n">
        <v>23.55</v>
      </c>
      <c r="L17" s="692" t="n"/>
      <c r="M17" s="241" t="inlineStr">
        <is>
          <t>50 Free</t>
        </is>
      </c>
      <c r="N17" s="593" t="n">
        <v>25</v>
      </c>
      <c r="O17" s="244" t="n">
        <v>27.89</v>
      </c>
      <c r="P17" s="244" t="n">
        <v>24.05</v>
      </c>
      <c r="Q17" s="245">
        <f>O17-P17</f>
        <v/>
      </c>
      <c r="R17" s="692" t="n"/>
      <c r="S17" s="241" t="inlineStr">
        <is>
          <t>100 Fly</t>
        </is>
      </c>
      <c r="T17" s="593" t="n">
        <v>24</v>
      </c>
      <c r="U17" s="244" t="n">
        <v>25.56</v>
      </c>
      <c r="V17" s="244" t="n">
        <v>23.55</v>
      </c>
      <c r="W17" s="245">
        <f>U17-V17</f>
        <v/>
      </c>
    </row>
    <row r="18">
      <c r="A18" s="251" t="inlineStr">
        <is>
          <t>100 Fly</t>
        </is>
      </c>
      <c r="B18" s="252" t="n">
        <v>19</v>
      </c>
      <c r="C18" s="252" t="n">
        <v>23</v>
      </c>
      <c r="D18" s="255" t="n">
        <v>28.33</v>
      </c>
      <c r="E18" s="256" t="n">
        <v>24.45</v>
      </c>
      <c r="F18" s="692" t="n"/>
      <c r="G18" s="251" t="inlineStr">
        <is>
          <t>50 Back</t>
        </is>
      </c>
      <c r="H18" s="252" t="n">
        <v>20</v>
      </c>
      <c r="I18" s="252" t="n">
        <v>24</v>
      </c>
      <c r="J18" s="255" t="n">
        <v>26.33</v>
      </c>
      <c r="K18" s="256" t="n">
        <v>22.35</v>
      </c>
      <c r="L18" s="692" t="n"/>
      <c r="M18" s="251" t="inlineStr">
        <is>
          <t>100 Fly</t>
        </is>
      </c>
      <c r="N18" s="252" t="n">
        <v>23</v>
      </c>
      <c r="O18" s="255" t="n">
        <v>28.33</v>
      </c>
      <c r="P18" s="255" t="n">
        <v>24.45</v>
      </c>
      <c r="Q18" s="256">
        <f>O18-P18</f>
        <v/>
      </c>
      <c r="R18" s="692" t="n"/>
      <c r="S18" s="251" t="inlineStr">
        <is>
          <t>50 Back</t>
        </is>
      </c>
      <c r="T18" s="252" t="n">
        <v>24</v>
      </c>
      <c r="U18" s="255" t="n">
        <v>26.33</v>
      </c>
      <c r="V18" s="255" t="n">
        <v>22.35</v>
      </c>
      <c r="W18" s="256">
        <f>U18-V18</f>
        <v/>
      </c>
    </row>
    <row r="19">
      <c r="B19" s="692" t="n"/>
      <c r="C19" s="692" t="n"/>
      <c r="D19" s="692" t="n"/>
      <c r="E19" s="692" t="n"/>
      <c r="F19" s="692" t="n"/>
      <c r="G19" s="692" t="n"/>
      <c r="H19" s="692" t="n"/>
      <c r="I19" s="692" t="n"/>
      <c r="J19" s="692" t="n"/>
      <c r="K19" s="692" t="n"/>
      <c r="L19" s="692" t="n"/>
      <c r="N19" s="692" t="n"/>
      <c r="O19" s="692" t="n"/>
      <c r="P19" s="692" t="n"/>
      <c r="Q19" s="692" t="n"/>
      <c r="R19" s="692" t="n"/>
      <c r="S19" s="692" t="n"/>
      <c r="T19" s="692" t="n"/>
      <c r="U19" s="692" t="n"/>
      <c r="V19" s="692" t="n"/>
      <c r="W19" s="692" t="n"/>
    </row>
    <row r="20">
      <c r="B20" s="692" t="n"/>
      <c r="C20" s="692" t="n"/>
      <c r="D20" s="692" t="n"/>
      <c r="E20" s="692" t="n"/>
      <c r="F20" s="692" t="n"/>
      <c r="G20" s="692" t="n"/>
      <c r="H20" s="692" t="n"/>
      <c r="I20" s="692" t="n"/>
      <c r="J20" s="692" t="n"/>
      <c r="K20" s="692" t="n"/>
      <c r="L20" s="692" t="n"/>
      <c r="N20" s="692" t="n"/>
      <c r="O20" s="692" t="n"/>
      <c r="P20" s="692" t="n"/>
      <c r="Q20" s="692" t="n"/>
      <c r="R20" s="692" t="n"/>
      <c r="S20" s="692" t="n"/>
      <c r="T20" s="692" t="n"/>
      <c r="U20" s="692" t="n"/>
      <c r="V20" s="692" t="n"/>
      <c r="W20" s="692" t="n"/>
    </row>
    <row r="21">
      <c r="B21" s="692" t="n"/>
      <c r="C21" s="692" t="n"/>
      <c r="D21" s="692" t="n"/>
      <c r="E21" s="692" t="n"/>
      <c r="F21" s="692" t="n"/>
      <c r="G21" s="692" t="n"/>
      <c r="H21" s="692" t="n"/>
      <c r="I21" s="692" t="n"/>
      <c r="J21" s="692" t="n"/>
      <c r="K21" s="692" t="n"/>
      <c r="L21" s="692" t="n"/>
      <c r="N21" s="692" t="n"/>
      <c r="O21" s="692" t="n"/>
      <c r="P21" s="692" t="n"/>
      <c r="Q21" s="692" t="n"/>
      <c r="R21" s="692" t="n"/>
      <c r="S21" s="692" t="n"/>
      <c r="T21" s="692" t="n"/>
      <c r="U21" s="692" t="n"/>
      <c r="V21" s="692" t="n"/>
      <c r="W21" s="692" t="n"/>
    </row>
    <row r="22">
      <c r="B22" s="692" t="n"/>
      <c r="C22" s="692" t="n"/>
      <c r="D22" s="692" t="n"/>
      <c r="E22" s="692" t="n"/>
      <c r="F22" s="158" t="n"/>
      <c r="G22" s="158" t="n"/>
      <c r="H22" s="158" t="n"/>
      <c r="I22" s="692" t="n"/>
      <c r="J22" s="692" t="n"/>
      <c r="K22" s="692" t="n"/>
      <c r="L22" s="692" t="n"/>
      <c r="N22" s="692" t="n"/>
      <c r="O22" s="692" t="n"/>
      <c r="P22" s="692" t="n"/>
      <c r="Q22" s="158" t="n"/>
      <c r="R22" s="158" t="n"/>
      <c r="S22" s="158" t="n"/>
      <c r="T22" s="692" t="n"/>
      <c r="U22" s="692" t="n"/>
      <c r="V22" s="692" t="n"/>
      <c r="W22" s="692" t="n"/>
    </row>
    <row r="23">
      <c r="B23" s="692" t="n"/>
      <c r="C23" s="692" t="n"/>
      <c r="D23" s="692" t="n"/>
      <c r="E23" s="692" t="n"/>
      <c r="F23" s="692" t="n"/>
      <c r="G23" s="692" t="n"/>
      <c r="H23" s="692" t="n"/>
      <c r="I23" s="692" t="n"/>
      <c r="J23" s="692" t="n"/>
      <c r="K23" s="692" t="n"/>
      <c r="L23" s="692" t="n"/>
      <c r="M23" s="689" t="inlineStr">
        <is>
          <t xml:space="preserve">Canada expects the average age of high performance arrival to happen around age 22, the average age of SEA Games medalists is 27.9, World Top 10 average is 24.1 </t>
        </is>
      </c>
      <c r="N23" s="692" t="n"/>
      <c r="O23" s="692" t="n"/>
      <c r="P23" s="692" t="n"/>
      <c r="Q23" s="692" t="n"/>
      <c r="R23" s="692" t="n"/>
      <c r="S23" s="692" t="n"/>
      <c r="T23" s="692" t="n"/>
      <c r="U23" s="692" t="n"/>
      <c r="V23" s="692" t="n"/>
      <c r="W23" s="692" t="n"/>
    </row>
    <row r="24">
      <c r="B24" s="692" t="n"/>
      <c r="C24" s="692" t="n"/>
      <c r="D24" s="692" t="n"/>
      <c r="E24" s="692" t="n"/>
      <c r="F24" s="158" t="n"/>
      <c r="G24" s="158" t="n"/>
      <c r="H24" s="158" t="n"/>
      <c r="I24" s="158" t="n"/>
      <c r="J24" s="158" t="n"/>
      <c r="K24" s="158" t="n"/>
      <c r="L24" s="158" t="n"/>
      <c r="M24" s="689" t="inlineStr">
        <is>
          <t>Malaysia's guidelines for funding ask for the swimmer to "arrive" at age 20 to obtain Podium status, 2 years before Canada does, and 4 years before the average age of the world's best athletes, and 8 years before they should be expected to medal at SEA Games.</t>
        </is>
      </c>
      <c r="N24" s="692" t="n"/>
      <c r="O24" s="692" t="n"/>
      <c r="P24" s="692" t="n"/>
      <c r="Q24" s="158" t="n"/>
      <c r="R24" s="158" t="n"/>
      <c r="S24" s="158" t="n"/>
      <c r="T24" s="158" t="n"/>
      <c r="U24" s="158" t="n"/>
      <c r="V24" s="158" t="n"/>
      <c r="W24" s="158" t="n"/>
    </row>
    <row r="25">
      <c r="B25" s="692" t="n"/>
      <c r="C25" s="692" t="n"/>
      <c r="D25" s="692" t="n"/>
      <c r="E25" s="692" t="n"/>
      <c r="F25" s="158" t="n"/>
      <c r="G25" s="158" t="n"/>
      <c r="H25" s="158" t="n"/>
      <c r="I25" s="158" t="n"/>
      <c r="J25" s="158" t="n"/>
      <c r="K25" s="158" t="n"/>
      <c r="L25" s="158" t="n"/>
      <c r="M25" s="158" t="n"/>
      <c r="N25" s="692" t="n"/>
      <c r="O25" s="692" t="n"/>
      <c r="P25" s="692" t="n"/>
      <c r="Q25" s="158" t="n"/>
      <c r="R25" s="158" t="n"/>
      <c r="S25" s="158" t="n"/>
      <c r="T25" s="158" t="n"/>
      <c r="U25" s="158" t="n"/>
      <c r="V25" s="158" t="n"/>
      <c r="W25" s="158" t="n"/>
    </row>
    <row r="26">
      <c r="B26" s="692" t="n"/>
      <c r="C26" s="692" t="n"/>
      <c r="D26" s="692" t="n"/>
      <c r="E26" s="692" t="n"/>
      <c r="F26" s="692" t="n"/>
      <c r="G26" s="692" t="n"/>
      <c r="H26" s="692" t="n"/>
      <c r="I26" s="692" t="n"/>
      <c r="J26" s="692" t="n"/>
      <c r="K26" s="692" t="n"/>
      <c r="L26" s="692" t="n"/>
      <c r="M26" s="692" t="n"/>
      <c r="N26" s="692" t="n"/>
      <c r="O26" s="692" t="n"/>
      <c r="P26" s="692" t="n"/>
      <c r="Q26" s="692" t="n"/>
      <c r="R26" s="692" t="n"/>
      <c r="S26" s="692" t="n"/>
      <c r="T26" s="692" t="n"/>
      <c r="U26" s="692" t="n"/>
      <c r="V26" s="692" t="n"/>
      <c r="W26" s="692" t="n"/>
    </row>
    <row r="27">
      <c r="B27" s="692" t="n"/>
      <c r="C27" s="692" t="n"/>
      <c r="D27" s="692" t="n"/>
      <c r="E27" s="692" t="n"/>
      <c r="F27" s="692" t="n"/>
      <c r="G27" s="692" t="n"/>
      <c r="H27" s="239" t="inlineStr">
        <is>
          <t>Male Pipeline Gap</t>
        </is>
      </c>
      <c r="K27" s="692" t="n"/>
      <c r="L27" s="692" t="n"/>
      <c r="M27" s="239" t="n"/>
      <c r="N27" s="239" t="inlineStr">
        <is>
          <t>Female Pipeline Gap</t>
        </is>
      </c>
      <c r="S27" s="239" t="n"/>
      <c r="T27" s="239" t="n"/>
    </row>
    <row r="28">
      <c r="B28" s="692" t="n"/>
      <c r="C28" s="692" t="n"/>
      <c r="D28" s="692" t="n"/>
      <c r="E28" s="692" t="n"/>
      <c r="H28" s="167" t="inlineStr">
        <is>
          <t>Event</t>
        </is>
      </c>
      <c r="I28" s="240" t="inlineStr">
        <is>
          <t>SEA Games Medal Age</t>
        </is>
      </c>
      <c r="J28" s="170" t="inlineStr">
        <is>
          <t>Pipeline Gap</t>
        </is>
      </c>
      <c r="K28" s="692" t="n"/>
      <c r="L28" s="692" t="n"/>
      <c r="M28" s="239" t="n"/>
      <c r="N28" s="257" t="inlineStr">
        <is>
          <t>Event</t>
        </is>
      </c>
      <c r="O28" s="258" t="inlineStr">
        <is>
          <t>SEA Games Medal Age</t>
        </is>
      </c>
      <c r="P28" s="259" t="inlineStr">
        <is>
          <t>Pipeline Gap</t>
        </is>
      </c>
    </row>
    <row r="29">
      <c r="B29" s="692" t="n"/>
      <c r="C29" s="692" t="n"/>
      <c r="D29" s="692" t="n"/>
      <c r="E29" s="692" t="n"/>
      <c r="H29" s="241" t="inlineStr">
        <is>
          <t>50 Back</t>
        </is>
      </c>
      <c r="I29" s="244" t="n">
        <v>26.33</v>
      </c>
      <c r="J29" s="245">
        <f>21-I29</f>
        <v/>
      </c>
      <c r="K29" s="692" t="n"/>
      <c r="L29" s="692" t="n"/>
      <c r="M29" s="239" t="n"/>
      <c r="N29" s="260" t="inlineStr">
        <is>
          <t>100 Fly</t>
        </is>
      </c>
      <c r="O29" s="261" t="n">
        <v>28.33</v>
      </c>
      <c r="P29" s="262">
        <f>21-O29</f>
        <v/>
      </c>
    </row>
    <row r="30">
      <c r="B30" s="692" t="n"/>
      <c r="C30" s="692" t="n"/>
      <c r="D30" s="692" t="n"/>
      <c r="E30" s="692" t="n"/>
      <c r="H30" s="246" t="inlineStr">
        <is>
          <t>100 Fly</t>
        </is>
      </c>
      <c r="I30" s="249" t="n">
        <v>25.56</v>
      </c>
      <c r="J30" s="250">
        <f>21-I30</f>
        <v/>
      </c>
      <c r="K30" s="692" t="n"/>
      <c r="L30" s="692" t="n"/>
      <c r="M30" s="239" t="n"/>
      <c r="N30" s="260" t="inlineStr">
        <is>
          <t>50 Fly</t>
        </is>
      </c>
      <c r="O30" s="261" t="n">
        <v>27.89</v>
      </c>
      <c r="P30" s="262">
        <f>21-O30</f>
        <v/>
      </c>
    </row>
    <row r="31">
      <c r="B31" s="692" t="n"/>
      <c r="C31" s="692" t="n"/>
      <c r="D31" s="692" t="n"/>
      <c r="E31" s="692" t="n"/>
      <c r="H31" s="241" t="inlineStr">
        <is>
          <t>50 Fly</t>
        </is>
      </c>
      <c r="I31" s="244" t="n">
        <v>25.11</v>
      </c>
      <c r="J31" s="245">
        <f>21-I31</f>
        <v/>
      </c>
      <c r="K31" s="692" t="n"/>
      <c r="L31" s="692" t="n"/>
      <c r="M31" s="239" t="n"/>
      <c r="N31" s="263" t="inlineStr">
        <is>
          <t>50 Free</t>
        </is>
      </c>
      <c r="O31" s="261" t="n">
        <v>27.89</v>
      </c>
      <c r="P31" s="262">
        <f>21-O31</f>
        <v/>
      </c>
    </row>
    <row r="32">
      <c r="B32" s="692" t="n"/>
      <c r="C32" s="692" t="n"/>
      <c r="D32" s="692" t="n"/>
      <c r="E32" s="692" t="n"/>
      <c r="H32" s="246" t="inlineStr">
        <is>
          <t>100 Back</t>
        </is>
      </c>
      <c r="I32" s="249" t="n">
        <v>24.78</v>
      </c>
      <c r="J32" s="250">
        <f>21-I32</f>
        <v/>
      </c>
      <c r="K32" s="692" t="n"/>
      <c r="L32" s="692" t="n"/>
      <c r="M32" s="239" t="n"/>
      <c r="N32" s="263" t="inlineStr">
        <is>
          <t>100 Free</t>
        </is>
      </c>
      <c r="O32" s="261" t="n">
        <v>24.89</v>
      </c>
      <c r="P32" s="262">
        <f>21-O32</f>
        <v/>
      </c>
    </row>
    <row r="33">
      <c r="B33" s="692" t="n"/>
      <c r="C33" s="692" t="n"/>
      <c r="D33" s="692" t="n"/>
      <c r="E33" s="692" t="n"/>
      <c r="H33" s="241" t="inlineStr">
        <is>
          <t>100 Free</t>
        </is>
      </c>
      <c r="I33" s="244" t="n">
        <v>23.11</v>
      </c>
      <c r="J33" s="245">
        <f>21-I33</f>
        <v/>
      </c>
      <c r="K33" s="692" t="n"/>
      <c r="L33" s="692" t="n"/>
      <c r="M33" s="239" t="n"/>
      <c r="N33" s="263" t="inlineStr">
        <is>
          <t>50 Breast</t>
        </is>
      </c>
      <c r="O33" s="261" t="n">
        <v>23</v>
      </c>
      <c r="P33" s="262">
        <f>21-O33</f>
        <v/>
      </c>
    </row>
    <row r="34">
      <c r="B34" s="692" t="n"/>
      <c r="C34" s="692" t="n"/>
      <c r="D34" s="692" t="n"/>
      <c r="E34" s="692" t="n"/>
      <c r="H34" s="246" t="inlineStr">
        <is>
          <t>200 Free</t>
        </is>
      </c>
      <c r="I34" s="249" t="n">
        <v>23</v>
      </c>
      <c r="J34" s="250">
        <f>21-I34</f>
        <v/>
      </c>
      <c r="K34" s="692" t="n"/>
      <c r="L34" s="692" t="n"/>
      <c r="M34" s="239" t="n"/>
      <c r="N34" s="260" t="inlineStr">
        <is>
          <t>200 Fly</t>
        </is>
      </c>
      <c r="O34" s="261" t="n">
        <v>23</v>
      </c>
      <c r="P34" s="262">
        <f>21-O34</f>
        <v/>
      </c>
    </row>
    <row r="35">
      <c r="B35" s="692" t="n"/>
      <c r="C35" s="692" t="n"/>
      <c r="D35" s="692" t="n"/>
      <c r="E35" s="692" t="n"/>
      <c r="H35" s="241" t="inlineStr">
        <is>
          <t>50 Breast</t>
        </is>
      </c>
      <c r="I35" s="244" t="n">
        <v>22.44</v>
      </c>
      <c r="J35" s="245">
        <f>21-I35</f>
        <v/>
      </c>
      <c r="K35" s="692" t="n"/>
      <c r="L35" s="692" t="n"/>
      <c r="M35" s="239" t="n"/>
      <c r="N35" s="260" t="inlineStr">
        <is>
          <t>200 Back</t>
        </is>
      </c>
      <c r="O35" s="261" t="n">
        <v>22.44</v>
      </c>
      <c r="P35" s="262">
        <f>21-O35</f>
        <v/>
      </c>
    </row>
    <row r="36">
      <c r="B36" s="692" t="n"/>
      <c r="C36" s="692" t="n"/>
      <c r="D36" s="692" t="n"/>
      <c r="E36" s="692" t="n"/>
      <c r="H36" s="246" t="inlineStr">
        <is>
          <t>100 Breast</t>
        </is>
      </c>
      <c r="I36" s="249" t="n">
        <v>22.11</v>
      </c>
      <c r="J36" s="250">
        <f>21-I36</f>
        <v/>
      </c>
      <c r="K36" s="692" t="n"/>
      <c r="L36" s="692" t="n"/>
      <c r="M36" s="239" t="n"/>
      <c r="N36" s="263" t="inlineStr">
        <is>
          <t>200 Breast</t>
        </is>
      </c>
      <c r="O36" s="261" t="n">
        <v>22.33</v>
      </c>
      <c r="P36" s="262">
        <f>21-O36</f>
        <v/>
      </c>
    </row>
    <row r="37">
      <c r="B37" s="692" t="n"/>
      <c r="C37" s="692" t="n"/>
      <c r="D37" s="692" t="n"/>
      <c r="E37" s="692" t="n"/>
      <c r="H37" s="241" t="inlineStr">
        <is>
          <t>50 Free</t>
        </is>
      </c>
      <c r="I37" s="244" t="n">
        <v>22.11</v>
      </c>
      <c r="J37" s="245">
        <f>21-I37</f>
        <v/>
      </c>
      <c r="K37" s="692" t="n"/>
      <c r="L37" s="692" t="n"/>
      <c r="M37" s="239" t="n"/>
      <c r="N37" s="263" t="inlineStr">
        <is>
          <t>200 Free</t>
        </is>
      </c>
      <c r="O37" s="261" t="n">
        <v>21.78</v>
      </c>
      <c r="P37" s="262">
        <f>21-O37</f>
        <v/>
      </c>
    </row>
    <row r="38">
      <c r="B38" s="692" t="n"/>
      <c r="C38" s="692" t="n"/>
      <c r="D38" s="692" t="n"/>
      <c r="E38" s="692" t="n"/>
      <c r="H38" s="246" t="inlineStr">
        <is>
          <t>200 Fly</t>
        </is>
      </c>
      <c r="I38" s="249" t="n">
        <v>21.89</v>
      </c>
      <c r="J38" s="250">
        <f>21-I38</f>
        <v/>
      </c>
      <c r="K38" s="692" t="n"/>
      <c r="L38" s="692" t="n"/>
      <c r="M38" s="239" t="n"/>
      <c r="N38" s="263" t="inlineStr">
        <is>
          <t>100 Back</t>
        </is>
      </c>
      <c r="O38" s="261" t="n">
        <v>21.67</v>
      </c>
      <c r="P38" s="262">
        <f>21-O38</f>
        <v/>
      </c>
    </row>
    <row r="39">
      <c r="B39" s="692" t="n"/>
      <c r="C39" s="692" t="n"/>
      <c r="D39" s="692" t="n"/>
      <c r="E39" s="692" t="n"/>
      <c r="H39" s="241" t="inlineStr">
        <is>
          <t>400 Free</t>
        </is>
      </c>
      <c r="I39" s="244" t="n">
        <v>21.11</v>
      </c>
      <c r="J39" s="245">
        <f>21-I39</f>
        <v/>
      </c>
      <c r="K39" s="692" t="n"/>
      <c r="L39" s="692" t="n"/>
      <c r="M39" s="239" t="n"/>
      <c r="N39" s="260" t="inlineStr">
        <is>
          <t>100 Breast</t>
        </is>
      </c>
      <c r="O39" s="261" t="n">
        <v>21.33</v>
      </c>
      <c r="P39" s="262">
        <f>21-O39</f>
        <v/>
      </c>
    </row>
    <row r="40">
      <c r="B40" s="692" t="n"/>
      <c r="C40" s="692" t="n"/>
      <c r="D40" s="692" t="n"/>
      <c r="E40" s="692" t="n"/>
      <c r="H40" s="246" t="inlineStr">
        <is>
          <t>200 Breast</t>
        </is>
      </c>
      <c r="I40" s="249" t="n">
        <v>21</v>
      </c>
      <c r="J40" s="250">
        <f>21-I40</f>
        <v/>
      </c>
      <c r="K40" s="692" t="n"/>
      <c r="L40" s="692" t="n"/>
      <c r="M40" s="239" t="n"/>
      <c r="N40" s="260" t="inlineStr">
        <is>
          <t>400 Free</t>
        </is>
      </c>
      <c r="O40" s="261" t="n">
        <v>21.11</v>
      </c>
      <c r="P40" s="262">
        <f>21-O40</f>
        <v/>
      </c>
    </row>
    <row r="41">
      <c r="B41" s="692" t="n"/>
      <c r="C41" s="692" t="n"/>
      <c r="D41" s="692" t="n"/>
      <c r="E41" s="692" t="n"/>
      <c r="H41" s="241" t="inlineStr">
        <is>
          <t>200 IM</t>
        </is>
      </c>
      <c r="I41" s="244" t="n">
        <v>20.44</v>
      </c>
      <c r="J41" s="245">
        <f>21-I41</f>
        <v/>
      </c>
      <c r="K41" s="692" t="n"/>
      <c r="L41" s="692" t="n"/>
      <c r="M41" s="239" t="n"/>
      <c r="N41" s="260" t="inlineStr">
        <is>
          <t>200 IM</t>
        </is>
      </c>
      <c r="O41" s="261" t="n">
        <v>20.56</v>
      </c>
      <c r="P41" s="262">
        <f>21-O41</f>
        <v/>
      </c>
    </row>
    <row r="42">
      <c r="B42" s="692" t="n"/>
      <c r="C42" s="692" t="n"/>
      <c r="D42" s="692" t="n"/>
      <c r="E42" s="692" t="n"/>
      <c r="H42" s="246" t="inlineStr">
        <is>
          <t>1500 Free</t>
        </is>
      </c>
      <c r="I42" s="249" t="n">
        <v>20.22</v>
      </c>
      <c r="J42" s="250">
        <f>21-I42</f>
        <v/>
      </c>
      <c r="K42" s="692" t="n"/>
      <c r="L42" s="692" t="n"/>
      <c r="M42" s="239" t="n"/>
      <c r="N42" s="263" t="inlineStr">
        <is>
          <t>50 Back</t>
        </is>
      </c>
      <c r="O42" s="261" t="n">
        <v>20.33</v>
      </c>
      <c r="P42" s="262">
        <f>21-O42</f>
        <v/>
      </c>
    </row>
    <row r="43">
      <c r="B43" s="692" t="n"/>
      <c r="C43" s="692" t="n"/>
      <c r="D43" s="692" t="n"/>
      <c r="E43" s="692" t="n"/>
      <c r="H43" s="241" t="inlineStr">
        <is>
          <t>200 Back</t>
        </is>
      </c>
      <c r="I43" s="244" t="n">
        <v>19.67</v>
      </c>
      <c r="J43" s="245">
        <f>21-I43</f>
        <v/>
      </c>
      <c r="K43" s="692" t="n"/>
      <c r="L43" s="692" t="n"/>
      <c r="M43" s="239" t="n"/>
      <c r="N43" s="263" t="inlineStr">
        <is>
          <t>400 IM</t>
        </is>
      </c>
      <c r="O43" s="261" t="n">
        <v>18.44</v>
      </c>
      <c r="P43" s="262">
        <f>21-O43</f>
        <v/>
      </c>
    </row>
    <row r="44">
      <c r="B44" s="692" t="n"/>
      <c r="C44" s="692" t="n"/>
      <c r="D44" s="692" t="n"/>
      <c r="E44" s="692" t="n"/>
      <c r="H44" s="251" t="inlineStr">
        <is>
          <t>400 IM</t>
        </is>
      </c>
      <c r="I44" s="255" t="n">
        <v>19</v>
      </c>
      <c r="J44" s="256">
        <f>21-I44</f>
        <v/>
      </c>
      <c r="K44" s="692" t="n"/>
      <c r="L44" s="692" t="n"/>
      <c r="M44" s="239" t="n"/>
      <c r="N44" s="264" t="inlineStr">
        <is>
          <t>800 Free</t>
        </is>
      </c>
      <c r="O44" s="265" t="n">
        <v>18</v>
      </c>
      <c r="P44" s="262">
        <f>21-O44</f>
        <v/>
      </c>
    </row>
    <row r="45">
      <c r="B45" s="692" t="n"/>
      <c r="C45" s="692" t="n"/>
      <c r="D45" s="692" t="n"/>
      <c r="E45" s="692" t="n"/>
      <c r="H45" s="692" t="n"/>
      <c r="I45" s="692" t="n"/>
      <c r="J45" s="692" t="n"/>
      <c r="K45" s="692" t="n"/>
      <c r="L45" s="692" t="n"/>
      <c r="M45" s="239" t="n"/>
      <c r="P45" s="692" t="n"/>
      <c r="Q45" s="692" t="n"/>
      <c r="R45" s="692" t="n"/>
      <c r="S45" s="692" t="n"/>
    </row>
    <row r="46">
      <c r="B46" s="692" t="n"/>
      <c r="C46" s="692" t="n"/>
      <c r="D46" s="692" t="n"/>
      <c r="E46" s="692" t="n"/>
      <c r="H46" s="692" t="n"/>
      <c r="I46" s="692" t="n"/>
      <c r="J46" s="692" t="n"/>
      <c r="K46" s="692" t="n"/>
      <c r="L46" s="692" t="n"/>
      <c r="M46" s="239" t="n"/>
      <c r="P46" s="692" t="n"/>
      <c r="Q46" s="692" t="n"/>
      <c r="R46" s="692" t="n"/>
      <c r="S46" s="692" t="n"/>
    </row>
    <row r="47">
      <c r="B47" s="692" t="n"/>
      <c r="C47" s="692" t="n"/>
      <c r="D47" s="692" t="n"/>
      <c r="E47" s="692" t="n"/>
      <c r="H47" s="692" t="n"/>
      <c r="I47" s="692" t="n"/>
      <c r="J47" s="692" t="n"/>
      <c r="K47" s="692" t="n"/>
      <c r="L47" s="692" t="n"/>
      <c r="M47" s="239" t="n"/>
      <c r="P47" s="692" t="n"/>
      <c r="Q47" s="692" t="n"/>
      <c r="R47" s="692" t="n"/>
      <c r="S47" s="692" t="n"/>
    </row>
    <row r="48">
      <c r="B48" s="692" t="n"/>
      <c r="C48" s="692" t="n"/>
      <c r="D48" s="692" t="n"/>
      <c r="E48" s="692" t="n"/>
      <c r="H48" s="692" t="n"/>
      <c r="I48" s="692" t="n"/>
      <c r="J48" s="692" t="n"/>
      <c r="K48" s="158" t="n"/>
      <c r="L48" s="158" t="n"/>
      <c r="M48" s="239" t="n"/>
      <c r="P48" s="692" t="n"/>
      <c r="Q48" s="692" t="n"/>
      <c r="R48" s="158" t="n"/>
      <c r="S48" s="158" t="n"/>
    </row>
    <row r="49">
      <c r="B49" s="692" t="n"/>
      <c r="C49" s="692" t="n"/>
      <c r="D49" s="692" t="n"/>
      <c r="E49" s="692" t="n"/>
      <c r="H49" s="692" t="n"/>
      <c r="I49" s="692" t="n"/>
      <c r="J49" s="692" t="n"/>
      <c r="K49" s="692" t="n"/>
      <c r="L49" s="692" t="n"/>
      <c r="M49" s="239" t="n"/>
      <c r="Q49" s="692" t="n"/>
      <c r="R49" s="692" t="n"/>
      <c r="S49" s="692" t="n"/>
      <c r="T49" s="692" t="n"/>
    </row>
    <row r="50">
      <c r="B50" s="692" t="n"/>
      <c r="C50" s="692" t="n"/>
      <c r="D50" s="692" t="n"/>
      <c r="E50" s="692" t="n"/>
      <c r="H50" s="692" t="n"/>
      <c r="I50" s="692" t="n"/>
      <c r="J50" s="692" t="n"/>
      <c r="K50" s="692" t="n"/>
      <c r="L50" s="692" t="n"/>
      <c r="M50" s="239" t="n"/>
      <c r="Q50" s="692" t="n"/>
      <c r="R50" s="692" t="n"/>
      <c r="S50" s="692" t="n"/>
      <c r="T50" s="692" t="n"/>
    </row>
    <row r="51">
      <c r="B51" s="692" t="n"/>
      <c r="C51" s="692" t="n"/>
      <c r="D51" s="692" t="n"/>
      <c r="E51" s="692" t="n"/>
      <c r="H51" s="692" t="n"/>
      <c r="I51" s="692" t="n"/>
      <c r="J51" s="692" t="n"/>
      <c r="K51" s="692" t="n"/>
      <c r="L51" s="692" t="n"/>
      <c r="M51" s="239" t="n"/>
      <c r="Q51" s="692" t="n"/>
      <c r="R51" s="692" t="n"/>
      <c r="S51" s="692" t="n"/>
      <c r="T51" s="692" t="n"/>
    </row>
    <row r="52">
      <c r="B52" s="692" t="n"/>
      <c r="C52" s="692" t="n"/>
      <c r="D52" s="692" t="n"/>
      <c r="E52" s="692" t="n"/>
      <c r="H52" s="692" t="n"/>
      <c r="I52" s="692" t="n"/>
      <c r="J52" s="692" t="n"/>
      <c r="K52" s="692" t="n"/>
      <c r="L52" s="692" t="n"/>
      <c r="M52" s="239" t="n"/>
      <c r="Q52" s="692" t="n"/>
      <c r="R52" s="692" t="n"/>
      <c r="S52" s="692" t="n"/>
      <c r="T52" s="692" t="n"/>
    </row>
    <row r="53">
      <c r="B53" s="692" t="n"/>
      <c r="C53" s="692" t="n"/>
      <c r="D53" s="692" t="n"/>
      <c r="E53" s="692" t="n"/>
      <c r="H53" s="692" t="n"/>
      <c r="I53" s="692" t="n"/>
      <c r="J53" s="692" t="n"/>
      <c r="K53" s="692" t="n"/>
      <c r="L53" s="692" t="n"/>
      <c r="M53" s="692" t="n"/>
      <c r="Q53" s="692" t="n"/>
      <c r="R53" s="692" t="n"/>
      <c r="S53" s="692" t="n"/>
      <c r="T53" s="692" t="n"/>
    </row>
    <row r="54">
      <c r="B54" s="692" t="n"/>
      <c r="C54" s="692" t="n"/>
      <c r="D54" s="692" t="n"/>
      <c r="E54" s="692" t="n"/>
      <c r="H54" s="692" t="n"/>
      <c r="I54" s="692" t="n"/>
      <c r="J54" s="692" t="n"/>
      <c r="K54" s="158" t="n"/>
      <c r="L54" s="158" t="n"/>
      <c r="M54" s="692" t="n"/>
      <c r="Q54" s="692" t="n"/>
      <c r="R54" s="692" t="n"/>
      <c r="S54" s="158" t="n"/>
      <c r="T54" s="158" t="n"/>
    </row>
    <row r="55">
      <c r="B55" s="692" t="n"/>
      <c r="C55" s="692" t="n"/>
      <c r="D55" s="692" t="n"/>
      <c r="E55" s="692" t="n"/>
      <c r="H55" s="692" t="n"/>
      <c r="I55" s="692" t="n"/>
      <c r="J55" s="692" t="n"/>
      <c r="K55" s="158" t="n"/>
      <c r="L55" s="158" t="n"/>
      <c r="M55" s="692" t="n"/>
      <c r="Q55" s="692" t="n"/>
      <c r="R55" s="692" t="n"/>
      <c r="S55" s="158" t="n"/>
      <c r="T55" s="158" t="n"/>
    </row>
    <row r="56">
      <c r="B56" s="692" t="n"/>
      <c r="C56" s="692" t="n"/>
      <c r="D56" s="692" t="n"/>
      <c r="E56" s="692" t="n"/>
      <c r="H56" s="692" t="n"/>
      <c r="I56" s="692" t="n"/>
      <c r="J56" s="692" t="n"/>
      <c r="K56" s="158" t="n"/>
      <c r="L56" s="158" t="n"/>
      <c r="M56" s="692" t="n"/>
      <c r="Q56" s="692" t="n"/>
      <c r="R56" s="692" t="n"/>
      <c r="S56" s="158" t="n"/>
      <c r="T56" s="158" t="n"/>
    </row>
    <row r="57">
      <c r="B57" s="692" t="n"/>
      <c r="C57" s="692" t="n"/>
      <c r="D57" s="692" t="n"/>
      <c r="E57" s="692" t="n"/>
      <c r="H57" s="692" t="n"/>
      <c r="I57" s="692" t="n"/>
      <c r="J57" s="692" t="n"/>
      <c r="K57" s="158" t="n"/>
      <c r="L57" s="158" t="n"/>
      <c r="N57" s="692" t="n"/>
      <c r="O57" s="692" t="n"/>
      <c r="P57" s="692" t="n"/>
      <c r="T57" s="692" t="n"/>
      <c r="U57" s="692" t="n"/>
      <c r="V57" s="158" t="n"/>
      <c r="W57" s="158" t="n"/>
    </row>
    <row r="58">
      <c r="B58" s="692" t="n"/>
      <c r="C58" s="692" t="n"/>
      <c r="D58" s="692" t="n"/>
      <c r="E58" s="692" t="n"/>
      <c r="H58" s="692" t="n"/>
      <c r="I58" s="692" t="n"/>
      <c r="J58" s="692" t="n"/>
      <c r="K58" s="158" t="n"/>
      <c r="L58" s="158" t="n"/>
      <c r="N58" s="692" t="n"/>
      <c r="O58" s="692" t="n"/>
      <c r="P58" s="692" t="n"/>
      <c r="T58" s="692" t="n"/>
      <c r="U58" s="692" t="n"/>
      <c r="V58" s="158" t="n"/>
      <c r="W58" s="158" t="n"/>
    </row>
    <row r="59">
      <c r="B59" s="692" t="n"/>
      <c r="C59" s="692" t="n"/>
      <c r="D59" s="692" t="n"/>
      <c r="E59" s="692" t="n"/>
      <c r="H59" s="692" t="n"/>
      <c r="I59" s="692" t="n"/>
      <c r="J59" s="692" t="n"/>
      <c r="K59" s="158" t="n"/>
      <c r="L59" s="158" t="n"/>
      <c r="N59" s="692" t="n"/>
      <c r="O59" s="692" t="n"/>
      <c r="P59" s="692" t="n"/>
      <c r="T59" s="692" t="n"/>
      <c r="U59" s="692" t="n"/>
      <c r="V59" s="158" t="n"/>
      <c r="W59" s="158" t="n"/>
    </row>
    <row r="60">
      <c r="B60" s="692" t="n"/>
      <c r="C60" s="692" t="n"/>
      <c r="D60" s="692" t="n"/>
      <c r="E60" s="692" t="n"/>
      <c r="H60" s="692" t="n"/>
      <c r="I60" s="692" t="n"/>
      <c r="J60" s="692" t="n"/>
      <c r="K60" s="692" t="n"/>
      <c r="L60" s="692" t="n"/>
      <c r="N60" s="692" t="n"/>
      <c r="O60" s="692" t="n"/>
      <c r="P60" s="692" t="n"/>
      <c r="T60" s="692" t="n"/>
      <c r="U60" s="692" t="n"/>
      <c r="V60" s="692" t="n"/>
      <c r="W60" s="692" t="n"/>
    </row>
    <row r="61">
      <c r="B61" s="692" t="n"/>
      <c r="C61" s="692" t="n"/>
      <c r="D61" s="692" t="n"/>
      <c r="E61" s="692" t="n"/>
      <c r="H61" s="692" t="n"/>
      <c r="I61" s="692" t="n"/>
      <c r="J61" s="692" t="n"/>
      <c r="K61" s="692" t="n"/>
      <c r="L61" s="692" t="n"/>
      <c r="N61" s="692" t="n"/>
      <c r="O61" s="692" t="n"/>
      <c r="P61" s="692" t="n"/>
      <c r="T61" s="692" t="n"/>
      <c r="U61" s="692" t="n"/>
      <c r="V61" s="692" t="n"/>
      <c r="W61" s="692" t="n"/>
    </row>
    <row r="62">
      <c r="B62" s="692" t="n"/>
      <c r="C62" s="692" t="n"/>
      <c r="D62" s="692" t="n"/>
      <c r="E62" s="692" t="n"/>
      <c r="H62" s="692" t="n"/>
      <c r="I62" s="692" t="n"/>
      <c r="J62" s="692" t="n"/>
      <c r="K62" s="692" t="n"/>
      <c r="L62" s="692" t="n"/>
      <c r="N62" s="692" t="n"/>
      <c r="O62" s="692" t="n"/>
      <c r="P62" s="692" t="n"/>
      <c r="T62" s="692" t="n"/>
      <c r="U62" s="692" t="n"/>
      <c r="V62" s="692" t="n"/>
      <c r="W62" s="692" t="n"/>
    </row>
    <row r="63">
      <c r="B63" s="692" t="n"/>
      <c r="C63" s="692" t="n"/>
      <c r="D63" s="692" t="n"/>
      <c r="E63" s="692" t="n"/>
      <c r="H63" s="692" t="n"/>
      <c r="I63" s="692" t="n"/>
      <c r="J63" s="692" t="n"/>
      <c r="K63" s="692" t="n"/>
      <c r="L63" s="692" t="n"/>
      <c r="N63" s="692" t="n"/>
      <c r="O63" s="692" t="n"/>
      <c r="P63" s="692" t="n"/>
      <c r="T63" s="692" t="n"/>
      <c r="U63" s="692" t="n"/>
      <c r="V63" s="692" t="n"/>
      <c r="W63" s="692" t="n"/>
    </row>
    <row r="64">
      <c r="B64" s="692" t="n"/>
      <c r="C64" s="692" t="n"/>
      <c r="D64" s="692" t="n"/>
      <c r="E64" s="692" t="n"/>
      <c r="H64" s="692" t="n"/>
      <c r="I64" s="692" t="n"/>
      <c r="J64" s="692" t="n"/>
      <c r="K64" s="692" t="n"/>
      <c r="L64" s="692" t="n"/>
      <c r="N64" s="692" t="n"/>
      <c r="O64" s="692" t="n"/>
      <c r="P64" s="692" t="n"/>
      <c r="T64" s="692" t="n"/>
      <c r="U64" s="692" t="n"/>
      <c r="V64" s="692" t="n"/>
      <c r="W64" s="692" t="n"/>
    </row>
    <row r="65">
      <c r="B65" s="692" t="n"/>
      <c r="C65" s="692" t="n"/>
      <c r="D65" s="692" t="n"/>
      <c r="E65" s="692" t="n"/>
      <c r="H65" s="692" t="n"/>
      <c r="I65" s="692" t="n"/>
      <c r="J65" s="692" t="n"/>
      <c r="K65" s="692" t="n"/>
      <c r="L65" s="692" t="n"/>
      <c r="N65" s="692" t="n"/>
      <c r="O65" s="692" t="n"/>
      <c r="P65" s="692" t="n"/>
      <c r="T65" s="692" t="n"/>
      <c r="U65" s="692" t="n"/>
      <c r="V65" s="692" t="n"/>
      <c r="W65" s="692" t="n"/>
    </row>
    <row r="66">
      <c r="B66" s="692" t="n"/>
      <c r="C66" s="692" t="n"/>
      <c r="D66" s="692" t="n"/>
      <c r="E66" s="692" t="n"/>
      <c r="H66" s="692" t="n"/>
      <c r="I66" s="692" t="n"/>
      <c r="J66" s="692" t="n"/>
      <c r="K66" s="692" t="n"/>
      <c r="L66" s="692" t="n"/>
      <c r="N66" s="692" t="n"/>
      <c r="O66" s="692" t="n"/>
      <c r="P66" s="692" t="n"/>
      <c r="T66" s="692" t="n"/>
      <c r="U66" s="692" t="n"/>
      <c r="V66" s="692" t="n"/>
      <c r="W66" s="692" t="n"/>
    </row>
    <row r="67">
      <c r="B67" s="692" t="n"/>
      <c r="C67" s="692" t="n"/>
      <c r="D67" s="692" t="n"/>
      <c r="E67" s="692" t="n"/>
      <c r="H67" s="692" t="n"/>
      <c r="I67" s="692" t="n"/>
      <c r="J67" s="692" t="n"/>
      <c r="K67" s="692" t="n"/>
      <c r="L67" s="692" t="n"/>
      <c r="N67" s="692" t="n"/>
      <c r="O67" s="692" t="n"/>
      <c r="P67" s="692" t="n"/>
      <c r="T67" s="692" t="n"/>
      <c r="U67" s="692" t="n"/>
      <c r="V67" s="692" t="n"/>
      <c r="W67" s="692" t="n"/>
    </row>
    <row r="68">
      <c r="B68" s="692" t="n"/>
      <c r="C68" s="692" t="n"/>
      <c r="D68" s="692" t="n"/>
      <c r="E68" s="692" t="n"/>
      <c r="H68" s="692" t="n"/>
      <c r="I68" s="692" t="n"/>
      <c r="J68" s="692" t="n"/>
      <c r="K68" s="692" t="n"/>
      <c r="L68" s="692" t="n"/>
      <c r="N68" s="692" t="n"/>
      <c r="O68" s="692" t="n"/>
      <c r="P68" s="692" t="n"/>
      <c r="T68" s="692" t="n"/>
      <c r="U68" s="692" t="n"/>
      <c r="V68" s="692" t="n"/>
      <c r="W68" s="692" t="n"/>
    </row>
    <row r="69">
      <c r="B69" s="692" t="n"/>
      <c r="C69" s="692" t="n"/>
      <c r="D69" s="692" t="n"/>
      <c r="E69" s="692" t="n"/>
      <c r="H69" s="692" t="n"/>
      <c r="I69" s="692" t="n"/>
      <c r="J69" s="692" t="n"/>
      <c r="K69" s="158" t="n"/>
      <c r="L69" s="158" t="n"/>
      <c r="N69" s="692" t="n"/>
      <c r="O69" s="692" t="n"/>
      <c r="P69" s="692" t="n"/>
      <c r="T69" s="692" t="n"/>
      <c r="U69" s="692" t="n"/>
      <c r="V69" s="158" t="n"/>
      <c r="W69" s="158" t="n"/>
    </row>
    <row r="70">
      <c r="B70" s="692" t="n"/>
      <c r="C70" s="692" t="n"/>
      <c r="D70" s="692" t="n"/>
      <c r="E70" s="692" t="n"/>
      <c r="H70" s="692" t="n"/>
      <c r="I70" s="692" t="n"/>
      <c r="J70" s="692" t="n"/>
      <c r="K70" s="692" t="n"/>
      <c r="L70" s="692" t="n"/>
      <c r="N70" s="692" t="n"/>
      <c r="O70" s="692" t="n"/>
      <c r="P70" s="692" t="n"/>
      <c r="T70" s="692" t="n"/>
      <c r="U70" s="692" t="n"/>
      <c r="V70" s="692" t="n"/>
      <c r="W70" s="692" t="n"/>
    </row>
    <row r="71">
      <c r="B71" s="692" t="n"/>
      <c r="C71" s="692" t="n"/>
      <c r="D71" s="692" t="n"/>
      <c r="E71" s="692" t="n"/>
      <c r="H71" s="692" t="n"/>
      <c r="I71" s="692" t="n"/>
      <c r="J71" s="692" t="n"/>
      <c r="K71" s="158" t="n"/>
      <c r="L71" s="158" t="n"/>
      <c r="N71" s="692" t="n"/>
      <c r="O71" s="692" t="n"/>
      <c r="P71" s="692" t="n"/>
      <c r="T71" s="692" t="n"/>
      <c r="U71" s="692" t="n"/>
      <c r="V71" s="158" t="n"/>
      <c r="W71" s="158" t="n"/>
    </row>
    <row r="72">
      <c r="B72" s="692" t="n"/>
      <c r="C72" s="692" t="n"/>
      <c r="D72" s="692" t="n"/>
      <c r="E72" s="692" t="n"/>
      <c r="H72" s="692" t="n"/>
      <c r="I72" s="692" t="n"/>
      <c r="J72" s="692" t="n"/>
      <c r="K72" s="692" t="n"/>
      <c r="L72" s="692" t="n"/>
      <c r="N72" s="692" t="n"/>
      <c r="O72" s="692" t="n"/>
      <c r="P72" s="692" t="n"/>
      <c r="T72" s="692" t="n"/>
      <c r="U72" s="692" t="n"/>
      <c r="V72" s="692" t="n"/>
      <c r="W72" s="692" t="n"/>
    </row>
    <row r="73">
      <c r="B73" s="692" t="n"/>
      <c r="C73" s="692" t="n"/>
      <c r="D73" s="692" t="n"/>
      <c r="E73" s="692" t="n"/>
      <c r="H73" s="692" t="n"/>
      <c r="I73" s="692" t="n"/>
      <c r="J73" s="692" t="n"/>
      <c r="K73" s="692" t="n"/>
      <c r="N73" s="692" t="n"/>
      <c r="O73" s="692" t="n"/>
      <c r="P73" s="692" t="n"/>
      <c r="T73" s="692" t="n"/>
      <c r="U73" s="692" t="n"/>
      <c r="V73" s="692" t="n"/>
      <c r="W73" s="692" t="n"/>
    </row>
    <row r="74">
      <c r="B74" s="692" t="n"/>
      <c r="C74" s="692" t="n"/>
      <c r="D74" s="692" t="n"/>
      <c r="E74" s="692" t="n"/>
      <c r="H74" s="692" t="n"/>
      <c r="I74" s="692" t="n"/>
      <c r="J74" s="692" t="n"/>
      <c r="K74" s="692" t="n"/>
      <c r="N74" s="692" t="n"/>
      <c r="O74" s="692" t="n"/>
      <c r="P74" s="692" t="n"/>
      <c r="T74" s="692" t="n"/>
      <c r="U74" s="692" t="n"/>
      <c r="V74" s="692" t="n"/>
      <c r="W74" s="692" t="n"/>
    </row>
    <row r="75">
      <c r="B75" s="692" t="n"/>
      <c r="C75" s="692" t="n"/>
      <c r="D75" s="692" t="n"/>
      <c r="E75" s="692" t="n"/>
      <c r="H75" s="692" t="n"/>
      <c r="I75" s="692" t="n"/>
      <c r="J75" s="692" t="n"/>
      <c r="K75" s="692" t="n"/>
      <c r="N75" s="692" t="n"/>
      <c r="O75" s="692" t="n"/>
      <c r="P75" s="692" t="n"/>
      <c r="T75" s="692" t="n"/>
      <c r="U75" s="692" t="n"/>
      <c r="V75" s="692" t="n"/>
      <c r="W75" s="692" t="n"/>
    </row>
    <row r="76">
      <c r="B76" s="692" t="n"/>
      <c r="C76" s="692" t="n"/>
      <c r="D76" s="692" t="n"/>
      <c r="E76" s="692" t="n"/>
      <c r="H76" s="692" t="n"/>
      <c r="I76" s="692" t="n"/>
      <c r="J76" s="692" t="n"/>
      <c r="K76" s="692" t="n"/>
      <c r="N76" s="692" t="n"/>
      <c r="O76" s="692" t="n"/>
      <c r="P76" s="692" t="n"/>
      <c r="T76" s="692" t="n"/>
      <c r="U76" s="692" t="n"/>
      <c r="V76" s="692" t="n"/>
      <c r="W76" s="692" t="n"/>
    </row>
    <row r="77">
      <c r="B77" s="692" t="n"/>
      <c r="C77" s="692" t="n"/>
      <c r="D77" s="692" t="n"/>
      <c r="E77" s="692" t="n"/>
      <c r="H77" s="692" t="n"/>
      <c r="I77" s="692" t="n"/>
      <c r="J77" s="692" t="n"/>
      <c r="K77" s="692" t="n"/>
      <c r="N77" s="692" t="n"/>
      <c r="O77" s="692" t="n"/>
      <c r="P77" s="692" t="n"/>
      <c r="T77" s="692" t="n"/>
      <c r="U77" s="692" t="n"/>
      <c r="V77" s="692" t="n"/>
      <c r="W77" s="692" t="n"/>
    </row>
    <row r="78">
      <c r="B78" s="692" t="n"/>
      <c r="C78" s="692" t="n"/>
      <c r="D78" s="692" t="n"/>
      <c r="E78" s="692" t="n"/>
      <c r="H78" s="692" t="n"/>
      <c r="I78" s="692" t="n"/>
      <c r="J78" s="692" t="n"/>
      <c r="K78" s="692" t="n"/>
      <c r="N78" s="692" t="n"/>
      <c r="O78" s="692" t="n"/>
      <c r="P78" s="692" t="n"/>
      <c r="T78" s="692" t="n"/>
      <c r="U78" s="692" t="n"/>
      <c r="V78" s="692" t="n"/>
      <c r="W78" s="692" t="n"/>
    </row>
    <row r="79">
      <c r="B79" s="692" t="n"/>
      <c r="C79" s="692" t="n"/>
      <c r="D79" s="692" t="n"/>
      <c r="E79" s="692" t="n"/>
      <c r="H79" s="692" t="n"/>
      <c r="I79" s="692" t="n"/>
      <c r="J79" s="692" t="n"/>
      <c r="K79" s="692" t="n"/>
      <c r="N79" s="692" t="n"/>
      <c r="O79" s="692" t="n"/>
      <c r="P79" s="692" t="n"/>
      <c r="T79" s="692" t="n"/>
      <c r="U79" s="692" t="n"/>
      <c r="V79" s="692" t="n"/>
      <c r="W79" s="692" t="n"/>
    </row>
    <row r="80">
      <c r="B80" s="692" t="n"/>
      <c r="C80" s="692" t="n"/>
      <c r="D80" s="692" t="n"/>
      <c r="E80" s="692" t="n"/>
      <c r="H80" s="692" t="n"/>
      <c r="I80" s="692" t="n"/>
      <c r="J80" s="692" t="n"/>
      <c r="K80" s="692" t="n"/>
      <c r="N80" s="692" t="n"/>
      <c r="O80" s="692" t="n"/>
      <c r="P80" s="692" t="n"/>
      <c r="T80" s="692" t="n"/>
      <c r="U80" s="692" t="n"/>
      <c r="V80" s="692" t="n"/>
      <c r="W80" s="692" t="n"/>
    </row>
    <row r="81">
      <c r="B81" s="692" t="n"/>
      <c r="C81" s="692" t="n"/>
      <c r="D81" s="692" t="n"/>
      <c r="E81" s="692" t="n"/>
      <c r="H81" s="692" t="n"/>
      <c r="I81" s="692" t="n"/>
      <c r="J81" s="692" t="n"/>
      <c r="K81" s="692" t="n"/>
      <c r="N81" s="692" t="n"/>
      <c r="O81" s="692" t="n"/>
      <c r="P81" s="692" t="n"/>
      <c r="T81" s="692" t="n"/>
      <c r="U81" s="692" t="n"/>
      <c r="V81" s="692" t="n"/>
      <c r="W81" s="692" t="n"/>
    </row>
    <row r="82">
      <c r="B82" s="692" t="n"/>
      <c r="C82" s="692" t="n"/>
      <c r="D82" s="692" t="n"/>
      <c r="E82" s="692" t="n"/>
      <c r="H82" s="692" t="n"/>
      <c r="I82" s="692" t="n"/>
      <c r="J82" s="692" t="n"/>
      <c r="K82" s="692" t="n"/>
      <c r="N82" s="692" t="n"/>
      <c r="O82" s="692" t="n"/>
      <c r="P82" s="692" t="n"/>
      <c r="T82" s="692" t="n"/>
      <c r="U82" s="692" t="n"/>
      <c r="V82" s="692" t="n"/>
      <c r="W82" s="692" t="n"/>
    </row>
    <row r="83">
      <c r="B83" s="692" t="n"/>
      <c r="C83" s="692" t="n"/>
      <c r="D83" s="692" t="n"/>
      <c r="E83" s="692" t="n"/>
      <c r="H83" s="692" t="n"/>
      <c r="I83" s="692" t="n"/>
      <c r="J83" s="692" t="n"/>
      <c r="K83" s="692" t="n"/>
      <c r="N83" s="692" t="n"/>
      <c r="O83" s="692" t="n"/>
      <c r="P83" s="692" t="n"/>
      <c r="T83" s="692" t="n"/>
      <c r="U83" s="692" t="n"/>
      <c r="V83" s="692" t="n"/>
      <c r="W83" s="692" t="n"/>
    </row>
    <row r="84">
      <c r="B84" s="692" t="n"/>
      <c r="C84" s="692" t="n"/>
      <c r="D84" s="692" t="n"/>
      <c r="E84" s="692" t="n"/>
      <c r="H84" s="692" t="n"/>
      <c r="I84" s="692" t="n"/>
      <c r="J84" s="692" t="n"/>
      <c r="K84" s="692" t="n"/>
      <c r="N84" s="692" t="n"/>
      <c r="O84" s="692" t="n"/>
      <c r="P84" s="692" t="n"/>
      <c r="T84" s="692" t="n"/>
      <c r="U84" s="692" t="n"/>
      <c r="V84" s="692" t="n"/>
      <c r="W84" s="692" t="n"/>
    </row>
    <row r="85">
      <c r="B85" s="692" t="n"/>
      <c r="C85" s="692" t="n"/>
      <c r="D85" s="692" t="n"/>
      <c r="E85" s="692" t="n"/>
      <c r="H85" s="692" t="n"/>
      <c r="I85" s="692" t="n"/>
      <c r="J85" s="692" t="n"/>
      <c r="K85" s="692" t="n"/>
      <c r="N85" s="692" t="n"/>
      <c r="O85" s="692" t="n"/>
      <c r="P85" s="692" t="n"/>
      <c r="T85" s="692" t="n"/>
      <c r="U85" s="692" t="n"/>
      <c r="V85" s="692" t="n"/>
      <c r="W85" s="692" t="n"/>
    </row>
    <row r="86">
      <c r="B86" s="692" t="n"/>
      <c r="C86" s="692" t="n"/>
      <c r="D86" s="692" t="n"/>
      <c r="E86" s="692" t="n"/>
      <c r="H86" s="692" t="n"/>
      <c r="I86" s="692" t="n"/>
      <c r="J86" s="692" t="n"/>
      <c r="K86" s="692" t="n"/>
      <c r="N86" s="692" t="n"/>
      <c r="O86" s="692" t="n"/>
      <c r="P86" s="692" t="n"/>
      <c r="T86" s="692" t="n"/>
      <c r="U86" s="692" t="n"/>
      <c r="V86" s="692" t="n"/>
      <c r="W86" s="692" t="n"/>
    </row>
    <row r="87">
      <c r="B87" s="692" t="n"/>
      <c r="C87" s="692" t="n"/>
      <c r="D87" s="692" t="n"/>
      <c r="E87" s="692" t="n"/>
      <c r="H87" s="692" t="n"/>
      <c r="I87" s="692" t="n"/>
      <c r="J87" s="692" t="n"/>
      <c r="K87" s="692" t="n"/>
      <c r="N87" s="692" t="n"/>
      <c r="O87" s="692" t="n"/>
      <c r="P87" s="692" t="n"/>
      <c r="T87" s="692" t="n"/>
      <c r="U87" s="692" t="n"/>
      <c r="V87" s="692" t="n"/>
      <c r="W87" s="692" t="n"/>
    </row>
    <row r="88">
      <c r="B88" s="692" t="n"/>
      <c r="C88" s="692" t="n"/>
      <c r="D88" s="692" t="n"/>
      <c r="E88" s="158" t="n"/>
      <c r="H88" s="692" t="n"/>
      <c r="I88" s="692" t="n"/>
      <c r="J88" s="692" t="n"/>
      <c r="K88" s="692" t="n"/>
      <c r="N88" s="692" t="n"/>
      <c r="O88" s="692" t="n"/>
      <c r="P88" s="158" t="n"/>
      <c r="T88" s="692" t="n"/>
      <c r="U88" s="692" t="n"/>
      <c r="V88" s="692" t="n"/>
      <c r="W88" s="692" t="n"/>
    </row>
    <row r="89">
      <c r="B89" s="692" t="n"/>
      <c r="C89" s="692" t="n"/>
      <c r="D89" s="692" t="n"/>
      <c r="E89" s="692" t="n"/>
      <c r="H89" s="692" t="n"/>
      <c r="I89" s="692" t="n"/>
      <c r="J89" s="692" t="n"/>
      <c r="K89" s="692" t="n"/>
      <c r="N89" s="692" t="n"/>
      <c r="O89" s="692" t="n"/>
      <c r="P89" s="692" t="n"/>
      <c r="T89" s="692" t="n"/>
      <c r="U89" s="692" t="n"/>
      <c r="V89" s="692" t="n"/>
      <c r="W89" s="692" t="n"/>
    </row>
    <row r="90">
      <c r="B90" s="692" t="n"/>
      <c r="C90" s="692" t="n"/>
      <c r="D90" s="692" t="n"/>
      <c r="E90" s="692" t="n"/>
      <c r="H90" s="692" t="n"/>
      <c r="I90" s="692" t="n"/>
      <c r="J90" s="692" t="n"/>
      <c r="K90" s="692" t="n"/>
      <c r="N90" s="692" t="n"/>
      <c r="O90" s="692" t="n"/>
      <c r="P90" s="692" t="n"/>
      <c r="T90" s="692" t="n"/>
      <c r="U90" s="692" t="n"/>
      <c r="V90" s="692" t="n"/>
      <c r="W90" s="692" t="n"/>
    </row>
    <row r="91">
      <c r="B91" s="692" t="n"/>
      <c r="C91" s="692" t="n"/>
      <c r="D91" s="158" t="n"/>
      <c r="E91" s="692" t="n"/>
      <c r="H91" s="692" t="n"/>
      <c r="I91" s="692" t="n"/>
      <c r="J91" s="692" t="n"/>
      <c r="K91" s="692" t="n"/>
      <c r="N91" s="158" t="n"/>
      <c r="O91" s="158" t="n"/>
      <c r="P91" s="692" t="n"/>
      <c r="T91" s="692" t="n"/>
      <c r="U91" s="692" t="n"/>
      <c r="V91" s="692" t="n"/>
      <c r="W91" s="692" t="n"/>
    </row>
    <row r="92">
      <c r="B92" s="692" t="n"/>
      <c r="C92" s="692" t="n"/>
      <c r="D92" s="692" t="n"/>
      <c r="E92" s="692" t="n"/>
      <c r="F92" s="158" t="n"/>
      <c r="G92" s="692" t="n"/>
      <c r="H92" s="692" t="n"/>
      <c r="I92" s="692" t="n"/>
      <c r="J92" s="692" t="n"/>
      <c r="K92" s="692" t="n"/>
      <c r="L92" s="692" t="n"/>
      <c r="N92" s="692" t="n"/>
      <c r="O92" s="692" t="n"/>
      <c r="P92" s="692" t="n"/>
      <c r="Q92" s="158" t="n"/>
      <c r="R92" s="158" t="n"/>
      <c r="S92" s="692" t="n"/>
      <c r="T92" s="692" t="n"/>
      <c r="U92" s="692" t="n"/>
      <c r="V92" s="692" t="n"/>
      <c r="W92" s="692" t="n"/>
    </row>
    <row r="93">
      <c r="B93" s="692" t="n"/>
      <c r="C93" s="692" t="n"/>
      <c r="D93" s="692" t="n"/>
      <c r="E93" s="692" t="n"/>
      <c r="F93" s="692" t="n"/>
      <c r="G93" s="692" t="n"/>
      <c r="H93" s="692" t="n"/>
      <c r="I93" s="692" t="n"/>
      <c r="J93" s="692" t="n"/>
      <c r="K93" s="692" t="n"/>
      <c r="L93" s="692" t="n"/>
      <c r="N93" s="692" t="n"/>
      <c r="O93" s="692" t="n"/>
      <c r="P93" s="692" t="n"/>
      <c r="Q93" s="692" t="n"/>
      <c r="R93" s="692" t="n"/>
      <c r="S93" s="692" t="n"/>
      <c r="T93" s="692" t="n"/>
      <c r="U93" s="692" t="n"/>
      <c r="V93" s="692" t="n"/>
      <c r="W93" s="692" t="n"/>
    </row>
    <row r="94">
      <c r="B94" s="692" t="n"/>
      <c r="C94" s="692" t="n"/>
      <c r="D94" s="692" t="n"/>
      <c r="E94" s="692" t="n"/>
      <c r="F94" s="692" t="n"/>
      <c r="G94" s="692" t="n"/>
      <c r="H94" s="692" t="n"/>
      <c r="I94" s="692" t="n"/>
      <c r="J94" s="692" t="n"/>
      <c r="K94" s="692" t="n"/>
      <c r="L94" s="692" t="n"/>
      <c r="N94" s="692" t="n"/>
      <c r="O94" s="692" t="n"/>
      <c r="P94" s="692" t="n"/>
      <c r="Q94" s="692" t="n"/>
      <c r="R94" s="692" t="n"/>
      <c r="S94" s="692" t="n"/>
      <c r="T94" s="692" t="n"/>
      <c r="U94" s="692" t="n"/>
      <c r="V94" s="692" t="n"/>
      <c r="W94" s="692" t="n"/>
    </row>
    <row r="95">
      <c r="B95" s="692" t="n"/>
      <c r="C95" s="692" t="n"/>
      <c r="D95" s="692" t="n"/>
      <c r="E95" s="692" t="n"/>
      <c r="F95" s="692" t="n"/>
      <c r="G95" s="692" t="n"/>
      <c r="H95" s="692" t="n"/>
      <c r="I95" s="692" t="n"/>
      <c r="J95" s="692" t="n"/>
      <c r="K95" s="692" t="n"/>
      <c r="L95" s="692" t="n"/>
      <c r="N95" s="692" t="n"/>
      <c r="O95" s="692" t="n"/>
      <c r="P95" s="692" t="n"/>
      <c r="Q95" s="692" t="n"/>
      <c r="R95" s="692" t="n"/>
      <c r="S95" s="692" t="n"/>
      <c r="T95" s="692" t="n"/>
      <c r="U95" s="692" t="n"/>
      <c r="V95" s="692" t="n"/>
      <c r="W95" s="692" t="n"/>
    </row>
    <row r="96">
      <c r="B96" s="692" t="n"/>
      <c r="C96" s="692" t="n"/>
      <c r="D96" s="692" t="n"/>
      <c r="E96" s="692" t="n"/>
      <c r="F96" s="692" t="n"/>
      <c r="G96" s="692" t="n"/>
      <c r="H96" s="692" t="n"/>
      <c r="I96" s="692" t="n"/>
      <c r="J96" s="692" t="n"/>
      <c r="K96" s="692" t="n"/>
      <c r="L96" s="692" t="n"/>
      <c r="N96" s="692" t="n"/>
      <c r="O96" s="692" t="n"/>
      <c r="P96" s="692" t="n"/>
      <c r="Q96" s="692" t="n"/>
      <c r="R96" s="692" t="n"/>
      <c r="S96" s="692" t="n"/>
      <c r="T96" s="692" t="n"/>
      <c r="U96" s="692" t="n"/>
      <c r="V96" s="692" t="n"/>
      <c r="W96" s="692" t="n"/>
    </row>
    <row r="97">
      <c r="B97" s="692" t="n"/>
      <c r="C97" s="692" t="n"/>
      <c r="D97" s="692" t="n"/>
      <c r="E97" s="692" t="n"/>
      <c r="F97" s="692" t="n"/>
      <c r="G97" s="692" t="n"/>
      <c r="H97" s="692" t="n"/>
      <c r="I97" s="692" t="n"/>
      <c r="J97" s="692" t="n"/>
      <c r="K97" s="692" t="n"/>
      <c r="L97" s="692" t="n"/>
      <c r="N97" s="692" t="n"/>
      <c r="O97" s="692" t="n"/>
      <c r="P97" s="692" t="n"/>
      <c r="Q97" s="692" t="n"/>
      <c r="R97" s="692" t="n"/>
      <c r="S97" s="692" t="n"/>
      <c r="T97" s="692" t="n"/>
      <c r="U97" s="692" t="n"/>
      <c r="V97" s="692" t="n"/>
      <c r="W97" s="692" t="n"/>
    </row>
    <row r="98">
      <c r="B98" s="692" t="n"/>
      <c r="C98" s="692" t="n"/>
      <c r="D98" s="692" t="n"/>
      <c r="E98" s="692" t="n"/>
      <c r="F98" s="692" t="n"/>
      <c r="G98" s="692" t="n"/>
      <c r="H98" s="692" t="n"/>
      <c r="I98" s="692" t="n"/>
      <c r="J98" s="692" t="n"/>
      <c r="K98" s="692" t="n"/>
      <c r="L98" s="692" t="n"/>
      <c r="N98" s="692" t="n"/>
      <c r="O98" s="692" t="n"/>
      <c r="P98" s="692" t="n"/>
      <c r="Q98" s="692" t="n"/>
      <c r="R98" s="692" t="n"/>
      <c r="S98" s="692" t="n"/>
      <c r="T98" s="692" t="n"/>
      <c r="U98" s="692" t="n"/>
      <c r="V98" s="692" t="n"/>
      <c r="W98" s="692" t="n"/>
    </row>
    <row r="99">
      <c r="B99" s="692" t="n"/>
      <c r="C99" s="692" t="n"/>
      <c r="D99" s="692" t="n"/>
      <c r="E99" s="692" t="n"/>
      <c r="F99" s="692" t="n"/>
      <c r="G99" s="692" t="n"/>
      <c r="H99" s="692" t="n"/>
      <c r="I99" s="692" t="n"/>
      <c r="J99" s="692" t="n"/>
      <c r="K99" s="692" t="n"/>
      <c r="L99" s="692" t="n"/>
      <c r="N99" s="692" t="n"/>
      <c r="O99" s="692" t="n"/>
      <c r="P99" s="692" t="n"/>
      <c r="Q99" s="692" t="n"/>
      <c r="R99" s="692" t="n"/>
      <c r="S99" s="692" t="n"/>
      <c r="T99" s="692" t="n"/>
      <c r="U99" s="692" t="n"/>
      <c r="V99" s="692" t="n"/>
      <c r="W99" s="692" t="n"/>
    </row>
    <row r="100">
      <c r="B100" s="692" t="n"/>
      <c r="C100" s="692" t="n"/>
      <c r="D100" s="692" t="n"/>
      <c r="E100" s="692" t="n"/>
      <c r="F100" s="692" t="n"/>
      <c r="G100" s="692" t="n"/>
      <c r="H100" s="692" t="n"/>
      <c r="I100" s="692" t="n"/>
      <c r="J100" s="692" t="n"/>
      <c r="K100" s="692" t="n"/>
      <c r="L100" s="692" t="n"/>
      <c r="N100" s="692" t="n"/>
      <c r="O100" s="692" t="n"/>
      <c r="P100" s="692" t="n"/>
      <c r="Q100" s="692" t="n"/>
      <c r="R100" s="692" t="n"/>
      <c r="S100" s="692" t="n"/>
      <c r="T100" s="692" t="n"/>
      <c r="U100" s="692" t="n"/>
      <c r="V100" s="692" t="n"/>
      <c r="W100" s="692" t="n"/>
    </row>
    <row r="101">
      <c r="B101" s="692" t="n"/>
      <c r="C101" s="692" t="n"/>
      <c r="D101" s="692" t="n"/>
      <c r="E101" s="692" t="n"/>
      <c r="F101" s="692" t="n"/>
      <c r="G101" s="692" t="n"/>
      <c r="H101" s="692" t="n"/>
      <c r="I101" s="692" t="n"/>
      <c r="J101" s="692" t="n"/>
      <c r="K101" s="692" t="n"/>
      <c r="L101" s="692" t="n"/>
      <c r="N101" s="692" t="n"/>
      <c r="O101" s="692" t="n"/>
      <c r="P101" s="692" t="n"/>
      <c r="Q101" s="692" t="n"/>
      <c r="R101" s="692" t="n"/>
      <c r="S101" s="692" t="n"/>
      <c r="T101" s="692" t="n"/>
      <c r="U101" s="692" t="n"/>
      <c r="V101" s="692" t="n"/>
      <c r="W101" s="692" t="n"/>
    </row>
    <row r="102">
      <c r="B102" s="692" t="n"/>
      <c r="C102" s="692" t="n"/>
      <c r="D102" s="692" t="n"/>
      <c r="E102" s="692" t="n"/>
      <c r="F102" s="692" t="n"/>
      <c r="G102" s="692" t="n"/>
      <c r="H102" s="692" t="n"/>
      <c r="I102" s="692" t="n"/>
      <c r="J102" s="692" t="n"/>
      <c r="K102" s="692" t="n"/>
      <c r="L102" s="692" t="n"/>
      <c r="N102" s="692" t="n"/>
      <c r="O102" s="692" t="n"/>
      <c r="P102" s="692" t="n"/>
      <c r="Q102" s="692" t="n"/>
      <c r="R102" s="692" t="n"/>
      <c r="S102" s="692" t="n"/>
      <c r="T102" s="692" t="n"/>
      <c r="U102" s="692" t="n"/>
      <c r="V102" s="692" t="n"/>
      <c r="W102" s="692" t="n"/>
    </row>
    <row r="103">
      <c r="B103" s="692" t="n"/>
      <c r="C103" s="692" t="n"/>
      <c r="D103" s="692" t="n"/>
      <c r="E103" s="692" t="n"/>
      <c r="F103" s="692" t="n"/>
      <c r="G103" s="692" t="n"/>
      <c r="H103" s="692" t="n"/>
      <c r="I103" s="692" t="n"/>
      <c r="J103" s="692" t="n"/>
      <c r="K103" s="692" t="n"/>
      <c r="L103" s="692" t="n"/>
      <c r="N103" s="692" t="n"/>
      <c r="O103" s="692" t="n"/>
      <c r="P103" s="692" t="n"/>
      <c r="Q103" s="692" t="n"/>
      <c r="R103" s="692" t="n"/>
      <c r="S103" s="692" t="n"/>
      <c r="T103" s="692" t="n"/>
      <c r="U103" s="692" t="n"/>
      <c r="V103" s="692" t="n"/>
      <c r="W103" s="692" t="n"/>
    </row>
    <row r="104">
      <c r="A104" s="692" t="n"/>
      <c r="B104" s="692" t="n"/>
      <c r="C104" s="692" t="n"/>
      <c r="D104" s="692" t="n"/>
      <c r="E104" s="692" t="n"/>
      <c r="F104" s="692" t="n"/>
      <c r="G104" s="692" t="n"/>
      <c r="H104" s="692" t="n"/>
      <c r="I104" s="692" t="n"/>
      <c r="J104" s="692" t="n"/>
      <c r="K104" s="692" t="n"/>
      <c r="L104" s="692" t="n"/>
      <c r="M104" s="692" t="n"/>
      <c r="N104" s="692" t="n"/>
      <c r="O104" s="692" t="n"/>
      <c r="P104" s="692" t="n"/>
      <c r="Q104" s="692" t="n"/>
      <c r="R104" s="692" t="n"/>
      <c r="S104" s="692" t="n"/>
      <c r="T104" s="692" t="n"/>
      <c r="U104" s="692" t="n"/>
      <c r="V104" s="692" t="n"/>
      <c r="W104" s="692" t="n"/>
    </row>
    <row r="105">
      <c r="A105" s="692" t="n"/>
      <c r="B105" s="692" t="n"/>
      <c r="C105" s="692" t="n"/>
      <c r="D105" s="692" t="n"/>
      <c r="E105" s="692" t="n"/>
      <c r="F105" s="692" t="n"/>
      <c r="G105" s="692" t="n"/>
      <c r="H105" s="692" t="n"/>
      <c r="I105" s="692" t="n"/>
      <c r="J105" s="692" t="n"/>
      <c r="K105" s="692" t="n"/>
      <c r="L105" s="692" t="n"/>
      <c r="M105" s="692" t="n"/>
      <c r="N105" s="692" t="n"/>
      <c r="O105" s="692" t="n"/>
      <c r="P105" s="692" t="n"/>
      <c r="Q105" s="692" t="n"/>
      <c r="R105" s="692" t="n"/>
      <c r="S105" s="692" t="n"/>
      <c r="T105" s="692" t="n"/>
      <c r="U105" s="692" t="n"/>
      <c r="V105" s="692" t="n"/>
      <c r="W105" s="692" t="n"/>
    </row>
    <row r="106">
      <c r="A106" s="692" t="n"/>
      <c r="B106" s="692" t="n"/>
      <c r="C106" s="692" t="n"/>
      <c r="D106" s="692" t="n"/>
      <c r="E106" s="692" t="n"/>
      <c r="F106" s="692" t="n"/>
      <c r="G106" s="692" t="n"/>
      <c r="H106" s="692" t="n"/>
      <c r="I106" s="692" t="n"/>
      <c r="J106" s="692" t="n"/>
      <c r="K106" s="692" t="n"/>
      <c r="L106" s="692" t="n"/>
      <c r="M106" s="692" t="n"/>
      <c r="N106" s="692" t="n"/>
      <c r="O106" s="692" t="n"/>
      <c r="P106" s="692" t="n"/>
      <c r="Q106" s="692" t="n"/>
      <c r="R106" s="692" t="n"/>
      <c r="S106" s="692" t="n"/>
      <c r="T106" s="692" t="n"/>
      <c r="U106" s="692" t="n"/>
      <c r="V106" s="692" t="n"/>
      <c r="W106" s="692" t="n"/>
    </row>
    <row r="107">
      <c r="A107" s="692" t="n"/>
      <c r="B107" s="692" t="n"/>
      <c r="C107" s="692" t="n"/>
      <c r="D107" s="692" t="n"/>
      <c r="E107" s="692" t="n"/>
      <c r="F107" s="692" t="n"/>
      <c r="G107" s="692" t="n"/>
      <c r="H107" s="692" t="n"/>
      <c r="I107" s="692" t="n"/>
      <c r="J107" s="692" t="n"/>
      <c r="K107" s="692" t="n"/>
      <c r="L107" s="692" t="n"/>
      <c r="M107" s="692" t="n"/>
      <c r="N107" s="692" t="n"/>
      <c r="O107" s="692" t="n"/>
      <c r="P107" s="692" t="n"/>
      <c r="Q107" s="692" t="n"/>
      <c r="R107" s="692" t="n"/>
      <c r="S107" s="692" t="n"/>
      <c r="T107" s="692" t="n"/>
      <c r="U107" s="692" t="n"/>
      <c r="V107" s="692" t="n"/>
      <c r="W107" s="692" t="n"/>
    </row>
    <row r="108">
      <c r="A108" s="692" t="n"/>
      <c r="B108" s="692" t="n"/>
      <c r="C108" s="692" t="n"/>
      <c r="D108" s="692" t="n"/>
      <c r="E108" s="692" t="n"/>
      <c r="F108" s="692" t="n"/>
      <c r="G108" s="692" t="n"/>
      <c r="H108" s="692" t="n"/>
      <c r="I108" s="692" t="n"/>
      <c r="J108" s="692" t="n"/>
      <c r="K108" s="692" t="n"/>
      <c r="L108" s="692" t="n"/>
      <c r="M108" s="692" t="n"/>
      <c r="N108" s="692" t="n"/>
      <c r="O108" s="692" t="n"/>
      <c r="P108" s="692" t="n"/>
      <c r="Q108" s="692" t="n"/>
      <c r="R108" s="692" t="n"/>
      <c r="S108" s="692" t="n"/>
      <c r="T108" s="692" t="n"/>
      <c r="U108" s="692" t="n"/>
      <c r="V108" s="692" t="n"/>
      <c r="W108" s="692" t="n"/>
    </row>
    <row r="109">
      <c r="A109" s="692" t="n"/>
      <c r="B109" s="692" t="n"/>
      <c r="C109" s="692" t="n"/>
      <c r="D109" s="692" t="n"/>
      <c r="E109" s="692" t="n"/>
      <c r="F109" s="692" t="n"/>
      <c r="G109" s="692" t="n"/>
      <c r="H109" s="692" t="n"/>
      <c r="I109" s="692" t="n"/>
      <c r="J109" s="692" t="n"/>
      <c r="K109" s="692" t="n"/>
      <c r="L109" s="692" t="n"/>
      <c r="M109" s="692" t="n"/>
      <c r="N109" s="692" t="n"/>
      <c r="O109" s="692" t="n"/>
      <c r="P109" s="692" t="n"/>
      <c r="Q109" s="692" t="n"/>
      <c r="R109" s="692" t="n"/>
      <c r="S109" s="692" t="n"/>
      <c r="T109" s="692" t="n"/>
      <c r="U109" s="692" t="n"/>
      <c r="V109" s="692" t="n"/>
      <c r="W109" s="692" t="n"/>
    </row>
    <row r="110">
      <c r="A110" s="692" t="n"/>
      <c r="B110" s="692" t="n"/>
      <c r="C110" s="692" t="n"/>
      <c r="D110" s="692" t="n"/>
      <c r="E110" s="692" t="n"/>
      <c r="F110" s="692" t="n"/>
      <c r="G110" s="692" t="n"/>
      <c r="H110" s="692" t="n"/>
      <c r="I110" s="692" t="n"/>
      <c r="J110" s="692" t="n"/>
      <c r="K110" s="692" t="n"/>
      <c r="L110" s="692" t="n"/>
      <c r="M110" s="692" t="n"/>
      <c r="N110" s="692" t="n"/>
      <c r="O110" s="692" t="n"/>
      <c r="P110" s="692" t="n"/>
      <c r="Q110" s="692" t="n"/>
      <c r="R110" s="692" t="n"/>
      <c r="S110" s="692" t="n"/>
      <c r="T110" s="692" t="n"/>
      <c r="U110" s="692" t="n"/>
      <c r="V110" s="692" t="n"/>
      <c r="W110" s="692" t="n"/>
    </row>
    <row r="111">
      <c r="A111" s="692" t="n"/>
      <c r="B111" s="692" t="n"/>
      <c r="C111" s="692" t="n"/>
      <c r="D111" s="692" t="n"/>
      <c r="E111" s="692" t="n"/>
      <c r="F111" s="692" t="n"/>
      <c r="G111" s="692" t="n"/>
      <c r="H111" s="692" t="n"/>
      <c r="I111" s="692" t="n"/>
      <c r="J111" s="692" t="n"/>
      <c r="K111" s="692" t="n"/>
      <c r="L111" s="692" t="n"/>
      <c r="M111" s="692" t="n"/>
      <c r="N111" s="692" t="n"/>
      <c r="O111" s="692" t="n"/>
      <c r="P111" s="692" t="n"/>
      <c r="Q111" s="692" t="n"/>
      <c r="R111" s="692" t="n"/>
      <c r="S111" s="692" t="n"/>
      <c r="T111" s="692" t="n"/>
      <c r="U111" s="692" t="n"/>
      <c r="V111" s="692" t="n"/>
      <c r="W111" s="692" t="n"/>
    </row>
    <row r="112">
      <c r="A112" s="692" t="n"/>
      <c r="B112" s="692" t="n"/>
      <c r="C112" s="692" t="n"/>
      <c r="D112" s="692" t="n"/>
      <c r="E112" s="692" t="n"/>
      <c r="F112" s="692" t="n"/>
      <c r="G112" s="692" t="n"/>
      <c r="H112" s="692" t="n"/>
      <c r="I112" s="692" t="n"/>
      <c r="J112" s="692" t="n"/>
      <c r="K112" s="692" t="n"/>
      <c r="L112" s="692" t="n"/>
      <c r="M112" s="692" t="n"/>
      <c r="N112" s="692" t="n"/>
      <c r="O112" s="692" t="n"/>
      <c r="P112" s="692" t="n"/>
      <c r="Q112" s="692" t="n"/>
      <c r="R112" s="692" t="n"/>
      <c r="S112" s="692" t="n"/>
      <c r="T112" s="692" t="n"/>
      <c r="U112" s="692" t="n"/>
      <c r="V112" s="692" t="n"/>
      <c r="W112" s="692" t="n"/>
    </row>
    <row r="113">
      <c r="A113" s="692" t="n"/>
      <c r="B113" s="692" t="n"/>
      <c r="C113" s="692" t="n"/>
      <c r="D113" s="692" t="n"/>
      <c r="E113" s="692" t="n"/>
      <c r="F113" s="692" t="n"/>
      <c r="G113" s="692" t="n"/>
      <c r="H113" s="692" t="n"/>
      <c r="I113" s="692" t="n"/>
      <c r="J113" s="692" t="n"/>
      <c r="K113" s="692" t="n"/>
      <c r="L113" s="692" t="n"/>
      <c r="M113" s="692" t="n"/>
      <c r="N113" s="692" t="n"/>
      <c r="O113" s="692" t="n"/>
      <c r="P113" s="692" t="n"/>
      <c r="Q113" s="692" t="n"/>
      <c r="R113" s="692" t="n"/>
      <c r="S113" s="692" t="n"/>
      <c r="T113" s="692" t="n"/>
      <c r="U113" s="692" t="n"/>
      <c r="V113" s="692" t="n"/>
      <c r="W113" s="692" t="n"/>
    </row>
    <row r="114">
      <c r="A114" s="692" t="n"/>
      <c r="B114" s="692" t="n"/>
      <c r="C114" s="692" t="n"/>
      <c r="D114" s="692" t="n"/>
      <c r="E114" s="692" t="n"/>
      <c r="F114" s="692" t="n"/>
      <c r="G114" s="692" t="n"/>
      <c r="H114" s="692" t="n"/>
      <c r="I114" s="692" t="n"/>
      <c r="J114" s="692" t="n"/>
      <c r="K114" s="692" t="n"/>
      <c r="L114" s="692" t="n"/>
      <c r="M114" s="692" t="n"/>
      <c r="N114" s="692" t="n"/>
      <c r="O114" s="692" t="n"/>
      <c r="P114" s="692" t="n"/>
      <c r="Q114" s="692" t="n"/>
      <c r="R114" s="692" t="n"/>
      <c r="S114" s="692" t="n"/>
      <c r="T114" s="692" t="n"/>
      <c r="U114" s="692" t="n"/>
      <c r="V114" s="692" t="n"/>
      <c r="W114" s="692" t="n"/>
    </row>
    <row r="115">
      <c r="A115" s="692" t="n"/>
      <c r="B115" s="692" t="n"/>
      <c r="C115" s="692" t="n"/>
      <c r="D115" s="692" t="n"/>
      <c r="E115" s="692" t="n"/>
      <c r="F115" s="692" t="n"/>
      <c r="G115" s="692" t="n"/>
      <c r="H115" s="692" t="n"/>
      <c r="I115" s="692" t="n"/>
      <c r="J115" s="692" t="n"/>
      <c r="K115" s="692" t="n"/>
      <c r="L115" s="692" t="n"/>
      <c r="M115" s="692" t="n"/>
      <c r="N115" s="692" t="n"/>
      <c r="O115" s="692" t="n"/>
      <c r="P115" s="692" t="n"/>
      <c r="Q115" s="692" t="n"/>
      <c r="R115" s="692" t="n"/>
      <c r="S115" s="692" t="n"/>
      <c r="T115" s="692" t="n"/>
      <c r="U115" s="692" t="n"/>
      <c r="V115" s="692" t="n"/>
      <c r="W115" s="692" t="n"/>
    </row>
    <row r="116">
      <c r="A116" s="692" t="n"/>
      <c r="B116" s="692" t="n"/>
      <c r="C116" s="692" t="n"/>
      <c r="D116" s="692" t="n"/>
      <c r="E116" s="692" t="n"/>
      <c r="F116" s="692" t="n"/>
      <c r="G116" s="692" t="n"/>
      <c r="H116" s="692" t="n"/>
      <c r="I116" s="692" t="n"/>
      <c r="J116" s="692" t="n"/>
      <c r="K116" s="692" t="n"/>
      <c r="L116" s="692" t="n"/>
      <c r="M116" s="692" t="n"/>
      <c r="N116" s="692" t="n"/>
      <c r="O116" s="692" t="n"/>
      <c r="P116" s="692" t="n"/>
      <c r="Q116" s="692" t="n"/>
      <c r="R116" s="692" t="n"/>
      <c r="S116" s="692" t="n"/>
      <c r="T116" s="692" t="n"/>
      <c r="U116" s="692" t="n"/>
      <c r="V116" s="692" t="n"/>
      <c r="W116" s="692" t="n"/>
    </row>
    <row r="117">
      <c r="A117" s="692" t="n"/>
      <c r="B117" s="692" t="n"/>
      <c r="C117" s="692" t="n"/>
      <c r="D117" s="692" t="n"/>
      <c r="E117" s="692" t="n"/>
      <c r="F117" s="692" t="n"/>
      <c r="G117" s="692" t="n"/>
      <c r="H117" s="692" t="n"/>
      <c r="I117" s="692" t="n"/>
      <c r="J117" s="692" t="n"/>
      <c r="K117" s="692" t="n"/>
      <c r="L117" s="692" t="n"/>
      <c r="M117" s="692" t="n"/>
      <c r="N117" s="692" t="n"/>
      <c r="O117" s="692" t="n"/>
      <c r="P117" s="692" t="n"/>
      <c r="Q117" s="692" t="n"/>
      <c r="R117" s="692" t="n"/>
      <c r="S117" s="692" t="n"/>
      <c r="T117" s="692" t="n"/>
      <c r="U117" s="692" t="n"/>
      <c r="V117" s="692" t="n"/>
      <c r="W117" s="692" t="n"/>
    </row>
    <row r="118">
      <c r="A118" s="692" t="n"/>
      <c r="B118" s="692" t="n"/>
      <c r="C118" s="692" t="n"/>
      <c r="D118" s="692" t="n"/>
      <c r="E118" s="692" t="n"/>
      <c r="F118" s="692" t="n"/>
      <c r="G118" s="692" t="n"/>
      <c r="H118" s="692" t="n"/>
      <c r="I118" s="692" t="n"/>
      <c r="J118" s="692" t="n"/>
      <c r="K118" s="692" t="n"/>
      <c r="L118" s="692" t="n"/>
      <c r="M118" s="692" t="n"/>
      <c r="N118" s="692" t="n"/>
      <c r="O118" s="692" t="n"/>
      <c r="P118" s="692" t="n"/>
      <c r="Q118" s="692" t="n"/>
      <c r="R118" s="692" t="n"/>
      <c r="S118" s="692" t="n"/>
      <c r="T118" s="692" t="n"/>
      <c r="U118" s="692" t="n"/>
      <c r="V118" s="692" t="n"/>
      <c r="W118" s="692" t="n"/>
    </row>
    <row r="119">
      <c r="A119" s="692" t="n"/>
      <c r="B119" s="692" t="n"/>
      <c r="C119" s="692" t="n"/>
      <c r="D119" s="692" t="n"/>
      <c r="E119" s="692" t="n"/>
      <c r="F119" s="692" t="n"/>
      <c r="G119" s="692" t="n"/>
      <c r="H119" s="692" t="n"/>
      <c r="I119" s="692" t="n"/>
      <c r="J119" s="692" t="n"/>
      <c r="K119" s="692" t="n"/>
      <c r="L119" s="692" t="n"/>
      <c r="M119" s="692" t="n"/>
      <c r="N119" s="692" t="n"/>
      <c r="O119" s="692" t="n"/>
      <c r="P119" s="692" t="n"/>
      <c r="Q119" s="692" t="n"/>
      <c r="R119" s="692" t="n"/>
      <c r="S119" s="692" t="n"/>
      <c r="T119" s="692" t="n"/>
      <c r="U119" s="692" t="n"/>
      <c r="V119" s="692" t="n"/>
      <c r="W119" s="692" t="n"/>
    </row>
    <row r="120">
      <c r="A120" s="692" t="n"/>
      <c r="B120" s="692" t="n"/>
      <c r="C120" s="692" t="n"/>
      <c r="D120" s="692" t="n"/>
      <c r="E120" s="692" t="n"/>
      <c r="F120" s="692" t="n"/>
      <c r="G120" s="692" t="n"/>
      <c r="H120" s="692" t="n"/>
      <c r="I120" s="692" t="n"/>
      <c r="J120" s="692" t="n"/>
      <c r="K120" s="692" t="n"/>
      <c r="L120" s="692" t="n"/>
      <c r="M120" s="692" t="n"/>
      <c r="N120" s="692" t="n"/>
      <c r="O120" s="692" t="n"/>
      <c r="P120" s="692" t="n"/>
      <c r="Q120" s="692" t="n"/>
      <c r="R120" s="692" t="n"/>
      <c r="S120" s="692" t="n"/>
      <c r="T120" s="692" t="n"/>
      <c r="U120" s="692" t="n"/>
      <c r="V120" s="692" t="n"/>
      <c r="W120" s="692" t="n"/>
    </row>
    <row r="121">
      <c r="A121" s="692" t="n"/>
      <c r="B121" s="692" t="n"/>
      <c r="C121" s="692" t="n"/>
      <c r="D121" s="692" t="n"/>
      <c r="E121" s="692" t="n"/>
      <c r="F121" s="692" t="n"/>
      <c r="G121" s="692" t="n"/>
      <c r="H121" s="692" t="n"/>
      <c r="I121" s="692" t="n"/>
      <c r="J121" s="692" t="n"/>
      <c r="K121" s="692" t="n"/>
      <c r="L121" s="692" t="n"/>
      <c r="M121" s="692" t="n"/>
      <c r="N121" s="692" t="n"/>
      <c r="O121" s="692" t="n"/>
      <c r="P121" s="692" t="n"/>
      <c r="Q121" s="692" t="n"/>
      <c r="R121" s="692" t="n"/>
      <c r="S121" s="692" t="n"/>
      <c r="T121" s="692" t="n"/>
      <c r="U121" s="692" t="n"/>
      <c r="V121" s="692" t="n"/>
      <c r="W121" s="692" t="n"/>
    </row>
    <row r="122">
      <c r="A122" s="692" t="n"/>
      <c r="B122" s="692" t="n"/>
      <c r="C122" s="692" t="n"/>
      <c r="D122" s="692" t="n"/>
      <c r="E122" s="692" t="n"/>
      <c r="F122" s="692" t="n"/>
      <c r="G122" s="692" t="n"/>
      <c r="H122" s="692" t="n"/>
      <c r="I122" s="692" t="n"/>
      <c r="J122" s="692" t="n"/>
      <c r="K122" s="692" t="n"/>
      <c r="L122" s="692" t="n"/>
      <c r="M122" s="692" t="n"/>
      <c r="N122" s="692" t="n"/>
      <c r="O122" s="692" t="n"/>
      <c r="P122" s="692" t="n"/>
      <c r="Q122" s="692" t="n"/>
      <c r="R122" s="692" t="n"/>
      <c r="S122" s="692" t="n"/>
      <c r="T122" s="692" t="n"/>
      <c r="U122" s="692" t="n"/>
      <c r="V122" s="692" t="n"/>
      <c r="W122" s="692" t="n"/>
    </row>
    <row r="123">
      <c r="A123" s="692" t="n"/>
      <c r="B123" s="692" t="n"/>
      <c r="C123" s="692" t="n"/>
      <c r="D123" s="692" t="n"/>
      <c r="E123" s="692" t="n"/>
      <c r="F123" s="692" t="n"/>
      <c r="G123" s="692" t="n"/>
      <c r="H123" s="692" t="n"/>
      <c r="I123" s="692" t="n"/>
      <c r="J123" s="692" t="n"/>
      <c r="K123" s="692" t="n"/>
      <c r="L123" s="692" t="n"/>
      <c r="M123" s="692" t="n"/>
      <c r="N123" s="692" t="n"/>
      <c r="O123" s="692" t="n"/>
      <c r="P123" s="692" t="n"/>
      <c r="Q123" s="692" t="n"/>
      <c r="R123" s="692" t="n"/>
      <c r="S123" s="692" t="n"/>
      <c r="T123" s="692" t="n"/>
      <c r="U123" s="692" t="n"/>
      <c r="V123" s="692" t="n"/>
      <c r="W123" s="692" t="n"/>
    </row>
    <row r="124">
      <c r="A124" s="692" t="n"/>
      <c r="B124" s="692" t="n"/>
      <c r="C124" s="692" t="n"/>
      <c r="D124" s="692" t="n"/>
      <c r="E124" s="692" t="n"/>
      <c r="F124" s="692" t="n"/>
      <c r="G124" s="692" t="n"/>
      <c r="H124" s="692" t="n"/>
      <c r="I124" s="692" t="n"/>
      <c r="J124" s="692" t="n"/>
      <c r="K124" s="692" t="n"/>
      <c r="L124" s="692" t="n"/>
      <c r="M124" s="692" t="n"/>
      <c r="N124" s="692" t="n"/>
      <c r="O124" s="692" t="n"/>
      <c r="P124" s="692" t="n"/>
      <c r="Q124" s="692" t="n"/>
      <c r="R124" s="692" t="n"/>
      <c r="S124" s="692" t="n"/>
      <c r="T124" s="692" t="n"/>
      <c r="U124" s="692" t="n"/>
      <c r="V124" s="692" t="n"/>
      <c r="W124" s="692" t="n"/>
    </row>
    <row r="125">
      <c r="A125" s="692" t="n"/>
      <c r="B125" s="692" t="n"/>
      <c r="C125" s="692" t="n"/>
      <c r="D125" s="692" t="n"/>
      <c r="E125" s="692" t="n"/>
      <c r="F125" s="692" t="n"/>
      <c r="G125" s="692" t="n"/>
      <c r="H125" s="692" t="n"/>
      <c r="I125" s="692" t="n"/>
      <c r="J125" s="692" t="n"/>
      <c r="K125" s="692" t="n"/>
      <c r="L125" s="692" t="n"/>
      <c r="M125" s="692" t="n"/>
      <c r="N125" s="692" t="n"/>
      <c r="O125" s="692" t="n"/>
      <c r="P125" s="692" t="n"/>
      <c r="Q125" s="692" t="n"/>
      <c r="R125" s="692" t="n"/>
      <c r="S125" s="692" t="n"/>
      <c r="T125" s="692" t="n"/>
      <c r="U125" s="692" t="n"/>
      <c r="V125" s="692" t="n"/>
      <c r="W125" s="692" t="n"/>
    </row>
    <row r="126">
      <c r="A126" s="692" t="n"/>
      <c r="B126" s="692" t="n"/>
      <c r="C126" s="692" t="n"/>
      <c r="D126" s="692" t="n"/>
      <c r="E126" s="692" t="n"/>
      <c r="F126" s="692" t="n"/>
      <c r="G126" s="692" t="n"/>
      <c r="H126" s="692" t="n"/>
      <c r="I126" s="692" t="n"/>
      <c r="J126" s="692" t="n"/>
      <c r="K126" s="692" t="n"/>
      <c r="L126" s="692" t="n"/>
      <c r="M126" s="692" t="n"/>
      <c r="N126" s="692" t="n"/>
      <c r="O126" s="692" t="n"/>
      <c r="P126" s="692" t="n"/>
      <c r="Q126" s="692" t="n"/>
      <c r="R126" s="692" t="n"/>
      <c r="S126" s="692" t="n"/>
      <c r="T126" s="692" t="n"/>
      <c r="U126" s="692" t="n"/>
      <c r="V126" s="692" t="n"/>
      <c r="W126" s="692" t="n"/>
    </row>
    <row r="127">
      <c r="A127" s="692" t="n"/>
      <c r="B127" s="692" t="n"/>
      <c r="C127" s="692" t="n"/>
      <c r="D127" s="692" t="n"/>
      <c r="E127" s="692" t="n"/>
      <c r="F127" s="692" t="n"/>
      <c r="G127" s="692" t="n"/>
      <c r="H127" s="692" t="n"/>
      <c r="I127" s="692" t="n"/>
      <c r="J127" s="692" t="n"/>
      <c r="K127" s="692" t="n"/>
      <c r="L127" s="692" t="n"/>
      <c r="M127" s="692" t="n"/>
      <c r="N127" s="692" t="n"/>
      <c r="O127" s="692" t="n"/>
      <c r="P127" s="692" t="n"/>
      <c r="Q127" s="692" t="n"/>
      <c r="R127" s="692" t="n"/>
      <c r="S127" s="692" t="n"/>
      <c r="T127" s="692" t="n"/>
      <c r="U127" s="692" t="n"/>
      <c r="V127" s="692" t="n"/>
      <c r="W127" s="692" t="n"/>
    </row>
    <row r="128">
      <c r="A128" s="692" t="n"/>
      <c r="B128" s="692" t="n"/>
      <c r="C128" s="692" t="n"/>
      <c r="D128" s="692" t="n"/>
      <c r="E128" s="692" t="n"/>
      <c r="F128" s="692" t="n"/>
      <c r="G128" s="692" t="n"/>
      <c r="H128" s="692" t="n"/>
      <c r="I128" s="692" t="n"/>
      <c r="J128" s="692" t="n"/>
      <c r="K128" s="692" t="n"/>
      <c r="L128" s="692" t="n"/>
      <c r="M128" s="692" t="n"/>
      <c r="N128" s="692" t="n"/>
      <c r="O128" s="692" t="n"/>
      <c r="P128" s="692" t="n"/>
      <c r="Q128" s="692" t="n"/>
      <c r="R128" s="692" t="n"/>
      <c r="S128" s="692" t="n"/>
      <c r="T128" s="692" t="n"/>
      <c r="U128" s="692" t="n"/>
      <c r="V128" s="692" t="n"/>
      <c r="W128" s="692" t="n"/>
    </row>
    <row r="129">
      <c r="A129" s="692" t="n"/>
      <c r="B129" s="692" t="n"/>
      <c r="C129" s="692" t="n"/>
      <c r="D129" s="692" t="n"/>
      <c r="E129" s="692" t="n"/>
      <c r="F129" s="692" t="n"/>
      <c r="G129" s="692" t="n"/>
      <c r="H129" s="692" t="n"/>
      <c r="I129" s="692" t="n"/>
      <c r="J129" s="692" t="n"/>
      <c r="K129" s="692" t="n"/>
      <c r="L129" s="692" t="n"/>
      <c r="M129" s="692" t="n"/>
      <c r="N129" s="692" t="n"/>
      <c r="O129" s="692" t="n"/>
      <c r="P129" s="692" t="n"/>
      <c r="Q129" s="692" t="n"/>
      <c r="R129" s="692" t="n"/>
      <c r="S129" s="692" t="n"/>
      <c r="T129" s="692" t="n"/>
      <c r="U129" s="692" t="n"/>
      <c r="V129" s="692" t="n"/>
      <c r="W129" s="692" t="n"/>
    </row>
    <row r="130">
      <c r="A130" s="692" t="n"/>
      <c r="B130" s="692" t="n"/>
      <c r="C130" s="692" t="n"/>
      <c r="D130" s="692" t="n"/>
      <c r="E130" s="692" t="n"/>
      <c r="F130" s="692" t="n"/>
      <c r="G130" s="692" t="n"/>
      <c r="H130" s="692" t="n"/>
      <c r="I130" s="692" t="n"/>
      <c r="J130" s="692" t="n"/>
      <c r="K130" s="692" t="n"/>
      <c r="L130" s="692" t="n"/>
      <c r="M130" s="692" t="n"/>
      <c r="N130" s="692" t="n"/>
      <c r="O130" s="692" t="n"/>
      <c r="P130" s="692" t="n"/>
      <c r="Q130" s="692" t="n"/>
      <c r="R130" s="692" t="n"/>
      <c r="S130" s="692" t="n"/>
      <c r="T130" s="692" t="n"/>
      <c r="U130" s="692" t="n"/>
      <c r="V130" s="692" t="n"/>
      <c r="W130" s="692" t="n"/>
    </row>
    <row r="131">
      <c r="A131" s="692" t="n"/>
      <c r="B131" s="692" t="n"/>
      <c r="C131" s="692" t="n"/>
      <c r="D131" s="692" t="n"/>
      <c r="E131" s="692" t="n"/>
      <c r="F131" s="692" t="n"/>
      <c r="G131" s="692" t="n"/>
      <c r="H131" s="692" t="n"/>
      <c r="I131" s="692" t="n"/>
      <c r="J131" s="692" t="n"/>
      <c r="K131" s="692" t="n"/>
      <c r="L131" s="692" t="n"/>
      <c r="M131" s="692" t="n"/>
      <c r="N131" s="692" t="n"/>
      <c r="O131" s="692" t="n"/>
      <c r="P131" s="692" t="n"/>
      <c r="Q131" s="692" t="n"/>
      <c r="R131" s="692" t="n"/>
      <c r="S131" s="692" t="n"/>
      <c r="T131" s="692" t="n"/>
      <c r="U131" s="692" t="n"/>
      <c r="V131" s="692" t="n"/>
      <c r="W131" s="692" t="n"/>
    </row>
    <row r="132">
      <c r="A132" s="692" t="n"/>
      <c r="B132" s="692" t="n"/>
      <c r="C132" s="692" t="n"/>
      <c r="D132" s="692" t="n"/>
      <c r="E132" s="692" t="n"/>
      <c r="F132" s="692" t="n"/>
      <c r="G132" s="692" t="n"/>
      <c r="H132" s="692" t="n"/>
      <c r="I132" s="692" t="n"/>
      <c r="J132" s="692" t="n"/>
      <c r="K132" s="692" t="n"/>
      <c r="L132" s="692" t="n"/>
      <c r="M132" s="692" t="n"/>
      <c r="N132" s="692" t="n"/>
      <c r="O132" s="692" t="n"/>
      <c r="P132" s="692" t="n"/>
      <c r="Q132" s="692" t="n"/>
      <c r="R132" s="692" t="n"/>
      <c r="S132" s="692" t="n"/>
      <c r="T132" s="692" t="n"/>
      <c r="U132" s="692" t="n"/>
      <c r="V132" s="692" t="n"/>
      <c r="W132" s="692" t="n"/>
    </row>
    <row r="133">
      <c r="A133" s="692" t="n"/>
      <c r="B133" s="692" t="n"/>
      <c r="C133" s="692" t="n"/>
      <c r="D133" s="692" t="n"/>
      <c r="E133" s="692" t="n"/>
      <c r="F133" s="692" t="n"/>
      <c r="G133" s="692" t="n"/>
      <c r="H133" s="692" t="n"/>
      <c r="I133" s="692" t="n"/>
      <c r="J133" s="692" t="n"/>
      <c r="K133" s="692" t="n"/>
      <c r="L133" s="692" t="n"/>
      <c r="M133" s="692" t="n"/>
      <c r="N133" s="692" t="n"/>
      <c r="O133" s="692" t="n"/>
      <c r="P133" s="692" t="n"/>
      <c r="Q133" s="692" t="n"/>
      <c r="R133" s="692" t="n"/>
      <c r="S133" s="692" t="n"/>
      <c r="T133" s="692" t="n"/>
      <c r="U133" s="692" t="n"/>
      <c r="V133" s="692" t="n"/>
      <c r="W133" s="692" t="n"/>
    </row>
    <row r="134">
      <c r="A134" s="692" t="n"/>
      <c r="B134" s="692" t="n"/>
      <c r="C134" s="692" t="n"/>
      <c r="D134" s="692" t="n"/>
      <c r="E134" s="692" t="n"/>
      <c r="F134" s="692" t="n"/>
      <c r="G134" s="692" t="n"/>
      <c r="H134" s="692" t="n"/>
      <c r="I134" s="692" t="n"/>
      <c r="J134" s="692" t="n"/>
      <c r="K134" s="692" t="n"/>
      <c r="L134" s="692" t="n"/>
      <c r="M134" s="692" t="n"/>
      <c r="N134" s="692" t="n"/>
      <c r="O134" s="692" t="n"/>
      <c r="P134" s="692" t="n"/>
      <c r="Q134" s="692" t="n"/>
      <c r="R134" s="692" t="n"/>
      <c r="S134" s="692" t="n"/>
      <c r="T134" s="692" t="n"/>
      <c r="U134" s="692" t="n"/>
      <c r="V134" s="692" t="n"/>
      <c r="W134" s="692" t="n"/>
    </row>
    <row r="135">
      <c r="A135" s="692" t="n"/>
      <c r="B135" s="692" t="n"/>
      <c r="C135" s="692" t="n"/>
      <c r="D135" s="692" t="n"/>
      <c r="E135" s="692" t="n"/>
      <c r="F135" s="692" t="n"/>
      <c r="G135" s="692" t="n"/>
      <c r="H135" s="692" t="n"/>
      <c r="I135" s="692" t="n"/>
      <c r="J135" s="692" t="n"/>
      <c r="K135" s="692" t="n"/>
      <c r="L135" s="692" t="n"/>
      <c r="M135" s="692" t="n"/>
      <c r="N135" s="692" t="n"/>
      <c r="O135" s="692" t="n"/>
      <c r="P135" s="692" t="n"/>
      <c r="Q135" s="692" t="n"/>
      <c r="R135" s="692" t="n"/>
      <c r="S135" s="692" t="n"/>
      <c r="T135" s="692" t="n"/>
      <c r="U135" s="692" t="n"/>
      <c r="V135" s="692" t="n"/>
      <c r="W135" s="692" t="n"/>
    </row>
    <row r="136">
      <c r="A136" s="692" t="n"/>
      <c r="B136" s="692" t="n"/>
      <c r="C136" s="692" t="n"/>
      <c r="D136" s="692" t="n"/>
      <c r="E136" s="692" t="n"/>
      <c r="F136" s="692" t="n"/>
      <c r="G136" s="692" t="n"/>
      <c r="H136" s="692" t="n"/>
      <c r="I136" s="692" t="n"/>
      <c r="J136" s="692" t="n"/>
      <c r="K136" s="692" t="n"/>
      <c r="L136" s="692" t="n"/>
      <c r="M136" s="692" t="n"/>
      <c r="N136" s="692" t="n"/>
      <c r="O136" s="692" t="n"/>
      <c r="P136" s="692" t="n"/>
      <c r="Q136" s="692" t="n"/>
      <c r="R136" s="692" t="n"/>
      <c r="S136" s="692" t="n"/>
      <c r="T136" s="692" t="n"/>
      <c r="U136" s="692" t="n"/>
      <c r="V136" s="692" t="n"/>
      <c r="W136" s="692" t="n"/>
    </row>
    <row r="137">
      <c r="A137" s="692" t="n"/>
      <c r="B137" s="692" t="n"/>
      <c r="C137" s="692" t="n"/>
      <c r="D137" s="692" t="n"/>
      <c r="E137" s="692" t="n"/>
      <c r="F137" s="692" t="n"/>
      <c r="G137" s="692" t="n"/>
      <c r="H137" s="692" t="n"/>
      <c r="I137" s="692" t="n"/>
      <c r="J137" s="692" t="n"/>
      <c r="K137" s="692" t="n"/>
      <c r="L137" s="692" t="n"/>
      <c r="M137" s="692" t="n"/>
      <c r="N137" s="692" t="n"/>
      <c r="O137" s="692" t="n"/>
      <c r="P137" s="692" t="n"/>
      <c r="Q137" s="692" t="n"/>
      <c r="R137" s="692" t="n"/>
      <c r="S137" s="692" t="n"/>
      <c r="T137" s="692" t="n"/>
      <c r="U137" s="692" t="n"/>
      <c r="V137" s="692" t="n"/>
      <c r="W137" s="692" t="n"/>
    </row>
    <row r="138">
      <c r="A138" s="692" t="n"/>
      <c r="B138" s="692" t="n"/>
      <c r="C138" s="692" t="n"/>
      <c r="D138" s="692" t="n"/>
      <c r="E138" s="692" t="n"/>
      <c r="F138" s="692" t="n"/>
      <c r="G138" s="692" t="n"/>
      <c r="H138" s="692" t="n"/>
      <c r="I138" s="692" t="n"/>
      <c r="J138" s="692" t="n"/>
      <c r="K138" s="692" t="n"/>
      <c r="L138" s="692" t="n"/>
      <c r="M138" s="692" t="n"/>
      <c r="N138" s="692" t="n"/>
      <c r="O138" s="692" t="n"/>
      <c r="P138" s="692" t="n"/>
      <c r="Q138" s="692" t="n"/>
      <c r="R138" s="692" t="n"/>
      <c r="S138" s="692" t="n"/>
      <c r="T138" s="692" t="n"/>
      <c r="U138" s="692" t="n"/>
      <c r="V138" s="692" t="n"/>
      <c r="W138" s="692" t="n"/>
    </row>
    <row r="139">
      <c r="A139" s="692" t="n"/>
      <c r="B139" s="692" t="n"/>
      <c r="C139" s="692" t="n"/>
      <c r="D139" s="692" t="n"/>
      <c r="E139" s="692" t="n"/>
      <c r="F139" s="692" t="n"/>
      <c r="G139" s="692" t="n"/>
      <c r="H139" s="692" t="n"/>
      <c r="I139" s="692" t="n"/>
      <c r="J139" s="692" t="n"/>
      <c r="K139" s="692" t="n"/>
      <c r="L139" s="692" t="n"/>
      <c r="M139" s="692" t="n"/>
      <c r="N139" s="692" t="n"/>
      <c r="O139" s="692" t="n"/>
      <c r="P139" s="692" t="n"/>
      <c r="Q139" s="692" t="n"/>
      <c r="R139" s="692" t="n"/>
      <c r="S139" s="692" t="n"/>
      <c r="T139" s="692" t="n"/>
      <c r="U139" s="692" t="n"/>
      <c r="V139" s="692" t="n"/>
      <c r="W139" s="692" t="n"/>
    </row>
    <row r="140">
      <c r="A140" s="692" t="n"/>
      <c r="B140" s="692" t="n"/>
      <c r="C140" s="692" t="n"/>
      <c r="D140" s="692" t="n"/>
      <c r="E140" s="692" t="n"/>
      <c r="F140" s="692" t="n"/>
      <c r="G140" s="692" t="n"/>
      <c r="H140" s="692" t="n"/>
      <c r="I140" s="692" t="n"/>
      <c r="J140" s="692" t="n"/>
      <c r="K140" s="692" t="n"/>
      <c r="L140" s="692" t="n"/>
      <c r="M140" s="692" t="n"/>
      <c r="N140" s="692" t="n"/>
      <c r="O140" s="692" t="n"/>
      <c r="P140" s="692" t="n"/>
      <c r="Q140" s="692" t="n"/>
      <c r="R140" s="692" t="n"/>
      <c r="S140" s="692" t="n"/>
      <c r="T140" s="692" t="n"/>
      <c r="U140" s="692" t="n"/>
      <c r="V140" s="692" t="n"/>
      <c r="W140" s="692" t="n"/>
    </row>
    <row r="141">
      <c r="A141" s="692" t="n"/>
      <c r="B141" s="692" t="n"/>
      <c r="C141" s="692" t="n"/>
      <c r="D141" s="692" t="n"/>
      <c r="E141" s="692" t="n"/>
      <c r="F141" s="692" t="n"/>
      <c r="G141" s="692" t="n"/>
      <c r="H141" s="692" t="n"/>
      <c r="I141" s="692" t="n"/>
      <c r="J141" s="692" t="n"/>
      <c r="K141" s="692" t="n"/>
      <c r="L141" s="692" t="n"/>
      <c r="M141" s="692" t="n"/>
      <c r="N141" s="692" t="n"/>
      <c r="O141" s="692" t="n"/>
      <c r="P141" s="692" t="n"/>
      <c r="Q141" s="692" t="n"/>
      <c r="R141" s="692" t="n"/>
      <c r="S141" s="692" t="n"/>
      <c r="T141" s="692" t="n"/>
      <c r="U141" s="692" t="n"/>
      <c r="V141" s="692" t="n"/>
      <c r="W141" s="692" t="n"/>
    </row>
    <row r="142">
      <c r="A142" s="692" t="n"/>
      <c r="B142" s="692" t="n"/>
      <c r="C142" s="692" t="n"/>
      <c r="D142" s="692" t="n"/>
      <c r="E142" s="692" t="n"/>
      <c r="F142" s="692" t="n"/>
      <c r="G142" s="692" t="n"/>
      <c r="H142" s="692" t="n"/>
      <c r="I142" s="692" t="n"/>
      <c r="J142" s="692" t="n"/>
      <c r="K142" s="692" t="n"/>
      <c r="L142" s="692" t="n"/>
      <c r="M142" s="692" t="n"/>
      <c r="N142" s="692" t="n"/>
      <c r="O142" s="692" t="n"/>
      <c r="P142" s="692" t="n"/>
      <c r="Q142" s="692" t="n"/>
      <c r="R142" s="692" t="n"/>
      <c r="S142" s="692" t="n"/>
      <c r="T142" s="692" t="n"/>
      <c r="U142" s="692" t="n"/>
      <c r="V142" s="692" t="n"/>
      <c r="W142" s="692" t="n"/>
    </row>
    <row r="143">
      <c r="A143" s="692" t="n"/>
      <c r="B143" s="692" t="n"/>
      <c r="C143" s="692" t="n"/>
      <c r="D143" s="692" t="n"/>
      <c r="E143" s="692" t="n"/>
      <c r="F143" s="692" t="n"/>
      <c r="G143" s="692" t="n"/>
      <c r="H143" s="692" t="n"/>
      <c r="I143" s="692" t="n"/>
      <c r="J143" s="692" t="n"/>
      <c r="K143" s="692" t="n"/>
      <c r="L143" s="692" t="n"/>
      <c r="M143" s="692" t="n"/>
      <c r="N143" s="692" t="n"/>
      <c r="O143" s="692" t="n"/>
      <c r="P143" s="692" t="n"/>
      <c r="Q143" s="692" t="n"/>
      <c r="R143" s="692" t="n"/>
      <c r="S143" s="692" t="n"/>
      <c r="T143" s="692" t="n"/>
      <c r="U143" s="692" t="n"/>
      <c r="V143" s="692" t="n"/>
      <c r="W143" s="692" t="n"/>
    </row>
    <row r="144">
      <c r="A144" s="692" t="n"/>
      <c r="B144" s="692" t="n"/>
      <c r="C144" s="692" t="n"/>
      <c r="D144" s="692" t="n"/>
      <c r="E144" s="692" t="n"/>
      <c r="F144" s="692" t="n"/>
      <c r="G144" s="692" t="n"/>
      <c r="H144" s="692" t="n"/>
      <c r="I144" s="692" t="n"/>
      <c r="J144" s="692" t="n"/>
      <c r="K144" s="692" t="n"/>
      <c r="L144" s="692" t="n"/>
      <c r="M144" s="692" t="n"/>
      <c r="N144" s="692" t="n"/>
      <c r="O144" s="692" t="n"/>
      <c r="P144" s="692" t="n"/>
      <c r="Q144" s="692" t="n"/>
      <c r="R144" s="692" t="n"/>
      <c r="S144" s="692" t="n"/>
      <c r="T144" s="692" t="n"/>
      <c r="U144" s="692" t="n"/>
      <c r="V144" s="692" t="n"/>
      <c r="W144" s="692" t="n"/>
    </row>
    <row r="145">
      <c r="A145" s="692" t="n"/>
      <c r="B145" s="692" t="n"/>
      <c r="C145" s="692" t="n"/>
      <c r="D145" s="692" t="n"/>
      <c r="E145" s="692" t="n"/>
      <c r="F145" s="692" t="n"/>
      <c r="G145" s="692" t="n"/>
      <c r="H145" s="692" t="n"/>
      <c r="I145" s="692" t="n"/>
      <c r="J145" s="692" t="n"/>
      <c r="K145" s="692" t="n"/>
      <c r="L145" s="692" t="n"/>
      <c r="M145" s="692" t="n"/>
      <c r="N145" s="692" t="n"/>
      <c r="O145" s="692" t="n"/>
      <c r="P145" s="692" t="n"/>
      <c r="Q145" s="692" t="n"/>
      <c r="R145" s="692" t="n"/>
      <c r="S145" s="692" t="n"/>
      <c r="T145" s="692" t="n"/>
      <c r="U145" s="692" t="n"/>
      <c r="V145" s="692" t="n"/>
      <c r="W145" s="692" t="n"/>
    </row>
    <row r="146">
      <c r="A146" s="692" t="n"/>
      <c r="B146" s="692" t="n"/>
      <c r="C146" s="692" t="n"/>
      <c r="D146" s="692" t="n"/>
      <c r="E146" s="692" t="n"/>
      <c r="F146" s="692" t="n"/>
      <c r="G146" s="692" t="n"/>
      <c r="H146" s="692" t="n"/>
      <c r="I146" s="692" t="n"/>
      <c r="J146" s="692" t="n"/>
      <c r="K146" s="692" t="n"/>
      <c r="L146" s="692" t="n"/>
      <c r="M146" s="692" t="n"/>
      <c r="N146" s="692" t="n"/>
      <c r="O146" s="692" t="n"/>
      <c r="P146" s="692" t="n"/>
      <c r="Q146" s="692" t="n"/>
      <c r="R146" s="692" t="n"/>
      <c r="S146" s="692" t="n"/>
      <c r="T146" s="692" t="n"/>
      <c r="U146" s="692" t="n"/>
      <c r="V146" s="692" t="n"/>
      <c r="W146" s="692" t="n"/>
    </row>
    <row r="147">
      <c r="A147" s="692" t="n"/>
      <c r="B147" s="692" t="n"/>
      <c r="C147" s="692" t="n"/>
      <c r="D147" s="692" t="n"/>
      <c r="E147" s="692" t="n"/>
      <c r="F147" s="692" t="n"/>
      <c r="G147" s="692" t="n"/>
      <c r="H147" s="692" t="n"/>
      <c r="I147" s="692" t="n"/>
      <c r="J147" s="692" t="n"/>
      <c r="K147" s="692" t="n"/>
      <c r="L147" s="692" t="n"/>
      <c r="M147" s="692" t="n"/>
      <c r="N147" s="692" t="n"/>
      <c r="O147" s="692" t="n"/>
      <c r="P147" s="692" t="n"/>
      <c r="Q147" s="692" t="n"/>
      <c r="R147" s="692" t="n"/>
      <c r="S147" s="692" t="n"/>
      <c r="T147" s="692" t="n"/>
      <c r="U147" s="692" t="n"/>
      <c r="V147" s="692" t="n"/>
      <c r="W147" s="692" t="n"/>
    </row>
    <row r="148">
      <c r="A148" s="692" t="n"/>
      <c r="B148" s="692" t="n"/>
      <c r="C148" s="692" t="n"/>
      <c r="D148" s="692" t="n"/>
      <c r="E148" s="692" t="n"/>
      <c r="F148" s="692" t="n"/>
      <c r="G148" s="692" t="n"/>
      <c r="H148" s="692" t="n"/>
      <c r="I148" s="692" t="n"/>
      <c r="J148" s="692" t="n"/>
      <c r="K148" s="692" t="n"/>
      <c r="L148" s="692" t="n"/>
      <c r="M148" s="692" t="n"/>
      <c r="N148" s="692" t="n"/>
      <c r="O148" s="692" t="n"/>
      <c r="P148" s="692" t="n"/>
      <c r="Q148" s="692" t="n"/>
      <c r="R148" s="692" t="n"/>
      <c r="S148" s="692" t="n"/>
      <c r="T148" s="692" t="n"/>
      <c r="U148" s="692" t="n"/>
      <c r="V148" s="692" t="n"/>
      <c r="W148" s="692" t="n"/>
    </row>
    <row r="149">
      <c r="A149" s="692" t="n"/>
      <c r="B149" s="692" t="n"/>
      <c r="C149" s="692" t="n"/>
      <c r="D149" s="692" t="n"/>
      <c r="E149" s="692" t="n"/>
      <c r="F149" s="692" t="n"/>
      <c r="G149" s="692" t="n"/>
      <c r="H149" s="692" t="n"/>
      <c r="I149" s="692" t="n"/>
      <c r="J149" s="692" t="n"/>
      <c r="K149" s="692" t="n"/>
      <c r="L149" s="692" t="n"/>
      <c r="M149" s="692" t="n"/>
      <c r="N149" s="692" t="n"/>
      <c r="O149" s="692" t="n"/>
      <c r="P149" s="692" t="n"/>
      <c r="Q149" s="692" t="n"/>
      <c r="R149" s="692" t="n"/>
      <c r="S149" s="692" t="n"/>
      <c r="T149" s="692" t="n"/>
      <c r="U149" s="692" t="n"/>
      <c r="V149" s="692" t="n"/>
      <c r="W149" s="692" t="n"/>
    </row>
    <row r="150">
      <c r="A150" s="692" t="n"/>
      <c r="B150" s="692" t="n"/>
      <c r="C150" s="692" t="n"/>
      <c r="D150" s="692" t="n"/>
      <c r="E150" s="692" t="n"/>
      <c r="F150" s="692" t="n"/>
      <c r="G150" s="692" t="n"/>
      <c r="H150" s="692" t="n"/>
      <c r="I150" s="692" t="n"/>
      <c r="J150" s="692" t="n"/>
      <c r="K150" s="692" t="n"/>
      <c r="L150" s="692" t="n"/>
      <c r="M150" s="692" t="n"/>
      <c r="N150" s="692" t="n"/>
      <c r="O150" s="692" t="n"/>
      <c r="P150" s="692" t="n"/>
      <c r="Q150" s="692" t="n"/>
      <c r="R150" s="692" t="n"/>
      <c r="S150" s="692" t="n"/>
      <c r="T150" s="692" t="n"/>
      <c r="U150" s="692" t="n"/>
      <c r="V150" s="692" t="n"/>
      <c r="W150" s="692" t="n"/>
    </row>
    <row r="151">
      <c r="A151" s="692" t="n"/>
      <c r="B151" s="692" t="n"/>
      <c r="C151" s="692" t="n"/>
      <c r="D151" s="692" t="n"/>
      <c r="E151" s="692" t="n"/>
      <c r="F151" s="692" t="n"/>
      <c r="G151" s="692" t="n"/>
      <c r="H151" s="692" t="n"/>
      <c r="I151" s="692" t="n"/>
      <c r="J151" s="692" t="n"/>
      <c r="K151" s="692" t="n"/>
      <c r="L151" s="692" t="n"/>
      <c r="M151" s="692" t="n"/>
      <c r="N151" s="692" t="n"/>
      <c r="O151" s="692" t="n"/>
      <c r="P151" s="692" t="n"/>
      <c r="Q151" s="692" t="n"/>
      <c r="R151" s="692" t="n"/>
      <c r="S151" s="692" t="n"/>
      <c r="T151" s="692" t="n"/>
      <c r="U151" s="692" t="n"/>
      <c r="V151" s="692" t="n"/>
      <c r="W151" s="692" t="n"/>
    </row>
    <row r="152">
      <c r="A152" s="692" t="n"/>
      <c r="B152" s="692" t="n"/>
      <c r="C152" s="692" t="n"/>
      <c r="D152" s="692" t="n"/>
      <c r="E152" s="692" t="n"/>
      <c r="F152" s="692" t="n"/>
      <c r="G152" s="692" t="n"/>
      <c r="H152" s="692" t="n"/>
      <c r="I152" s="692" t="n"/>
      <c r="J152" s="692" t="n"/>
      <c r="K152" s="692" t="n"/>
      <c r="L152" s="692" t="n"/>
      <c r="M152" s="692" t="n"/>
      <c r="N152" s="692" t="n"/>
      <c r="O152" s="692" t="n"/>
      <c r="P152" s="692" t="n"/>
      <c r="Q152" s="692" t="n"/>
      <c r="R152" s="692" t="n"/>
      <c r="S152" s="692" t="n"/>
      <c r="T152" s="692" t="n"/>
      <c r="U152" s="692" t="n"/>
      <c r="V152" s="692" t="n"/>
      <c r="W152" s="692" t="n"/>
    </row>
    <row r="153">
      <c r="A153" s="692" t="n"/>
      <c r="B153" s="692" t="n"/>
      <c r="C153" s="692" t="n"/>
      <c r="D153" s="692" t="n"/>
      <c r="E153" s="692" t="n"/>
      <c r="F153" s="692" t="n"/>
      <c r="G153" s="692" t="n"/>
      <c r="H153" s="692" t="n"/>
      <c r="I153" s="692" t="n"/>
      <c r="J153" s="692" t="n"/>
      <c r="K153" s="692" t="n"/>
      <c r="L153" s="692" t="n"/>
      <c r="M153" s="692" t="n"/>
      <c r="N153" s="692" t="n"/>
      <c r="O153" s="692" t="n"/>
      <c r="P153" s="692" t="n"/>
      <c r="Q153" s="692" t="n"/>
      <c r="R153" s="692" t="n"/>
      <c r="S153" s="692" t="n"/>
      <c r="T153" s="692" t="n"/>
      <c r="U153" s="692" t="n"/>
      <c r="V153" s="692" t="n"/>
      <c r="W153" s="692" t="n"/>
    </row>
    <row r="154">
      <c r="A154" s="692" t="n"/>
      <c r="B154" s="692" t="n"/>
      <c r="C154" s="692" t="n"/>
      <c r="D154" s="692" t="n"/>
      <c r="E154" s="692" t="n"/>
      <c r="F154" s="692" t="n"/>
      <c r="G154" s="692" t="n"/>
      <c r="H154" s="692" t="n"/>
      <c r="I154" s="692" t="n"/>
      <c r="J154" s="692" t="n"/>
      <c r="K154" s="692" t="n"/>
      <c r="L154" s="692" t="n"/>
      <c r="M154" s="692" t="n"/>
      <c r="N154" s="692" t="n"/>
      <c r="O154" s="692" t="n"/>
      <c r="P154" s="692" t="n"/>
      <c r="Q154" s="692" t="n"/>
      <c r="R154" s="692" t="n"/>
      <c r="S154" s="692" t="n"/>
      <c r="T154" s="692" t="n"/>
      <c r="U154" s="692" t="n"/>
      <c r="V154" s="692" t="n"/>
      <c r="W154" s="692" t="n"/>
    </row>
    <row r="155">
      <c r="A155" s="692" t="n"/>
      <c r="B155" s="692" t="n"/>
      <c r="C155" s="692" t="n"/>
      <c r="D155" s="692" t="n"/>
      <c r="E155" s="692" t="n"/>
      <c r="F155" s="692" t="n"/>
      <c r="G155" s="692" t="n"/>
      <c r="H155" s="692" t="n"/>
      <c r="I155" s="692" t="n"/>
      <c r="J155" s="692" t="n"/>
      <c r="K155" s="692" t="n"/>
      <c r="L155" s="692" t="n"/>
      <c r="M155" s="692" t="n"/>
      <c r="N155" s="692" t="n"/>
      <c r="O155" s="692" t="n"/>
      <c r="P155" s="692" t="n"/>
      <c r="Q155" s="692" t="n"/>
      <c r="R155" s="692" t="n"/>
      <c r="S155" s="692" t="n"/>
      <c r="T155" s="692" t="n"/>
      <c r="U155" s="692" t="n"/>
      <c r="V155" s="692" t="n"/>
      <c r="W155" s="692" t="n"/>
    </row>
    <row r="156">
      <c r="A156" s="692" t="n"/>
      <c r="B156" s="692" t="n"/>
      <c r="C156" s="692" t="n"/>
      <c r="D156" s="692" t="n"/>
      <c r="E156" s="692" t="n"/>
      <c r="F156" s="692" t="n"/>
      <c r="G156" s="692" t="n"/>
      <c r="H156" s="692" t="n"/>
      <c r="I156" s="692" t="n"/>
      <c r="J156" s="692" t="n"/>
      <c r="K156" s="692" t="n"/>
      <c r="L156" s="692" t="n"/>
      <c r="M156" s="692" t="n"/>
      <c r="N156" s="692" t="n"/>
      <c r="O156" s="692" t="n"/>
      <c r="P156" s="692" t="n"/>
      <c r="Q156" s="692" t="n"/>
      <c r="R156" s="692" t="n"/>
      <c r="S156" s="692" t="n"/>
      <c r="T156" s="692" t="n"/>
      <c r="U156" s="692" t="n"/>
      <c r="V156" s="692" t="n"/>
      <c r="W156" s="692" t="n"/>
    </row>
    <row r="157">
      <c r="A157" s="692" t="n"/>
      <c r="B157" s="692" t="n"/>
      <c r="C157" s="692" t="n"/>
      <c r="D157" s="692" t="n"/>
      <c r="E157" s="692" t="n"/>
      <c r="F157" s="692" t="n"/>
      <c r="G157" s="692" t="n"/>
      <c r="H157" s="692" t="n"/>
      <c r="I157" s="692" t="n"/>
      <c r="J157" s="692" t="n"/>
      <c r="K157" s="692" t="n"/>
      <c r="L157" s="692" t="n"/>
      <c r="M157" s="692" t="n"/>
      <c r="N157" s="692" t="n"/>
      <c r="O157" s="692" t="n"/>
      <c r="P157" s="692" t="n"/>
      <c r="Q157" s="692" t="n"/>
      <c r="R157" s="692" t="n"/>
      <c r="S157" s="692" t="n"/>
      <c r="T157" s="692" t="n"/>
      <c r="U157" s="692" t="n"/>
      <c r="V157" s="692" t="n"/>
      <c r="W157" s="692" t="n"/>
    </row>
    <row r="158">
      <c r="A158" s="692" t="n"/>
      <c r="B158" s="692" t="n"/>
      <c r="C158" s="692" t="n"/>
      <c r="D158" s="692" t="n"/>
      <c r="E158" s="692" t="n"/>
      <c r="F158" s="692" t="n"/>
      <c r="G158" s="692" t="n"/>
      <c r="H158" s="692" t="n"/>
      <c r="I158" s="692" t="n"/>
      <c r="J158" s="692" t="n"/>
      <c r="K158" s="692" t="n"/>
      <c r="L158" s="692" t="n"/>
      <c r="M158" s="692" t="n"/>
      <c r="N158" s="692" t="n"/>
      <c r="O158" s="692" t="n"/>
      <c r="P158" s="692" t="n"/>
      <c r="Q158" s="692" t="n"/>
      <c r="R158" s="692" t="n"/>
      <c r="S158" s="692" t="n"/>
      <c r="T158" s="692" t="n"/>
      <c r="U158" s="692" t="n"/>
      <c r="V158" s="692" t="n"/>
      <c r="W158" s="692" t="n"/>
    </row>
    <row r="159">
      <c r="A159" s="692" t="n"/>
      <c r="B159" s="692" t="n"/>
      <c r="C159" s="692" t="n"/>
      <c r="D159" s="692" t="n"/>
      <c r="E159" s="692" t="n"/>
      <c r="F159" s="692" t="n"/>
      <c r="G159" s="692" t="n"/>
      <c r="H159" s="692" t="n"/>
      <c r="I159" s="692" t="n"/>
      <c r="J159" s="692" t="n"/>
      <c r="K159" s="692" t="n"/>
      <c r="L159" s="692" t="n"/>
      <c r="M159" s="692" t="n"/>
      <c r="N159" s="692" t="n"/>
      <c r="O159" s="692" t="n"/>
      <c r="P159" s="692" t="n"/>
      <c r="Q159" s="692" t="n"/>
      <c r="R159" s="692" t="n"/>
      <c r="S159" s="692" t="n"/>
      <c r="T159" s="692" t="n"/>
      <c r="U159" s="692" t="n"/>
      <c r="V159" s="692" t="n"/>
      <c r="W159" s="692" t="n"/>
    </row>
    <row r="160">
      <c r="A160" s="692" t="n"/>
      <c r="B160" s="692" t="n"/>
      <c r="C160" s="692" t="n"/>
      <c r="D160" s="692" t="n"/>
      <c r="E160" s="692" t="n"/>
      <c r="F160" s="692" t="n"/>
      <c r="G160" s="692" t="n"/>
      <c r="H160" s="692" t="n"/>
      <c r="I160" s="692" t="n"/>
      <c r="J160" s="692" t="n"/>
      <c r="K160" s="692" t="n"/>
      <c r="L160" s="692" t="n"/>
      <c r="M160" s="692" t="n"/>
      <c r="N160" s="692" t="n"/>
      <c r="O160" s="692" t="n"/>
      <c r="P160" s="692" t="n"/>
      <c r="Q160" s="692" t="n"/>
      <c r="R160" s="692" t="n"/>
      <c r="S160" s="692" t="n"/>
      <c r="T160" s="692" t="n"/>
      <c r="U160" s="692" t="n"/>
      <c r="V160" s="692" t="n"/>
      <c r="W160" s="692" t="n"/>
    </row>
    <row r="161">
      <c r="A161" s="692" t="n"/>
      <c r="B161" s="692" t="n"/>
      <c r="C161" s="692" t="n"/>
      <c r="D161" s="692" t="n"/>
      <c r="E161" s="692" t="n"/>
      <c r="F161" s="692" t="n"/>
      <c r="G161" s="692" t="n"/>
      <c r="H161" s="692" t="n"/>
      <c r="I161" s="692" t="n"/>
      <c r="J161" s="692" t="n"/>
      <c r="K161" s="692" t="n"/>
      <c r="L161" s="692" t="n"/>
      <c r="M161" s="692" t="n"/>
      <c r="N161" s="692" t="n"/>
      <c r="O161" s="692" t="n"/>
      <c r="P161" s="692" t="n"/>
      <c r="Q161" s="692" t="n"/>
      <c r="R161" s="692" t="n"/>
      <c r="S161" s="692" t="n"/>
      <c r="T161" s="692" t="n"/>
      <c r="U161" s="692" t="n"/>
      <c r="V161" s="692" t="n"/>
      <c r="W161" s="692" t="n"/>
    </row>
    <row r="162">
      <c r="A162" s="692" t="n"/>
      <c r="B162" s="692" t="n"/>
      <c r="C162" s="692" t="n"/>
      <c r="D162" s="692" t="n"/>
      <c r="E162" s="692" t="n"/>
      <c r="F162" s="692" t="n"/>
      <c r="G162" s="692" t="n"/>
      <c r="H162" s="692" t="n"/>
      <c r="I162" s="692" t="n"/>
      <c r="J162" s="692" t="n"/>
      <c r="K162" s="692" t="n"/>
      <c r="L162" s="692" t="n"/>
      <c r="M162" s="692" t="n"/>
      <c r="N162" s="692" t="n"/>
      <c r="O162" s="692" t="n"/>
      <c r="P162" s="692" t="n"/>
      <c r="Q162" s="692" t="n"/>
      <c r="R162" s="692" t="n"/>
      <c r="S162" s="692" t="n"/>
      <c r="T162" s="692" t="n"/>
      <c r="U162" s="692" t="n"/>
      <c r="V162" s="692" t="n"/>
      <c r="W162" s="692" t="n"/>
    </row>
    <row r="163">
      <c r="A163" s="692" t="n"/>
      <c r="B163" s="692" t="n"/>
      <c r="C163" s="692" t="n"/>
      <c r="D163" s="692" t="n"/>
      <c r="E163" s="692" t="n"/>
      <c r="F163" s="692" t="n"/>
      <c r="G163" s="692" t="n"/>
      <c r="H163" s="692" t="n"/>
      <c r="I163" s="692" t="n"/>
      <c r="J163" s="692" t="n"/>
      <c r="K163" s="692" t="n"/>
      <c r="L163" s="692" t="n"/>
      <c r="M163" s="692" t="n"/>
      <c r="N163" s="692" t="n"/>
      <c r="O163" s="692" t="n"/>
      <c r="P163" s="692" t="n"/>
      <c r="Q163" s="692" t="n"/>
      <c r="R163" s="692" t="n"/>
      <c r="S163" s="692" t="n"/>
      <c r="T163" s="692" t="n"/>
      <c r="U163" s="692" t="n"/>
      <c r="V163" s="692" t="n"/>
      <c r="W163" s="692" t="n"/>
    </row>
    <row r="164">
      <c r="A164" s="692" t="n"/>
      <c r="B164" s="692" t="n"/>
      <c r="C164" s="692" t="n"/>
      <c r="D164" s="692" t="n"/>
      <c r="E164" s="692" t="n"/>
      <c r="F164" s="692" t="n"/>
      <c r="G164" s="692" t="n"/>
      <c r="H164" s="692" t="n"/>
      <c r="I164" s="692" t="n"/>
      <c r="J164" s="692" t="n"/>
      <c r="K164" s="692" t="n"/>
      <c r="L164" s="692" t="n"/>
      <c r="M164" s="692" t="n"/>
      <c r="N164" s="692" t="n"/>
      <c r="O164" s="692" t="n"/>
      <c r="P164" s="692" t="n"/>
      <c r="Q164" s="692" t="n"/>
      <c r="R164" s="692" t="n"/>
      <c r="S164" s="692" t="n"/>
      <c r="T164" s="692" t="n"/>
      <c r="U164" s="692" t="n"/>
      <c r="V164" s="692" t="n"/>
      <c r="W164" s="692" t="n"/>
    </row>
    <row r="165">
      <c r="A165" s="692" t="n"/>
      <c r="B165" s="692" t="n"/>
      <c r="C165" s="692" t="n"/>
      <c r="D165" s="692" t="n"/>
      <c r="E165" s="692" t="n"/>
      <c r="F165" s="692" t="n"/>
      <c r="G165" s="692" t="n"/>
      <c r="H165" s="692" t="n"/>
      <c r="I165" s="692" t="n"/>
      <c r="J165" s="692" t="n"/>
      <c r="K165" s="692" t="n"/>
      <c r="L165" s="692" t="n"/>
      <c r="M165" s="692" t="n"/>
      <c r="N165" s="692" t="n"/>
      <c r="O165" s="692" t="n"/>
      <c r="P165" s="692" t="n"/>
      <c r="Q165" s="692" t="n"/>
      <c r="R165" s="692" t="n"/>
      <c r="S165" s="692" t="n"/>
      <c r="T165" s="692" t="n"/>
      <c r="U165" s="692" t="n"/>
      <c r="V165" s="692" t="n"/>
      <c r="W165" s="692" t="n"/>
    </row>
    <row r="166">
      <c r="A166" s="692" t="n"/>
      <c r="B166" s="692" t="n"/>
      <c r="C166" s="692" t="n"/>
      <c r="D166" s="692" t="n"/>
      <c r="E166" s="692" t="n"/>
      <c r="F166" s="692" t="n"/>
      <c r="G166" s="692" t="n"/>
      <c r="H166" s="692" t="n"/>
      <c r="I166" s="692" t="n"/>
      <c r="J166" s="692" t="n"/>
      <c r="K166" s="692" t="n"/>
      <c r="L166" s="692" t="n"/>
      <c r="M166" s="692" t="n"/>
      <c r="N166" s="692" t="n"/>
      <c r="O166" s="692" t="n"/>
      <c r="P166" s="692" t="n"/>
      <c r="Q166" s="692" t="n"/>
      <c r="R166" s="692" t="n"/>
      <c r="S166" s="692" t="n"/>
      <c r="T166" s="692" t="n"/>
      <c r="U166" s="692" t="n"/>
      <c r="V166" s="692" t="n"/>
      <c r="W166" s="692" t="n"/>
    </row>
    <row r="167">
      <c r="A167" s="692" t="n"/>
      <c r="B167" s="692" t="n"/>
      <c r="C167" s="692" t="n"/>
      <c r="D167" s="692" t="n"/>
      <c r="E167" s="692" t="n"/>
      <c r="F167" s="692" t="n"/>
      <c r="G167" s="692" t="n"/>
      <c r="H167" s="692" t="n"/>
      <c r="I167" s="692" t="n"/>
      <c r="J167" s="692" t="n"/>
      <c r="K167" s="692" t="n"/>
      <c r="L167" s="692" t="n"/>
      <c r="M167" s="692" t="n"/>
      <c r="N167" s="692" t="n"/>
      <c r="O167" s="692" t="n"/>
      <c r="P167" s="692" t="n"/>
      <c r="Q167" s="692" t="n"/>
      <c r="R167" s="692" t="n"/>
      <c r="S167" s="692" t="n"/>
      <c r="T167" s="692" t="n"/>
      <c r="U167" s="692" t="n"/>
      <c r="V167" s="692" t="n"/>
      <c r="W167" s="692" t="n"/>
    </row>
    <row r="168">
      <c r="A168" s="692" t="n"/>
      <c r="B168" s="692" t="n"/>
      <c r="C168" s="692" t="n"/>
      <c r="D168" s="692" t="n"/>
      <c r="E168" s="692" t="n"/>
      <c r="F168" s="692" t="n"/>
      <c r="G168" s="692" t="n"/>
      <c r="H168" s="692" t="n"/>
      <c r="I168" s="692" t="n"/>
      <c r="J168" s="692" t="n"/>
      <c r="K168" s="692" t="n"/>
      <c r="L168" s="692" t="n"/>
      <c r="M168" s="692" t="n"/>
      <c r="N168" s="692" t="n"/>
      <c r="O168" s="692" t="n"/>
      <c r="P168" s="692" t="n"/>
      <c r="Q168" s="692" t="n"/>
      <c r="R168" s="692" t="n"/>
      <c r="S168" s="692" t="n"/>
      <c r="T168" s="692" t="n"/>
      <c r="U168" s="692" t="n"/>
      <c r="V168" s="692" t="n"/>
      <c r="W168" s="692" t="n"/>
    </row>
    <row r="169">
      <c r="A169" s="692" t="n"/>
      <c r="B169" s="692" t="n"/>
      <c r="C169" s="692" t="n"/>
      <c r="D169" s="692" t="n"/>
      <c r="E169" s="692" t="n"/>
      <c r="F169" s="692" t="n"/>
      <c r="G169" s="692" t="n"/>
      <c r="H169" s="692" t="n"/>
      <c r="I169" s="692" t="n"/>
      <c r="J169" s="692" t="n"/>
      <c r="K169" s="692" t="n"/>
      <c r="L169" s="692" t="n"/>
      <c r="M169" s="692" t="n"/>
      <c r="N169" s="692" t="n"/>
      <c r="O169" s="692" t="n"/>
      <c r="P169" s="692" t="n"/>
      <c r="Q169" s="692" t="n"/>
      <c r="R169" s="692" t="n"/>
      <c r="S169" s="692" t="n"/>
      <c r="T169" s="692" t="n"/>
      <c r="U169" s="692" t="n"/>
      <c r="V169" s="692" t="n"/>
      <c r="W169" s="692" t="n"/>
    </row>
    <row r="170">
      <c r="A170" s="692" t="n"/>
      <c r="B170" s="692" t="n"/>
      <c r="C170" s="692" t="n"/>
      <c r="D170" s="692" t="n"/>
      <c r="E170" s="692" t="n"/>
      <c r="F170" s="692" t="n"/>
      <c r="G170" s="692" t="n"/>
      <c r="H170" s="692" t="n"/>
      <c r="I170" s="692" t="n"/>
      <c r="J170" s="692" t="n"/>
      <c r="K170" s="692" t="n"/>
      <c r="L170" s="692" t="n"/>
      <c r="M170" s="692" t="n"/>
      <c r="N170" s="692" t="n"/>
      <c r="O170" s="692" t="n"/>
      <c r="P170" s="692" t="n"/>
      <c r="Q170" s="692" t="n"/>
      <c r="R170" s="692" t="n"/>
      <c r="S170" s="692" t="n"/>
      <c r="T170" s="692" t="n"/>
      <c r="U170" s="692" t="n"/>
      <c r="V170" s="692" t="n"/>
      <c r="W170" s="692" t="n"/>
    </row>
    <row r="171">
      <c r="A171" s="692" t="n"/>
      <c r="B171" s="692" t="n"/>
      <c r="C171" s="692" t="n"/>
      <c r="D171" s="692" t="n"/>
      <c r="E171" s="692" t="n"/>
      <c r="F171" s="692" t="n"/>
      <c r="G171" s="692" t="n"/>
      <c r="H171" s="692" t="n"/>
      <c r="I171" s="692" t="n"/>
      <c r="J171" s="692" t="n"/>
      <c r="K171" s="692" t="n"/>
      <c r="L171" s="692" t="n"/>
      <c r="M171" s="692" t="n"/>
      <c r="N171" s="692" t="n"/>
      <c r="O171" s="692" t="n"/>
      <c r="P171" s="692" t="n"/>
      <c r="Q171" s="692" t="n"/>
      <c r="R171" s="692" t="n"/>
      <c r="S171" s="692" t="n"/>
      <c r="T171" s="692" t="n"/>
      <c r="U171" s="692" t="n"/>
      <c r="V171" s="692" t="n"/>
      <c r="W171" s="692" t="n"/>
    </row>
    <row r="172">
      <c r="A172" s="692" t="n"/>
      <c r="B172" s="692" t="n"/>
      <c r="C172" s="692" t="n"/>
      <c r="D172" s="692" t="n"/>
      <c r="E172" s="692" t="n"/>
      <c r="F172" s="692" t="n"/>
      <c r="G172" s="692" t="n"/>
      <c r="H172" s="692" t="n"/>
      <c r="I172" s="692" t="n"/>
      <c r="J172" s="692" t="n"/>
      <c r="K172" s="692" t="n"/>
      <c r="L172" s="692" t="n"/>
      <c r="M172" s="692" t="n"/>
      <c r="N172" s="692" t="n"/>
      <c r="O172" s="692" t="n"/>
      <c r="P172" s="692" t="n"/>
      <c r="Q172" s="692" t="n"/>
      <c r="R172" s="692" t="n"/>
      <c r="S172" s="692" t="n"/>
      <c r="T172" s="692" t="n"/>
      <c r="U172" s="692" t="n"/>
      <c r="V172" s="692" t="n"/>
      <c r="W172" s="692" t="n"/>
    </row>
    <row r="173">
      <c r="A173" s="692" t="n"/>
      <c r="B173" s="692" t="n"/>
      <c r="C173" s="692" t="n"/>
      <c r="D173" s="692" t="n"/>
      <c r="E173" s="692" t="n"/>
      <c r="F173" s="692" t="n"/>
      <c r="G173" s="692" t="n"/>
      <c r="H173" s="692" t="n"/>
      <c r="I173" s="692" t="n"/>
      <c r="J173" s="692" t="n"/>
      <c r="K173" s="692" t="n"/>
      <c r="L173" s="692" t="n"/>
      <c r="M173" s="692" t="n"/>
      <c r="N173" s="692" t="n"/>
      <c r="O173" s="692" t="n"/>
      <c r="P173" s="692" t="n"/>
      <c r="Q173" s="692" t="n"/>
      <c r="R173" s="692" t="n"/>
      <c r="S173" s="692" t="n"/>
      <c r="T173" s="692" t="n"/>
      <c r="U173" s="692" t="n"/>
      <c r="V173" s="692" t="n"/>
      <c r="W173" s="692" t="n"/>
    </row>
    <row r="174">
      <c r="A174" s="692" t="n"/>
      <c r="B174" s="692" t="n"/>
      <c r="C174" s="692" t="n"/>
      <c r="D174" s="692" t="n"/>
      <c r="E174" s="692" t="n"/>
      <c r="F174" s="692" t="n"/>
      <c r="G174" s="692" t="n"/>
      <c r="H174" s="692" t="n"/>
      <c r="I174" s="692" t="n"/>
      <c r="J174" s="692" t="n"/>
      <c r="K174" s="692" t="n"/>
      <c r="L174" s="692" t="n"/>
      <c r="M174" s="692" t="n"/>
      <c r="N174" s="692" t="n"/>
      <c r="O174" s="692" t="n"/>
      <c r="P174" s="692" t="n"/>
      <c r="Q174" s="692" t="n"/>
      <c r="R174" s="692" t="n"/>
      <c r="S174" s="692" t="n"/>
      <c r="T174" s="692" t="n"/>
      <c r="U174" s="692" t="n"/>
      <c r="V174" s="692" t="n"/>
      <c r="W174" s="692" t="n"/>
    </row>
    <row r="175">
      <c r="A175" s="692" t="n"/>
      <c r="B175" s="692" t="n"/>
      <c r="C175" s="692" t="n"/>
      <c r="D175" s="692" t="n"/>
      <c r="E175" s="692" t="n"/>
      <c r="F175" s="692" t="n"/>
      <c r="G175" s="692" t="n"/>
      <c r="H175" s="692" t="n"/>
      <c r="I175" s="692" t="n"/>
      <c r="J175" s="692" t="n"/>
      <c r="K175" s="692" t="n"/>
      <c r="L175" s="692" t="n"/>
      <c r="M175" s="692" t="n"/>
      <c r="N175" s="692" t="n"/>
      <c r="O175" s="692" t="n"/>
      <c r="P175" s="692" t="n"/>
      <c r="Q175" s="692" t="n"/>
      <c r="R175" s="692" t="n"/>
      <c r="S175" s="692" t="n"/>
      <c r="T175" s="692" t="n"/>
      <c r="U175" s="692" t="n"/>
      <c r="V175" s="692" t="n"/>
      <c r="W175" s="692" t="n"/>
    </row>
    <row r="176">
      <c r="A176" s="692" t="n"/>
      <c r="B176" s="692" t="n"/>
      <c r="C176" s="692" t="n"/>
      <c r="D176" s="692" t="n"/>
      <c r="E176" s="692" t="n"/>
      <c r="F176" s="692" t="n"/>
      <c r="G176" s="692" t="n"/>
      <c r="H176" s="692" t="n"/>
      <c r="I176" s="692" t="n"/>
      <c r="J176" s="692" t="n"/>
      <c r="K176" s="692" t="n"/>
      <c r="L176" s="692" t="n"/>
      <c r="M176" s="692" t="n"/>
      <c r="N176" s="692" t="n"/>
      <c r="O176" s="692" t="n"/>
      <c r="P176" s="692" t="n"/>
      <c r="Q176" s="692" t="n"/>
      <c r="R176" s="692" t="n"/>
      <c r="S176" s="692" t="n"/>
      <c r="T176" s="692" t="n"/>
      <c r="U176" s="692" t="n"/>
      <c r="V176" s="692" t="n"/>
      <c r="W176" s="692" t="n"/>
    </row>
    <row r="177">
      <c r="A177" s="692" t="n"/>
      <c r="B177" s="692" t="n"/>
      <c r="C177" s="692" t="n"/>
      <c r="D177" s="692" t="n"/>
      <c r="E177" s="692" t="n"/>
      <c r="F177" s="692" t="n"/>
      <c r="G177" s="692" t="n"/>
      <c r="H177" s="692" t="n"/>
      <c r="I177" s="692" t="n"/>
      <c r="J177" s="692" t="n"/>
      <c r="K177" s="692" t="n"/>
      <c r="L177" s="692" t="n"/>
      <c r="M177" s="692" t="n"/>
      <c r="N177" s="692" t="n"/>
      <c r="O177" s="692" t="n"/>
      <c r="P177" s="692" t="n"/>
      <c r="Q177" s="692" t="n"/>
      <c r="R177" s="692" t="n"/>
      <c r="S177" s="692" t="n"/>
      <c r="T177" s="692" t="n"/>
      <c r="U177" s="692" t="n"/>
      <c r="V177" s="692" t="n"/>
      <c r="W177" s="692" t="n"/>
    </row>
    <row r="178">
      <c r="A178" s="692" t="n"/>
      <c r="B178" s="692" t="n"/>
      <c r="C178" s="692" t="n"/>
      <c r="D178" s="692" t="n"/>
      <c r="E178" s="692" t="n"/>
      <c r="F178" s="692" t="n"/>
      <c r="G178" s="692" t="n"/>
      <c r="H178" s="692" t="n"/>
      <c r="I178" s="692" t="n"/>
      <c r="J178" s="692" t="n"/>
      <c r="K178" s="692" t="n"/>
      <c r="L178" s="692" t="n"/>
      <c r="M178" s="692" t="n"/>
      <c r="N178" s="692" t="n"/>
      <c r="O178" s="692" t="n"/>
      <c r="P178" s="692" t="n"/>
      <c r="Q178" s="692" t="n"/>
      <c r="R178" s="692" t="n"/>
      <c r="S178" s="692" t="n"/>
      <c r="T178" s="692" t="n"/>
      <c r="U178" s="692" t="n"/>
      <c r="V178" s="692" t="n"/>
      <c r="W178" s="692" t="n"/>
    </row>
    <row r="179">
      <c r="A179" s="692" t="n"/>
      <c r="B179" s="692" t="n"/>
      <c r="C179" s="692" t="n"/>
      <c r="D179" s="692" t="n"/>
      <c r="E179" s="692" t="n"/>
      <c r="F179" s="692" t="n"/>
      <c r="G179" s="692" t="n"/>
      <c r="H179" s="692" t="n"/>
      <c r="I179" s="692" t="n"/>
      <c r="J179" s="692" t="n"/>
      <c r="K179" s="692" t="n"/>
      <c r="L179" s="692" t="n"/>
      <c r="M179" s="692" t="n"/>
      <c r="N179" s="692" t="n"/>
      <c r="O179" s="692" t="n"/>
      <c r="P179" s="692" t="n"/>
      <c r="Q179" s="692" t="n"/>
      <c r="R179" s="692" t="n"/>
      <c r="S179" s="692" t="n"/>
      <c r="T179" s="692" t="n"/>
      <c r="U179" s="692" t="n"/>
      <c r="V179" s="692" t="n"/>
      <c r="W179" s="692" t="n"/>
    </row>
    <row r="180">
      <c r="A180" s="692" t="n"/>
      <c r="B180" s="692" t="n"/>
      <c r="C180" s="692" t="n"/>
      <c r="D180" s="692" t="n"/>
      <c r="E180" s="692" t="n"/>
      <c r="F180" s="692" t="n"/>
      <c r="G180" s="692" t="n"/>
      <c r="H180" s="692" t="n"/>
      <c r="I180" s="692" t="n"/>
      <c r="J180" s="692" t="n"/>
      <c r="K180" s="692" t="n"/>
      <c r="L180" s="692" t="n"/>
      <c r="M180" s="692" t="n"/>
      <c r="N180" s="692" t="n"/>
      <c r="O180" s="692" t="n"/>
      <c r="P180" s="692" t="n"/>
      <c r="Q180" s="692" t="n"/>
      <c r="R180" s="692" t="n"/>
      <c r="S180" s="692" t="n"/>
      <c r="T180" s="692" t="n"/>
      <c r="U180" s="692" t="n"/>
      <c r="V180" s="692" t="n"/>
      <c r="W180" s="692" t="n"/>
    </row>
    <row r="181">
      <c r="A181" s="692" t="n"/>
      <c r="B181" s="692" t="n"/>
      <c r="C181" s="692" t="n"/>
      <c r="D181" s="692" t="n"/>
      <c r="E181" s="692" t="n"/>
      <c r="F181" s="692" t="n"/>
      <c r="G181" s="692" t="n"/>
      <c r="H181" s="692" t="n"/>
      <c r="I181" s="692" t="n"/>
      <c r="J181" s="692" t="n"/>
      <c r="K181" s="692" t="n"/>
      <c r="L181" s="692" t="n"/>
      <c r="M181" s="692" t="n"/>
      <c r="N181" s="692" t="n"/>
      <c r="O181" s="692" t="n"/>
      <c r="P181" s="692" t="n"/>
      <c r="Q181" s="692" t="n"/>
      <c r="R181" s="692" t="n"/>
      <c r="S181" s="692" t="n"/>
      <c r="T181" s="692" t="n"/>
      <c r="U181" s="692" t="n"/>
      <c r="V181" s="692" t="n"/>
      <c r="W181" s="692" t="n"/>
    </row>
    <row r="182">
      <c r="A182" s="692" t="n"/>
      <c r="B182" s="692" t="n"/>
      <c r="C182" s="692" t="n"/>
      <c r="D182" s="692" t="n"/>
      <c r="E182" s="692" t="n"/>
      <c r="F182" s="692" t="n"/>
      <c r="G182" s="692" t="n"/>
      <c r="H182" s="692" t="n"/>
      <c r="I182" s="692" t="n"/>
      <c r="J182" s="692" t="n"/>
      <c r="K182" s="692" t="n"/>
      <c r="L182" s="692" t="n"/>
      <c r="M182" s="692" t="n"/>
      <c r="N182" s="692" t="n"/>
      <c r="O182" s="692" t="n"/>
      <c r="P182" s="692" t="n"/>
      <c r="Q182" s="692" t="n"/>
      <c r="R182" s="692" t="n"/>
      <c r="S182" s="692" t="n"/>
      <c r="T182" s="692" t="n"/>
      <c r="U182" s="692" t="n"/>
      <c r="V182" s="692" t="n"/>
      <c r="W182" s="692" t="n"/>
    </row>
    <row r="183">
      <c r="A183" s="692" t="n"/>
      <c r="B183" s="692" t="n"/>
      <c r="C183" s="692" t="n"/>
      <c r="D183" s="692" t="n"/>
      <c r="E183" s="692" t="n"/>
      <c r="F183" s="692" t="n"/>
      <c r="G183" s="692" t="n"/>
      <c r="H183" s="692" t="n"/>
      <c r="I183" s="692" t="n"/>
      <c r="J183" s="692" t="n"/>
      <c r="K183" s="692" t="n"/>
      <c r="L183" s="692" t="n"/>
      <c r="M183" s="692" t="n"/>
      <c r="N183" s="692" t="n"/>
      <c r="O183" s="692" t="n"/>
      <c r="P183" s="692" t="n"/>
      <c r="Q183" s="692" t="n"/>
      <c r="R183" s="692" t="n"/>
      <c r="S183" s="692" t="n"/>
      <c r="T183" s="692" t="n"/>
      <c r="U183" s="692" t="n"/>
      <c r="V183" s="692" t="n"/>
      <c r="W183" s="692" t="n"/>
    </row>
    <row r="184">
      <c r="A184" s="692" t="n"/>
      <c r="B184" s="692" t="n"/>
      <c r="C184" s="692" t="n"/>
      <c r="D184" s="692" t="n"/>
      <c r="E184" s="692" t="n"/>
      <c r="F184" s="692" t="n"/>
      <c r="G184" s="692" t="n"/>
      <c r="H184" s="692" t="n"/>
      <c r="I184" s="692" t="n"/>
      <c r="J184" s="692" t="n"/>
      <c r="K184" s="692" t="n"/>
      <c r="L184" s="692" t="n"/>
      <c r="M184" s="692" t="n"/>
      <c r="N184" s="692" t="n"/>
      <c r="O184" s="692" t="n"/>
      <c r="P184" s="692" t="n"/>
      <c r="Q184" s="692" t="n"/>
      <c r="R184" s="692" t="n"/>
      <c r="S184" s="692" t="n"/>
      <c r="T184" s="692" t="n"/>
      <c r="U184" s="692" t="n"/>
      <c r="V184" s="692" t="n"/>
      <c r="W184" s="692" t="n"/>
    </row>
    <row r="185">
      <c r="A185" s="692" t="n"/>
      <c r="B185" s="692" t="n"/>
      <c r="C185" s="692" t="n"/>
      <c r="D185" s="692" t="n"/>
      <c r="E185" s="692" t="n"/>
      <c r="F185" s="692" t="n"/>
      <c r="G185" s="692" t="n"/>
      <c r="H185" s="692" t="n"/>
      <c r="I185" s="692" t="n"/>
      <c r="J185" s="692" t="n"/>
      <c r="K185" s="692" t="n"/>
      <c r="L185" s="692" t="n"/>
      <c r="M185" s="692" t="n"/>
      <c r="N185" s="692" t="n"/>
      <c r="O185" s="692" t="n"/>
      <c r="P185" s="692" t="n"/>
      <c r="Q185" s="692" t="n"/>
      <c r="R185" s="692" t="n"/>
      <c r="S185" s="692" t="n"/>
      <c r="T185" s="692" t="n"/>
      <c r="U185" s="692" t="n"/>
      <c r="V185" s="692" t="n"/>
      <c r="W185" s="692" t="n"/>
    </row>
    <row r="186">
      <c r="A186" s="692" t="n"/>
      <c r="B186" s="692" t="n"/>
      <c r="C186" s="692" t="n"/>
      <c r="D186" s="692" t="n"/>
      <c r="E186" s="692" t="n"/>
      <c r="F186" s="692" t="n"/>
      <c r="G186" s="692" t="n"/>
      <c r="H186" s="692" t="n"/>
      <c r="I186" s="692" t="n"/>
      <c r="J186" s="692" t="n"/>
      <c r="K186" s="692" t="n"/>
      <c r="L186" s="692" t="n"/>
      <c r="M186" s="692" t="n"/>
      <c r="N186" s="692" t="n"/>
      <c r="O186" s="692" t="n"/>
      <c r="P186" s="692" t="n"/>
      <c r="Q186" s="692" t="n"/>
      <c r="R186" s="692" t="n"/>
      <c r="S186" s="692" t="n"/>
      <c r="T186" s="692" t="n"/>
      <c r="U186" s="692" t="n"/>
      <c r="V186" s="692" t="n"/>
      <c r="W186" s="692" t="n"/>
    </row>
    <row r="187">
      <c r="A187" s="692" t="n"/>
      <c r="B187" s="692" t="n"/>
      <c r="C187" s="692" t="n"/>
      <c r="D187" s="692" t="n"/>
      <c r="E187" s="692" t="n"/>
      <c r="F187" s="692" t="n"/>
      <c r="G187" s="692" t="n"/>
      <c r="H187" s="692" t="n"/>
      <c r="I187" s="692" t="n"/>
      <c r="J187" s="692" t="n"/>
      <c r="K187" s="692" t="n"/>
      <c r="L187" s="692" t="n"/>
      <c r="M187" s="692" t="n"/>
      <c r="N187" s="692" t="n"/>
      <c r="O187" s="692" t="n"/>
      <c r="P187" s="692" t="n"/>
      <c r="Q187" s="692" t="n"/>
      <c r="R187" s="692" t="n"/>
      <c r="S187" s="692" t="n"/>
      <c r="T187" s="692" t="n"/>
      <c r="U187" s="692" t="n"/>
      <c r="V187" s="692" t="n"/>
      <c r="W187" s="692" t="n"/>
    </row>
    <row r="188">
      <c r="B188" s="692" t="n"/>
      <c r="C188" s="692" t="n"/>
      <c r="D188" s="692" t="n"/>
      <c r="E188" s="692" t="n"/>
      <c r="F188" s="692" t="n"/>
      <c r="G188" s="692" t="n"/>
      <c r="H188" s="692" t="n"/>
      <c r="I188" s="692" t="n"/>
      <c r="J188" s="692" t="n"/>
      <c r="K188" s="692" t="n"/>
      <c r="L188" s="692" t="n"/>
      <c r="N188" s="692" t="n"/>
      <c r="O188" s="692" t="n"/>
      <c r="P188" s="692" t="n"/>
      <c r="Q188" s="692" t="n"/>
      <c r="R188" s="692" t="n"/>
      <c r="S188" s="692" t="n"/>
      <c r="T188" s="692" t="n"/>
      <c r="U188" s="692" t="n"/>
      <c r="V188" s="692" t="n"/>
      <c r="W188" s="692" t="n"/>
    </row>
    <row r="189">
      <c r="B189" s="692" t="n"/>
      <c r="C189" s="692" t="n"/>
      <c r="D189" s="692" t="n"/>
      <c r="E189" s="158" t="n"/>
      <c r="F189" s="692" t="n"/>
      <c r="G189" s="692" t="n"/>
      <c r="H189" s="692" t="n"/>
      <c r="I189" s="692" t="n"/>
      <c r="J189" s="692" t="n"/>
      <c r="K189" s="692" t="n"/>
      <c r="L189" s="692" t="n"/>
      <c r="N189" s="692" t="n"/>
      <c r="O189" s="692" t="n"/>
      <c r="P189" s="158" t="n"/>
      <c r="Q189" s="692" t="n"/>
      <c r="R189" s="692" t="n"/>
      <c r="S189" s="692" t="n"/>
      <c r="T189" s="692" t="n"/>
      <c r="U189" s="692" t="n"/>
      <c r="V189" s="692" t="n"/>
      <c r="W189" s="692" t="n"/>
    </row>
    <row r="190">
      <c r="B190" s="692" t="n"/>
      <c r="C190" s="692" t="n"/>
      <c r="D190" s="692" t="n"/>
      <c r="E190" s="158" t="n"/>
      <c r="F190" s="692" t="n"/>
      <c r="G190" s="692" t="n"/>
      <c r="H190" s="692" t="n"/>
      <c r="I190" s="692" t="n"/>
      <c r="J190" s="692" t="n"/>
      <c r="K190" s="692" t="n"/>
      <c r="L190" s="692" t="n"/>
      <c r="N190" s="692" t="n"/>
      <c r="O190" s="692" t="n"/>
      <c r="P190" s="158" t="n"/>
      <c r="Q190" s="692" t="n"/>
      <c r="R190" s="692" t="n"/>
      <c r="S190" s="692" t="n"/>
      <c r="T190" s="692" t="n"/>
      <c r="U190" s="692" t="n"/>
      <c r="V190" s="692" t="n"/>
      <c r="W190" s="692" t="n"/>
    </row>
    <row r="191">
      <c r="B191" s="692" t="n"/>
      <c r="C191" s="692" t="n"/>
      <c r="D191" s="692" t="n"/>
      <c r="E191" s="692" t="n"/>
      <c r="F191" s="692" t="n"/>
      <c r="G191" s="692" t="n"/>
      <c r="H191" s="692" t="n"/>
      <c r="I191" s="692" t="n"/>
      <c r="J191" s="692" t="n"/>
      <c r="K191" s="692" t="n"/>
      <c r="L191" s="692" t="n"/>
      <c r="N191" s="692" t="n"/>
      <c r="O191" s="692" t="n"/>
      <c r="P191" s="692" t="n"/>
      <c r="Q191" s="692" t="n"/>
      <c r="R191" s="692" t="n"/>
      <c r="S191" s="692" t="n"/>
      <c r="T191" s="692" t="n"/>
      <c r="U191" s="692" t="n"/>
      <c r="V191" s="692" t="n"/>
      <c r="W191" s="692" t="n"/>
    </row>
    <row r="192">
      <c r="B192" s="692" t="n"/>
      <c r="C192" s="692" t="n"/>
      <c r="D192" s="692" t="n"/>
      <c r="E192" s="692" t="n"/>
      <c r="F192" s="692" t="n"/>
      <c r="G192" s="692" t="n"/>
      <c r="H192" s="692" t="n"/>
      <c r="I192" s="692" t="n"/>
      <c r="J192" s="692" t="n"/>
      <c r="K192" s="692" t="n"/>
      <c r="L192" s="692" t="n"/>
      <c r="N192" s="692" t="n"/>
      <c r="O192" s="692" t="n"/>
      <c r="P192" s="692" t="n"/>
      <c r="Q192" s="692" t="n"/>
      <c r="R192" s="692" t="n"/>
      <c r="S192" s="692" t="n"/>
      <c r="T192" s="692" t="n"/>
      <c r="U192" s="692" t="n"/>
      <c r="V192" s="692" t="n"/>
      <c r="W192" s="692" t="n"/>
    </row>
    <row r="193">
      <c r="B193" s="692" t="n"/>
      <c r="C193" s="692" t="n"/>
      <c r="D193" s="692" t="n"/>
      <c r="E193" s="692" t="n"/>
      <c r="F193" s="692" t="n"/>
      <c r="G193" s="692" t="n"/>
      <c r="H193" s="692" t="n"/>
      <c r="I193" s="692" t="n"/>
      <c r="J193" s="692" t="n"/>
      <c r="K193" s="692" t="n"/>
      <c r="L193" s="692" t="n"/>
      <c r="N193" s="692" t="n"/>
      <c r="O193" s="692" t="n"/>
      <c r="P193" s="692" t="n"/>
      <c r="Q193" s="692" t="n"/>
      <c r="R193" s="692" t="n"/>
      <c r="S193" s="692" t="n"/>
      <c r="T193" s="692" t="n"/>
      <c r="U193" s="692" t="n"/>
      <c r="V193" s="692" t="n"/>
      <c r="W193" s="692" t="n"/>
    </row>
    <row r="194">
      <c r="B194" s="692" t="n"/>
      <c r="C194" s="692" t="n"/>
      <c r="D194" s="692" t="n"/>
      <c r="E194" s="158" t="n"/>
      <c r="F194" s="692" t="n"/>
      <c r="G194" s="692" t="n"/>
      <c r="H194" s="692" t="n"/>
      <c r="I194" s="692" t="n"/>
      <c r="J194" s="692" t="n"/>
      <c r="K194" s="692" t="n"/>
      <c r="L194" s="692" t="n"/>
      <c r="N194" s="692" t="n"/>
      <c r="O194" s="692" t="n"/>
      <c r="P194" s="158" t="n"/>
      <c r="Q194" s="692" t="n"/>
      <c r="R194" s="692" t="n"/>
      <c r="S194" s="692" t="n"/>
      <c r="T194" s="692" t="n"/>
      <c r="U194" s="692" t="n"/>
      <c r="V194" s="692" t="n"/>
      <c r="W194" s="692" t="n"/>
    </row>
    <row r="195">
      <c r="B195" s="692" t="n"/>
      <c r="C195" s="692" t="n"/>
      <c r="D195" s="692" t="n"/>
      <c r="E195" s="158" t="n"/>
      <c r="F195" s="692" t="n"/>
      <c r="G195" s="692" t="n"/>
      <c r="H195" s="692" t="n"/>
      <c r="I195" s="692" t="n"/>
      <c r="J195" s="692" t="n"/>
      <c r="K195" s="692" t="n"/>
      <c r="L195" s="692" t="n"/>
      <c r="N195" s="692" t="n"/>
      <c r="O195" s="692" t="n"/>
      <c r="P195" s="158" t="n"/>
      <c r="Q195" s="692" t="n"/>
      <c r="R195" s="692" t="n"/>
      <c r="S195" s="692" t="n"/>
      <c r="T195" s="692" t="n"/>
      <c r="U195" s="692" t="n"/>
      <c r="V195" s="692" t="n"/>
      <c r="W195" s="692" t="n"/>
    </row>
    <row r="196">
      <c r="B196" s="692" t="n"/>
      <c r="C196" s="692" t="n"/>
      <c r="D196" s="692" t="n"/>
      <c r="E196" s="692" t="n"/>
      <c r="F196" s="692" t="n"/>
      <c r="G196" s="692" t="n"/>
      <c r="H196" s="692" t="n"/>
      <c r="I196" s="692" t="n"/>
      <c r="J196" s="692" t="n"/>
      <c r="K196" s="692" t="n"/>
      <c r="L196" s="692" t="n"/>
      <c r="N196" s="692" t="n"/>
      <c r="O196" s="692" t="n"/>
      <c r="P196" s="692" t="n"/>
      <c r="Q196" s="692" t="n"/>
      <c r="R196" s="692" t="n"/>
      <c r="S196" s="692" t="n"/>
      <c r="T196" s="692" t="n"/>
      <c r="U196" s="692" t="n"/>
      <c r="V196" s="692" t="n"/>
      <c r="W196" s="692" t="n"/>
    </row>
    <row r="197">
      <c r="B197" s="692" t="n"/>
      <c r="C197" s="692" t="n"/>
      <c r="D197" s="692" t="n"/>
      <c r="E197" s="692" t="n"/>
      <c r="F197" s="692" t="n"/>
      <c r="G197" s="692" t="n"/>
      <c r="H197" s="692" t="n"/>
      <c r="I197" s="692" t="n"/>
      <c r="J197" s="692" t="n"/>
      <c r="K197" s="692" t="n"/>
      <c r="L197" s="692" t="n"/>
      <c r="N197" s="692" t="n"/>
      <c r="O197" s="692" t="n"/>
      <c r="P197" s="692" t="n"/>
      <c r="Q197" s="692" t="n"/>
      <c r="R197" s="692" t="n"/>
      <c r="S197" s="692" t="n"/>
      <c r="T197" s="692" t="n"/>
      <c r="U197" s="692" t="n"/>
      <c r="V197" s="692" t="n"/>
      <c r="W197" s="692" t="n"/>
    </row>
    <row r="198">
      <c r="B198" s="692" t="n"/>
      <c r="C198" s="692" t="n"/>
      <c r="D198" s="692" t="n"/>
      <c r="E198" s="692" t="n"/>
      <c r="F198" s="692" t="n"/>
      <c r="G198" s="692" t="n"/>
      <c r="H198" s="692" t="n"/>
      <c r="I198" s="692" t="n"/>
      <c r="J198" s="692" t="n"/>
      <c r="K198" s="692" t="n"/>
      <c r="L198" s="692" t="n"/>
      <c r="N198" s="692" t="n"/>
      <c r="O198" s="692" t="n"/>
      <c r="P198" s="692" t="n"/>
      <c r="Q198" s="692" t="n"/>
      <c r="R198" s="692" t="n"/>
      <c r="S198" s="692" t="n"/>
      <c r="T198" s="692" t="n"/>
      <c r="U198" s="692" t="n"/>
      <c r="V198" s="692" t="n"/>
      <c r="W198" s="692" t="n"/>
    </row>
    <row r="199">
      <c r="B199" s="692" t="n"/>
      <c r="C199" s="692" t="n"/>
      <c r="D199" s="692" t="n"/>
      <c r="E199" s="692" t="n"/>
      <c r="F199" s="692" t="n"/>
      <c r="G199" s="692" t="n"/>
      <c r="H199" s="692" t="n"/>
      <c r="I199" s="692" t="n"/>
      <c r="J199" s="692" t="n"/>
      <c r="K199" s="692" t="n"/>
      <c r="L199" s="692" t="n"/>
      <c r="N199" s="692" t="n"/>
      <c r="O199" s="692" t="n"/>
      <c r="P199" s="692" t="n"/>
      <c r="Q199" s="692" t="n"/>
      <c r="R199" s="692" t="n"/>
      <c r="S199" s="692" t="n"/>
      <c r="T199" s="692" t="n"/>
      <c r="U199" s="692" t="n"/>
      <c r="V199" s="692" t="n"/>
      <c r="W199" s="692" t="n"/>
    </row>
    <row r="200">
      <c r="A200" s="692" t="n"/>
      <c r="B200" s="692" t="n"/>
      <c r="C200" s="692" t="n"/>
      <c r="D200" s="692" t="n"/>
      <c r="E200" s="692" t="n"/>
      <c r="F200" s="692" t="n"/>
      <c r="G200" s="692" t="n"/>
      <c r="H200" s="692" t="n"/>
      <c r="I200" s="692" t="n"/>
      <c r="J200" s="692" t="n"/>
      <c r="K200" s="692" t="n"/>
      <c r="L200" s="692" t="n"/>
      <c r="M200" s="692" t="n"/>
      <c r="N200" s="692" t="n"/>
      <c r="O200" s="692" t="n"/>
      <c r="P200" s="692" t="n"/>
      <c r="Q200" s="692" t="n"/>
      <c r="R200" s="692" t="n"/>
      <c r="S200" s="692" t="n"/>
      <c r="T200" s="692" t="n"/>
      <c r="U200" s="692" t="n"/>
      <c r="V200" s="692" t="n"/>
      <c r="W200" s="692" t="n"/>
    </row>
    <row r="201">
      <c r="B201" s="692" t="n"/>
      <c r="C201" s="692" t="n"/>
      <c r="D201" s="692" t="n"/>
      <c r="E201" s="692" t="n"/>
      <c r="F201" s="692" t="n"/>
      <c r="G201" s="692" t="n"/>
      <c r="H201" s="692" t="n"/>
      <c r="I201" s="692" t="n"/>
      <c r="J201" s="692" t="n"/>
      <c r="K201" s="692" t="n"/>
      <c r="L201" s="692" t="n"/>
      <c r="N201" s="692" t="n"/>
      <c r="O201" s="692" t="n"/>
      <c r="P201" s="692" t="n"/>
      <c r="Q201" s="692" t="n"/>
      <c r="R201" s="692" t="n"/>
      <c r="S201" s="692" t="n"/>
      <c r="T201" s="692" t="n"/>
      <c r="U201" s="692" t="n"/>
      <c r="V201" s="692" t="n"/>
      <c r="W201" s="692" t="n"/>
    </row>
    <row r="202">
      <c r="B202" s="692" t="n"/>
      <c r="C202" s="692" t="n"/>
      <c r="D202" s="692" t="n"/>
      <c r="E202" s="692" t="n"/>
      <c r="F202" s="692" t="n"/>
      <c r="G202" s="692" t="n"/>
      <c r="H202" s="692" t="n"/>
      <c r="I202" s="692" t="n"/>
      <c r="J202" s="692" t="n"/>
      <c r="K202" s="692" t="n"/>
      <c r="L202" s="692" t="n"/>
      <c r="N202" s="692" t="n"/>
      <c r="O202" s="692" t="n"/>
      <c r="P202" s="692" t="n"/>
      <c r="Q202" s="692" t="n"/>
      <c r="R202" s="692" t="n"/>
      <c r="S202" s="692" t="n"/>
      <c r="T202" s="692" t="n"/>
      <c r="U202" s="692" t="n"/>
      <c r="V202" s="692" t="n"/>
      <c r="W202" s="692" t="n"/>
    </row>
    <row r="203">
      <c r="B203" s="692" t="n"/>
      <c r="C203" s="692" t="n"/>
      <c r="D203" s="692" t="n"/>
      <c r="E203" s="692" t="n"/>
      <c r="G203" s="692" t="n"/>
      <c r="H203" s="692" t="n"/>
      <c r="I203" s="692" t="n"/>
      <c r="J203" s="692" t="n"/>
      <c r="K203" s="692" t="n"/>
      <c r="L203" s="692" t="n"/>
      <c r="N203" s="692" t="n"/>
      <c r="O203" s="692" t="n"/>
      <c r="P203" s="692" t="n"/>
      <c r="S203" s="692" t="n"/>
      <c r="T203" s="692" t="n"/>
      <c r="U203" s="692" t="n"/>
      <c r="V203" s="692" t="n"/>
      <c r="W203" s="692" t="n"/>
    </row>
    <row r="204">
      <c r="B204" s="692" t="n"/>
      <c r="C204" s="692" t="n"/>
      <c r="D204" s="692" t="n"/>
      <c r="E204" s="692" t="n"/>
      <c r="G204" s="692" t="n"/>
      <c r="H204" s="692" t="n"/>
      <c r="I204" s="692" t="n"/>
      <c r="J204" s="692" t="n"/>
      <c r="K204" s="692" t="n"/>
      <c r="L204" s="692" t="n"/>
      <c r="N204" s="692" t="n"/>
      <c r="O204" s="692" t="n"/>
      <c r="P204" s="692" t="n"/>
      <c r="S204" s="692" t="n"/>
      <c r="T204" s="692" t="n"/>
      <c r="U204" s="692" t="n"/>
      <c r="V204" s="692" t="n"/>
      <c r="W204" s="692" t="n"/>
    </row>
    <row r="205">
      <c r="B205" s="692" t="n"/>
      <c r="C205" s="692" t="n"/>
      <c r="D205" s="692" t="n"/>
      <c r="E205" s="692" t="n"/>
      <c r="G205" s="692" t="n"/>
      <c r="H205" s="692" t="n"/>
      <c r="I205" s="692" t="n"/>
      <c r="J205" s="692" t="n"/>
      <c r="K205" s="692" t="n"/>
      <c r="L205" s="692" t="n"/>
      <c r="N205" s="692" t="n"/>
      <c r="O205" s="692" t="n"/>
      <c r="P205" s="692" t="n"/>
      <c r="S205" s="692" t="n"/>
      <c r="T205" s="692" t="n"/>
      <c r="U205" s="692" t="n"/>
      <c r="V205" s="692" t="n"/>
      <c r="W205" s="692" t="n"/>
    </row>
    <row r="206">
      <c r="B206" s="692" t="n"/>
      <c r="C206" s="692" t="n"/>
      <c r="D206" s="692" t="n"/>
      <c r="E206" s="692" t="n"/>
      <c r="G206" s="692" t="n"/>
      <c r="H206" s="158" t="n"/>
      <c r="I206" s="158" t="n"/>
      <c r="J206" s="692" t="n"/>
      <c r="K206" s="692" t="n"/>
      <c r="L206" s="692" t="n"/>
      <c r="N206" s="692" t="n"/>
      <c r="O206" s="692" t="n"/>
      <c r="P206" s="692" t="n"/>
      <c r="S206" s="692" t="n"/>
      <c r="T206" s="692" t="n"/>
      <c r="U206" s="692" t="n"/>
      <c r="V206" s="692" t="n"/>
      <c r="W206" s="692" t="n"/>
    </row>
    <row r="207">
      <c r="B207" s="692" t="n"/>
      <c r="C207" s="692" t="n"/>
      <c r="D207" s="692" t="n"/>
      <c r="E207" s="692" t="n"/>
      <c r="G207" s="692" t="n"/>
      <c r="H207" s="692" t="n"/>
      <c r="I207" s="692" t="n"/>
      <c r="J207" s="692" t="n"/>
      <c r="K207" s="692" t="n"/>
      <c r="L207" s="692" t="n"/>
      <c r="N207" s="692" t="n"/>
      <c r="O207" s="692" t="n"/>
      <c r="P207" s="692" t="n"/>
      <c r="S207" s="692" t="n"/>
      <c r="T207" s="692" t="n"/>
      <c r="U207" s="692" t="n"/>
      <c r="V207" s="692" t="n"/>
      <c r="W207" s="692" t="n"/>
    </row>
    <row r="208">
      <c r="B208" s="692" t="n"/>
      <c r="C208" s="692" t="n"/>
      <c r="D208" s="692" t="n"/>
      <c r="E208" s="692" t="n"/>
      <c r="G208" s="692" t="n"/>
      <c r="H208" s="692" t="n"/>
      <c r="I208" s="692" t="n"/>
      <c r="J208" s="692" t="n"/>
      <c r="K208" s="692" t="n"/>
      <c r="L208" s="692" t="n"/>
      <c r="N208" s="692" t="n"/>
      <c r="O208" s="692" t="n"/>
      <c r="P208" s="692" t="n"/>
      <c r="S208" s="692" t="n"/>
      <c r="T208" s="692" t="n"/>
      <c r="U208" s="692" t="n"/>
      <c r="V208" s="692" t="n"/>
      <c r="W208" s="692" t="n"/>
    </row>
    <row r="209">
      <c r="B209" s="692" t="n"/>
      <c r="C209" s="692" t="n"/>
      <c r="D209" s="692" t="n"/>
      <c r="E209" s="692" t="n"/>
      <c r="G209" s="692" t="n"/>
      <c r="H209" s="692" t="n"/>
      <c r="I209" s="692" t="n"/>
      <c r="J209" s="692" t="n"/>
      <c r="K209" s="692" t="n"/>
      <c r="L209" s="692" t="n"/>
      <c r="N209" s="692" t="n"/>
      <c r="O209" s="692" t="n"/>
      <c r="P209" s="692" t="n"/>
      <c r="S209" s="692" t="n"/>
      <c r="T209" s="692" t="n"/>
      <c r="U209" s="692" t="n"/>
      <c r="V209" s="692" t="n"/>
      <c r="W209" s="692" t="n"/>
    </row>
    <row r="210">
      <c r="B210" s="692" t="n"/>
      <c r="C210" s="692" t="n"/>
      <c r="D210" s="692" t="n"/>
      <c r="E210" s="692" t="n"/>
      <c r="G210" s="692" t="n"/>
      <c r="H210" s="692" t="n"/>
      <c r="I210" s="692" t="n"/>
      <c r="J210" s="692" t="n"/>
      <c r="K210" s="692" t="n"/>
      <c r="L210" s="692" t="n"/>
      <c r="N210" s="692" t="n"/>
      <c r="O210" s="692" t="n"/>
      <c r="P210" s="692" t="n"/>
      <c r="S210" s="692" t="n"/>
      <c r="T210" s="692" t="n"/>
      <c r="U210" s="692" t="n"/>
      <c r="V210" s="692" t="n"/>
      <c r="W210" s="692" t="n"/>
    </row>
    <row r="211">
      <c r="B211" s="692" t="n"/>
      <c r="C211" s="692" t="n"/>
      <c r="D211" s="692" t="n"/>
      <c r="E211" s="692" t="n"/>
      <c r="G211" s="692" t="n"/>
      <c r="H211" s="692" t="n"/>
      <c r="I211" s="692" t="n"/>
      <c r="J211" s="692" t="n"/>
      <c r="K211" s="692" t="n"/>
      <c r="L211" s="692" t="n"/>
      <c r="N211" s="692" t="n"/>
      <c r="O211" s="692" t="n"/>
      <c r="P211" s="692" t="n"/>
      <c r="S211" s="692" t="n"/>
      <c r="T211" s="692" t="n"/>
      <c r="U211" s="692" t="n"/>
      <c r="V211" s="692" t="n"/>
      <c r="W211" s="692" t="n"/>
    </row>
    <row r="212">
      <c r="B212" s="692" t="n"/>
      <c r="C212" s="692" t="n"/>
      <c r="D212" s="692" t="n"/>
      <c r="E212" s="692" t="n"/>
      <c r="G212" s="692" t="n"/>
      <c r="H212" s="692" t="n"/>
      <c r="I212" s="158" t="n"/>
      <c r="J212" s="692" t="n"/>
      <c r="K212" s="692" t="n"/>
      <c r="L212" s="692" t="n"/>
      <c r="N212" s="692" t="n"/>
      <c r="O212" s="692" t="n"/>
      <c r="P212" s="692" t="n"/>
      <c r="S212" s="692" t="n"/>
      <c r="T212" s="692" t="n"/>
      <c r="U212" s="692" t="n"/>
      <c r="V212" s="692" t="n"/>
      <c r="W212" s="692" t="n"/>
    </row>
    <row r="213">
      <c r="B213" s="692" t="n"/>
      <c r="C213" s="692" t="n"/>
      <c r="D213" s="692" t="n"/>
      <c r="E213" s="692" t="n"/>
      <c r="G213" s="158" t="n"/>
      <c r="H213" s="158" t="n"/>
      <c r="I213" s="158" t="n"/>
      <c r="J213" s="692" t="n"/>
      <c r="K213" s="692" t="n"/>
      <c r="L213" s="692" t="n"/>
      <c r="N213" s="692" t="n"/>
      <c r="O213" s="692" t="n"/>
      <c r="P213" s="692" t="n"/>
      <c r="S213" s="158" t="n"/>
      <c r="T213" s="692" t="n"/>
      <c r="U213" s="692" t="n"/>
      <c r="V213" s="692" t="n"/>
      <c r="W213" s="692" t="n"/>
    </row>
    <row r="214">
      <c r="B214" s="692" t="n"/>
      <c r="C214" s="692" t="n"/>
      <c r="D214" s="692" t="n"/>
      <c r="E214" s="692" t="n"/>
      <c r="G214" s="158" t="n"/>
      <c r="H214" s="158" t="n"/>
      <c r="I214" s="158" t="n"/>
      <c r="J214" s="692" t="n"/>
      <c r="K214" s="692" t="n"/>
      <c r="L214" s="692" t="n"/>
      <c r="N214" s="692" t="n"/>
      <c r="O214" s="692" t="n"/>
      <c r="P214" s="692" t="n"/>
      <c r="S214" s="158" t="n"/>
      <c r="T214" s="692" t="n"/>
      <c r="U214" s="692" t="n"/>
      <c r="V214" s="692" t="n"/>
      <c r="W214" s="692" t="n"/>
    </row>
    <row r="215">
      <c r="B215" s="692" t="n"/>
      <c r="C215" s="692" t="n"/>
      <c r="D215" s="692" t="n"/>
      <c r="E215" s="692" t="n"/>
      <c r="G215" s="158" t="n"/>
      <c r="H215" s="158" t="n"/>
      <c r="I215" s="158" t="n"/>
      <c r="J215" s="692" t="n"/>
      <c r="K215" s="692" t="n"/>
      <c r="L215" s="692" t="n"/>
      <c r="N215" s="692" t="n"/>
      <c r="O215" s="692" t="n"/>
      <c r="P215" s="692" t="n"/>
      <c r="S215" s="158" t="n"/>
      <c r="T215" s="692" t="n"/>
      <c r="U215" s="692" t="n"/>
      <c r="V215" s="692" t="n"/>
      <c r="W215" s="692" t="n"/>
    </row>
    <row r="216">
      <c r="B216" s="692" t="n"/>
      <c r="C216" s="692" t="n"/>
      <c r="D216" s="692" t="n"/>
      <c r="E216" s="692" t="n"/>
      <c r="G216" s="158" t="n"/>
      <c r="H216" s="158" t="n"/>
      <c r="I216" s="158" t="n"/>
      <c r="J216" s="692" t="n"/>
      <c r="K216" s="692" t="n"/>
      <c r="L216" s="692" t="n"/>
      <c r="N216" s="692" t="n"/>
      <c r="O216" s="692" t="n"/>
      <c r="P216" s="692" t="n"/>
      <c r="S216" s="158" t="n"/>
      <c r="T216" s="692" t="n"/>
      <c r="U216" s="692" t="n"/>
      <c r="V216" s="692" t="n"/>
      <c r="W216" s="692" t="n"/>
    </row>
    <row r="217">
      <c r="B217" s="692" t="n"/>
      <c r="C217" s="692" t="n"/>
      <c r="D217" s="692" t="n"/>
      <c r="E217" s="692" t="n"/>
      <c r="G217" s="692" t="n"/>
      <c r="H217" s="692" t="n"/>
      <c r="I217" s="158" t="n"/>
      <c r="J217" s="692" t="n"/>
      <c r="K217" s="692" t="n"/>
      <c r="L217" s="692" t="n"/>
      <c r="N217" s="692" t="n"/>
      <c r="O217" s="692" t="n"/>
      <c r="P217" s="692" t="n"/>
      <c r="S217" s="692" t="n"/>
      <c r="T217" s="692" t="n"/>
      <c r="U217" s="692" t="n"/>
      <c r="V217" s="692" t="n"/>
      <c r="W217" s="692" t="n"/>
    </row>
    <row r="218">
      <c r="B218" s="692" t="n"/>
      <c r="C218" s="692" t="n"/>
      <c r="D218" s="692" t="n"/>
      <c r="E218" s="692" t="n"/>
      <c r="G218" s="692" t="n"/>
      <c r="H218" s="692" t="n"/>
      <c r="I218" s="692" t="n"/>
      <c r="J218" s="692" t="n"/>
      <c r="K218" s="692" t="n"/>
      <c r="L218" s="692" t="n"/>
      <c r="N218" s="692" t="n"/>
      <c r="O218" s="692" t="n"/>
      <c r="P218" s="692" t="n"/>
      <c r="S218" s="692" t="n"/>
      <c r="T218" s="692" t="n"/>
      <c r="U218" s="692" t="n"/>
      <c r="V218" s="692" t="n"/>
      <c r="W218" s="692" t="n"/>
    </row>
    <row r="219">
      <c r="B219" s="692" t="n"/>
      <c r="C219" s="692" t="n"/>
      <c r="D219" s="692" t="n"/>
      <c r="E219" s="692" t="n"/>
      <c r="G219" s="692" t="n"/>
      <c r="H219" s="692" t="n"/>
      <c r="I219" s="692" t="n"/>
      <c r="J219" s="692" t="n"/>
      <c r="K219" s="692" t="n"/>
      <c r="L219" s="692" t="n"/>
      <c r="N219" s="692" t="n"/>
      <c r="O219" s="692" t="n"/>
      <c r="P219" s="692" t="n"/>
      <c r="S219" s="692" t="n"/>
      <c r="T219" s="692" t="n"/>
      <c r="U219" s="692" t="n"/>
      <c r="V219" s="692" t="n"/>
      <c r="W219" s="692" t="n"/>
    </row>
    <row r="220">
      <c r="B220" s="692" t="n"/>
      <c r="C220" s="692" t="n"/>
      <c r="D220" s="692" t="n"/>
      <c r="E220" s="692" t="n"/>
      <c r="G220" s="692" t="n"/>
      <c r="H220" s="692" t="n"/>
      <c r="I220" s="692" t="n"/>
      <c r="J220" s="692" t="n"/>
      <c r="K220" s="692" t="n"/>
      <c r="L220" s="692" t="n"/>
      <c r="N220" s="692" t="n"/>
      <c r="O220" s="692" t="n"/>
      <c r="P220" s="692" t="n"/>
      <c r="S220" s="692" t="n"/>
      <c r="T220" s="692" t="n"/>
      <c r="U220" s="692" t="n"/>
      <c r="V220" s="692" t="n"/>
      <c r="W220" s="692" t="n"/>
    </row>
    <row r="221">
      <c r="B221" s="692" t="n"/>
      <c r="C221" s="692" t="n"/>
      <c r="D221" s="692" t="n"/>
      <c r="E221" s="692" t="n"/>
      <c r="G221" s="692" t="n"/>
      <c r="H221" s="692" t="n"/>
      <c r="I221" s="692" t="n"/>
      <c r="J221" s="692" t="n"/>
      <c r="K221" s="692" t="n"/>
      <c r="L221" s="692" t="n"/>
      <c r="N221" s="692" t="n"/>
      <c r="O221" s="692" t="n"/>
      <c r="P221" s="692" t="n"/>
      <c r="S221" s="692" t="n"/>
      <c r="T221" s="692" t="n"/>
      <c r="U221" s="692" t="n"/>
      <c r="V221" s="692" t="n"/>
      <c r="W221" s="692" t="n"/>
    </row>
    <row r="222">
      <c r="B222" s="692" t="n"/>
      <c r="C222" s="692" t="n"/>
      <c r="D222" s="692" t="n"/>
      <c r="E222" s="692" t="n"/>
      <c r="G222" s="692" t="n"/>
      <c r="H222" s="692" t="n"/>
      <c r="I222" s="692" t="n"/>
      <c r="J222" s="692" t="n"/>
      <c r="K222" s="692" t="n"/>
      <c r="L222" s="692" t="n"/>
      <c r="N222" s="692" t="n"/>
      <c r="O222" s="692" t="n"/>
      <c r="P222" s="692" t="n"/>
      <c r="S222" s="692" t="n"/>
      <c r="T222" s="692" t="n"/>
      <c r="U222" s="692" t="n"/>
      <c r="V222" s="692" t="n"/>
      <c r="W222" s="692" t="n"/>
    </row>
    <row r="223">
      <c r="B223" s="692" t="n"/>
      <c r="C223" s="692" t="n"/>
      <c r="D223" s="692" t="n"/>
      <c r="E223" s="692" t="n"/>
      <c r="G223" s="692" t="n"/>
      <c r="H223" s="692" t="n"/>
      <c r="I223" s="692" t="n"/>
      <c r="J223" s="692" t="n"/>
      <c r="K223" s="692" t="n"/>
      <c r="N223" s="692" t="n"/>
      <c r="O223" s="692" t="n"/>
      <c r="P223" s="692" t="n"/>
      <c r="S223" s="692" t="n"/>
      <c r="T223" s="692" t="n"/>
      <c r="U223" s="692" t="n"/>
      <c r="V223" s="692" t="n"/>
      <c r="W223" s="692" t="n"/>
    </row>
    <row r="224">
      <c r="B224" s="692" t="n"/>
      <c r="C224" s="692" t="n"/>
      <c r="D224" s="692" t="n"/>
      <c r="E224" s="692" t="n"/>
      <c r="G224" s="692" t="n"/>
      <c r="H224" s="692" t="n"/>
      <c r="I224" s="692" t="n"/>
      <c r="J224" s="692" t="n"/>
      <c r="K224" s="692" t="n"/>
      <c r="L224" s="692" t="n"/>
      <c r="N224" s="692" t="n"/>
      <c r="O224" s="692" t="n"/>
      <c r="P224" s="692" t="n"/>
      <c r="S224" s="692" t="n"/>
      <c r="T224" s="692" t="n"/>
      <c r="U224" s="692" t="n"/>
      <c r="V224" s="692" t="n"/>
      <c r="W224" s="692" t="n"/>
    </row>
    <row r="225">
      <c r="B225" s="692" t="n"/>
      <c r="C225" s="692" t="n"/>
      <c r="D225" s="692" t="n"/>
      <c r="E225" s="692" t="n"/>
      <c r="G225" s="692" t="n"/>
      <c r="H225" s="692" t="n"/>
      <c r="I225" s="692" t="n"/>
      <c r="J225" s="692" t="n"/>
      <c r="K225" s="692" t="n"/>
      <c r="L225" s="692" t="n"/>
      <c r="N225" s="692" t="n"/>
      <c r="O225" s="692" t="n"/>
      <c r="P225" s="692" t="n"/>
      <c r="S225" s="692" t="n"/>
      <c r="T225" s="692" t="n"/>
      <c r="U225" s="692" t="n"/>
      <c r="V225" s="692" t="n"/>
      <c r="W225" s="692" t="n"/>
    </row>
    <row r="226">
      <c r="B226" s="692" t="n"/>
      <c r="C226" s="692" t="n"/>
      <c r="D226" s="692" t="n"/>
      <c r="E226" s="692" t="n"/>
      <c r="G226" s="692" t="n"/>
      <c r="H226" s="692" t="n"/>
      <c r="I226" s="692" t="n"/>
      <c r="J226" s="692" t="n"/>
      <c r="K226" s="692" t="n"/>
      <c r="L226" s="692" t="n"/>
      <c r="N226" s="692" t="n"/>
      <c r="O226" s="692" t="n"/>
      <c r="P226" s="692" t="n"/>
      <c r="S226" s="692" t="n"/>
      <c r="T226" s="692" t="n"/>
      <c r="U226" s="692" t="n"/>
      <c r="V226" s="692" t="n"/>
      <c r="W226" s="692" t="n"/>
    </row>
    <row r="227">
      <c r="B227" s="692" t="n"/>
      <c r="C227" s="692" t="n"/>
      <c r="D227" s="692" t="n"/>
      <c r="E227" s="692" t="n"/>
      <c r="G227" s="692" t="n"/>
      <c r="H227" s="692" t="n"/>
      <c r="I227" s="692" t="n"/>
      <c r="J227" s="692" t="n"/>
      <c r="K227" s="692" t="n"/>
      <c r="L227" s="692" t="n"/>
      <c r="N227" s="692" t="n"/>
      <c r="O227" s="692" t="n"/>
      <c r="P227" s="692" t="n"/>
      <c r="S227" s="692" t="n"/>
      <c r="T227" s="692" t="n"/>
      <c r="U227" s="692" t="n"/>
      <c r="V227" s="692" t="n"/>
      <c r="W227" s="692" t="n"/>
    </row>
    <row r="228">
      <c r="B228" s="692" t="n"/>
      <c r="C228" s="692" t="n"/>
      <c r="D228" s="692" t="n"/>
      <c r="E228" s="692" t="n"/>
      <c r="G228" s="692" t="n"/>
      <c r="H228" s="692" t="n"/>
      <c r="I228" s="692" t="n"/>
      <c r="J228" s="692" t="n"/>
      <c r="K228" s="692" t="n"/>
      <c r="L228" s="692" t="n"/>
      <c r="N228" s="692" t="n"/>
      <c r="O228" s="692" t="n"/>
      <c r="P228" s="692" t="n"/>
      <c r="S228" s="692" t="n"/>
      <c r="T228" s="692" t="n"/>
      <c r="U228" s="692" t="n"/>
      <c r="V228" s="692" t="n"/>
      <c r="W228" s="692" t="n"/>
    </row>
    <row r="229">
      <c r="B229" s="692" t="n"/>
      <c r="C229" s="692" t="n"/>
      <c r="D229" s="692" t="n"/>
      <c r="E229" s="692" t="n"/>
      <c r="G229" s="692" t="n"/>
      <c r="H229" s="692" t="n"/>
      <c r="I229" s="158" t="n"/>
      <c r="J229" s="692" t="n"/>
      <c r="K229" s="692" t="n"/>
      <c r="L229" s="692" t="n"/>
      <c r="N229" s="692" t="n"/>
      <c r="O229" s="692" t="n"/>
      <c r="P229" s="692" t="n"/>
      <c r="S229" s="692" t="n"/>
      <c r="T229" s="692" t="n"/>
      <c r="U229" s="692" t="n"/>
      <c r="V229" s="692" t="n"/>
      <c r="W229" s="692" t="n"/>
    </row>
    <row r="230">
      <c r="B230" s="692" t="n"/>
      <c r="C230" s="692" t="n"/>
      <c r="D230" s="692" t="n"/>
      <c r="E230" s="692" t="n"/>
      <c r="G230" s="692" t="n"/>
      <c r="H230" s="692" t="n"/>
      <c r="I230" s="692" t="n"/>
      <c r="J230" s="692" t="n"/>
      <c r="K230" s="692" t="n"/>
      <c r="L230" s="692" t="n"/>
      <c r="N230" s="692" t="n"/>
      <c r="O230" s="692" t="n"/>
      <c r="P230" s="692" t="n"/>
      <c r="S230" s="692" t="n"/>
      <c r="T230" s="692" t="n"/>
      <c r="U230" s="692" t="n"/>
      <c r="V230" s="692" t="n"/>
      <c r="W230" s="692" t="n"/>
    </row>
    <row r="231">
      <c r="B231" s="692" t="n"/>
      <c r="C231" s="692" t="n"/>
      <c r="D231" s="692" t="n"/>
      <c r="E231" s="692" t="n"/>
      <c r="G231" s="158" t="n"/>
      <c r="H231" s="158" t="n"/>
      <c r="I231" s="158" t="n"/>
      <c r="J231" s="692" t="n"/>
      <c r="K231" s="692" t="n"/>
      <c r="L231" s="692" t="n"/>
      <c r="N231" s="692" t="n"/>
      <c r="O231" s="692" t="n"/>
      <c r="P231" s="692" t="n"/>
      <c r="S231" s="158" t="n"/>
      <c r="T231" s="692" t="n"/>
      <c r="U231" s="692" t="n"/>
      <c r="V231" s="692" t="n"/>
      <c r="W231" s="692" t="n"/>
    </row>
    <row r="232">
      <c r="B232" s="692" t="n"/>
      <c r="C232" s="692" t="n"/>
      <c r="D232" s="692" t="n"/>
      <c r="E232" s="692" t="n"/>
      <c r="G232" s="692" t="n"/>
      <c r="H232" s="692" t="n"/>
      <c r="I232" s="692" t="n"/>
      <c r="J232" s="692" t="n"/>
      <c r="K232" s="692" t="n"/>
      <c r="L232" s="692" t="n"/>
      <c r="N232" s="692" t="n"/>
      <c r="O232" s="692" t="n"/>
      <c r="P232" s="692" t="n"/>
      <c r="S232" s="692" t="n"/>
      <c r="T232" s="692" t="n"/>
      <c r="U232" s="692" t="n"/>
      <c r="V232" s="692" t="n"/>
      <c r="W232" s="692" t="n"/>
    </row>
    <row r="233">
      <c r="B233" s="692" t="n"/>
      <c r="C233" s="692" t="n"/>
      <c r="D233" s="692" t="n"/>
      <c r="E233" s="692" t="n"/>
      <c r="G233" s="692" t="n"/>
      <c r="H233" s="692" t="n"/>
      <c r="I233" s="158" t="n"/>
      <c r="J233" s="692" t="n"/>
      <c r="K233" s="692" t="n"/>
      <c r="L233" s="692" t="n"/>
      <c r="N233" s="692" t="n"/>
      <c r="O233" s="692" t="n"/>
      <c r="P233" s="692" t="n"/>
      <c r="S233" s="692" t="n"/>
      <c r="T233" s="692" t="n"/>
      <c r="U233" s="692" t="n"/>
      <c r="V233" s="692" t="n"/>
      <c r="W233" s="692" t="n"/>
    </row>
    <row r="234">
      <c r="B234" s="692" t="n"/>
      <c r="C234" s="692" t="n"/>
      <c r="D234" s="692" t="n"/>
      <c r="E234" s="692" t="n"/>
      <c r="G234" s="129" t="n"/>
      <c r="H234" s="159" t="n"/>
      <c r="I234" s="159" t="n"/>
      <c r="J234" s="692" t="n"/>
      <c r="K234" s="692" t="n"/>
      <c r="L234" s="692" t="n"/>
      <c r="N234" s="692" t="n"/>
      <c r="O234" s="692" t="n"/>
      <c r="P234" s="692" t="n"/>
      <c r="S234" s="129" t="n"/>
      <c r="T234" s="692" t="n"/>
      <c r="U234" s="692" t="n"/>
      <c r="V234" s="692" t="n"/>
      <c r="W234" s="692" t="n"/>
    </row>
    <row r="235">
      <c r="B235" s="692" t="n"/>
      <c r="C235" s="692" t="n"/>
      <c r="D235" s="692" t="n"/>
      <c r="E235" s="692" t="n"/>
      <c r="G235" s="692" t="n"/>
      <c r="H235" s="692" t="n"/>
      <c r="I235" s="158" t="n"/>
      <c r="J235" s="692" t="n"/>
      <c r="K235" s="692" t="n"/>
      <c r="L235" s="692" t="n"/>
      <c r="N235" s="692" t="n"/>
      <c r="O235" s="692" t="n"/>
      <c r="P235" s="692" t="n"/>
      <c r="S235" s="692" t="n"/>
      <c r="T235" s="692" t="n"/>
      <c r="U235" s="692" t="n"/>
      <c r="V235" s="692" t="n"/>
      <c r="W235" s="692" t="n"/>
    </row>
    <row r="236">
      <c r="B236" s="692" t="n"/>
      <c r="C236" s="692" t="n"/>
      <c r="D236" s="692" t="n"/>
      <c r="E236" s="692" t="n"/>
      <c r="G236" s="158" t="n"/>
      <c r="H236" s="158" t="n"/>
      <c r="I236" s="158" t="n"/>
      <c r="J236" s="692" t="n"/>
      <c r="K236" s="692" t="n"/>
      <c r="L236" s="692" t="n"/>
      <c r="N236" s="692" t="n"/>
      <c r="O236" s="692" t="n"/>
      <c r="P236" s="692" t="n"/>
      <c r="S236" s="158" t="n"/>
      <c r="T236" s="692" t="n"/>
      <c r="U236" s="692" t="n"/>
      <c r="V236" s="692" t="n"/>
      <c r="W236" s="692" t="n"/>
    </row>
    <row r="237">
      <c r="B237" s="692" t="n"/>
      <c r="C237" s="692" t="n"/>
      <c r="D237" s="692" t="n"/>
      <c r="E237" s="692" t="n"/>
      <c r="G237" s="158" t="n"/>
      <c r="H237" s="158" t="n"/>
      <c r="I237" s="158" t="n"/>
      <c r="J237" s="692" t="n"/>
      <c r="K237" s="692" t="n"/>
      <c r="L237" s="692" t="n"/>
      <c r="N237" s="692" t="n"/>
      <c r="O237" s="692" t="n"/>
      <c r="P237" s="692" t="n"/>
      <c r="S237" s="158" t="n"/>
      <c r="T237" s="692" t="n"/>
      <c r="U237" s="692" t="n"/>
      <c r="V237" s="692" t="n"/>
      <c r="W237" s="692" t="n"/>
    </row>
    <row r="238">
      <c r="B238" s="692" t="n"/>
      <c r="C238" s="692" t="n"/>
      <c r="D238" s="692" t="n"/>
      <c r="E238" s="692" t="n"/>
      <c r="G238" s="158" t="n"/>
      <c r="H238" s="158" t="n"/>
      <c r="I238" s="158" t="n"/>
      <c r="J238" s="692" t="n"/>
      <c r="K238" s="692" t="n"/>
      <c r="L238" s="692" t="n"/>
      <c r="N238" s="692" t="n"/>
      <c r="O238" s="692" t="n"/>
      <c r="P238" s="692" t="n"/>
      <c r="S238" s="158" t="n"/>
      <c r="T238" s="692" t="n"/>
      <c r="U238" s="692" t="n"/>
      <c r="V238" s="692" t="n"/>
      <c r="W238" s="692" t="n"/>
    </row>
    <row r="239">
      <c r="B239" s="692" t="n"/>
      <c r="C239" s="692" t="n"/>
      <c r="D239" s="692" t="n"/>
      <c r="E239" s="692" t="n"/>
      <c r="G239" s="158" t="n"/>
      <c r="H239" s="158" t="n"/>
      <c r="I239" s="158" t="n"/>
      <c r="J239" s="692" t="n"/>
      <c r="K239" s="692" t="n"/>
      <c r="L239" s="692" t="n"/>
      <c r="N239" s="692" t="n"/>
      <c r="O239" s="692" t="n"/>
      <c r="P239" s="692" t="n"/>
      <c r="S239" s="158" t="n"/>
      <c r="T239" s="692" t="n"/>
      <c r="U239" s="692" t="n"/>
      <c r="V239" s="692" t="n"/>
      <c r="W239" s="692" t="n"/>
    </row>
    <row r="240">
      <c r="B240" s="692" t="n"/>
      <c r="C240" s="692" t="n"/>
      <c r="D240" s="692" t="n"/>
      <c r="E240" s="692" t="n"/>
      <c r="G240" s="692" t="n"/>
      <c r="H240" s="692" t="n"/>
      <c r="I240" s="692" t="n"/>
      <c r="J240" s="692" t="n"/>
      <c r="K240" s="692" t="n"/>
      <c r="L240" s="692" t="n"/>
      <c r="N240" s="692" t="n"/>
      <c r="O240" s="692" t="n"/>
      <c r="P240" s="692" t="n"/>
      <c r="S240" s="692" t="n"/>
      <c r="T240" s="692" t="n"/>
      <c r="U240" s="692" t="n"/>
      <c r="V240" s="692" t="n"/>
      <c r="W240" s="692" t="n"/>
    </row>
    <row r="241">
      <c r="B241" s="692" t="n"/>
      <c r="C241" s="692" t="n"/>
      <c r="D241" s="692" t="n"/>
      <c r="E241" s="692" t="n"/>
      <c r="G241" s="692" t="n"/>
      <c r="H241" s="692" t="n"/>
      <c r="I241" s="692" t="n"/>
      <c r="J241" s="692" t="n"/>
      <c r="K241" s="692" t="n"/>
      <c r="L241" s="692" t="n"/>
      <c r="N241" s="692" t="n"/>
      <c r="O241" s="692" t="n"/>
      <c r="P241" s="692" t="n"/>
      <c r="S241" s="692" t="n"/>
      <c r="T241" s="692" t="n"/>
      <c r="U241" s="692" t="n"/>
      <c r="V241" s="692" t="n"/>
      <c r="W241" s="692" t="n"/>
    </row>
    <row r="242">
      <c r="B242" s="692" t="n"/>
      <c r="C242" s="692" t="n"/>
      <c r="D242" s="692" t="n"/>
      <c r="E242" s="692" t="n"/>
      <c r="G242" s="692" t="n"/>
      <c r="H242" s="692" t="n"/>
      <c r="I242" s="692" t="n"/>
      <c r="J242" s="692" t="n"/>
      <c r="K242" s="692" t="n"/>
      <c r="L242" s="692" t="n"/>
      <c r="N242" s="692" t="n"/>
      <c r="O242" s="692" t="n"/>
      <c r="P242" s="692" t="n"/>
      <c r="S242" s="692" t="n"/>
      <c r="T242" s="692" t="n"/>
      <c r="U242" s="692" t="n"/>
      <c r="V242" s="692" t="n"/>
      <c r="W242" s="692" t="n"/>
    </row>
    <row r="243">
      <c r="B243" s="692" t="n"/>
      <c r="C243" s="692" t="n"/>
      <c r="D243" s="692" t="n"/>
      <c r="E243" s="692" t="n"/>
      <c r="G243" s="692" t="n"/>
      <c r="H243" s="692" t="n"/>
      <c r="I243" s="692" t="n"/>
      <c r="J243" s="692" t="n"/>
      <c r="K243" s="692" t="n"/>
      <c r="L243" s="692" t="n"/>
      <c r="N243" s="692" t="n"/>
      <c r="O243" s="692" t="n"/>
      <c r="P243" s="692" t="n"/>
      <c r="S243" s="692" t="n"/>
      <c r="T243" s="692" t="n"/>
      <c r="U243" s="692" t="n"/>
      <c r="V243" s="692" t="n"/>
      <c r="W243" s="692" t="n"/>
    </row>
    <row r="244">
      <c r="B244" s="692" t="n"/>
      <c r="C244" s="692" t="n"/>
      <c r="D244" s="692" t="n"/>
      <c r="E244" s="692" t="n"/>
      <c r="G244" s="692" t="n"/>
      <c r="H244" s="158" t="n"/>
      <c r="I244" s="158" t="n"/>
      <c r="J244" s="692" t="n"/>
      <c r="K244" s="692" t="n"/>
      <c r="L244" s="692" t="n"/>
      <c r="N244" s="692" t="n"/>
      <c r="O244" s="692" t="n"/>
      <c r="P244" s="692" t="n"/>
      <c r="S244" s="692" t="n"/>
      <c r="T244" s="692" t="n"/>
      <c r="U244" s="692" t="n"/>
      <c r="V244" s="692" t="n"/>
      <c r="W244" s="692" t="n"/>
    </row>
    <row r="245">
      <c r="B245" s="692" t="n"/>
      <c r="C245" s="692" t="n"/>
      <c r="D245" s="692" t="n"/>
      <c r="E245" s="692" t="n"/>
      <c r="G245" s="158" t="n"/>
      <c r="H245" s="158" t="n"/>
      <c r="I245" s="158" t="n"/>
      <c r="J245" s="692" t="n"/>
      <c r="K245" s="692" t="n"/>
      <c r="L245" s="692" t="n"/>
      <c r="N245" s="692" t="n"/>
      <c r="O245" s="692" t="n"/>
      <c r="P245" s="692" t="n"/>
      <c r="S245" s="158" t="n"/>
      <c r="T245" s="692" t="n"/>
      <c r="U245" s="692" t="n"/>
      <c r="V245" s="692" t="n"/>
      <c r="W245" s="692" t="n"/>
    </row>
    <row r="246">
      <c r="B246" s="692" t="n"/>
      <c r="C246" s="692" t="n"/>
      <c r="D246" s="692" t="n"/>
      <c r="E246" s="692" t="n"/>
      <c r="G246" s="158" t="n"/>
      <c r="H246" s="158" t="n"/>
      <c r="I246" s="158" t="n"/>
      <c r="J246" s="692" t="n"/>
      <c r="K246" s="692" t="n"/>
      <c r="L246" s="692" t="n"/>
      <c r="N246" s="692" t="n"/>
      <c r="O246" s="692" t="n"/>
      <c r="P246" s="692" t="n"/>
      <c r="S246" s="158" t="n"/>
      <c r="T246" s="692" t="n"/>
      <c r="U246" s="692" t="n"/>
      <c r="V246" s="692" t="n"/>
      <c r="W246" s="692" t="n"/>
    </row>
    <row r="247">
      <c r="B247" s="692" t="n"/>
      <c r="C247" s="692" t="n"/>
      <c r="D247" s="692" t="n"/>
      <c r="E247" s="692" t="n"/>
      <c r="G247" s="158" t="n"/>
      <c r="H247" s="158" t="n"/>
      <c r="I247" s="158" t="n"/>
      <c r="J247" s="692" t="n"/>
      <c r="K247" s="692" t="n"/>
      <c r="L247" s="692" t="n"/>
      <c r="N247" s="692" t="n"/>
      <c r="O247" s="692" t="n"/>
      <c r="P247" s="692" t="n"/>
      <c r="S247" s="158" t="n"/>
      <c r="T247" s="692" t="n"/>
      <c r="U247" s="692" t="n"/>
      <c r="V247" s="692" t="n"/>
      <c r="W247" s="692" t="n"/>
    </row>
    <row r="248">
      <c r="B248" s="692" t="n"/>
      <c r="C248" s="692" t="n"/>
      <c r="D248" s="692" t="n"/>
      <c r="E248" s="692" t="n"/>
      <c r="G248" s="158" t="n"/>
      <c r="H248" s="158" t="n"/>
      <c r="I248" s="158" t="n"/>
      <c r="J248" s="692" t="n"/>
      <c r="K248" s="692" t="n"/>
      <c r="L248" s="692" t="n"/>
      <c r="N248" s="692" t="n"/>
      <c r="O248" s="692" t="n"/>
      <c r="P248" s="692" t="n"/>
      <c r="S248" s="158" t="n"/>
      <c r="T248" s="692" t="n"/>
      <c r="U248" s="692" t="n"/>
      <c r="V248" s="692" t="n"/>
      <c r="W248" s="692" t="n"/>
    </row>
    <row r="249">
      <c r="B249" s="692" t="n"/>
      <c r="C249" s="692" t="n"/>
      <c r="D249" s="692" t="n"/>
      <c r="E249" s="692" t="n"/>
      <c r="G249" s="692" t="n"/>
      <c r="H249" s="692" t="n"/>
      <c r="I249" s="692" t="n"/>
      <c r="J249" s="692" t="n"/>
      <c r="K249" s="692" t="n"/>
      <c r="L249" s="692" t="n"/>
      <c r="N249" s="692" t="n"/>
      <c r="O249" s="692" t="n"/>
      <c r="P249" s="692" t="n"/>
      <c r="S249" s="692" t="n"/>
      <c r="T249" s="692" t="n"/>
      <c r="U249" s="692" t="n"/>
      <c r="V249" s="692" t="n"/>
      <c r="W249" s="692" t="n"/>
    </row>
    <row r="250">
      <c r="A250" s="692" t="n"/>
      <c r="B250" s="692" t="n"/>
      <c r="C250" s="692" t="n"/>
      <c r="D250" s="692" t="n"/>
      <c r="E250" s="692" t="n"/>
      <c r="G250" s="692" t="n"/>
      <c r="H250" s="692" t="n"/>
      <c r="I250" s="692" t="n"/>
      <c r="J250" s="692" t="n"/>
      <c r="K250" s="692" t="n"/>
      <c r="L250" s="692" t="n"/>
      <c r="M250" s="692" t="n"/>
      <c r="N250" s="692" t="n"/>
      <c r="O250" s="692" t="n"/>
      <c r="P250" s="692" t="n"/>
      <c r="S250" s="692" t="n"/>
      <c r="T250" s="692" t="n"/>
      <c r="U250" s="692" t="n"/>
      <c r="V250" s="692" t="n"/>
      <c r="W250" s="692" t="n"/>
    </row>
    <row r="251">
      <c r="A251" s="692" t="n"/>
      <c r="B251" s="692" t="n"/>
      <c r="C251" s="692" t="n"/>
      <c r="D251" s="692" t="n"/>
      <c r="E251" s="692" t="n"/>
      <c r="G251" s="692" t="n"/>
      <c r="H251" s="692" t="n"/>
      <c r="I251" s="692" t="n"/>
      <c r="J251" s="692" t="n"/>
      <c r="K251" s="692" t="n"/>
      <c r="L251" s="692" t="n"/>
      <c r="M251" s="692" t="n"/>
      <c r="N251" s="692" t="n"/>
      <c r="O251" s="692" t="n"/>
      <c r="P251" s="692" t="n"/>
      <c r="S251" s="692" t="n"/>
      <c r="T251" s="692" t="n"/>
      <c r="U251" s="692" t="n"/>
      <c r="V251" s="692" t="n"/>
      <c r="W251" s="692" t="n"/>
    </row>
    <row r="252">
      <c r="A252" s="692" t="n"/>
      <c r="B252" s="692" t="n"/>
      <c r="C252" s="692" t="n"/>
      <c r="D252" s="692" t="n"/>
      <c r="E252" s="692" t="n"/>
      <c r="F252" s="692" t="n"/>
      <c r="G252" s="692" t="n"/>
      <c r="H252" s="692" t="n"/>
      <c r="I252" s="692" t="n"/>
      <c r="J252" s="692" t="n"/>
      <c r="K252" s="692" t="n"/>
      <c r="L252" s="692" t="n"/>
      <c r="M252" s="692" t="n"/>
      <c r="N252" s="692" t="n"/>
      <c r="O252" s="692" t="n"/>
      <c r="P252" s="692" t="n"/>
      <c r="Q252" s="692" t="n"/>
      <c r="R252" s="692" t="n"/>
      <c r="S252" s="692" t="n"/>
      <c r="T252" s="692" t="n"/>
      <c r="U252" s="692" t="n"/>
      <c r="V252" s="692" t="n"/>
      <c r="W252" s="692" t="n"/>
    </row>
    <row r="253">
      <c r="A253" s="692" t="n"/>
      <c r="B253" s="692" t="n"/>
      <c r="C253" s="692" t="n"/>
      <c r="D253" s="692" t="n"/>
      <c r="E253" s="692" t="n"/>
      <c r="F253" s="692" t="n"/>
      <c r="G253" s="692" t="n"/>
      <c r="H253" s="692" t="n"/>
      <c r="I253" s="692" t="n"/>
      <c r="J253" s="692" t="n"/>
      <c r="K253" s="692" t="n"/>
      <c r="L253" s="692" t="n"/>
      <c r="M253" s="692" t="n"/>
      <c r="N253" s="692" t="n"/>
      <c r="O253" s="692" t="n"/>
      <c r="P253" s="692" t="n"/>
      <c r="Q253" s="692" t="n"/>
      <c r="R253" s="692" t="n"/>
      <c r="S253" s="692" t="n"/>
      <c r="T253" s="692" t="n"/>
      <c r="U253" s="692" t="n"/>
      <c r="V253" s="692" t="n"/>
      <c r="W253" s="692" t="n"/>
    </row>
    <row r="254">
      <c r="A254" s="692" t="n"/>
      <c r="B254" s="692" t="n"/>
      <c r="C254" s="692" t="n"/>
      <c r="D254" s="692" t="n"/>
      <c r="E254" s="692" t="n"/>
      <c r="F254" s="692" t="n"/>
      <c r="G254" s="692" t="n"/>
      <c r="H254" s="692" t="n"/>
      <c r="I254" s="692" t="n"/>
      <c r="J254" s="692" t="n"/>
      <c r="K254" s="692" t="n"/>
      <c r="L254" s="692" t="n"/>
      <c r="M254" s="692" t="n"/>
      <c r="N254" s="692" t="n"/>
      <c r="O254" s="692" t="n"/>
      <c r="P254" s="692" t="n"/>
      <c r="Q254" s="692" t="n"/>
      <c r="R254" s="692" t="n"/>
      <c r="S254" s="692" t="n"/>
      <c r="T254" s="692" t="n"/>
      <c r="U254" s="692" t="n"/>
      <c r="V254" s="692" t="n"/>
      <c r="W254" s="692" t="n"/>
    </row>
    <row r="255">
      <c r="A255" s="692" t="n"/>
      <c r="B255" s="692" t="n"/>
      <c r="C255" s="692" t="n"/>
      <c r="D255" s="692" t="n"/>
      <c r="E255" s="692" t="n"/>
      <c r="F255" s="692" t="n"/>
      <c r="G255" s="692" t="n"/>
      <c r="H255" s="692" t="n"/>
      <c r="I255" s="692" t="n"/>
      <c r="J255" s="692" t="n"/>
      <c r="K255" s="692" t="n"/>
      <c r="L255" s="692" t="n"/>
      <c r="M255" s="692" t="n"/>
      <c r="N255" s="692" t="n"/>
      <c r="O255" s="692" t="n"/>
      <c r="P255" s="692" t="n"/>
      <c r="Q255" s="692" t="n"/>
      <c r="R255" s="692" t="n"/>
      <c r="S255" s="692" t="n"/>
      <c r="T255" s="692" t="n"/>
      <c r="U255" s="692" t="n"/>
      <c r="V255" s="692" t="n"/>
      <c r="W255" s="692" t="n"/>
    </row>
    <row r="256">
      <c r="A256" s="692" t="n"/>
      <c r="B256" s="692" t="n"/>
      <c r="C256" s="692" t="n"/>
      <c r="D256" s="692" t="n"/>
      <c r="E256" s="692" t="n"/>
      <c r="F256" s="692" t="n"/>
      <c r="G256" s="692" t="n"/>
      <c r="H256" s="692" t="n"/>
      <c r="I256" s="692" t="n"/>
      <c r="J256" s="692" t="n"/>
      <c r="K256" s="692" t="n"/>
      <c r="L256" s="692" t="n"/>
      <c r="M256" s="692" t="n"/>
      <c r="N256" s="692" t="n"/>
      <c r="O256" s="692" t="n"/>
      <c r="P256" s="692" t="n"/>
      <c r="Q256" s="692" t="n"/>
      <c r="R256" s="692" t="n"/>
      <c r="S256" s="692" t="n"/>
      <c r="T256" s="692" t="n"/>
      <c r="U256" s="692" t="n"/>
      <c r="V256" s="692" t="n"/>
      <c r="W256" s="692" t="n"/>
    </row>
    <row r="257">
      <c r="A257" s="692" t="n"/>
      <c r="B257" s="692" t="n"/>
      <c r="C257" s="692" t="n"/>
      <c r="D257" s="692" t="n"/>
      <c r="E257" s="692" t="n"/>
      <c r="F257" s="692" t="n"/>
      <c r="G257" s="692" t="n"/>
      <c r="H257" s="692" t="n"/>
      <c r="I257" s="692" t="n"/>
      <c r="J257" s="692" t="n"/>
      <c r="K257" s="692" t="n"/>
      <c r="L257" s="692" t="n"/>
      <c r="M257" s="692" t="n"/>
      <c r="N257" s="692" t="n"/>
      <c r="O257" s="692" t="n"/>
      <c r="P257" s="692" t="n"/>
      <c r="Q257" s="692" t="n"/>
      <c r="R257" s="692" t="n"/>
      <c r="S257" s="692" t="n"/>
      <c r="T257" s="692" t="n"/>
      <c r="U257" s="692" t="n"/>
      <c r="V257" s="692" t="n"/>
      <c r="W257" s="692" t="n"/>
    </row>
    <row r="258">
      <c r="A258" s="692" t="n"/>
      <c r="B258" s="692" t="n"/>
      <c r="C258" s="692" t="n"/>
      <c r="D258" s="692" t="n"/>
      <c r="E258" s="692" t="n"/>
      <c r="F258" s="692" t="n"/>
      <c r="G258" s="692" t="n"/>
      <c r="H258" s="692" t="n"/>
      <c r="I258" s="692" t="n"/>
      <c r="J258" s="692" t="n"/>
      <c r="K258" s="692" t="n"/>
      <c r="L258" s="692" t="n"/>
      <c r="M258" s="692" t="n"/>
      <c r="N258" s="692" t="n"/>
      <c r="O258" s="692" t="n"/>
      <c r="P258" s="692" t="n"/>
      <c r="Q258" s="692" t="n"/>
      <c r="R258" s="692" t="n"/>
      <c r="S258" s="692" t="n"/>
      <c r="T258" s="692" t="n"/>
      <c r="U258" s="692" t="n"/>
      <c r="V258" s="692" t="n"/>
      <c r="W258" s="692" t="n"/>
    </row>
    <row r="259">
      <c r="A259" s="692" t="n"/>
      <c r="B259" s="692" t="n"/>
      <c r="C259" s="692" t="n"/>
      <c r="D259" s="692" t="n"/>
      <c r="E259" s="692" t="n"/>
      <c r="F259" s="692" t="n"/>
      <c r="G259" s="692" t="n"/>
      <c r="H259" s="692" t="n"/>
      <c r="I259" s="692" t="n"/>
      <c r="J259" s="692" t="n"/>
      <c r="K259" s="692" t="n"/>
      <c r="L259" s="692" t="n"/>
      <c r="M259" s="692" t="n"/>
      <c r="N259" s="692" t="n"/>
      <c r="O259" s="692" t="n"/>
      <c r="P259" s="692" t="n"/>
      <c r="Q259" s="692" t="n"/>
      <c r="R259" s="692" t="n"/>
      <c r="S259" s="692" t="n"/>
      <c r="T259" s="692" t="n"/>
      <c r="U259" s="692" t="n"/>
      <c r="V259" s="692" t="n"/>
      <c r="W259" s="692" t="n"/>
    </row>
    <row r="260">
      <c r="A260" s="692" t="n"/>
      <c r="B260" s="692" t="n"/>
      <c r="C260" s="692" t="n"/>
      <c r="D260" s="692" t="n"/>
      <c r="E260" s="692" t="n"/>
      <c r="F260" s="692" t="n"/>
      <c r="G260" s="692" t="n"/>
      <c r="H260" s="692" t="n"/>
      <c r="I260" s="692" t="n"/>
      <c r="J260" s="692" t="n"/>
      <c r="K260" s="692" t="n"/>
      <c r="L260" s="692" t="n"/>
      <c r="M260" s="692" t="n"/>
      <c r="N260" s="692" t="n"/>
      <c r="O260" s="692" t="n"/>
      <c r="P260" s="692" t="n"/>
      <c r="Q260" s="692" t="n"/>
      <c r="R260" s="692" t="n"/>
      <c r="S260" s="692" t="n"/>
      <c r="T260" s="692" t="n"/>
      <c r="U260" s="692" t="n"/>
      <c r="V260" s="692" t="n"/>
      <c r="W260" s="692" t="n"/>
    </row>
    <row r="261">
      <c r="A261" s="692" t="n"/>
      <c r="B261" s="692" t="n"/>
      <c r="C261" s="692" t="n"/>
      <c r="D261" s="692" t="n"/>
      <c r="E261" s="692" t="n"/>
      <c r="F261" s="692" t="n"/>
      <c r="G261" s="692" t="n"/>
      <c r="H261" s="692" t="n"/>
      <c r="I261" s="692" t="n"/>
      <c r="J261" s="692" t="n"/>
      <c r="K261" s="692" t="n"/>
      <c r="L261" s="692" t="n"/>
      <c r="M261" s="692" t="n"/>
      <c r="N261" s="692" t="n"/>
      <c r="O261" s="692" t="n"/>
      <c r="P261" s="692" t="n"/>
      <c r="Q261" s="692" t="n"/>
      <c r="R261" s="692" t="n"/>
      <c r="S261" s="692" t="n"/>
      <c r="T261" s="692" t="n"/>
      <c r="U261" s="692" t="n"/>
      <c r="V261" s="692" t="n"/>
      <c r="W261" s="692" t="n"/>
    </row>
    <row r="262">
      <c r="B262" s="692" t="n"/>
      <c r="C262" s="692" t="n"/>
      <c r="D262" s="692" t="n"/>
      <c r="E262" s="692" t="n"/>
      <c r="F262" s="692" t="n"/>
      <c r="G262" s="692" t="n"/>
      <c r="H262" s="692" t="n"/>
      <c r="I262" s="692" t="n"/>
      <c r="J262" s="692" t="n"/>
      <c r="K262" s="692" t="n"/>
      <c r="L262" s="692" t="n"/>
      <c r="N262" s="692" t="n"/>
      <c r="O262" s="692" t="n"/>
      <c r="P262" s="692" t="n"/>
      <c r="Q262" s="692" t="n"/>
      <c r="R262" s="692" t="n"/>
      <c r="S262" s="692" t="n"/>
      <c r="T262" s="692" t="n"/>
      <c r="U262" s="692" t="n"/>
      <c r="V262" s="692" t="n"/>
      <c r="W262" s="692" t="n"/>
    </row>
    <row r="263">
      <c r="A263" s="692" t="n"/>
      <c r="B263" s="692" t="n"/>
      <c r="C263" s="692" t="n"/>
      <c r="D263" s="692" t="n"/>
      <c r="E263" s="692" t="n"/>
      <c r="F263" s="692" t="n"/>
      <c r="G263" s="692" t="n"/>
      <c r="H263" s="692" t="n"/>
      <c r="I263" s="692" t="n"/>
      <c r="J263" s="692" t="n"/>
      <c r="K263" s="692" t="n"/>
      <c r="L263" s="692" t="n"/>
      <c r="M263" s="692" t="n"/>
      <c r="N263" s="692" t="n"/>
      <c r="O263" s="692" t="n"/>
      <c r="P263" s="692" t="n"/>
      <c r="Q263" s="692" t="n"/>
      <c r="R263" s="692" t="n"/>
      <c r="S263" s="692" t="n"/>
      <c r="T263" s="692" t="n"/>
      <c r="U263" s="692" t="n"/>
      <c r="V263" s="692" t="n"/>
      <c r="W263" s="692" t="n"/>
    </row>
    <row r="264">
      <c r="A264" s="692" t="n"/>
      <c r="B264" s="692" t="n"/>
      <c r="C264" s="692" t="n"/>
      <c r="D264" s="692" t="n"/>
      <c r="E264" s="692" t="n"/>
      <c r="H264" s="692" t="n"/>
      <c r="I264" s="692" t="n"/>
      <c r="J264" s="692" t="n"/>
      <c r="K264" s="692" t="n"/>
      <c r="M264" s="692" t="n"/>
      <c r="N264" s="692" t="n"/>
      <c r="O264" s="692" t="n"/>
      <c r="P264" s="692" t="n"/>
      <c r="T264" s="692" t="n"/>
      <c r="U264" s="692" t="n"/>
      <c r="V264" s="692" t="n"/>
      <c r="W264" s="692" t="n"/>
    </row>
    <row r="265">
      <c r="A265" s="692" t="n"/>
      <c r="B265" s="692" t="n"/>
      <c r="C265" s="692" t="n"/>
      <c r="D265" s="692" t="n"/>
      <c r="E265" s="692" t="n"/>
      <c r="F265" s="692" t="n"/>
      <c r="G265" s="692" t="n"/>
      <c r="H265" s="692" t="n"/>
      <c r="I265" s="692" t="n"/>
      <c r="J265" s="692" t="n"/>
      <c r="K265" s="692" t="n"/>
      <c r="L265" s="692" t="n"/>
      <c r="M265" s="692" t="n"/>
      <c r="N265" s="692" t="n"/>
      <c r="O265" s="692" t="n"/>
      <c r="P265" s="692" t="n"/>
      <c r="Q265" s="692" t="n"/>
      <c r="R265" s="692" t="n"/>
      <c r="S265" s="692" t="n"/>
      <c r="T265" s="692" t="n"/>
      <c r="U265" s="692" t="n"/>
      <c r="V265" s="692" t="n"/>
      <c r="W265" s="692" t="n"/>
    </row>
    <row r="266">
      <c r="A266" s="692" t="n"/>
      <c r="B266" s="692" t="n"/>
      <c r="C266" s="692" t="n"/>
      <c r="D266" s="692" t="n"/>
      <c r="E266" s="692" t="n"/>
      <c r="F266" s="692" t="n"/>
      <c r="G266" s="692" t="n"/>
      <c r="H266" s="692" t="n"/>
      <c r="I266" s="692" t="n"/>
      <c r="J266" s="692" t="n"/>
      <c r="K266" s="692" t="n"/>
      <c r="L266" s="692" t="n"/>
      <c r="M266" s="692" t="n"/>
      <c r="N266" s="692" t="n"/>
      <c r="O266" s="692" t="n"/>
      <c r="P266" s="692" t="n"/>
      <c r="Q266" s="692" t="n"/>
      <c r="R266" s="692" t="n"/>
      <c r="S266" s="692" t="n"/>
      <c r="T266" s="692" t="n"/>
      <c r="U266" s="692" t="n"/>
      <c r="V266" s="692" t="n"/>
      <c r="W266" s="692" t="n"/>
    </row>
    <row r="267">
      <c r="A267" s="692" t="n"/>
      <c r="B267" s="692" t="n"/>
      <c r="C267" s="692" t="n"/>
      <c r="D267" s="692" t="n"/>
      <c r="E267" s="692" t="n"/>
      <c r="F267" s="692" t="n"/>
      <c r="G267" s="692" t="n"/>
      <c r="H267" s="692" t="n"/>
      <c r="I267" s="692" t="n"/>
      <c r="J267" s="692" t="n"/>
      <c r="K267" s="692" t="n"/>
      <c r="L267" s="692" t="n"/>
      <c r="M267" s="692" t="n"/>
      <c r="N267" s="692" t="n"/>
      <c r="O267" s="692" t="n"/>
      <c r="P267" s="692" t="n"/>
      <c r="Q267" s="692" t="n"/>
      <c r="R267" s="692" t="n"/>
      <c r="S267" s="692" t="n"/>
      <c r="T267" s="692" t="n"/>
      <c r="U267" s="692" t="n"/>
      <c r="V267" s="692" t="n"/>
      <c r="W267" s="692" t="n"/>
    </row>
    <row r="268">
      <c r="A268" s="692" t="n"/>
      <c r="B268" s="692" t="n"/>
      <c r="C268" s="692" t="n"/>
      <c r="D268" s="692" t="n"/>
      <c r="E268" s="692" t="n"/>
      <c r="F268" s="692" t="n"/>
      <c r="G268" s="692" t="n"/>
      <c r="H268" s="692" t="n"/>
      <c r="I268" s="692" t="n"/>
      <c r="J268" s="692" t="n"/>
      <c r="K268" s="692" t="n"/>
      <c r="L268" s="692" t="n"/>
      <c r="M268" s="692" t="n"/>
      <c r="N268" s="692" t="n"/>
      <c r="O268" s="692" t="n"/>
      <c r="P268" s="692" t="n"/>
      <c r="Q268" s="692" t="n"/>
      <c r="R268" s="692" t="n"/>
      <c r="S268" s="692" t="n"/>
      <c r="T268" s="692" t="n"/>
      <c r="U268" s="692" t="n"/>
      <c r="V268" s="692" t="n"/>
      <c r="W268" s="692" t="n"/>
    </row>
    <row r="269">
      <c r="A269" s="692" t="n"/>
      <c r="B269" s="692" t="n"/>
      <c r="C269" s="692" t="n"/>
      <c r="D269" s="692" t="n"/>
      <c r="E269" s="692" t="n"/>
      <c r="F269" s="692" t="n"/>
      <c r="G269" s="692" t="n"/>
      <c r="H269" s="692" t="n"/>
      <c r="I269" s="692" t="n"/>
      <c r="J269" s="692" t="n"/>
      <c r="K269" s="692" t="n"/>
      <c r="L269" s="692" t="n"/>
      <c r="M269" s="692" t="n"/>
      <c r="N269" s="692" t="n"/>
      <c r="O269" s="692" t="n"/>
      <c r="P269" s="692" t="n"/>
      <c r="Q269" s="692" t="n"/>
      <c r="R269" s="692" t="n"/>
      <c r="S269" s="692" t="n"/>
      <c r="T269" s="692" t="n"/>
      <c r="U269" s="692" t="n"/>
      <c r="V269" s="692" t="n"/>
      <c r="W269" s="692" t="n"/>
    </row>
    <row r="270">
      <c r="A270" s="692" t="n"/>
      <c r="B270" s="692" t="n"/>
      <c r="C270" s="692" t="n"/>
      <c r="D270" s="692" t="n"/>
      <c r="E270" s="692" t="n"/>
      <c r="F270" s="692" t="n"/>
      <c r="G270" s="692" t="n"/>
      <c r="H270" s="692" t="n"/>
      <c r="I270" s="692" t="n"/>
      <c r="J270" s="692" t="n"/>
      <c r="K270" s="692" t="n"/>
      <c r="L270" s="692" t="n"/>
      <c r="M270" s="692" t="n"/>
      <c r="N270" s="692" t="n"/>
      <c r="O270" s="692" t="n"/>
      <c r="P270" s="692" t="n"/>
      <c r="Q270" s="692" t="n"/>
      <c r="R270" s="692" t="n"/>
      <c r="S270" s="692" t="n"/>
      <c r="T270" s="692" t="n"/>
      <c r="U270" s="692" t="n"/>
      <c r="V270" s="692" t="n"/>
      <c r="W270" s="692" t="n"/>
    </row>
    <row r="271">
      <c r="A271" s="692" t="n"/>
      <c r="B271" s="692" t="n"/>
      <c r="C271" s="692" t="n"/>
      <c r="D271" s="692" t="n"/>
      <c r="E271" s="692" t="n"/>
      <c r="F271" s="692" t="n"/>
      <c r="G271" s="692" t="n"/>
      <c r="H271" s="692" t="n"/>
      <c r="I271" s="692" t="n"/>
      <c r="J271" s="692" t="n"/>
      <c r="K271" s="692" t="n"/>
      <c r="L271" s="692" t="n"/>
      <c r="M271" s="692" t="n"/>
      <c r="N271" s="692" t="n"/>
      <c r="O271" s="692" t="n"/>
      <c r="P271" s="692" t="n"/>
      <c r="Q271" s="692" t="n"/>
      <c r="R271" s="692" t="n"/>
      <c r="S271" s="692" t="n"/>
      <c r="T271" s="692" t="n"/>
      <c r="U271" s="692" t="n"/>
      <c r="V271" s="692" t="n"/>
      <c r="W271" s="692" t="n"/>
    </row>
    <row r="272">
      <c r="A272" s="692" t="n"/>
      <c r="B272" s="692" t="n"/>
      <c r="C272" s="692" t="n"/>
      <c r="D272" s="692" t="n"/>
      <c r="E272" s="692" t="n"/>
      <c r="F272" s="692" t="n"/>
      <c r="G272" s="692" t="n"/>
      <c r="H272" s="692" t="n"/>
      <c r="I272" s="692" t="n"/>
      <c r="J272" s="692" t="n"/>
      <c r="K272" s="692" t="n"/>
      <c r="L272" s="692" t="n"/>
      <c r="M272" s="692" t="n"/>
      <c r="N272" s="692" t="n"/>
      <c r="O272" s="692" t="n"/>
      <c r="P272" s="692" t="n"/>
      <c r="Q272" s="692" t="n"/>
      <c r="R272" s="692" t="n"/>
      <c r="S272" s="692" t="n"/>
      <c r="T272" s="692" t="n"/>
      <c r="U272" s="692" t="n"/>
      <c r="V272" s="692" t="n"/>
      <c r="W272" s="692" t="n"/>
    </row>
    <row r="273">
      <c r="A273" s="692" t="n"/>
      <c r="B273" s="692" t="n"/>
      <c r="C273" s="692" t="n"/>
      <c r="D273" s="692" t="n"/>
      <c r="E273" s="692" t="n"/>
      <c r="F273" s="692" t="n"/>
      <c r="G273" s="692" t="n"/>
      <c r="H273" s="692" t="n"/>
      <c r="I273" s="692" t="n"/>
      <c r="J273" s="692" t="n"/>
      <c r="K273" s="692" t="n"/>
      <c r="L273" s="692" t="n"/>
      <c r="M273" s="692" t="n"/>
      <c r="N273" s="692" t="n"/>
      <c r="O273" s="692" t="n"/>
      <c r="P273" s="692" t="n"/>
      <c r="Q273" s="692" t="n"/>
      <c r="R273" s="692" t="n"/>
      <c r="S273" s="692" t="n"/>
      <c r="T273" s="692" t="n"/>
      <c r="U273" s="692" t="n"/>
      <c r="V273" s="692" t="n"/>
      <c r="W273" s="692" t="n"/>
    </row>
    <row r="274">
      <c r="A274" s="692" t="n"/>
      <c r="B274" s="692" t="n"/>
      <c r="C274" s="692" t="n"/>
      <c r="D274" s="692" t="n"/>
      <c r="E274" s="692" t="n"/>
      <c r="F274" s="692" t="n"/>
      <c r="G274" s="692" t="n"/>
      <c r="H274" s="692" t="n"/>
      <c r="I274" s="692" t="n"/>
      <c r="J274" s="692" t="n"/>
      <c r="K274" s="692" t="n"/>
      <c r="L274" s="692" t="n"/>
      <c r="M274" s="692" t="n"/>
      <c r="N274" s="692" t="n"/>
      <c r="O274" s="692" t="n"/>
      <c r="P274" s="692" t="n"/>
      <c r="Q274" s="692" t="n"/>
      <c r="R274" s="692" t="n"/>
      <c r="S274" s="692" t="n"/>
      <c r="T274" s="692" t="n"/>
      <c r="U274" s="692" t="n"/>
      <c r="V274" s="692" t="n"/>
      <c r="W274" s="692" t="n"/>
    </row>
    <row r="275">
      <c r="A275" s="692" t="n"/>
      <c r="B275" s="692" t="n"/>
      <c r="C275" s="692" t="n"/>
      <c r="D275" s="692" t="n"/>
      <c r="E275" s="692" t="n"/>
      <c r="F275" s="692" t="n"/>
      <c r="G275" s="692" t="n"/>
      <c r="H275" s="692" t="n"/>
      <c r="I275" s="692" t="n"/>
      <c r="J275" s="692" t="n"/>
      <c r="K275" s="692" t="n"/>
      <c r="L275" s="692" t="n"/>
      <c r="M275" s="692" t="n"/>
      <c r="N275" s="692" t="n"/>
      <c r="O275" s="692" t="n"/>
      <c r="P275" s="692" t="n"/>
      <c r="Q275" s="692" t="n"/>
      <c r="R275" s="692" t="n"/>
      <c r="S275" s="692" t="n"/>
      <c r="T275" s="692" t="n"/>
      <c r="U275" s="692" t="n"/>
      <c r="V275" s="692" t="n"/>
      <c r="W275" s="692" t="n"/>
    </row>
    <row r="276">
      <c r="A276" s="692" t="n"/>
      <c r="B276" s="692" t="n"/>
      <c r="C276" s="692" t="n"/>
      <c r="D276" s="692" t="n"/>
      <c r="E276" s="692" t="n"/>
      <c r="F276" s="692" t="n"/>
      <c r="G276" s="692" t="n"/>
      <c r="H276" s="692" t="n"/>
      <c r="I276" s="692" t="n"/>
      <c r="J276" s="692" t="n"/>
      <c r="K276" s="692" t="n"/>
      <c r="L276" s="692" t="n"/>
      <c r="M276" s="692" t="n"/>
      <c r="N276" s="692" t="n"/>
      <c r="O276" s="692" t="n"/>
      <c r="P276" s="692" t="n"/>
      <c r="Q276" s="692" t="n"/>
      <c r="R276" s="692" t="n"/>
      <c r="S276" s="692" t="n"/>
      <c r="T276" s="692" t="n"/>
      <c r="U276" s="692" t="n"/>
      <c r="V276" s="692" t="n"/>
      <c r="W276" s="692" t="n"/>
    </row>
    <row r="277">
      <c r="A277" s="692" t="n"/>
      <c r="B277" s="692" t="n"/>
      <c r="C277" s="692" t="n"/>
      <c r="D277" s="692" t="n"/>
      <c r="E277" s="692" t="n"/>
      <c r="F277" s="692" t="n"/>
      <c r="G277" s="692" t="n"/>
      <c r="H277" s="692" t="n"/>
      <c r="I277" s="692" t="n"/>
      <c r="J277" s="692" t="n"/>
      <c r="K277" s="692" t="n"/>
      <c r="L277" s="692" t="n"/>
      <c r="M277" s="692" t="n"/>
      <c r="N277" s="692" t="n"/>
      <c r="O277" s="692" t="n"/>
      <c r="P277" s="692" t="n"/>
      <c r="Q277" s="692" t="n"/>
      <c r="R277" s="692" t="n"/>
      <c r="S277" s="692" t="n"/>
      <c r="T277" s="692" t="n"/>
      <c r="U277" s="692" t="n"/>
      <c r="V277" s="692" t="n"/>
      <c r="W277" s="692" t="n"/>
    </row>
    <row r="278">
      <c r="A278" s="692" t="n"/>
      <c r="B278" s="692" t="n"/>
      <c r="C278" s="692" t="n"/>
      <c r="D278" s="692" t="n"/>
      <c r="E278" s="692" t="n"/>
      <c r="F278" s="692" t="n"/>
      <c r="G278" s="692" t="n"/>
      <c r="H278" s="692" t="n"/>
      <c r="I278" s="692" t="n"/>
      <c r="J278" s="692" t="n"/>
      <c r="K278" s="692" t="n"/>
      <c r="L278" s="692" t="n"/>
      <c r="M278" s="692" t="n"/>
      <c r="N278" s="692" t="n"/>
      <c r="O278" s="692" t="n"/>
      <c r="P278" s="692" t="n"/>
      <c r="Q278" s="692" t="n"/>
      <c r="R278" s="692" t="n"/>
      <c r="S278" s="692" t="n"/>
      <c r="T278" s="692" t="n"/>
      <c r="U278" s="692" t="n"/>
      <c r="V278" s="692" t="n"/>
      <c r="W278" s="692" t="n"/>
    </row>
    <row r="279">
      <c r="A279" s="692" t="n"/>
      <c r="B279" s="692" t="n"/>
      <c r="C279" s="692" t="n"/>
      <c r="D279" s="692" t="n"/>
      <c r="E279" s="692" t="n"/>
      <c r="F279" s="692" t="n"/>
      <c r="G279" s="692" t="n"/>
      <c r="H279" s="692" t="n"/>
      <c r="I279" s="692" t="n"/>
      <c r="J279" s="692" t="n"/>
      <c r="K279" s="692" t="n"/>
      <c r="M279" s="692" t="n"/>
      <c r="N279" s="692" t="n"/>
      <c r="O279" s="692" t="n"/>
      <c r="P279" s="692" t="n"/>
      <c r="Q279" s="692" t="n"/>
      <c r="R279" s="692" t="n"/>
      <c r="S279" s="692" t="n"/>
      <c r="T279" s="692" t="n"/>
      <c r="U279" s="692" t="n"/>
      <c r="V279" s="692" t="n"/>
      <c r="W279" s="692" t="n"/>
    </row>
    <row r="280">
      <c r="A280" s="692" t="n"/>
      <c r="B280" s="692" t="n"/>
      <c r="C280" s="692" t="n"/>
      <c r="D280" s="692" t="n"/>
      <c r="E280" s="692" t="n"/>
      <c r="F280" s="692" t="n"/>
      <c r="G280" s="692" t="n"/>
      <c r="H280" s="692" t="n"/>
      <c r="I280" s="692" t="n"/>
      <c r="J280" s="692" t="n"/>
      <c r="K280" s="692" t="n"/>
      <c r="M280" s="692" t="n"/>
      <c r="N280" s="692" t="n"/>
      <c r="O280" s="692" t="n"/>
      <c r="P280" s="692" t="n"/>
      <c r="Q280" s="692" t="n"/>
      <c r="R280" s="692" t="n"/>
      <c r="S280" s="692" t="n"/>
      <c r="T280" s="692" t="n"/>
      <c r="U280" s="692" t="n"/>
      <c r="V280" s="692" t="n"/>
      <c r="W280" s="692" t="n"/>
    </row>
    <row r="281">
      <c r="A281" s="692" t="n"/>
      <c r="B281" s="692" t="n"/>
      <c r="C281" s="692" t="n"/>
      <c r="D281" s="692" t="n"/>
      <c r="E281" s="692" t="n"/>
      <c r="F281" s="692" t="n"/>
      <c r="G281" s="692" t="n"/>
      <c r="H281" s="692" t="n"/>
      <c r="I281" s="692" t="n"/>
      <c r="J281" s="692" t="n"/>
      <c r="K281" s="692" t="n"/>
      <c r="M281" s="692" t="n"/>
      <c r="N281" s="692" t="n"/>
      <c r="O281" s="692" t="n"/>
      <c r="P281" s="692" t="n"/>
      <c r="Q281" s="692" t="n"/>
      <c r="R281" s="692" t="n"/>
      <c r="S281" s="692" t="n"/>
      <c r="T281" s="692" t="n"/>
      <c r="U281" s="692" t="n"/>
      <c r="V281" s="692" t="n"/>
      <c r="W281" s="692" t="n"/>
    </row>
    <row r="282">
      <c r="A282" s="692" t="n"/>
      <c r="B282" s="692" t="n"/>
      <c r="C282" s="692" t="n"/>
      <c r="D282" s="692" t="n"/>
      <c r="E282" s="692" t="n"/>
      <c r="F282" s="692" t="n"/>
      <c r="G282" s="692" t="n"/>
      <c r="H282" s="692" t="n"/>
      <c r="I282" s="692" t="n"/>
      <c r="J282" s="692" t="n"/>
      <c r="K282" s="692" t="n"/>
      <c r="M282" s="692" t="n"/>
      <c r="N282" s="692" t="n"/>
      <c r="O282" s="692" t="n"/>
      <c r="P282" s="692" t="n"/>
      <c r="Q282" s="692" t="n"/>
      <c r="R282" s="692" t="n"/>
      <c r="S282" s="692" t="n"/>
      <c r="T282" s="692" t="n"/>
      <c r="U282" s="692" t="n"/>
      <c r="V282" s="692" t="n"/>
      <c r="W282" s="692" t="n"/>
    </row>
    <row r="283">
      <c r="A283" s="692" t="n"/>
      <c r="B283" s="692" t="n"/>
      <c r="C283" s="692" t="n"/>
      <c r="D283" s="692" t="n"/>
      <c r="E283" s="692" t="n"/>
      <c r="F283" s="692" t="n"/>
      <c r="G283" s="692" t="n"/>
      <c r="H283" s="692" t="n"/>
      <c r="I283" s="692" t="n"/>
      <c r="J283" s="692" t="n"/>
      <c r="K283" s="692" t="n"/>
      <c r="M283" s="692" t="n"/>
      <c r="N283" s="692" t="n"/>
      <c r="O283" s="692" t="n"/>
      <c r="P283" s="692" t="n"/>
      <c r="Q283" s="692" t="n"/>
      <c r="R283" s="692" t="n"/>
      <c r="S283" s="692" t="n"/>
      <c r="T283" s="692" t="n"/>
      <c r="U283" s="692" t="n"/>
      <c r="V283" s="692" t="n"/>
      <c r="W283" s="692" t="n"/>
    </row>
    <row r="284">
      <c r="A284" s="692" t="n"/>
      <c r="B284" s="692" t="n"/>
      <c r="C284" s="692" t="n"/>
      <c r="D284" s="692" t="n"/>
      <c r="E284" s="692" t="n"/>
      <c r="F284" s="692" t="n"/>
      <c r="G284" s="692" t="n"/>
      <c r="H284" s="692" t="n"/>
      <c r="I284" s="692" t="n"/>
      <c r="J284" s="692" t="n"/>
      <c r="K284" s="692" t="n"/>
      <c r="M284" s="692" t="n"/>
      <c r="N284" s="692" t="n"/>
      <c r="O284" s="692" t="n"/>
      <c r="P284" s="692" t="n"/>
      <c r="Q284" s="692" t="n"/>
      <c r="R284" s="692" t="n"/>
      <c r="S284" s="692" t="n"/>
      <c r="T284" s="692" t="n"/>
      <c r="U284" s="692" t="n"/>
      <c r="V284" s="692" t="n"/>
      <c r="W284" s="692" t="n"/>
    </row>
    <row r="285">
      <c r="A285" s="692" t="n"/>
      <c r="B285" s="692" t="n"/>
      <c r="C285" s="692" t="n"/>
      <c r="D285" s="692" t="n"/>
      <c r="E285" s="692" t="n"/>
      <c r="F285" s="692" t="n"/>
      <c r="G285" s="692" t="n"/>
      <c r="H285" s="692" t="n"/>
      <c r="I285" s="692" t="n"/>
      <c r="J285" s="692" t="n"/>
      <c r="K285" s="692" t="n"/>
      <c r="M285" s="692" t="n"/>
      <c r="N285" s="692" t="n"/>
      <c r="O285" s="692" t="n"/>
      <c r="P285" s="692" t="n"/>
      <c r="Q285" s="692" t="n"/>
      <c r="R285" s="692" t="n"/>
      <c r="S285" s="692" t="n"/>
      <c r="T285" s="692" t="n"/>
      <c r="U285" s="692" t="n"/>
      <c r="V285" s="692" t="n"/>
      <c r="W285" s="692" t="n"/>
    </row>
    <row r="286">
      <c r="A286" s="692" t="n"/>
      <c r="B286" s="692" t="n"/>
      <c r="C286" s="692" t="n"/>
      <c r="D286" s="692" t="n"/>
      <c r="E286" s="692" t="n"/>
      <c r="F286" s="692" t="n"/>
      <c r="G286" s="692" t="n"/>
      <c r="H286" s="692" t="n"/>
      <c r="I286" s="692" t="n"/>
      <c r="J286" s="692" t="n"/>
      <c r="K286" s="692" t="n"/>
      <c r="M286" s="692" t="n"/>
      <c r="N286" s="692" t="n"/>
      <c r="O286" s="692" t="n"/>
      <c r="P286" s="692" t="n"/>
      <c r="Q286" s="692" t="n"/>
      <c r="R286" s="692" t="n"/>
      <c r="S286" s="692" t="n"/>
      <c r="T286" s="692" t="n"/>
      <c r="U286" s="692" t="n"/>
      <c r="V286" s="692" t="n"/>
      <c r="W286" s="692" t="n"/>
    </row>
    <row r="287">
      <c r="A287" s="692" t="n"/>
      <c r="B287" s="692" t="n"/>
      <c r="C287" s="692" t="n"/>
      <c r="D287" s="692" t="n"/>
      <c r="E287" s="692" t="n"/>
      <c r="F287" s="692" t="n"/>
      <c r="G287" s="692" t="n"/>
      <c r="H287" s="692" t="n"/>
      <c r="I287" s="692" t="n"/>
      <c r="J287" s="692" t="n"/>
      <c r="K287" s="692" t="n"/>
      <c r="M287" s="692" t="n"/>
      <c r="N287" s="692" t="n"/>
      <c r="O287" s="692" t="n"/>
      <c r="P287" s="692" t="n"/>
      <c r="Q287" s="692" t="n"/>
      <c r="R287" s="692" t="n"/>
      <c r="S287" s="692" t="n"/>
      <c r="T287" s="692" t="n"/>
      <c r="U287" s="692" t="n"/>
      <c r="V287" s="692" t="n"/>
      <c r="W287" s="692" t="n"/>
    </row>
    <row r="288">
      <c r="A288" s="158" t="n"/>
      <c r="B288" s="158" t="n"/>
      <c r="C288" s="158" t="n"/>
      <c r="D288" s="692" t="n"/>
      <c r="E288" s="692" t="n"/>
      <c r="F288" s="692" t="n"/>
      <c r="G288" s="692" t="n"/>
      <c r="H288" s="692" t="n"/>
      <c r="I288" s="692" t="n"/>
      <c r="J288" s="692" t="n"/>
      <c r="K288" s="692" t="n"/>
      <c r="M288" s="158" t="n"/>
      <c r="N288" s="692" t="n"/>
      <c r="O288" s="692" t="n"/>
      <c r="P288" s="692" t="n"/>
      <c r="Q288" s="692" t="n"/>
      <c r="R288" s="692" t="n"/>
      <c r="S288" s="692" t="n"/>
      <c r="T288" s="692" t="n"/>
      <c r="U288" s="692" t="n"/>
      <c r="V288" s="692" t="n"/>
      <c r="W288" s="692" t="n"/>
    </row>
    <row r="289">
      <c r="A289" s="158" t="n"/>
      <c r="B289" s="158" t="n"/>
      <c r="C289" s="158" t="n"/>
      <c r="D289" s="692" t="n"/>
      <c r="E289" s="692" t="n"/>
      <c r="F289" s="692" t="n"/>
      <c r="G289" s="692" t="n"/>
      <c r="H289" s="692" t="n"/>
      <c r="I289" s="692" t="n"/>
      <c r="J289" s="692" t="n"/>
      <c r="K289" s="692" t="n"/>
      <c r="M289" s="158" t="n"/>
      <c r="N289" s="692" t="n"/>
      <c r="O289" s="692" t="n"/>
      <c r="P289" s="692" t="n"/>
      <c r="Q289" s="692" t="n"/>
      <c r="R289" s="692" t="n"/>
      <c r="S289" s="692" t="n"/>
      <c r="T289" s="692" t="n"/>
      <c r="U289" s="692" t="n"/>
      <c r="V289" s="692" t="n"/>
      <c r="W289" s="692" t="n"/>
    </row>
    <row r="290">
      <c r="A290" s="158" t="n"/>
      <c r="B290" s="158" t="n"/>
      <c r="C290" s="158" t="n"/>
      <c r="D290" s="692" t="n"/>
      <c r="E290" s="692" t="n"/>
      <c r="F290" s="692" t="n"/>
      <c r="G290" s="692" t="n"/>
      <c r="H290" s="692" t="n"/>
      <c r="I290" s="692" t="n"/>
      <c r="J290" s="692" t="n"/>
      <c r="K290" s="692" t="n"/>
      <c r="M290" s="158" t="n"/>
      <c r="N290" s="692" t="n"/>
      <c r="O290" s="692" t="n"/>
      <c r="P290" s="692" t="n"/>
      <c r="Q290" s="692" t="n"/>
      <c r="R290" s="692" t="n"/>
      <c r="S290" s="692" t="n"/>
      <c r="T290" s="692" t="n"/>
      <c r="U290" s="692" t="n"/>
      <c r="V290" s="692" t="n"/>
      <c r="W290" s="692" t="n"/>
    </row>
    <row r="291">
      <c r="A291" s="692" t="n"/>
      <c r="B291" s="692" t="n"/>
      <c r="C291" s="692" t="n"/>
      <c r="D291" s="692" t="n"/>
      <c r="E291" s="692" t="n"/>
      <c r="F291" s="692" t="n"/>
      <c r="G291" s="692" t="n"/>
      <c r="H291" s="692" t="n"/>
      <c r="I291" s="692" t="n"/>
      <c r="J291" s="692" t="n"/>
      <c r="K291" s="692" t="n"/>
      <c r="M291" s="692" t="n"/>
      <c r="N291" s="692" t="n"/>
      <c r="O291" s="692" t="n"/>
      <c r="P291" s="692" t="n"/>
      <c r="Q291" s="692" t="n"/>
      <c r="R291" s="692" t="n"/>
      <c r="S291" s="692" t="n"/>
      <c r="T291" s="692" t="n"/>
      <c r="U291" s="692" t="n"/>
      <c r="V291" s="692" t="n"/>
      <c r="W291" s="692" t="n"/>
    </row>
    <row r="292">
      <c r="B292" s="692" t="n"/>
      <c r="C292" s="692" t="n"/>
      <c r="D292" s="692" t="n"/>
      <c r="E292" s="692" t="n"/>
      <c r="F292" s="692" t="n"/>
      <c r="G292" s="692" t="n"/>
      <c r="H292" s="692" t="n"/>
      <c r="I292" s="692" t="n"/>
      <c r="J292" s="692" t="n"/>
      <c r="K292" s="692" t="n"/>
      <c r="N292" s="692" t="n"/>
      <c r="O292" s="692" t="n"/>
      <c r="P292" s="692" t="n"/>
      <c r="Q292" s="692" t="n"/>
      <c r="R292" s="692" t="n"/>
      <c r="S292" s="692" t="n"/>
      <c r="T292" s="692" t="n"/>
      <c r="U292" s="692" t="n"/>
      <c r="V292" s="692" t="n"/>
      <c r="W292" s="692" t="n"/>
    </row>
    <row r="293">
      <c r="B293" s="692" t="n"/>
      <c r="C293" s="692" t="n"/>
      <c r="D293" s="692" t="n"/>
      <c r="E293" s="692" t="n"/>
      <c r="F293" s="692" t="n"/>
      <c r="G293" s="692" t="n"/>
      <c r="H293" s="692" t="n"/>
      <c r="I293" s="692" t="n"/>
      <c r="J293" s="692" t="n"/>
      <c r="K293" s="692" t="n"/>
      <c r="L293" s="692" t="n"/>
      <c r="N293" s="692" t="n"/>
      <c r="O293" s="692" t="n"/>
      <c r="P293" s="692" t="n"/>
      <c r="Q293" s="692" t="n"/>
      <c r="R293" s="692" t="n"/>
      <c r="S293" s="692" t="n"/>
      <c r="T293" s="692" t="n"/>
      <c r="U293" s="692" t="n"/>
      <c r="V293" s="692" t="n"/>
      <c r="W293" s="692" t="n"/>
    </row>
    <row r="294">
      <c r="B294" s="692" t="n"/>
      <c r="C294" s="692" t="n"/>
      <c r="D294" s="692" t="n"/>
      <c r="E294" s="692" t="n"/>
      <c r="F294" s="692" t="n"/>
      <c r="G294" s="692" t="n"/>
      <c r="H294" s="692" t="n"/>
      <c r="I294" s="692" t="n"/>
      <c r="J294" s="692" t="n"/>
      <c r="K294" s="692" t="n"/>
      <c r="L294" s="692" t="n"/>
      <c r="N294" s="692" t="n"/>
      <c r="O294" s="692" t="n"/>
      <c r="P294" s="692" t="n"/>
      <c r="Q294" s="692" t="n"/>
      <c r="R294" s="692" t="n"/>
      <c r="S294" s="692" t="n"/>
      <c r="T294" s="692" t="n"/>
      <c r="U294" s="692" t="n"/>
      <c r="V294" s="692" t="n"/>
      <c r="W294" s="692" t="n"/>
    </row>
    <row r="295">
      <c r="B295" s="692" t="n"/>
      <c r="C295" s="692" t="n"/>
      <c r="D295" s="692" t="n"/>
      <c r="E295" s="692" t="n"/>
      <c r="F295" s="692" t="n"/>
      <c r="G295" s="692" t="n"/>
      <c r="H295" s="692" t="n"/>
      <c r="I295" s="692" t="n"/>
      <c r="J295" s="692" t="n"/>
      <c r="K295" s="692" t="n"/>
      <c r="L295" s="692" t="n"/>
      <c r="N295" s="692" t="n"/>
      <c r="O295" s="692" t="n"/>
      <c r="P295" s="692" t="n"/>
      <c r="Q295" s="692" t="n"/>
      <c r="R295" s="692" t="n"/>
      <c r="S295" s="692" t="n"/>
      <c r="T295" s="692" t="n"/>
      <c r="U295" s="692" t="n"/>
      <c r="V295" s="692" t="n"/>
      <c r="W295" s="692" t="n"/>
    </row>
    <row r="296">
      <c r="B296" s="692" t="n"/>
      <c r="C296" s="692" t="n"/>
      <c r="D296" s="692" t="n"/>
      <c r="E296" s="692" t="n"/>
      <c r="F296" s="692" t="n"/>
      <c r="G296" s="692" t="n"/>
      <c r="H296" s="692" t="n"/>
      <c r="I296" s="692" t="n"/>
      <c r="J296" s="692" t="n"/>
      <c r="K296" s="692" t="n"/>
      <c r="L296" s="692" t="n"/>
      <c r="N296" s="692" t="n"/>
      <c r="O296" s="692" t="n"/>
      <c r="P296" s="692" t="n"/>
      <c r="Q296" s="692" t="n"/>
      <c r="R296" s="692" t="n"/>
      <c r="S296" s="692" t="n"/>
      <c r="T296" s="692" t="n"/>
      <c r="U296" s="692" t="n"/>
      <c r="V296" s="692" t="n"/>
      <c r="W296" s="692" t="n"/>
    </row>
    <row r="297">
      <c r="B297" s="692" t="n"/>
      <c r="C297" s="692" t="n"/>
      <c r="D297" s="692" t="n"/>
      <c r="E297" s="692" t="n"/>
      <c r="F297" s="692" t="n"/>
      <c r="G297" s="692" t="n"/>
      <c r="H297" s="692" t="n"/>
      <c r="I297" s="692" t="n"/>
      <c r="J297" s="692" t="n"/>
      <c r="K297" s="692" t="n"/>
      <c r="L297" s="692" t="n"/>
      <c r="N297" s="692" t="n"/>
      <c r="O297" s="692" t="n"/>
      <c r="P297" s="692" t="n"/>
      <c r="Q297" s="692" t="n"/>
      <c r="R297" s="692" t="n"/>
      <c r="S297" s="692" t="n"/>
      <c r="T297" s="692" t="n"/>
      <c r="U297" s="692" t="n"/>
      <c r="V297" s="692" t="n"/>
      <c r="W297" s="692" t="n"/>
    </row>
    <row r="298">
      <c r="B298" s="692" t="n"/>
      <c r="C298" s="692" t="n"/>
      <c r="D298" s="692" t="n"/>
      <c r="E298" s="692" t="n"/>
      <c r="F298" s="692" t="n"/>
      <c r="G298" s="692" t="n"/>
      <c r="H298" s="692" t="n"/>
      <c r="I298" s="692" t="n"/>
      <c r="J298" s="692" t="n"/>
      <c r="K298" s="692" t="n"/>
      <c r="L298" s="692" t="n"/>
      <c r="N298" s="692" t="n"/>
      <c r="O298" s="692" t="n"/>
      <c r="P298" s="692" t="n"/>
      <c r="Q298" s="692" t="n"/>
      <c r="R298" s="692" t="n"/>
      <c r="S298" s="692" t="n"/>
      <c r="T298" s="692" t="n"/>
      <c r="U298" s="692" t="n"/>
      <c r="V298" s="692" t="n"/>
      <c r="W298" s="692" t="n"/>
    </row>
    <row r="299">
      <c r="B299" s="692" t="n"/>
      <c r="C299" s="692" t="n"/>
      <c r="D299" s="692" t="n"/>
      <c r="E299" s="692" t="n"/>
      <c r="F299" s="692" t="n"/>
      <c r="G299" s="692" t="n"/>
      <c r="H299" s="692" t="n"/>
      <c r="I299" s="692" t="n"/>
      <c r="J299" s="692" t="n"/>
      <c r="K299" s="692" t="n"/>
      <c r="L299" s="692" t="n"/>
      <c r="N299" s="692" t="n"/>
      <c r="O299" s="692" t="n"/>
      <c r="P299" s="692" t="n"/>
      <c r="Q299" s="692" t="n"/>
      <c r="R299" s="692" t="n"/>
      <c r="S299" s="692" t="n"/>
      <c r="T299" s="692" t="n"/>
      <c r="U299" s="692" t="n"/>
      <c r="V299" s="692" t="n"/>
      <c r="W299" s="692" t="n"/>
    </row>
    <row r="300">
      <c r="B300" s="692" t="n"/>
      <c r="C300" s="692" t="n"/>
      <c r="D300" s="692" t="n"/>
      <c r="E300" s="692" t="n"/>
      <c r="F300" s="692" t="n"/>
      <c r="G300" s="692" t="n"/>
      <c r="H300" s="692" t="n"/>
      <c r="I300" s="692" t="n"/>
      <c r="J300" s="692" t="n"/>
      <c r="K300" s="692" t="n"/>
      <c r="L300" s="692" t="n"/>
      <c r="N300" s="692" t="n"/>
      <c r="O300" s="692" t="n"/>
      <c r="P300" s="692" t="n"/>
      <c r="Q300" s="692" t="n"/>
      <c r="R300" s="692" t="n"/>
      <c r="S300" s="692" t="n"/>
      <c r="T300" s="692" t="n"/>
      <c r="U300" s="692" t="n"/>
      <c r="V300" s="692" t="n"/>
      <c r="W300" s="692" t="n"/>
    </row>
    <row r="301">
      <c r="B301" s="692" t="n"/>
      <c r="C301" s="692" t="n"/>
      <c r="D301" s="692" t="n"/>
      <c r="E301" s="692" t="n"/>
      <c r="F301" s="692" t="n"/>
      <c r="G301" s="692" t="n"/>
      <c r="H301" s="692" t="n"/>
      <c r="I301" s="692" t="n"/>
      <c r="J301" s="692" t="n"/>
      <c r="K301" s="692" t="n"/>
      <c r="L301" s="692" t="n"/>
      <c r="N301" s="692" t="n"/>
      <c r="O301" s="692" t="n"/>
      <c r="P301" s="692" t="n"/>
      <c r="Q301" s="692" t="n"/>
      <c r="R301" s="692" t="n"/>
      <c r="S301" s="692" t="n"/>
      <c r="T301" s="692" t="n"/>
      <c r="U301" s="692" t="n"/>
      <c r="V301" s="692" t="n"/>
      <c r="W301" s="692" t="n"/>
    </row>
    <row r="302">
      <c r="B302" s="692" t="n"/>
      <c r="C302" s="692" t="n"/>
      <c r="D302" s="692" t="n"/>
      <c r="E302" s="692" t="n"/>
      <c r="F302" s="692" t="n"/>
      <c r="G302" s="692" t="n"/>
      <c r="H302" s="692" t="n"/>
      <c r="I302" s="692" t="n"/>
      <c r="J302" s="692" t="n"/>
      <c r="K302" s="692" t="n"/>
      <c r="L302" s="692" t="n"/>
      <c r="N302" s="692" t="n"/>
      <c r="O302" s="692" t="n"/>
      <c r="P302" s="692" t="n"/>
      <c r="Q302" s="692" t="n"/>
      <c r="R302" s="692" t="n"/>
      <c r="S302" s="692" t="n"/>
      <c r="T302" s="692" t="n"/>
      <c r="U302" s="692" t="n"/>
      <c r="V302" s="692" t="n"/>
      <c r="W302" s="692" t="n"/>
    </row>
    <row r="303">
      <c r="B303" s="692" t="n"/>
      <c r="C303" s="692" t="n"/>
      <c r="D303" s="692" t="n"/>
      <c r="E303" s="692" t="n"/>
      <c r="F303" s="692" t="n"/>
      <c r="G303" s="692" t="n"/>
      <c r="H303" s="692" t="n"/>
      <c r="I303" s="692" t="n"/>
      <c r="J303" s="692" t="n"/>
      <c r="K303" s="692" t="n"/>
      <c r="L303" s="692" t="n"/>
      <c r="N303" s="692" t="n"/>
      <c r="O303" s="692" t="n"/>
      <c r="P303" s="692" t="n"/>
      <c r="Q303" s="692" t="n"/>
      <c r="R303" s="692" t="n"/>
      <c r="S303" s="692" t="n"/>
      <c r="T303" s="692" t="n"/>
      <c r="U303" s="692" t="n"/>
      <c r="V303" s="692" t="n"/>
      <c r="W303" s="692" t="n"/>
    </row>
    <row r="304">
      <c r="B304" s="692" t="n"/>
      <c r="C304" s="692" t="n"/>
      <c r="D304" s="692" t="n"/>
      <c r="E304" s="692" t="n"/>
      <c r="F304" s="692" t="n"/>
      <c r="G304" s="692" t="n"/>
      <c r="H304" s="692" t="n"/>
      <c r="I304" s="692" t="n"/>
      <c r="J304" s="692" t="n"/>
      <c r="K304" s="692" t="n"/>
      <c r="L304" s="692" t="n"/>
      <c r="N304" s="692" t="n"/>
      <c r="O304" s="692" t="n"/>
      <c r="P304" s="692" t="n"/>
      <c r="Q304" s="692" t="n"/>
      <c r="R304" s="692" t="n"/>
      <c r="S304" s="692" t="n"/>
      <c r="T304" s="692" t="n"/>
      <c r="U304" s="692" t="n"/>
      <c r="V304" s="692" t="n"/>
      <c r="W304" s="692" t="n"/>
    </row>
    <row r="305">
      <c r="B305" s="692" t="n"/>
      <c r="C305" s="692" t="n"/>
      <c r="D305" s="692" t="n"/>
      <c r="E305" s="692" t="n"/>
      <c r="F305" s="692" t="n"/>
      <c r="G305" s="692" t="n"/>
      <c r="H305" s="692" t="n"/>
      <c r="I305" s="692" t="n"/>
      <c r="J305" s="692" t="n"/>
      <c r="K305" s="692" t="n"/>
      <c r="L305" s="692" t="n"/>
      <c r="N305" s="692" t="n"/>
      <c r="O305" s="692" t="n"/>
      <c r="P305" s="692" t="n"/>
      <c r="Q305" s="692" t="n"/>
      <c r="R305" s="692" t="n"/>
      <c r="S305" s="692" t="n"/>
      <c r="T305" s="692" t="n"/>
      <c r="U305" s="692" t="n"/>
      <c r="V305" s="692" t="n"/>
      <c r="W305" s="692" t="n"/>
    </row>
    <row r="306">
      <c r="B306" s="692" t="n"/>
      <c r="C306" s="692" t="n"/>
      <c r="D306" s="692" t="n"/>
      <c r="E306" s="692" t="n"/>
      <c r="F306" s="692" t="n"/>
      <c r="G306" s="692" t="n"/>
      <c r="H306" s="692" t="n"/>
      <c r="I306" s="692" t="n"/>
      <c r="J306" s="692" t="n"/>
      <c r="K306" s="692" t="n"/>
      <c r="L306" s="692" t="n"/>
      <c r="N306" s="692" t="n"/>
      <c r="O306" s="692" t="n"/>
      <c r="P306" s="692" t="n"/>
      <c r="Q306" s="692" t="n"/>
      <c r="R306" s="692" t="n"/>
      <c r="S306" s="692" t="n"/>
      <c r="T306" s="692" t="n"/>
      <c r="U306" s="692" t="n"/>
      <c r="V306" s="692" t="n"/>
      <c r="W306" s="692" t="n"/>
    </row>
    <row r="307">
      <c r="B307" s="692" t="n"/>
      <c r="C307" s="692" t="n"/>
      <c r="D307" s="692" t="n"/>
      <c r="E307" s="692" t="n"/>
      <c r="F307" s="158" t="n"/>
      <c r="G307" s="692" t="n"/>
      <c r="H307" s="692" t="n"/>
      <c r="I307" s="692" t="n"/>
      <c r="J307" s="692" t="n"/>
      <c r="K307" s="692" t="n"/>
      <c r="L307" s="692" t="n"/>
      <c r="N307" s="692" t="n"/>
      <c r="O307" s="692" t="n"/>
      <c r="P307" s="692" t="n"/>
      <c r="Q307" s="158" t="n"/>
      <c r="R307" s="158" t="n"/>
      <c r="S307" s="692" t="n"/>
      <c r="T307" s="692" t="n"/>
      <c r="U307" s="692" t="n"/>
      <c r="V307" s="692" t="n"/>
      <c r="W307" s="692" t="n"/>
    </row>
    <row r="308">
      <c r="B308" s="692" t="n"/>
      <c r="C308" s="692" t="n"/>
      <c r="D308" s="692" t="n"/>
      <c r="E308" s="692" t="n"/>
      <c r="F308" s="692" t="n"/>
      <c r="G308" s="692" t="n"/>
      <c r="H308" s="692" t="n"/>
      <c r="I308" s="692" t="n"/>
      <c r="J308" s="692" t="n"/>
      <c r="K308" s="692" t="n"/>
      <c r="L308" s="692" t="n"/>
      <c r="N308" s="692" t="n"/>
      <c r="O308" s="692" t="n"/>
      <c r="P308" s="692" t="n"/>
      <c r="Q308" s="692" t="n"/>
      <c r="R308" s="692" t="n"/>
      <c r="S308" s="692" t="n"/>
      <c r="T308" s="692" t="n"/>
      <c r="U308" s="692" t="n"/>
      <c r="V308" s="692" t="n"/>
      <c r="W308" s="692" t="n"/>
    </row>
    <row r="309">
      <c r="B309" s="692" t="n"/>
      <c r="C309" s="692" t="n"/>
      <c r="D309" s="692" t="n"/>
      <c r="E309" s="692" t="n"/>
      <c r="F309" s="692" t="n"/>
      <c r="G309" s="692" t="n"/>
      <c r="H309" s="692" t="n"/>
      <c r="I309" s="692" t="n"/>
      <c r="J309" s="692" t="n"/>
      <c r="K309" s="692" t="n"/>
      <c r="L309" s="692" t="n"/>
      <c r="N309" s="692" t="n"/>
      <c r="O309" s="692" t="n"/>
      <c r="P309" s="692" t="n"/>
      <c r="Q309" s="692" t="n"/>
      <c r="R309" s="692" t="n"/>
      <c r="S309" s="692" t="n"/>
      <c r="T309" s="692" t="n"/>
      <c r="U309" s="692" t="n"/>
      <c r="V309" s="692" t="n"/>
      <c r="W309" s="692" t="n"/>
    </row>
    <row r="310">
      <c r="B310" s="692" t="n"/>
      <c r="C310" s="692" t="n"/>
      <c r="D310" s="692" t="n"/>
      <c r="E310" s="692" t="n"/>
      <c r="F310" s="129" t="n"/>
      <c r="G310" s="692" t="n"/>
      <c r="H310" s="692" t="n"/>
      <c r="I310" s="692" t="n"/>
      <c r="J310" s="692" t="n"/>
      <c r="K310" s="692" t="n"/>
      <c r="L310" s="692" t="n"/>
      <c r="N310" s="692" t="n"/>
      <c r="O310" s="692" t="n"/>
      <c r="P310" s="692" t="n"/>
      <c r="Q310" s="129" t="n"/>
      <c r="R310" s="129" t="n"/>
      <c r="S310" s="692" t="n"/>
      <c r="T310" s="692" t="n"/>
      <c r="U310" s="692" t="n"/>
      <c r="V310" s="692" t="n"/>
      <c r="W310" s="692" t="n"/>
    </row>
    <row r="311">
      <c r="B311" s="692" t="n"/>
      <c r="C311" s="692" t="n"/>
      <c r="D311" s="692" t="n"/>
      <c r="E311" s="692" t="n"/>
      <c r="F311" s="692" t="n"/>
      <c r="G311" s="692" t="n"/>
      <c r="H311" s="692" t="n"/>
      <c r="I311" s="692" t="n"/>
      <c r="J311" s="692" t="n"/>
      <c r="K311" s="692" t="n"/>
      <c r="L311" s="692" t="n"/>
      <c r="N311" s="692" t="n"/>
      <c r="O311" s="692" t="n"/>
      <c r="P311" s="692" t="n"/>
      <c r="Q311" s="692" t="n"/>
      <c r="R311" s="692" t="n"/>
      <c r="S311" s="692" t="n"/>
      <c r="T311" s="692" t="n"/>
      <c r="U311" s="692" t="n"/>
      <c r="V311" s="692" t="n"/>
      <c r="W311" s="692" t="n"/>
    </row>
    <row r="312">
      <c r="B312" s="692" t="n"/>
      <c r="C312" s="692" t="n"/>
      <c r="D312" s="692" t="n"/>
      <c r="E312" s="692" t="n"/>
      <c r="F312" s="692" t="n"/>
      <c r="G312" s="692" t="n"/>
      <c r="H312" s="692" t="n"/>
      <c r="I312" s="692" t="n"/>
      <c r="J312" s="692" t="n"/>
      <c r="K312" s="692" t="n"/>
      <c r="L312" s="692" t="n"/>
      <c r="N312" s="692" t="n"/>
      <c r="O312" s="692" t="n"/>
      <c r="P312" s="692" t="n"/>
      <c r="Q312" s="692" t="n"/>
      <c r="R312" s="692" t="n"/>
      <c r="S312" s="692" t="n"/>
      <c r="T312" s="692" t="n"/>
      <c r="U312" s="692" t="n"/>
      <c r="V312" s="692" t="n"/>
      <c r="W312" s="692" t="n"/>
    </row>
    <row r="313">
      <c r="B313" s="692" t="n"/>
      <c r="C313" s="692" t="n"/>
      <c r="D313" s="692" t="n"/>
      <c r="E313" s="692" t="n"/>
      <c r="F313" s="158" t="n"/>
      <c r="G313" s="692" t="n"/>
      <c r="H313" s="692" t="n"/>
      <c r="I313" s="692" t="n"/>
      <c r="J313" s="692" t="n"/>
      <c r="K313" s="692" t="n"/>
      <c r="L313" s="692" t="n"/>
      <c r="N313" s="692" t="n"/>
      <c r="O313" s="692" t="n"/>
      <c r="P313" s="692" t="n"/>
      <c r="Q313" s="158" t="n"/>
      <c r="R313" s="158" t="n"/>
      <c r="S313" s="692" t="n"/>
      <c r="T313" s="692" t="n"/>
      <c r="U313" s="692" t="n"/>
      <c r="V313" s="692" t="n"/>
      <c r="W313" s="692" t="n"/>
    </row>
    <row r="314">
      <c r="B314" s="692" t="n"/>
      <c r="C314" s="692" t="n"/>
      <c r="D314" s="692" t="n"/>
      <c r="E314" s="692" t="n"/>
      <c r="F314" s="158" t="n"/>
      <c r="G314" s="692" t="n"/>
      <c r="H314" s="692" t="n"/>
      <c r="I314" s="692" t="n"/>
      <c r="J314" s="692" t="n"/>
      <c r="K314" s="692" t="n"/>
      <c r="L314" s="692" t="n"/>
      <c r="N314" s="692" t="n"/>
      <c r="O314" s="692" t="n"/>
      <c r="P314" s="692" t="n"/>
      <c r="Q314" s="158" t="n"/>
      <c r="R314" s="158" t="n"/>
      <c r="S314" s="692" t="n"/>
      <c r="T314" s="692" t="n"/>
      <c r="U314" s="692" t="n"/>
      <c r="V314" s="692" t="n"/>
      <c r="W314" s="692" t="n"/>
    </row>
    <row r="315">
      <c r="B315" s="692" t="n"/>
      <c r="C315" s="692" t="n"/>
      <c r="D315" s="692" t="n"/>
      <c r="E315" s="692" t="n"/>
      <c r="F315" s="692" t="n"/>
      <c r="G315" s="692" t="n"/>
      <c r="H315" s="692" t="n"/>
      <c r="I315" s="692" t="n"/>
      <c r="J315" s="692" t="n"/>
      <c r="K315" s="692" t="n"/>
      <c r="L315" s="692" t="n"/>
      <c r="N315" s="692" t="n"/>
      <c r="O315" s="692" t="n"/>
      <c r="P315" s="692" t="n"/>
      <c r="Q315" s="692" t="n"/>
      <c r="R315" s="692" t="n"/>
      <c r="S315" s="692" t="n"/>
      <c r="T315" s="692" t="n"/>
      <c r="U315" s="692" t="n"/>
      <c r="V315" s="692" t="n"/>
      <c r="W315" s="692" t="n"/>
    </row>
    <row r="316">
      <c r="B316" s="692" t="n"/>
      <c r="C316" s="692" t="n"/>
      <c r="D316" s="692" t="n"/>
      <c r="E316" s="692" t="n"/>
      <c r="F316" s="692" t="n"/>
      <c r="G316" s="692" t="n"/>
      <c r="H316" s="692" t="n"/>
      <c r="I316" s="692" t="n"/>
      <c r="J316" s="692" t="n"/>
      <c r="K316" s="692" t="n"/>
      <c r="L316" s="692" t="n"/>
      <c r="N316" s="692" t="n"/>
      <c r="O316" s="692" t="n"/>
      <c r="P316" s="692" t="n"/>
      <c r="Q316" s="692" t="n"/>
      <c r="R316" s="692" t="n"/>
      <c r="S316" s="692" t="n"/>
      <c r="T316" s="692" t="n"/>
      <c r="U316" s="692" t="n"/>
      <c r="V316" s="692" t="n"/>
      <c r="W316" s="692" t="n"/>
    </row>
    <row r="317">
      <c r="B317" s="692" t="n"/>
      <c r="C317" s="692" t="n"/>
      <c r="D317" s="692" t="n"/>
      <c r="E317" s="692" t="n"/>
      <c r="F317" s="692" t="n"/>
      <c r="G317" s="692" t="n"/>
      <c r="H317" s="692" t="n"/>
      <c r="I317" s="692" t="n"/>
      <c r="J317" s="692" t="n"/>
      <c r="K317" s="692" t="n"/>
      <c r="L317" s="692" t="n"/>
      <c r="N317" s="692" t="n"/>
      <c r="O317" s="692" t="n"/>
      <c r="P317" s="692" t="n"/>
      <c r="Q317" s="692" t="n"/>
      <c r="R317" s="692" t="n"/>
      <c r="S317" s="692" t="n"/>
      <c r="T317" s="692" t="n"/>
      <c r="U317" s="692" t="n"/>
      <c r="V317" s="692" t="n"/>
      <c r="W317" s="692" t="n"/>
    </row>
    <row r="318">
      <c r="B318" s="692" t="n"/>
      <c r="C318" s="692" t="n"/>
      <c r="D318" s="692" t="n"/>
      <c r="E318" s="692" t="n"/>
      <c r="F318" s="692" t="n"/>
      <c r="G318" s="692" t="n"/>
      <c r="H318" s="692" t="n"/>
      <c r="I318" s="692" t="n"/>
      <c r="J318" s="692" t="n"/>
      <c r="K318" s="692" t="n"/>
      <c r="L318" s="692" t="n"/>
      <c r="N318" s="692" t="n"/>
      <c r="O318" s="692" t="n"/>
      <c r="P318" s="692" t="n"/>
      <c r="Q318" s="692" t="n"/>
      <c r="R318" s="692" t="n"/>
      <c r="S318" s="692" t="n"/>
      <c r="T318" s="692" t="n"/>
      <c r="U318" s="692" t="n"/>
      <c r="V318" s="692" t="n"/>
      <c r="W318" s="692" t="n"/>
    </row>
    <row r="319">
      <c r="B319" s="692" t="n"/>
      <c r="C319" s="692" t="n"/>
      <c r="D319" s="692" t="n"/>
      <c r="E319" s="692" t="n"/>
      <c r="F319" s="692" t="n"/>
      <c r="G319" s="692" t="n"/>
      <c r="H319" s="692" t="n"/>
      <c r="I319" s="692" t="n"/>
      <c r="J319" s="692" t="n"/>
      <c r="K319" s="692" t="n"/>
      <c r="L319" s="692" t="n"/>
      <c r="N319" s="692" t="n"/>
      <c r="O319" s="692" t="n"/>
      <c r="P319" s="692" t="n"/>
      <c r="Q319" s="692" t="n"/>
      <c r="R319" s="692" t="n"/>
      <c r="S319" s="692" t="n"/>
      <c r="T319" s="692" t="n"/>
      <c r="U319" s="692" t="n"/>
      <c r="V319" s="692" t="n"/>
      <c r="W319" s="692" t="n"/>
    </row>
    <row r="320">
      <c r="B320" s="692" t="n"/>
      <c r="C320" s="692" t="n"/>
      <c r="D320" s="692" t="n"/>
      <c r="E320" s="692" t="n"/>
      <c r="F320" s="692" t="n"/>
      <c r="G320" s="692" t="n"/>
      <c r="H320" s="692" t="n"/>
      <c r="I320" s="692" t="n"/>
      <c r="J320" s="692" t="n"/>
      <c r="K320" s="692" t="n"/>
      <c r="L320" s="692" t="n"/>
      <c r="N320" s="692" t="n"/>
      <c r="O320" s="692" t="n"/>
      <c r="P320" s="692" t="n"/>
      <c r="Q320" s="692" t="n"/>
      <c r="R320" s="692" t="n"/>
      <c r="S320" s="692" t="n"/>
      <c r="T320" s="692" t="n"/>
      <c r="U320" s="692" t="n"/>
      <c r="V320" s="692" t="n"/>
      <c r="W320" s="692" t="n"/>
    </row>
    <row r="321">
      <c r="B321" s="692" t="n"/>
      <c r="C321" s="692" t="n"/>
      <c r="D321" s="692" t="n"/>
      <c r="E321" s="158" t="n"/>
      <c r="F321" s="692" t="n"/>
      <c r="G321" s="692" t="n"/>
      <c r="H321" s="692" t="n"/>
      <c r="I321" s="692" t="n"/>
      <c r="J321" s="692" t="n"/>
      <c r="K321" s="692" t="n"/>
      <c r="L321" s="692" t="n"/>
      <c r="N321" s="692" t="n"/>
      <c r="O321" s="692" t="n"/>
      <c r="P321" s="158" t="n"/>
      <c r="Q321" s="692" t="n"/>
      <c r="R321" s="692" t="n"/>
      <c r="S321" s="692" t="n"/>
      <c r="T321" s="692" t="n"/>
      <c r="U321" s="692" t="n"/>
      <c r="V321" s="692" t="n"/>
      <c r="W321" s="692" t="n"/>
    </row>
    <row r="322">
      <c r="B322" s="692" t="n"/>
      <c r="C322" s="692" t="n"/>
      <c r="D322" s="692" t="n"/>
      <c r="E322" s="692" t="n"/>
      <c r="F322" s="158" t="n"/>
      <c r="G322" s="692" t="n"/>
      <c r="H322" s="692" t="n"/>
      <c r="I322" s="692" t="n"/>
      <c r="J322" s="692" t="n"/>
      <c r="K322" s="692" t="n"/>
      <c r="L322" s="692" t="n"/>
      <c r="N322" s="692" t="n"/>
      <c r="O322" s="692" t="n"/>
      <c r="P322" s="692" t="n"/>
      <c r="Q322" s="158" t="n"/>
      <c r="R322" s="158" t="n"/>
      <c r="S322" s="692" t="n"/>
      <c r="T322" s="692" t="n"/>
      <c r="U322" s="692" t="n"/>
      <c r="V322" s="692" t="n"/>
      <c r="W322" s="692" t="n"/>
    </row>
    <row r="323">
      <c r="A323" s="158" t="n"/>
      <c r="B323" s="158" t="n"/>
      <c r="C323" s="158" t="n"/>
      <c r="D323" s="692" t="n"/>
      <c r="E323" s="692" t="n"/>
      <c r="F323" s="158" t="n"/>
      <c r="G323" s="692" t="n"/>
      <c r="H323" s="692" t="n"/>
      <c r="I323" s="692" t="n"/>
      <c r="J323" s="692" t="n"/>
      <c r="K323" s="692" t="n"/>
      <c r="L323" s="692" t="n"/>
      <c r="M323" s="158" t="n"/>
      <c r="N323" s="692" t="n"/>
      <c r="O323" s="692" t="n"/>
      <c r="P323" s="692" t="n"/>
      <c r="Q323" s="158" t="n"/>
      <c r="R323" s="158" t="n"/>
      <c r="S323" s="692" t="n"/>
      <c r="T323" s="692" t="n"/>
      <c r="U323" s="692" t="n"/>
      <c r="V323" s="692" t="n"/>
      <c r="W323" s="692" t="n"/>
    </row>
    <row r="324">
      <c r="A324" s="692" t="n"/>
      <c r="B324" s="692" t="n"/>
      <c r="C324" s="692" t="n"/>
      <c r="D324" s="158" t="n"/>
      <c r="E324" s="692" t="n"/>
      <c r="F324" s="158" t="n"/>
      <c r="G324" s="692" t="n"/>
      <c r="H324" s="692" t="n"/>
      <c r="I324" s="692" t="n"/>
      <c r="J324" s="692" t="n"/>
      <c r="K324" s="692" t="n"/>
      <c r="L324" s="692" t="n"/>
      <c r="M324" s="692" t="n"/>
      <c r="N324" s="158" t="n"/>
      <c r="O324" s="158" t="n"/>
      <c r="P324" s="692" t="n"/>
      <c r="Q324" s="158" t="n"/>
      <c r="R324" s="158" t="n"/>
      <c r="S324" s="692" t="n"/>
      <c r="T324" s="692" t="n"/>
      <c r="U324" s="692" t="n"/>
      <c r="V324" s="692" t="n"/>
      <c r="W324" s="692" t="n"/>
    </row>
    <row r="325">
      <c r="A325" s="692" t="n"/>
      <c r="B325" s="692" t="n"/>
      <c r="C325" s="692" t="n"/>
      <c r="D325" s="692" t="n"/>
      <c r="E325" s="692" t="n"/>
      <c r="F325" s="692" t="n"/>
      <c r="G325" s="692" t="n"/>
      <c r="H325" s="692" t="n"/>
      <c r="I325" s="692" t="n"/>
      <c r="J325" s="692" t="n"/>
      <c r="K325" s="692" t="n"/>
      <c r="L325" s="692" t="n"/>
      <c r="M325" s="692" t="n"/>
      <c r="N325" s="692" t="n"/>
      <c r="O325" s="692" t="n"/>
      <c r="P325" s="692" t="n"/>
      <c r="Q325" s="692" t="n"/>
      <c r="R325" s="692" t="n"/>
      <c r="S325" s="692" t="n"/>
      <c r="T325" s="692" t="n"/>
      <c r="U325" s="692" t="n"/>
      <c r="V325" s="692" t="n"/>
      <c r="W325" s="692" t="n"/>
    </row>
    <row r="326">
      <c r="A326" s="692" t="n"/>
      <c r="B326" s="692" t="n"/>
      <c r="C326" s="692" t="n"/>
      <c r="D326" s="692" t="n"/>
      <c r="E326" s="692" t="n"/>
      <c r="F326" s="692" t="n"/>
      <c r="G326" s="692" t="n"/>
      <c r="H326" s="692" t="n"/>
      <c r="I326" s="692" t="n"/>
      <c r="J326" s="692" t="n"/>
      <c r="K326" s="692" t="n"/>
      <c r="L326" s="692" t="n"/>
      <c r="M326" s="692" t="n"/>
      <c r="N326" s="692" t="n"/>
      <c r="O326" s="692" t="n"/>
      <c r="P326" s="692" t="n"/>
      <c r="Q326" s="692" t="n"/>
      <c r="R326" s="692" t="n"/>
      <c r="S326" s="692" t="n"/>
      <c r="T326" s="692" t="n"/>
      <c r="U326" s="692" t="n"/>
      <c r="V326" s="692" t="n"/>
      <c r="W326" s="692" t="n"/>
    </row>
    <row r="327">
      <c r="A327" s="692" t="n"/>
      <c r="B327" s="692" t="n"/>
      <c r="C327" s="692" t="n"/>
      <c r="D327" s="692" t="n"/>
      <c r="E327" s="692" t="n"/>
      <c r="F327" s="692" t="n"/>
      <c r="G327" s="692" t="n"/>
      <c r="H327" s="692" t="n"/>
      <c r="I327" s="692" t="n"/>
      <c r="J327" s="692" t="n"/>
      <c r="K327" s="692" t="n"/>
      <c r="L327" s="692" t="n"/>
      <c r="M327" s="692" t="n"/>
      <c r="N327" s="692" t="n"/>
      <c r="O327" s="692" t="n"/>
      <c r="P327" s="692" t="n"/>
      <c r="Q327" s="692" t="n"/>
      <c r="R327" s="692" t="n"/>
      <c r="S327" s="692" t="n"/>
      <c r="T327" s="692" t="n"/>
      <c r="U327" s="692" t="n"/>
      <c r="V327" s="692" t="n"/>
      <c r="W327" s="692" t="n"/>
    </row>
    <row r="328">
      <c r="A328" s="692" t="n"/>
      <c r="B328" s="692" t="n"/>
      <c r="C328" s="692" t="n"/>
      <c r="D328" s="692" t="n"/>
      <c r="E328" s="692" t="n"/>
      <c r="F328" s="692" t="n"/>
      <c r="G328" s="692" t="n"/>
      <c r="H328" s="692" t="n"/>
      <c r="I328" s="692" t="n"/>
      <c r="J328" s="692" t="n"/>
      <c r="K328" s="692" t="n"/>
      <c r="L328" s="692" t="n"/>
      <c r="M328" s="692" t="n"/>
      <c r="N328" s="692" t="n"/>
      <c r="O328" s="692" t="n"/>
      <c r="P328" s="692" t="n"/>
      <c r="Q328" s="692" t="n"/>
      <c r="R328" s="692" t="n"/>
      <c r="S328" s="692" t="n"/>
      <c r="T328" s="692" t="n"/>
      <c r="U328" s="692" t="n"/>
      <c r="V328" s="692" t="n"/>
      <c r="W328" s="692" t="n"/>
    </row>
    <row r="329">
      <c r="A329" s="692" t="n"/>
      <c r="B329" s="692" t="n"/>
      <c r="C329" s="692" t="n"/>
      <c r="D329" s="692" t="n"/>
      <c r="E329" s="692" t="n"/>
      <c r="F329" s="692" t="n"/>
      <c r="G329" s="692" t="n"/>
      <c r="H329" s="692" t="n"/>
      <c r="I329" s="692" t="n"/>
      <c r="J329" s="692" t="n"/>
      <c r="K329" s="692" t="n"/>
      <c r="L329" s="692" t="n"/>
      <c r="M329" s="692" t="n"/>
      <c r="N329" s="692" t="n"/>
      <c r="O329" s="692" t="n"/>
      <c r="P329" s="692" t="n"/>
      <c r="Q329" s="692" t="n"/>
      <c r="R329" s="692" t="n"/>
      <c r="S329" s="692" t="n"/>
      <c r="T329" s="692" t="n"/>
      <c r="U329" s="692" t="n"/>
      <c r="V329" s="692" t="n"/>
      <c r="W329" s="692" t="n"/>
    </row>
    <row r="330">
      <c r="A330" s="692" t="n"/>
      <c r="B330" s="692" t="n"/>
      <c r="C330" s="692" t="n"/>
      <c r="D330" s="692" t="n"/>
      <c r="E330" s="692" t="n"/>
      <c r="F330" s="692" t="n"/>
      <c r="G330" s="692" t="n"/>
      <c r="H330" s="692" t="n"/>
      <c r="I330" s="692" t="n"/>
      <c r="J330" s="692" t="n"/>
      <c r="K330" s="692" t="n"/>
      <c r="L330" s="692" t="n"/>
      <c r="M330" s="692" t="n"/>
      <c r="N330" s="692" t="n"/>
      <c r="O330" s="692" t="n"/>
      <c r="P330" s="692" t="n"/>
      <c r="Q330" s="692" t="n"/>
      <c r="R330" s="692" t="n"/>
      <c r="S330" s="692" t="n"/>
      <c r="T330" s="692" t="n"/>
      <c r="U330" s="692" t="n"/>
      <c r="V330" s="692" t="n"/>
      <c r="W330" s="692" t="n"/>
    </row>
    <row r="331">
      <c r="A331" s="692" t="n"/>
      <c r="B331" s="692" t="n"/>
      <c r="C331" s="692" t="n"/>
      <c r="D331" s="692" t="n"/>
      <c r="E331" s="692" t="n"/>
      <c r="F331" s="692" t="n"/>
      <c r="G331" s="692" t="n"/>
      <c r="H331" s="692" t="n"/>
      <c r="I331" s="692" t="n"/>
      <c r="J331" s="692" t="n"/>
      <c r="K331" s="692" t="n"/>
      <c r="L331" s="692" t="n"/>
      <c r="M331" s="692" t="n"/>
      <c r="N331" s="692" t="n"/>
      <c r="O331" s="692" t="n"/>
      <c r="P331" s="692" t="n"/>
      <c r="Q331" s="692" t="n"/>
      <c r="R331" s="692" t="n"/>
      <c r="S331" s="692" t="n"/>
      <c r="T331" s="692" t="n"/>
      <c r="U331" s="692" t="n"/>
      <c r="V331" s="692" t="n"/>
      <c r="W331" s="692" t="n"/>
    </row>
    <row r="332">
      <c r="A332" s="692" t="n"/>
      <c r="B332" s="692" t="n"/>
      <c r="C332" s="692" t="n"/>
      <c r="D332" s="692" t="n"/>
      <c r="E332" s="692" t="n"/>
      <c r="F332" s="692" t="n"/>
      <c r="G332" s="692" t="n"/>
      <c r="H332" s="692" t="n"/>
      <c r="I332" s="692" t="n"/>
      <c r="J332" s="692" t="n"/>
      <c r="K332" s="692" t="n"/>
      <c r="L332" s="692" t="n"/>
      <c r="M332" s="692" t="n"/>
      <c r="N332" s="692" t="n"/>
      <c r="O332" s="692" t="n"/>
      <c r="P332" s="692" t="n"/>
      <c r="Q332" s="692" t="n"/>
      <c r="R332" s="692" t="n"/>
      <c r="S332" s="692" t="n"/>
      <c r="T332" s="692" t="n"/>
      <c r="U332" s="692" t="n"/>
      <c r="V332" s="692" t="n"/>
      <c r="W332" s="692" t="n"/>
    </row>
    <row r="333">
      <c r="A333" s="692" t="n"/>
      <c r="B333" s="692" t="n"/>
      <c r="C333" s="692" t="n"/>
      <c r="D333" s="692" t="n"/>
      <c r="E333" s="692" t="n"/>
      <c r="F333" s="692" t="n"/>
      <c r="G333" s="692" t="n"/>
      <c r="H333" s="692" t="n"/>
      <c r="I333" s="692" t="n"/>
      <c r="J333" s="692" t="n"/>
      <c r="K333" s="692" t="n"/>
      <c r="L333" s="692" t="n"/>
      <c r="M333" s="692" t="n"/>
      <c r="N333" s="692" t="n"/>
      <c r="O333" s="692" t="n"/>
      <c r="P333" s="692" t="n"/>
      <c r="Q333" s="692" t="n"/>
      <c r="R333" s="692" t="n"/>
      <c r="S333" s="692" t="n"/>
      <c r="T333" s="692" t="n"/>
      <c r="U333" s="692" t="n"/>
      <c r="V333" s="692" t="n"/>
      <c r="W333" s="692" t="n"/>
    </row>
    <row r="334">
      <c r="A334" s="692" t="n"/>
      <c r="B334" s="692" t="n"/>
      <c r="C334" s="692" t="n"/>
      <c r="D334" s="692" t="n"/>
      <c r="E334" s="692" t="n"/>
      <c r="F334" s="692" t="n"/>
      <c r="G334" s="692" t="n"/>
      <c r="H334" s="692" t="n"/>
      <c r="I334" s="692" t="n"/>
      <c r="J334" s="692" t="n"/>
      <c r="K334" s="692" t="n"/>
      <c r="L334" s="692" t="n"/>
      <c r="M334" s="692" t="n"/>
      <c r="N334" s="692" t="n"/>
      <c r="O334" s="692" t="n"/>
      <c r="P334" s="692" t="n"/>
      <c r="Q334" s="692" t="n"/>
      <c r="R334" s="692" t="n"/>
      <c r="S334" s="692" t="n"/>
      <c r="T334" s="692" t="n"/>
      <c r="U334" s="692" t="n"/>
      <c r="V334" s="692" t="n"/>
      <c r="W334" s="692" t="n"/>
    </row>
    <row r="335">
      <c r="A335" s="692" t="n"/>
      <c r="B335" s="692" t="n"/>
      <c r="C335" s="692" t="n"/>
      <c r="D335" s="692" t="n"/>
      <c r="E335" s="692" t="n"/>
      <c r="F335" s="692" t="n"/>
      <c r="G335" s="692" t="n"/>
      <c r="H335" s="692" t="n"/>
      <c r="I335" s="692" t="n"/>
      <c r="J335" s="692" t="n"/>
      <c r="K335" s="692" t="n"/>
      <c r="L335" s="692" t="n"/>
      <c r="M335" s="692" t="n"/>
      <c r="N335" s="692" t="n"/>
      <c r="O335" s="692" t="n"/>
      <c r="P335" s="692" t="n"/>
      <c r="Q335" s="692" t="n"/>
      <c r="R335" s="692" t="n"/>
      <c r="S335" s="692" t="n"/>
      <c r="T335" s="692" t="n"/>
      <c r="U335" s="692" t="n"/>
      <c r="V335" s="692" t="n"/>
      <c r="W335" s="692" t="n"/>
    </row>
    <row r="336">
      <c r="A336" s="692" t="n"/>
      <c r="B336" s="692" t="n"/>
      <c r="C336" s="692" t="n"/>
      <c r="D336" s="692" t="n"/>
      <c r="E336" s="692" t="n"/>
      <c r="F336" s="692" t="n"/>
      <c r="G336" s="692" t="n"/>
      <c r="H336" s="692" t="n"/>
      <c r="I336" s="692" t="n"/>
      <c r="J336" s="692" t="n"/>
      <c r="K336" s="692" t="n"/>
      <c r="L336" s="692" t="n"/>
      <c r="M336" s="692" t="n"/>
      <c r="N336" s="692" t="n"/>
      <c r="O336" s="692" t="n"/>
      <c r="P336" s="692" t="n"/>
      <c r="Q336" s="692" t="n"/>
      <c r="R336" s="692" t="n"/>
      <c r="S336" s="692" t="n"/>
      <c r="T336" s="692" t="n"/>
      <c r="U336" s="692" t="n"/>
      <c r="V336" s="692" t="n"/>
      <c r="W336" s="692" t="n"/>
    </row>
    <row r="337">
      <c r="A337" s="692" t="n"/>
      <c r="B337" s="692" t="n"/>
      <c r="C337" s="692" t="n"/>
      <c r="D337" s="692" t="n"/>
      <c r="E337" s="692" t="n"/>
      <c r="F337" s="692" t="n"/>
      <c r="G337" s="692" t="n"/>
      <c r="H337" s="692" t="n"/>
      <c r="I337" s="692" t="n"/>
      <c r="J337" s="692" t="n"/>
      <c r="K337" s="692" t="n"/>
      <c r="L337" s="692" t="n"/>
      <c r="M337" s="692" t="n"/>
      <c r="N337" s="692" t="n"/>
      <c r="O337" s="692" t="n"/>
      <c r="P337" s="692" t="n"/>
      <c r="Q337" s="692" t="n"/>
      <c r="R337" s="692" t="n"/>
      <c r="S337" s="692" t="n"/>
      <c r="T337" s="692" t="n"/>
      <c r="U337" s="692" t="n"/>
      <c r="V337" s="692" t="n"/>
      <c r="W337" s="692" t="n"/>
    </row>
    <row r="338">
      <c r="A338" s="692" t="n"/>
      <c r="B338" s="692" t="n"/>
      <c r="C338" s="692" t="n"/>
      <c r="D338" s="692" t="n"/>
      <c r="E338" s="692" t="n"/>
      <c r="F338" s="692" t="n"/>
      <c r="G338" s="692" t="n"/>
      <c r="H338" s="692" t="n"/>
      <c r="I338" s="692" t="n"/>
      <c r="J338" s="692" t="n"/>
      <c r="K338" s="692" t="n"/>
      <c r="L338" s="692" t="n"/>
      <c r="M338" s="692" t="n"/>
      <c r="N338" s="692" t="n"/>
      <c r="O338" s="692" t="n"/>
      <c r="P338" s="692" t="n"/>
      <c r="Q338" s="692" t="n"/>
      <c r="R338" s="692" t="n"/>
      <c r="S338" s="692" t="n"/>
      <c r="T338" s="692" t="n"/>
      <c r="U338" s="692" t="n"/>
      <c r="V338" s="692" t="n"/>
      <c r="W338" s="692" t="n"/>
    </row>
    <row r="339">
      <c r="A339" s="692" t="n"/>
      <c r="B339" s="692" t="n"/>
      <c r="C339" s="692" t="n"/>
      <c r="D339" s="692" t="n"/>
      <c r="E339" s="692" t="n"/>
      <c r="F339" s="692" t="n"/>
      <c r="G339" s="692" t="n"/>
      <c r="H339" s="692" t="n"/>
      <c r="I339" s="692" t="n"/>
      <c r="J339" s="692" t="n"/>
      <c r="K339" s="692" t="n"/>
      <c r="L339" s="692" t="n"/>
      <c r="M339" s="692" t="n"/>
      <c r="N339" s="692" t="n"/>
      <c r="O339" s="692" t="n"/>
      <c r="P339" s="692" t="n"/>
      <c r="Q339" s="692" t="n"/>
      <c r="R339" s="692" t="n"/>
      <c r="S339" s="692" t="n"/>
      <c r="T339" s="692" t="n"/>
      <c r="U339" s="692" t="n"/>
      <c r="V339" s="692" t="n"/>
      <c r="W339" s="692" t="n"/>
    </row>
    <row r="340">
      <c r="A340" s="692" t="n"/>
      <c r="B340" s="692" t="n"/>
      <c r="C340" s="692" t="n"/>
      <c r="D340" s="692" t="n"/>
      <c r="E340" s="692" t="n"/>
      <c r="F340" s="692" t="n"/>
      <c r="G340" s="692" t="n"/>
      <c r="H340" s="692" t="n"/>
      <c r="I340" s="692" t="n"/>
      <c r="J340" s="692" t="n"/>
      <c r="K340" s="692" t="n"/>
      <c r="L340" s="692" t="n"/>
      <c r="M340" s="692" t="n"/>
      <c r="N340" s="692" t="n"/>
      <c r="O340" s="692" t="n"/>
      <c r="P340" s="692" t="n"/>
      <c r="Q340" s="692" t="n"/>
      <c r="R340" s="692" t="n"/>
      <c r="S340" s="692" t="n"/>
      <c r="T340" s="692" t="n"/>
      <c r="U340" s="692" t="n"/>
      <c r="V340" s="692" t="n"/>
      <c r="W340" s="692" t="n"/>
    </row>
    <row r="341">
      <c r="A341" s="692" t="n"/>
      <c r="B341" s="692" t="n"/>
      <c r="C341" s="692" t="n"/>
      <c r="D341" s="692" t="n"/>
      <c r="E341" s="692" t="n"/>
      <c r="F341" s="692" t="n"/>
      <c r="G341" s="692" t="n"/>
      <c r="H341" s="692" t="n"/>
      <c r="I341" s="692" t="n"/>
      <c r="J341" s="692" t="n"/>
      <c r="K341" s="692" t="n"/>
      <c r="L341" s="692" t="n"/>
      <c r="M341" s="692" t="n"/>
      <c r="N341" s="692" t="n"/>
      <c r="O341" s="692" t="n"/>
      <c r="P341" s="692" t="n"/>
      <c r="Q341" s="692" t="n"/>
      <c r="R341" s="692" t="n"/>
      <c r="S341" s="692" t="n"/>
      <c r="T341" s="692" t="n"/>
      <c r="U341" s="692" t="n"/>
      <c r="V341" s="692" t="n"/>
      <c r="W341" s="692" t="n"/>
    </row>
    <row r="342">
      <c r="A342" s="692" t="n"/>
      <c r="B342" s="692" t="n"/>
      <c r="C342" s="692" t="n"/>
      <c r="D342" s="692" t="n"/>
      <c r="E342" s="692" t="n"/>
      <c r="F342" s="692" t="n"/>
      <c r="G342" s="692" t="n"/>
      <c r="H342" s="692" t="n"/>
      <c r="I342" s="692" t="n"/>
      <c r="J342" s="692" t="n"/>
      <c r="K342" s="692" t="n"/>
      <c r="L342" s="692" t="n"/>
      <c r="M342" s="692" t="n"/>
      <c r="N342" s="692" t="n"/>
      <c r="O342" s="692" t="n"/>
      <c r="P342" s="692" t="n"/>
      <c r="Q342" s="692" t="n"/>
      <c r="R342" s="692" t="n"/>
      <c r="S342" s="692" t="n"/>
      <c r="T342" s="692" t="n"/>
      <c r="U342" s="692" t="n"/>
      <c r="V342" s="692" t="n"/>
      <c r="W342" s="692" t="n"/>
    </row>
    <row r="343">
      <c r="A343" s="692" t="n"/>
      <c r="B343" s="692" t="n"/>
      <c r="C343" s="692" t="n"/>
      <c r="D343" s="692" t="n"/>
      <c r="E343" s="692" t="n"/>
      <c r="F343" s="692" t="n"/>
      <c r="G343" s="692" t="n"/>
      <c r="H343" s="692" t="n"/>
      <c r="I343" s="692" t="n"/>
      <c r="J343" s="692" t="n"/>
      <c r="K343" s="692" t="n"/>
      <c r="L343" s="692" t="n"/>
      <c r="M343" s="692" t="n"/>
      <c r="N343" s="692" t="n"/>
      <c r="O343" s="692" t="n"/>
      <c r="P343" s="692" t="n"/>
      <c r="Q343" s="692" t="n"/>
      <c r="R343" s="692" t="n"/>
      <c r="S343" s="692" t="n"/>
      <c r="T343" s="692" t="n"/>
      <c r="U343" s="692" t="n"/>
      <c r="V343" s="692" t="n"/>
      <c r="W343" s="692" t="n"/>
    </row>
    <row r="344">
      <c r="A344" s="692" t="n"/>
      <c r="B344" s="692" t="n"/>
      <c r="C344" s="692" t="n"/>
      <c r="D344" s="692" t="n"/>
      <c r="E344" s="692" t="n"/>
      <c r="F344" s="692" t="n"/>
      <c r="G344" s="692" t="n"/>
      <c r="H344" s="692" t="n"/>
      <c r="I344" s="692" t="n"/>
      <c r="J344" s="692" t="n"/>
      <c r="K344" s="692" t="n"/>
      <c r="L344" s="692" t="n"/>
      <c r="M344" s="692" t="n"/>
      <c r="N344" s="692" t="n"/>
      <c r="O344" s="692" t="n"/>
      <c r="P344" s="692" t="n"/>
      <c r="Q344" s="692" t="n"/>
      <c r="R344" s="692" t="n"/>
      <c r="S344" s="692" t="n"/>
      <c r="T344" s="692" t="n"/>
      <c r="U344" s="692" t="n"/>
      <c r="V344" s="692" t="n"/>
      <c r="W344" s="692" t="n"/>
    </row>
    <row r="345">
      <c r="A345" s="692" t="n"/>
      <c r="B345" s="692" t="n"/>
      <c r="C345" s="692" t="n"/>
      <c r="D345" s="692" t="n"/>
      <c r="E345" s="692" t="n"/>
      <c r="F345" s="692" t="n"/>
      <c r="G345" s="692" t="n"/>
      <c r="H345" s="692" t="n"/>
      <c r="I345" s="692" t="n"/>
      <c r="J345" s="692" t="n"/>
      <c r="K345" s="692" t="n"/>
      <c r="L345" s="692" t="n"/>
      <c r="M345" s="692" t="n"/>
      <c r="N345" s="692" t="n"/>
      <c r="O345" s="692" t="n"/>
      <c r="P345" s="692" t="n"/>
      <c r="Q345" s="692" t="n"/>
      <c r="R345" s="692" t="n"/>
      <c r="S345" s="692" t="n"/>
      <c r="T345" s="692" t="n"/>
      <c r="U345" s="692" t="n"/>
      <c r="V345" s="692" t="n"/>
      <c r="W345" s="692" t="n"/>
    </row>
    <row r="346">
      <c r="A346" s="692" t="n"/>
      <c r="B346" s="692" t="n"/>
      <c r="C346" s="692" t="n"/>
      <c r="D346" s="692" t="n"/>
      <c r="E346" s="692" t="n"/>
      <c r="F346" s="692" t="n"/>
      <c r="G346" s="692" t="n"/>
      <c r="H346" s="692" t="n"/>
      <c r="I346" s="692" t="n"/>
      <c r="J346" s="692" t="n"/>
      <c r="K346" s="692" t="n"/>
      <c r="L346" s="692" t="n"/>
      <c r="M346" s="692" t="n"/>
      <c r="N346" s="692" t="n"/>
      <c r="O346" s="692" t="n"/>
      <c r="P346" s="692" t="n"/>
      <c r="Q346" s="692" t="n"/>
      <c r="R346" s="692" t="n"/>
      <c r="S346" s="692" t="n"/>
      <c r="T346" s="692" t="n"/>
      <c r="U346" s="692" t="n"/>
      <c r="V346" s="692" t="n"/>
      <c r="W346" s="692" t="n"/>
    </row>
    <row r="347">
      <c r="A347" s="692" t="n"/>
      <c r="B347" s="692" t="n"/>
      <c r="C347" s="692" t="n"/>
      <c r="D347" s="692" t="n"/>
      <c r="E347" s="692" t="n"/>
      <c r="F347" s="692" t="n"/>
      <c r="G347" s="692" t="n"/>
      <c r="H347" s="692" t="n"/>
      <c r="I347" s="692" t="n"/>
      <c r="J347" s="692" t="n"/>
      <c r="K347" s="692" t="n"/>
      <c r="L347" s="692" t="n"/>
      <c r="M347" s="692" t="n"/>
      <c r="N347" s="692" t="n"/>
      <c r="O347" s="692" t="n"/>
      <c r="P347" s="692" t="n"/>
      <c r="Q347" s="692" t="n"/>
      <c r="R347" s="692" t="n"/>
      <c r="S347" s="692" t="n"/>
      <c r="T347" s="692" t="n"/>
      <c r="U347" s="692" t="n"/>
      <c r="V347" s="692" t="n"/>
      <c r="W347" s="692" t="n"/>
    </row>
    <row r="348">
      <c r="A348" s="692" t="n"/>
      <c r="B348" s="692" t="n"/>
      <c r="C348" s="692" t="n"/>
      <c r="D348" s="692" t="n"/>
      <c r="E348" s="692" t="n"/>
      <c r="F348" s="692" t="n"/>
      <c r="G348" s="692" t="n"/>
      <c r="H348" s="692" t="n"/>
      <c r="I348" s="692" t="n"/>
      <c r="J348" s="692" t="n"/>
      <c r="K348" s="692" t="n"/>
      <c r="L348" s="692" t="n"/>
      <c r="M348" s="692" t="n"/>
      <c r="N348" s="692" t="n"/>
      <c r="O348" s="692" t="n"/>
      <c r="P348" s="692" t="n"/>
      <c r="Q348" s="692" t="n"/>
      <c r="R348" s="692" t="n"/>
      <c r="S348" s="692" t="n"/>
      <c r="T348" s="692" t="n"/>
      <c r="U348" s="692" t="n"/>
      <c r="V348" s="692" t="n"/>
      <c r="W348" s="692" t="n"/>
    </row>
    <row r="349">
      <c r="A349" s="692" t="n"/>
      <c r="B349" s="692" t="n"/>
      <c r="C349" s="692" t="n"/>
      <c r="D349" s="692" t="n"/>
      <c r="E349" s="692" t="n"/>
      <c r="F349" s="692" t="n"/>
      <c r="G349" s="692" t="n"/>
      <c r="H349" s="692" t="n"/>
      <c r="I349" s="692" t="n"/>
      <c r="J349" s="692" t="n"/>
      <c r="K349" s="692" t="n"/>
      <c r="L349" s="692" t="n"/>
      <c r="M349" s="692" t="n"/>
      <c r="N349" s="692" t="n"/>
      <c r="O349" s="692" t="n"/>
      <c r="P349" s="692" t="n"/>
      <c r="Q349" s="692" t="n"/>
      <c r="R349" s="692" t="n"/>
      <c r="S349" s="692" t="n"/>
      <c r="T349" s="692" t="n"/>
      <c r="U349" s="692" t="n"/>
      <c r="V349" s="692" t="n"/>
      <c r="W349" s="692" t="n"/>
    </row>
    <row r="350">
      <c r="A350" s="692" t="n"/>
      <c r="B350" s="692" t="n"/>
      <c r="C350" s="692" t="n"/>
      <c r="D350" s="692" t="n"/>
      <c r="E350" s="692" t="n"/>
      <c r="F350" s="692" t="n"/>
      <c r="G350" s="692" t="n"/>
      <c r="H350" s="692" t="n"/>
      <c r="I350" s="692" t="n"/>
      <c r="J350" s="692" t="n"/>
      <c r="K350" s="692" t="n"/>
      <c r="L350" s="692" t="n"/>
      <c r="M350" s="692" t="n"/>
      <c r="N350" s="692" t="n"/>
      <c r="O350" s="692" t="n"/>
      <c r="P350" s="692" t="n"/>
      <c r="Q350" s="692" t="n"/>
      <c r="R350" s="692" t="n"/>
      <c r="S350" s="692" t="n"/>
      <c r="T350" s="692" t="n"/>
      <c r="U350" s="692" t="n"/>
      <c r="V350" s="692" t="n"/>
      <c r="W350" s="692" t="n"/>
    </row>
    <row r="351">
      <c r="A351" s="692" t="n"/>
      <c r="B351" s="692" t="n"/>
      <c r="C351" s="692" t="n"/>
      <c r="D351" s="692" t="n"/>
      <c r="E351" s="692" t="n"/>
      <c r="F351" s="692" t="n"/>
      <c r="G351" s="692" t="n"/>
      <c r="H351" s="692" t="n"/>
      <c r="I351" s="692" t="n"/>
      <c r="J351" s="692" t="n"/>
      <c r="K351" s="692" t="n"/>
      <c r="L351" s="692" t="n"/>
      <c r="M351" s="692" t="n"/>
      <c r="N351" s="692" t="n"/>
      <c r="O351" s="692" t="n"/>
      <c r="P351" s="692" t="n"/>
      <c r="Q351" s="692" t="n"/>
      <c r="R351" s="692" t="n"/>
      <c r="S351" s="692" t="n"/>
      <c r="T351" s="692" t="n"/>
      <c r="U351" s="692" t="n"/>
      <c r="V351" s="692" t="n"/>
      <c r="W351" s="692" t="n"/>
    </row>
    <row r="352">
      <c r="A352" s="692" t="n"/>
      <c r="B352" s="692" t="n"/>
      <c r="C352" s="692" t="n"/>
      <c r="D352" s="692" t="n"/>
      <c r="E352" s="692" t="n"/>
      <c r="F352" s="692" t="n"/>
      <c r="G352" s="692" t="n"/>
      <c r="H352" s="692" t="n"/>
      <c r="I352" s="692" t="n"/>
      <c r="J352" s="692" t="n"/>
      <c r="K352" s="692" t="n"/>
      <c r="L352" s="692" t="n"/>
      <c r="M352" s="692" t="n"/>
      <c r="N352" s="692" t="n"/>
      <c r="O352" s="692" t="n"/>
      <c r="P352" s="692" t="n"/>
      <c r="Q352" s="692" t="n"/>
      <c r="R352" s="692" t="n"/>
      <c r="S352" s="692" t="n"/>
      <c r="T352" s="692" t="n"/>
      <c r="U352" s="692" t="n"/>
      <c r="V352" s="692" t="n"/>
      <c r="W352" s="692" t="n"/>
    </row>
    <row r="353">
      <c r="A353" s="692" t="n"/>
      <c r="B353" s="692" t="n"/>
      <c r="C353" s="692" t="n"/>
      <c r="D353" s="692" t="n"/>
      <c r="E353" s="692" t="n"/>
      <c r="F353" s="692" t="n"/>
      <c r="G353" s="692" t="n"/>
      <c r="H353" s="692" t="n"/>
      <c r="I353" s="692" t="n"/>
      <c r="J353" s="692" t="n"/>
      <c r="K353" s="692" t="n"/>
      <c r="L353" s="692" t="n"/>
      <c r="M353" s="692" t="n"/>
      <c r="N353" s="692" t="n"/>
      <c r="O353" s="692" t="n"/>
      <c r="P353" s="692" t="n"/>
      <c r="Q353" s="692" t="n"/>
      <c r="R353" s="692" t="n"/>
      <c r="S353" s="692" t="n"/>
      <c r="T353" s="692" t="n"/>
      <c r="U353" s="692" t="n"/>
      <c r="V353" s="692" t="n"/>
      <c r="W353" s="692" t="n"/>
    </row>
    <row r="354">
      <c r="A354" s="692" t="n"/>
      <c r="B354" s="692" t="n"/>
      <c r="C354" s="692" t="n"/>
      <c r="D354" s="692" t="n"/>
      <c r="E354" s="692" t="n"/>
      <c r="F354" s="692" t="n"/>
      <c r="G354" s="692" t="n"/>
      <c r="H354" s="692" t="n"/>
      <c r="I354" s="692" t="n"/>
      <c r="J354" s="692" t="n"/>
      <c r="K354" s="692" t="n"/>
      <c r="L354" s="692" t="n"/>
      <c r="M354" s="692" t="n"/>
      <c r="N354" s="692" t="n"/>
      <c r="O354" s="692" t="n"/>
      <c r="P354" s="692" t="n"/>
      <c r="Q354" s="692" t="n"/>
      <c r="R354" s="692" t="n"/>
      <c r="S354" s="692" t="n"/>
      <c r="T354" s="692" t="n"/>
      <c r="U354" s="692" t="n"/>
      <c r="V354" s="692" t="n"/>
      <c r="W354" s="692" t="n"/>
    </row>
    <row r="355">
      <c r="A355" s="692" t="n"/>
      <c r="B355" s="692" t="n"/>
      <c r="C355" s="692" t="n"/>
      <c r="D355" s="692" t="n"/>
      <c r="E355" s="692" t="n"/>
      <c r="F355" s="692" t="n"/>
      <c r="G355" s="692" t="n"/>
      <c r="H355" s="692" t="n"/>
      <c r="I355" s="692" t="n"/>
      <c r="J355" s="692" t="n"/>
      <c r="K355" s="692" t="n"/>
      <c r="L355" s="692" t="n"/>
      <c r="M355" s="692" t="n"/>
      <c r="N355" s="692" t="n"/>
      <c r="O355" s="692" t="n"/>
      <c r="P355" s="692" t="n"/>
      <c r="Q355" s="692" t="n"/>
      <c r="R355" s="692" t="n"/>
      <c r="S355" s="692" t="n"/>
      <c r="T355" s="692" t="n"/>
      <c r="U355" s="692" t="n"/>
      <c r="V355" s="692" t="n"/>
      <c r="W355" s="692" t="n"/>
    </row>
    <row r="356">
      <c r="A356" s="692" t="n"/>
      <c r="B356" s="692" t="n"/>
      <c r="C356" s="692" t="n"/>
      <c r="D356" s="692" t="n"/>
      <c r="E356" s="692" t="n"/>
      <c r="F356" s="692" t="n"/>
      <c r="G356" s="692" t="n"/>
      <c r="H356" s="692" t="n"/>
      <c r="I356" s="692" t="n"/>
      <c r="J356" s="692" t="n"/>
      <c r="K356" s="692" t="n"/>
      <c r="L356" s="692" t="n"/>
      <c r="M356" s="692" t="n"/>
      <c r="N356" s="692" t="n"/>
      <c r="O356" s="692" t="n"/>
      <c r="P356" s="692" t="n"/>
      <c r="Q356" s="692" t="n"/>
      <c r="R356" s="692" t="n"/>
      <c r="S356" s="692" t="n"/>
      <c r="T356" s="692" t="n"/>
      <c r="U356" s="692" t="n"/>
      <c r="V356" s="692" t="n"/>
      <c r="W356" s="692" t="n"/>
    </row>
    <row r="357">
      <c r="A357" s="692" t="n"/>
      <c r="B357" s="692" t="n"/>
      <c r="C357" s="692" t="n"/>
      <c r="D357" s="692" t="n"/>
      <c r="E357" s="692" t="n"/>
      <c r="F357" s="692" t="n"/>
      <c r="G357" s="692" t="n"/>
      <c r="H357" s="692" t="n"/>
      <c r="I357" s="692" t="n"/>
      <c r="J357" s="692" t="n"/>
      <c r="K357" s="692" t="n"/>
      <c r="L357" s="692" t="n"/>
      <c r="M357" s="692" t="n"/>
      <c r="N357" s="692" t="n"/>
      <c r="O357" s="692" t="n"/>
      <c r="P357" s="692" t="n"/>
      <c r="Q357" s="692" t="n"/>
      <c r="R357" s="692" t="n"/>
      <c r="S357" s="692" t="n"/>
      <c r="T357" s="692" t="n"/>
      <c r="U357" s="692" t="n"/>
      <c r="V357" s="692" t="n"/>
      <c r="W357" s="692" t="n"/>
    </row>
    <row r="358">
      <c r="A358" s="692" t="n"/>
      <c r="B358" s="692" t="n"/>
      <c r="C358" s="692" t="n"/>
      <c r="D358" s="692" t="n"/>
      <c r="E358" s="692" t="n"/>
      <c r="F358" s="692" t="n"/>
      <c r="G358" s="692" t="n"/>
      <c r="H358" s="692" t="n"/>
      <c r="I358" s="692" t="n"/>
      <c r="J358" s="692" t="n"/>
      <c r="K358" s="692" t="n"/>
      <c r="L358" s="692" t="n"/>
      <c r="M358" s="692" t="n"/>
      <c r="N358" s="692" t="n"/>
      <c r="O358" s="692" t="n"/>
      <c r="P358" s="692" t="n"/>
      <c r="Q358" s="692" t="n"/>
      <c r="R358" s="692" t="n"/>
      <c r="S358" s="692" t="n"/>
      <c r="T358" s="692" t="n"/>
      <c r="U358" s="692" t="n"/>
      <c r="V358" s="692" t="n"/>
      <c r="W358" s="692" t="n"/>
    </row>
    <row r="359">
      <c r="A359" s="692" t="n"/>
      <c r="B359" s="692" t="n"/>
      <c r="C359" s="692" t="n"/>
      <c r="D359" s="692" t="n"/>
      <c r="E359" s="692" t="n"/>
      <c r="F359" s="692" t="n"/>
      <c r="G359" s="692" t="n"/>
      <c r="H359" s="692" t="n"/>
      <c r="I359" s="692" t="n"/>
      <c r="J359" s="692" t="n"/>
      <c r="K359" s="692" t="n"/>
      <c r="L359" s="692" t="n"/>
      <c r="M359" s="692" t="n"/>
      <c r="N359" s="692" t="n"/>
      <c r="O359" s="692" t="n"/>
      <c r="P359" s="692" t="n"/>
      <c r="Q359" s="692" t="n"/>
      <c r="R359" s="692" t="n"/>
      <c r="S359" s="692" t="n"/>
      <c r="T359" s="692" t="n"/>
      <c r="U359" s="692" t="n"/>
      <c r="V359" s="692" t="n"/>
      <c r="W359" s="692" t="n"/>
    </row>
    <row r="360">
      <c r="A360" s="692" t="n"/>
      <c r="B360" s="692" t="n"/>
      <c r="C360" s="692" t="n"/>
      <c r="D360" s="692" t="n"/>
      <c r="E360" s="692" t="n"/>
      <c r="F360" s="692" t="n"/>
      <c r="G360" s="692" t="n"/>
      <c r="H360" s="692" t="n"/>
      <c r="I360" s="692" t="n"/>
      <c r="J360" s="692" t="n"/>
      <c r="K360" s="692" t="n"/>
      <c r="L360" s="692" t="n"/>
      <c r="M360" s="692" t="n"/>
      <c r="N360" s="692" t="n"/>
      <c r="O360" s="692" t="n"/>
      <c r="P360" s="692" t="n"/>
      <c r="Q360" s="692" t="n"/>
      <c r="R360" s="692" t="n"/>
      <c r="S360" s="692" t="n"/>
      <c r="T360" s="692" t="n"/>
      <c r="U360" s="692" t="n"/>
      <c r="V360" s="692" t="n"/>
      <c r="W360" s="692" t="n"/>
    </row>
    <row r="361">
      <c r="A361" s="692" t="n"/>
      <c r="B361" s="692" t="n"/>
      <c r="C361" s="692" t="n"/>
      <c r="D361" s="692" t="n"/>
      <c r="E361" s="692" t="n"/>
      <c r="F361" s="692" t="n"/>
      <c r="G361" s="692" t="n"/>
      <c r="H361" s="692" t="n"/>
      <c r="I361" s="692" t="n"/>
      <c r="J361" s="692" t="n"/>
      <c r="K361" s="692" t="n"/>
      <c r="L361" s="692" t="n"/>
      <c r="M361" s="692" t="n"/>
      <c r="N361" s="692" t="n"/>
      <c r="O361" s="692" t="n"/>
      <c r="P361" s="692" t="n"/>
      <c r="Q361" s="692" t="n"/>
      <c r="R361" s="692" t="n"/>
      <c r="S361" s="692" t="n"/>
      <c r="T361" s="692" t="n"/>
      <c r="U361" s="692" t="n"/>
      <c r="V361" s="692" t="n"/>
      <c r="W361" s="692" t="n"/>
    </row>
    <row r="362">
      <c r="A362" s="692" t="n"/>
      <c r="B362" s="692" t="n"/>
      <c r="C362" s="692" t="n"/>
      <c r="D362" s="692" t="n"/>
      <c r="E362" s="692" t="n"/>
      <c r="F362" s="692" t="n"/>
      <c r="G362" s="692" t="n"/>
      <c r="H362" s="692" t="n"/>
      <c r="I362" s="692" t="n"/>
      <c r="J362" s="692" t="n"/>
      <c r="K362" s="692" t="n"/>
      <c r="L362" s="692" t="n"/>
      <c r="M362" s="692" t="n"/>
      <c r="N362" s="692" t="n"/>
      <c r="O362" s="692" t="n"/>
      <c r="P362" s="692" t="n"/>
      <c r="Q362" s="692" t="n"/>
      <c r="R362" s="692" t="n"/>
      <c r="S362" s="692" t="n"/>
      <c r="T362" s="692" t="n"/>
      <c r="U362" s="692" t="n"/>
      <c r="V362" s="692" t="n"/>
      <c r="W362" s="692" t="n"/>
    </row>
    <row r="363">
      <c r="A363" s="692" t="n"/>
      <c r="B363" s="692" t="n"/>
      <c r="C363" s="692" t="n"/>
      <c r="D363" s="692" t="n"/>
      <c r="E363" s="692" t="n"/>
      <c r="F363" s="692" t="n"/>
      <c r="G363" s="692" t="n"/>
      <c r="H363" s="692" t="n"/>
      <c r="I363" s="692" t="n"/>
      <c r="J363" s="692" t="n"/>
      <c r="K363" s="692" t="n"/>
      <c r="L363" s="692" t="n"/>
      <c r="M363" s="692" t="n"/>
      <c r="N363" s="692" t="n"/>
      <c r="O363" s="692" t="n"/>
      <c r="P363" s="692" t="n"/>
      <c r="Q363" s="692" t="n"/>
      <c r="R363" s="692" t="n"/>
      <c r="S363" s="692" t="n"/>
      <c r="T363" s="692" t="n"/>
      <c r="U363" s="692" t="n"/>
      <c r="V363" s="692" t="n"/>
      <c r="W363" s="692" t="n"/>
    </row>
    <row r="364">
      <c r="A364" s="692" t="n"/>
      <c r="B364" s="692" t="n"/>
      <c r="C364" s="692" t="n"/>
      <c r="D364" s="692" t="n"/>
      <c r="E364" s="692" t="n"/>
      <c r="F364" s="692" t="n"/>
      <c r="G364" s="692" t="n"/>
      <c r="H364" s="692" t="n"/>
      <c r="I364" s="692" t="n"/>
      <c r="J364" s="692" t="n"/>
      <c r="K364" s="692" t="n"/>
      <c r="L364" s="692" t="n"/>
      <c r="M364" s="692" t="n"/>
      <c r="N364" s="692" t="n"/>
      <c r="O364" s="692" t="n"/>
      <c r="P364" s="692" t="n"/>
      <c r="Q364" s="692" t="n"/>
      <c r="R364" s="692" t="n"/>
      <c r="S364" s="692" t="n"/>
      <c r="T364" s="692" t="n"/>
      <c r="U364" s="692" t="n"/>
      <c r="V364" s="692" t="n"/>
      <c r="W364" s="692" t="n"/>
    </row>
    <row r="365">
      <c r="A365" s="692" t="n"/>
      <c r="B365" s="692" t="n"/>
      <c r="C365" s="692" t="n"/>
      <c r="D365" s="692" t="n"/>
      <c r="E365" s="692" t="n"/>
      <c r="F365" s="692" t="n"/>
      <c r="G365" s="692" t="n"/>
      <c r="H365" s="692" t="n"/>
      <c r="I365" s="692" t="n"/>
      <c r="J365" s="692" t="n"/>
      <c r="K365" s="692" t="n"/>
      <c r="L365" s="692" t="n"/>
      <c r="M365" s="692" t="n"/>
      <c r="N365" s="692" t="n"/>
      <c r="O365" s="692" t="n"/>
      <c r="P365" s="692" t="n"/>
      <c r="Q365" s="692" t="n"/>
      <c r="R365" s="692" t="n"/>
      <c r="S365" s="692" t="n"/>
      <c r="T365" s="692" t="n"/>
      <c r="U365" s="692" t="n"/>
      <c r="V365" s="692" t="n"/>
      <c r="W365" s="692" t="n"/>
    </row>
    <row r="366">
      <c r="A366" s="692" t="n"/>
      <c r="B366" s="692" t="n"/>
      <c r="C366" s="692" t="n"/>
      <c r="D366" s="692" t="n"/>
      <c r="E366" s="692" t="n"/>
      <c r="F366" s="692" t="n"/>
      <c r="G366" s="692" t="n"/>
      <c r="H366" s="692" t="n"/>
      <c r="I366" s="692" t="n"/>
      <c r="J366" s="692" t="n"/>
      <c r="K366" s="692" t="n"/>
      <c r="L366" s="692" t="n"/>
      <c r="M366" s="692" t="n"/>
      <c r="N366" s="692" t="n"/>
      <c r="O366" s="692" t="n"/>
      <c r="P366" s="692" t="n"/>
      <c r="Q366" s="692" t="n"/>
      <c r="R366" s="692" t="n"/>
      <c r="S366" s="692" t="n"/>
      <c r="T366" s="692" t="n"/>
      <c r="U366" s="692" t="n"/>
      <c r="V366" s="692" t="n"/>
      <c r="W366" s="692" t="n"/>
    </row>
    <row r="367">
      <c r="A367" s="692" t="n"/>
      <c r="B367" s="692" t="n"/>
      <c r="C367" s="692" t="n"/>
      <c r="D367" s="692" t="n"/>
      <c r="E367" s="692" t="n"/>
      <c r="F367" s="692" t="n"/>
      <c r="G367" s="692" t="n"/>
      <c r="H367" s="692" t="n"/>
      <c r="I367" s="692" t="n"/>
      <c r="J367" s="692" t="n"/>
      <c r="K367" s="692" t="n"/>
      <c r="L367" s="692" t="n"/>
      <c r="M367" s="692" t="n"/>
      <c r="N367" s="692" t="n"/>
      <c r="O367" s="692" t="n"/>
      <c r="P367" s="692" t="n"/>
      <c r="Q367" s="692" t="n"/>
      <c r="R367" s="692" t="n"/>
      <c r="S367" s="692" t="n"/>
      <c r="T367" s="692" t="n"/>
      <c r="U367" s="692" t="n"/>
      <c r="V367" s="692" t="n"/>
      <c r="W367" s="692" t="n"/>
    </row>
    <row r="368">
      <c r="A368" s="692" t="n"/>
      <c r="B368" s="692" t="n"/>
      <c r="C368" s="692" t="n"/>
      <c r="D368" s="692" t="n"/>
      <c r="E368" s="692" t="n"/>
      <c r="F368" s="692" t="n"/>
      <c r="G368" s="692" t="n"/>
      <c r="H368" s="692" t="n"/>
      <c r="I368" s="692" t="n"/>
      <c r="J368" s="692" t="n"/>
      <c r="K368" s="692" t="n"/>
      <c r="L368" s="692" t="n"/>
      <c r="M368" s="692" t="n"/>
      <c r="N368" s="692" t="n"/>
      <c r="O368" s="692" t="n"/>
      <c r="P368" s="692" t="n"/>
      <c r="Q368" s="692" t="n"/>
      <c r="R368" s="692" t="n"/>
      <c r="S368" s="692" t="n"/>
      <c r="T368" s="692" t="n"/>
      <c r="U368" s="692" t="n"/>
      <c r="V368" s="692" t="n"/>
      <c r="W368" s="692" t="n"/>
    </row>
    <row r="369">
      <c r="A369" s="692" t="n"/>
      <c r="B369" s="692" t="n"/>
      <c r="C369" s="692" t="n"/>
      <c r="D369" s="692" t="n"/>
      <c r="E369" s="692" t="n"/>
      <c r="F369" s="692" t="n"/>
      <c r="G369" s="692" t="n"/>
      <c r="H369" s="692" t="n"/>
      <c r="I369" s="692" t="n"/>
      <c r="J369" s="692" t="n"/>
      <c r="K369" s="692" t="n"/>
      <c r="L369" s="692" t="n"/>
      <c r="M369" s="692" t="n"/>
      <c r="N369" s="692" t="n"/>
      <c r="O369" s="692" t="n"/>
      <c r="P369" s="692" t="n"/>
      <c r="Q369" s="692" t="n"/>
      <c r="R369" s="692" t="n"/>
      <c r="S369" s="692" t="n"/>
      <c r="T369" s="692" t="n"/>
      <c r="U369" s="692" t="n"/>
      <c r="V369" s="692" t="n"/>
      <c r="W369" s="692" t="n"/>
    </row>
    <row r="370">
      <c r="A370" s="692" t="n"/>
      <c r="B370" s="692" t="n"/>
      <c r="C370" s="692" t="n"/>
      <c r="D370" s="692" t="n"/>
      <c r="E370" s="692" t="n"/>
      <c r="F370" s="692" t="n"/>
      <c r="G370" s="692" t="n"/>
      <c r="H370" s="692" t="n"/>
      <c r="I370" s="692" t="n"/>
      <c r="J370" s="692" t="n"/>
      <c r="K370" s="692" t="n"/>
      <c r="L370" s="692" t="n"/>
      <c r="M370" s="692" t="n"/>
      <c r="N370" s="692" t="n"/>
      <c r="O370" s="692" t="n"/>
      <c r="P370" s="692" t="n"/>
      <c r="Q370" s="692" t="n"/>
      <c r="R370" s="692" t="n"/>
      <c r="S370" s="692" t="n"/>
      <c r="T370" s="692" t="n"/>
      <c r="U370" s="692" t="n"/>
      <c r="V370" s="692" t="n"/>
      <c r="W370" s="692" t="n"/>
    </row>
    <row r="371">
      <c r="A371" s="692" t="n"/>
      <c r="B371" s="692" t="n"/>
      <c r="C371" s="692" t="n"/>
      <c r="D371" s="692" t="n"/>
      <c r="E371" s="692" t="n"/>
      <c r="F371" s="692" t="n"/>
      <c r="G371" s="692" t="n"/>
      <c r="H371" s="692" t="n"/>
      <c r="I371" s="692" t="n"/>
      <c r="J371" s="692" t="n"/>
      <c r="K371" s="692" t="n"/>
      <c r="L371" s="692" t="n"/>
      <c r="M371" s="692" t="n"/>
      <c r="N371" s="692" t="n"/>
      <c r="O371" s="692" t="n"/>
      <c r="P371" s="692" t="n"/>
      <c r="Q371" s="692" t="n"/>
      <c r="R371" s="692" t="n"/>
      <c r="S371" s="692" t="n"/>
      <c r="T371" s="692" t="n"/>
      <c r="U371" s="692" t="n"/>
      <c r="V371" s="692" t="n"/>
      <c r="W371" s="692" t="n"/>
    </row>
    <row r="372">
      <c r="A372" s="692" t="n"/>
      <c r="B372" s="692" t="n"/>
      <c r="C372" s="692" t="n"/>
      <c r="D372" s="692" t="n"/>
      <c r="E372" s="692" t="n"/>
      <c r="F372" s="692" t="n"/>
      <c r="G372" s="692" t="n"/>
      <c r="H372" s="692" t="n"/>
      <c r="I372" s="692" t="n"/>
      <c r="J372" s="692" t="n"/>
      <c r="K372" s="692" t="n"/>
      <c r="L372" s="692" t="n"/>
      <c r="M372" s="692" t="n"/>
      <c r="N372" s="692" t="n"/>
      <c r="O372" s="692" t="n"/>
      <c r="P372" s="692" t="n"/>
      <c r="Q372" s="692" t="n"/>
      <c r="R372" s="692" t="n"/>
      <c r="S372" s="692" t="n"/>
      <c r="T372" s="692" t="n"/>
      <c r="U372" s="692" t="n"/>
      <c r="V372" s="692" t="n"/>
      <c r="W372" s="692" t="n"/>
    </row>
    <row r="373">
      <c r="A373" s="692" t="n"/>
      <c r="B373" s="692" t="n"/>
      <c r="C373" s="692" t="n"/>
      <c r="D373" s="692" t="n"/>
      <c r="E373" s="692" t="n"/>
      <c r="F373" s="692" t="n"/>
      <c r="G373" s="692" t="n"/>
      <c r="H373" s="692" t="n"/>
      <c r="I373" s="692" t="n"/>
      <c r="J373" s="692" t="n"/>
      <c r="K373" s="692" t="n"/>
      <c r="L373" s="692" t="n"/>
      <c r="M373" s="692" t="n"/>
      <c r="N373" s="692" t="n"/>
      <c r="O373" s="692" t="n"/>
      <c r="P373" s="692" t="n"/>
      <c r="Q373" s="692" t="n"/>
      <c r="R373" s="692" t="n"/>
      <c r="S373" s="692" t="n"/>
      <c r="T373" s="692" t="n"/>
      <c r="U373" s="692" t="n"/>
      <c r="V373" s="692" t="n"/>
      <c r="W373" s="692" t="n"/>
    </row>
    <row r="374">
      <c r="A374" s="692" t="n"/>
      <c r="B374" s="692" t="n"/>
      <c r="C374" s="692" t="n"/>
      <c r="D374" s="692" t="n"/>
      <c r="E374" s="692" t="n"/>
      <c r="F374" s="692" t="n"/>
      <c r="G374" s="692" t="n"/>
      <c r="H374" s="692" t="n"/>
      <c r="I374" s="692" t="n"/>
      <c r="J374" s="692" t="n"/>
      <c r="K374" s="692" t="n"/>
      <c r="L374" s="692" t="n"/>
      <c r="M374" s="692" t="n"/>
      <c r="N374" s="692" t="n"/>
      <c r="O374" s="692" t="n"/>
      <c r="P374" s="692" t="n"/>
      <c r="Q374" s="692" t="n"/>
      <c r="R374" s="692" t="n"/>
      <c r="S374" s="692" t="n"/>
      <c r="T374" s="692" t="n"/>
      <c r="U374" s="692" t="n"/>
      <c r="V374" s="692" t="n"/>
      <c r="W374" s="692" t="n"/>
    </row>
    <row r="375">
      <c r="A375" s="692" t="n"/>
      <c r="B375" s="692" t="n"/>
      <c r="C375" s="692" t="n"/>
      <c r="D375" s="692" t="n"/>
      <c r="E375" s="692" t="n"/>
      <c r="F375" s="692" t="n"/>
      <c r="G375" s="692" t="n"/>
      <c r="H375" s="692" t="n"/>
      <c r="I375" s="692" t="n"/>
      <c r="J375" s="692" t="n"/>
      <c r="K375" s="692" t="n"/>
      <c r="L375" s="692" t="n"/>
      <c r="M375" s="692" t="n"/>
      <c r="N375" s="692" t="n"/>
      <c r="O375" s="692" t="n"/>
      <c r="P375" s="692" t="n"/>
      <c r="Q375" s="692" t="n"/>
      <c r="R375" s="692" t="n"/>
      <c r="S375" s="692" t="n"/>
      <c r="T375" s="692" t="n"/>
      <c r="U375" s="692" t="n"/>
      <c r="V375" s="692" t="n"/>
      <c r="W375" s="692" t="n"/>
    </row>
    <row r="376">
      <c r="A376" s="692" t="n"/>
      <c r="B376" s="692" t="n"/>
      <c r="C376" s="692" t="n"/>
      <c r="D376" s="692" t="n"/>
      <c r="E376" s="692" t="n"/>
      <c r="F376" s="692" t="n"/>
      <c r="G376" s="692" t="n"/>
      <c r="H376" s="692" t="n"/>
      <c r="I376" s="692" t="n"/>
      <c r="J376" s="692" t="n"/>
      <c r="K376" s="692" t="n"/>
      <c r="L376" s="692" t="n"/>
      <c r="M376" s="692" t="n"/>
      <c r="N376" s="692" t="n"/>
      <c r="O376" s="692" t="n"/>
      <c r="P376" s="692" t="n"/>
      <c r="Q376" s="692" t="n"/>
      <c r="R376" s="692" t="n"/>
      <c r="S376" s="692" t="n"/>
      <c r="T376" s="692" t="n"/>
      <c r="U376" s="692" t="n"/>
      <c r="V376" s="692" t="n"/>
      <c r="W376" s="692" t="n"/>
    </row>
    <row r="377">
      <c r="A377" s="692" t="n"/>
      <c r="B377" s="692" t="n"/>
      <c r="C377" s="692" t="n"/>
      <c r="D377" s="692" t="n"/>
      <c r="E377" s="692" t="n"/>
      <c r="F377" s="692" t="n"/>
      <c r="G377" s="692" t="n"/>
      <c r="H377" s="692" t="n"/>
      <c r="I377" s="692" t="n"/>
      <c r="J377" s="692" t="n"/>
      <c r="K377" s="692" t="n"/>
      <c r="L377" s="692" t="n"/>
      <c r="M377" s="692" t="n"/>
      <c r="N377" s="692" t="n"/>
      <c r="O377" s="692" t="n"/>
      <c r="P377" s="692" t="n"/>
      <c r="Q377" s="692" t="n"/>
      <c r="R377" s="692" t="n"/>
      <c r="S377" s="692" t="n"/>
      <c r="T377" s="692" t="n"/>
      <c r="U377" s="692" t="n"/>
      <c r="V377" s="692" t="n"/>
      <c r="W377" s="692" t="n"/>
    </row>
    <row r="378">
      <c r="A378" s="692" t="n"/>
      <c r="B378" s="692" t="n"/>
      <c r="C378" s="692" t="n"/>
      <c r="D378" s="692" t="n"/>
      <c r="E378" s="692" t="n"/>
      <c r="F378" s="692" t="n"/>
      <c r="G378" s="692" t="n"/>
      <c r="H378" s="692" t="n"/>
      <c r="I378" s="692" t="n"/>
      <c r="J378" s="692" t="n"/>
      <c r="K378" s="692" t="n"/>
      <c r="L378" s="692" t="n"/>
      <c r="M378" s="692" t="n"/>
      <c r="N378" s="692" t="n"/>
      <c r="O378" s="692" t="n"/>
      <c r="P378" s="692" t="n"/>
      <c r="Q378" s="692" t="n"/>
      <c r="R378" s="692" t="n"/>
      <c r="S378" s="692" t="n"/>
      <c r="T378" s="692" t="n"/>
      <c r="U378" s="692" t="n"/>
      <c r="V378" s="692" t="n"/>
      <c r="W378" s="692" t="n"/>
    </row>
    <row r="379">
      <c r="A379" s="692" t="n"/>
      <c r="B379" s="692" t="n"/>
      <c r="C379" s="692" t="n"/>
      <c r="D379" s="692" t="n"/>
      <c r="E379" s="692" t="n"/>
      <c r="F379" s="692" t="n"/>
      <c r="G379" s="692" t="n"/>
      <c r="H379" s="692" t="n"/>
      <c r="I379" s="692" t="n"/>
      <c r="J379" s="692" t="n"/>
      <c r="K379" s="692" t="n"/>
      <c r="L379" s="692" t="n"/>
      <c r="M379" s="692" t="n"/>
      <c r="N379" s="692" t="n"/>
      <c r="O379" s="692" t="n"/>
      <c r="P379" s="692" t="n"/>
      <c r="Q379" s="692" t="n"/>
      <c r="R379" s="692" t="n"/>
      <c r="S379" s="692" t="n"/>
      <c r="T379" s="692" t="n"/>
      <c r="U379" s="692" t="n"/>
      <c r="V379" s="692" t="n"/>
      <c r="W379" s="692" t="n"/>
    </row>
    <row r="380">
      <c r="A380" s="692" t="n"/>
      <c r="B380" s="692" t="n"/>
      <c r="C380" s="692" t="n"/>
      <c r="D380" s="692" t="n"/>
      <c r="E380" s="692" t="n"/>
      <c r="F380" s="692" t="n"/>
      <c r="G380" s="692" t="n"/>
      <c r="H380" s="692" t="n"/>
      <c r="I380" s="692" t="n"/>
      <c r="J380" s="692" t="n"/>
      <c r="K380" s="692" t="n"/>
      <c r="L380" s="692" t="n"/>
      <c r="M380" s="692" t="n"/>
      <c r="N380" s="692" t="n"/>
      <c r="O380" s="692" t="n"/>
      <c r="P380" s="692" t="n"/>
      <c r="Q380" s="692" t="n"/>
      <c r="R380" s="692" t="n"/>
      <c r="S380" s="692" t="n"/>
      <c r="T380" s="692" t="n"/>
      <c r="U380" s="692" t="n"/>
      <c r="V380" s="692" t="n"/>
      <c r="W380" s="692" t="n"/>
    </row>
    <row r="381">
      <c r="A381" s="692" t="n"/>
      <c r="B381" s="692" t="n"/>
      <c r="C381" s="692" t="n"/>
      <c r="D381" s="692" t="n"/>
      <c r="E381" s="692" t="n"/>
      <c r="F381" s="692" t="n"/>
      <c r="G381" s="692" t="n"/>
      <c r="H381" s="692" t="n"/>
      <c r="I381" s="692" t="n"/>
      <c r="J381" s="692" t="n"/>
      <c r="K381" s="692" t="n"/>
      <c r="L381" s="692" t="n"/>
      <c r="M381" s="692" t="n"/>
      <c r="N381" s="692" t="n"/>
      <c r="O381" s="692" t="n"/>
      <c r="P381" s="692" t="n"/>
      <c r="Q381" s="692" t="n"/>
      <c r="R381" s="692" t="n"/>
      <c r="S381" s="692" t="n"/>
      <c r="T381" s="692" t="n"/>
      <c r="U381" s="692" t="n"/>
      <c r="V381" s="692" t="n"/>
      <c r="W381" s="692" t="n"/>
    </row>
    <row r="382">
      <c r="A382" s="692" t="n"/>
      <c r="B382" s="692" t="n"/>
      <c r="C382" s="692" t="n"/>
      <c r="D382" s="692" t="n"/>
      <c r="E382" s="692" t="n"/>
      <c r="F382" s="692" t="n"/>
      <c r="G382" s="692" t="n"/>
      <c r="H382" s="692" t="n"/>
      <c r="I382" s="692" t="n"/>
      <c r="J382" s="692" t="n"/>
      <c r="K382" s="692" t="n"/>
      <c r="L382" s="692" t="n"/>
      <c r="M382" s="692" t="n"/>
      <c r="N382" s="692" t="n"/>
      <c r="O382" s="692" t="n"/>
      <c r="P382" s="692" t="n"/>
      <c r="Q382" s="692" t="n"/>
      <c r="R382" s="692" t="n"/>
      <c r="S382" s="692" t="n"/>
      <c r="T382" s="692" t="n"/>
      <c r="U382" s="692" t="n"/>
      <c r="V382" s="692" t="n"/>
      <c r="W382" s="692" t="n"/>
    </row>
    <row r="383">
      <c r="A383" s="692" t="n"/>
      <c r="B383" s="692" t="n"/>
      <c r="C383" s="692" t="n"/>
      <c r="D383" s="692" t="n"/>
      <c r="E383" s="692" t="n"/>
      <c r="F383" s="692" t="n"/>
      <c r="G383" s="692" t="n"/>
      <c r="H383" s="692" t="n"/>
      <c r="I383" s="692" t="n"/>
      <c r="J383" s="692" t="n"/>
      <c r="K383" s="692" t="n"/>
      <c r="L383" s="692" t="n"/>
      <c r="M383" s="692" t="n"/>
      <c r="N383" s="692" t="n"/>
      <c r="O383" s="692" t="n"/>
      <c r="P383" s="692" t="n"/>
      <c r="Q383" s="692" t="n"/>
      <c r="R383" s="692" t="n"/>
      <c r="S383" s="692" t="n"/>
      <c r="T383" s="692" t="n"/>
      <c r="U383" s="692" t="n"/>
      <c r="V383" s="692" t="n"/>
      <c r="W383" s="692" t="n"/>
    </row>
    <row r="384">
      <c r="A384" s="692" t="n"/>
      <c r="B384" s="692" t="n"/>
      <c r="C384" s="692" t="n"/>
      <c r="D384" s="692" t="n"/>
      <c r="E384" s="692" t="n"/>
      <c r="F384" s="692" t="n"/>
      <c r="G384" s="692" t="n"/>
      <c r="H384" s="692" t="n"/>
      <c r="I384" s="692" t="n"/>
      <c r="J384" s="692" t="n"/>
      <c r="K384" s="692" t="n"/>
      <c r="L384" s="692" t="n"/>
      <c r="M384" s="692" t="n"/>
      <c r="N384" s="692" t="n"/>
      <c r="O384" s="692" t="n"/>
      <c r="P384" s="692" t="n"/>
      <c r="Q384" s="692" t="n"/>
      <c r="R384" s="692" t="n"/>
      <c r="S384" s="692" t="n"/>
      <c r="T384" s="692" t="n"/>
      <c r="U384" s="692" t="n"/>
      <c r="V384" s="692" t="n"/>
      <c r="W384" s="692" t="n"/>
    </row>
    <row r="385">
      <c r="A385" s="692" t="n"/>
      <c r="B385" s="692" t="n"/>
      <c r="C385" s="692" t="n"/>
      <c r="D385" s="692" t="n"/>
      <c r="E385" s="692" t="n"/>
      <c r="F385" s="692" t="n"/>
      <c r="G385" s="692" t="n"/>
      <c r="H385" s="692" t="n"/>
      <c r="I385" s="692" t="n"/>
      <c r="J385" s="692" t="n"/>
      <c r="K385" s="692" t="n"/>
      <c r="L385" s="692" t="n"/>
      <c r="M385" s="692" t="n"/>
      <c r="N385" s="692" t="n"/>
      <c r="O385" s="692" t="n"/>
      <c r="P385" s="692" t="n"/>
      <c r="Q385" s="692" t="n"/>
      <c r="R385" s="692" t="n"/>
      <c r="S385" s="692" t="n"/>
      <c r="T385" s="692" t="n"/>
      <c r="U385" s="692" t="n"/>
      <c r="V385" s="692" t="n"/>
      <c r="W385" s="692" t="n"/>
    </row>
    <row r="386">
      <c r="A386" s="692" t="n"/>
      <c r="B386" s="692" t="n"/>
      <c r="C386" s="692" t="n"/>
      <c r="D386" s="692" t="n"/>
      <c r="E386" s="692" t="n"/>
      <c r="F386" s="692" t="n"/>
      <c r="G386" s="692" t="n"/>
      <c r="H386" s="692" t="n"/>
      <c r="I386" s="692" t="n"/>
      <c r="J386" s="692" t="n"/>
      <c r="K386" s="692" t="n"/>
      <c r="L386" s="692" t="n"/>
      <c r="M386" s="692" t="n"/>
      <c r="N386" s="692" t="n"/>
      <c r="O386" s="692" t="n"/>
      <c r="P386" s="692" t="n"/>
      <c r="Q386" s="692" t="n"/>
      <c r="R386" s="692" t="n"/>
      <c r="S386" s="692" t="n"/>
      <c r="T386" s="692" t="n"/>
      <c r="U386" s="692" t="n"/>
      <c r="V386" s="692" t="n"/>
      <c r="W386" s="692" t="n"/>
    </row>
    <row r="387">
      <c r="A387" s="692" t="n"/>
      <c r="B387" s="692" t="n"/>
      <c r="C387" s="692" t="n"/>
      <c r="D387" s="692" t="n"/>
      <c r="E387" s="692" t="n"/>
      <c r="F387" s="692" t="n"/>
      <c r="G387" s="692" t="n"/>
      <c r="H387" s="692" t="n"/>
      <c r="I387" s="692" t="n"/>
      <c r="J387" s="692" t="n"/>
      <c r="K387" s="692" t="n"/>
      <c r="L387" s="692" t="n"/>
      <c r="M387" s="692" t="n"/>
      <c r="N387" s="692" t="n"/>
      <c r="O387" s="692" t="n"/>
      <c r="P387" s="692" t="n"/>
      <c r="Q387" s="692" t="n"/>
      <c r="R387" s="692" t="n"/>
      <c r="S387" s="692" t="n"/>
      <c r="T387" s="692" t="n"/>
      <c r="U387" s="692" t="n"/>
      <c r="V387" s="692" t="n"/>
      <c r="W387" s="692" t="n"/>
    </row>
    <row r="388">
      <c r="A388" s="692" t="n"/>
      <c r="B388" s="692" t="n"/>
      <c r="C388" s="692" t="n"/>
      <c r="D388" s="692" t="n"/>
      <c r="E388" s="692" t="n"/>
      <c r="F388" s="692" t="n"/>
      <c r="G388" s="692" t="n"/>
      <c r="H388" s="692" t="n"/>
      <c r="I388" s="692" t="n"/>
      <c r="J388" s="692" t="n"/>
      <c r="K388" s="692" t="n"/>
      <c r="L388" s="692" t="n"/>
      <c r="M388" s="692" t="n"/>
      <c r="N388" s="692" t="n"/>
      <c r="O388" s="692" t="n"/>
      <c r="P388" s="692" t="n"/>
      <c r="Q388" s="692" t="n"/>
      <c r="R388" s="692" t="n"/>
      <c r="S388" s="692" t="n"/>
      <c r="T388" s="692" t="n"/>
      <c r="U388" s="692" t="n"/>
      <c r="V388" s="692" t="n"/>
      <c r="W388" s="692" t="n"/>
    </row>
    <row r="389">
      <c r="A389" s="692" t="n"/>
      <c r="B389" s="692" t="n"/>
      <c r="C389" s="692" t="n"/>
      <c r="D389" s="692" t="n"/>
      <c r="E389" s="692" t="n"/>
      <c r="F389" s="692" t="n"/>
      <c r="G389" s="692" t="n"/>
      <c r="H389" s="692" t="n"/>
      <c r="I389" s="692" t="n"/>
      <c r="J389" s="692" t="n"/>
      <c r="K389" s="692" t="n"/>
      <c r="L389" s="692" t="n"/>
      <c r="M389" s="692" t="n"/>
      <c r="N389" s="692" t="n"/>
      <c r="O389" s="692" t="n"/>
      <c r="P389" s="692" t="n"/>
      <c r="Q389" s="692" t="n"/>
      <c r="R389" s="692" t="n"/>
      <c r="S389" s="692" t="n"/>
      <c r="T389" s="692" t="n"/>
      <c r="U389" s="692" t="n"/>
      <c r="V389" s="692" t="n"/>
      <c r="W389" s="692" t="n"/>
    </row>
    <row r="390">
      <c r="A390" s="692" t="n"/>
      <c r="B390" s="692" t="n"/>
      <c r="C390" s="692" t="n"/>
      <c r="D390" s="692" t="n"/>
      <c r="E390" s="692" t="n"/>
      <c r="F390" s="692" t="n"/>
      <c r="G390" s="692" t="n"/>
      <c r="H390" s="692" t="n"/>
      <c r="I390" s="692" t="n"/>
      <c r="J390" s="692" t="n"/>
      <c r="K390" s="692" t="n"/>
      <c r="L390" s="692" t="n"/>
      <c r="M390" s="692" t="n"/>
      <c r="N390" s="692" t="n"/>
      <c r="O390" s="692" t="n"/>
      <c r="P390" s="692" t="n"/>
      <c r="Q390" s="692" t="n"/>
      <c r="R390" s="692" t="n"/>
      <c r="S390" s="692" t="n"/>
      <c r="T390" s="692" t="n"/>
      <c r="U390" s="692" t="n"/>
      <c r="V390" s="692" t="n"/>
      <c r="W390" s="692" t="n"/>
    </row>
    <row r="391">
      <c r="A391" s="692" t="n"/>
      <c r="B391" s="692" t="n"/>
      <c r="C391" s="692" t="n"/>
      <c r="D391" s="692" t="n"/>
      <c r="E391" s="692" t="n"/>
      <c r="F391" s="692" t="n"/>
      <c r="G391" s="692" t="n"/>
      <c r="H391" s="692" t="n"/>
      <c r="I391" s="692" t="n"/>
      <c r="J391" s="692" t="n"/>
      <c r="K391" s="692" t="n"/>
      <c r="L391" s="692" t="n"/>
      <c r="M391" s="692" t="n"/>
      <c r="N391" s="692" t="n"/>
      <c r="O391" s="692" t="n"/>
      <c r="P391" s="692" t="n"/>
      <c r="Q391" s="692" t="n"/>
      <c r="R391" s="692" t="n"/>
      <c r="S391" s="692" t="n"/>
      <c r="T391" s="692" t="n"/>
      <c r="U391" s="692" t="n"/>
      <c r="V391" s="692" t="n"/>
      <c r="W391" s="692" t="n"/>
    </row>
    <row r="392">
      <c r="A392" s="692" t="n"/>
      <c r="B392" s="692" t="n"/>
      <c r="C392" s="692" t="n"/>
      <c r="D392" s="692" t="n"/>
      <c r="E392" s="692" t="n"/>
      <c r="F392" s="692" t="n"/>
      <c r="G392" s="692" t="n"/>
      <c r="H392" s="692" t="n"/>
      <c r="I392" s="692" t="n"/>
      <c r="J392" s="692" t="n"/>
      <c r="K392" s="692" t="n"/>
      <c r="L392" s="692" t="n"/>
      <c r="M392" s="692" t="n"/>
      <c r="N392" s="692" t="n"/>
      <c r="O392" s="692" t="n"/>
      <c r="P392" s="692" t="n"/>
      <c r="Q392" s="692" t="n"/>
      <c r="R392" s="692" t="n"/>
      <c r="S392" s="692" t="n"/>
      <c r="T392" s="692" t="n"/>
      <c r="U392" s="692" t="n"/>
      <c r="V392" s="692" t="n"/>
      <c r="W392" s="692" t="n"/>
    </row>
    <row r="393">
      <c r="A393" s="692" t="n"/>
      <c r="B393" s="692" t="n"/>
      <c r="C393" s="692" t="n"/>
      <c r="D393" s="692" t="n"/>
      <c r="E393" s="692" t="n"/>
      <c r="F393" s="692" t="n"/>
      <c r="G393" s="692" t="n"/>
      <c r="H393" s="692" t="n"/>
      <c r="I393" s="692" t="n"/>
      <c r="J393" s="692" t="n"/>
      <c r="K393" s="692" t="n"/>
      <c r="L393" s="692" t="n"/>
      <c r="M393" s="692" t="n"/>
      <c r="N393" s="692" t="n"/>
      <c r="O393" s="692" t="n"/>
      <c r="P393" s="692" t="n"/>
      <c r="Q393" s="692" t="n"/>
      <c r="R393" s="692" t="n"/>
      <c r="S393" s="692" t="n"/>
      <c r="T393" s="692" t="n"/>
      <c r="U393" s="692" t="n"/>
      <c r="V393" s="692" t="n"/>
      <c r="W393" s="692" t="n"/>
    </row>
    <row r="394">
      <c r="A394" s="692" t="n"/>
      <c r="B394" s="692" t="n"/>
      <c r="C394" s="692" t="n"/>
      <c r="D394" s="692" t="n"/>
      <c r="E394" s="692" t="n"/>
      <c r="F394" s="692" t="n"/>
      <c r="G394" s="692" t="n"/>
      <c r="H394" s="692" t="n"/>
      <c r="I394" s="692" t="n"/>
      <c r="J394" s="692" t="n"/>
      <c r="K394" s="692" t="n"/>
      <c r="M394" s="692" t="n"/>
      <c r="N394" s="692" t="n"/>
      <c r="O394" s="692" t="n"/>
      <c r="P394" s="692" t="n"/>
      <c r="Q394" s="692" t="n"/>
      <c r="R394" s="692" t="n"/>
      <c r="S394" s="692" t="n"/>
      <c r="T394" s="692" t="n"/>
      <c r="U394" s="692" t="n"/>
      <c r="V394" s="692" t="n"/>
      <c r="W394" s="692" t="n"/>
    </row>
    <row r="395">
      <c r="A395" s="692" t="n"/>
      <c r="B395" s="692" t="n"/>
      <c r="C395" s="692" t="n"/>
      <c r="D395" s="692" t="n"/>
      <c r="E395" s="692" t="n"/>
      <c r="F395" s="692" t="n"/>
      <c r="G395" s="692" t="n"/>
      <c r="H395" s="692" t="n"/>
      <c r="I395" s="692" t="n"/>
      <c r="J395" s="692" t="n"/>
      <c r="K395" s="692" t="n"/>
      <c r="M395" s="692" t="n"/>
      <c r="N395" s="692" t="n"/>
      <c r="O395" s="692" t="n"/>
      <c r="P395" s="692" t="n"/>
      <c r="Q395" s="692" t="n"/>
      <c r="R395" s="692" t="n"/>
      <c r="S395" s="692" t="n"/>
      <c r="T395" s="692" t="n"/>
      <c r="U395" s="692" t="n"/>
      <c r="V395" s="692" t="n"/>
      <c r="W395" s="692" t="n"/>
    </row>
    <row r="396">
      <c r="A396" s="692" t="n"/>
      <c r="B396" s="692" t="n"/>
      <c r="C396" s="692" t="n"/>
      <c r="D396" s="692" t="n"/>
      <c r="E396" s="692" t="n"/>
      <c r="F396" s="692" t="n"/>
      <c r="G396" s="692" t="n"/>
      <c r="H396" s="692" t="n"/>
      <c r="I396" s="692" t="n"/>
      <c r="J396" s="692" t="n"/>
      <c r="K396" s="692" t="n"/>
      <c r="M396" s="692" t="n"/>
      <c r="N396" s="692" t="n"/>
      <c r="O396" s="692" t="n"/>
      <c r="P396" s="692" t="n"/>
      <c r="Q396" s="692" t="n"/>
      <c r="R396" s="692" t="n"/>
      <c r="S396" s="692" t="n"/>
      <c r="T396" s="692" t="n"/>
      <c r="U396" s="692" t="n"/>
      <c r="V396" s="692" t="n"/>
      <c r="W396" s="692" t="n"/>
    </row>
    <row r="397">
      <c r="A397" s="692" t="n"/>
      <c r="B397" s="158" t="n"/>
      <c r="C397" s="692" t="n"/>
      <c r="D397" s="692" t="n"/>
      <c r="E397" s="692" t="n"/>
      <c r="F397" s="692" t="n"/>
      <c r="G397" s="692" t="n"/>
      <c r="H397" s="692" t="n"/>
      <c r="I397" s="692" t="n"/>
      <c r="J397" s="692" t="n"/>
      <c r="K397" s="692" t="n"/>
      <c r="M397" s="692" t="n"/>
      <c r="N397" s="692" t="n"/>
      <c r="O397" s="692" t="n"/>
      <c r="P397" s="692" t="n"/>
      <c r="Q397" s="692" t="n"/>
      <c r="R397" s="692" t="n"/>
      <c r="S397" s="692" t="n"/>
      <c r="T397" s="692" t="n"/>
      <c r="U397" s="692" t="n"/>
      <c r="V397" s="692" t="n"/>
      <c r="W397" s="692" t="n"/>
    </row>
    <row r="398">
      <c r="A398" s="692" t="n"/>
      <c r="B398" s="692" t="n"/>
      <c r="C398" s="692" t="n"/>
      <c r="D398" s="692" t="n"/>
      <c r="E398" s="692" t="n"/>
      <c r="F398" s="692" t="n"/>
      <c r="G398" s="692" t="n"/>
      <c r="H398" s="692" t="n"/>
      <c r="I398" s="692" t="n"/>
      <c r="J398" s="692" t="n"/>
      <c r="K398" s="692" t="n"/>
      <c r="M398" s="692" t="n"/>
      <c r="N398" s="692" t="n"/>
      <c r="O398" s="692" t="n"/>
      <c r="P398" s="692" t="n"/>
      <c r="Q398" s="692" t="n"/>
      <c r="R398" s="692" t="n"/>
      <c r="S398" s="692" t="n"/>
      <c r="T398" s="692" t="n"/>
      <c r="U398" s="692" t="n"/>
      <c r="V398" s="692" t="n"/>
      <c r="W398" s="692" t="n"/>
    </row>
    <row r="399">
      <c r="A399" s="692" t="n"/>
      <c r="B399" s="692" t="n"/>
      <c r="C399" s="692" t="n"/>
      <c r="D399" s="692" t="n"/>
      <c r="E399" s="692" t="n"/>
      <c r="F399" s="692" t="n"/>
      <c r="G399" s="692" t="n"/>
      <c r="H399" s="692" t="n"/>
      <c r="I399" s="692" t="n"/>
      <c r="J399" s="692" t="n"/>
      <c r="K399" s="692" t="n"/>
      <c r="M399" s="692" t="n"/>
      <c r="N399" s="692" t="n"/>
      <c r="O399" s="692" t="n"/>
      <c r="P399" s="692" t="n"/>
      <c r="Q399" s="692" t="n"/>
      <c r="R399" s="692" t="n"/>
      <c r="S399" s="692" t="n"/>
      <c r="T399" s="692" t="n"/>
      <c r="U399" s="692" t="n"/>
      <c r="V399" s="692" t="n"/>
      <c r="W399" s="692" t="n"/>
    </row>
    <row r="400">
      <c r="A400" s="692" t="n"/>
      <c r="B400" s="692" t="n"/>
      <c r="C400" s="692" t="n"/>
      <c r="D400" s="692" t="n"/>
      <c r="E400" s="692" t="n"/>
      <c r="F400" s="692" t="n"/>
      <c r="G400" s="692" t="n"/>
      <c r="H400" s="692" t="n"/>
      <c r="I400" s="692" t="n"/>
      <c r="J400" s="692" t="n"/>
      <c r="K400" s="692" t="n"/>
      <c r="M400" s="692" t="n"/>
      <c r="N400" s="692" t="n"/>
      <c r="O400" s="692" t="n"/>
      <c r="P400" s="692" t="n"/>
      <c r="Q400" s="692" t="n"/>
      <c r="R400" s="692" t="n"/>
      <c r="S400" s="692" t="n"/>
      <c r="T400" s="692" t="n"/>
      <c r="U400" s="692" t="n"/>
      <c r="V400" s="692" t="n"/>
      <c r="W400" s="692" t="n"/>
    </row>
    <row r="401">
      <c r="A401" s="692" t="n"/>
      <c r="B401" s="158" t="n"/>
      <c r="C401" s="692" t="n"/>
      <c r="D401" s="692" t="n"/>
      <c r="E401" s="692" t="n"/>
      <c r="F401" s="692" t="n"/>
      <c r="G401" s="692" t="n"/>
      <c r="H401" s="692" t="n"/>
      <c r="I401" s="692" t="n"/>
      <c r="J401" s="692" t="n"/>
      <c r="K401" s="692" t="n"/>
      <c r="M401" s="692" t="n"/>
      <c r="N401" s="692" t="n"/>
      <c r="O401" s="692" t="n"/>
      <c r="P401" s="692" t="n"/>
      <c r="Q401" s="692" t="n"/>
      <c r="R401" s="692" t="n"/>
      <c r="S401" s="692" t="n"/>
      <c r="T401" s="692" t="n"/>
      <c r="U401" s="692" t="n"/>
      <c r="V401" s="692" t="n"/>
      <c r="W401" s="692" t="n"/>
    </row>
    <row r="402">
      <c r="A402" s="692" t="n"/>
      <c r="B402" s="692" t="n"/>
      <c r="C402" s="692" t="n"/>
      <c r="D402" s="692" t="n"/>
      <c r="E402" s="692" t="n"/>
      <c r="F402" s="692" t="n"/>
      <c r="G402" s="692" t="n"/>
      <c r="H402" s="692" t="n"/>
      <c r="I402" s="692" t="n"/>
      <c r="J402" s="692" t="n"/>
      <c r="K402" s="692" t="n"/>
      <c r="M402" s="692" t="n"/>
      <c r="N402" s="692" t="n"/>
      <c r="O402" s="692" t="n"/>
      <c r="P402" s="692" t="n"/>
      <c r="Q402" s="692" t="n"/>
      <c r="R402" s="692" t="n"/>
      <c r="S402" s="692" t="n"/>
      <c r="T402" s="692" t="n"/>
      <c r="U402" s="692" t="n"/>
      <c r="V402" s="692" t="n"/>
      <c r="W402" s="692" t="n"/>
    </row>
    <row r="403">
      <c r="A403" s="692" t="n"/>
      <c r="B403" s="692" t="n"/>
      <c r="C403" s="692" t="n"/>
      <c r="D403" s="692" t="n"/>
      <c r="E403" s="692" t="n"/>
      <c r="F403" s="692" t="n"/>
      <c r="G403" s="692" t="n"/>
      <c r="H403" s="692" t="n"/>
      <c r="I403" s="692" t="n"/>
      <c r="J403" s="692" t="n"/>
      <c r="K403" s="692" t="n"/>
      <c r="M403" s="692" t="n"/>
      <c r="N403" s="692" t="n"/>
      <c r="O403" s="692" t="n"/>
      <c r="P403" s="692" t="n"/>
      <c r="Q403" s="692" t="n"/>
      <c r="R403" s="692" t="n"/>
      <c r="S403" s="692" t="n"/>
      <c r="T403" s="692" t="n"/>
      <c r="U403" s="692" t="n"/>
      <c r="V403" s="692" t="n"/>
      <c r="W403" s="692" t="n"/>
    </row>
    <row r="404">
      <c r="A404" s="692" t="n"/>
      <c r="B404" s="692" t="n"/>
      <c r="C404" s="692" t="n"/>
      <c r="D404" s="692" t="n"/>
      <c r="E404" s="692" t="n"/>
      <c r="F404" s="692" t="n"/>
      <c r="G404" s="692" t="n"/>
      <c r="H404" s="692" t="n"/>
      <c r="I404" s="692" t="n"/>
      <c r="J404" s="692" t="n"/>
      <c r="K404" s="692" t="n"/>
      <c r="M404" s="692" t="n"/>
      <c r="N404" s="692" t="n"/>
      <c r="O404" s="692" t="n"/>
      <c r="P404" s="692" t="n"/>
      <c r="Q404" s="692" t="n"/>
      <c r="R404" s="692" t="n"/>
      <c r="S404" s="692" t="n"/>
      <c r="T404" s="692" t="n"/>
      <c r="U404" s="692" t="n"/>
      <c r="V404" s="692" t="n"/>
      <c r="W404" s="692" t="n"/>
    </row>
    <row r="405">
      <c r="A405" s="692" t="n"/>
      <c r="B405" s="692" t="n"/>
      <c r="C405" s="692" t="n"/>
      <c r="D405" s="692" t="n"/>
      <c r="E405" s="692" t="n"/>
      <c r="F405" s="692" t="n"/>
      <c r="G405" s="692" t="n"/>
      <c r="H405" s="692" t="n"/>
      <c r="I405" s="692" t="n"/>
      <c r="J405" s="692" t="n"/>
      <c r="K405" s="692" t="n"/>
      <c r="M405" s="692" t="n"/>
      <c r="N405" s="692" t="n"/>
      <c r="O405" s="692" t="n"/>
      <c r="P405" s="692" t="n"/>
      <c r="Q405" s="692" t="n"/>
      <c r="R405" s="692" t="n"/>
      <c r="S405" s="692" t="n"/>
      <c r="T405" s="692" t="n"/>
      <c r="U405" s="692" t="n"/>
      <c r="V405" s="692" t="n"/>
      <c r="W405" s="692" t="n"/>
    </row>
    <row r="406">
      <c r="A406" s="692" t="n"/>
      <c r="B406" s="692" t="n"/>
      <c r="C406" s="692" t="n"/>
      <c r="D406" s="692" t="n"/>
      <c r="E406" s="159" t="n"/>
      <c r="F406" s="692" t="n"/>
      <c r="G406" s="692" t="n"/>
      <c r="H406" s="692" t="n"/>
      <c r="I406" s="692" t="n"/>
      <c r="J406" s="692" t="n"/>
      <c r="K406" s="692" t="n"/>
      <c r="M406" s="692" t="n"/>
      <c r="N406" s="692" t="n"/>
      <c r="O406" s="692" t="n"/>
      <c r="P406" s="159" t="n"/>
      <c r="Q406" s="692" t="n"/>
      <c r="R406" s="692" t="n"/>
      <c r="S406" s="692" t="n"/>
      <c r="T406" s="692" t="n"/>
      <c r="U406" s="692" t="n"/>
      <c r="V406" s="692" t="n"/>
      <c r="W406" s="692" t="n"/>
    </row>
    <row r="407">
      <c r="A407" s="692" t="n"/>
      <c r="B407" s="692" t="n"/>
      <c r="C407" s="692" t="n"/>
      <c r="D407" s="692" t="n"/>
      <c r="E407" s="692" t="n"/>
      <c r="F407" s="692" t="n"/>
      <c r="G407" s="692" t="n"/>
      <c r="H407" s="692" t="n"/>
      <c r="I407" s="692" t="n"/>
      <c r="J407" s="692" t="n"/>
      <c r="K407" s="692" t="n"/>
      <c r="M407" s="692" t="n"/>
      <c r="N407" s="692" t="n"/>
      <c r="O407" s="692" t="n"/>
      <c r="P407" s="692" t="n"/>
      <c r="Q407" s="692" t="n"/>
      <c r="R407" s="692" t="n"/>
      <c r="S407" s="692" t="n"/>
      <c r="T407" s="692" t="n"/>
      <c r="U407" s="692" t="n"/>
      <c r="V407" s="692" t="n"/>
      <c r="W407" s="692" t="n"/>
    </row>
    <row r="408">
      <c r="A408" s="129" t="n"/>
      <c r="B408" s="159" t="n"/>
      <c r="C408" s="159" t="n"/>
      <c r="D408" s="692" t="n"/>
      <c r="E408" s="692" t="n"/>
      <c r="F408" s="692" t="n"/>
      <c r="G408" s="692" t="n"/>
      <c r="H408" s="692" t="n"/>
      <c r="I408" s="692" t="n"/>
      <c r="J408" s="692" t="n"/>
      <c r="K408" s="692" t="n"/>
      <c r="M408" s="129" t="n"/>
      <c r="N408" s="692" t="n"/>
      <c r="O408" s="692" t="n"/>
      <c r="P408" s="692" t="n"/>
      <c r="Q408" s="692" t="n"/>
      <c r="R408" s="692" t="n"/>
      <c r="S408" s="692" t="n"/>
      <c r="T408" s="692" t="n"/>
      <c r="U408" s="692" t="n"/>
      <c r="V408" s="692" t="n"/>
      <c r="W408" s="692" t="n"/>
    </row>
    <row r="409">
      <c r="B409" s="692" t="n"/>
      <c r="C409" s="692" t="n"/>
      <c r="D409" s="159" t="n"/>
      <c r="E409" s="692" t="n"/>
      <c r="F409" s="692" t="n"/>
      <c r="G409" s="692" t="n"/>
      <c r="H409" s="692" t="n"/>
      <c r="I409" s="692" t="n"/>
      <c r="J409" s="692" t="n"/>
      <c r="K409" s="692" t="n"/>
      <c r="L409" s="692" t="n"/>
      <c r="N409" s="159" t="n"/>
      <c r="O409" s="159" t="n"/>
      <c r="P409" s="692" t="n"/>
      <c r="Q409" s="692" t="n"/>
      <c r="R409" s="692" t="n"/>
      <c r="S409" s="692" t="n"/>
      <c r="T409" s="692" t="n"/>
      <c r="U409" s="692" t="n"/>
      <c r="V409" s="692" t="n"/>
      <c r="W409" s="692" t="n"/>
    </row>
    <row r="410">
      <c r="B410" s="692" t="n"/>
      <c r="C410" s="692" t="n"/>
      <c r="D410" s="692" t="n"/>
      <c r="E410" s="692" t="n"/>
      <c r="F410" s="692" t="n"/>
      <c r="G410" s="692" t="n"/>
      <c r="H410" s="692" t="n"/>
      <c r="I410" s="692" t="n"/>
      <c r="J410" s="692" t="n"/>
      <c r="K410" s="692" t="n"/>
      <c r="L410" s="692" t="n"/>
      <c r="N410" s="692" t="n"/>
      <c r="O410" s="692" t="n"/>
      <c r="P410" s="692" t="n"/>
      <c r="Q410" s="692" t="n"/>
      <c r="R410" s="692" t="n"/>
      <c r="S410" s="692" t="n"/>
      <c r="T410" s="692" t="n"/>
      <c r="U410" s="692" t="n"/>
      <c r="V410" s="692" t="n"/>
      <c r="W410" s="692" t="n"/>
    </row>
    <row r="411">
      <c r="B411" s="692" t="n"/>
      <c r="C411" s="692" t="n"/>
      <c r="D411" s="692" t="n"/>
      <c r="E411" s="692" t="n"/>
      <c r="F411" s="692" t="n"/>
      <c r="G411" s="692" t="n"/>
      <c r="H411" s="692" t="n"/>
      <c r="I411" s="692" t="n"/>
      <c r="J411" s="692" t="n"/>
      <c r="K411" s="692" t="n"/>
      <c r="L411" s="692" t="n"/>
      <c r="N411" s="692" t="n"/>
      <c r="O411" s="692" t="n"/>
      <c r="P411" s="692" t="n"/>
      <c r="Q411" s="692" t="n"/>
      <c r="R411" s="692" t="n"/>
      <c r="S411" s="692" t="n"/>
      <c r="T411" s="692" t="n"/>
      <c r="U411" s="692" t="n"/>
      <c r="V411" s="692" t="n"/>
      <c r="W411" s="692" t="n"/>
    </row>
    <row r="412">
      <c r="B412" s="692" t="n"/>
      <c r="C412" s="692" t="n"/>
      <c r="D412" s="692" t="n"/>
      <c r="E412" s="692" t="n"/>
      <c r="F412" s="692" t="n"/>
      <c r="G412" s="692" t="n"/>
      <c r="H412" s="692" t="n"/>
      <c r="I412" s="692" t="n"/>
      <c r="J412" s="692" t="n"/>
      <c r="K412" s="692" t="n"/>
      <c r="L412" s="692" t="n"/>
      <c r="N412" s="692" t="n"/>
      <c r="O412" s="692" t="n"/>
      <c r="P412" s="692" t="n"/>
      <c r="Q412" s="692" t="n"/>
      <c r="R412" s="692" t="n"/>
      <c r="S412" s="692" t="n"/>
      <c r="T412" s="692" t="n"/>
      <c r="U412" s="692" t="n"/>
      <c r="V412" s="692" t="n"/>
      <c r="W412" s="692" t="n"/>
    </row>
    <row r="413">
      <c r="B413" s="692" t="n"/>
      <c r="C413" s="692" t="n"/>
      <c r="D413" s="692" t="n"/>
      <c r="E413" s="692" t="n"/>
      <c r="F413" s="692" t="n"/>
      <c r="G413" s="692" t="n"/>
      <c r="H413" s="692" t="n"/>
      <c r="I413" s="692" t="n"/>
      <c r="J413" s="692" t="n"/>
      <c r="K413" s="692" t="n"/>
      <c r="L413" s="692" t="n"/>
      <c r="N413" s="692" t="n"/>
      <c r="O413" s="692" t="n"/>
      <c r="P413" s="692" t="n"/>
      <c r="Q413" s="692" t="n"/>
      <c r="R413" s="692" t="n"/>
      <c r="S413" s="692" t="n"/>
      <c r="T413" s="692" t="n"/>
      <c r="U413" s="692" t="n"/>
      <c r="V413" s="692" t="n"/>
      <c r="W413" s="692" t="n"/>
    </row>
    <row r="414">
      <c r="B414" s="692" t="n"/>
      <c r="C414" s="692" t="n"/>
      <c r="D414" s="692" t="n"/>
      <c r="E414" s="692" t="n"/>
      <c r="F414" s="692" t="n"/>
      <c r="G414" s="692" t="n"/>
      <c r="H414" s="692" t="n"/>
      <c r="I414" s="692" t="n"/>
      <c r="J414" s="692" t="n"/>
      <c r="K414" s="692" t="n"/>
      <c r="L414" s="692" t="n"/>
      <c r="N414" s="692" t="n"/>
      <c r="O414" s="692" t="n"/>
      <c r="P414" s="692" t="n"/>
      <c r="Q414" s="692" t="n"/>
      <c r="R414" s="692" t="n"/>
      <c r="S414" s="692" t="n"/>
      <c r="T414" s="692" t="n"/>
      <c r="U414" s="692" t="n"/>
      <c r="V414" s="692" t="n"/>
      <c r="W414" s="692" t="n"/>
    </row>
    <row r="415">
      <c r="B415" s="692" t="n"/>
      <c r="C415" s="692" t="n"/>
      <c r="D415" s="692" t="n"/>
      <c r="E415" s="692" t="n"/>
      <c r="F415" s="692" t="n"/>
      <c r="G415" s="692" t="n"/>
      <c r="H415" s="692" t="n"/>
      <c r="I415" s="692" t="n"/>
      <c r="J415" s="692" t="n"/>
      <c r="K415" s="692" t="n"/>
      <c r="L415" s="692" t="n"/>
      <c r="N415" s="692" t="n"/>
      <c r="O415" s="692" t="n"/>
      <c r="P415" s="692" t="n"/>
      <c r="Q415" s="692" t="n"/>
      <c r="R415" s="692" t="n"/>
      <c r="S415" s="692" t="n"/>
      <c r="T415" s="692" t="n"/>
      <c r="U415" s="692" t="n"/>
      <c r="V415" s="692" t="n"/>
      <c r="W415" s="692" t="n"/>
    </row>
    <row r="416">
      <c r="B416" s="692" t="n"/>
      <c r="C416" s="692" t="n"/>
      <c r="D416" s="692" t="n"/>
      <c r="E416" s="692" t="n"/>
      <c r="F416" s="692" t="n"/>
      <c r="G416" s="692" t="n"/>
      <c r="H416" s="692" t="n"/>
      <c r="I416" s="692" t="n"/>
      <c r="J416" s="692" t="n"/>
      <c r="K416" s="692" t="n"/>
      <c r="L416" s="692" t="n"/>
      <c r="N416" s="692" t="n"/>
      <c r="O416" s="692" t="n"/>
      <c r="P416" s="692" t="n"/>
      <c r="Q416" s="692" t="n"/>
      <c r="R416" s="692" t="n"/>
      <c r="S416" s="692" t="n"/>
      <c r="T416" s="692" t="n"/>
      <c r="U416" s="692" t="n"/>
      <c r="V416" s="692" t="n"/>
      <c r="W416" s="692" t="n"/>
    </row>
    <row r="417">
      <c r="B417" s="692" t="n"/>
      <c r="C417" s="692" t="n"/>
      <c r="D417" s="692" t="n"/>
      <c r="E417" s="692" t="n"/>
      <c r="F417" s="692" t="n"/>
      <c r="G417" s="692" t="n"/>
      <c r="H417" s="692" t="n"/>
      <c r="I417" s="692" t="n"/>
      <c r="J417" s="692" t="n"/>
      <c r="K417" s="692" t="n"/>
      <c r="L417" s="692" t="n"/>
      <c r="N417" s="692" t="n"/>
      <c r="O417" s="692" t="n"/>
      <c r="P417" s="692" t="n"/>
      <c r="Q417" s="692" t="n"/>
      <c r="R417" s="692" t="n"/>
      <c r="S417" s="692" t="n"/>
      <c r="T417" s="692" t="n"/>
      <c r="U417" s="692" t="n"/>
      <c r="V417" s="692" t="n"/>
      <c r="W417" s="692" t="n"/>
    </row>
    <row r="418">
      <c r="B418" s="692" t="n"/>
      <c r="C418" s="692" t="n"/>
      <c r="D418" s="692" t="n"/>
      <c r="E418" s="692" t="n"/>
      <c r="F418" s="692" t="n"/>
      <c r="G418" s="692" t="n"/>
      <c r="H418" s="692" t="n"/>
      <c r="I418" s="692" t="n"/>
      <c r="J418" s="692" t="n"/>
      <c r="K418" s="692" t="n"/>
      <c r="L418" s="692" t="n"/>
      <c r="N418" s="692" t="n"/>
      <c r="O418" s="692" t="n"/>
      <c r="P418" s="692" t="n"/>
      <c r="Q418" s="692" t="n"/>
      <c r="R418" s="692" t="n"/>
      <c r="S418" s="692" t="n"/>
      <c r="T418" s="692" t="n"/>
      <c r="U418" s="692" t="n"/>
      <c r="V418" s="692" t="n"/>
      <c r="W418" s="692" t="n"/>
    </row>
    <row r="419">
      <c r="B419" s="692" t="n"/>
      <c r="C419" s="692" t="n"/>
      <c r="D419" s="692" t="n"/>
      <c r="E419" s="692" t="n"/>
      <c r="F419" s="692" t="n"/>
      <c r="G419" s="692" t="n"/>
      <c r="H419" s="692" t="n"/>
      <c r="I419" s="692" t="n"/>
      <c r="J419" s="692" t="n"/>
      <c r="K419" s="692" t="n"/>
      <c r="L419" s="692" t="n"/>
      <c r="N419" s="692" t="n"/>
      <c r="O419" s="692" t="n"/>
      <c r="P419" s="692" t="n"/>
      <c r="Q419" s="692" t="n"/>
      <c r="R419" s="692" t="n"/>
      <c r="S419" s="692" t="n"/>
      <c r="T419" s="692" t="n"/>
      <c r="U419" s="692" t="n"/>
      <c r="V419" s="692" t="n"/>
      <c r="W419" s="692" t="n"/>
    </row>
    <row r="420">
      <c r="B420" s="692" t="n"/>
      <c r="C420" s="692" t="n"/>
      <c r="D420" s="692" t="n"/>
      <c r="E420" s="692" t="n"/>
      <c r="F420" s="692" t="n"/>
      <c r="G420" s="692" t="n"/>
      <c r="H420" s="692" t="n"/>
      <c r="I420" s="692" t="n"/>
      <c r="J420" s="692" t="n"/>
      <c r="K420" s="692" t="n"/>
      <c r="L420" s="692" t="n"/>
      <c r="N420" s="692" t="n"/>
      <c r="O420" s="692" t="n"/>
      <c r="P420" s="692" t="n"/>
      <c r="Q420" s="692" t="n"/>
      <c r="R420" s="692" t="n"/>
      <c r="S420" s="692" t="n"/>
      <c r="T420" s="692" t="n"/>
      <c r="U420" s="692" t="n"/>
      <c r="V420" s="692" t="n"/>
      <c r="W420" s="692" t="n"/>
    </row>
    <row r="421">
      <c r="B421" s="692" t="n"/>
      <c r="C421" s="692" t="n"/>
      <c r="D421" s="692" t="n"/>
      <c r="E421" s="692" t="n"/>
      <c r="F421" s="692" t="n"/>
      <c r="G421" s="692" t="n"/>
      <c r="H421" s="692" t="n"/>
      <c r="I421" s="692" t="n"/>
      <c r="J421" s="692" t="n"/>
      <c r="K421" s="692" t="n"/>
      <c r="L421" s="692" t="n"/>
      <c r="N421" s="692" t="n"/>
      <c r="O421" s="692" t="n"/>
      <c r="P421" s="692" t="n"/>
      <c r="Q421" s="692" t="n"/>
      <c r="R421" s="692" t="n"/>
      <c r="S421" s="692" t="n"/>
      <c r="T421" s="692" t="n"/>
      <c r="U421" s="692" t="n"/>
      <c r="V421" s="692" t="n"/>
      <c r="W421" s="692" t="n"/>
    </row>
    <row r="422">
      <c r="A422" s="692" t="n"/>
      <c r="B422" s="692" t="n"/>
      <c r="C422" s="692" t="n"/>
      <c r="D422" s="692" t="n"/>
      <c r="E422" s="692" t="n"/>
      <c r="F422" s="692" t="n"/>
      <c r="G422" s="692" t="n"/>
      <c r="H422" s="692" t="n"/>
      <c r="I422" s="692" t="n"/>
      <c r="J422" s="692" t="n"/>
      <c r="K422" s="692" t="n"/>
      <c r="L422" s="692" t="n"/>
      <c r="M422" s="692" t="n"/>
      <c r="N422" s="692" t="n"/>
      <c r="O422" s="692" t="n"/>
      <c r="P422" s="692" t="n"/>
      <c r="Q422" s="692" t="n"/>
      <c r="R422" s="692" t="n"/>
      <c r="S422" s="692" t="n"/>
      <c r="T422" s="692" t="n"/>
      <c r="U422" s="692" t="n"/>
      <c r="V422" s="692" t="n"/>
      <c r="W422" s="692" t="n"/>
    </row>
    <row r="423">
      <c r="A423" s="692" t="n"/>
      <c r="B423" s="692" t="n"/>
      <c r="C423" s="692" t="n"/>
      <c r="D423" s="692" t="n"/>
      <c r="E423" s="692" t="n"/>
      <c r="F423" s="692" t="n"/>
      <c r="G423" s="692" t="n"/>
      <c r="H423" s="692" t="n"/>
      <c r="I423" s="692" t="n"/>
      <c r="J423" s="692" t="n"/>
      <c r="K423" s="692" t="n"/>
      <c r="L423" s="692" t="n"/>
      <c r="M423" s="692" t="n"/>
      <c r="N423" s="692" t="n"/>
      <c r="O423" s="692" t="n"/>
      <c r="P423" s="692" t="n"/>
      <c r="Q423" s="692" t="n"/>
      <c r="R423" s="692" t="n"/>
      <c r="S423" s="692" t="n"/>
      <c r="T423" s="692" t="n"/>
      <c r="U423" s="692" t="n"/>
      <c r="V423" s="692" t="n"/>
      <c r="W423" s="692" t="n"/>
    </row>
    <row r="424">
      <c r="A424" s="692" t="n"/>
      <c r="B424" s="692" t="n"/>
      <c r="C424" s="692" t="n"/>
      <c r="D424" s="692" t="n"/>
      <c r="E424" s="692" t="n"/>
      <c r="F424" s="692" t="n"/>
      <c r="G424" s="692" t="n"/>
      <c r="H424" s="692" t="n"/>
      <c r="I424" s="692" t="n"/>
      <c r="J424" s="692" t="n"/>
      <c r="K424" s="692" t="n"/>
      <c r="L424" s="692" t="n"/>
      <c r="M424" s="692" t="n"/>
      <c r="N424" s="692" t="n"/>
      <c r="O424" s="692" t="n"/>
      <c r="P424" s="692" t="n"/>
      <c r="Q424" s="692" t="n"/>
      <c r="R424" s="692" t="n"/>
      <c r="S424" s="692" t="n"/>
      <c r="T424" s="692" t="n"/>
      <c r="U424" s="692" t="n"/>
      <c r="V424" s="692" t="n"/>
      <c r="W424" s="692" t="n"/>
    </row>
    <row r="425">
      <c r="A425" s="692" t="n"/>
      <c r="B425" s="692" t="n"/>
      <c r="C425" s="692" t="n"/>
      <c r="D425" s="692" t="n"/>
      <c r="E425" s="692" t="n"/>
      <c r="F425" s="692" t="n"/>
      <c r="G425" s="692" t="n"/>
      <c r="H425" s="692" t="n"/>
      <c r="I425" s="692" t="n"/>
      <c r="J425" s="692" t="n"/>
      <c r="K425" s="692" t="n"/>
      <c r="L425" s="692" t="n"/>
      <c r="M425" s="692" t="n"/>
      <c r="N425" s="692" t="n"/>
      <c r="O425" s="692" t="n"/>
      <c r="P425" s="692" t="n"/>
      <c r="Q425" s="692" t="n"/>
      <c r="R425" s="692" t="n"/>
      <c r="S425" s="692" t="n"/>
      <c r="T425" s="692" t="n"/>
      <c r="U425" s="692" t="n"/>
      <c r="V425" s="692" t="n"/>
      <c r="W425" s="692" t="n"/>
    </row>
    <row r="426">
      <c r="A426" s="692" t="n"/>
      <c r="B426" s="692" t="n"/>
      <c r="C426" s="692" t="n"/>
      <c r="D426" s="692" t="n"/>
      <c r="E426" s="692" t="n"/>
      <c r="F426" s="692" t="n"/>
      <c r="G426" s="692" t="n"/>
      <c r="H426" s="692" t="n"/>
      <c r="I426" s="692" t="n"/>
      <c r="J426" s="692" t="n"/>
      <c r="K426" s="692" t="n"/>
      <c r="L426" s="692" t="n"/>
      <c r="M426" s="692" t="n"/>
      <c r="N426" s="692" t="n"/>
      <c r="O426" s="692" t="n"/>
      <c r="P426" s="692" t="n"/>
      <c r="Q426" s="692" t="n"/>
      <c r="R426" s="692" t="n"/>
      <c r="S426" s="692" t="n"/>
      <c r="T426" s="692" t="n"/>
      <c r="U426" s="692" t="n"/>
      <c r="V426" s="692" t="n"/>
      <c r="W426" s="692" t="n"/>
    </row>
    <row r="427">
      <c r="A427" s="692" t="n"/>
      <c r="B427" s="692" t="n"/>
      <c r="C427" s="692" t="n"/>
      <c r="D427" s="692" t="n"/>
      <c r="E427" s="692" t="n"/>
      <c r="F427" s="692" t="n"/>
      <c r="G427" s="692" t="n"/>
      <c r="H427" s="692" t="n"/>
      <c r="I427" s="692" t="n"/>
      <c r="J427" s="692" t="n"/>
      <c r="K427" s="692" t="n"/>
      <c r="L427" s="692" t="n"/>
      <c r="M427" s="692" t="n"/>
      <c r="N427" s="692" t="n"/>
      <c r="O427" s="692" t="n"/>
      <c r="P427" s="692" t="n"/>
      <c r="Q427" s="692" t="n"/>
      <c r="R427" s="692" t="n"/>
      <c r="S427" s="692" t="n"/>
      <c r="T427" s="692" t="n"/>
      <c r="U427" s="692" t="n"/>
      <c r="V427" s="692" t="n"/>
      <c r="W427" s="692" t="n"/>
    </row>
    <row r="428">
      <c r="A428" s="692" t="n"/>
      <c r="B428" s="692" t="n"/>
      <c r="C428" s="692" t="n"/>
      <c r="D428" s="692" t="n"/>
      <c r="E428" s="692" t="n"/>
      <c r="F428" s="692" t="n"/>
      <c r="G428" s="692" t="n"/>
      <c r="H428" s="692" t="n"/>
      <c r="I428" s="692" t="n"/>
      <c r="J428" s="692" t="n"/>
      <c r="K428" s="692" t="n"/>
      <c r="L428" s="692" t="n"/>
      <c r="M428" s="692" t="n"/>
      <c r="N428" s="692" t="n"/>
      <c r="O428" s="692" t="n"/>
      <c r="P428" s="692" t="n"/>
      <c r="Q428" s="692" t="n"/>
      <c r="R428" s="692" t="n"/>
      <c r="S428" s="692" t="n"/>
      <c r="T428" s="692" t="n"/>
      <c r="U428" s="692" t="n"/>
      <c r="V428" s="692" t="n"/>
      <c r="W428" s="692" t="n"/>
    </row>
    <row r="429">
      <c r="A429" s="692" t="n"/>
      <c r="B429" s="692" t="n"/>
      <c r="C429" s="692" t="n"/>
      <c r="D429" s="692" t="n"/>
      <c r="E429" s="692" t="n"/>
      <c r="F429" s="692" t="n"/>
      <c r="G429" s="692" t="n"/>
      <c r="H429" s="692" t="n"/>
      <c r="I429" s="692" t="n"/>
      <c r="J429" s="692" t="n"/>
      <c r="K429" s="692" t="n"/>
      <c r="L429" s="692" t="n"/>
      <c r="M429" s="692" t="n"/>
      <c r="N429" s="692" t="n"/>
      <c r="O429" s="692" t="n"/>
      <c r="P429" s="692" t="n"/>
      <c r="Q429" s="692" t="n"/>
      <c r="R429" s="692" t="n"/>
      <c r="S429" s="692" t="n"/>
      <c r="T429" s="692" t="n"/>
      <c r="U429" s="692" t="n"/>
      <c r="V429" s="692" t="n"/>
      <c r="W429" s="692" t="n"/>
    </row>
    <row r="430">
      <c r="A430" s="692" t="n"/>
      <c r="B430" s="692" t="n"/>
      <c r="C430" s="692" t="n"/>
      <c r="D430" s="692" t="n"/>
      <c r="E430" s="692" t="n"/>
      <c r="F430" s="692" t="n"/>
      <c r="G430" s="692" t="n"/>
      <c r="H430" s="692" t="n"/>
      <c r="I430" s="692" t="n"/>
      <c r="J430" s="692" t="n"/>
      <c r="K430" s="692" t="n"/>
      <c r="L430" s="692" t="n"/>
      <c r="M430" s="692" t="n"/>
      <c r="N430" s="692" t="n"/>
      <c r="O430" s="692" t="n"/>
      <c r="P430" s="692" t="n"/>
      <c r="Q430" s="692" t="n"/>
      <c r="R430" s="692" t="n"/>
      <c r="S430" s="692" t="n"/>
      <c r="T430" s="692" t="n"/>
      <c r="U430" s="692" t="n"/>
      <c r="V430" s="692" t="n"/>
      <c r="W430" s="692" t="n"/>
    </row>
    <row r="431">
      <c r="A431" s="692" t="n"/>
      <c r="B431" s="692" t="n"/>
      <c r="C431" s="692" t="n"/>
      <c r="D431" s="692" t="n"/>
      <c r="E431" s="692" t="n"/>
      <c r="F431" s="692" t="n"/>
      <c r="G431" s="692" t="n"/>
      <c r="H431" s="692" t="n"/>
      <c r="I431" s="692" t="n"/>
      <c r="J431" s="692" t="n"/>
      <c r="K431" s="692" t="n"/>
      <c r="L431" s="692" t="n"/>
      <c r="M431" s="692" t="n"/>
      <c r="N431" s="692" t="n"/>
      <c r="O431" s="692" t="n"/>
      <c r="P431" s="692" t="n"/>
      <c r="Q431" s="692" t="n"/>
      <c r="R431" s="692" t="n"/>
      <c r="S431" s="692" t="n"/>
      <c r="T431" s="692" t="n"/>
      <c r="U431" s="692" t="n"/>
      <c r="V431" s="692" t="n"/>
      <c r="W431" s="692" t="n"/>
    </row>
    <row r="432">
      <c r="A432" s="692" t="n"/>
      <c r="B432" s="692" t="n"/>
      <c r="C432" s="692" t="n"/>
      <c r="D432" s="692" t="n"/>
      <c r="E432" s="692" t="n"/>
      <c r="F432" s="692" t="n"/>
      <c r="G432" s="692" t="n"/>
      <c r="H432" s="692" t="n"/>
      <c r="I432" s="692" t="n"/>
      <c r="J432" s="692" t="n"/>
      <c r="K432" s="692" t="n"/>
      <c r="L432" s="692" t="n"/>
      <c r="M432" s="692" t="n"/>
      <c r="N432" s="692" t="n"/>
      <c r="O432" s="692" t="n"/>
      <c r="P432" s="692" t="n"/>
      <c r="Q432" s="692" t="n"/>
      <c r="R432" s="692" t="n"/>
      <c r="S432" s="692" t="n"/>
      <c r="T432" s="692" t="n"/>
      <c r="U432" s="692" t="n"/>
      <c r="V432" s="692" t="n"/>
      <c r="W432" s="692" t="n"/>
    </row>
    <row r="433">
      <c r="A433" s="692" t="n"/>
      <c r="B433" s="692" t="n"/>
      <c r="C433" s="692" t="n"/>
      <c r="D433" s="692" t="n"/>
      <c r="E433" s="692" t="n"/>
      <c r="F433" s="692" t="n"/>
      <c r="G433" s="692" t="n"/>
      <c r="H433" s="692" t="n"/>
      <c r="I433" s="692" t="n"/>
      <c r="J433" s="692" t="n"/>
      <c r="K433" s="692" t="n"/>
      <c r="L433" s="692" t="n"/>
      <c r="M433" s="692" t="n"/>
      <c r="N433" s="692" t="n"/>
      <c r="O433" s="692" t="n"/>
      <c r="P433" s="692" t="n"/>
      <c r="Q433" s="692" t="n"/>
      <c r="R433" s="692" t="n"/>
      <c r="S433" s="692" t="n"/>
      <c r="T433" s="692" t="n"/>
      <c r="U433" s="692" t="n"/>
      <c r="V433" s="692" t="n"/>
      <c r="W433" s="692" t="n"/>
    </row>
    <row r="434">
      <c r="A434" s="692" t="n"/>
      <c r="B434" s="692" t="n"/>
      <c r="C434" s="692" t="n"/>
      <c r="D434" s="692" t="n"/>
      <c r="E434" s="692" t="n"/>
      <c r="F434" s="692" t="n"/>
      <c r="G434" s="692" t="n"/>
      <c r="H434" s="692" t="n"/>
      <c r="I434" s="692" t="n"/>
      <c r="J434" s="692" t="n"/>
      <c r="K434" s="692" t="n"/>
      <c r="L434" s="692" t="n"/>
      <c r="M434" s="692" t="n"/>
      <c r="N434" s="692" t="n"/>
      <c r="O434" s="692" t="n"/>
      <c r="P434" s="692" t="n"/>
      <c r="Q434" s="692" t="n"/>
      <c r="R434" s="692" t="n"/>
      <c r="S434" s="692" t="n"/>
      <c r="T434" s="692" t="n"/>
      <c r="U434" s="692" t="n"/>
      <c r="V434" s="692" t="n"/>
      <c r="W434" s="692" t="n"/>
    </row>
    <row r="435">
      <c r="A435" s="692" t="n"/>
      <c r="B435" s="692" t="n"/>
      <c r="C435" s="692" t="n"/>
      <c r="D435" s="692" t="n"/>
      <c r="E435" s="692" t="n"/>
      <c r="F435" s="692" t="n"/>
      <c r="G435" s="692" t="n"/>
      <c r="H435" s="692" t="n"/>
      <c r="I435" s="692" t="n"/>
      <c r="J435" s="692" t="n"/>
      <c r="K435" s="692" t="n"/>
      <c r="L435" s="692" t="n"/>
      <c r="M435" s="692" t="n"/>
      <c r="N435" s="692" t="n"/>
      <c r="O435" s="692" t="n"/>
      <c r="P435" s="692" t="n"/>
      <c r="Q435" s="692" t="n"/>
      <c r="R435" s="692" t="n"/>
      <c r="S435" s="692" t="n"/>
      <c r="T435" s="692" t="n"/>
      <c r="U435" s="692" t="n"/>
      <c r="V435" s="692" t="n"/>
      <c r="W435" s="692" t="n"/>
    </row>
    <row r="436">
      <c r="A436" s="692" t="n"/>
      <c r="B436" s="692" t="n"/>
      <c r="C436" s="692" t="n"/>
      <c r="D436" s="692" t="n"/>
      <c r="E436" s="692" t="n"/>
      <c r="F436" s="692" t="n"/>
      <c r="G436" s="692" t="n"/>
      <c r="H436" s="692" t="n"/>
      <c r="I436" s="692" t="n"/>
      <c r="J436" s="692" t="n"/>
      <c r="K436" s="692" t="n"/>
      <c r="L436" s="692" t="n"/>
      <c r="M436" s="692" t="n"/>
      <c r="N436" s="692" t="n"/>
      <c r="O436" s="692" t="n"/>
      <c r="P436" s="692" t="n"/>
      <c r="Q436" s="692" t="n"/>
      <c r="R436" s="692" t="n"/>
      <c r="S436" s="692" t="n"/>
      <c r="T436" s="692" t="n"/>
      <c r="U436" s="692" t="n"/>
      <c r="V436" s="692" t="n"/>
      <c r="W436" s="692" t="n"/>
    </row>
    <row r="437">
      <c r="A437" s="692" t="n"/>
      <c r="B437" s="692" t="n"/>
      <c r="C437" s="692" t="n"/>
      <c r="D437" s="692" t="n"/>
      <c r="E437" s="692" t="n"/>
      <c r="F437" s="692" t="n"/>
      <c r="G437" s="692" t="n"/>
      <c r="H437" s="692" t="n"/>
      <c r="I437" s="692" t="n"/>
      <c r="J437" s="692" t="n"/>
      <c r="K437" s="692" t="n"/>
      <c r="L437" s="692" t="n"/>
      <c r="M437" s="692" t="n"/>
      <c r="N437" s="692" t="n"/>
      <c r="O437" s="692" t="n"/>
      <c r="P437" s="692" t="n"/>
      <c r="Q437" s="692" t="n"/>
      <c r="R437" s="692" t="n"/>
      <c r="S437" s="692" t="n"/>
      <c r="T437" s="692" t="n"/>
      <c r="U437" s="692" t="n"/>
      <c r="V437" s="692" t="n"/>
      <c r="W437" s="692" t="n"/>
    </row>
    <row r="438">
      <c r="A438" s="692" t="n"/>
      <c r="B438" s="692" t="n"/>
      <c r="C438" s="692" t="n"/>
      <c r="D438" s="692" t="n"/>
      <c r="E438" s="692" t="n"/>
      <c r="F438" s="692" t="n"/>
      <c r="G438" s="692" t="n"/>
      <c r="H438" s="692" t="n"/>
      <c r="I438" s="692" t="n"/>
      <c r="J438" s="692" t="n"/>
      <c r="K438" s="692" t="n"/>
      <c r="L438" s="692" t="n"/>
      <c r="M438" s="692" t="n"/>
      <c r="N438" s="692" t="n"/>
      <c r="O438" s="692" t="n"/>
      <c r="P438" s="692" t="n"/>
      <c r="Q438" s="692" t="n"/>
      <c r="R438" s="692" t="n"/>
      <c r="S438" s="692" t="n"/>
      <c r="T438" s="692" t="n"/>
      <c r="U438" s="692" t="n"/>
      <c r="V438" s="692" t="n"/>
      <c r="W438" s="692" t="n"/>
    </row>
    <row r="439">
      <c r="A439" s="692" t="n"/>
      <c r="B439" s="692" t="n"/>
      <c r="C439" s="692" t="n"/>
      <c r="D439" s="692" t="n"/>
      <c r="E439" s="692" t="n"/>
      <c r="F439" s="692" t="n"/>
      <c r="G439" s="692" t="n"/>
      <c r="H439" s="692" t="n"/>
      <c r="I439" s="692" t="n"/>
      <c r="J439" s="692" t="n"/>
      <c r="K439" s="692" t="n"/>
      <c r="L439" s="692" t="n"/>
      <c r="M439" s="692" t="n"/>
      <c r="N439" s="692" t="n"/>
      <c r="O439" s="692" t="n"/>
      <c r="P439" s="692" t="n"/>
      <c r="Q439" s="692" t="n"/>
      <c r="R439" s="692" t="n"/>
      <c r="S439" s="692" t="n"/>
      <c r="T439" s="692" t="n"/>
      <c r="U439" s="692" t="n"/>
      <c r="V439" s="692" t="n"/>
      <c r="W439" s="692" t="n"/>
    </row>
    <row r="440">
      <c r="A440" s="692" t="n"/>
      <c r="B440" s="692" t="n"/>
      <c r="C440" s="692" t="n"/>
      <c r="D440" s="692" t="n"/>
      <c r="E440" s="692" t="n"/>
      <c r="F440" s="692" t="n"/>
      <c r="G440" s="692" t="n"/>
      <c r="H440" s="692" t="n"/>
      <c r="I440" s="692" t="n"/>
      <c r="J440" s="692" t="n"/>
      <c r="K440" s="692" t="n"/>
      <c r="L440" s="692" t="n"/>
      <c r="M440" s="692" t="n"/>
      <c r="N440" s="692" t="n"/>
      <c r="O440" s="692" t="n"/>
      <c r="P440" s="692" t="n"/>
      <c r="Q440" s="692" t="n"/>
      <c r="R440" s="692" t="n"/>
      <c r="S440" s="692" t="n"/>
      <c r="T440" s="692" t="n"/>
      <c r="U440" s="692" t="n"/>
      <c r="V440" s="692" t="n"/>
      <c r="W440" s="692" t="n"/>
    </row>
    <row r="441">
      <c r="A441" s="692" t="n"/>
      <c r="B441" s="692" t="n"/>
      <c r="C441" s="692" t="n"/>
      <c r="D441" s="692" t="n"/>
      <c r="E441" s="692" t="n"/>
      <c r="F441" s="692" t="n"/>
      <c r="G441" s="692" t="n"/>
      <c r="H441" s="692" t="n"/>
      <c r="I441" s="692" t="n"/>
      <c r="J441" s="692" t="n"/>
      <c r="K441" s="692" t="n"/>
      <c r="L441" s="692" t="n"/>
      <c r="M441" s="692" t="n"/>
      <c r="N441" s="692" t="n"/>
      <c r="O441" s="692" t="n"/>
      <c r="P441" s="692" t="n"/>
      <c r="Q441" s="692" t="n"/>
      <c r="R441" s="692" t="n"/>
      <c r="S441" s="692" t="n"/>
      <c r="T441" s="692" t="n"/>
      <c r="U441" s="692" t="n"/>
      <c r="V441" s="692" t="n"/>
      <c r="W441" s="692" t="n"/>
    </row>
    <row r="442">
      <c r="A442" s="692" t="n"/>
      <c r="B442" s="692" t="n"/>
      <c r="C442" s="692" t="n"/>
      <c r="D442" s="692" t="n"/>
      <c r="E442" s="692" t="n"/>
      <c r="F442" s="692" t="n"/>
      <c r="G442" s="692" t="n"/>
      <c r="H442" s="692" t="n"/>
      <c r="I442" s="692" t="n"/>
      <c r="J442" s="692" t="n"/>
      <c r="K442" s="692" t="n"/>
      <c r="L442" s="692" t="n"/>
      <c r="M442" s="692" t="n"/>
      <c r="N442" s="692" t="n"/>
      <c r="O442" s="692" t="n"/>
      <c r="P442" s="692" t="n"/>
      <c r="Q442" s="692" t="n"/>
      <c r="R442" s="692" t="n"/>
      <c r="S442" s="692" t="n"/>
      <c r="T442" s="692" t="n"/>
      <c r="U442" s="692" t="n"/>
      <c r="V442" s="692" t="n"/>
      <c r="W442" s="692" t="n"/>
    </row>
    <row r="443">
      <c r="A443" s="692" t="n"/>
      <c r="B443" s="692" t="n"/>
      <c r="C443" s="692" t="n"/>
      <c r="D443" s="692" t="n"/>
      <c r="E443" s="692" t="n"/>
      <c r="F443" s="692" t="n"/>
      <c r="G443" s="692" t="n"/>
      <c r="H443" s="692" t="n"/>
      <c r="I443" s="692" t="n"/>
      <c r="J443" s="692" t="n"/>
      <c r="K443" s="692" t="n"/>
      <c r="L443" s="692" t="n"/>
      <c r="M443" s="692" t="n"/>
      <c r="N443" s="692" t="n"/>
      <c r="O443" s="692" t="n"/>
      <c r="P443" s="692" t="n"/>
      <c r="Q443" s="692" t="n"/>
      <c r="R443" s="692" t="n"/>
      <c r="S443" s="692" t="n"/>
      <c r="T443" s="692" t="n"/>
      <c r="U443" s="692" t="n"/>
      <c r="V443" s="692" t="n"/>
      <c r="W443" s="692" t="n"/>
    </row>
    <row r="444">
      <c r="A444" s="692" t="n"/>
      <c r="B444" s="692" t="n"/>
      <c r="C444" s="692" t="n"/>
      <c r="D444" s="692" t="n"/>
      <c r="E444" s="692" t="n"/>
      <c r="F444" s="692" t="n"/>
      <c r="G444" s="692" t="n"/>
      <c r="H444" s="692" t="n"/>
      <c r="I444" s="692" t="n"/>
      <c r="J444" s="692" t="n"/>
      <c r="K444" s="692" t="n"/>
      <c r="L444" s="692" t="n"/>
      <c r="M444" s="692" t="n"/>
      <c r="N444" s="692" t="n"/>
      <c r="O444" s="692" t="n"/>
      <c r="P444" s="692" t="n"/>
      <c r="Q444" s="692" t="n"/>
      <c r="R444" s="692" t="n"/>
      <c r="S444" s="692" t="n"/>
      <c r="T444" s="692" t="n"/>
      <c r="U444" s="692" t="n"/>
      <c r="V444" s="692" t="n"/>
      <c r="W444" s="692" t="n"/>
    </row>
    <row r="445">
      <c r="A445" s="692" t="n"/>
      <c r="B445" s="692" t="n"/>
      <c r="C445" s="692" t="n"/>
      <c r="D445" s="692" t="n"/>
      <c r="E445" s="692" t="n"/>
      <c r="F445" s="692" t="n"/>
      <c r="G445" s="692" t="n"/>
      <c r="H445" s="692" t="n"/>
      <c r="I445" s="692" t="n"/>
      <c r="J445" s="692" t="n"/>
      <c r="K445" s="692" t="n"/>
      <c r="L445" s="692" t="n"/>
      <c r="M445" s="692" t="n"/>
      <c r="N445" s="692" t="n"/>
      <c r="O445" s="692" t="n"/>
      <c r="P445" s="692" t="n"/>
      <c r="Q445" s="692" t="n"/>
      <c r="R445" s="692" t="n"/>
      <c r="S445" s="692" t="n"/>
      <c r="T445" s="692" t="n"/>
      <c r="U445" s="692" t="n"/>
      <c r="V445" s="692" t="n"/>
      <c r="W445" s="692" t="n"/>
    </row>
    <row r="446">
      <c r="A446" s="692" t="n"/>
      <c r="B446" s="692" t="n"/>
      <c r="C446" s="692" t="n"/>
      <c r="D446" s="692" t="n"/>
      <c r="E446" s="692" t="n"/>
      <c r="F446" s="692" t="n"/>
      <c r="G446" s="692" t="n"/>
      <c r="H446" s="692" t="n"/>
      <c r="I446" s="692" t="n"/>
      <c r="J446" s="692" t="n"/>
      <c r="K446" s="692" t="n"/>
      <c r="L446" s="692" t="n"/>
      <c r="M446" s="692" t="n"/>
      <c r="N446" s="692" t="n"/>
      <c r="O446" s="692" t="n"/>
      <c r="P446" s="692" t="n"/>
      <c r="Q446" s="692" t="n"/>
      <c r="R446" s="692" t="n"/>
      <c r="S446" s="692" t="n"/>
      <c r="T446" s="692" t="n"/>
      <c r="U446" s="692" t="n"/>
      <c r="V446" s="692" t="n"/>
      <c r="W446" s="692" t="n"/>
    </row>
    <row r="447">
      <c r="A447" s="692" t="n"/>
      <c r="B447" s="692" t="n"/>
      <c r="C447" s="692" t="n"/>
      <c r="D447" s="692" t="n"/>
      <c r="E447" s="692" t="n"/>
      <c r="F447" s="692" t="n"/>
      <c r="G447" s="692" t="n"/>
      <c r="H447" s="692" t="n"/>
      <c r="I447" s="692" t="n"/>
      <c r="J447" s="692" t="n"/>
      <c r="K447" s="692" t="n"/>
      <c r="L447" s="692" t="n"/>
      <c r="M447" s="692" t="n"/>
      <c r="N447" s="692" t="n"/>
      <c r="O447" s="692" t="n"/>
      <c r="P447" s="692" t="n"/>
      <c r="Q447" s="692" t="n"/>
      <c r="R447" s="692" t="n"/>
      <c r="S447" s="692" t="n"/>
      <c r="T447" s="692" t="n"/>
      <c r="U447" s="692" t="n"/>
      <c r="V447" s="692" t="n"/>
      <c r="W447" s="692" t="n"/>
    </row>
    <row r="448">
      <c r="A448" s="692" t="n"/>
      <c r="B448" s="692" t="n"/>
      <c r="C448" s="692" t="n"/>
      <c r="D448" s="692" t="n"/>
      <c r="E448" s="692" t="n"/>
      <c r="F448" s="692" t="n"/>
      <c r="G448" s="692" t="n"/>
      <c r="H448" s="692" t="n"/>
      <c r="I448" s="692" t="n"/>
      <c r="J448" s="692" t="n"/>
      <c r="K448" s="692" t="n"/>
      <c r="L448" s="692" t="n"/>
      <c r="M448" s="692" t="n"/>
      <c r="N448" s="692" t="n"/>
      <c r="O448" s="692" t="n"/>
      <c r="P448" s="692" t="n"/>
      <c r="Q448" s="692" t="n"/>
      <c r="R448" s="692" t="n"/>
      <c r="S448" s="692" t="n"/>
      <c r="T448" s="692" t="n"/>
      <c r="U448" s="692" t="n"/>
      <c r="V448" s="692" t="n"/>
      <c r="W448" s="692" t="n"/>
    </row>
    <row r="449">
      <c r="A449" s="692" t="n"/>
      <c r="B449" s="692" t="n"/>
      <c r="C449" s="692" t="n"/>
      <c r="D449" s="692" t="n"/>
      <c r="E449" s="692" t="n"/>
      <c r="F449" s="692" t="n"/>
      <c r="G449" s="692" t="n"/>
      <c r="H449" s="692" t="n"/>
      <c r="I449" s="692" t="n"/>
      <c r="J449" s="692" t="n"/>
      <c r="K449" s="692" t="n"/>
      <c r="L449" s="692" t="n"/>
      <c r="M449" s="692" t="n"/>
      <c r="N449" s="692" t="n"/>
      <c r="O449" s="692" t="n"/>
      <c r="P449" s="692" t="n"/>
      <c r="Q449" s="692" t="n"/>
      <c r="R449" s="692" t="n"/>
      <c r="S449" s="692" t="n"/>
      <c r="T449" s="692" t="n"/>
      <c r="U449" s="692" t="n"/>
      <c r="V449" s="692" t="n"/>
      <c r="W449" s="692" t="n"/>
    </row>
    <row r="450">
      <c r="A450" s="692" t="n"/>
      <c r="B450" s="692" t="n"/>
      <c r="C450" s="692" t="n"/>
      <c r="D450" s="692" t="n"/>
      <c r="E450" s="692" t="n"/>
      <c r="F450" s="692" t="n"/>
      <c r="G450" s="692" t="n"/>
      <c r="H450" s="692" t="n"/>
      <c r="I450" s="692" t="n"/>
      <c r="J450" s="692" t="n"/>
      <c r="K450" s="692" t="n"/>
      <c r="L450" s="692" t="n"/>
      <c r="M450" s="692" t="n"/>
      <c r="N450" s="692" t="n"/>
      <c r="O450" s="692" t="n"/>
      <c r="P450" s="692" t="n"/>
      <c r="Q450" s="692" t="n"/>
      <c r="R450" s="692" t="n"/>
      <c r="S450" s="692" t="n"/>
      <c r="T450" s="692" t="n"/>
      <c r="U450" s="692" t="n"/>
      <c r="V450" s="692" t="n"/>
      <c r="W450" s="692" t="n"/>
    </row>
    <row r="451">
      <c r="A451" s="692" t="n"/>
      <c r="B451" s="692" t="n"/>
      <c r="C451" s="692" t="n"/>
      <c r="D451" s="692" t="n"/>
      <c r="E451" s="692" t="n"/>
      <c r="F451" s="692" t="n"/>
      <c r="G451" s="692" t="n"/>
      <c r="H451" s="692" t="n"/>
      <c r="I451" s="692" t="n"/>
      <c r="J451" s="692" t="n"/>
      <c r="K451" s="692" t="n"/>
      <c r="L451" s="692" t="n"/>
      <c r="M451" s="692" t="n"/>
      <c r="N451" s="692" t="n"/>
      <c r="O451" s="692" t="n"/>
      <c r="P451" s="692" t="n"/>
      <c r="Q451" s="692" t="n"/>
      <c r="R451" s="692" t="n"/>
      <c r="S451" s="692" t="n"/>
      <c r="T451" s="692" t="n"/>
      <c r="U451" s="692" t="n"/>
      <c r="V451" s="692" t="n"/>
      <c r="W451" s="692" t="n"/>
    </row>
    <row r="452">
      <c r="A452" s="692" t="n"/>
      <c r="B452" s="692" t="n"/>
      <c r="C452" s="692" t="n"/>
      <c r="D452" s="692" t="n"/>
      <c r="E452" s="692" t="n"/>
      <c r="F452" s="692" t="n"/>
      <c r="G452" s="692" t="n"/>
      <c r="H452" s="692" t="n"/>
      <c r="I452" s="692" t="n"/>
      <c r="J452" s="692" t="n"/>
      <c r="K452" s="692" t="n"/>
      <c r="L452" s="692" t="n"/>
      <c r="M452" s="692" t="n"/>
      <c r="N452" s="692" t="n"/>
      <c r="O452" s="692" t="n"/>
      <c r="P452" s="692" t="n"/>
      <c r="Q452" s="692" t="n"/>
      <c r="R452" s="692" t="n"/>
      <c r="S452" s="692" t="n"/>
      <c r="T452" s="692" t="n"/>
      <c r="U452" s="692" t="n"/>
      <c r="V452" s="692" t="n"/>
      <c r="W452" s="692" t="n"/>
    </row>
    <row r="453">
      <c r="A453" s="692" t="n"/>
      <c r="B453" s="692" t="n"/>
      <c r="C453" s="692" t="n"/>
      <c r="D453" s="692" t="n"/>
      <c r="E453" s="692" t="n"/>
      <c r="F453" s="692" t="n"/>
      <c r="G453" s="692" t="n"/>
      <c r="H453" s="692" t="n"/>
      <c r="I453" s="692" t="n"/>
      <c r="J453" s="692" t="n"/>
      <c r="K453" s="692" t="n"/>
      <c r="L453" s="692" t="n"/>
      <c r="M453" s="692" t="n"/>
      <c r="N453" s="692" t="n"/>
      <c r="O453" s="692" t="n"/>
      <c r="P453" s="692" t="n"/>
      <c r="Q453" s="692" t="n"/>
      <c r="R453" s="692" t="n"/>
      <c r="S453" s="692" t="n"/>
      <c r="T453" s="692" t="n"/>
      <c r="U453" s="692" t="n"/>
      <c r="V453" s="692" t="n"/>
      <c r="W453" s="692" t="n"/>
    </row>
    <row r="454">
      <c r="A454" s="692" t="n"/>
      <c r="B454" s="692" t="n"/>
      <c r="C454" s="692" t="n"/>
      <c r="D454" s="692" t="n"/>
      <c r="E454" s="692" t="n"/>
      <c r="F454" s="692" t="n"/>
      <c r="G454" s="692" t="n"/>
      <c r="H454" s="692" t="n"/>
      <c r="I454" s="692" t="n"/>
      <c r="J454" s="692" t="n"/>
      <c r="K454" s="692" t="n"/>
      <c r="L454" s="692" t="n"/>
      <c r="M454" s="692" t="n"/>
      <c r="N454" s="692" t="n"/>
      <c r="O454" s="692" t="n"/>
      <c r="P454" s="692" t="n"/>
      <c r="Q454" s="692" t="n"/>
      <c r="R454" s="692" t="n"/>
      <c r="S454" s="692" t="n"/>
      <c r="T454" s="692" t="n"/>
      <c r="U454" s="692" t="n"/>
      <c r="V454" s="692" t="n"/>
      <c r="W454" s="692" t="n"/>
    </row>
    <row r="455">
      <c r="A455" s="692" t="n"/>
      <c r="B455" s="692" t="n"/>
      <c r="C455" s="692" t="n"/>
      <c r="D455" s="692" t="n"/>
      <c r="E455" s="692" t="n"/>
      <c r="F455" s="692" t="n"/>
      <c r="G455" s="692" t="n"/>
      <c r="H455" s="692" t="n"/>
      <c r="I455" s="692" t="n"/>
      <c r="J455" s="692" t="n"/>
      <c r="K455" s="692" t="n"/>
      <c r="L455" s="692" t="n"/>
      <c r="M455" s="692" t="n"/>
      <c r="N455" s="692" t="n"/>
      <c r="O455" s="692" t="n"/>
      <c r="P455" s="692" t="n"/>
      <c r="Q455" s="692" t="n"/>
      <c r="R455" s="692" t="n"/>
      <c r="S455" s="692" t="n"/>
      <c r="T455" s="692" t="n"/>
      <c r="U455" s="692" t="n"/>
      <c r="V455" s="692" t="n"/>
      <c r="W455" s="692" t="n"/>
    </row>
    <row r="456">
      <c r="A456" s="692" t="n"/>
      <c r="B456" s="692" t="n"/>
      <c r="C456" s="692" t="n"/>
      <c r="D456" s="692" t="n"/>
      <c r="E456" s="692" t="n"/>
      <c r="F456" s="692" t="n"/>
      <c r="G456" s="692" t="n"/>
      <c r="H456" s="692" t="n"/>
      <c r="I456" s="692" t="n"/>
      <c r="J456" s="692" t="n"/>
      <c r="K456" s="692" t="n"/>
      <c r="L456" s="692" t="n"/>
      <c r="M456" s="692" t="n"/>
      <c r="N456" s="692" t="n"/>
      <c r="O456" s="692" t="n"/>
      <c r="P456" s="692" t="n"/>
      <c r="Q456" s="692" t="n"/>
      <c r="R456" s="692" t="n"/>
      <c r="S456" s="692" t="n"/>
      <c r="T456" s="692" t="n"/>
      <c r="U456" s="692" t="n"/>
      <c r="V456" s="692" t="n"/>
      <c r="W456" s="692" t="n"/>
    </row>
    <row r="457">
      <c r="A457" s="692" t="n"/>
      <c r="B457" s="692" t="n"/>
      <c r="C457" s="692" t="n"/>
      <c r="D457" s="692" t="n"/>
      <c r="E457" s="692" t="n"/>
      <c r="F457" s="692" t="n"/>
      <c r="G457" s="692" t="n"/>
      <c r="H457" s="692" t="n"/>
      <c r="I457" s="692" t="n"/>
      <c r="J457" s="692" t="n"/>
      <c r="K457" s="692" t="n"/>
      <c r="L457" s="692" t="n"/>
      <c r="M457" s="692" t="n"/>
      <c r="N457" s="692" t="n"/>
      <c r="O457" s="692" t="n"/>
      <c r="P457" s="692" t="n"/>
      <c r="Q457" s="692" t="n"/>
      <c r="R457" s="692" t="n"/>
      <c r="S457" s="692" t="n"/>
      <c r="T457" s="692" t="n"/>
      <c r="U457" s="692" t="n"/>
      <c r="V457" s="692" t="n"/>
      <c r="W457" s="692" t="n"/>
    </row>
    <row r="458">
      <c r="A458" s="692" t="n"/>
      <c r="B458" s="692" t="n"/>
      <c r="C458" s="692" t="n"/>
      <c r="D458" s="692" t="n"/>
      <c r="E458" s="692" t="n"/>
      <c r="F458" s="692" t="n"/>
      <c r="G458" s="692" t="n"/>
      <c r="H458" s="692" t="n"/>
      <c r="I458" s="692" t="n"/>
      <c r="J458" s="692" t="n"/>
      <c r="K458" s="692" t="n"/>
      <c r="L458" s="692" t="n"/>
      <c r="M458" s="692" t="n"/>
      <c r="N458" s="692" t="n"/>
      <c r="O458" s="692" t="n"/>
      <c r="P458" s="692" t="n"/>
      <c r="Q458" s="692" t="n"/>
      <c r="R458" s="692" t="n"/>
      <c r="S458" s="692" t="n"/>
      <c r="T458" s="692" t="n"/>
      <c r="U458" s="692" t="n"/>
      <c r="V458" s="692" t="n"/>
      <c r="W458" s="692" t="n"/>
    </row>
    <row r="459">
      <c r="A459" s="692" t="n"/>
      <c r="B459" s="692" t="n"/>
      <c r="C459" s="692" t="n"/>
      <c r="D459" s="692" t="n"/>
      <c r="E459" s="692" t="n"/>
      <c r="F459" s="692" t="n"/>
      <c r="G459" s="692" t="n"/>
      <c r="H459" s="692" t="n"/>
      <c r="I459" s="692" t="n"/>
      <c r="J459" s="692" t="n"/>
      <c r="K459" s="692" t="n"/>
      <c r="L459" s="692" t="n"/>
      <c r="M459" s="692" t="n"/>
      <c r="N459" s="692" t="n"/>
      <c r="O459" s="692" t="n"/>
      <c r="P459" s="692" t="n"/>
      <c r="Q459" s="692" t="n"/>
      <c r="R459" s="692" t="n"/>
      <c r="S459" s="692" t="n"/>
      <c r="T459" s="692" t="n"/>
      <c r="U459" s="692" t="n"/>
      <c r="V459" s="692" t="n"/>
      <c r="W459" s="692" t="n"/>
    </row>
    <row r="460">
      <c r="A460" s="692" t="n"/>
      <c r="B460" s="692" t="n"/>
      <c r="C460" s="692" t="n"/>
      <c r="D460" s="692" t="n"/>
      <c r="E460" s="692" t="n"/>
      <c r="F460" s="692" t="n"/>
      <c r="G460" s="692" t="n"/>
      <c r="H460" s="692" t="n"/>
      <c r="I460" s="692" t="n"/>
      <c r="J460" s="692" t="n"/>
      <c r="K460" s="692" t="n"/>
      <c r="L460" s="692" t="n"/>
      <c r="M460" s="692" t="n"/>
      <c r="N460" s="692" t="n"/>
      <c r="O460" s="692" t="n"/>
      <c r="P460" s="692" t="n"/>
      <c r="Q460" s="692" t="n"/>
      <c r="R460" s="692" t="n"/>
      <c r="S460" s="692" t="n"/>
      <c r="T460" s="692" t="n"/>
      <c r="U460" s="692" t="n"/>
      <c r="V460" s="692" t="n"/>
      <c r="W460" s="692" t="n"/>
    </row>
    <row r="461">
      <c r="A461" s="692" t="n"/>
      <c r="B461" s="692" t="n"/>
      <c r="C461" s="692" t="n"/>
      <c r="D461" s="692" t="n"/>
      <c r="E461" s="692" t="n"/>
      <c r="F461" s="692" t="n"/>
      <c r="G461" s="692" t="n"/>
      <c r="H461" s="692" t="n"/>
      <c r="I461" s="692" t="n"/>
      <c r="J461" s="692" t="n"/>
      <c r="K461" s="692" t="n"/>
      <c r="L461" s="692" t="n"/>
      <c r="M461" s="692" t="n"/>
      <c r="N461" s="692" t="n"/>
      <c r="O461" s="692" t="n"/>
      <c r="P461" s="692" t="n"/>
      <c r="Q461" s="692" t="n"/>
      <c r="R461" s="692" t="n"/>
      <c r="S461" s="692" t="n"/>
      <c r="T461" s="692" t="n"/>
      <c r="U461" s="692" t="n"/>
      <c r="V461" s="692" t="n"/>
      <c r="W461" s="692" t="n"/>
    </row>
    <row r="462">
      <c r="A462" s="692" t="n"/>
      <c r="B462" s="692" t="n"/>
      <c r="C462" s="692" t="n"/>
      <c r="D462" s="692" t="n"/>
      <c r="E462" s="692" t="n"/>
      <c r="F462" s="692" t="n"/>
      <c r="G462" s="692" t="n"/>
      <c r="H462" s="692" t="n"/>
      <c r="I462" s="692" t="n"/>
      <c r="J462" s="692" t="n"/>
      <c r="K462" s="692" t="n"/>
      <c r="L462" s="692" t="n"/>
      <c r="M462" s="692" t="n"/>
      <c r="N462" s="692" t="n"/>
      <c r="O462" s="692" t="n"/>
      <c r="P462" s="692" t="n"/>
      <c r="Q462" s="692" t="n"/>
      <c r="R462" s="692" t="n"/>
      <c r="S462" s="692" t="n"/>
      <c r="T462" s="692" t="n"/>
      <c r="U462" s="692" t="n"/>
      <c r="V462" s="692" t="n"/>
      <c r="W462" s="692" t="n"/>
    </row>
    <row r="463">
      <c r="A463" s="692" t="n"/>
      <c r="B463" s="692" t="n"/>
      <c r="C463" s="692" t="n"/>
      <c r="D463" s="692" t="n"/>
      <c r="E463" s="692" t="n"/>
      <c r="F463" s="692" t="n"/>
      <c r="G463" s="692" t="n"/>
      <c r="H463" s="692" t="n"/>
      <c r="I463" s="692" t="n"/>
      <c r="J463" s="692" t="n"/>
      <c r="K463" s="692" t="n"/>
      <c r="L463" s="692" t="n"/>
      <c r="M463" s="692" t="n"/>
      <c r="N463" s="692" t="n"/>
      <c r="O463" s="692" t="n"/>
      <c r="P463" s="692" t="n"/>
      <c r="Q463" s="692" t="n"/>
      <c r="R463" s="692" t="n"/>
      <c r="S463" s="692" t="n"/>
      <c r="T463" s="692" t="n"/>
      <c r="U463" s="692" t="n"/>
      <c r="V463" s="692" t="n"/>
      <c r="W463" s="692" t="n"/>
    </row>
    <row r="464">
      <c r="A464" s="692" t="n"/>
      <c r="B464" s="692" t="n"/>
      <c r="C464" s="692" t="n"/>
      <c r="D464" s="692" t="n"/>
      <c r="E464" s="692" t="n"/>
      <c r="F464" s="692" t="n"/>
      <c r="G464" s="692" t="n"/>
      <c r="H464" s="692" t="n"/>
      <c r="I464" s="692" t="n"/>
      <c r="J464" s="692" t="n"/>
      <c r="K464" s="692" t="n"/>
      <c r="L464" s="692" t="n"/>
      <c r="M464" s="692" t="n"/>
      <c r="N464" s="692" t="n"/>
      <c r="O464" s="692" t="n"/>
      <c r="P464" s="692" t="n"/>
      <c r="Q464" s="692" t="n"/>
      <c r="R464" s="692" t="n"/>
      <c r="S464" s="692" t="n"/>
      <c r="T464" s="692" t="n"/>
      <c r="U464" s="692" t="n"/>
      <c r="V464" s="692" t="n"/>
      <c r="W464" s="692" t="n"/>
    </row>
    <row r="465">
      <c r="A465" s="692" t="n"/>
      <c r="B465" s="692" t="n"/>
      <c r="C465" s="692" t="n"/>
      <c r="D465" s="692" t="n"/>
      <c r="E465" s="692" t="n"/>
      <c r="F465" s="692" t="n"/>
      <c r="G465" s="692" t="n"/>
      <c r="H465" s="692" t="n"/>
      <c r="I465" s="692" t="n"/>
      <c r="J465" s="692" t="n"/>
      <c r="K465" s="692" t="n"/>
      <c r="L465" s="692" t="n"/>
      <c r="M465" s="692" t="n"/>
      <c r="N465" s="692" t="n"/>
      <c r="O465" s="692" t="n"/>
      <c r="P465" s="692" t="n"/>
      <c r="Q465" s="692" t="n"/>
      <c r="R465" s="692" t="n"/>
      <c r="S465" s="692" t="n"/>
      <c r="T465" s="692" t="n"/>
      <c r="U465" s="692" t="n"/>
      <c r="V465" s="692" t="n"/>
      <c r="W465" s="692" t="n"/>
    </row>
    <row r="466">
      <c r="A466" s="692" t="n"/>
      <c r="B466" s="692" t="n"/>
      <c r="C466" s="692" t="n"/>
      <c r="D466" s="692" t="n"/>
      <c r="E466" s="692" t="n"/>
      <c r="F466" s="692" t="n"/>
      <c r="G466" s="692" t="n"/>
      <c r="H466" s="692" t="n"/>
      <c r="I466" s="692" t="n"/>
      <c r="J466" s="692" t="n"/>
      <c r="K466" s="692" t="n"/>
      <c r="L466" s="692" t="n"/>
      <c r="M466" s="692" t="n"/>
      <c r="N466" s="692" t="n"/>
      <c r="O466" s="692" t="n"/>
      <c r="P466" s="692" t="n"/>
      <c r="Q466" s="692" t="n"/>
      <c r="R466" s="692" t="n"/>
      <c r="S466" s="692" t="n"/>
      <c r="T466" s="692" t="n"/>
      <c r="U466" s="692" t="n"/>
      <c r="V466" s="692" t="n"/>
      <c r="W466" s="692" t="n"/>
    </row>
    <row r="467">
      <c r="A467" s="692" t="n"/>
      <c r="B467" s="692" t="n"/>
      <c r="C467" s="692" t="n"/>
      <c r="D467" s="692" t="n"/>
      <c r="E467" s="692" t="n"/>
      <c r="F467" s="692" t="n"/>
      <c r="G467" s="692" t="n"/>
      <c r="H467" s="692" t="n"/>
      <c r="I467" s="692" t="n"/>
      <c r="J467" s="692" t="n"/>
      <c r="K467" s="692" t="n"/>
      <c r="L467" s="692" t="n"/>
      <c r="M467" s="692" t="n"/>
      <c r="N467" s="692" t="n"/>
      <c r="O467" s="692" t="n"/>
      <c r="P467" s="692" t="n"/>
      <c r="Q467" s="692" t="n"/>
      <c r="R467" s="692" t="n"/>
      <c r="S467" s="692" t="n"/>
      <c r="T467" s="692" t="n"/>
      <c r="U467" s="692" t="n"/>
      <c r="V467" s="692" t="n"/>
      <c r="W467" s="692" t="n"/>
    </row>
    <row r="468">
      <c r="A468" s="692" t="n"/>
      <c r="B468" s="692" t="n"/>
      <c r="C468" s="692" t="n"/>
      <c r="D468" s="692" t="n"/>
      <c r="E468" s="692" t="n"/>
      <c r="F468" s="692" t="n"/>
      <c r="G468" s="692" t="n"/>
      <c r="H468" s="692" t="n"/>
      <c r="I468" s="692" t="n"/>
      <c r="J468" s="692" t="n"/>
      <c r="K468" s="692" t="n"/>
      <c r="L468" s="692" t="n"/>
      <c r="M468" s="692" t="n"/>
      <c r="N468" s="692" t="n"/>
      <c r="O468" s="692" t="n"/>
      <c r="P468" s="692" t="n"/>
      <c r="Q468" s="692" t="n"/>
      <c r="R468" s="692" t="n"/>
      <c r="S468" s="692" t="n"/>
      <c r="T468" s="692" t="n"/>
      <c r="U468" s="692" t="n"/>
      <c r="V468" s="692" t="n"/>
      <c r="W468" s="692" t="n"/>
    </row>
    <row r="469">
      <c r="A469" s="692" t="n"/>
      <c r="B469" s="692" t="n"/>
      <c r="C469" s="692" t="n"/>
      <c r="D469" s="692" t="n"/>
      <c r="E469" s="692" t="n"/>
      <c r="F469" s="692" t="n"/>
      <c r="G469" s="692" t="n"/>
      <c r="H469" s="692" t="n"/>
      <c r="I469" s="692" t="n"/>
      <c r="J469" s="692" t="n"/>
      <c r="K469" s="692" t="n"/>
      <c r="L469" s="692" t="n"/>
      <c r="M469" s="692" t="n"/>
      <c r="N469" s="692" t="n"/>
      <c r="O469" s="692" t="n"/>
      <c r="P469" s="692" t="n"/>
      <c r="Q469" s="692" t="n"/>
      <c r="R469" s="692" t="n"/>
      <c r="S469" s="692" t="n"/>
      <c r="T469" s="692" t="n"/>
      <c r="U469" s="692" t="n"/>
      <c r="V469" s="692" t="n"/>
      <c r="W469" s="692" t="n"/>
    </row>
    <row r="470">
      <c r="A470" s="692" t="n"/>
      <c r="B470" s="692" t="n"/>
      <c r="C470" s="692" t="n"/>
      <c r="D470" s="692" t="n"/>
      <c r="E470" s="692" t="n"/>
      <c r="F470" s="692" t="n"/>
      <c r="G470" s="692" t="n"/>
      <c r="H470" s="692" t="n"/>
      <c r="I470" s="692" t="n"/>
      <c r="J470" s="692" t="n"/>
      <c r="K470" s="692" t="n"/>
      <c r="L470" s="692" t="n"/>
      <c r="M470" s="692" t="n"/>
      <c r="N470" s="692" t="n"/>
      <c r="O470" s="692" t="n"/>
      <c r="P470" s="692" t="n"/>
      <c r="Q470" s="692" t="n"/>
      <c r="R470" s="692" t="n"/>
      <c r="S470" s="692" t="n"/>
      <c r="T470" s="692" t="n"/>
      <c r="U470" s="692" t="n"/>
      <c r="V470" s="692" t="n"/>
      <c r="W470" s="692" t="n"/>
    </row>
    <row r="471">
      <c r="A471" s="692" t="n"/>
      <c r="B471" s="692" t="n"/>
      <c r="C471" s="692" t="n"/>
      <c r="D471" s="692" t="n"/>
      <c r="E471" s="692" t="n"/>
      <c r="F471" s="692" t="n"/>
      <c r="G471" s="692" t="n"/>
      <c r="H471" s="692" t="n"/>
      <c r="I471" s="692" t="n"/>
      <c r="J471" s="692" t="n"/>
      <c r="K471" s="692" t="n"/>
      <c r="L471" s="692" t="n"/>
      <c r="M471" s="692" t="n"/>
      <c r="N471" s="692" t="n"/>
      <c r="O471" s="692" t="n"/>
      <c r="P471" s="692" t="n"/>
      <c r="Q471" s="692" t="n"/>
      <c r="R471" s="692" t="n"/>
      <c r="S471" s="692" t="n"/>
      <c r="T471" s="692" t="n"/>
      <c r="U471" s="692" t="n"/>
      <c r="V471" s="692" t="n"/>
      <c r="W471" s="692" t="n"/>
    </row>
    <row r="472">
      <c r="A472" s="692" t="n"/>
      <c r="B472" s="692" t="n"/>
      <c r="C472" s="692" t="n"/>
      <c r="D472" s="692" t="n"/>
      <c r="E472" s="692" t="n"/>
      <c r="F472" s="692" t="n"/>
      <c r="G472" s="692" t="n"/>
      <c r="H472" s="692" t="n"/>
      <c r="I472" s="692" t="n"/>
      <c r="J472" s="692" t="n"/>
      <c r="K472" s="692" t="n"/>
      <c r="L472" s="692" t="n"/>
      <c r="M472" s="692" t="n"/>
      <c r="N472" s="692" t="n"/>
      <c r="O472" s="692" t="n"/>
      <c r="P472" s="692" t="n"/>
      <c r="Q472" s="692" t="n"/>
      <c r="R472" s="692" t="n"/>
      <c r="S472" s="692" t="n"/>
      <c r="T472" s="692" t="n"/>
      <c r="U472" s="692" t="n"/>
      <c r="V472" s="692" t="n"/>
      <c r="W472" s="692" t="n"/>
    </row>
    <row r="473">
      <c r="A473" s="692" t="n"/>
      <c r="B473" s="692" t="n"/>
      <c r="C473" s="692" t="n"/>
      <c r="D473" s="692" t="n"/>
      <c r="E473" s="692" t="n"/>
      <c r="F473" s="692" t="n"/>
      <c r="G473" s="692" t="n"/>
      <c r="H473" s="692" t="n"/>
      <c r="I473" s="692" t="n"/>
      <c r="J473" s="692" t="n"/>
      <c r="K473" s="692" t="n"/>
      <c r="L473" s="692" t="n"/>
      <c r="M473" s="692" t="n"/>
      <c r="N473" s="692" t="n"/>
      <c r="O473" s="692" t="n"/>
      <c r="P473" s="692" t="n"/>
      <c r="Q473" s="692" t="n"/>
      <c r="R473" s="692" t="n"/>
      <c r="S473" s="692" t="n"/>
      <c r="T473" s="692" t="n"/>
      <c r="U473" s="692" t="n"/>
      <c r="V473" s="692" t="n"/>
      <c r="W473" s="692" t="n"/>
    </row>
    <row r="474">
      <c r="A474" s="692" t="n"/>
      <c r="B474" s="692" t="n"/>
      <c r="C474" s="692" t="n"/>
      <c r="D474" s="692" t="n"/>
      <c r="E474" s="692" t="n"/>
      <c r="F474" s="692" t="n"/>
      <c r="G474" s="692" t="n"/>
      <c r="H474" s="692" t="n"/>
      <c r="I474" s="692" t="n"/>
      <c r="J474" s="692" t="n"/>
      <c r="K474" s="692" t="n"/>
      <c r="L474" s="692" t="n"/>
      <c r="M474" s="692" t="n"/>
      <c r="N474" s="692" t="n"/>
      <c r="O474" s="692" t="n"/>
      <c r="P474" s="692" t="n"/>
      <c r="Q474" s="692" t="n"/>
      <c r="R474" s="692" t="n"/>
      <c r="S474" s="692" t="n"/>
      <c r="T474" s="692" t="n"/>
      <c r="U474" s="692" t="n"/>
      <c r="V474" s="692" t="n"/>
      <c r="W474" s="692" t="n"/>
    </row>
    <row r="475">
      <c r="A475" s="692" t="n"/>
      <c r="B475" s="692" t="n"/>
      <c r="C475" s="692" t="n"/>
      <c r="D475" s="692" t="n"/>
      <c r="E475" s="692" t="n"/>
      <c r="F475" s="692" t="n"/>
      <c r="G475" s="692" t="n"/>
      <c r="H475" s="692" t="n"/>
      <c r="I475" s="692" t="n"/>
      <c r="J475" s="692" t="n"/>
      <c r="K475" s="692" t="n"/>
      <c r="L475" s="692" t="n"/>
      <c r="M475" s="692" t="n"/>
      <c r="N475" s="692" t="n"/>
      <c r="O475" s="692" t="n"/>
      <c r="P475" s="692" t="n"/>
      <c r="Q475" s="692" t="n"/>
      <c r="R475" s="692" t="n"/>
      <c r="S475" s="692" t="n"/>
      <c r="T475" s="692" t="n"/>
      <c r="U475" s="692" t="n"/>
      <c r="V475" s="692" t="n"/>
      <c r="W475" s="692" t="n"/>
    </row>
    <row r="476">
      <c r="A476" s="692" t="n"/>
      <c r="B476" s="692" t="n"/>
      <c r="C476" s="692" t="n"/>
      <c r="D476" s="692" t="n"/>
      <c r="E476" s="692" t="n"/>
      <c r="F476" s="692" t="n"/>
      <c r="G476" s="692" t="n"/>
      <c r="H476" s="692" t="n"/>
      <c r="I476" s="692" t="n"/>
      <c r="J476" s="692" t="n"/>
      <c r="K476" s="692" t="n"/>
      <c r="L476" s="692" t="n"/>
      <c r="M476" s="692" t="n"/>
      <c r="N476" s="692" t="n"/>
      <c r="O476" s="692" t="n"/>
      <c r="P476" s="692" t="n"/>
      <c r="Q476" s="692" t="n"/>
      <c r="R476" s="692" t="n"/>
      <c r="S476" s="692" t="n"/>
      <c r="T476" s="692" t="n"/>
      <c r="U476" s="692" t="n"/>
      <c r="V476" s="692" t="n"/>
      <c r="W476" s="692" t="n"/>
    </row>
    <row r="477">
      <c r="A477" s="692" t="n"/>
      <c r="B477" s="692" t="n"/>
      <c r="C477" s="692" t="n"/>
      <c r="D477" s="692" t="n"/>
      <c r="E477" s="692" t="n"/>
      <c r="F477" s="692" t="n"/>
      <c r="G477" s="692" t="n"/>
      <c r="H477" s="692" t="n"/>
      <c r="I477" s="692" t="n"/>
      <c r="J477" s="692" t="n"/>
      <c r="K477" s="692" t="n"/>
      <c r="L477" s="692" t="n"/>
      <c r="M477" s="692" t="n"/>
      <c r="N477" s="692" t="n"/>
      <c r="O477" s="692" t="n"/>
      <c r="P477" s="692" t="n"/>
      <c r="Q477" s="692" t="n"/>
      <c r="R477" s="692" t="n"/>
      <c r="S477" s="692" t="n"/>
      <c r="T477" s="692" t="n"/>
      <c r="U477" s="692" t="n"/>
      <c r="V477" s="692" t="n"/>
      <c r="W477" s="692" t="n"/>
    </row>
    <row r="478">
      <c r="A478" s="692" t="n"/>
      <c r="B478" s="692" t="n"/>
      <c r="C478" s="692" t="n"/>
      <c r="D478" s="692" t="n"/>
      <c r="E478" s="692" t="n"/>
      <c r="F478" s="692" t="n"/>
      <c r="G478" s="692" t="n"/>
      <c r="H478" s="692" t="n"/>
      <c r="I478" s="692" t="n"/>
      <c r="J478" s="692" t="n"/>
      <c r="K478" s="692" t="n"/>
      <c r="L478" s="692" t="n"/>
      <c r="M478" s="692" t="n"/>
      <c r="N478" s="692" t="n"/>
      <c r="O478" s="692" t="n"/>
      <c r="P478" s="692" t="n"/>
      <c r="Q478" s="692" t="n"/>
      <c r="R478" s="692" t="n"/>
      <c r="S478" s="692" t="n"/>
      <c r="T478" s="692" t="n"/>
      <c r="U478" s="692" t="n"/>
      <c r="V478" s="692" t="n"/>
      <c r="W478" s="692" t="n"/>
    </row>
    <row r="479">
      <c r="A479" s="692" t="n"/>
      <c r="B479" s="692" t="n"/>
      <c r="C479" s="692" t="n"/>
      <c r="D479" s="692" t="n"/>
      <c r="E479" s="692" t="n"/>
      <c r="F479" s="692" t="n"/>
      <c r="G479" s="692" t="n"/>
      <c r="H479" s="692" t="n"/>
      <c r="I479" s="692" t="n"/>
      <c r="J479" s="692" t="n"/>
      <c r="K479" s="692" t="n"/>
      <c r="L479" s="692" t="n"/>
      <c r="M479" s="692" t="n"/>
      <c r="N479" s="692" t="n"/>
      <c r="O479" s="692" t="n"/>
      <c r="P479" s="692" t="n"/>
      <c r="Q479" s="692" t="n"/>
      <c r="R479" s="692" t="n"/>
      <c r="S479" s="692" t="n"/>
      <c r="T479" s="692" t="n"/>
      <c r="U479" s="692" t="n"/>
      <c r="V479" s="692" t="n"/>
      <c r="W479" s="692" t="n"/>
    </row>
    <row r="480">
      <c r="A480" s="692" t="n"/>
      <c r="B480" s="692" t="n"/>
      <c r="C480" s="692" t="n"/>
      <c r="D480" s="692" t="n"/>
      <c r="E480" s="692" t="n"/>
      <c r="F480" s="692" t="n"/>
      <c r="G480" s="692" t="n"/>
      <c r="H480" s="692" t="n"/>
      <c r="I480" s="692" t="n"/>
      <c r="J480" s="692" t="n"/>
      <c r="K480" s="692" t="n"/>
      <c r="L480" s="692" t="n"/>
      <c r="M480" s="692" t="n"/>
      <c r="N480" s="692" t="n"/>
      <c r="O480" s="692" t="n"/>
      <c r="P480" s="692" t="n"/>
      <c r="Q480" s="692" t="n"/>
      <c r="R480" s="692" t="n"/>
      <c r="S480" s="692" t="n"/>
      <c r="T480" s="692" t="n"/>
      <c r="U480" s="692" t="n"/>
      <c r="V480" s="692" t="n"/>
      <c r="W480" s="692" t="n"/>
    </row>
    <row r="481">
      <c r="A481" s="692" t="n"/>
      <c r="B481" s="692" t="n"/>
      <c r="C481" s="692" t="n"/>
      <c r="D481" s="692" t="n"/>
      <c r="E481" s="692" t="n"/>
      <c r="F481" s="692" t="n"/>
      <c r="G481" s="692" t="n"/>
      <c r="H481" s="692" t="n"/>
      <c r="I481" s="692" t="n"/>
      <c r="J481" s="692" t="n"/>
      <c r="K481" s="692" t="n"/>
      <c r="L481" s="692" t="n"/>
      <c r="M481" s="692" t="n"/>
      <c r="N481" s="692" t="n"/>
      <c r="O481" s="692" t="n"/>
      <c r="P481" s="692" t="n"/>
      <c r="Q481" s="692" t="n"/>
      <c r="R481" s="692" t="n"/>
      <c r="S481" s="692" t="n"/>
      <c r="T481" s="692" t="n"/>
      <c r="U481" s="692" t="n"/>
      <c r="V481" s="692" t="n"/>
      <c r="W481" s="692" t="n"/>
    </row>
    <row r="482">
      <c r="A482" s="692" t="n"/>
      <c r="B482" s="692" t="n"/>
      <c r="C482" s="692" t="n"/>
      <c r="D482" s="692" t="n"/>
      <c r="E482" s="692" t="n"/>
      <c r="F482" s="692" t="n"/>
      <c r="G482" s="692" t="n"/>
      <c r="H482" s="692" t="n"/>
      <c r="I482" s="692" t="n"/>
      <c r="J482" s="692" t="n"/>
      <c r="K482" s="692" t="n"/>
      <c r="L482" s="692" t="n"/>
      <c r="M482" s="692" t="n"/>
      <c r="N482" s="692" t="n"/>
      <c r="O482" s="692" t="n"/>
      <c r="P482" s="692" t="n"/>
      <c r="Q482" s="692" t="n"/>
      <c r="R482" s="692" t="n"/>
      <c r="S482" s="692" t="n"/>
      <c r="T482" s="692" t="n"/>
      <c r="U482" s="692" t="n"/>
      <c r="V482" s="692" t="n"/>
      <c r="W482" s="692" t="n"/>
    </row>
    <row r="483">
      <c r="A483" s="692" t="n"/>
      <c r="B483" s="692" t="n"/>
      <c r="C483" s="692" t="n"/>
      <c r="D483" s="692" t="n"/>
      <c r="E483" s="692" t="n"/>
      <c r="F483" s="692" t="n"/>
      <c r="G483" s="692" t="n"/>
      <c r="H483" s="692" t="n"/>
      <c r="I483" s="692" t="n"/>
      <c r="J483" s="692" t="n"/>
      <c r="K483" s="692" t="n"/>
      <c r="L483" s="692" t="n"/>
      <c r="M483" s="692" t="n"/>
      <c r="N483" s="692" t="n"/>
      <c r="O483" s="692" t="n"/>
      <c r="P483" s="692" t="n"/>
      <c r="Q483" s="692" t="n"/>
      <c r="R483" s="692" t="n"/>
      <c r="S483" s="692" t="n"/>
      <c r="T483" s="692" t="n"/>
      <c r="U483" s="692" t="n"/>
      <c r="V483" s="692" t="n"/>
      <c r="W483" s="692" t="n"/>
    </row>
    <row r="484">
      <c r="A484" s="692" t="n"/>
      <c r="B484" s="692" t="n"/>
      <c r="C484" s="692" t="n"/>
      <c r="D484" s="692" t="n"/>
      <c r="E484" s="692" t="n"/>
      <c r="F484" s="692" t="n"/>
      <c r="G484" s="692" t="n"/>
      <c r="H484" s="692" t="n"/>
      <c r="I484" s="692" t="n"/>
      <c r="J484" s="692" t="n"/>
      <c r="K484" s="692" t="n"/>
      <c r="L484" s="692" t="n"/>
      <c r="M484" s="692" t="n"/>
      <c r="N484" s="692" t="n"/>
      <c r="O484" s="692" t="n"/>
      <c r="P484" s="692" t="n"/>
      <c r="Q484" s="692" t="n"/>
      <c r="R484" s="692" t="n"/>
      <c r="S484" s="692" t="n"/>
      <c r="T484" s="692" t="n"/>
      <c r="U484" s="692" t="n"/>
      <c r="V484" s="692" t="n"/>
      <c r="W484" s="692" t="n"/>
    </row>
    <row r="485">
      <c r="A485" s="692" t="n"/>
      <c r="B485" s="692" t="n"/>
      <c r="C485" s="692" t="n"/>
      <c r="D485" s="692" t="n"/>
      <c r="E485" s="692" t="n"/>
      <c r="F485" s="692" t="n"/>
      <c r="G485" s="692" t="n"/>
      <c r="H485" s="692" t="n"/>
      <c r="I485" s="692" t="n"/>
      <c r="J485" s="692" t="n"/>
      <c r="K485" s="692" t="n"/>
      <c r="L485" s="692" t="n"/>
      <c r="M485" s="692" t="n"/>
      <c r="N485" s="692" t="n"/>
      <c r="O485" s="692" t="n"/>
      <c r="P485" s="692" t="n"/>
      <c r="Q485" s="692" t="n"/>
      <c r="R485" s="692" t="n"/>
      <c r="S485" s="692" t="n"/>
      <c r="T485" s="692" t="n"/>
      <c r="U485" s="692" t="n"/>
      <c r="V485" s="692" t="n"/>
      <c r="W485" s="692" t="n"/>
    </row>
    <row r="486">
      <c r="A486" s="692" t="n"/>
      <c r="B486" s="692" t="n"/>
      <c r="C486" s="692" t="n"/>
      <c r="D486" s="692" t="n"/>
      <c r="E486" s="692" t="n"/>
      <c r="F486" s="692" t="n"/>
      <c r="G486" s="692" t="n"/>
      <c r="H486" s="692" t="n"/>
      <c r="I486" s="692" t="n"/>
      <c r="J486" s="692" t="n"/>
      <c r="K486" s="692" t="n"/>
      <c r="L486" s="692" t="n"/>
      <c r="M486" s="692" t="n"/>
      <c r="N486" s="692" t="n"/>
      <c r="O486" s="692" t="n"/>
      <c r="P486" s="692" t="n"/>
      <c r="Q486" s="692" t="n"/>
      <c r="R486" s="692" t="n"/>
      <c r="S486" s="692" t="n"/>
      <c r="T486" s="692" t="n"/>
      <c r="U486" s="692" t="n"/>
      <c r="V486" s="692" t="n"/>
      <c r="W486" s="692" t="n"/>
    </row>
    <row r="487">
      <c r="A487" s="692" t="n"/>
      <c r="B487" s="692" t="n"/>
      <c r="C487" s="692" t="n"/>
      <c r="D487" s="692" t="n"/>
      <c r="E487" s="692" t="n"/>
      <c r="F487" s="692" t="n"/>
      <c r="G487" s="692" t="n"/>
      <c r="H487" s="692" t="n"/>
      <c r="I487" s="692" t="n"/>
      <c r="J487" s="692" t="n"/>
      <c r="K487" s="692" t="n"/>
      <c r="L487" s="692" t="n"/>
      <c r="M487" s="692" t="n"/>
      <c r="N487" s="692" t="n"/>
      <c r="O487" s="692" t="n"/>
      <c r="P487" s="692" t="n"/>
      <c r="Q487" s="692" t="n"/>
      <c r="R487" s="692" t="n"/>
      <c r="S487" s="692" t="n"/>
      <c r="T487" s="692" t="n"/>
      <c r="U487" s="692" t="n"/>
      <c r="V487" s="692" t="n"/>
      <c r="W487" s="692" t="n"/>
    </row>
    <row r="488">
      <c r="A488" s="692" t="n"/>
      <c r="B488" s="692" t="n"/>
      <c r="C488" s="692" t="n"/>
      <c r="D488" s="692" t="n"/>
      <c r="E488" s="692" t="n"/>
      <c r="F488" s="692" t="n"/>
      <c r="G488" s="692" t="n"/>
      <c r="H488" s="692" t="n"/>
      <c r="I488" s="692" t="n"/>
      <c r="J488" s="692" t="n"/>
      <c r="K488" s="692" t="n"/>
      <c r="L488" s="692" t="n"/>
      <c r="M488" s="692" t="n"/>
      <c r="N488" s="692" t="n"/>
      <c r="O488" s="692" t="n"/>
      <c r="P488" s="692" t="n"/>
      <c r="Q488" s="692" t="n"/>
      <c r="R488" s="692" t="n"/>
      <c r="S488" s="692" t="n"/>
      <c r="T488" s="692" t="n"/>
      <c r="U488" s="692" t="n"/>
      <c r="V488" s="692" t="n"/>
      <c r="W488" s="692" t="n"/>
    </row>
    <row r="489">
      <c r="A489" s="692" t="n"/>
      <c r="B489" s="692" t="n"/>
      <c r="C489" s="692" t="n"/>
      <c r="D489" s="692" t="n"/>
      <c r="E489" s="692" t="n"/>
      <c r="F489" s="692" t="n"/>
      <c r="G489" s="692" t="n"/>
      <c r="H489" s="692" t="n"/>
      <c r="I489" s="692" t="n"/>
      <c r="J489" s="692" t="n"/>
      <c r="K489" s="692" t="n"/>
      <c r="L489" s="692" t="n"/>
      <c r="M489" s="692" t="n"/>
      <c r="N489" s="692" t="n"/>
      <c r="O489" s="692" t="n"/>
      <c r="P489" s="692" t="n"/>
      <c r="Q489" s="692" t="n"/>
      <c r="R489" s="692" t="n"/>
      <c r="S489" s="692" t="n"/>
      <c r="T489" s="692" t="n"/>
      <c r="U489" s="692" t="n"/>
      <c r="V489" s="692" t="n"/>
      <c r="W489" s="692" t="n"/>
    </row>
    <row r="490">
      <c r="A490" s="692" t="n"/>
      <c r="B490" s="692" t="n"/>
      <c r="C490" s="692" t="n"/>
      <c r="D490" s="692" t="n"/>
      <c r="E490" s="692" t="n"/>
      <c r="F490" s="692" t="n"/>
      <c r="G490" s="692" t="n"/>
      <c r="H490" s="692" t="n"/>
      <c r="I490" s="692" t="n"/>
      <c r="J490" s="692" t="n"/>
      <c r="K490" s="692" t="n"/>
      <c r="L490" s="692" t="n"/>
      <c r="M490" s="692" t="n"/>
      <c r="N490" s="692" t="n"/>
      <c r="O490" s="692" t="n"/>
      <c r="P490" s="692" t="n"/>
      <c r="Q490" s="692" t="n"/>
      <c r="R490" s="692" t="n"/>
      <c r="S490" s="692" t="n"/>
      <c r="T490" s="692" t="n"/>
      <c r="U490" s="692" t="n"/>
      <c r="V490" s="692" t="n"/>
      <c r="W490" s="692" t="n"/>
    </row>
    <row r="491">
      <c r="A491" s="692" t="n"/>
      <c r="B491" s="692" t="n"/>
      <c r="C491" s="692" t="n"/>
      <c r="D491" s="692" t="n"/>
      <c r="E491" s="692" t="n"/>
      <c r="F491" s="692" t="n"/>
      <c r="G491" s="692" t="n"/>
      <c r="H491" s="692" t="n"/>
      <c r="I491" s="692" t="n"/>
      <c r="J491" s="692" t="n"/>
      <c r="K491" s="692" t="n"/>
      <c r="L491" s="692" t="n"/>
      <c r="M491" s="692" t="n"/>
      <c r="N491" s="692" t="n"/>
      <c r="O491" s="692" t="n"/>
      <c r="P491" s="692" t="n"/>
      <c r="Q491" s="692" t="n"/>
      <c r="R491" s="692" t="n"/>
      <c r="S491" s="692" t="n"/>
      <c r="T491" s="692" t="n"/>
      <c r="U491" s="692" t="n"/>
      <c r="V491" s="692" t="n"/>
      <c r="W491" s="692" t="n"/>
    </row>
    <row r="492">
      <c r="A492" s="692" t="n"/>
      <c r="B492" s="692" t="n"/>
      <c r="C492" s="692" t="n"/>
      <c r="D492" s="692" t="n"/>
      <c r="E492" s="692" t="n"/>
      <c r="F492" s="692" t="n"/>
      <c r="G492" s="692" t="n"/>
      <c r="H492" s="692" t="n"/>
      <c r="I492" s="692" t="n"/>
      <c r="J492" s="692" t="n"/>
      <c r="K492" s="692" t="n"/>
      <c r="L492" s="692" t="n"/>
      <c r="M492" s="692" t="n"/>
      <c r="N492" s="692" t="n"/>
      <c r="O492" s="692" t="n"/>
      <c r="P492" s="692" t="n"/>
      <c r="Q492" s="692" t="n"/>
      <c r="R492" s="692" t="n"/>
      <c r="S492" s="692" t="n"/>
      <c r="T492" s="692" t="n"/>
      <c r="U492" s="692" t="n"/>
      <c r="V492" s="692" t="n"/>
      <c r="W492" s="692" t="n"/>
    </row>
    <row r="493">
      <c r="A493" s="692" t="n"/>
      <c r="B493" s="692" t="n"/>
      <c r="C493" s="692" t="n"/>
      <c r="D493" s="692" t="n"/>
      <c r="E493" s="692" t="n"/>
      <c r="F493" s="692" t="n"/>
      <c r="G493" s="692" t="n"/>
      <c r="H493" s="692" t="n"/>
      <c r="I493" s="692" t="n"/>
      <c r="J493" s="692" t="n"/>
      <c r="K493" s="692" t="n"/>
      <c r="L493" s="692" t="n"/>
      <c r="M493" s="692" t="n"/>
      <c r="N493" s="692" t="n"/>
      <c r="O493" s="692" t="n"/>
      <c r="P493" s="692" t="n"/>
      <c r="Q493" s="692" t="n"/>
      <c r="R493" s="692" t="n"/>
      <c r="S493" s="692" t="n"/>
      <c r="T493" s="692" t="n"/>
      <c r="U493" s="692" t="n"/>
      <c r="V493" s="692" t="n"/>
      <c r="W493" s="692" t="n"/>
    </row>
    <row r="494">
      <c r="A494" s="692" t="n"/>
      <c r="B494" s="692" t="n"/>
      <c r="C494" s="692" t="n"/>
      <c r="D494" s="692" t="n"/>
      <c r="E494" s="692" t="n"/>
      <c r="F494" s="692" t="n"/>
      <c r="G494" s="692" t="n"/>
      <c r="H494" s="692" t="n"/>
      <c r="I494" s="692" t="n"/>
      <c r="J494" s="692" t="n"/>
      <c r="K494" s="692" t="n"/>
      <c r="L494" s="692" t="n"/>
      <c r="M494" s="692" t="n"/>
      <c r="N494" s="692" t="n"/>
      <c r="O494" s="692" t="n"/>
      <c r="P494" s="692" t="n"/>
      <c r="Q494" s="692" t="n"/>
      <c r="R494" s="692" t="n"/>
      <c r="S494" s="692" t="n"/>
      <c r="T494" s="692" t="n"/>
      <c r="U494" s="692" t="n"/>
      <c r="V494" s="692" t="n"/>
      <c r="W494" s="692" t="n"/>
    </row>
    <row r="495">
      <c r="A495" s="692" t="n"/>
      <c r="B495" s="692" t="n"/>
      <c r="C495" s="692" t="n"/>
      <c r="D495" s="692" t="n"/>
      <c r="E495" s="692" t="n"/>
      <c r="F495" s="692" t="n"/>
      <c r="G495" s="692" t="n"/>
      <c r="H495" s="692" t="n"/>
      <c r="I495" s="692" t="n"/>
      <c r="J495" s="692" t="n"/>
      <c r="K495" s="692" t="n"/>
      <c r="L495" s="692" t="n"/>
      <c r="M495" s="692" t="n"/>
      <c r="N495" s="692" t="n"/>
      <c r="O495" s="692" t="n"/>
      <c r="P495" s="692" t="n"/>
      <c r="Q495" s="692" t="n"/>
      <c r="R495" s="692" t="n"/>
      <c r="S495" s="692" t="n"/>
      <c r="T495" s="692" t="n"/>
      <c r="U495" s="692" t="n"/>
      <c r="V495" s="692" t="n"/>
      <c r="W495" s="692" t="n"/>
    </row>
    <row r="496">
      <c r="A496" s="692" t="n"/>
      <c r="B496" s="692" t="n"/>
      <c r="C496" s="692" t="n"/>
      <c r="D496" s="692" t="n"/>
      <c r="E496" s="692" t="n"/>
      <c r="F496" s="692" t="n"/>
      <c r="G496" s="692" t="n"/>
      <c r="H496" s="692" t="n"/>
      <c r="I496" s="692" t="n"/>
      <c r="J496" s="692" t="n"/>
      <c r="K496" s="692" t="n"/>
      <c r="L496" s="692" t="n"/>
      <c r="M496" s="692" t="n"/>
      <c r="N496" s="692" t="n"/>
      <c r="O496" s="692" t="n"/>
      <c r="P496" s="692" t="n"/>
      <c r="Q496" s="692" t="n"/>
      <c r="R496" s="692" t="n"/>
      <c r="S496" s="692" t="n"/>
      <c r="T496" s="692" t="n"/>
      <c r="U496" s="692" t="n"/>
      <c r="V496" s="692" t="n"/>
      <c r="W496" s="692" t="n"/>
    </row>
    <row r="497">
      <c r="A497" s="692" t="n"/>
      <c r="B497" s="692" t="n"/>
      <c r="C497" s="692" t="n"/>
      <c r="D497" s="692" t="n"/>
      <c r="E497" s="692" t="n"/>
      <c r="F497" s="692" t="n"/>
      <c r="G497" s="692" t="n"/>
      <c r="H497" s="692" t="n"/>
      <c r="I497" s="692" t="n"/>
      <c r="J497" s="692" t="n"/>
      <c r="K497" s="692" t="n"/>
      <c r="L497" s="692" t="n"/>
      <c r="M497" s="692" t="n"/>
      <c r="N497" s="692" t="n"/>
      <c r="O497" s="692" t="n"/>
      <c r="P497" s="692" t="n"/>
      <c r="Q497" s="692" t="n"/>
      <c r="R497" s="692" t="n"/>
      <c r="S497" s="692" t="n"/>
      <c r="T497" s="692" t="n"/>
      <c r="U497" s="692" t="n"/>
      <c r="V497" s="692" t="n"/>
      <c r="W497" s="692" t="n"/>
    </row>
    <row r="498">
      <c r="A498" s="692" t="n"/>
      <c r="B498" s="692" t="n"/>
      <c r="C498" s="692" t="n"/>
      <c r="D498" s="692" t="n"/>
      <c r="E498" s="692" t="n"/>
      <c r="F498" s="692" t="n"/>
      <c r="G498" s="692" t="n"/>
      <c r="H498" s="692" t="n"/>
      <c r="I498" s="692" t="n"/>
      <c r="J498" s="692" t="n"/>
      <c r="K498" s="692" t="n"/>
      <c r="L498" s="692" t="n"/>
      <c r="M498" s="692" t="n"/>
      <c r="N498" s="692" t="n"/>
      <c r="O498" s="692" t="n"/>
      <c r="P498" s="692" t="n"/>
      <c r="Q498" s="692" t="n"/>
      <c r="R498" s="692" t="n"/>
      <c r="S498" s="692" t="n"/>
      <c r="T498" s="692" t="n"/>
      <c r="U498" s="692" t="n"/>
      <c r="V498" s="692" t="n"/>
      <c r="W498" s="692" t="n"/>
    </row>
    <row r="499">
      <c r="A499" s="692" t="n"/>
      <c r="B499" s="692" t="n"/>
      <c r="C499" s="692" t="n"/>
      <c r="D499" s="692" t="n"/>
      <c r="E499" s="692" t="n"/>
      <c r="F499" s="692" t="n"/>
      <c r="G499" s="692" t="n"/>
      <c r="H499" s="692" t="n"/>
      <c r="I499" s="692" t="n"/>
      <c r="J499" s="692" t="n"/>
      <c r="K499" s="692" t="n"/>
      <c r="L499" s="692" t="n"/>
      <c r="M499" s="692" t="n"/>
      <c r="N499" s="692" t="n"/>
      <c r="O499" s="692" t="n"/>
      <c r="P499" s="692" t="n"/>
      <c r="Q499" s="692" t="n"/>
      <c r="R499" s="692" t="n"/>
      <c r="S499" s="692" t="n"/>
      <c r="T499" s="692" t="n"/>
      <c r="U499" s="692" t="n"/>
      <c r="V499" s="692" t="n"/>
      <c r="W499" s="692" t="n"/>
    </row>
    <row r="500">
      <c r="A500" s="692" t="n"/>
      <c r="B500" s="692" t="n"/>
      <c r="C500" s="692" t="n"/>
      <c r="D500" s="692" t="n"/>
      <c r="E500" s="692" t="n"/>
      <c r="F500" s="692" t="n"/>
      <c r="G500" s="692" t="n"/>
      <c r="H500" s="692" t="n"/>
      <c r="I500" s="692" t="n"/>
      <c r="J500" s="692" t="n"/>
      <c r="K500" s="692" t="n"/>
      <c r="L500" s="692" t="n"/>
      <c r="M500" s="692" t="n"/>
      <c r="N500" s="692" t="n"/>
      <c r="O500" s="692" t="n"/>
      <c r="P500" s="692" t="n"/>
      <c r="Q500" s="692" t="n"/>
      <c r="R500" s="692" t="n"/>
      <c r="S500" s="692" t="n"/>
      <c r="T500" s="692" t="n"/>
      <c r="U500" s="692" t="n"/>
      <c r="V500" s="692" t="n"/>
      <c r="W500" s="692" t="n"/>
    </row>
    <row r="501">
      <c r="A501" s="692" t="n"/>
      <c r="B501" s="692" t="n"/>
      <c r="C501" s="692" t="n"/>
      <c r="D501" s="692" t="n"/>
      <c r="E501" s="692" t="n"/>
      <c r="F501" s="692" t="n"/>
      <c r="G501" s="692" t="n"/>
      <c r="H501" s="692" t="n"/>
      <c r="I501" s="692" t="n"/>
      <c r="J501" s="692" t="n"/>
      <c r="K501" s="692" t="n"/>
      <c r="L501" s="692" t="n"/>
      <c r="M501" s="692" t="n"/>
      <c r="N501" s="692" t="n"/>
      <c r="O501" s="692" t="n"/>
      <c r="P501" s="692" t="n"/>
      <c r="Q501" s="692" t="n"/>
      <c r="R501" s="692" t="n"/>
      <c r="S501" s="692" t="n"/>
      <c r="T501" s="692" t="n"/>
      <c r="U501" s="692" t="n"/>
      <c r="V501" s="692" t="n"/>
      <c r="W501" s="692" t="n"/>
    </row>
    <row r="502">
      <c r="A502" s="692" t="n"/>
      <c r="B502" s="692" t="n"/>
      <c r="C502" s="692" t="n"/>
      <c r="D502" s="692" t="n"/>
      <c r="E502" s="692" t="n"/>
      <c r="F502" s="692" t="n"/>
      <c r="G502" s="692" t="n"/>
      <c r="H502" s="692" t="n"/>
      <c r="I502" s="692" t="n"/>
      <c r="J502" s="692" t="n"/>
      <c r="K502" s="692" t="n"/>
      <c r="L502" s="692" t="n"/>
      <c r="M502" s="692" t="n"/>
      <c r="N502" s="692" t="n"/>
      <c r="O502" s="692" t="n"/>
      <c r="P502" s="692" t="n"/>
      <c r="Q502" s="692" t="n"/>
      <c r="R502" s="692" t="n"/>
      <c r="S502" s="692" t="n"/>
      <c r="T502" s="692" t="n"/>
      <c r="U502" s="692" t="n"/>
      <c r="V502" s="692" t="n"/>
      <c r="W502" s="692" t="n"/>
    </row>
    <row r="503">
      <c r="A503" s="692" t="n"/>
      <c r="B503" s="692" t="n"/>
      <c r="C503" s="692" t="n"/>
      <c r="D503" s="692" t="n"/>
      <c r="E503" s="692" t="n"/>
      <c r="F503" s="692" t="n"/>
      <c r="G503" s="692" t="n"/>
      <c r="H503" s="692" t="n"/>
      <c r="I503" s="692" t="n"/>
      <c r="J503" s="692" t="n"/>
      <c r="K503" s="692" t="n"/>
      <c r="L503" s="692" t="n"/>
      <c r="M503" s="692" t="n"/>
      <c r="N503" s="692" t="n"/>
      <c r="O503" s="692" t="n"/>
      <c r="P503" s="692" t="n"/>
      <c r="Q503" s="692" t="n"/>
      <c r="R503" s="692" t="n"/>
      <c r="S503" s="692" t="n"/>
      <c r="T503" s="692" t="n"/>
      <c r="U503" s="692" t="n"/>
      <c r="V503" s="692" t="n"/>
      <c r="W503" s="692" t="n"/>
    </row>
    <row r="504">
      <c r="A504" s="692" t="n"/>
      <c r="B504" s="692" t="n"/>
      <c r="C504" s="158" t="n"/>
      <c r="D504" s="692" t="n"/>
      <c r="E504" s="692" t="n"/>
      <c r="F504" s="692" t="n"/>
      <c r="G504" s="692" t="n"/>
      <c r="H504" s="692" t="n"/>
      <c r="I504" s="692" t="n"/>
      <c r="J504" s="692" t="n"/>
      <c r="K504" s="692" t="n"/>
      <c r="M504" s="692" t="n"/>
      <c r="N504" s="692" t="n"/>
      <c r="O504" s="692" t="n"/>
      <c r="P504" s="692" t="n"/>
      <c r="Q504" s="692" t="n"/>
      <c r="R504" s="692" t="n"/>
      <c r="S504" s="692" t="n"/>
      <c r="T504" s="692" t="n"/>
      <c r="U504" s="692" t="n"/>
      <c r="V504" s="692" t="n"/>
      <c r="W504" s="692" t="n"/>
    </row>
    <row r="505">
      <c r="A505" s="692" t="n"/>
      <c r="B505" s="692" t="n"/>
      <c r="C505" s="158" t="n"/>
      <c r="D505" s="692" t="n"/>
      <c r="E505" s="692" t="n"/>
      <c r="F505" s="692" t="n"/>
      <c r="G505" s="692" t="n"/>
      <c r="H505" s="692" t="n"/>
      <c r="I505" s="692" t="n"/>
      <c r="J505" s="692" t="n"/>
      <c r="K505" s="692" t="n"/>
      <c r="M505" s="692" t="n"/>
      <c r="N505" s="692" t="n"/>
      <c r="O505" s="692" t="n"/>
      <c r="P505" s="692" t="n"/>
      <c r="Q505" s="692" t="n"/>
      <c r="R505" s="692" t="n"/>
      <c r="S505" s="692" t="n"/>
      <c r="T505" s="692" t="n"/>
      <c r="U505" s="692" t="n"/>
      <c r="V505" s="692" t="n"/>
      <c r="W505" s="692" t="n"/>
    </row>
    <row r="506">
      <c r="A506" s="692" t="n"/>
      <c r="B506" s="692" t="n"/>
      <c r="C506" s="158" t="n"/>
      <c r="D506" s="692" t="n"/>
      <c r="E506" s="692" t="n"/>
      <c r="F506" s="692" t="n"/>
      <c r="G506" s="692" t="n"/>
      <c r="H506" s="692" t="n"/>
      <c r="I506" s="692" t="n"/>
      <c r="J506" s="692" t="n"/>
      <c r="K506" s="692" t="n"/>
      <c r="M506" s="692" t="n"/>
      <c r="N506" s="692" t="n"/>
      <c r="O506" s="692" t="n"/>
      <c r="P506" s="692" t="n"/>
      <c r="Q506" s="692" t="n"/>
      <c r="R506" s="692" t="n"/>
      <c r="S506" s="692" t="n"/>
      <c r="T506" s="692" t="n"/>
      <c r="U506" s="692" t="n"/>
      <c r="V506" s="692" t="n"/>
      <c r="W506" s="692" t="n"/>
    </row>
    <row r="507">
      <c r="A507" s="692" t="n"/>
      <c r="B507" s="692" t="n"/>
      <c r="C507" s="692" t="n"/>
      <c r="D507" s="692" t="n"/>
      <c r="E507" s="692" t="n"/>
      <c r="F507" s="692" t="n"/>
      <c r="G507" s="692" t="n"/>
      <c r="H507" s="692" t="n"/>
      <c r="I507" s="692" t="n"/>
      <c r="J507" s="692" t="n"/>
      <c r="K507" s="692" t="n"/>
      <c r="M507" s="692" t="n"/>
      <c r="N507" s="692" t="n"/>
      <c r="O507" s="692" t="n"/>
      <c r="P507" s="692" t="n"/>
      <c r="Q507" s="692" t="n"/>
      <c r="R507" s="692" t="n"/>
      <c r="S507" s="692" t="n"/>
      <c r="T507" s="692" t="n"/>
      <c r="U507" s="692" t="n"/>
      <c r="V507" s="692" t="n"/>
      <c r="W507" s="692" t="n"/>
    </row>
    <row r="508">
      <c r="A508" s="692" t="n"/>
      <c r="B508" s="692" t="n"/>
      <c r="C508" s="692" t="n"/>
      <c r="D508" s="692" t="n"/>
      <c r="E508" s="692" t="n"/>
      <c r="F508" s="692" t="n"/>
      <c r="G508" s="692" t="n"/>
      <c r="H508" s="692" t="n"/>
      <c r="I508" s="692" t="n"/>
      <c r="J508" s="692" t="n"/>
      <c r="K508" s="692" t="n"/>
      <c r="M508" s="692" t="n"/>
      <c r="N508" s="692" t="n"/>
      <c r="O508" s="692" t="n"/>
      <c r="P508" s="692" t="n"/>
      <c r="Q508" s="692" t="n"/>
      <c r="R508" s="692" t="n"/>
      <c r="S508" s="692" t="n"/>
      <c r="T508" s="692" t="n"/>
      <c r="U508" s="692" t="n"/>
      <c r="V508" s="692" t="n"/>
      <c r="W508" s="692" t="n"/>
    </row>
    <row r="509">
      <c r="A509" s="692" t="n"/>
      <c r="B509" s="692" t="n"/>
      <c r="C509" s="692" t="n"/>
      <c r="D509" s="692" t="n"/>
      <c r="E509" s="692" t="n"/>
      <c r="F509" s="692" t="n"/>
      <c r="G509" s="692" t="n"/>
      <c r="H509" s="692" t="n"/>
      <c r="I509" s="692" t="n"/>
      <c r="J509" s="692" t="n"/>
      <c r="K509" s="692" t="n"/>
      <c r="M509" s="692" t="n"/>
      <c r="N509" s="692" t="n"/>
      <c r="O509" s="692" t="n"/>
      <c r="P509" s="692" t="n"/>
      <c r="Q509" s="692" t="n"/>
      <c r="R509" s="692" t="n"/>
      <c r="S509" s="692" t="n"/>
      <c r="T509" s="692" t="n"/>
      <c r="U509" s="692" t="n"/>
      <c r="V509" s="692" t="n"/>
      <c r="W509" s="692" t="n"/>
    </row>
    <row r="510">
      <c r="A510" s="692" t="n"/>
      <c r="B510" s="692" t="n"/>
      <c r="C510" s="692" t="n"/>
      <c r="D510" s="692" t="n"/>
      <c r="E510" s="692" t="n"/>
      <c r="F510" s="692" t="n"/>
      <c r="G510" s="692" t="n"/>
      <c r="H510" s="692" t="n"/>
      <c r="I510" s="692" t="n"/>
      <c r="J510" s="692" t="n"/>
      <c r="K510" s="692" t="n"/>
      <c r="M510" s="692" t="n"/>
      <c r="N510" s="692" t="n"/>
      <c r="O510" s="692" t="n"/>
      <c r="P510" s="692" t="n"/>
      <c r="Q510" s="692" t="n"/>
      <c r="R510" s="692" t="n"/>
      <c r="S510" s="692" t="n"/>
      <c r="T510" s="692" t="n"/>
      <c r="U510" s="692" t="n"/>
      <c r="V510" s="692" t="n"/>
      <c r="W510" s="692" t="n"/>
    </row>
    <row r="511">
      <c r="A511" s="692" t="n"/>
      <c r="B511" s="692" t="n"/>
      <c r="C511" s="692" t="n"/>
      <c r="D511" s="692" t="n"/>
      <c r="E511" s="692" t="n"/>
      <c r="F511" s="692" t="n"/>
      <c r="G511" s="692" t="n"/>
      <c r="H511" s="692" t="n"/>
      <c r="I511" s="692" t="n"/>
      <c r="J511" s="692" t="n"/>
      <c r="K511" s="692" t="n"/>
      <c r="M511" s="692" t="n"/>
      <c r="N511" s="692" t="n"/>
      <c r="O511" s="692" t="n"/>
      <c r="P511" s="692" t="n"/>
      <c r="Q511" s="692" t="n"/>
      <c r="R511" s="692" t="n"/>
      <c r="S511" s="692" t="n"/>
      <c r="T511" s="692" t="n"/>
      <c r="U511" s="692" t="n"/>
      <c r="V511" s="692" t="n"/>
      <c r="W511" s="692" t="n"/>
    </row>
    <row r="512">
      <c r="A512" s="692" t="n"/>
      <c r="B512" s="692" t="n"/>
      <c r="C512" s="692" t="n"/>
      <c r="D512" s="692" t="n"/>
      <c r="E512" s="692" t="n"/>
      <c r="F512" s="692" t="n"/>
      <c r="G512" s="692" t="n"/>
      <c r="H512" s="692" t="n"/>
      <c r="I512" s="692" t="n"/>
      <c r="J512" s="692" t="n"/>
      <c r="K512" s="692" t="n"/>
      <c r="M512" s="692" t="n"/>
      <c r="N512" s="692" t="n"/>
      <c r="O512" s="692" t="n"/>
      <c r="P512" s="692" t="n"/>
      <c r="Q512" s="692" t="n"/>
      <c r="R512" s="692" t="n"/>
      <c r="S512" s="692" t="n"/>
      <c r="T512" s="692" t="n"/>
      <c r="U512" s="692" t="n"/>
      <c r="V512" s="692" t="n"/>
      <c r="W512" s="692" t="n"/>
    </row>
    <row r="513">
      <c r="A513" s="692" t="n"/>
      <c r="B513" s="692" t="n"/>
      <c r="C513" s="692" t="n"/>
      <c r="D513" s="692" t="n"/>
      <c r="E513" s="692" t="n"/>
      <c r="F513" s="692" t="n"/>
      <c r="G513" s="692" t="n"/>
      <c r="H513" s="692" t="n"/>
      <c r="I513" s="692" t="n"/>
      <c r="J513" s="692" t="n"/>
      <c r="K513" s="692" t="n"/>
      <c r="M513" s="692" t="n"/>
      <c r="N513" s="692" t="n"/>
      <c r="O513" s="692" t="n"/>
      <c r="P513" s="692" t="n"/>
      <c r="Q513" s="692" t="n"/>
      <c r="R513" s="692" t="n"/>
      <c r="S513" s="692" t="n"/>
      <c r="T513" s="692" t="n"/>
      <c r="U513" s="692" t="n"/>
      <c r="V513" s="692" t="n"/>
      <c r="W513" s="692" t="n"/>
    </row>
    <row r="514">
      <c r="A514" s="692" t="n"/>
      <c r="B514" s="692" t="n"/>
      <c r="C514" s="692" t="n"/>
      <c r="D514" s="692" t="n"/>
      <c r="E514" s="692" t="n"/>
      <c r="F514" s="692" t="n"/>
      <c r="G514" s="692" t="n"/>
      <c r="H514" s="692" t="n"/>
      <c r="I514" s="692" t="n"/>
      <c r="J514" s="692" t="n"/>
      <c r="K514" s="692" t="n"/>
      <c r="M514" s="692" t="n"/>
      <c r="N514" s="692" t="n"/>
      <c r="O514" s="692" t="n"/>
      <c r="P514" s="692" t="n"/>
      <c r="Q514" s="692" t="n"/>
      <c r="R514" s="692" t="n"/>
      <c r="S514" s="692" t="n"/>
      <c r="T514" s="692" t="n"/>
      <c r="U514" s="692" t="n"/>
      <c r="V514" s="692" t="n"/>
      <c r="W514" s="692" t="n"/>
    </row>
    <row r="515">
      <c r="A515" s="692" t="n"/>
      <c r="B515" s="692" t="n"/>
      <c r="C515" s="692" t="n"/>
      <c r="D515" s="692" t="n"/>
      <c r="E515" s="692" t="n"/>
      <c r="F515" s="692" t="n"/>
      <c r="G515" s="692" t="n"/>
      <c r="H515" s="692" t="n"/>
      <c r="I515" s="692" t="n"/>
      <c r="J515" s="692" t="n"/>
      <c r="K515" s="692" t="n"/>
      <c r="M515" s="692" t="n"/>
      <c r="N515" s="692" t="n"/>
      <c r="O515" s="692" t="n"/>
      <c r="P515" s="692" t="n"/>
      <c r="Q515" s="692" t="n"/>
      <c r="R515" s="692" t="n"/>
      <c r="S515" s="692" t="n"/>
      <c r="T515" s="692" t="n"/>
      <c r="U515" s="692" t="n"/>
      <c r="V515" s="692" t="n"/>
      <c r="W515" s="692" t="n"/>
    </row>
    <row r="516">
      <c r="A516" s="692" t="n"/>
      <c r="B516" s="692" t="n"/>
      <c r="C516" s="692" t="n"/>
      <c r="D516" s="692" t="n"/>
      <c r="E516" s="692" t="n"/>
      <c r="F516" s="692" t="n"/>
      <c r="G516" s="692" t="n"/>
      <c r="H516" s="692" t="n"/>
      <c r="I516" s="692" t="n"/>
      <c r="J516" s="692" t="n"/>
      <c r="K516" s="692" t="n"/>
      <c r="M516" s="692" t="n"/>
      <c r="N516" s="692" t="n"/>
      <c r="O516" s="692" t="n"/>
      <c r="P516" s="692" t="n"/>
      <c r="Q516" s="692" t="n"/>
      <c r="R516" s="692" t="n"/>
      <c r="S516" s="692" t="n"/>
      <c r="T516" s="692" t="n"/>
      <c r="U516" s="692" t="n"/>
      <c r="V516" s="692" t="n"/>
      <c r="W516" s="692" t="n"/>
    </row>
    <row r="517">
      <c r="A517" s="692" t="n"/>
      <c r="B517" s="692" t="n"/>
      <c r="C517" s="692" t="n"/>
      <c r="D517" s="692" t="n"/>
      <c r="E517" s="692" t="n"/>
      <c r="F517" s="692" t="n"/>
      <c r="G517" s="692" t="n"/>
      <c r="H517" s="692" t="n"/>
      <c r="I517" s="692" t="n"/>
      <c r="J517" s="692" t="n"/>
      <c r="K517" s="692" t="n"/>
      <c r="L517" s="692" t="n"/>
      <c r="M517" s="692" t="n"/>
      <c r="N517" s="692" t="n"/>
      <c r="O517" s="692" t="n"/>
      <c r="P517" s="692" t="n"/>
      <c r="Q517" s="692" t="n"/>
      <c r="R517" s="692" t="n"/>
      <c r="S517" s="692" t="n"/>
      <c r="T517" s="692" t="n"/>
      <c r="U517" s="692" t="n"/>
      <c r="V517" s="692" t="n"/>
      <c r="W517" s="692" t="n"/>
    </row>
    <row r="518">
      <c r="A518" s="692" t="n"/>
      <c r="B518" s="692" t="n"/>
      <c r="C518" s="692" t="n"/>
      <c r="D518" s="692" t="n"/>
      <c r="E518" s="692" t="n"/>
      <c r="F518" s="692" t="n"/>
      <c r="G518" s="692" t="n"/>
      <c r="H518" s="692" t="n"/>
      <c r="I518" s="692" t="n"/>
      <c r="J518" s="692" t="n"/>
      <c r="K518" s="692" t="n"/>
      <c r="L518" s="692" t="n"/>
      <c r="M518" s="692" t="n"/>
      <c r="N518" s="692" t="n"/>
      <c r="O518" s="692" t="n"/>
      <c r="P518" s="692" t="n"/>
      <c r="Q518" s="692" t="n"/>
      <c r="R518" s="692" t="n"/>
      <c r="S518" s="692" t="n"/>
      <c r="T518" s="692" t="n"/>
      <c r="U518" s="692" t="n"/>
      <c r="V518" s="692" t="n"/>
      <c r="W518" s="692" t="n"/>
    </row>
    <row r="519">
      <c r="A519" s="692" t="n"/>
      <c r="B519" s="692" t="n"/>
      <c r="C519" s="692" t="n"/>
      <c r="D519" s="692" t="n"/>
      <c r="E519" s="692" t="n"/>
      <c r="F519" s="692" t="n"/>
      <c r="G519" s="692" t="n"/>
      <c r="H519" s="692" t="n"/>
      <c r="I519" s="692" t="n"/>
      <c r="J519" s="692" t="n"/>
      <c r="K519" s="692" t="n"/>
      <c r="L519" s="692" t="n"/>
      <c r="M519" s="692" t="n"/>
      <c r="N519" s="692" t="n"/>
      <c r="O519" s="692" t="n"/>
      <c r="P519" s="692" t="n"/>
      <c r="Q519" s="692" t="n"/>
      <c r="R519" s="692" t="n"/>
      <c r="S519" s="692" t="n"/>
      <c r="T519" s="692" t="n"/>
      <c r="U519" s="692" t="n"/>
      <c r="V519" s="692" t="n"/>
      <c r="W519" s="692" t="n"/>
    </row>
    <row r="520">
      <c r="A520" s="692" t="n"/>
      <c r="B520" s="692" t="n"/>
      <c r="C520" s="692" t="n"/>
      <c r="D520" s="692" t="n"/>
      <c r="E520" s="692" t="n"/>
      <c r="F520" s="692" t="n"/>
      <c r="G520" s="692" t="n"/>
      <c r="H520" s="692" t="n"/>
      <c r="I520" s="692" t="n"/>
      <c r="J520" s="692" t="n"/>
      <c r="K520" s="692" t="n"/>
      <c r="L520" s="692" t="n"/>
      <c r="M520" s="692" t="n"/>
      <c r="N520" s="692" t="n"/>
      <c r="O520" s="692" t="n"/>
      <c r="P520" s="692" t="n"/>
      <c r="Q520" s="692" t="n"/>
      <c r="R520" s="692" t="n"/>
      <c r="S520" s="692" t="n"/>
      <c r="T520" s="692" t="n"/>
      <c r="U520" s="692" t="n"/>
      <c r="V520" s="692" t="n"/>
      <c r="W520" s="692" t="n"/>
    </row>
    <row r="521">
      <c r="A521" s="692" t="n"/>
      <c r="B521" s="692" t="n"/>
      <c r="C521" s="692" t="n"/>
      <c r="D521" s="692" t="n"/>
      <c r="E521" s="692" t="n"/>
      <c r="F521" s="692" t="n"/>
      <c r="G521" s="692" t="n"/>
      <c r="H521" s="692" t="n"/>
      <c r="I521" s="692" t="n"/>
      <c r="J521" s="692" t="n"/>
      <c r="K521" s="692" t="n"/>
      <c r="L521" s="692" t="n"/>
      <c r="M521" s="692" t="n"/>
      <c r="N521" s="692" t="n"/>
      <c r="O521" s="692" t="n"/>
      <c r="P521" s="692" t="n"/>
      <c r="Q521" s="692" t="n"/>
      <c r="R521" s="692" t="n"/>
      <c r="S521" s="692" t="n"/>
      <c r="T521" s="692" t="n"/>
      <c r="U521" s="692" t="n"/>
      <c r="V521" s="692" t="n"/>
      <c r="W521" s="692" t="n"/>
    </row>
    <row r="522">
      <c r="A522" s="692" t="n"/>
      <c r="B522" s="692" t="n"/>
      <c r="C522" s="692" t="n"/>
      <c r="D522" s="692" t="n"/>
      <c r="E522" s="692" t="n"/>
      <c r="F522" s="692" t="n"/>
      <c r="G522" s="692" t="n"/>
      <c r="H522" s="692" t="n"/>
      <c r="I522" s="692" t="n"/>
      <c r="J522" s="692" t="n"/>
      <c r="K522" s="692" t="n"/>
      <c r="L522" s="692" t="n"/>
      <c r="M522" s="692" t="n"/>
      <c r="N522" s="692" t="n"/>
      <c r="O522" s="692" t="n"/>
      <c r="P522" s="692" t="n"/>
      <c r="Q522" s="692" t="n"/>
      <c r="R522" s="692" t="n"/>
      <c r="S522" s="692" t="n"/>
      <c r="T522" s="692" t="n"/>
      <c r="U522" s="692" t="n"/>
      <c r="V522" s="692" t="n"/>
      <c r="W522" s="692" t="n"/>
    </row>
    <row r="523">
      <c r="A523" s="692" t="n"/>
      <c r="B523" s="692" t="n"/>
      <c r="C523" s="692" t="n"/>
      <c r="D523" s="692" t="n"/>
      <c r="E523" s="692" t="n"/>
      <c r="F523" s="692" t="n"/>
      <c r="G523" s="692" t="n"/>
      <c r="H523" s="692" t="n"/>
      <c r="I523" s="692" t="n"/>
      <c r="J523" s="692" t="n"/>
      <c r="K523" s="692" t="n"/>
      <c r="L523" s="692" t="n"/>
      <c r="M523" s="692" t="n"/>
      <c r="N523" s="692" t="n"/>
      <c r="O523" s="692" t="n"/>
      <c r="P523" s="692" t="n"/>
      <c r="Q523" s="692" t="n"/>
      <c r="R523" s="692" t="n"/>
      <c r="S523" s="692" t="n"/>
      <c r="T523" s="692" t="n"/>
      <c r="U523" s="692" t="n"/>
      <c r="V523" s="692" t="n"/>
      <c r="W523" s="692" t="n"/>
    </row>
    <row r="524">
      <c r="A524" s="692" t="n"/>
      <c r="B524" s="692" t="n"/>
      <c r="C524" s="692" t="n"/>
      <c r="D524" s="692" t="n"/>
      <c r="E524" s="692" t="n"/>
      <c r="F524" s="692" t="n"/>
      <c r="G524" s="692" t="n"/>
      <c r="H524" s="692" t="n"/>
      <c r="I524" s="692" t="n"/>
      <c r="J524" s="692" t="n"/>
      <c r="K524" s="692" t="n"/>
      <c r="L524" s="692" t="n"/>
      <c r="M524" s="692" t="n"/>
      <c r="N524" s="692" t="n"/>
      <c r="O524" s="692" t="n"/>
      <c r="P524" s="692" t="n"/>
      <c r="Q524" s="692" t="n"/>
      <c r="R524" s="692" t="n"/>
      <c r="S524" s="692" t="n"/>
      <c r="T524" s="692" t="n"/>
      <c r="U524" s="692" t="n"/>
      <c r="V524" s="692" t="n"/>
      <c r="W524" s="692" t="n"/>
    </row>
    <row r="525">
      <c r="A525" s="692" t="n"/>
      <c r="B525" s="692" t="n"/>
      <c r="C525" s="692" t="n"/>
      <c r="D525" s="692" t="n"/>
      <c r="E525" s="692" t="n"/>
      <c r="F525" s="692" t="n"/>
      <c r="G525" s="692" t="n"/>
      <c r="H525" s="692" t="n"/>
      <c r="I525" s="692" t="n"/>
      <c r="J525" s="692" t="n"/>
      <c r="K525" s="692" t="n"/>
      <c r="L525" s="692" t="n"/>
      <c r="M525" s="692" t="n"/>
      <c r="N525" s="692" t="n"/>
      <c r="O525" s="692" t="n"/>
      <c r="P525" s="692" t="n"/>
      <c r="Q525" s="692" t="n"/>
      <c r="R525" s="692" t="n"/>
      <c r="S525" s="692" t="n"/>
      <c r="T525" s="692" t="n"/>
      <c r="U525" s="692" t="n"/>
      <c r="V525" s="692" t="n"/>
      <c r="W525" s="692" t="n"/>
    </row>
    <row r="526">
      <c r="A526" s="692" t="n"/>
      <c r="B526" s="692" t="n"/>
      <c r="C526" s="692" t="n"/>
      <c r="D526" s="692" t="n"/>
      <c r="E526" s="692" t="n"/>
      <c r="F526" s="692" t="n"/>
      <c r="G526" s="692" t="n"/>
      <c r="H526" s="692" t="n"/>
      <c r="I526" s="692" t="n"/>
      <c r="J526" s="692" t="n"/>
      <c r="K526" s="692" t="n"/>
      <c r="L526" s="692" t="n"/>
      <c r="M526" s="692" t="n"/>
      <c r="N526" s="692" t="n"/>
      <c r="O526" s="692" t="n"/>
      <c r="P526" s="692" t="n"/>
      <c r="Q526" s="692" t="n"/>
      <c r="R526" s="692" t="n"/>
      <c r="S526" s="692" t="n"/>
      <c r="T526" s="692" t="n"/>
      <c r="U526" s="692" t="n"/>
      <c r="V526" s="692" t="n"/>
      <c r="W526" s="692" t="n"/>
    </row>
    <row r="527">
      <c r="A527" s="692" t="n"/>
      <c r="B527" s="692" t="n"/>
      <c r="C527" s="692" t="n"/>
      <c r="D527" s="692" t="n"/>
      <c r="E527" s="692" t="n"/>
      <c r="F527" s="692" t="n"/>
      <c r="G527" s="692" t="n"/>
      <c r="H527" s="692" t="n"/>
      <c r="I527" s="692" t="n"/>
      <c r="J527" s="692" t="n"/>
      <c r="K527" s="692" t="n"/>
      <c r="L527" s="692" t="n"/>
      <c r="M527" s="692" t="n"/>
      <c r="N527" s="692" t="n"/>
      <c r="O527" s="692" t="n"/>
      <c r="P527" s="692" t="n"/>
      <c r="Q527" s="692" t="n"/>
      <c r="R527" s="692" t="n"/>
      <c r="S527" s="692" t="n"/>
      <c r="T527" s="692" t="n"/>
      <c r="U527" s="692" t="n"/>
      <c r="V527" s="692" t="n"/>
      <c r="W527" s="692" t="n"/>
    </row>
    <row r="528">
      <c r="A528" s="692" t="n"/>
      <c r="B528" s="692" t="n"/>
      <c r="C528" s="692" t="n"/>
      <c r="D528" s="692" t="n"/>
      <c r="E528" s="692" t="n"/>
      <c r="F528" s="692" t="n"/>
      <c r="G528" s="692" t="n"/>
      <c r="H528" s="692" t="n"/>
      <c r="I528" s="692" t="n"/>
      <c r="J528" s="692" t="n"/>
      <c r="K528" s="692" t="n"/>
      <c r="L528" s="692" t="n"/>
      <c r="M528" s="692" t="n"/>
      <c r="N528" s="692" t="n"/>
      <c r="O528" s="692" t="n"/>
      <c r="P528" s="692" t="n"/>
      <c r="Q528" s="692" t="n"/>
      <c r="R528" s="692" t="n"/>
      <c r="S528" s="692" t="n"/>
      <c r="T528" s="692" t="n"/>
      <c r="U528" s="692" t="n"/>
      <c r="V528" s="692" t="n"/>
      <c r="W528" s="692" t="n"/>
    </row>
    <row r="529">
      <c r="A529" s="692" t="n"/>
      <c r="B529" s="692" t="n"/>
      <c r="C529" s="692" t="n"/>
      <c r="D529" s="692" t="n"/>
      <c r="E529" s="692" t="n"/>
      <c r="F529" s="692" t="n"/>
      <c r="G529" s="692" t="n"/>
      <c r="H529" s="692" t="n"/>
      <c r="I529" s="692" t="n"/>
      <c r="J529" s="692" t="n"/>
      <c r="K529" s="692" t="n"/>
      <c r="L529" s="692" t="n"/>
      <c r="M529" s="692" t="n"/>
      <c r="N529" s="692" t="n"/>
      <c r="O529" s="692" t="n"/>
      <c r="P529" s="692" t="n"/>
      <c r="Q529" s="692" t="n"/>
      <c r="R529" s="692" t="n"/>
      <c r="S529" s="692" t="n"/>
      <c r="T529" s="692" t="n"/>
      <c r="U529" s="692" t="n"/>
      <c r="V529" s="692" t="n"/>
      <c r="W529" s="692" t="n"/>
    </row>
    <row r="530">
      <c r="A530" s="692" t="n"/>
      <c r="B530" s="692" t="n"/>
      <c r="C530" s="692" t="n"/>
      <c r="D530" s="692" t="n"/>
      <c r="E530" s="692" t="n"/>
      <c r="F530" s="692" t="n"/>
      <c r="G530" s="692" t="n"/>
      <c r="H530" s="692" t="n"/>
      <c r="I530" s="692" t="n"/>
      <c r="J530" s="692" t="n"/>
      <c r="K530" s="692" t="n"/>
      <c r="L530" s="692" t="n"/>
      <c r="M530" s="692" t="n"/>
      <c r="N530" s="692" t="n"/>
      <c r="O530" s="692" t="n"/>
      <c r="P530" s="692" t="n"/>
      <c r="Q530" s="692" t="n"/>
      <c r="R530" s="692" t="n"/>
      <c r="S530" s="692" t="n"/>
      <c r="T530" s="692" t="n"/>
      <c r="U530" s="692" t="n"/>
      <c r="V530" s="692" t="n"/>
      <c r="W530" s="692" t="n"/>
    </row>
    <row r="531">
      <c r="A531" s="692" t="n"/>
      <c r="B531" s="692" t="n"/>
      <c r="C531" s="692" t="n"/>
      <c r="D531" s="692" t="n"/>
      <c r="E531" s="692" t="n"/>
      <c r="F531" s="692" t="n"/>
      <c r="G531" s="692" t="n"/>
      <c r="H531" s="692" t="n"/>
      <c r="I531" s="692" t="n"/>
      <c r="J531" s="692" t="n"/>
      <c r="K531" s="692" t="n"/>
      <c r="L531" s="692" t="n"/>
      <c r="M531" s="692" t="n"/>
      <c r="N531" s="692" t="n"/>
      <c r="O531" s="692" t="n"/>
      <c r="P531" s="692" t="n"/>
      <c r="Q531" s="692" t="n"/>
      <c r="R531" s="692" t="n"/>
      <c r="S531" s="692" t="n"/>
      <c r="T531" s="692" t="n"/>
      <c r="U531" s="692" t="n"/>
      <c r="V531" s="692" t="n"/>
      <c r="W531" s="692" t="n"/>
    </row>
    <row r="532">
      <c r="A532" s="692" t="n"/>
      <c r="B532" s="692" t="n"/>
      <c r="C532" s="692" t="n"/>
      <c r="D532" s="692" t="n"/>
      <c r="E532" s="692" t="n"/>
      <c r="F532" s="692" t="n"/>
      <c r="G532" s="692" t="n"/>
      <c r="H532" s="692" t="n"/>
      <c r="I532" s="692" t="n"/>
      <c r="J532" s="692" t="n"/>
      <c r="K532" s="692" t="n"/>
      <c r="L532" s="692" t="n"/>
      <c r="M532" s="692" t="n"/>
      <c r="N532" s="692" t="n"/>
      <c r="O532" s="692" t="n"/>
      <c r="P532" s="692" t="n"/>
      <c r="Q532" s="692" t="n"/>
      <c r="R532" s="692" t="n"/>
      <c r="S532" s="692" t="n"/>
      <c r="T532" s="692" t="n"/>
      <c r="U532" s="692" t="n"/>
      <c r="V532" s="692" t="n"/>
      <c r="W532" s="692" t="n"/>
    </row>
    <row r="533">
      <c r="A533" s="692" t="n"/>
      <c r="B533" s="692" t="n"/>
      <c r="C533" s="692" t="n"/>
      <c r="D533" s="692" t="n"/>
      <c r="E533" s="692" t="n"/>
      <c r="F533" s="692" t="n"/>
      <c r="G533" s="692" t="n"/>
      <c r="H533" s="692" t="n"/>
      <c r="I533" s="692" t="n"/>
      <c r="J533" s="692" t="n"/>
      <c r="K533" s="692" t="n"/>
      <c r="L533" s="692" t="n"/>
      <c r="M533" s="692" t="n"/>
      <c r="N533" s="692" t="n"/>
      <c r="O533" s="692" t="n"/>
      <c r="P533" s="692" t="n"/>
      <c r="Q533" s="692" t="n"/>
      <c r="R533" s="692" t="n"/>
      <c r="S533" s="692" t="n"/>
      <c r="T533" s="692" t="n"/>
      <c r="U533" s="692" t="n"/>
      <c r="V533" s="692" t="n"/>
      <c r="W533" s="692" t="n"/>
    </row>
    <row r="534">
      <c r="A534" s="692" t="n"/>
      <c r="B534" s="692" t="n"/>
      <c r="C534" s="692" t="n"/>
      <c r="D534" s="692" t="n"/>
      <c r="E534" s="692" t="n"/>
      <c r="F534" s="692" t="n"/>
      <c r="G534" s="692" t="n"/>
      <c r="H534" s="692" t="n"/>
      <c r="I534" s="692" t="n"/>
      <c r="J534" s="692" t="n"/>
      <c r="K534" s="692" t="n"/>
      <c r="L534" s="692" t="n"/>
      <c r="M534" s="692" t="n"/>
      <c r="N534" s="692" t="n"/>
      <c r="O534" s="692" t="n"/>
      <c r="P534" s="692" t="n"/>
      <c r="Q534" s="692" t="n"/>
      <c r="R534" s="692" t="n"/>
      <c r="S534" s="692" t="n"/>
      <c r="T534" s="692" t="n"/>
      <c r="U534" s="692" t="n"/>
      <c r="V534" s="692" t="n"/>
      <c r="W534" s="692" t="n"/>
    </row>
    <row r="535">
      <c r="A535" s="692" t="n"/>
      <c r="B535" s="692" t="n"/>
      <c r="C535" s="692" t="n"/>
      <c r="D535" s="692" t="n"/>
      <c r="E535" s="692" t="n"/>
      <c r="F535" s="692" t="n"/>
      <c r="G535" s="692" t="n"/>
      <c r="H535" s="692" t="n"/>
      <c r="I535" s="692" t="n"/>
      <c r="J535" s="692" t="n"/>
      <c r="K535" s="692" t="n"/>
      <c r="L535" s="692" t="n"/>
      <c r="M535" s="692" t="n"/>
      <c r="N535" s="692" t="n"/>
      <c r="O535" s="692" t="n"/>
      <c r="P535" s="692" t="n"/>
      <c r="Q535" s="692" t="n"/>
      <c r="R535" s="692" t="n"/>
      <c r="S535" s="692" t="n"/>
      <c r="T535" s="692" t="n"/>
      <c r="U535" s="692" t="n"/>
      <c r="V535" s="692" t="n"/>
      <c r="W535" s="692" t="n"/>
    </row>
    <row r="536">
      <c r="A536" s="692" t="n"/>
      <c r="B536" s="692" t="n"/>
      <c r="C536" s="692" t="n"/>
      <c r="D536" s="692" t="n"/>
      <c r="E536" s="692" t="n"/>
      <c r="F536" s="692" t="n"/>
      <c r="G536" s="692" t="n"/>
      <c r="H536" s="692" t="n"/>
      <c r="I536" s="692" t="n"/>
      <c r="J536" s="692" t="n"/>
      <c r="K536" s="692" t="n"/>
      <c r="L536" s="692" t="n"/>
      <c r="M536" s="692" t="n"/>
      <c r="N536" s="692" t="n"/>
      <c r="O536" s="692" t="n"/>
      <c r="P536" s="692" t="n"/>
      <c r="Q536" s="692" t="n"/>
      <c r="R536" s="692" t="n"/>
      <c r="S536" s="692" t="n"/>
      <c r="T536" s="692" t="n"/>
      <c r="U536" s="692" t="n"/>
      <c r="V536" s="692" t="n"/>
      <c r="W536" s="692" t="n"/>
    </row>
    <row r="537">
      <c r="A537" s="692" t="n"/>
      <c r="B537" s="692" t="n"/>
      <c r="C537" s="692" t="n"/>
      <c r="D537" s="692" t="n"/>
      <c r="E537" s="692" t="n"/>
      <c r="F537" s="692" t="n"/>
      <c r="G537" s="692" t="n"/>
      <c r="H537" s="692" t="n"/>
      <c r="I537" s="692" t="n"/>
      <c r="J537" s="692" t="n"/>
      <c r="K537" s="692" t="n"/>
      <c r="L537" s="692" t="n"/>
      <c r="M537" s="692" t="n"/>
      <c r="N537" s="692" t="n"/>
      <c r="O537" s="692" t="n"/>
      <c r="P537" s="692" t="n"/>
      <c r="Q537" s="692" t="n"/>
      <c r="R537" s="692" t="n"/>
      <c r="S537" s="692" t="n"/>
      <c r="T537" s="692" t="n"/>
      <c r="U537" s="692" t="n"/>
      <c r="V537" s="692" t="n"/>
      <c r="W537" s="692" t="n"/>
    </row>
    <row r="538">
      <c r="A538" s="692" t="n"/>
      <c r="B538" s="692" t="n"/>
      <c r="C538" s="692" t="n"/>
      <c r="D538" s="692" t="n"/>
      <c r="E538" s="692" t="n"/>
      <c r="F538" s="692" t="n"/>
      <c r="G538" s="692" t="n"/>
      <c r="H538" s="692" t="n"/>
      <c r="I538" s="692" t="n"/>
      <c r="J538" s="692" t="n"/>
      <c r="K538" s="692" t="n"/>
      <c r="L538" s="692" t="n"/>
      <c r="M538" s="692" t="n"/>
      <c r="N538" s="692" t="n"/>
      <c r="O538" s="692" t="n"/>
      <c r="P538" s="692" t="n"/>
      <c r="Q538" s="692" t="n"/>
      <c r="R538" s="692" t="n"/>
      <c r="S538" s="692" t="n"/>
      <c r="T538" s="692" t="n"/>
      <c r="U538" s="692" t="n"/>
      <c r="V538" s="692" t="n"/>
      <c r="W538" s="692" t="n"/>
    </row>
    <row r="539">
      <c r="A539" s="692" t="n"/>
      <c r="B539" s="692" t="n"/>
      <c r="C539" s="692" t="n"/>
      <c r="D539" s="692" t="n"/>
      <c r="E539" s="692" t="n"/>
      <c r="F539" s="692" t="n"/>
      <c r="G539" s="692" t="n"/>
      <c r="H539" s="692" t="n"/>
      <c r="I539" s="692" t="n"/>
      <c r="J539" s="692" t="n"/>
      <c r="K539" s="692" t="n"/>
      <c r="L539" s="692" t="n"/>
      <c r="M539" s="692" t="n"/>
      <c r="N539" s="692" t="n"/>
      <c r="O539" s="692" t="n"/>
      <c r="P539" s="692" t="n"/>
      <c r="Q539" s="692" t="n"/>
      <c r="R539" s="692" t="n"/>
      <c r="S539" s="692" t="n"/>
      <c r="T539" s="692" t="n"/>
      <c r="U539" s="692" t="n"/>
      <c r="V539" s="692" t="n"/>
      <c r="W539" s="692" t="n"/>
    </row>
    <row r="540">
      <c r="A540" s="692" t="n"/>
      <c r="B540" s="692" t="n"/>
      <c r="C540" s="692" t="n"/>
      <c r="D540" s="692" t="n"/>
      <c r="E540" s="692" t="n"/>
      <c r="F540" s="692" t="n"/>
      <c r="G540" s="692" t="n"/>
      <c r="H540" s="692" t="n"/>
      <c r="I540" s="692" t="n"/>
      <c r="J540" s="692" t="n"/>
      <c r="K540" s="692" t="n"/>
      <c r="L540" s="692" t="n"/>
      <c r="M540" s="692" t="n"/>
      <c r="N540" s="692" t="n"/>
      <c r="O540" s="692" t="n"/>
      <c r="P540" s="692" t="n"/>
      <c r="Q540" s="692" t="n"/>
      <c r="R540" s="692" t="n"/>
      <c r="S540" s="692" t="n"/>
      <c r="T540" s="692" t="n"/>
      <c r="U540" s="692" t="n"/>
      <c r="V540" s="692" t="n"/>
      <c r="W540" s="692" t="n"/>
    </row>
    <row r="541">
      <c r="A541" s="692" t="n"/>
      <c r="B541" s="692" t="n"/>
      <c r="C541" s="692" t="n"/>
      <c r="D541" s="692" t="n"/>
      <c r="E541" s="692" t="n"/>
      <c r="F541" s="692" t="n"/>
      <c r="G541" s="692" t="n"/>
      <c r="H541" s="692" t="n"/>
      <c r="I541" s="692" t="n"/>
      <c r="J541" s="692" t="n"/>
      <c r="K541" s="692" t="n"/>
      <c r="L541" s="692" t="n"/>
      <c r="M541" s="692" t="n"/>
      <c r="N541" s="692" t="n"/>
      <c r="O541" s="692" t="n"/>
      <c r="P541" s="692" t="n"/>
      <c r="Q541" s="692" t="n"/>
      <c r="R541" s="692" t="n"/>
      <c r="S541" s="692" t="n"/>
      <c r="T541" s="692" t="n"/>
      <c r="U541" s="692" t="n"/>
      <c r="V541" s="692" t="n"/>
      <c r="W541" s="692" t="n"/>
    </row>
    <row r="542">
      <c r="A542" s="692" t="n"/>
      <c r="B542" s="692" t="n"/>
      <c r="C542" s="692" t="n"/>
      <c r="D542" s="692" t="n"/>
      <c r="E542" s="692" t="n"/>
      <c r="F542" s="692" t="n"/>
      <c r="G542" s="692" t="n"/>
      <c r="H542" s="692" t="n"/>
      <c r="I542" s="692" t="n"/>
      <c r="J542" s="692" t="n"/>
      <c r="K542" s="692" t="n"/>
      <c r="L542" s="692" t="n"/>
      <c r="M542" s="692" t="n"/>
      <c r="N542" s="692" t="n"/>
      <c r="O542" s="692" t="n"/>
      <c r="P542" s="692" t="n"/>
      <c r="Q542" s="692" t="n"/>
      <c r="R542" s="692" t="n"/>
      <c r="S542" s="692" t="n"/>
      <c r="T542" s="692" t="n"/>
      <c r="U542" s="692" t="n"/>
      <c r="V542" s="692" t="n"/>
      <c r="W542" s="692" t="n"/>
    </row>
    <row r="543">
      <c r="A543" s="692" t="n"/>
      <c r="B543" s="692" t="n"/>
      <c r="C543" s="692" t="n"/>
      <c r="D543" s="692" t="n"/>
      <c r="E543" s="692" t="n"/>
      <c r="F543" s="692" t="n"/>
      <c r="G543" s="692" t="n"/>
      <c r="H543" s="692" t="n"/>
      <c r="I543" s="692" t="n"/>
      <c r="J543" s="692" t="n"/>
      <c r="K543" s="692" t="n"/>
      <c r="L543" s="692" t="n"/>
      <c r="M543" s="692" t="n"/>
      <c r="N543" s="692" t="n"/>
      <c r="O543" s="692" t="n"/>
      <c r="P543" s="692" t="n"/>
      <c r="Q543" s="692" t="n"/>
      <c r="R543" s="692" t="n"/>
      <c r="S543" s="692" t="n"/>
      <c r="T543" s="692" t="n"/>
      <c r="U543" s="692" t="n"/>
      <c r="V543" s="692" t="n"/>
      <c r="W543" s="692" t="n"/>
    </row>
    <row r="544">
      <c r="A544" s="692" t="n"/>
      <c r="B544" s="692" t="n"/>
      <c r="C544" s="692" t="n"/>
      <c r="D544" s="692" t="n"/>
      <c r="E544" s="692" t="n"/>
      <c r="F544" s="692" t="n"/>
      <c r="G544" s="692" t="n"/>
      <c r="H544" s="692" t="n"/>
      <c r="I544" s="692" t="n"/>
      <c r="J544" s="692" t="n"/>
      <c r="K544" s="692" t="n"/>
      <c r="L544" s="692" t="n"/>
      <c r="M544" s="692" t="n"/>
      <c r="N544" s="692" t="n"/>
      <c r="O544" s="692" t="n"/>
      <c r="P544" s="692" t="n"/>
      <c r="Q544" s="692" t="n"/>
      <c r="R544" s="692" t="n"/>
      <c r="S544" s="692" t="n"/>
      <c r="T544" s="692" t="n"/>
      <c r="U544" s="692" t="n"/>
      <c r="V544" s="692" t="n"/>
      <c r="W544" s="692" t="n"/>
    </row>
    <row r="545">
      <c r="A545" s="692" t="n"/>
      <c r="B545" s="692" t="n"/>
      <c r="C545" s="692" t="n"/>
      <c r="D545" s="692" t="n"/>
      <c r="E545" s="692" t="n"/>
      <c r="F545" s="692" t="n"/>
      <c r="G545" s="692" t="n"/>
      <c r="H545" s="692" t="n"/>
      <c r="I545" s="692" t="n"/>
      <c r="J545" s="692" t="n"/>
      <c r="K545" s="692" t="n"/>
      <c r="L545" s="692" t="n"/>
      <c r="M545" s="692" t="n"/>
      <c r="N545" s="692" t="n"/>
      <c r="O545" s="692" t="n"/>
      <c r="P545" s="692" t="n"/>
      <c r="Q545" s="692" t="n"/>
      <c r="R545" s="692" t="n"/>
      <c r="S545" s="692" t="n"/>
      <c r="T545" s="692" t="n"/>
      <c r="U545" s="692" t="n"/>
      <c r="V545" s="692" t="n"/>
      <c r="W545" s="692" t="n"/>
    </row>
    <row r="546">
      <c r="A546" s="692" t="n"/>
      <c r="B546" s="692" t="n"/>
      <c r="C546" s="692" t="n"/>
      <c r="D546" s="692" t="n"/>
      <c r="E546" s="692" t="n"/>
      <c r="F546" s="692" t="n"/>
      <c r="G546" s="692" t="n"/>
      <c r="H546" s="692" t="n"/>
      <c r="I546" s="692" t="n"/>
      <c r="J546" s="692" t="n"/>
      <c r="K546" s="692" t="n"/>
      <c r="L546" s="692" t="n"/>
      <c r="M546" s="692" t="n"/>
      <c r="N546" s="692" t="n"/>
      <c r="O546" s="692" t="n"/>
      <c r="P546" s="692" t="n"/>
      <c r="Q546" s="692" t="n"/>
      <c r="R546" s="692" t="n"/>
      <c r="S546" s="692" t="n"/>
      <c r="T546" s="692" t="n"/>
      <c r="U546" s="692" t="n"/>
      <c r="V546" s="692" t="n"/>
      <c r="W546" s="692" t="n"/>
    </row>
    <row r="547">
      <c r="A547" s="692" t="n"/>
      <c r="B547" s="692" t="n"/>
      <c r="C547" s="692" t="n"/>
      <c r="D547" s="692" t="n"/>
      <c r="E547" s="692" t="n"/>
      <c r="F547" s="692" t="n"/>
      <c r="G547" s="692" t="n"/>
      <c r="H547" s="692" t="n"/>
      <c r="I547" s="692" t="n"/>
      <c r="J547" s="692" t="n"/>
      <c r="K547" s="692" t="n"/>
      <c r="L547" s="692" t="n"/>
      <c r="M547" s="692" t="n"/>
      <c r="N547" s="692" t="n"/>
      <c r="O547" s="692" t="n"/>
      <c r="P547" s="692" t="n"/>
      <c r="Q547" s="692" t="n"/>
      <c r="R547" s="692" t="n"/>
      <c r="S547" s="692" t="n"/>
      <c r="T547" s="692" t="n"/>
      <c r="U547" s="692" t="n"/>
      <c r="V547" s="692" t="n"/>
      <c r="W547" s="692" t="n"/>
    </row>
    <row r="548">
      <c r="A548" s="692" t="n"/>
      <c r="B548" s="692" t="n"/>
      <c r="C548" s="692" t="n"/>
      <c r="D548" s="692" t="n"/>
      <c r="E548" s="692" t="n"/>
      <c r="F548" s="692" t="n"/>
      <c r="G548" s="692" t="n"/>
      <c r="H548" s="692" t="n"/>
      <c r="I548" s="692" t="n"/>
      <c r="J548" s="692" t="n"/>
      <c r="K548" s="692" t="n"/>
      <c r="L548" s="692" t="n"/>
      <c r="M548" s="692" t="n"/>
      <c r="N548" s="692" t="n"/>
      <c r="O548" s="692" t="n"/>
      <c r="P548" s="692" t="n"/>
      <c r="Q548" s="692" t="n"/>
      <c r="R548" s="692" t="n"/>
      <c r="S548" s="692" t="n"/>
      <c r="T548" s="692" t="n"/>
      <c r="U548" s="692" t="n"/>
      <c r="V548" s="692" t="n"/>
      <c r="W548" s="692" t="n"/>
    </row>
    <row r="549">
      <c r="A549" s="692" t="n"/>
      <c r="B549" s="692" t="n"/>
      <c r="C549" s="692" t="n"/>
      <c r="D549" s="692" t="n"/>
      <c r="E549" s="692" t="n"/>
      <c r="F549" s="692" t="n"/>
      <c r="G549" s="692" t="n"/>
      <c r="H549" s="692" t="n"/>
      <c r="I549" s="692" t="n"/>
      <c r="J549" s="692" t="n"/>
      <c r="K549" s="692" t="n"/>
      <c r="L549" s="692" t="n"/>
      <c r="M549" s="692" t="n"/>
      <c r="N549" s="692" t="n"/>
      <c r="O549" s="692" t="n"/>
      <c r="P549" s="692" t="n"/>
      <c r="Q549" s="692" t="n"/>
      <c r="R549" s="692" t="n"/>
      <c r="S549" s="692" t="n"/>
      <c r="T549" s="692" t="n"/>
      <c r="U549" s="692" t="n"/>
      <c r="V549" s="692" t="n"/>
      <c r="W549" s="692" t="n"/>
    </row>
    <row r="550">
      <c r="A550" s="692" t="n"/>
      <c r="B550" s="692" t="n"/>
      <c r="C550" s="692" t="n"/>
      <c r="D550" s="692" t="n"/>
      <c r="E550" s="692" t="n"/>
      <c r="F550" s="692" t="n"/>
      <c r="G550" s="692" t="n"/>
      <c r="H550" s="692" t="n"/>
      <c r="I550" s="692" t="n"/>
      <c r="J550" s="692" t="n"/>
      <c r="K550" s="692" t="n"/>
      <c r="L550" s="692" t="n"/>
      <c r="M550" s="692" t="n"/>
      <c r="N550" s="692" t="n"/>
      <c r="O550" s="692" t="n"/>
      <c r="P550" s="692" t="n"/>
      <c r="Q550" s="692" t="n"/>
      <c r="R550" s="692" t="n"/>
      <c r="S550" s="692" t="n"/>
      <c r="T550" s="692" t="n"/>
      <c r="U550" s="692" t="n"/>
      <c r="V550" s="692" t="n"/>
      <c r="W550" s="692" t="n"/>
    </row>
    <row r="551">
      <c r="A551" s="692" t="n"/>
      <c r="B551" s="692" t="n"/>
      <c r="C551" s="692" t="n"/>
      <c r="D551" s="692" t="n"/>
      <c r="E551" s="692" t="n"/>
      <c r="F551" s="692" t="n"/>
      <c r="G551" s="692" t="n"/>
      <c r="H551" s="692" t="n"/>
      <c r="I551" s="692" t="n"/>
      <c r="J551" s="692" t="n"/>
      <c r="K551" s="692" t="n"/>
      <c r="L551" s="692" t="n"/>
      <c r="M551" s="692" t="n"/>
      <c r="N551" s="692" t="n"/>
      <c r="O551" s="692" t="n"/>
      <c r="P551" s="692" t="n"/>
      <c r="Q551" s="692" t="n"/>
      <c r="R551" s="692" t="n"/>
      <c r="S551" s="692" t="n"/>
      <c r="T551" s="692" t="n"/>
      <c r="U551" s="692" t="n"/>
      <c r="V551" s="692" t="n"/>
      <c r="W551" s="692" t="n"/>
    </row>
    <row r="552">
      <c r="A552" s="692" t="n"/>
      <c r="B552" s="692" t="n"/>
      <c r="C552" s="692" t="n"/>
      <c r="D552" s="692" t="n"/>
      <c r="E552" s="692" t="n"/>
      <c r="F552" s="692" t="n"/>
      <c r="G552" s="692" t="n"/>
      <c r="H552" s="692" t="n"/>
      <c r="I552" s="692" t="n"/>
      <c r="J552" s="692" t="n"/>
      <c r="K552" s="692" t="n"/>
      <c r="L552" s="692" t="n"/>
      <c r="M552" s="692" t="n"/>
      <c r="N552" s="692" t="n"/>
      <c r="O552" s="692" t="n"/>
      <c r="P552" s="692" t="n"/>
      <c r="Q552" s="692" t="n"/>
      <c r="R552" s="692" t="n"/>
      <c r="S552" s="692" t="n"/>
      <c r="T552" s="692" t="n"/>
      <c r="U552" s="692" t="n"/>
      <c r="V552" s="692" t="n"/>
      <c r="W552" s="692" t="n"/>
    </row>
    <row r="553">
      <c r="A553" s="692" t="n"/>
      <c r="B553" s="692" t="n"/>
      <c r="C553" s="692" t="n"/>
      <c r="D553" s="692" t="n"/>
      <c r="E553" s="692" t="n"/>
      <c r="F553" s="692" t="n"/>
      <c r="G553" s="692" t="n"/>
      <c r="H553" s="692" t="n"/>
      <c r="I553" s="692" t="n"/>
      <c r="J553" s="692" t="n"/>
      <c r="K553" s="692" t="n"/>
      <c r="L553" s="692" t="n"/>
      <c r="M553" s="692" t="n"/>
      <c r="N553" s="692" t="n"/>
      <c r="O553" s="692" t="n"/>
      <c r="P553" s="692" t="n"/>
      <c r="Q553" s="692" t="n"/>
      <c r="R553" s="692" t="n"/>
      <c r="S553" s="692" t="n"/>
      <c r="T553" s="692" t="n"/>
      <c r="U553" s="692" t="n"/>
      <c r="V553" s="692" t="n"/>
      <c r="W553" s="692" t="n"/>
    </row>
    <row r="554">
      <c r="A554" s="692" t="n"/>
      <c r="B554" s="692" t="n"/>
      <c r="C554" s="692" t="n"/>
      <c r="D554" s="692" t="n"/>
      <c r="E554" s="692" t="n"/>
      <c r="F554" s="692" t="n"/>
      <c r="G554" s="692" t="n"/>
      <c r="H554" s="692" t="n"/>
      <c r="I554" s="692" t="n"/>
      <c r="J554" s="692" t="n"/>
      <c r="K554" s="692" t="n"/>
      <c r="L554" s="692" t="n"/>
      <c r="M554" s="692" t="n"/>
      <c r="N554" s="692" t="n"/>
      <c r="O554" s="692" t="n"/>
      <c r="P554" s="692" t="n"/>
      <c r="Q554" s="692" t="n"/>
      <c r="R554" s="692" t="n"/>
      <c r="S554" s="692" t="n"/>
      <c r="T554" s="692" t="n"/>
      <c r="U554" s="692" t="n"/>
      <c r="V554" s="692" t="n"/>
      <c r="W554" s="692" t="n"/>
    </row>
    <row r="555">
      <c r="A555" s="692" t="n"/>
      <c r="B555" s="692" t="n"/>
      <c r="C555" s="692" t="n"/>
      <c r="D555" s="692" t="n"/>
      <c r="E555" s="692" t="n"/>
      <c r="F555" s="692" t="n"/>
      <c r="G555" s="692" t="n"/>
      <c r="H555" s="692" t="n"/>
      <c r="I555" s="692" t="n"/>
      <c r="J555" s="692" t="n"/>
      <c r="K555" s="692" t="n"/>
      <c r="L555" s="692" t="n"/>
      <c r="M555" s="692" t="n"/>
      <c r="N555" s="692" t="n"/>
      <c r="O555" s="692" t="n"/>
      <c r="P555" s="692" t="n"/>
      <c r="Q555" s="692" t="n"/>
      <c r="R555" s="692" t="n"/>
      <c r="S555" s="692" t="n"/>
      <c r="T555" s="692" t="n"/>
      <c r="U555" s="692" t="n"/>
      <c r="V555" s="692" t="n"/>
      <c r="W555" s="692" t="n"/>
    </row>
    <row r="556">
      <c r="A556" s="692" t="n"/>
      <c r="B556" s="692" t="n"/>
      <c r="C556" s="692" t="n"/>
      <c r="D556" s="692" t="n"/>
      <c r="E556" s="692" t="n"/>
      <c r="F556" s="692" t="n"/>
      <c r="G556" s="692" t="n"/>
      <c r="H556" s="692" t="n"/>
      <c r="I556" s="692" t="n"/>
      <c r="J556" s="692" t="n"/>
      <c r="K556" s="692" t="n"/>
      <c r="L556" s="692" t="n"/>
      <c r="M556" s="692" t="n"/>
      <c r="N556" s="692" t="n"/>
      <c r="O556" s="692" t="n"/>
      <c r="P556" s="692" t="n"/>
      <c r="Q556" s="692" t="n"/>
      <c r="R556" s="692" t="n"/>
      <c r="S556" s="692" t="n"/>
      <c r="T556" s="692" t="n"/>
      <c r="U556" s="692" t="n"/>
      <c r="V556" s="692" t="n"/>
      <c r="W556" s="692" t="n"/>
    </row>
    <row r="557">
      <c r="A557" s="692" t="n"/>
      <c r="B557" s="692" t="n"/>
      <c r="C557" s="692" t="n"/>
      <c r="D557" s="692" t="n"/>
      <c r="E557" s="692" t="n"/>
      <c r="F557" s="692" t="n"/>
      <c r="G557" s="692" t="n"/>
      <c r="H557" s="692" t="n"/>
      <c r="I557" s="692" t="n"/>
      <c r="J557" s="692" t="n"/>
      <c r="K557" s="692" t="n"/>
      <c r="L557" s="692" t="n"/>
      <c r="M557" s="692" t="n"/>
      <c r="N557" s="692" t="n"/>
      <c r="O557" s="692" t="n"/>
      <c r="P557" s="692" t="n"/>
      <c r="Q557" s="692" t="n"/>
      <c r="R557" s="692" t="n"/>
      <c r="S557" s="692" t="n"/>
      <c r="T557" s="692" t="n"/>
      <c r="U557" s="692" t="n"/>
      <c r="V557" s="692" t="n"/>
      <c r="W557" s="692" t="n"/>
    </row>
    <row r="558">
      <c r="A558" s="692" t="n"/>
      <c r="B558" s="692" t="n"/>
      <c r="C558" s="692" t="n"/>
      <c r="D558" s="692" t="n"/>
      <c r="E558" s="692" t="n"/>
      <c r="F558" s="692" t="n"/>
      <c r="G558" s="692" t="n"/>
      <c r="H558" s="692" t="n"/>
      <c r="I558" s="692" t="n"/>
      <c r="J558" s="692" t="n"/>
      <c r="K558" s="692" t="n"/>
      <c r="L558" s="692" t="n"/>
      <c r="M558" s="692" t="n"/>
      <c r="N558" s="692" t="n"/>
      <c r="O558" s="692" t="n"/>
      <c r="P558" s="692" t="n"/>
      <c r="Q558" s="692" t="n"/>
      <c r="R558" s="692" t="n"/>
      <c r="S558" s="692" t="n"/>
      <c r="T558" s="692" t="n"/>
      <c r="U558" s="692" t="n"/>
      <c r="V558" s="692" t="n"/>
      <c r="W558" s="692" t="n"/>
    </row>
    <row r="559">
      <c r="A559" s="692" t="n"/>
      <c r="B559" s="692" t="n"/>
      <c r="C559" s="692" t="n"/>
      <c r="D559" s="692" t="n"/>
      <c r="E559" s="692" t="n"/>
      <c r="F559" s="692" t="n"/>
      <c r="G559" s="692" t="n"/>
      <c r="H559" s="692" t="n"/>
      <c r="I559" s="692" t="n"/>
      <c r="J559" s="692" t="n"/>
      <c r="K559" s="692" t="n"/>
      <c r="L559" s="692" t="n"/>
      <c r="M559" s="692" t="n"/>
      <c r="N559" s="692" t="n"/>
      <c r="O559" s="692" t="n"/>
      <c r="P559" s="692" t="n"/>
      <c r="Q559" s="692" t="n"/>
      <c r="R559" s="692" t="n"/>
      <c r="S559" s="692" t="n"/>
      <c r="T559" s="692" t="n"/>
      <c r="U559" s="692" t="n"/>
      <c r="V559" s="692" t="n"/>
      <c r="W559" s="692" t="n"/>
    </row>
    <row r="560">
      <c r="A560" s="692" t="n"/>
      <c r="B560" s="692" t="n"/>
      <c r="C560" s="692" t="n"/>
      <c r="D560" s="692" t="n"/>
      <c r="E560" s="692" t="n"/>
      <c r="F560" s="692" t="n"/>
      <c r="G560" s="692" t="n"/>
      <c r="H560" s="692" t="n"/>
      <c r="I560" s="692" t="n"/>
      <c r="J560" s="692" t="n"/>
      <c r="K560" s="692" t="n"/>
      <c r="L560" s="692" t="n"/>
      <c r="M560" s="692" t="n"/>
      <c r="N560" s="692" t="n"/>
      <c r="O560" s="692" t="n"/>
      <c r="P560" s="692" t="n"/>
      <c r="Q560" s="692" t="n"/>
      <c r="R560" s="692" t="n"/>
      <c r="S560" s="692" t="n"/>
      <c r="T560" s="692" t="n"/>
      <c r="U560" s="692" t="n"/>
      <c r="V560" s="692" t="n"/>
      <c r="W560" s="692" t="n"/>
    </row>
    <row r="561">
      <c r="A561" s="692" t="n"/>
      <c r="B561" s="692" t="n"/>
      <c r="C561" s="692" t="n"/>
      <c r="D561" s="692" t="n"/>
      <c r="E561" s="692" t="n"/>
      <c r="F561" s="692" t="n"/>
      <c r="G561" s="692" t="n"/>
      <c r="H561" s="692" t="n"/>
      <c r="I561" s="692" t="n"/>
      <c r="J561" s="692" t="n"/>
      <c r="K561" s="692" t="n"/>
      <c r="L561" s="692" t="n"/>
      <c r="M561" s="692" t="n"/>
      <c r="N561" s="692" t="n"/>
      <c r="O561" s="692" t="n"/>
      <c r="P561" s="692" t="n"/>
      <c r="Q561" s="692" t="n"/>
      <c r="R561" s="692" t="n"/>
      <c r="S561" s="692" t="n"/>
      <c r="T561" s="692" t="n"/>
      <c r="U561" s="692" t="n"/>
      <c r="V561" s="692" t="n"/>
      <c r="W561" s="692" t="n"/>
    </row>
    <row r="562">
      <c r="A562" s="692" t="n"/>
      <c r="B562" s="692" t="n"/>
      <c r="C562" s="692" t="n"/>
      <c r="D562" s="692" t="n"/>
      <c r="E562" s="692" t="n"/>
      <c r="F562" s="692" t="n"/>
      <c r="G562" s="692" t="n"/>
      <c r="H562" s="692" t="n"/>
      <c r="I562" s="692" t="n"/>
      <c r="J562" s="692" t="n"/>
      <c r="K562" s="692" t="n"/>
      <c r="L562" s="692" t="n"/>
      <c r="M562" s="692" t="n"/>
      <c r="N562" s="692" t="n"/>
      <c r="O562" s="692" t="n"/>
      <c r="P562" s="692" t="n"/>
      <c r="Q562" s="692" t="n"/>
      <c r="R562" s="692" t="n"/>
      <c r="S562" s="692" t="n"/>
      <c r="T562" s="692" t="n"/>
      <c r="U562" s="692" t="n"/>
      <c r="V562" s="692" t="n"/>
      <c r="W562" s="692" t="n"/>
    </row>
    <row r="563">
      <c r="A563" s="692" t="n"/>
      <c r="B563" s="692" t="n"/>
      <c r="C563" s="692" t="n"/>
      <c r="D563" s="692" t="n"/>
      <c r="E563" s="692" t="n"/>
      <c r="F563" s="692" t="n"/>
      <c r="G563" s="692" t="n"/>
      <c r="H563" s="692" t="n"/>
      <c r="I563" s="692" t="n"/>
      <c r="J563" s="692" t="n"/>
      <c r="K563" s="692" t="n"/>
      <c r="L563" s="692" t="n"/>
      <c r="M563" s="692" t="n"/>
      <c r="N563" s="692" t="n"/>
      <c r="O563" s="692" t="n"/>
      <c r="P563" s="692" t="n"/>
      <c r="Q563" s="692" t="n"/>
      <c r="R563" s="692" t="n"/>
      <c r="S563" s="692" t="n"/>
      <c r="T563" s="692" t="n"/>
      <c r="U563" s="692" t="n"/>
      <c r="V563" s="692" t="n"/>
      <c r="W563" s="692" t="n"/>
    </row>
    <row r="564">
      <c r="A564" s="692" t="n"/>
      <c r="B564" s="692" t="n"/>
      <c r="C564" s="692" t="n"/>
      <c r="D564" s="692" t="n"/>
      <c r="E564" s="692" t="n"/>
      <c r="F564" s="692" t="n"/>
      <c r="G564" s="692" t="n"/>
      <c r="H564" s="692" t="n"/>
      <c r="I564" s="692" t="n"/>
      <c r="J564" s="692" t="n"/>
      <c r="K564" s="692" t="n"/>
      <c r="L564" s="692" t="n"/>
      <c r="M564" s="692" t="n"/>
      <c r="N564" s="692" t="n"/>
      <c r="O564" s="692" t="n"/>
      <c r="P564" s="692" t="n"/>
      <c r="Q564" s="692" t="n"/>
      <c r="R564" s="692" t="n"/>
      <c r="S564" s="692" t="n"/>
      <c r="T564" s="692" t="n"/>
      <c r="U564" s="692" t="n"/>
      <c r="V564" s="692" t="n"/>
      <c r="W564" s="692" t="n"/>
    </row>
    <row r="565">
      <c r="A565" s="692" t="n"/>
      <c r="B565" s="692" t="n"/>
      <c r="C565" s="692" t="n"/>
      <c r="D565" s="692" t="n"/>
      <c r="E565" s="692" t="n"/>
      <c r="F565" s="692" t="n"/>
      <c r="G565" s="692" t="n"/>
      <c r="H565" s="692" t="n"/>
      <c r="I565" s="692" t="n"/>
      <c r="J565" s="692" t="n"/>
      <c r="K565" s="692" t="n"/>
      <c r="L565" s="692" t="n"/>
      <c r="M565" s="692" t="n"/>
      <c r="N565" s="692" t="n"/>
      <c r="O565" s="692" t="n"/>
      <c r="P565" s="692" t="n"/>
      <c r="Q565" s="692" t="n"/>
      <c r="R565" s="692" t="n"/>
      <c r="S565" s="692" t="n"/>
      <c r="T565" s="692" t="n"/>
      <c r="U565" s="692" t="n"/>
      <c r="V565" s="692" t="n"/>
      <c r="W565" s="692" t="n"/>
    </row>
    <row r="566">
      <c r="A566" s="692" t="n"/>
      <c r="B566" s="692" t="n"/>
      <c r="C566" s="692" t="n"/>
      <c r="D566" s="692" t="n"/>
      <c r="E566" s="692" t="n"/>
      <c r="F566" s="692" t="n"/>
      <c r="G566" s="692" t="n"/>
      <c r="H566" s="692" t="n"/>
      <c r="I566" s="692" t="n"/>
      <c r="J566" s="692" t="n"/>
      <c r="K566" s="692" t="n"/>
      <c r="L566" s="692" t="n"/>
      <c r="M566" s="692" t="n"/>
      <c r="N566" s="692" t="n"/>
      <c r="O566" s="692" t="n"/>
      <c r="P566" s="692" t="n"/>
      <c r="Q566" s="692" t="n"/>
      <c r="R566" s="692" t="n"/>
      <c r="S566" s="692" t="n"/>
      <c r="T566" s="692" t="n"/>
      <c r="U566" s="692" t="n"/>
      <c r="V566" s="692" t="n"/>
      <c r="W566" s="692" t="n"/>
    </row>
    <row r="567">
      <c r="A567" s="692" t="n"/>
      <c r="B567" s="692" t="n"/>
      <c r="C567" s="692" t="n"/>
      <c r="D567" s="692" t="n"/>
      <c r="E567" s="692" t="n"/>
      <c r="F567" s="692" t="n"/>
      <c r="G567" s="692" t="n"/>
      <c r="H567" s="692" t="n"/>
      <c r="I567" s="692" t="n"/>
      <c r="J567" s="692" t="n"/>
      <c r="K567" s="692" t="n"/>
      <c r="L567" s="692" t="n"/>
      <c r="M567" s="692" t="n"/>
      <c r="N567" s="692" t="n"/>
      <c r="O567" s="692" t="n"/>
      <c r="P567" s="692" t="n"/>
      <c r="Q567" s="692" t="n"/>
      <c r="R567" s="692" t="n"/>
      <c r="S567" s="692" t="n"/>
      <c r="T567" s="692" t="n"/>
      <c r="U567" s="692" t="n"/>
      <c r="V567" s="692" t="n"/>
      <c r="W567" s="692" t="n"/>
    </row>
    <row r="568">
      <c r="A568" s="692" t="n"/>
      <c r="B568" s="692" t="n"/>
      <c r="C568" s="692" t="n"/>
      <c r="D568" s="692" t="n"/>
      <c r="E568" s="692" t="n"/>
      <c r="F568" s="692" t="n"/>
      <c r="G568" s="692" t="n"/>
      <c r="H568" s="692" t="n"/>
      <c r="I568" s="692" t="n"/>
      <c r="J568" s="692" t="n"/>
      <c r="K568" s="692" t="n"/>
      <c r="L568" s="692" t="n"/>
      <c r="M568" s="692" t="n"/>
      <c r="N568" s="692" t="n"/>
      <c r="O568" s="692" t="n"/>
      <c r="P568" s="692" t="n"/>
      <c r="Q568" s="692" t="n"/>
      <c r="R568" s="692" t="n"/>
      <c r="S568" s="692" t="n"/>
      <c r="T568" s="692" t="n"/>
      <c r="U568" s="692" t="n"/>
      <c r="V568" s="692" t="n"/>
      <c r="W568" s="692" t="n"/>
    </row>
    <row r="569">
      <c r="A569" s="692" t="n"/>
      <c r="B569" s="692" t="n"/>
      <c r="C569" s="692" t="n"/>
      <c r="D569" s="692" t="n"/>
      <c r="E569" s="692" t="n"/>
      <c r="F569" s="692" t="n"/>
      <c r="G569" s="692" t="n"/>
      <c r="H569" s="692" t="n"/>
      <c r="I569" s="692" t="n"/>
      <c r="J569" s="692" t="n"/>
      <c r="K569" s="692" t="n"/>
      <c r="L569" s="692" t="n"/>
      <c r="M569" s="692" t="n"/>
      <c r="N569" s="692" t="n"/>
      <c r="O569" s="692" t="n"/>
      <c r="P569" s="692" t="n"/>
      <c r="Q569" s="692" t="n"/>
      <c r="R569" s="692" t="n"/>
      <c r="S569" s="692" t="n"/>
      <c r="T569" s="692" t="n"/>
      <c r="U569" s="692" t="n"/>
      <c r="V569" s="692" t="n"/>
      <c r="W569" s="692" t="n"/>
    </row>
    <row r="570">
      <c r="A570" s="692" t="n"/>
      <c r="B570" s="692" t="n"/>
      <c r="C570" s="692" t="n"/>
      <c r="D570" s="692" t="n"/>
      <c r="E570" s="692" t="n"/>
      <c r="F570" s="692" t="n"/>
      <c r="G570" s="692" t="n"/>
      <c r="H570" s="692" t="n"/>
      <c r="I570" s="692" t="n"/>
      <c r="J570" s="692" t="n"/>
      <c r="K570" s="692" t="n"/>
      <c r="L570" s="692" t="n"/>
      <c r="M570" s="692" t="n"/>
      <c r="N570" s="692" t="n"/>
      <c r="O570" s="692" t="n"/>
      <c r="P570" s="692" t="n"/>
      <c r="Q570" s="692" t="n"/>
      <c r="R570" s="692" t="n"/>
      <c r="S570" s="692" t="n"/>
      <c r="T570" s="692" t="n"/>
      <c r="U570" s="692" t="n"/>
      <c r="V570" s="692" t="n"/>
      <c r="W570" s="692" t="n"/>
    </row>
    <row r="571">
      <c r="A571" s="692" t="n"/>
      <c r="B571" s="692" t="n"/>
      <c r="C571" s="692" t="n"/>
      <c r="D571" s="692" t="n"/>
      <c r="E571" s="692" t="n"/>
      <c r="F571" s="692" t="n"/>
      <c r="G571" s="692" t="n"/>
      <c r="H571" s="692" t="n"/>
      <c r="I571" s="692" t="n"/>
      <c r="J571" s="692" t="n"/>
      <c r="K571" s="692" t="n"/>
      <c r="L571" s="692" t="n"/>
      <c r="M571" s="692" t="n"/>
      <c r="N571" s="692" t="n"/>
      <c r="O571" s="692" t="n"/>
      <c r="P571" s="692" t="n"/>
      <c r="Q571" s="692" t="n"/>
      <c r="R571" s="692" t="n"/>
      <c r="S571" s="692" t="n"/>
      <c r="T571" s="692" t="n"/>
      <c r="U571" s="692" t="n"/>
      <c r="V571" s="692" t="n"/>
      <c r="W571" s="692" t="n"/>
    </row>
    <row r="572">
      <c r="A572" s="692" t="n"/>
      <c r="B572" s="692" t="n"/>
      <c r="C572" s="692" t="n"/>
      <c r="D572" s="692" t="n"/>
      <c r="E572" s="692" t="n"/>
      <c r="F572" s="692" t="n"/>
      <c r="G572" s="692" t="n"/>
      <c r="H572" s="692" t="n"/>
      <c r="I572" s="692" t="n"/>
      <c r="J572" s="692" t="n"/>
      <c r="K572" s="692" t="n"/>
      <c r="L572" s="692" t="n"/>
      <c r="M572" s="692" t="n"/>
      <c r="N572" s="692" t="n"/>
      <c r="O572" s="692" t="n"/>
      <c r="P572" s="692" t="n"/>
      <c r="Q572" s="692" t="n"/>
      <c r="R572" s="692" t="n"/>
      <c r="S572" s="692" t="n"/>
      <c r="T572" s="692" t="n"/>
      <c r="U572" s="692" t="n"/>
      <c r="V572" s="692" t="n"/>
      <c r="W572" s="692" t="n"/>
    </row>
    <row r="573">
      <c r="A573" s="692" t="n"/>
      <c r="B573" s="692" t="n"/>
      <c r="C573" s="692" t="n"/>
      <c r="D573" s="692" t="n"/>
      <c r="E573" s="692" t="n"/>
      <c r="F573" s="692" t="n"/>
      <c r="G573" s="692" t="n"/>
      <c r="H573" s="692" t="n"/>
      <c r="I573" s="692" t="n"/>
      <c r="J573" s="692" t="n"/>
      <c r="K573" s="692" t="n"/>
      <c r="L573" s="692" t="n"/>
      <c r="M573" s="692" t="n"/>
      <c r="N573" s="692" t="n"/>
      <c r="O573" s="692" t="n"/>
      <c r="P573" s="692" t="n"/>
      <c r="Q573" s="692" t="n"/>
      <c r="R573" s="692" t="n"/>
      <c r="S573" s="692" t="n"/>
      <c r="T573" s="692" t="n"/>
      <c r="U573" s="692" t="n"/>
      <c r="V573" s="692" t="n"/>
      <c r="W573" s="692" t="n"/>
    </row>
    <row r="574">
      <c r="A574" s="692" t="n"/>
      <c r="B574" s="692" t="n"/>
      <c r="C574" s="692" t="n"/>
      <c r="D574" s="692" t="n"/>
      <c r="E574" s="692" t="n"/>
      <c r="F574" s="692" t="n"/>
      <c r="G574" s="692" t="n"/>
      <c r="H574" s="692" t="n"/>
      <c r="I574" s="692" t="n"/>
      <c r="J574" s="692" t="n"/>
      <c r="K574" s="692" t="n"/>
      <c r="L574" s="692" t="n"/>
      <c r="M574" s="692" t="n"/>
      <c r="N574" s="692" t="n"/>
      <c r="O574" s="692" t="n"/>
      <c r="P574" s="692" t="n"/>
      <c r="Q574" s="692" t="n"/>
      <c r="R574" s="692" t="n"/>
      <c r="S574" s="692" t="n"/>
      <c r="T574" s="692" t="n"/>
      <c r="U574" s="692" t="n"/>
      <c r="V574" s="692" t="n"/>
      <c r="W574" s="692" t="n"/>
    </row>
    <row r="575">
      <c r="A575" s="692" t="n"/>
      <c r="B575" s="692" t="n"/>
      <c r="C575" s="692" t="n"/>
      <c r="D575" s="692" t="n"/>
      <c r="E575" s="692" t="n"/>
      <c r="F575" s="692" t="n"/>
      <c r="G575" s="692" t="n"/>
      <c r="H575" s="692" t="n"/>
      <c r="I575" s="692" t="n"/>
      <c r="J575" s="692" t="n"/>
      <c r="K575" s="692" t="n"/>
      <c r="L575" s="692" t="n"/>
      <c r="M575" s="692" t="n"/>
      <c r="N575" s="692" t="n"/>
      <c r="O575" s="692" t="n"/>
      <c r="P575" s="692" t="n"/>
      <c r="Q575" s="692" t="n"/>
      <c r="R575" s="692" t="n"/>
      <c r="S575" s="692" t="n"/>
      <c r="T575" s="692" t="n"/>
      <c r="U575" s="692" t="n"/>
      <c r="V575" s="692" t="n"/>
      <c r="W575" s="692" t="n"/>
    </row>
    <row r="576">
      <c r="A576" s="692" t="n"/>
      <c r="B576" s="692" t="n"/>
      <c r="C576" s="692" t="n"/>
      <c r="D576" s="692" t="n"/>
      <c r="E576" s="692" t="n"/>
      <c r="F576" s="692" t="n"/>
      <c r="G576" s="692" t="n"/>
      <c r="H576" s="692" t="n"/>
      <c r="I576" s="692" t="n"/>
      <c r="J576" s="692" t="n"/>
      <c r="K576" s="692" t="n"/>
      <c r="L576" s="692" t="n"/>
      <c r="M576" s="692" t="n"/>
      <c r="N576" s="692" t="n"/>
      <c r="O576" s="692" t="n"/>
      <c r="P576" s="692" t="n"/>
      <c r="Q576" s="692" t="n"/>
      <c r="R576" s="692" t="n"/>
      <c r="S576" s="692" t="n"/>
      <c r="T576" s="692" t="n"/>
      <c r="U576" s="692" t="n"/>
      <c r="V576" s="692" t="n"/>
      <c r="W576" s="692" t="n"/>
    </row>
    <row r="577">
      <c r="A577" s="692" t="n"/>
      <c r="B577" s="692" t="n"/>
      <c r="C577" s="692" t="n"/>
      <c r="D577" s="692" t="n"/>
      <c r="E577" s="692" t="n"/>
      <c r="F577" s="692" t="n"/>
      <c r="G577" s="692" t="n"/>
      <c r="H577" s="692" t="n"/>
      <c r="I577" s="692" t="n"/>
      <c r="J577" s="692" t="n"/>
      <c r="K577" s="692" t="n"/>
      <c r="L577" s="692" t="n"/>
      <c r="M577" s="692" t="n"/>
      <c r="N577" s="692" t="n"/>
      <c r="O577" s="692" t="n"/>
      <c r="P577" s="692" t="n"/>
      <c r="Q577" s="692" t="n"/>
      <c r="R577" s="692" t="n"/>
      <c r="S577" s="692" t="n"/>
      <c r="T577" s="692" t="n"/>
      <c r="U577" s="692" t="n"/>
      <c r="V577" s="692" t="n"/>
      <c r="W577" s="692" t="n"/>
    </row>
    <row r="578">
      <c r="A578" s="692" t="n"/>
      <c r="B578" s="692" t="n"/>
      <c r="C578" s="692" t="n"/>
      <c r="D578" s="692" t="n"/>
      <c r="E578" s="692" t="n"/>
      <c r="F578" s="692" t="n"/>
      <c r="G578" s="692" t="n"/>
      <c r="H578" s="692" t="n"/>
      <c r="I578" s="692" t="n"/>
      <c r="J578" s="692" t="n"/>
      <c r="K578" s="692" t="n"/>
      <c r="L578" s="692" t="n"/>
      <c r="M578" s="692" t="n"/>
      <c r="N578" s="692" t="n"/>
      <c r="O578" s="692" t="n"/>
      <c r="P578" s="692" t="n"/>
      <c r="Q578" s="692" t="n"/>
      <c r="R578" s="692" t="n"/>
      <c r="S578" s="692" t="n"/>
      <c r="T578" s="692" t="n"/>
      <c r="U578" s="692" t="n"/>
      <c r="V578" s="692" t="n"/>
      <c r="W578" s="692" t="n"/>
    </row>
    <row r="579">
      <c r="A579" s="692" t="n"/>
      <c r="B579" s="692" t="n"/>
      <c r="C579" s="692" t="n"/>
      <c r="D579" s="692" t="n"/>
      <c r="E579" s="692" t="n"/>
      <c r="F579" s="692" t="n"/>
      <c r="G579" s="692" t="n"/>
      <c r="H579" s="692" t="n"/>
      <c r="I579" s="692" t="n"/>
      <c r="J579" s="692" t="n"/>
      <c r="K579" s="692" t="n"/>
      <c r="L579" s="692" t="n"/>
      <c r="M579" s="692" t="n"/>
      <c r="N579" s="692" t="n"/>
      <c r="O579" s="692" t="n"/>
      <c r="P579" s="692" t="n"/>
      <c r="Q579" s="692" t="n"/>
      <c r="R579" s="692" t="n"/>
      <c r="S579" s="692" t="n"/>
      <c r="T579" s="692" t="n"/>
      <c r="U579" s="692" t="n"/>
      <c r="V579" s="692" t="n"/>
      <c r="W579" s="692" t="n"/>
    </row>
    <row r="580">
      <c r="A580" s="692" t="n"/>
      <c r="B580" s="692" t="n"/>
      <c r="C580" s="692" t="n"/>
      <c r="D580" s="692" t="n"/>
      <c r="E580" s="692" t="n"/>
      <c r="F580" s="692" t="n"/>
      <c r="G580" s="692" t="n"/>
      <c r="H580" s="692" t="n"/>
      <c r="I580" s="692" t="n"/>
      <c r="J580" s="692" t="n"/>
      <c r="K580" s="692" t="n"/>
      <c r="L580" s="692" t="n"/>
      <c r="M580" s="692" t="n"/>
      <c r="N580" s="692" t="n"/>
      <c r="O580" s="692" t="n"/>
      <c r="P580" s="692" t="n"/>
      <c r="Q580" s="692" t="n"/>
      <c r="R580" s="692" t="n"/>
      <c r="S580" s="692" t="n"/>
      <c r="T580" s="692" t="n"/>
      <c r="U580" s="692" t="n"/>
      <c r="V580" s="692" t="n"/>
      <c r="W580" s="692" t="n"/>
    </row>
    <row r="581">
      <c r="A581" s="692" t="n"/>
      <c r="B581" s="692" t="n"/>
      <c r="C581" s="692" t="n"/>
      <c r="D581" s="692" t="n"/>
      <c r="E581" s="692" t="n"/>
      <c r="F581" s="692" t="n"/>
      <c r="G581" s="692" t="n"/>
      <c r="H581" s="692" t="n"/>
      <c r="I581" s="692" t="n"/>
      <c r="J581" s="692" t="n"/>
      <c r="K581" s="692" t="n"/>
      <c r="L581" s="692" t="n"/>
      <c r="M581" s="692" t="n"/>
      <c r="N581" s="692" t="n"/>
      <c r="O581" s="692" t="n"/>
      <c r="P581" s="692" t="n"/>
      <c r="Q581" s="692" t="n"/>
      <c r="R581" s="692" t="n"/>
      <c r="S581" s="692" t="n"/>
      <c r="T581" s="692" t="n"/>
      <c r="U581" s="692" t="n"/>
      <c r="V581" s="692" t="n"/>
      <c r="W581" s="692" t="n"/>
    </row>
    <row r="582">
      <c r="A582" s="692" t="n"/>
      <c r="B582" s="692" t="n"/>
      <c r="C582" s="692" t="n"/>
      <c r="D582" s="692" t="n"/>
      <c r="E582" s="692" t="n"/>
      <c r="F582" s="692" t="n"/>
      <c r="G582" s="692" t="n"/>
      <c r="H582" s="692" t="n"/>
      <c r="I582" s="692" t="n"/>
      <c r="J582" s="692" t="n"/>
      <c r="K582" s="692" t="n"/>
      <c r="L582" s="692" t="n"/>
      <c r="M582" s="692" t="n"/>
      <c r="N582" s="692" t="n"/>
      <c r="O582" s="692" t="n"/>
      <c r="P582" s="692" t="n"/>
      <c r="Q582" s="692" t="n"/>
      <c r="R582" s="692" t="n"/>
      <c r="S582" s="692" t="n"/>
      <c r="T582" s="692" t="n"/>
      <c r="U582" s="692" t="n"/>
      <c r="V582" s="692" t="n"/>
      <c r="W582" s="692" t="n"/>
    </row>
    <row r="583">
      <c r="A583" s="692" t="n"/>
      <c r="B583" s="692" t="n"/>
      <c r="C583" s="692" t="n"/>
      <c r="D583" s="692" t="n"/>
      <c r="E583" s="692" t="n"/>
      <c r="F583" s="692" t="n"/>
      <c r="G583" s="692" t="n"/>
      <c r="H583" s="692" t="n"/>
      <c r="I583" s="692" t="n"/>
      <c r="J583" s="692" t="n"/>
      <c r="K583" s="692" t="n"/>
      <c r="L583" s="692" t="n"/>
      <c r="M583" s="692" t="n"/>
      <c r="N583" s="692" t="n"/>
      <c r="O583" s="692" t="n"/>
      <c r="P583" s="692" t="n"/>
      <c r="Q583" s="692" t="n"/>
      <c r="R583" s="692" t="n"/>
      <c r="S583" s="692" t="n"/>
      <c r="T583" s="692" t="n"/>
      <c r="U583" s="692" t="n"/>
      <c r="V583" s="692" t="n"/>
      <c r="W583" s="692" t="n"/>
    </row>
    <row r="584">
      <c r="A584" s="692" t="n"/>
      <c r="B584" s="692" t="n"/>
      <c r="C584" s="692" t="n"/>
      <c r="D584" s="692" t="n"/>
      <c r="E584" s="692" t="n"/>
      <c r="F584" s="692" t="n"/>
      <c r="G584" s="692" t="n"/>
      <c r="H584" s="692" t="n"/>
      <c r="I584" s="692" t="n"/>
      <c r="J584" s="692" t="n"/>
      <c r="K584" s="692" t="n"/>
      <c r="L584" s="692" t="n"/>
      <c r="M584" s="692" t="n"/>
      <c r="N584" s="692" t="n"/>
      <c r="O584" s="692" t="n"/>
      <c r="P584" s="692" t="n"/>
      <c r="Q584" s="692" t="n"/>
      <c r="R584" s="692" t="n"/>
      <c r="S584" s="692" t="n"/>
      <c r="T584" s="692" t="n"/>
      <c r="U584" s="692" t="n"/>
      <c r="V584" s="692" t="n"/>
      <c r="W584" s="692" t="n"/>
    </row>
    <row r="585">
      <c r="A585" s="692" t="n"/>
      <c r="B585" s="692" t="n"/>
      <c r="C585" s="692" t="n"/>
      <c r="D585" s="692" t="n"/>
      <c r="E585" s="692" t="n"/>
      <c r="F585" s="692" t="n"/>
      <c r="G585" s="692" t="n"/>
      <c r="H585" s="692" t="n"/>
      <c r="I585" s="692" t="n"/>
      <c r="J585" s="692" t="n"/>
      <c r="K585" s="692" t="n"/>
      <c r="L585" s="692" t="n"/>
      <c r="M585" s="692" t="n"/>
      <c r="N585" s="692" t="n"/>
      <c r="O585" s="692" t="n"/>
      <c r="P585" s="692" t="n"/>
      <c r="Q585" s="692" t="n"/>
      <c r="R585" s="692" t="n"/>
      <c r="S585" s="692" t="n"/>
      <c r="T585" s="692" t="n"/>
      <c r="U585" s="692" t="n"/>
      <c r="V585" s="692" t="n"/>
      <c r="W585" s="692" t="n"/>
    </row>
    <row r="586">
      <c r="A586" s="692" t="n"/>
      <c r="B586" s="692" t="n"/>
      <c r="C586" s="692" t="n"/>
      <c r="D586" s="692" t="n"/>
      <c r="E586" s="692" t="n"/>
      <c r="F586" s="692" t="n"/>
      <c r="G586" s="692" t="n"/>
      <c r="H586" s="692" t="n"/>
      <c r="I586" s="692" t="n"/>
      <c r="J586" s="692" t="n"/>
      <c r="K586" s="692" t="n"/>
      <c r="L586" s="692" t="n"/>
      <c r="M586" s="692" t="n"/>
      <c r="N586" s="692" t="n"/>
      <c r="O586" s="692" t="n"/>
      <c r="P586" s="692" t="n"/>
      <c r="Q586" s="692" t="n"/>
      <c r="R586" s="692" t="n"/>
      <c r="S586" s="692" t="n"/>
      <c r="T586" s="692" t="n"/>
      <c r="U586" s="692" t="n"/>
      <c r="V586" s="692" t="n"/>
      <c r="W586" s="692" t="n"/>
    </row>
    <row r="587">
      <c r="A587" s="692" t="n"/>
      <c r="B587" s="692" t="n"/>
      <c r="C587" s="692" t="n"/>
      <c r="D587" s="692" t="n"/>
      <c r="E587" s="692" t="n"/>
      <c r="F587" s="692" t="n"/>
      <c r="G587" s="692" t="n"/>
      <c r="H587" s="692" t="n"/>
      <c r="I587" s="692" t="n"/>
      <c r="J587" s="692" t="n"/>
      <c r="K587" s="692" t="n"/>
      <c r="L587" s="692" t="n"/>
      <c r="M587" s="692" t="n"/>
      <c r="N587" s="692" t="n"/>
      <c r="O587" s="692" t="n"/>
      <c r="P587" s="692" t="n"/>
      <c r="Q587" s="692" t="n"/>
      <c r="R587" s="692" t="n"/>
      <c r="S587" s="692" t="n"/>
      <c r="T587" s="692" t="n"/>
      <c r="U587" s="692" t="n"/>
      <c r="V587" s="692" t="n"/>
      <c r="W587" s="692" t="n"/>
    </row>
    <row r="588">
      <c r="A588" s="692" t="n"/>
      <c r="B588" s="692" t="n"/>
      <c r="C588" s="692" t="n"/>
      <c r="D588" s="692" t="n"/>
      <c r="E588" s="692" t="n"/>
      <c r="F588" s="692" t="n"/>
      <c r="G588" s="692" t="n"/>
      <c r="H588" s="692" t="n"/>
      <c r="I588" s="692" t="n"/>
      <c r="J588" s="692" t="n"/>
      <c r="K588" s="692" t="n"/>
      <c r="L588" s="692" t="n"/>
      <c r="M588" s="692" t="n"/>
      <c r="N588" s="692" t="n"/>
      <c r="O588" s="692" t="n"/>
      <c r="P588" s="692" t="n"/>
      <c r="Q588" s="692" t="n"/>
      <c r="R588" s="692" t="n"/>
      <c r="S588" s="692" t="n"/>
      <c r="T588" s="692" t="n"/>
      <c r="U588" s="692" t="n"/>
      <c r="V588" s="692" t="n"/>
      <c r="W588" s="692" t="n"/>
    </row>
    <row r="589">
      <c r="A589" s="692" t="n"/>
      <c r="B589" s="692" t="n"/>
      <c r="C589" s="692" t="n"/>
      <c r="D589" s="692" t="n"/>
      <c r="E589" s="692" t="n"/>
      <c r="F589" s="692" t="n"/>
      <c r="G589" s="692" t="n"/>
      <c r="H589" s="692" t="n"/>
      <c r="I589" s="692" t="n"/>
      <c r="J589" s="692" t="n"/>
      <c r="K589" s="692" t="n"/>
      <c r="L589" s="692" t="n"/>
      <c r="M589" s="692" t="n"/>
      <c r="N589" s="692" t="n"/>
      <c r="O589" s="692" t="n"/>
      <c r="P589" s="692" t="n"/>
      <c r="Q589" s="692" t="n"/>
      <c r="R589" s="692" t="n"/>
      <c r="S589" s="692" t="n"/>
      <c r="T589" s="692" t="n"/>
      <c r="U589" s="692" t="n"/>
      <c r="V589" s="692" t="n"/>
      <c r="W589" s="692" t="n"/>
    </row>
    <row r="590">
      <c r="A590" s="692" t="n"/>
      <c r="B590" s="692" t="n"/>
      <c r="C590" s="692" t="n"/>
      <c r="D590" s="692" t="n"/>
      <c r="E590" s="692" t="n"/>
      <c r="F590" s="692" t="n"/>
      <c r="G590" s="692" t="n"/>
      <c r="H590" s="692" t="n"/>
      <c r="I590" s="692" t="n"/>
      <c r="J590" s="692" t="n"/>
      <c r="K590" s="692" t="n"/>
      <c r="L590" s="692" t="n"/>
      <c r="M590" s="692" t="n"/>
      <c r="N590" s="692" t="n"/>
      <c r="O590" s="692" t="n"/>
      <c r="P590" s="692" t="n"/>
      <c r="Q590" s="692" t="n"/>
      <c r="R590" s="692" t="n"/>
      <c r="S590" s="692" t="n"/>
      <c r="T590" s="692" t="n"/>
      <c r="U590" s="692" t="n"/>
      <c r="V590" s="692" t="n"/>
      <c r="W590" s="692" t="n"/>
    </row>
    <row r="591">
      <c r="A591" s="692" t="n"/>
      <c r="B591" s="692" t="n"/>
      <c r="C591" s="692" t="n"/>
      <c r="D591" s="692" t="n"/>
      <c r="E591" s="692" t="n"/>
      <c r="F591" s="692" t="n"/>
      <c r="G591" s="692" t="n"/>
      <c r="H591" s="692" t="n"/>
      <c r="I591" s="692" t="n"/>
      <c r="J591" s="692" t="n"/>
      <c r="K591" s="692" t="n"/>
      <c r="L591" s="692" t="n"/>
      <c r="M591" s="692" t="n"/>
      <c r="N591" s="692" t="n"/>
      <c r="O591" s="692" t="n"/>
      <c r="P591" s="692" t="n"/>
      <c r="Q591" s="692" t="n"/>
      <c r="R591" s="692" t="n"/>
      <c r="S591" s="692" t="n"/>
      <c r="T591" s="692" t="n"/>
      <c r="U591" s="692" t="n"/>
      <c r="V591" s="692" t="n"/>
      <c r="W591" s="692" t="n"/>
    </row>
    <row r="592">
      <c r="A592" s="692" t="n"/>
      <c r="B592" s="692" t="n"/>
      <c r="C592" s="692" t="n"/>
      <c r="D592" s="692" t="n"/>
      <c r="E592" s="692" t="n"/>
      <c r="F592" s="692" t="n"/>
      <c r="G592" s="692" t="n"/>
      <c r="H592" s="692" t="n"/>
      <c r="I592" s="692" t="n"/>
      <c r="J592" s="692" t="n"/>
      <c r="K592" s="692" t="n"/>
      <c r="L592" s="692" t="n"/>
      <c r="M592" s="692" t="n"/>
      <c r="N592" s="692" t="n"/>
      <c r="O592" s="692" t="n"/>
      <c r="P592" s="692" t="n"/>
      <c r="Q592" s="692" t="n"/>
      <c r="R592" s="692" t="n"/>
      <c r="S592" s="692" t="n"/>
      <c r="T592" s="692" t="n"/>
      <c r="U592" s="692" t="n"/>
      <c r="V592" s="692" t="n"/>
      <c r="W592" s="692" t="n"/>
    </row>
    <row r="593">
      <c r="A593" s="692" t="n"/>
      <c r="B593" s="692" t="n"/>
      <c r="C593" s="692" t="n"/>
      <c r="D593" s="692" t="n"/>
      <c r="E593" s="692" t="n"/>
      <c r="F593" s="692" t="n"/>
      <c r="G593" s="692" t="n"/>
      <c r="H593" s="692" t="n"/>
      <c r="I593" s="692" t="n"/>
      <c r="J593" s="692" t="n"/>
      <c r="K593" s="692" t="n"/>
      <c r="L593" s="692" t="n"/>
      <c r="M593" s="692" t="n"/>
      <c r="N593" s="692" t="n"/>
      <c r="O593" s="692" t="n"/>
      <c r="P593" s="692" t="n"/>
      <c r="Q593" s="692" t="n"/>
      <c r="R593" s="692" t="n"/>
      <c r="S593" s="692" t="n"/>
      <c r="T593" s="692" t="n"/>
      <c r="U593" s="692" t="n"/>
      <c r="V593" s="692" t="n"/>
      <c r="W593" s="692" t="n"/>
    </row>
    <row r="594">
      <c r="A594" s="692" t="n"/>
      <c r="B594" s="692" t="n"/>
      <c r="C594" s="692" t="n"/>
      <c r="D594" s="692" t="n"/>
      <c r="E594" s="692" t="n"/>
      <c r="F594" s="692" t="n"/>
      <c r="G594" s="692" t="n"/>
      <c r="H594" s="692" t="n"/>
      <c r="I594" s="692" t="n"/>
      <c r="J594" s="692" t="n"/>
      <c r="K594" s="692" t="n"/>
      <c r="L594" s="692" t="n"/>
      <c r="M594" s="692" t="n"/>
      <c r="N594" s="692" t="n"/>
      <c r="O594" s="692" t="n"/>
      <c r="P594" s="692" t="n"/>
      <c r="Q594" s="692" t="n"/>
      <c r="R594" s="692" t="n"/>
      <c r="S594" s="692" t="n"/>
      <c r="T594" s="692" t="n"/>
      <c r="U594" s="692" t="n"/>
      <c r="V594" s="692" t="n"/>
      <c r="W594" s="692" t="n"/>
    </row>
    <row r="595">
      <c r="A595" s="692" t="n"/>
      <c r="B595" s="692" t="n"/>
      <c r="C595" s="692" t="n"/>
      <c r="D595" s="692" t="n"/>
      <c r="E595" s="692" t="n"/>
      <c r="F595" s="692" t="n"/>
      <c r="G595" s="692" t="n"/>
      <c r="H595" s="692" t="n"/>
      <c r="I595" s="692" t="n"/>
      <c r="J595" s="692" t="n"/>
      <c r="K595" s="692" t="n"/>
      <c r="L595" s="692" t="n"/>
      <c r="M595" s="692" t="n"/>
      <c r="N595" s="692" t="n"/>
      <c r="O595" s="692" t="n"/>
      <c r="P595" s="692" t="n"/>
      <c r="Q595" s="692" t="n"/>
      <c r="R595" s="692" t="n"/>
      <c r="S595" s="692" t="n"/>
      <c r="T595" s="692" t="n"/>
      <c r="U595" s="692" t="n"/>
      <c r="V595" s="692" t="n"/>
      <c r="W595" s="692" t="n"/>
    </row>
    <row r="596">
      <c r="A596" s="692" t="n"/>
      <c r="B596" s="692" t="n"/>
      <c r="C596" s="692" t="n"/>
      <c r="D596" s="692" t="n"/>
      <c r="E596" s="692" t="n"/>
      <c r="F596" s="692" t="n"/>
      <c r="G596" s="692" t="n"/>
      <c r="H596" s="692" t="n"/>
      <c r="I596" s="692" t="n"/>
      <c r="J596" s="692" t="n"/>
      <c r="K596" s="692" t="n"/>
      <c r="L596" s="692" t="n"/>
      <c r="M596" s="692" t="n"/>
      <c r="N596" s="692" t="n"/>
      <c r="O596" s="692" t="n"/>
      <c r="P596" s="692" t="n"/>
      <c r="Q596" s="692" t="n"/>
      <c r="R596" s="692" t="n"/>
      <c r="S596" s="692" t="n"/>
      <c r="T596" s="692" t="n"/>
      <c r="U596" s="692" t="n"/>
      <c r="V596" s="692" t="n"/>
      <c r="W596" s="692" t="n"/>
    </row>
    <row r="597">
      <c r="A597" s="692" t="n"/>
      <c r="B597" s="692" t="n"/>
      <c r="C597" s="692" t="n"/>
      <c r="D597" s="692" t="n"/>
      <c r="E597" s="692" t="n"/>
      <c r="F597" s="692" t="n"/>
      <c r="G597" s="692" t="n"/>
      <c r="H597" s="692" t="n"/>
      <c r="I597" s="692" t="n"/>
      <c r="J597" s="692" t="n"/>
      <c r="K597" s="692" t="n"/>
      <c r="L597" s="692" t="n"/>
      <c r="M597" s="692" t="n"/>
      <c r="N597" s="692" t="n"/>
      <c r="O597" s="692" t="n"/>
      <c r="P597" s="692" t="n"/>
      <c r="Q597" s="692" t="n"/>
      <c r="R597" s="692" t="n"/>
      <c r="S597" s="692" t="n"/>
      <c r="T597" s="692" t="n"/>
      <c r="U597" s="692" t="n"/>
      <c r="V597" s="692" t="n"/>
      <c r="W597" s="692" t="n"/>
    </row>
    <row r="598">
      <c r="A598" s="692" t="n"/>
      <c r="B598" s="692" t="n"/>
      <c r="C598" s="692" t="n"/>
      <c r="D598" s="692" t="n"/>
      <c r="E598" s="692" t="n"/>
      <c r="F598" s="692" t="n"/>
      <c r="G598" s="692" t="n"/>
      <c r="H598" s="692" t="n"/>
      <c r="I598" s="692" t="n"/>
      <c r="J598" s="692" t="n"/>
      <c r="K598" s="692" t="n"/>
      <c r="L598" s="692" t="n"/>
      <c r="M598" s="692" t="n"/>
      <c r="N598" s="692" t="n"/>
      <c r="O598" s="692" t="n"/>
      <c r="P598" s="692" t="n"/>
      <c r="Q598" s="692" t="n"/>
      <c r="R598" s="692" t="n"/>
      <c r="S598" s="692" t="n"/>
      <c r="T598" s="692" t="n"/>
      <c r="U598" s="692" t="n"/>
      <c r="V598" s="692" t="n"/>
      <c r="W598" s="692" t="n"/>
    </row>
    <row r="599">
      <c r="A599" s="692" t="n"/>
      <c r="B599" s="692" t="n"/>
      <c r="C599" s="692" t="n"/>
      <c r="D599" s="692" t="n"/>
      <c r="E599" s="692" t="n"/>
      <c r="F599" s="692" t="n"/>
      <c r="G599" s="692" t="n"/>
      <c r="H599" s="692" t="n"/>
      <c r="I599" s="692" t="n"/>
      <c r="J599" s="692" t="n"/>
      <c r="K599" s="692" t="n"/>
      <c r="L599" s="692" t="n"/>
      <c r="M599" s="692" t="n"/>
      <c r="N599" s="692" t="n"/>
      <c r="O599" s="692" t="n"/>
      <c r="P599" s="692" t="n"/>
      <c r="Q599" s="692" t="n"/>
      <c r="R599" s="692" t="n"/>
      <c r="S599" s="692" t="n"/>
      <c r="T599" s="692" t="n"/>
      <c r="U599" s="692" t="n"/>
      <c r="V599" s="692" t="n"/>
      <c r="W599" s="692" t="n"/>
    </row>
    <row r="600">
      <c r="A600" s="692" t="n"/>
      <c r="B600" s="692" t="n"/>
      <c r="C600" s="692" t="n"/>
      <c r="D600" s="692" t="n"/>
      <c r="E600" s="692" t="n"/>
      <c r="F600" s="692" t="n"/>
      <c r="G600" s="692" t="n"/>
      <c r="H600" s="692" t="n"/>
      <c r="I600" s="692" t="n"/>
      <c r="J600" s="692" t="n"/>
      <c r="K600" s="692" t="n"/>
      <c r="L600" s="692" t="n"/>
      <c r="M600" s="692" t="n"/>
      <c r="N600" s="692" t="n"/>
      <c r="O600" s="692" t="n"/>
      <c r="P600" s="692" t="n"/>
      <c r="Q600" s="692" t="n"/>
      <c r="R600" s="692" t="n"/>
      <c r="S600" s="692" t="n"/>
      <c r="T600" s="692" t="n"/>
      <c r="U600" s="692" t="n"/>
      <c r="V600" s="692" t="n"/>
      <c r="W600" s="692" t="n"/>
    </row>
    <row r="601">
      <c r="A601" s="692" t="n"/>
      <c r="B601" s="692" t="n"/>
      <c r="C601" s="692" t="n"/>
      <c r="D601" s="692" t="n"/>
      <c r="E601" s="692" t="n"/>
      <c r="F601" s="692" t="n"/>
      <c r="G601" s="692" t="n"/>
      <c r="H601" s="692" t="n"/>
      <c r="I601" s="692" t="n"/>
      <c r="J601" s="692" t="n"/>
      <c r="K601" s="692" t="n"/>
      <c r="L601" s="692" t="n"/>
      <c r="M601" s="692" t="n"/>
      <c r="N601" s="692" t="n"/>
      <c r="O601" s="692" t="n"/>
      <c r="P601" s="692" t="n"/>
      <c r="Q601" s="692" t="n"/>
      <c r="R601" s="692" t="n"/>
      <c r="S601" s="692" t="n"/>
      <c r="T601" s="692" t="n"/>
      <c r="U601" s="692" t="n"/>
      <c r="V601" s="692" t="n"/>
      <c r="W601" s="692" t="n"/>
    </row>
    <row r="602">
      <c r="A602" s="692" t="n"/>
      <c r="B602" s="692" t="n"/>
      <c r="C602" s="692" t="n"/>
      <c r="D602" s="692" t="n"/>
      <c r="E602" s="692" t="n"/>
      <c r="F602" s="692" t="n"/>
      <c r="G602" s="692" t="n"/>
      <c r="H602" s="692" t="n"/>
      <c r="I602" s="692" t="n"/>
      <c r="J602" s="692" t="n"/>
      <c r="K602" s="692" t="n"/>
      <c r="L602" s="692" t="n"/>
      <c r="M602" s="692" t="n"/>
      <c r="N602" s="692" t="n"/>
      <c r="O602" s="692" t="n"/>
      <c r="P602" s="692" t="n"/>
      <c r="Q602" s="692" t="n"/>
      <c r="R602" s="692" t="n"/>
      <c r="S602" s="692" t="n"/>
      <c r="T602" s="692" t="n"/>
      <c r="U602" s="692" t="n"/>
      <c r="V602" s="692" t="n"/>
      <c r="W602" s="692" t="n"/>
    </row>
    <row r="603">
      <c r="A603" s="692" t="n"/>
      <c r="B603" s="692" t="n"/>
      <c r="C603" s="692" t="n"/>
      <c r="D603" s="692" t="n"/>
      <c r="E603" s="692" t="n"/>
      <c r="F603" s="692" t="n"/>
      <c r="G603" s="692" t="n"/>
      <c r="H603" s="692" t="n"/>
      <c r="I603" s="692" t="n"/>
      <c r="J603" s="692" t="n"/>
      <c r="K603" s="692" t="n"/>
      <c r="L603" s="692" t="n"/>
      <c r="M603" s="692" t="n"/>
      <c r="N603" s="692" t="n"/>
      <c r="O603" s="692" t="n"/>
      <c r="P603" s="692" t="n"/>
      <c r="Q603" s="692" t="n"/>
      <c r="R603" s="692" t="n"/>
      <c r="S603" s="692" t="n"/>
      <c r="T603" s="692" t="n"/>
      <c r="U603" s="692" t="n"/>
      <c r="V603" s="692" t="n"/>
      <c r="W603" s="692" t="n"/>
    </row>
    <row r="604">
      <c r="A604" s="692" t="n"/>
      <c r="B604" s="692" t="n"/>
      <c r="C604" s="692" t="n"/>
      <c r="D604" s="692" t="n"/>
      <c r="E604" s="692" t="n"/>
      <c r="F604" s="692" t="n"/>
      <c r="G604" s="692" t="n"/>
      <c r="H604" s="692" t="n"/>
      <c r="I604" s="692" t="n"/>
      <c r="J604" s="692" t="n"/>
      <c r="K604" s="692" t="n"/>
      <c r="L604" s="692" t="n"/>
      <c r="M604" s="692" t="n"/>
      <c r="N604" s="692" t="n"/>
      <c r="O604" s="692" t="n"/>
      <c r="P604" s="692" t="n"/>
      <c r="Q604" s="692" t="n"/>
      <c r="R604" s="692" t="n"/>
      <c r="S604" s="692" t="n"/>
      <c r="T604" s="692" t="n"/>
      <c r="U604" s="692" t="n"/>
      <c r="V604" s="692" t="n"/>
      <c r="W604" s="692" t="n"/>
    </row>
    <row r="605">
      <c r="A605" s="692" t="n"/>
      <c r="B605" s="692" t="n"/>
      <c r="C605" s="692" t="n"/>
      <c r="D605" s="692" t="n"/>
      <c r="E605" s="692" t="n"/>
      <c r="F605" s="692" t="n"/>
      <c r="G605" s="692" t="n"/>
      <c r="H605" s="692" t="n"/>
      <c r="I605" s="692" t="n"/>
      <c r="J605" s="692" t="n"/>
      <c r="K605" s="692" t="n"/>
      <c r="L605" s="692" t="n"/>
      <c r="M605" s="692" t="n"/>
      <c r="N605" s="692" t="n"/>
      <c r="O605" s="692" t="n"/>
      <c r="P605" s="692" t="n"/>
      <c r="Q605" s="692" t="n"/>
      <c r="R605" s="692" t="n"/>
      <c r="S605" s="692" t="n"/>
      <c r="T605" s="692" t="n"/>
      <c r="U605" s="692" t="n"/>
      <c r="V605" s="692" t="n"/>
      <c r="W605" s="692" t="n"/>
    </row>
    <row r="606">
      <c r="A606" s="692" t="n"/>
      <c r="B606" s="692" t="n"/>
      <c r="C606" s="692" t="n"/>
      <c r="D606" s="692" t="n"/>
      <c r="E606" s="692" t="n"/>
      <c r="F606" s="692" t="n"/>
      <c r="G606" s="692" t="n"/>
      <c r="H606" s="692" t="n"/>
      <c r="I606" s="692" t="n"/>
      <c r="J606" s="692" t="n"/>
      <c r="K606" s="692" t="n"/>
      <c r="L606" s="692" t="n"/>
      <c r="M606" s="692" t="n"/>
      <c r="N606" s="692" t="n"/>
      <c r="O606" s="692" t="n"/>
      <c r="P606" s="692" t="n"/>
      <c r="Q606" s="692" t="n"/>
      <c r="R606" s="692" t="n"/>
      <c r="S606" s="692" t="n"/>
      <c r="T606" s="692" t="n"/>
      <c r="U606" s="692" t="n"/>
      <c r="V606" s="692" t="n"/>
      <c r="W606" s="692" t="n"/>
    </row>
    <row r="607">
      <c r="A607" s="692" t="n"/>
      <c r="B607" s="692" t="n"/>
      <c r="C607" s="692" t="n"/>
      <c r="D607" s="692" t="n"/>
      <c r="E607" s="692" t="n"/>
      <c r="F607" s="692" t="n"/>
      <c r="G607" s="692" t="n"/>
      <c r="H607" s="692" t="n"/>
      <c r="I607" s="692" t="n"/>
      <c r="J607" s="692" t="n"/>
      <c r="K607" s="692" t="n"/>
      <c r="L607" s="692" t="n"/>
      <c r="M607" s="692" t="n"/>
      <c r="N607" s="692" t="n"/>
      <c r="O607" s="692" t="n"/>
      <c r="P607" s="692" t="n"/>
      <c r="Q607" s="692" t="n"/>
      <c r="R607" s="692" t="n"/>
      <c r="S607" s="692" t="n"/>
      <c r="T607" s="692" t="n"/>
      <c r="U607" s="692" t="n"/>
      <c r="V607" s="692" t="n"/>
      <c r="W607" s="692" t="n"/>
    </row>
    <row r="608">
      <c r="A608" s="692" t="n"/>
      <c r="B608" s="692" t="n"/>
      <c r="C608" s="692" t="n"/>
      <c r="D608" s="692" t="n"/>
      <c r="E608" s="692" t="n"/>
      <c r="F608" s="692" t="n"/>
      <c r="G608" s="692" t="n"/>
      <c r="H608" s="692" t="n"/>
      <c r="I608" s="692" t="n"/>
      <c r="J608" s="692" t="n"/>
      <c r="K608" s="692" t="n"/>
      <c r="L608" s="692" t="n"/>
      <c r="M608" s="692" t="n"/>
      <c r="N608" s="692" t="n"/>
      <c r="O608" s="692" t="n"/>
      <c r="P608" s="692" t="n"/>
      <c r="Q608" s="692" t="n"/>
      <c r="R608" s="692" t="n"/>
      <c r="S608" s="692" t="n"/>
      <c r="T608" s="692" t="n"/>
      <c r="U608" s="692" t="n"/>
      <c r="V608" s="692" t="n"/>
      <c r="W608" s="692" t="n"/>
    </row>
    <row r="609">
      <c r="A609" s="692" t="n"/>
      <c r="B609" s="692" t="n"/>
      <c r="C609" s="692" t="n"/>
      <c r="D609" s="692" t="n"/>
      <c r="E609" s="692" t="n"/>
      <c r="F609" s="692" t="n"/>
      <c r="G609" s="692" t="n"/>
      <c r="H609" s="692" t="n"/>
      <c r="I609" s="692" t="n"/>
      <c r="J609" s="692" t="n"/>
      <c r="K609" s="692" t="n"/>
      <c r="L609" s="692" t="n"/>
      <c r="M609" s="692" t="n"/>
      <c r="N609" s="692" t="n"/>
      <c r="O609" s="692" t="n"/>
      <c r="P609" s="692" t="n"/>
      <c r="Q609" s="692" t="n"/>
      <c r="R609" s="692" t="n"/>
      <c r="S609" s="692" t="n"/>
      <c r="T609" s="692" t="n"/>
      <c r="U609" s="692" t="n"/>
      <c r="V609" s="692" t="n"/>
      <c r="W609" s="692" t="n"/>
    </row>
    <row r="610">
      <c r="A610" s="692" t="n"/>
      <c r="B610" s="692" t="n"/>
      <c r="C610" s="692" t="n"/>
      <c r="D610" s="692" t="n"/>
      <c r="E610" s="692" t="n"/>
      <c r="F610" s="692" t="n"/>
      <c r="G610" s="692" t="n"/>
      <c r="H610" s="692" t="n"/>
      <c r="I610" s="692" t="n"/>
      <c r="J610" s="692" t="n"/>
      <c r="K610" s="692" t="n"/>
      <c r="L610" s="692" t="n"/>
      <c r="M610" s="692" t="n"/>
      <c r="N610" s="692" t="n"/>
      <c r="O610" s="692" t="n"/>
      <c r="P610" s="692" t="n"/>
      <c r="Q610" s="692" t="n"/>
      <c r="R610" s="692" t="n"/>
      <c r="S610" s="692" t="n"/>
      <c r="T610" s="692" t="n"/>
      <c r="U610" s="692" t="n"/>
      <c r="V610" s="692" t="n"/>
      <c r="W610" s="692" t="n"/>
    </row>
    <row r="611">
      <c r="A611" s="692" t="n"/>
      <c r="B611" s="692" t="n"/>
      <c r="C611" s="692" t="n"/>
      <c r="D611" s="692" t="n"/>
      <c r="E611" s="692" t="n"/>
      <c r="F611" s="692" t="n"/>
      <c r="G611" s="692" t="n"/>
      <c r="H611" s="692" t="n"/>
      <c r="I611" s="692" t="n"/>
      <c r="J611" s="692" t="n"/>
      <c r="K611" s="692" t="n"/>
      <c r="L611" s="692" t="n"/>
      <c r="M611" s="692" t="n"/>
      <c r="N611" s="692" t="n"/>
      <c r="O611" s="692" t="n"/>
      <c r="P611" s="692" t="n"/>
      <c r="Q611" s="692" t="n"/>
      <c r="R611" s="692" t="n"/>
      <c r="S611" s="692" t="n"/>
      <c r="T611" s="692" t="n"/>
      <c r="U611" s="692" t="n"/>
      <c r="V611" s="692" t="n"/>
      <c r="W611" s="692" t="n"/>
    </row>
    <row r="612">
      <c r="A612" s="692" t="n"/>
      <c r="B612" s="692" t="n"/>
      <c r="C612" s="692" t="n"/>
      <c r="D612" s="692" t="n"/>
      <c r="E612" s="692" t="n"/>
      <c r="F612" s="692" t="n"/>
      <c r="G612" s="692" t="n"/>
      <c r="H612" s="692" t="n"/>
      <c r="I612" s="692" t="n"/>
      <c r="J612" s="692" t="n"/>
      <c r="K612" s="692" t="n"/>
      <c r="L612" s="692" t="n"/>
      <c r="M612" s="692" t="n"/>
      <c r="N612" s="692" t="n"/>
      <c r="O612" s="692" t="n"/>
      <c r="P612" s="692" t="n"/>
      <c r="Q612" s="692" t="n"/>
      <c r="R612" s="692" t="n"/>
      <c r="S612" s="692" t="n"/>
      <c r="T612" s="692" t="n"/>
      <c r="U612" s="692" t="n"/>
      <c r="V612" s="692" t="n"/>
      <c r="W612" s="692" t="n"/>
    </row>
    <row r="613">
      <c r="A613" s="692" t="n"/>
      <c r="B613" s="692" t="n"/>
      <c r="C613" s="692" t="n"/>
      <c r="D613" s="692" t="n"/>
      <c r="E613" s="692" t="n"/>
      <c r="F613" s="692" t="n"/>
      <c r="G613" s="692" t="n"/>
      <c r="H613" s="692" t="n"/>
      <c r="I613" s="692" t="n"/>
      <c r="J613" s="692" t="n"/>
      <c r="K613" s="692" t="n"/>
      <c r="L613" s="692" t="n"/>
      <c r="M613" s="692" t="n"/>
      <c r="N613" s="692" t="n"/>
      <c r="O613" s="692" t="n"/>
      <c r="P613" s="692" t="n"/>
      <c r="Q613" s="692" t="n"/>
      <c r="R613" s="692" t="n"/>
      <c r="S613" s="692" t="n"/>
      <c r="T613" s="692" t="n"/>
      <c r="U613" s="692" t="n"/>
      <c r="V613" s="692" t="n"/>
      <c r="W613" s="692" t="n"/>
    </row>
    <row r="614">
      <c r="A614" s="692" t="n"/>
      <c r="B614" s="692" t="n"/>
      <c r="C614" s="692" t="n"/>
      <c r="D614" s="692" t="n"/>
      <c r="E614" s="692" t="n"/>
      <c r="F614" s="692" t="n"/>
      <c r="G614" s="692" t="n"/>
      <c r="H614" s="692" t="n"/>
      <c r="I614" s="692" t="n"/>
      <c r="J614" s="692" t="n"/>
      <c r="K614" s="692" t="n"/>
      <c r="L614" s="692" t="n"/>
      <c r="M614" s="692" t="n"/>
      <c r="N614" s="692" t="n"/>
      <c r="O614" s="692" t="n"/>
      <c r="P614" s="692" t="n"/>
      <c r="Q614" s="692" t="n"/>
      <c r="R614" s="692" t="n"/>
      <c r="S614" s="692" t="n"/>
      <c r="T614" s="692" t="n"/>
      <c r="U614" s="692" t="n"/>
      <c r="V614" s="692" t="n"/>
      <c r="W614" s="692" t="n"/>
    </row>
    <row r="615">
      <c r="A615" s="692" t="n"/>
      <c r="B615" s="692" t="n"/>
      <c r="C615" s="692" t="n"/>
      <c r="D615" s="692" t="n"/>
      <c r="E615" s="692" t="n"/>
      <c r="F615" s="692" t="n"/>
      <c r="G615" s="692" t="n"/>
      <c r="H615" s="692" t="n"/>
      <c r="I615" s="692" t="n"/>
      <c r="J615" s="692" t="n"/>
      <c r="K615" s="692" t="n"/>
      <c r="L615" s="692" t="n"/>
      <c r="M615" s="692" t="n"/>
      <c r="N615" s="692" t="n"/>
      <c r="O615" s="692" t="n"/>
      <c r="P615" s="692" t="n"/>
      <c r="Q615" s="692" t="n"/>
      <c r="R615" s="692" t="n"/>
      <c r="S615" s="692" t="n"/>
      <c r="T615" s="692" t="n"/>
      <c r="U615" s="692" t="n"/>
      <c r="V615" s="692" t="n"/>
      <c r="W615" s="692" t="n"/>
    </row>
    <row r="616">
      <c r="A616" s="692" t="n"/>
      <c r="B616" s="692" t="n"/>
      <c r="C616" s="692" t="n"/>
      <c r="D616" s="692" t="n"/>
      <c r="E616" s="692" t="n"/>
      <c r="F616" s="692" t="n"/>
      <c r="G616" s="692" t="n"/>
      <c r="H616" s="692" t="n"/>
      <c r="I616" s="692" t="n"/>
      <c r="J616" s="692" t="n"/>
      <c r="K616" s="692" t="n"/>
      <c r="L616" s="692" t="n"/>
      <c r="M616" s="692" t="n"/>
      <c r="N616" s="692" t="n"/>
      <c r="O616" s="692" t="n"/>
      <c r="P616" s="692" t="n"/>
      <c r="Q616" s="692" t="n"/>
      <c r="R616" s="692" t="n"/>
      <c r="S616" s="692" t="n"/>
      <c r="T616" s="692" t="n"/>
      <c r="U616" s="692" t="n"/>
      <c r="V616" s="692" t="n"/>
      <c r="W616" s="692" t="n"/>
    </row>
    <row r="617">
      <c r="A617" s="692" t="n"/>
      <c r="B617" s="692" t="n"/>
      <c r="C617" s="692" t="n"/>
      <c r="D617" s="692" t="n"/>
      <c r="E617" s="692" t="n"/>
      <c r="F617" s="692" t="n"/>
      <c r="G617" s="692" t="n"/>
      <c r="H617" s="692" t="n"/>
      <c r="I617" s="692" t="n"/>
      <c r="J617" s="692" t="n"/>
      <c r="K617" s="692" t="n"/>
      <c r="L617" s="692" t="n"/>
      <c r="M617" s="692" t="n"/>
      <c r="N617" s="692" t="n"/>
      <c r="O617" s="692" t="n"/>
      <c r="P617" s="692" t="n"/>
      <c r="Q617" s="692" t="n"/>
      <c r="R617" s="692" t="n"/>
      <c r="S617" s="692" t="n"/>
      <c r="T617" s="692" t="n"/>
      <c r="U617" s="692" t="n"/>
      <c r="V617" s="692" t="n"/>
      <c r="W617" s="692" t="n"/>
    </row>
    <row r="618">
      <c r="A618" s="692" t="n"/>
      <c r="B618" s="692" t="n"/>
      <c r="C618" s="692" t="n"/>
      <c r="D618" s="692" t="n"/>
      <c r="E618" s="692" t="n"/>
      <c r="F618" s="692" t="n"/>
      <c r="G618" s="692" t="n"/>
      <c r="H618" s="692" t="n"/>
      <c r="I618" s="692" t="n"/>
      <c r="J618" s="692" t="n"/>
      <c r="K618" s="692" t="n"/>
      <c r="L618" s="692" t="n"/>
      <c r="M618" s="692" t="n"/>
      <c r="N618" s="692" t="n"/>
      <c r="O618" s="692" t="n"/>
      <c r="P618" s="692" t="n"/>
      <c r="Q618" s="692" t="n"/>
      <c r="R618" s="692" t="n"/>
      <c r="S618" s="692" t="n"/>
      <c r="T618" s="692" t="n"/>
      <c r="U618" s="692" t="n"/>
      <c r="V618" s="692" t="n"/>
      <c r="W618" s="692" t="n"/>
    </row>
    <row r="619">
      <c r="A619" s="692" t="n"/>
      <c r="B619" s="692" t="n"/>
      <c r="C619" s="692" t="n"/>
      <c r="D619" s="692" t="n"/>
      <c r="E619" s="692" t="n"/>
      <c r="F619" s="692" t="n"/>
      <c r="G619" s="692" t="n"/>
      <c r="H619" s="692" t="n"/>
      <c r="I619" s="692" t="n"/>
      <c r="J619" s="692" t="n"/>
      <c r="K619" s="692" t="n"/>
      <c r="L619" s="692" t="n"/>
      <c r="M619" s="692" t="n"/>
      <c r="N619" s="692" t="n"/>
      <c r="O619" s="692" t="n"/>
      <c r="P619" s="692" t="n"/>
      <c r="Q619" s="692" t="n"/>
      <c r="R619" s="692" t="n"/>
      <c r="S619" s="692" t="n"/>
      <c r="T619" s="692" t="n"/>
      <c r="U619" s="692" t="n"/>
      <c r="V619" s="692" t="n"/>
      <c r="W619" s="692" t="n"/>
    </row>
    <row r="620">
      <c r="A620" s="692" t="n"/>
      <c r="B620" s="692" t="n"/>
      <c r="C620" s="692" t="n"/>
      <c r="D620" s="692" t="n"/>
      <c r="E620" s="692" t="n"/>
      <c r="F620" s="692" t="n"/>
      <c r="G620" s="692" t="n"/>
      <c r="H620" s="692" t="n"/>
      <c r="I620" s="692" t="n"/>
      <c r="J620" s="692" t="n"/>
      <c r="K620" s="692" t="n"/>
      <c r="L620" s="692" t="n"/>
      <c r="M620" s="692" t="n"/>
      <c r="N620" s="692" t="n"/>
      <c r="O620" s="692" t="n"/>
      <c r="P620" s="692" t="n"/>
      <c r="Q620" s="692" t="n"/>
      <c r="R620" s="692" t="n"/>
      <c r="S620" s="692" t="n"/>
      <c r="T620" s="692" t="n"/>
      <c r="U620" s="692" t="n"/>
      <c r="V620" s="692" t="n"/>
      <c r="W620" s="692" t="n"/>
    </row>
    <row r="621">
      <c r="A621" s="692" t="n"/>
      <c r="B621" s="692" t="n"/>
      <c r="C621" s="692" t="n"/>
      <c r="D621" s="692" t="n"/>
      <c r="E621" s="692" t="n"/>
      <c r="F621" s="692" t="n"/>
      <c r="G621" s="692" t="n"/>
      <c r="H621" s="692" t="n"/>
      <c r="I621" s="692" t="n"/>
      <c r="J621" s="692" t="n"/>
      <c r="K621" s="692" t="n"/>
      <c r="L621" s="692" t="n"/>
      <c r="M621" s="692" t="n"/>
      <c r="N621" s="692" t="n"/>
      <c r="O621" s="692" t="n"/>
      <c r="P621" s="692" t="n"/>
      <c r="Q621" s="692" t="n"/>
      <c r="R621" s="692" t="n"/>
      <c r="S621" s="692" t="n"/>
      <c r="T621" s="692" t="n"/>
      <c r="U621" s="692" t="n"/>
      <c r="V621" s="692" t="n"/>
      <c r="W621" s="692" t="n"/>
    </row>
    <row r="622">
      <c r="A622" s="692" t="n"/>
      <c r="B622" s="692" t="n"/>
      <c r="C622" s="692" t="n"/>
      <c r="D622" s="692" t="n"/>
      <c r="E622" s="692" t="n"/>
      <c r="F622" s="692" t="n"/>
      <c r="G622" s="692" t="n"/>
      <c r="H622" s="692" t="n"/>
      <c r="I622" s="692" t="n"/>
      <c r="J622" s="692" t="n"/>
      <c r="K622" s="692" t="n"/>
      <c r="L622" s="692" t="n"/>
      <c r="M622" s="692" t="n"/>
      <c r="N622" s="692" t="n"/>
      <c r="O622" s="692" t="n"/>
      <c r="P622" s="692" t="n"/>
      <c r="Q622" s="692" t="n"/>
      <c r="R622" s="692" t="n"/>
      <c r="S622" s="692" t="n"/>
      <c r="T622" s="692" t="n"/>
      <c r="U622" s="692" t="n"/>
      <c r="V622" s="692" t="n"/>
      <c r="W622" s="692" t="n"/>
    </row>
    <row r="623">
      <c r="A623" s="692" t="n"/>
      <c r="B623" s="692" t="n"/>
      <c r="C623" s="692" t="n"/>
      <c r="D623" s="692" t="n"/>
      <c r="E623" s="692" t="n"/>
      <c r="F623" s="692" t="n"/>
      <c r="G623" s="692" t="n"/>
      <c r="H623" s="692" t="n"/>
      <c r="I623" s="692" t="n"/>
      <c r="J623" s="692" t="n"/>
      <c r="K623" s="692" t="n"/>
      <c r="L623" s="692" t="n"/>
      <c r="M623" s="692" t="n"/>
      <c r="N623" s="692" t="n"/>
      <c r="O623" s="692" t="n"/>
      <c r="P623" s="692" t="n"/>
      <c r="Q623" s="692" t="n"/>
      <c r="R623" s="692" t="n"/>
      <c r="S623" s="692" t="n"/>
      <c r="T623" s="692" t="n"/>
      <c r="U623" s="692" t="n"/>
      <c r="V623" s="692" t="n"/>
      <c r="W623" s="692" t="n"/>
    </row>
    <row r="624">
      <c r="A624" s="692" t="n"/>
      <c r="B624" s="692" t="n"/>
      <c r="C624" s="692" t="n"/>
      <c r="D624" s="692" t="n"/>
      <c r="E624" s="692" t="n"/>
      <c r="F624" s="692" t="n"/>
      <c r="G624" s="692" t="n"/>
      <c r="H624" s="692" t="n"/>
      <c r="I624" s="692" t="n"/>
      <c r="J624" s="692" t="n"/>
      <c r="K624" s="692" t="n"/>
      <c r="L624" s="692" t="n"/>
      <c r="M624" s="692" t="n"/>
      <c r="N624" s="692" t="n"/>
      <c r="O624" s="692" t="n"/>
      <c r="P624" s="692" t="n"/>
      <c r="Q624" s="692" t="n"/>
      <c r="R624" s="692" t="n"/>
      <c r="S624" s="692" t="n"/>
      <c r="T624" s="692" t="n"/>
      <c r="U624" s="692" t="n"/>
      <c r="V624" s="692" t="n"/>
      <c r="W624" s="692" t="n"/>
    </row>
    <row r="625">
      <c r="A625" s="692" t="n"/>
      <c r="B625" s="692" t="n"/>
      <c r="C625" s="692" t="n"/>
      <c r="D625" s="692" t="n"/>
      <c r="E625" s="692" t="n"/>
      <c r="F625" s="692" t="n"/>
      <c r="G625" s="692" t="n"/>
      <c r="H625" s="692" t="n"/>
      <c r="I625" s="692" t="n"/>
      <c r="J625" s="692" t="n"/>
      <c r="K625" s="692" t="n"/>
      <c r="L625" s="692" t="n"/>
      <c r="M625" s="692" t="n"/>
      <c r="N625" s="692" t="n"/>
      <c r="O625" s="692" t="n"/>
      <c r="P625" s="692" t="n"/>
      <c r="Q625" s="692" t="n"/>
      <c r="R625" s="692" t="n"/>
      <c r="S625" s="692" t="n"/>
      <c r="T625" s="692" t="n"/>
      <c r="U625" s="692" t="n"/>
      <c r="V625" s="692" t="n"/>
      <c r="W625" s="692" t="n"/>
    </row>
    <row r="626">
      <c r="A626" s="692" t="n"/>
      <c r="B626" s="692" t="n"/>
      <c r="C626" s="692" t="n"/>
      <c r="D626" s="692" t="n"/>
      <c r="E626" s="692" t="n"/>
      <c r="F626" s="692" t="n"/>
      <c r="G626" s="692" t="n"/>
      <c r="H626" s="692" t="n"/>
      <c r="I626" s="692" t="n"/>
      <c r="J626" s="692" t="n"/>
      <c r="K626" s="692" t="n"/>
      <c r="L626" s="692" t="n"/>
      <c r="M626" s="692" t="n"/>
      <c r="N626" s="692" t="n"/>
      <c r="O626" s="692" t="n"/>
      <c r="P626" s="692" t="n"/>
      <c r="Q626" s="692" t="n"/>
      <c r="R626" s="692" t="n"/>
      <c r="S626" s="692" t="n"/>
      <c r="T626" s="692" t="n"/>
      <c r="U626" s="692" t="n"/>
      <c r="V626" s="692" t="n"/>
      <c r="W626" s="692" t="n"/>
    </row>
    <row r="627">
      <c r="A627" s="692" t="n"/>
      <c r="B627" s="692" t="n"/>
      <c r="C627" s="692" t="n"/>
      <c r="D627" s="692" t="n"/>
      <c r="E627" s="692" t="n"/>
      <c r="F627" s="692" t="n"/>
      <c r="G627" s="692" t="n"/>
      <c r="H627" s="692" t="n"/>
      <c r="I627" s="692" t="n"/>
      <c r="J627" s="692" t="n"/>
      <c r="K627" s="692" t="n"/>
      <c r="L627" s="692" t="n"/>
      <c r="M627" s="692" t="n"/>
      <c r="N627" s="692" t="n"/>
      <c r="O627" s="692" t="n"/>
      <c r="P627" s="692" t="n"/>
      <c r="Q627" s="692" t="n"/>
      <c r="R627" s="692" t="n"/>
      <c r="S627" s="692" t="n"/>
      <c r="T627" s="692" t="n"/>
      <c r="U627" s="692" t="n"/>
      <c r="V627" s="692" t="n"/>
      <c r="W627" s="692" t="n"/>
    </row>
    <row r="628">
      <c r="A628" s="692" t="n"/>
      <c r="B628" s="692" t="n"/>
      <c r="C628" s="692" t="n"/>
      <c r="D628" s="692" t="n"/>
      <c r="E628" s="692" t="n"/>
      <c r="F628" s="692" t="n"/>
      <c r="G628" s="692" t="n"/>
      <c r="H628" s="692" t="n"/>
      <c r="I628" s="692" t="n"/>
      <c r="J628" s="692" t="n"/>
      <c r="K628" s="692" t="n"/>
      <c r="L628" s="692" t="n"/>
      <c r="M628" s="692" t="n"/>
      <c r="N628" s="692" t="n"/>
      <c r="O628" s="692" t="n"/>
      <c r="P628" s="692" t="n"/>
      <c r="Q628" s="692" t="n"/>
      <c r="R628" s="692" t="n"/>
      <c r="S628" s="692" t="n"/>
      <c r="T628" s="692" t="n"/>
      <c r="U628" s="692" t="n"/>
      <c r="V628" s="692" t="n"/>
      <c r="W628" s="692" t="n"/>
    </row>
    <row r="629">
      <c r="A629" s="692" t="n"/>
      <c r="B629" s="692" t="n"/>
      <c r="C629" s="692" t="n"/>
      <c r="D629" s="692" t="n"/>
      <c r="E629" s="692" t="n"/>
      <c r="F629" s="692" t="n"/>
      <c r="G629" s="692" t="n"/>
      <c r="H629" s="692" t="n"/>
      <c r="I629" s="692" t="n"/>
      <c r="J629" s="692" t="n"/>
      <c r="K629" s="692" t="n"/>
      <c r="L629" s="692" t="n"/>
      <c r="M629" s="692" t="n"/>
      <c r="N629" s="692" t="n"/>
      <c r="O629" s="692" t="n"/>
      <c r="P629" s="692" t="n"/>
      <c r="Q629" s="692" t="n"/>
      <c r="R629" s="692" t="n"/>
      <c r="S629" s="692" t="n"/>
      <c r="T629" s="692" t="n"/>
      <c r="U629" s="692" t="n"/>
      <c r="V629" s="692" t="n"/>
      <c r="W629" s="692" t="n"/>
    </row>
    <row r="630">
      <c r="A630" s="692" t="n"/>
      <c r="B630" s="692" t="n"/>
      <c r="C630" s="692" t="n"/>
      <c r="D630" s="692" t="n"/>
      <c r="E630" s="692" t="n"/>
      <c r="F630" s="692" t="n"/>
      <c r="G630" s="692" t="n"/>
      <c r="H630" s="692" t="n"/>
      <c r="I630" s="692" t="n"/>
      <c r="J630" s="692" t="n"/>
      <c r="K630" s="692" t="n"/>
      <c r="L630" s="692" t="n"/>
      <c r="M630" s="692" t="n"/>
      <c r="N630" s="692" t="n"/>
      <c r="O630" s="692" t="n"/>
      <c r="P630" s="692" t="n"/>
      <c r="Q630" s="692" t="n"/>
      <c r="R630" s="692" t="n"/>
      <c r="S630" s="692" t="n"/>
      <c r="T630" s="692" t="n"/>
      <c r="U630" s="692" t="n"/>
      <c r="V630" s="692" t="n"/>
      <c r="W630" s="692" t="n"/>
    </row>
    <row r="631">
      <c r="A631" s="692" t="n"/>
      <c r="B631" s="692" t="n"/>
      <c r="C631" s="692" t="n"/>
      <c r="D631" s="692" t="n"/>
      <c r="E631" s="692" t="n"/>
      <c r="F631" s="692" t="n"/>
      <c r="G631" s="692" t="n"/>
      <c r="H631" s="692" t="n"/>
      <c r="I631" s="692" t="n"/>
      <c r="J631" s="692" t="n"/>
      <c r="K631" s="692" t="n"/>
      <c r="L631" s="692" t="n"/>
      <c r="M631" s="692" t="n"/>
      <c r="N631" s="692" t="n"/>
      <c r="O631" s="692" t="n"/>
      <c r="P631" s="692" t="n"/>
      <c r="Q631" s="692" t="n"/>
      <c r="R631" s="692" t="n"/>
      <c r="S631" s="692" t="n"/>
      <c r="T631" s="692" t="n"/>
      <c r="U631" s="692" t="n"/>
      <c r="V631" s="692" t="n"/>
      <c r="W631" s="692" t="n"/>
    </row>
    <row r="632">
      <c r="A632" s="692" t="n"/>
      <c r="B632" s="692" t="n"/>
      <c r="C632" s="692" t="n"/>
      <c r="D632" s="692" t="n"/>
      <c r="E632" s="692" t="n"/>
      <c r="F632" s="692" t="n"/>
      <c r="G632" s="692" t="n"/>
      <c r="H632" s="692" t="n"/>
      <c r="I632" s="692" t="n"/>
      <c r="J632" s="692" t="n"/>
      <c r="K632" s="692" t="n"/>
      <c r="L632" s="692" t="n"/>
      <c r="M632" s="692" t="n"/>
      <c r="N632" s="692" t="n"/>
      <c r="O632" s="692" t="n"/>
      <c r="P632" s="692" t="n"/>
      <c r="Q632" s="692" t="n"/>
      <c r="R632" s="692" t="n"/>
      <c r="S632" s="692" t="n"/>
      <c r="T632" s="692" t="n"/>
      <c r="U632" s="692" t="n"/>
      <c r="V632" s="692" t="n"/>
      <c r="W632" s="692" t="n"/>
    </row>
    <row r="633">
      <c r="A633" s="692" t="n"/>
      <c r="B633" s="692" t="n"/>
      <c r="C633" s="692" t="n"/>
      <c r="D633" s="692" t="n"/>
      <c r="E633" s="692" t="n"/>
      <c r="F633" s="692" t="n"/>
      <c r="G633" s="692" t="n"/>
      <c r="H633" s="692" t="n"/>
      <c r="I633" s="692" t="n"/>
      <c r="J633" s="692" t="n"/>
      <c r="K633" s="692" t="n"/>
      <c r="L633" s="692" t="n"/>
      <c r="M633" s="692" t="n"/>
      <c r="N633" s="692" t="n"/>
      <c r="O633" s="692" t="n"/>
      <c r="P633" s="692" t="n"/>
      <c r="Q633" s="692" t="n"/>
      <c r="R633" s="692" t="n"/>
      <c r="S633" s="692" t="n"/>
      <c r="T633" s="692" t="n"/>
      <c r="U633" s="692" t="n"/>
      <c r="V633" s="692" t="n"/>
      <c r="W633" s="692" t="n"/>
    </row>
    <row r="634">
      <c r="A634" s="692" t="n"/>
      <c r="B634" s="692" t="n"/>
      <c r="C634" s="692" t="n"/>
      <c r="D634" s="692" t="n"/>
      <c r="E634" s="692" t="n"/>
      <c r="F634" s="692" t="n"/>
      <c r="G634" s="692" t="n"/>
      <c r="H634" s="692" t="n"/>
      <c r="I634" s="692" t="n"/>
      <c r="J634" s="692" t="n"/>
      <c r="K634" s="692" t="n"/>
      <c r="L634" s="692" t="n"/>
      <c r="M634" s="692" t="n"/>
      <c r="N634" s="692" t="n"/>
      <c r="O634" s="692" t="n"/>
      <c r="P634" s="692" t="n"/>
      <c r="Q634" s="692" t="n"/>
      <c r="R634" s="692" t="n"/>
      <c r="S634" s="692" t="n"/>
      <c r="T634" s="692" t="n"/>
      <c r="U634" s="692" t="n"/>
      <c r="V634" s="692" t="n"/>
      <c r="W634" s="692" t="n"/>
    </row>
    <row r="635">
      <c r="A635" s="692" t="n"/>
      <c r="B635" s="692" t="n"/>
      <c r="C635" s="692" t="n"/>
      <c r="D635" s="692" t="n"/>
      <c r="E635" s="692" t="n"/>
      <c r="F635" s="692" t="n"/>
      <c r="G635" s="692" t="n"/>
      <c r="H635" s="692" t="n"/>
      <c r="I635" s="692" t="n"/>
      <c r="J635" s="692" t="n"/>
      <c r="K635" s="692" t="n"/>
      <c r="L635" s="692" t="n"/>
      <c r="M635" s="692" t="n"/>
      <c r="N635" s="692" t="n"/>
      <c r="O635" s="692" t="n"/>
      <c r="P635" s="692" t="n"/>
      <c r="Q635" s="692" t="n"/>
      <c r="R635" s="692" t="n"/>
      <c r="S635" s="692" t="n"/>
      <c r="T635" s="692" t="n"/>
      <c r="U635" s="692" t="n"/>
      <c r="V635" s="692" t="n"/>
      <c r="W635" s="692" t="n"/>
    </row>
    <row r="636">
      <c r="A636" s="692" t="n"/>
      <c r="B636" s="692" t="n"/>
      <c r="C636" s="692" t="n"/>
      <c r="D636" s="692" t="n"/>
      <c r="E636" s="692" t="n"/>
      <c r="F636" s="692" t="n"/>
      <c r="G636" s="692" t="n"/>
      <c r="H636" s="692" t="n"/>
      <c r="I636" s="692" t="n"/>
      <c r="J636" s="692" t="n"/>
      <c r="K636" s="692" t="n"/>
      <c r="L636" s="692" t="n"/>
      <c r="M636" s="692" t="n"/>
      <c r="N636" s="692" t="n"/>
      <c r="O636" s="692" t="n"/>
      <c r="P636" s="692" t="n"/>
      <c r="Q636" s="692" t="n"/>
      <c r="R636" s="692" t="n"/>
      <c r="S636" s="692" t="n"/>
      <c r="T636" s="692" t="n"/>
      <c r="U636" s="692" t="n"/>
      <c r="V636" s="692" t="n"/>
      <c r="W636" s="692" t="n"/>
    </row>
    <row r="637">
      <c r="A637" s="692" t="n"/>
      <c r="B637" s="692" t="n"/>
      <c r="C637" s="692" t="n"/>
      <c r="D637" s="692" t="n"/>
      <c r="E637" s="692" t="n"/>
      <c r="F637" s="692" t="n"/>
      <c r="G637" s="692" t="n"/>
      <c r="H637" s="692" t="n"/>
      <c r="I637" s="692" t="n"/>
      <c r="J637" s="692" t="n"/>
      <c r="K637" s="692" t="n"/>
      <c r="L637" s="692" t="n"/>
      <c r="M637" s="692" t="n"/>
      <c r="N637" s="692" t="n"/>
      <c r="O637" s="692" t="n"/>
      <c r="P637" s="692" t="n"/>
      <c r="Q637" s="692" t="n"/>
      <c r="R637" s="692" t="n"/>
      <c r="S637" s="692" t="n"/>
      <c r="T637" s="692" t="n"/>
      <c r="U637" s="692" t="n"/>
      <c r="V637" s="692" t="n"/>
      <c r="W637" s="692" t="n"/>
    </row>
    <row r="638">
      <c r="A638" s="692" t="n"/>
      <c r="B638" s="692" t="n"/>
      <c r="C638" s="692" t="n"/>
      <c r="D638" s="692" t="n"/>
      <c r="E638" s="692" t="n"/>
      <c r="F638" s="692" t="n"/>
      <c r="G638" s="692" t="n"/>
      <c r="H638" s="692" t="n"/>
      <c r="I638" s="692" t="n"/>
      <c r="J638" s="692" t="n"/>
      <c r="K638" s="692" t="n"/>
      <c r="L638" s="692" t="n"/>
      <c r="M638" s="692" t="n"/>
      <c r="N638" s="692" t="n"/>
      <c r="O638" s="692" t="n"/>
      <c r="P638" s="692" t="n"/>
      <c r="Q638" s="692" t="n"/>
      <c r="R638" s="692" t="n"/>
      <c r="S638" s="692" t="n"/>
      <c r="T638" s="692" t="n"/>
      <c r="U638" s="692" t="n"/>
      <c r="V638" s="692" t="n"/>
      <c r="W638" s="692" t="n"/>
    </row>
    <row r="639">
      <c r="A639" s="692" t="n"/>
      <c r="B639" s="692" t="n"/>
      <c r="C639" s="692" t="n"/>
      <c r="D639" s="692" t="n"/>
      <c r="E639" s="692" t="n"/>
      <c r="F639" s="692" t="n"/>
      <c r="G639" s="692" t="n"/>
      <c r="H639" s="692" t="n"/>
      <c r="I639" s="692" t="n"/>
      <c r="J639" s="692" t="n"/>
      <c r="K639" s="692" t="n"/>
      <c r="L639" s="692" t="n"/>
      <c r="M639" s="692" t="n"/>
      <c r="N639" s="692" t="n"/>
      <c r="O639" s="692" t="n"/>
      <c r="P639" s="692" t="n"/>
      <c r="Q639" s="692" t="n"/>
      <c r="R639" s="692" t="n"/>
      <c r="S639" s="692" t="n"/>
      <c r="T639" s="692" t="n"/>
      <c r="U639" s="692" t="n"/>
      <c r="V639" s="692" t="n"/>
      <c r="W639" s="692" t="n"/>
    </row>
    <row r="640">
      <c r="A640" s="692" t="n"/>
      <c r="B640" s="692" t="n"/>
      <c r="C640" s="692" t="n"/>
      <c r="D640" s="692" t="n"/>
      <c r="E640" s="692" t="n"/>
      <c r="F640" s="692" t="n"/>
      <c r="G640" s="692" t="n"/>
      <c r="H640" s="692" t="n"/>
      <c r="I640" s="692" t="n"/>
      <c r="J640" s="692" t="n"/>
      <c r="K640" s="692" t="n"/>
      <c r="L640" s="692" t="n"/>
      <c r="M640" s="692" t="n"/>
      <c r="N640" s="692" t="n"/>
      <c r="O640" s="692" t="n"/>
      <c r="P640" s="692" t="n"/>
      <c r="Q640" s="692" t="n"/>
      <c r="R640" s="692" t="n"/>
      <c r="S640" s="692" t="n"/>
      <c r="T640" s="692" t="n"/>
      <c r="U640" s="692" t="n"/>
      <c r="V640" s="692" t="n"/>
      <c r="W640" s="692" t="n"/>
    </row>
    <row r="641">
      <c r="A641" s="692" t="n"/>
      <c r="B641" s="692" t="n"/>
      <c r="C641" s="692" t="n"/>
      <c r="D641" s="692" t="n"/>
      <c r="E641" s="692" t="n"/>
      <c r="F641" s="692" t="n"/>
      <c r="G641" s="692" t="n"/>
      <c r="H641" s="692" t="n"/>
      <c r="I641" s="692" t="n"/>
      <c r="J641" s="692" t="n"/>
      <c r="K641" s="692" t="n"/>
      <c r="L641" s="692" t="n"/>
      <c r="M641" s="692" t="n"/>
      <c r="N641" s="692" t="n"/>
      <c r="O641" s="692" t="n"/>
      <c r="P641" s="692" t="n"/>
      <c r="Q641" s="692" t="n"/>
      <c r="R641" s="692" t="n"/>
      <c r="S641" s="692" t="n"/>
      <c r="T641" s="692" t="n"/>
      <c r="U641" s="692" t="n"/>
      <c r="V641" s="692" t="n"/>
      <c r="W641" s="692" t="n"/>
    </row>
    <row r="642">
      <c r="A642" s="692" t="n"/>
      <c r="B642" s="692" t="n"/>
      <c r="C642" s="692" t="n"/>
      <c r="D642" s="692" t="n"/>
      <c r="E642" s="692" t="n"/>
      <c r="F642" s="692" t="n"/>
      <c r="G642" s="692" t="n"/>
      <c r="H642" s="692" t="n"/>
      <c r="I642" s="692" t="n"/>
      <c r="J642" s="692" t="n"/>
      <c r="K642" s="692" t="n"/>
      <c r="L642" s="692" t="n"/>
      <c r="M642" s="692" t="n"/>
      <c r="N642" s="692" t="n"/>
      <c r="O642" s="692" t="n"/>
      <c r="P642" s="692" t="n"/>
      <c r="Q642" s="692" t="n"/>
      <c r="R642" s="692" t="n"/>
      <c r="S642" s="692" t="n"/>
      <c r="T642" s="692" t="n"/>
      <c r="U642" s="692" t="n"/>
      <c r="V642" s="692" t="n"/>
      <c r="W642" s="692" t="n"/>
    </row>
    <row r="643">
      <c r="A643" s="692" t="n"/>
      <c r="B643" s="692" t="n"/>
      <c r="C643" s="692" t="n"/>
      <c r="D643" s="692" t="n"/>
      <c r="E643" s="692" t="n"/>
      <c r="F643" s="692" t="n"/>
      <c r="G643" s="692" t="n"/>
      <c r="H643" s="692" t="n"/>
      <c r="I643" s="692" t="n"/>
      <c r="J643" s="692" t="n"/>
      <c r="K643" s="692" t="n"/>
      <c r="L643" s="692" t="n"/>
      <c r="M643" s="692" t="n"/>
      <c r="N643" s="692" t="n"/>
      <c r="O643" s="692" t="n"/>
      <c r="P643" s="692" t="n"/>
      <c r="Q643" s="692" t="n"/>
      <c r="R643" s="692" t="n"/>
      <c r="S643" s="692" t="n"/>
      <c r="T643" s="692" t="n"/>
      <c r="U643" s="692" t="n"/>
      <c r="V643" s="692" t="n"/>
      <c r="W643" s="692" t="n"/>
    </row>
    <row r="644">
      <c r="A644" s="692" t="n"/>
      <c r="B644" s="692" t="n"/>
      <c r="C644" s="692" t="n"/>
      <c r="D644" s="692" t="n"/>
      <c r="E644" s="692" t="n"/>
      <c r="F644" s="692" t="n"/>
      <c r="G644" s="692" t="n"/>
      <c r="H644" s="692" t="n"/>
      <c r="I644" s="692" t="n"/>
      <c r="J644" s="692" t="n"/>
      <c r="K644" s="692" t="n"/>
      <c r="L644" s="692" t="n"/>
      <c r="M644" s="692" t="n"/>
      <c r="N644" s="692" t="n"/>
      <c r="O644" s="692" t="n"/>
      <c r="P644" s="692" t="n"/>
      <c r="Q644" s="692" t="n"/>
      <c r="R644" s="692" t="n"/>
      <c r="S644" s="692" t="n"/>
      <c r="T644" s="692" t="n"/>
      <c r="U644" s="692" t="n"/>
      <c r="V644" s="692" t="n"/>
      <c r="W644" s="692" t="n"/>
    </row>
    <row r="645">
      <c r="A645" s="692" t="n"/>
      <c r="B645" s="692" t="n"/>
      <c r="C645" s="692" t="n"/>
      <c r="D645" s="692" t="n"/>
      <c r="E645" s="692" t="n"/>
      <c r="F645" s="692" t="n"/>
      <c r="G645" s="692" t="n"/>
      <c r="H645" s="692" t="n"/>
      <c r="I645" s="692" t="n"/>
      <c r="J645" s="692" t="n"/>
      <c r="K645" s="692" t="n"/>
      <c r="L645" s="692" t="n"/>
      <c r="M645" s="692" t="n"/>
      <c r="N645" s="692" t="n"/>
      <c r="O645" s="692" t="n"/>
      <c r="P645" s="692" t="n"/>
      <c r="Q645" s="692" t="n"/>
      <c r="R645" s="692" t="n"/>
      <c r="S645" s="692" t="n"/>
      <c r="T645" s="692" t="n"/>
      <c r="U645" s="692" t="n"/>
      <c r="V645" s="692" t="n"/>
      <c r="W645" s="692" t="n"/>
    </row>
    <row r="646">
      <c r="A646" s="692" t="n"/>
      <c r="B646" s="692" t="n"/>
      <c r="C646" s="692" t="n"/>
      <c r="D646" s="692" t="n"/>
      <c r="E646" s="692" t="n"/>
      <c r="F646" s="692" t="n"/>
      <c r="G646" s="692" t="n"/>
      <c r="H646" s="692" t="n"/>
      <c r="I646" s="692" t="n"/>
      <c r="J646" s="692" t="n"/>
      <c r="K646" s="692" t="n"/>
      <c r="L646" s="692" t="n"/>
      <c r="M646" s="692" t="n"/>
      <c r="N646" s="692" t="n"/>
      <c r="O646" s="692" t="n"/>
      <c r="P646" s="692" t="n"/>
      <c r="Q646" s="692" t="n"/>
      <c r="R646" s="692" t="n"/>
      <c r="S646" s="692" t="n"/>
      <c r="T646" s="692" t="n"/>
      <c r="U646" s="692" t="n"/>
      <c r="V646" s="692" t="n"/>
      <c r="W646" s="692" t="n"/>
    </row>
    <row r="647">
      <c r="A647" s="692" t="n"/>
      <c r="B647" s="692" t="n"/>
      <c r="C647" s="692" t="n"/>
      <c r="D647" s="692" t="n"/>
      <c r="E647" s="692" t="n"/>
      <c r="F647" s="692" t="n"/>
      <c r="G647" s="692" t="n"/>
      <c r="H647" s="692" t="n"/>
      <c r="I647" s="692" t="n"/>
      <c r="J647" s="692" t="n"/>
      <c r="K647" s="692" t="n"/>
      <c r="L647" s="692" t="n"/>
      <c r="M647" s="692" t="n"/>
      <c r="N647" s="692" t="n"/>
      <c r="O647" s="692" t="n"/>
      <c r="P647" s="692" t="n"/>
      <c r="Q647" s="692" t="n"/>
      <c r="R647" s="692" t="n"/>
      <c r="S647" s="692" t="n"/>
      <c r="T647" s="692" t="n"/>
      <c r="U647" s="692" t="n"/>
      <c r="V647" s="692" t="n"/>
      <c r="W647" s="692" t="n"/>
    </row>
    <row r="648">
      <c r="A648" s="692" t="n"/>
      <c r="B648" s="692" t="n"/>
      <c r="C648" s="692" t="n"/>
      <c r="D648" s="692" t="n"/>
      <c r="E648" s="692" t="n"/>
      <c r="F648" s="692" t="n"/>
      <c r="G648" s="692" t="n"/>
      <c r="H648" s="692" t="n"/>
      <c r="I648" s="692" t="n"/>
      <c r="J648" s="692" t="n"/>
      <c r="K648" s="692" t="n"/>
      <c r="L648" s="692" t="n"/>
      <c r="M648" s="692" t="n"/>
      <c r="N648" s="692" t="n"/>
      <c r="O648" s="692" t="n"/>
      <c r="P648" s="692" t="n"/>
      <c r="Q648" s="692" t="n"/>
      <c r="R648" s="692" t="n"/>
      <c r="S648" s="692" t="n"/>
      <c r="T648" s="692" t="n"/>
      <c r="U648" s="692" t="n"/>
      <c r="V648" s="692" t="n"/>
      <c r="W648" s="692" t="n"/>
    </row>
    <row r="649">
      <c r="A649" s="692" t="n"/>
      <c r="B649" s="692" t="n"/>
      <c r="C649" s="692" t="n"/>
      <c r="D649" s="692" t="n"/>
      <c r="E649" s="692" t="n"/>
      <c r="F649" s="692" t="n"/>
      <c r="G649" s="692" t="n"/>
      <c r="H649" s="692" t="n"/>
      <c r="I649" s="692" t="n"/>
      <c r="J649" s="692" t="n"/>
      <c r="K649" s="692" t="n"/>
      <c r="L649" s="692" t="n"/>
      <c r="M649" s="692" t="n"/>
      <c r="N649" s="692" t="n"/>
      <c r="O649" s="692" t="n"/>
      <c r="P649" s="692" t="n"/>
      <c r="Q649" s="692" t="n"/>
      <c r="R649" s="692" t="n"/>
      <c r="S649" s="692" t="n"/>
      <c r="T649" s="692" t="n"/>
      <c r="U649" s="692" t="n"/>
      <c r="V649" s="692" t="n"/>
      <c r="W649" s="692" t="n"/>
    </row>
    <row r="650">
      <c r="A650" s="692" t="n"/>
      <c r="B650" s="692" t="n"/>
      <c r="C650" s="692" t="n"/>
      <c r="D650" s="692" t="n"/>
      <c r="E650" s="692" t="n"/>
      <c r="F650" s="692" t="n"/>
      <c r="G650" s="692" t="n"/>
      <c r="H650" s="692" t="n"/>
      <c r="I650" s="692" t="n"/>
      <c r="J650" s="692" t="n"/>
      <c r="K650" s="692" t="n"/>
      <c r="L650" s="692" t="n"/>
      <c r="M650" s="692" t="n"/>
      <c r="N650" s="692" t="n"/>
      <c r="O650" s="692" t="n"/>
      <c r="P650" s="692" t="n"/>
      <c r="Q650" s="692" t="n"/>
      <c r="R650" s="692" t="n"/>
      <c r="S650" s="692" t="n"/>
      <c r="T650" s="692" t="n"/>
      <c r="U650" s="692" t="n"/>
      <c r="V650" s="692" t="n"/>
      <c r="W650" s="692" t="n"/>
    </row>
    <row r="651">
      <c r="A651" s="692" t="n"/>
      <c r="B651" s="692" t="n"/>
      <c r="C651" s="692" t="n"/>
      <c r="D651" s="692" t="n"/>
      <c r="E651" s="692" t="n"/>
      <c r="F651" s="692" t="n"/>
      <c r="G651" s="692" t="n"/>
      <c r="H651" s="692" t="n"/>
      <c r="I651" s="692" t="n"/>
      <c r="J651" s="692" t="n"/>
      <c r="K651" s="692" t="n"/>
      <c r="L651" s="692" t="n"/>
      <c r="M651" s="692" t="n"/>
      <c r="N651" s="692" t="n"/>
      <c r="O651" s="692" t="n"/>
      <c r="P651" s="692" t="n"/>
      <c r="Q651" s="692" t="n"/>
      <c r="R651" s="692" t="n"/>
      <c r="S651" s="692" t="n"/>
      <c r="T651" s="692" t="n"/>
      <c r="U651" s="692" t="n"/>
      <c r="V651" s="692" t="n"/>
      <c r="W651" s="692" t="n"/>
    </row>
    <row r="652">
      <c r="A652" s="692" t="n"/>
      <c r="B652" s="692" t="n"/>
      <c r="C652" s="692" t="n"/>
      <c r="D652" s="692" t="n"/>
      <c r="E652" s="692" t="n"/>
      <c r="F652" s="692" t="n"/>
      <c r="G652" s="692" t="n"/>
      <c r="H652" s="692" t="n"/>
      <c r="I652" s="692" t="n"/>
      <c r="J652" s="692" t="n"/>
      <c r="K652" s="692" t="n"/>
      <c r="L652" s="692" t="n"/>
      <c r="M652" s="692" t="n"/>
      <c r="N652" s="692" t="n"/>
      <c r="O652" s="692" t="n"/>
      <c r="P652" s="692" t="n"/>
      <c r="Q652" s="692" t="n"/>
      <c r="R652" s="692" t="n"/>
      <c r="S652" s="692" t="n"/>
      <c r="T652" s="692" t="n"/>
      <c r="U652" s="692" t="n"/>
      <c r="V652" s="692" t="n"/>
      <c r="W652" s="692" t="n"/>
    </row>
    <row r="653">
      <c r="A653" s="692" t="n"/>
      <c r="B653" s="692" t="n"/>
      <c r="C653" s="692" t="n"/>
      <c r="D653" s="692" t="n"/>
      <c r="E653" s="692" t="n"/>
      <c r="F653" s="692" t="n"/>
      <c r="G653" s="692" t="n"/>
      <c r="H653" s="692" t="n"/>
      <c r="I653" s="692" t="n"/>
      <c r="J653" s="692" t="n"/>
      <c r="K653" s="692" t="n"/>
      <c r="L653" s="692" t="n"/>
      <c r="M653" s="692" t="n"/>
      <c r="N653" s="692" t="n"/>
      <c r="O653" s="692" t="n"/>
      <c r="P653" s="692" t="n"/>
      <c r="Q653" s="692" t="n"/>
      <c r="R653" s="692" t="n"/>
      <c r="S653" s="692" t="n"/>
      <c r="T653" s="692" t="n"/>
      <c r="U653" s="692" t="n"/>
      <c r="V653" s="692" t="n"/>
      <c r="W653" s="692" t="n"/>
    </row>
    <row r="654">
      <c r="A654" s="692" t="n"/>
      <c r="B654" s="692" t="n"/>
      <c r="C654" s="692" t="n"/>
      <c r="D654" s="692" t="n"/>
      <c r="E654" s="692" t="n"/>
      <c r="F654" s="692" t="n"/>
      <c r="G654" s="692" t="n"/>
      <c r="H654" s="692" t="n"/>
      <c r="I654" s="692" t="n"/>
      <c r="J654" s="692" t="n"/>
      <c r="K654" s="692" t="n"/>
      <c r="L654" s="692" t="n"/>
      <c r="M654" s="692" t="n"/>
      <c r="N654" s="692" t="n"/>
      <c r="O654" s="692" t="n"/>
      <c r="P654" s="692" t="n"/>
      <c r="Q654" s="692" t="n"/>
      <c r="R654" s="692" t="n"/>
      <c r="S654" s="692" t="n"/>
      <c r="T654" s="692" t="n"/>
      <c r="U654" s="692" t="n"/>
      <c r="V654" s="692" t="n"/>
      <c r="W654" s="692" t="n"/>
    </row>
    <row r="655">
      <c r="A655" s="692" t="n"/>
      <c r="B655" s="692" t="n"/>
      <c r="C655" s="692" t="n"/>
      <c r="D655" s="692" t="n"/>
      <c r="E655" s="692" t="n"/>
      <c r="F655" s="692" t="n"/>
      <c r="G655" s="692" t="n"/>
      <c r="H655" s="692" t="n"/>
      <c r="I655" s="692" t="n"/>
      <c r="J655" s="692" t="n"/>
      <c r="K655" s="692" t="n"/>
      <c r="L655" s="692" t="n"/>
      <c r="M655" s="692" t="n"/>
      <c r="N655" s="692" t="n"/>
      <c r="O655" s="692" t="n"/>
      <c r="P655" s="692" t="n"/>
      <c r="Q655" s="692" t="n"/>
      <c r="R655" s="692" t="n"/>
      <c r="S655" s="692" t="n"/>
      <c r="T655" s="692" t="n"/>
      <c r="U655" s="692" t="n"/>
      <c r="V655" s="692" t="n"/>
      <c r="W655" s="692" t="n"/>
    </row>
    <row r="656">
      <c r="A656" s="692" t="n"/>
      <c r="B656" s="692" t="n"/>
      <c r="C656" s="692" t="n"/>
      <c r="D656" s="692" t="n"/>
      <c r="E656" s="692" t="n"/>
      <c r="F656" s="692" t="n"/>
      <c r="G656" s="692" t="n"/>
      <c r="H656" s="692" t="n"/>
      <c r="I656" s="692" t="n"/>
      <c r="J656" s="692" t="n"/>
      <c r="K656" s="692" t="n"/>
      <c r="L656" s="692" t="n"/>
      <c r="M656" s="692" t="n"/>
      <c r="N656" s="692" t="n"/>
      <c r="O656" s="692" t="n"/>
      <c r="P656" s="692" t="n"/>
      <c r="Q656" s="692" t="n"/>
      <c r="R656" s="692" t="n"/>
      <c r="S656" s="692" t="n"/>
      <c r="T656" s="692" t="n"/>
      <c r="U656" s="692" t="n"/>
      <c r="V656" s="692" t="n"/>
      <c r="W656" s="692" t="n"/>
    </row>
    <row r="657">
      <c r="A657" s="692" t="n"/>
      <c r="B657" s="692" t="n"/>
      <c r="C657" s="692" t="n"/>
      <c r="D657" s="692" t="n"/>
      <c r="E657" s="692" t="n"/>
      <c r="F657" s="692" t="n"/>
      <c r="G657" s="692" t="n"/>
      <c r="H657" s="692" t="n"/>
      <c r="I657" s="692" t="n"/>
      <c r="J657" s="692" t="n"/>
      <c r="K657" s="692" t="n"/>
      <c r="L657" s="692" t="n"/>
      <c r="M657" s="692" t="n"/>
      <c r="N657" s="692" t="n"/>
      <c r="O657" s="692" t="n"/>
      <c r="P657" s="692" t="n"/>
      <c r="Q657" s="692" t="n"/>
      <c r="R657" s="692" t="n"/>
      <c r="S657" s="692" t="n"/>
      <c r="T657" s="692" t="n"/>
      <c r="U657" s="692" t="n"/>
      <c r="V657" s="692" t="n"/>
      <c r="W657" s="692" t="n"/>
    </row>
    <row r="658">
      <c r="A658" s="692" t="n"/>
      <c r="B658" s="692" t="n"/>
      <c r="C658" s="692" t="n"/>
      <c r="D658" s="692" t="n"/>
      <c r="E658" s="692" t="n"/>
      <c r="F658" s="692" t="n"/>
      <c r="G658" s="692" t="n"/>
      <c r="H658" s="692" t="n"/>
      <c r="I658" s="692" t="n"/>
      <c r="J658" s="692" t="n"/>
      <c r="K658" s="692" t="n"/>
      <c r="L658" s="692" t="n"/>
      <c r="M658" s="692" t="n"/>
      <c r="N658" s="692" t="n"/>
      <c r="O658" s="692" t="n"/>
      <c r="P658" s="692" t="n"/>
      <c r="Q658" s="692" t="n"/>
      <c r="R658" s="692" t="n"/>
      <c r="S658" s="692" t="n"/>
      <c r="T658" s="692" t="n"/>
      <c r="U658" s="692" t="n"/>
      <c r="V658" s="692" t="n"/>
      <c r="W658" s="692" t="n"/>
    </row>
    <row r="659">
      <c r="A659" s="692" t="n"/>
      <c r="B659" s="692" t="n"/>
      <c r="C659" s="692" t="n"/>
      <c r="D659" s="692" t="n"/>
      <c r="E659" s="692" t="n"/>
      <c r="F659" s="692" t="n"/>
      <c r="G659" s="692" t="n"/>
      <c r="H659" s="692" t="n"/>
      <c r="I659" s="692" t="n"/>
      <c r="J659" s="692" t="n"/>
      <c r="K659" s="692" t="n"/>
      <c r="L659" s="692" t="n"/>
      <c r="M659" s="692" t="n"/>
      <c r="N659" s="692" t="n"/>
      <c r="O659" s="692" t="n"/>
      <c r="P659" s="692" t="n"/>
      <c r="Q659" s="692" t="n"/>
      <c r="R659" s="692" t="n"/>
      <c r="S659" s="692" t="n"/>
      <c r="T659" s="692" t="n"/>
      <c r="U659" s="692" t="n"/>
      <c r="V659" s="692" t="n"/>
      <c r="W659" s="692" t="n"/>
    </row>
    <row r="660">
      <c r="A660" s="692" t="n"/>
      <c r="B660" s="692" t="n"/>
      <c r="C660" s="692" t="n"/>
      <c r="D660" s="692" t="n"/>
      <c r="E660" s="692" t="n"/>
      <c r="F660" s="692" t="n"/>
      <c r="G660" s="692" t="n"/>
      <c r="H660" s="692" t="n"/>
      <c r="I660" s="692" t="n"/>
      <c r="J660" s="692" t="n"/>
      <c r="K660" s="692" t="n"/>
      <c r="L660" s="692" t="n"/>
      <c r="M660" s="692" t="n"/>
      <c r="N660" s="692" t="n"/>
      <c r="O660" s="692" t="n"/>
      <c r="P660" s="692" t="n"/>
      <c r="Q660" s="692" t="n"/>
      <c r="R660" s="692" t="n"/>
      <c r="S660" s="692" t="n"/>
      <c r="T660" s="692" t="n"/>
      <c r="U660" s="692" t="n"/>
      <c r="V660" s="692" t="n"/>
      <c r="W660" s="692" t="n"/>
    </row>
    <row r="661">
      <c r="A661" s="692" t="n"/>
      <c r="B661" s="692" t="n"/>
      <c r="C661" s="692" t="n"/>
      <c r="D661" s="692" t="n"/>
      <c r="E661" s="692" t="n"/>
      <c r="F661" s="692" t="n"/>
      <c r="G661" s="692" t="n"/>
      <c r="H661" s="692" t="n"/>
      <c r="I661" s="692" t="n"/>
      <c r="J661" s="692" t="n"/>
      <c r="K661" s="692" t="n"/>
      <c r="L661" s="692" t="n"/>
      <c r="M661" s="692" t="n"/>
      <c r="N661" s="692" t="n"/>
      <c r="O661" s="692" t="n"/>
      <c r="P661" s="692" t="n"/>
      <c r="Q661" s="692" t="n"/>
      <c r="R661" s="692" t="n"/>
      <c r="S661" s="692" t="n"/>
      <c r="T661" s="692" t="n"/>
      <c r="U661" s="692" t="n"/>
      <c r="V661" s="692" t="n"/>
      <c r="W661" s="692" t="n"/>
    </row>
    <row r="662">
      <c r="A662" s="692" t="n"/>
      <c r="B662" s="692" t="n"/>
      <c r="C662" s="692" t="n"/>
      <c r="D662" s="692" t="n"/>
      <c r="E662" s="692" t="n"/>
      <c r="F662" s="692" t="n"/>
      <c r="G662" s="692" t="n"/>
      <c r="H662" s="692" t="n"/>
      <c r="I662" s="692" t="n"/>
      <c r="J662" s="692" t="n"/>
      <c r="K662" s="692" t="n"/>
      <c r="L662" s="692" t="n"/>
      <c r="M662" s="692" t="n"/>
      <c r="N662" s="692" t="n"/>
      <c r="O662" s="692" t="n"/>
      <c r="P662" s="692" t="n"/>
      <c r="Q662" s="692" t="n"/>
      <c r="R662" s="692" t="n"/>
      <c r="S662" s="692" t="n"/>
      <c r="T662" s="692" t="n"/>
      <c r="U662" s="692" t="n"/>
      <c r="V662" s="692" t="n"/>
      <c r="W662" s="692" t="n"/>
    </row>
    <row r="663">
      <c r="A663" s="692" t="n"/>
      <c r="B663" s="692" t="n"/>
      <c r="C663" s="692" t="n"/>
      <c r="D663" s="692" t="n"/>
      <c r="E663" s="692" t="n"/>
      <c r="F663" s="692" t="n"/>
      <c r="G663" s="692" t="n"/>
      <c r="H663" s="692" t="n"/>
      <c r="I663" s="692" t="n"/>
      <c r="J663" s="692" t="n"/>
      <c r="K663" s="692" t="n"/>
      <c r="L663" s="692" t="n"/>
      <c r="M663" s="692" t="n"/>
      <c r="N663" s="692" t="n"/>
      <c r="O663" s="692" t="n"/>
      <c r="P663" s="692" t="n"/>
      <c r="Q663" s="692" t="n"/>
      <c r="R663" s="692" t="n"/>
      <c r="S663" s="692" t="n"/>
      <c r="T663" s="692" t="n"/>
      <c r="U663" s="692" t="n"/>
      <c r="V663" s="692" t="n"/>
      <c r="W663" s="692" t="n"/>
    </row>
    <row r="664">
      <c r="A664" s="692" t="n"/>
      <c r="B664" s="692" t="n"/>
      <c r="C664" s="692" t="n"/>
      <c r="D664" s="692" t="n"/>
      <c r="E664" s="692" t="n"/>
      <c r="F664" s="692" t="n"/>
      <c r="G664" s="692" t="n"/>
      <c r="H664" s="692" t="n"/>
      <c r="I664" s="692" t="n"/>
      <c r="J664" s="692" t="n"/>
      <c r="K664" s="692" t="n"/>
      <c r="L664" s="692" t="n"/>
      <c r="M664" s="692" t="n"/>
      <c r="N664" s="692" t="n"/>
      <c r="O664" s="692" t="n"/>
      <c r="P664" s="692" t="n"/>
      <c r="Q664" s="692" t="n"/>
      <c r="R664" s="692" t="n"/>
      <c r="S664" s="692" t="n"/>
      <c r="T664" s="692" t="n"/>
      <c r="U664" s="692" t="n"/>
      <c r="V664" s="692" t="n"/>
      <c r="W664" s="692" t="n"/>
    </row>
    <row r="665">
      <c r="A665" s="692" t="n"/>
      <c r="B665" s="692" t="n"/>
      <c r="C665" s="692" t="n"/>
      <c r="D665" s="692" t="n"/>
      <c r="E665" s="692" t="n"/>
      <c r="F665" s="692" t="n"/>
      <c r="G665" s="692" t="n"/>
      <c r="H665" s="692" t="n"/>
      <c r="I665" s="692" t="n"/>
      <c r="J665" s="692" t="n"/>
      <c r="K665" s="692" t="n"/>
      <c r="L665" s="692" t="n"/>
      <c r="M665" s="692" t="n"/>
      <c r="N665" s="692" t="n"/>
      <c r="O665" s="692" t="n"/>
      <c r="P665" s="692" t="n"/>
      <c r="Q665" s="692" t="n"/>
      <c r="R665" s="692" t="n"/>
      <c r="S665" s="692" t="n"/>
      <c r="T665" s="692" t="n"/>
      <c r="U665" s="692" t="n"/>
      <c r="V665" s="692" t="n"/>
      <c r="W665" s="692" t="n"/>
    </row>
    <row r="666">
      <c r="A666" s="692" t="n"/>
      <c r="B666" s="692" t="n"/>
      <c r="C666" s="692" t="n"/>
      <c r="D666" s="692" t="n"/>
      <c r="E666" s="692" t="n"/>
      <c r="F666" s="692" t="n"/>
      <c r="G666" s="692" t="n"/>
      <c r="H666" s="692" t="n"/>
      <c r="I666" s="692" t="n"/>
      <c r="J666" s="692" t="n"/>
      <c r="K666" s="692" t="n"/>
      <c r="L666" s="692" t="n"/>
      <c r="M666" s="692" t="n"/>
      <c r="N666" s="692" t="n"/>
      <c r="O666" s="692" t="n"/>
      <c r="P666" s="692" t="n"/>
      <c r="Q666" s="692" t="n"/>
      <c r="R666" s="692" t="n"/>
      <c r="S666" s="692" t="n"/>
      <c r="T666" s="692" t="n"/>
      <c r="U666" s="692" t="n"/>
      <c r="V666" s="692" t="n"/>
      <c r="W666" s="692" t="n"/>
    </row>
    <row r="667">
      <c r="A667" s="692" t="n"/>
      <c r="B667" s="692" t="n"/>
      <c r="C667" s="692" t="n"/>
      <c r="D667" s="692" t="n"/>
      <c r="E667" s="692" t="n"/>
      <c r="F667" s="692" t="n"/>
      <c r="G667" s="692" t="n"/>
      <c r="H667" s="692" t="n"/>
      <c r="I667" s="692" t="n"/>
      <c r="J667" s="692" t="n"/>
      <c r="K667" s="692" t="n"/>
      <c r="L667" s="692" t="n"/>
      <c r="M667" s="692" t="n"/>
      <c r="N667" s="692" t="n"/>
      <c r="O667" s="692" t="n"/>
      <c r="P667" s="692" t="n"/>
      <c r="Q667" s="692" t="n"/>
      <c r="R667" s="692" t="n"/>
      <c r="S667" s="692" t="n"/>
      <c r="T667" s="692" t="n"/>
      <c r="U667" s="692" t="n"/>
      <c r="V667" s="692" t="n"/>
      <c r="W667" s="692" t="n"/>
    </row>
    <row r="668">
      <c r="A668" s="692" t="n"/>
      <c r="B668" s="692" t="n"/>
      <c r="C668" s="692" t="n"/>
      <c r="D668" s="692" t="n"/>
      <c r="E668" s="692" t="n"/>
      <c r="F668" s="692" t="n"/>
      <c r="G668" s="692" t="n"/>
      <c r="H668" s="692" t="n"/>
      <c r="I668" s="692" t="n"/>
      <c r="J668" s="692" t="n"/>
      <c r="K668" s="692" t="n"/>
      <c r="L668" s="692" t="n"/>
      <c r="M668" s="692" t="n"/>
      <c r="N668" s="692" t="n"/>
      <c r="O668" s="692" t="n"/>
      <c r="P668" s="692" t="n"/>
      <c r="Q668" s="692" t="n"/>
      <c r="R668" s="692" t="n"/>
      <c r="S668" s="692" t="n"/>
      <c r="T668" s="692" t="n"/>
      <c r="U668" s="692" t="n"/>
      <c r="V668" s="692" t="n"/>
      <c r="W668" s="692" t="n"/>
    </row>
    <row r="669">
      <c r="A669" s="692" t="n"/>
      <c r="B669" s="692" t="n"/>
      <c r="C669" s="692" t="n"/>
      <c r="D669" s="692" t="n"/>
      <c r="E669" s="692" t="n"/>
      <c r="F669" s="692" t="n"/>
      <c r="G669" s="692" t="n"/>
      <c r="H669" s="692" t="n"/>
      <c r="I669" s="692" t="n"/>
      <c r="J669" s="692" t="n"/>
      <c r="K669" s="692" t="n"/>
      <c r="L669" s="692" t="n"/>
      <c r="M669" s="692" t="n"/>
      <c r="N669" s="692" t="n"/>
      <c r="O669" s="692" t="n"/>
      <c r="P669" s="692" t="n"/>
      <c r="Q669" s="692" t="n"/>
      <c r="R669" s="692" t="n"/>
      <c r="S669" s="692" t="n"/>
      <c r="T669" s="692" t="n"/>
      <c r="U669" s="692" t="n"/>
      <c r="V669" s="692" t="n"/>
      <c r="W669" s="692" t="n"/>
    </row>
    <row r="670">
      <c r="A670" s="692" t="n"/>
      <c r="B670" s="692" t="n"/>
      <c r="C670" s="692" t="n"/>
      <c r="D670" s="692" t="n"/>
      <c r="E670" s="692" t="n"/>
      <c r="F670" s="692" t="n"/>
      <c r="G670" s="692" t="n"/>
      <c r="H670" s="692" t="n"/>
      <c r="I670" s="692" t="n"/>
      <c r="J670" s="692" t="n"/>
      <c r="K670" s="692" t="n"/>
      <c r="L670" s="692" t="n"/>
      <c r="M670" s="692" t="n"/>
      <c r="N670" s="692" t="n"/>
      <c r="O670" s="692" t="n"/>
      <c r="P670" s="692" t="n"/>
      <c r="Q670" s="692" t="n"/>
      <c r="R670" s="692" t="n"/>
      <c r="S670" s="692" t="n"/>
      <c r="T670" s="692" t="n"/>
      <c r="U670" s="692" t="n"/>
      <c r="V670" s="692" t="n"/>
      <c r="W670" s="692" t="n"/>
    </row>
    <row r="671">
      <c r="A671" s="692" t="n"/>
      <c r="B671" s="692" t="n"/>
      <c r="C671" s="692" t="n"/>
      <c r="D671" s="692" t="n"/>
      <c r="E671" s="692" t="n"/>
      <c r="F671" s="692" t="n"/>
      <c r="G671" s="692" t="n"/>
      <c r="H671" s="692" t="n"/>
      <c r="I671" s="692" t="n"/>
      <c r="J671" s="692" t="n"/>
      <c r="K671" s="692" t="n"/>
      <c r="L671" s="692" t="n"/>
      <c r="M671" s="692" t="n"/>
      <c r="N671" s="692" t="n"/>
      <c r="O671" s="692" t="n"/>
      <c r="P671" s="692" t="n"/>
      <c r="Q671" s="692" t="n"/>
      <c r="R671" s="692" t="n"/>
      <c r="S671" s="692" t="n"/>
      <c r="T671" s="692" t="n"/>
      <c r="U671" s="692" t="n"/>
      <c r="V671" s="692" t="n"/>
      <c r="W671" s="692" t="n"/>
    </row>
    <row r="672">
      <c r="A672" s="692" t="n"/>
      <c r="B672" s="692" t="n"/>
      <c r="C672" s="692" t="n"/>
      <c r="D672" s="692" t="n"/>
      <c r="E672" s="692" t="n"/>
      <c r="F672" s="692" t="n"/>
      <c r="G672" s="692" t="n"/>
      <c r="H672" s="692" t="n"/>
      <c r="I672" s="692" t="n"/>
      <c r="J672" s="692" t="n"/>
      <c r="K672" s="692" t="n"/>
      <c r="L672" s="692" t="n"/>
      <c r="M672" s="692" t="n"/>
      <c r="N672" s="692" t="n"/>
      <c r="O672" s="692" t="n"/>
      <c r="P672" s="692" t="n"/>
      <c r="Q672" s="692" t="n"/>
      <c r="R672" s="692" t="n"/>
      <c r="S672" s="692" t="n"/>
      <c r="T672" s="692" t="n"/>
      <c r="U672" s="692" t="n"/>
      <c r="V672" s="692" t="n"/>
      <c r="W672" s="692" t="n"/>
    </row>
    <row r="673">
      <c r="A673" s="692" t="n"/>
      <c r="B673" s="692" t="n"/>
      <c r="C673" s="692" t="n"/>
      <c r="D673" s="692" t="n"/>
      <c r="E673" s="692" t="n"/>
      <c r="F673" s="692" t="n"/>
      <c r="G673" s="692" t="n"/>
      <c r="H673" s="692" t="n"/>
      <c r="I673" s="692" t="n"/>
      <c r="J673" s="692" t="n"/>
      <c r="K673" s="692" t="n"/>
      <c r="L673" s="692" t="n"/>
      <c r="M673" s="692" t="n"/>
      <c r="N673" s="692" t="n"/>
      <c r="O673" s="692" t="n"/>
      <c r="P673" s="692" t="n"/>
      <c r="Q673" s="692" t="n"/>
      <c r="R673" s="692" t="n"/>
      <c r="S673" s="692" t="n"/>
      <c r="T673" s="692" t="n"/>
      <c r="U673" s="692" t="n"/>
      <c r="V673" s="692" t="n"/>
      <c r="W673" s="692" t="n"/>
    </row>
    <row r="674">
      <c r="A674" s="692" t="n"/>
      <c r="B674" s="692" t="n"/>
      <c r="C674" s="692" t="n"/>
      <c r="D674" s="692" t="n"/>
      <c r="E674" s="692" t="n"/>
      <c r="F674" s="692" t="n"/>
      <c r="G674" s="692" t="n"/>
      <c r="H674" s="692" t="n"/>
      <c r="I674" s="692" t="n"/>
      <c r="J674" s="692" t="n"/>
      <c r="K674" s="692" t="n"/>
      <c r="L674" s="692" t="n"/>
      <c r="M674" s="692" t="n"/>
      <c r="N674" s="692" t="n"/>
      <c r="O674" s="692" t="n"/>
      <c r="P674" s="692" t="n"/>
      <c r="Q674" s="692" t="n"/>
      <c r="R674" s="692" t="n"/>
      <c r="S674" s="692" t="n"/>
      <c r="T674" s="692" t="n"/>
      <c r="U674" s="692" t="n"/>
      <c r="V674" s="692" t="n"/>
      <c r="W674" s="692" t="n"/>
    </row>
    <row r="675">
      <c r="A675" s="692" t="n"/>
      <c r="B675" s="692" t="n"/>
      <c r="C675" s="692" t="n"/>
      <c r="D675" s="692" t="n"/>
      <c r="E675" s="692" t="n"/>
      <c r="F675" s="692" t="n"/>
      <c r="G675" s="692" t="n"/>
      <c r="H675" s="692" t="n"/>
      <c r="I675" s="692" t="n"/>
      <c r="J675" s="692" t="n"/>
      <c r="K675" s="692" t="n"/>
      <c r="L675" s="692" t="n"/>
      <c r="M675" s="692" t="n"/>
      <c r="N675" s="692" t="n"/>
      <c r="O675" s="692" t="n"/>
      <c r="P675" s="692" t="n"/>
      <c r="Q675" s="692" t="n"/>
      <c r="R675" s="692" t="n"/>
      <c r="S675" s="692" t="n"/>
      <c r="T675" s="692" t="n"/>
      <c r="U675" s="692" t="n"/>
      <c r="V675" s="692" t="n"/>
      <c r="W675" s="692" t="n"/>
    </row>
    <row r="676">
      <c r="A676" s="692" t="n"/>
      <c r="B676" s="692" t="n"/>
      <c r="C676" s="692" t="n"/>
      <c r="D676" s="692" t="n"/>
      <c r="E676" s="692" t="n"/>
      <c r="F676" s="692" t="n"/>
      <c r="G676" s="692" t="n"/>
      <c r="H676" s="692" t="n"/>
      <c r="I676" s="692" t="n"/>
      <c r="J676" s="692" t="n"/>
      <c r="K676" s="692" t="n"/>
      <c r="L676" s="692" t="n"/>
      <c r="M676" s="692" t="n"/>
      <c r="N676" s="692" t="n"/>
      <c r="O676" s="692" t="n"/>
      <c r="P676" s="692" t="n"/>
      <c r="Q676" s="692" t="n"/>
      <c r="R676" s="692" t="n"/>
      <c r="S676" s="692" t="n"/>
      <c r="T676" s="692" t="n"/>
      <c r="U676" s="692" t="n"/>
      <c r="V676" s="692" t="n"/>
      <c r="W676" s="692" t="n"/>
    </row>
    <row r="677">
      <c r="A677" s="692" t="n"/>
      <c r="B677" s="692" t="n"/>
      <c r="C677" s="692" t="n"/>
      <c r="D677" s="692" t="n"/>
      <c r="E677" s="692" t="n"/>
      <c r="F677" s="692" t="n"/>
      <c r="G677" s="692" t="n"/>
      <c r="H677" s="692" t="n"/>
      <c r="I677" s="692" t="n"/>
      <c r="J677" s="692" t="n"/>
      <c r="K677" s="692" t="n"/>
      <c r="L677" s="692" t="n"/>
      <c r="M677" s="692" t="n"/>
      <c r="N677" s="692" t="n"/>
      <c r="O677" s="692" t="n"/>
      <c r="P677" s="692" t="n"/>
      <c r="Q677" s="692" t="n"/>
      <c r="R677" s="692" t="n"/>
      <c r="S677" s="692" t="n"/>
      <c r="T677" s="692" t="n"/>
      <c r="U677" s="692" t="n"/>
      <c r="V677" s="692" t="n"/>
      <c r="W677" s="692" t="n"/>
    </row>
    <row r="678">
      <c r="A678" s="692" t="n"/>
      <c r="B678" s="692" t="n"/>
      <c r="C678" s="692" t="n"/>
      <c r="D678" s="692" t="n"/>
      <c r="E678" s="692" t="n"/>
      <c r="F678" s="692" t="n"/>
      <c r="G678" s="692" t="n"/>
      <c r="H678" s="692" t="n"/>
      <c r="I678" s="692" t="n"/>
      <c r="J678" s="692" t="n"/>
      <c r="K678" s="692" t="n"/>
      <c r="L678" s="692" t="n"/>
      <c r="M678" s="692" t="n"/>
      <c r="N678" s="692" t="n"/>
      <c r="O678" s="692" t="n"/>
      <c r="P678" s="692" t="n"/>
      <c r="Q678" s="692" t="n"/>
      <c r="R678" s="692" t="n"/>
      <c r="S678" s="692" t="n"/>
      <c r="T678" s="692" t="n"/>
      <c r="U678" s="692" t="n"/>
      <c r="V678" s="692" t="n"/>
      <c r="W678" s="692" t="n"/>
    </row>
    <row r="679">
      <c r="A679" s="692" t="n"/>
      <c r="B679" s="692" t="n"/>
      <c r="C679" s="692" t="n"/>
      <c r="D679" s="692" t="n"/>
      <c r="E679" s="692" t="n"/>
      <c r="F679" s="692" t="n"/>
      <c r="G679" s="692" t="n"/>
      <c r="H679" s="692" t="n"/>
      <c r="I679" s="692" t="n"/>
      <c r="J679" s="692" t="n"/>
      <c r="K679" s="692" t="n"/>
      <c r="L679" s="692" t="n"/>
      <c r="M679" s="692" t="n"/>
      <c r="N679" s="692" t="n"/>
      <c r="O679" s="692" t="n"/>
      <c r="P679" s="692" t="n"/>
      <c r="Q679" s="692" t="n"/>
      <c r="R679" s="692" t="n"/>
      <c r="S679" s="692" t="n"/>
      <c r="T679" s="692" t="n"/>
      <c r="U679" s="692" t="n"/>
      <c r="V679" s="692" t="n"/>
      <c r="W679" s="692" t="n"/>
    </row>
    <row r="680">
      <c r="A680" s="692" t="n"/>
      <c r="B680" s="692" t="n"/>
      <c r="C680" s="692" t="n"/>
      <c r="D680" s="692" t="n"/>
      <c r="E680" s="692" t="n"/>
      <c r="F680" s="692" t="n"/>
      <c r="G680" s="692" t="n"/>
      <c r="H680" s="692" t="n"/>
      <c r="I680" s="692" t="n"/>
      <c r="J680" s="692" t="n"/>
      <c r="K680" s="692" t="n"/>
      <c r="L680" s="692" t="n"/>
      <c r="M680" s="692" t="n"/>
      <c r="N680" s="692" t="n"/>
      <c r="O680" s="692" t="n"/>
      <c r="P680" s="692" t="n"/>
      <c r="Q680" s="692" t="n"/>
      <c r="R680" s="692" t="n"/>
      <c r="S680" s="692" t="n"/>
      <c r="T680" s="692" t="n"/>
      <c r="U680" s="692" t="n"/>
      <c r="V680" s="692" t="n"/>
      <c r="W680" s="692" t="n"/>
    </row>
    <row r="681">
      <c r="A681" s="692" t="n"/>
      <c r="B681" s="692" t="n"/>
      <c r="C681" s="692" t="n"/>
      <c r="D681" s="692" t="n"/>
      <c r="E681" s="692" t="n"/>
      <c r="F681" s="692" t="n"/>
      <c r="G681" s="692" t="n"/>
      <c r="H681" s="692" t="n"/>
      <c r="I681" s="692" t="n"/>
      <c r="J681" s="692" t="n"/>
      <c r="K681" s="692" t="n"/>
      <c r="L681" s="692" t="n"/>
      <c r="M681" s="692" t="n"/>
      <c r="N681" s="692" t="n"/>
      <c r="O681" s="692" t="n"/>
      <c r="P681" s="692" t="n"/>
      <c r="Q681" s="692" t="n"/>
      <c r="R681" s="692" t="n"/>
      <c r="S681" s="692" t="n"/>
      <c r="T681" s="692" t="n"/>
      <c r="U681" s="692" t="n"/>
      <c r="V681" s="692" t="n"/>
      <c r="W681" s="692" t="n"/>
    </row>
    <row r="682">
      <c r="A682" s="692" t="n"/>
      <c r="B682" s="692" t="n"/>
      <c r="C682" s="692" t="n"/>
      <c r="D682" s="692" t="n"/>
      <c r="E682" s="692" t="n"/>
      <c r="F682" s="692" t="n"/>
      <c r="G682" s="692" t="n"/>
      <c r="H682" s="692" t="n"/>
      <c r="I682" s="692" t="n"/>
      <c r="J682" s="692" t="n"/>
      <c r="K682" s="692" t="n"/>
      <c r="L682" s="692" t="n"/>
      <c r="M682" s="692" t="n"/>
      <c r="N682" s="692" t="n"/>
      <c r="O682" s="692" t="n"/>
      <c r="P682" s="692" t="n"/>
      <c r="Q682" s="692" t="n"/>
      <c r="R682" s="692" t="n"/>
      <c r="S682" s="692" t="n"/>
      <c r="T682" s="692" t="n"/>
      <c r="U682" s="692" t="n"/>
      <c r="V682" s="692" t="n"/>
      <c r="W682" s="692" t="n"/>
    </row>
    <row r="683">
      <c r="A683" s="692" t="n"/>
      <c r="B683" s="692" t="n"/>
      <c r="C683" s="692" t="n"/>
      <c r="D683" s="692" t="n"/>
      <c r="E683" s="692" t="n"/>
      <c r="F683" s="692" t="n"/>
      <c r="G683" s="692" t="n"/>
      <c r="H683" s="692" t="n"/>
      <c r="I683" s="692" t="n"/>
      <c r="J683" s="692" t="n"/>
      <c r="K683" s="692" t="n"/>
      <c r="L683" s="692" t="n"/>
      <c r="M683" s="692" t="n"/>
      <c r="N683" s="692" t="n"/>
      <c r="O683" s="692" t="n"/>
      <c r="P683" s="692" t="n"/>
      <c r="Q683" s="692" t="n"/>
      <c r="R683" s="692" t="n"/>
      <c r="S683" s="692" t="n"/>
      <c r="T683" s="692" t="n"/>
      <c r="U683" s="692" t="n"/>
      <c r="V683" s="692" t="n"/>
      <c r="W683" s="692" t="n"/>
    </row>
    <row r="684">
      <c r="A684" s="692" t="n"/>
      <c r="B684" s="692" t="n"/>
      <c r="C684" s="692" t="n"/>
      <c r="D684" s="692" t="n"/>
      <c r="E684" s="692" t="n"/>
      <c r="F684" s="692" t="n"/>
      <c r="G684" s="692" t="n"/>
      <c r="H684" s="692" t="n"/>
      <c r="I684" s="692" t="n"/>
      <c r="J684" s="692" t="n"/>
      <c r="K684" s="692" t="n"/>
      <c r="L684" s="692" t="n"/>
      <c r="M684" s="692" t="n"/>
      <c r="N684" s="692" t="n"/>
      <c r="O684" s="692" t="n"/>
      <c r="P684" s="692" t="n"/>
      <c r="Q684" s="692" t="n"/>
      <c r="R684" s="692" t="n"/>
      <c r="S684" s="692" t="n"/>
      <c r="T684" s="692" t="n"/>
      <c r="U684" s="692" t="n"/>
      <c r="V684" s="692" t="n"/>
      <c r="W684" s="692" t="n"/>
    </row>
    <row r="685">
      <c r="A685" s="692" t="n"/>
      <c r="B685" s="692" t="n"/>
      <c r="C685" s="692" t="n"/>
      <c r="D685" s="692" t="n"/>
      <c r="E685" s="692" t="n"/>
      <c r="F685" s="692" t="n"/>
      <c r="G685" s="692" t="n"/>
      <c r="H685" s="692" t="n"/>
      <c r="I685" s="692" t="n"/>
      <c r="J685" s="692" t="n"/>
      <c r="K685" s="692" t="n"/>
      <c r="L685" s="692" t="n"/>
      <c r="M685" s="692" t="n"/>
      <c r="N685" s="692" t="n"/>
      <c r="O685" s="692" t="n"/>
      <c r="P685" s="692" t="n"/>
      <c r="Q685" s="692" t="n"/>
      <c r="R685" s="692" t="n"/>
      <c r="S685" s="692" t="n"/>
      <c r="T685" s="692" t="n"/>
      <c r="U685" s="692" t="n"/>
      <c r="V685" s="692" t="n"/>
      <c r="W685" s="692" t="n"/>
    </row>
    <row r="686">
      <c r="A686" s="692" t="n"/>
      <c r="B686" s="692" t="n"/>
      <c r="C686" s="692" t="n"/>
      <c r="D686" s="692" t="n"/>
      <c r="E686" s="692" t="n"/>
      <c r="F686" s="692" t="n"/>
      <c r="G686" s="692" t="n"/>
      <c r="H686" s="692" t="n"/>
      <c r="I686" s="692" t="n"/>
      <c r="J686" s="692" t="n"/>
      <c r="K686" s="692" t="n"/>
      <c r="L686" s="692" t="n"/>
      <c r="M686" s="692" t="n"/>
      <c r="N686" s="692" t="n"/>
      <c r="O686" s="692" t="n"/>
      <c r="P686" s="692" t="n"/>
      <c r="Q686" s="692" t="n"/>
      <c r="R686" s="692" t="n"/>
      <c r="S686" s="692" t="n"/>
      <c r="T686" s="692" t="n"/>
      <c r="U686" s="692" t="n"/>
      <c r="V686" s="692" t="n"/>
      <c r="W686" s="692" t="n"/>
    </row>
    <row r="687">
      <c r="A687" s="692" t="n"/>
      <c r="B687" s="692" t="n"/>
      <c r="C687" s="692" t="n"/>
      <c r="D687" s="692" t="n"/>
      <c r="E687" s="692" t="n"/>
      <c r="F687" s="692" t="n"/>
      <c r="G687" s="692" t="n"/>
      <c r="H687" s="692" t="n"/>
      <c r="I687" s="692" t="n"/>
      <c r="J687" s="692" t="n"/>
      <c r="K687" s="692" t="n"/>
      <c r="L687" s="692" t="n"/>
      <c r="M687" s="692" t="n"/>
      <c r="N687" s="692" t="n"/>
      <c r="O687" s="692" t="n"/>
      <c r="P687" s="692" t="n"/>
      <c r="Q687" s="692" t="n"/>
      <c r="R687" s="692" t="n"/>
      <c r="S687" s="692" t="n"/>
      <c r="T687" s="692" t="n"/>
      <c r="U687" s="692" t="n"/>
      <c r="V687" s="692" t="n"/>
      <c r="W687" s="692" t="n"/>
    </row>
    <row r="688">
      <c r="A688" s="692" t="n"/>
      <c r="B688" s="692" t="n"/>
      <c r="C688" s="692" t="n"/>
      <c r="D688" s="692" t="n"/>
      <c r="E688" s="692" t="n"/>
      <c r="F688" s="692" t="n"/>
      <c r="G688" s="692" t="n"/>
      <c r="H688" s="692" t="n"/>
      <c r="I688" s="692" t="n"/>
      <c r="J688" s="692" t="n"/>
      <c r="K688" s="692" t="n"/>
      <c r="L688" s="692" t="n"/>
      <c r="M688" s="692" t="n"/>
      <c r="N688" s="692" t="n"/>
      <c r="O688" s="692" t="n"/>
      <c r="P688" s="692" t="n"/>
      <c r="Q688" s="692" t="n"/>
      <c r="R688" s="692" t="n"/>
      <c r="S688" s="692" t="n"/>
      <c r="T688" s="692" t="n"/>
      <c r="U688" s="692" t="n"/>
      <c r="V688" s="692" t="n"/>
      <c r="W688" s="692" t="n"/>
    </row>
    <row r="689">
      <c r="A689" s="692" t="n"/>
      <c r="B689" s="692" t="n"/>
      <c r="C689" s="692" t="n"/>
      <c r="D689" s="692" t="n"/>
      <c r="E689" s="692" t="n"/>
      <c r="F689" s="692" t="n"/>
      <c r="G689" s="692" t="n"/>
      <c r="H689" s="692" t="n"/>
      <c r="I689" s="692" t="n"/>
      <c r="J689" s="692" t="n"/>
      <c r="K689" s="692" t="n"/>
      <c r="L689" s="692" t="n"/>
      <c r="M689" s="692" t="n"/>
      <c r="N689" s="692" t="n"/>
      <c r="O689" s="692" t="n"/>
      <c r="P689" s="692" t="n"/>
      <c r="Q689" s="692" t="n"/>
      <c r="R689" s="692" t="n"/>
      <c r="S689" s="692" t="n"/>
      <c r="T689" s="692" t="n"/>
      <c r="U689" s="692" t="n"/>
      <c r="V689" s="692" t="n"/>
      <c r="W689" s="692" t="n"/>
    </row>
    <row r="690">
      <c r="A690" s="692" t="n"/>
      <c r="B690" s="692" t="n"/>
      <c r="C690" s="692" t="n"/>
      <c r="D690" s="692" t="n"/>
      <c r="E690" s="692" t="n"/>
      <c r="F690" s="692" t="n"/>
      <c r="G690" s="692" t="n"/>
      <c r="H690" s="692" t="n"/>
      <c r="I690" s="692" t="n"/>
      <c r="J690" s="692" t="n"/>
      <c r="K690" s="692" t="n"/>
      <c r="L690" s="692" t="n"/>
      <c r="M690" s="692" t="n"/>
      <c r="N690" s="692" t="n"/>
      <c r="O690" s="692" t="n"/>
      <c r="P690" s="692" t="n"/>
      <c r="Q690" s="692" t="n"/>
      <c r="R690" s="692" t="n"/>
      <c r="S690" s="692" t="n"/>
      <c r="T690" s="692" t="n"/>
      <c r="U690" s="692" t="n"/>
      <c r="V690" s="692" t="n"/>
      <c r="W690" s="692" t="n"/>
    </row>
    <row r="691">
      <c r="A691" s="692" t="n"/>
      <c r="B691" s="692" t="n"/>
      <c r="C691" s="692" t="n"/>
      <c r="D691" s="692" t="n"/>
      <c r="E691" s="692" t="n"/>
      <c r="F691" s="692" t="n"/>
      <c r="G691" s="692" t="n"/>
      <c r="H691" s="692" t="n"/>
      <c r="I691" s="692" t="n"/>
      <c r="J691" s="692" t="n"/>
      <c r="K691" s="692" t="n"/>
      <c r="L691" s="692" t="n"/>
      <c r="M691" s="692" t="n"/>
      <c r="N691" s="692" t="n"/>
      <c r="O691" s="692" t="n"/>
      <c r="P691" s="692" t="n"/>
      <c r="Q691" s="692" t="n"/>
      <c r="R691" s="692" t="n"/>
      <c r="S691" s="692" t="n"/>
      <c r="T691" s="692" t="n"/>
      <c r="U691" s="692" t="n"/>
      <c r="V691" s="692" t="n"/>
      <c r="W691" s="692" t="n"/>
    </row>
    <row r="692">
      <c r="A692" s="692" t="n"/>
      <c r="B692" s="692" t="n"/>
      <c r="C692" s="692" t="n"/>
      <c r="D692" s="692" t="n"/>
      <c r="E692" s="692" t="n"/>
      <c r="F692" s="692" t="n"/>
      <c r="G692" s="692" t="n"/>
      <c r="H692" s="692" t="n"/>
      <c r="I692" s="692" t="n"/>
      <c r="J692" s="692" t="n"/>
      <c r="K692" s="692" t="n"/>
      <c r="L692" s="692" t="n"/>
      <c r="M692" s="692" t="n"/>
      <c r="N692" s="692" t="n"/>
      <c r="O692" s="692" t="n"/>
      <c r="P692" s="692" t="n"/>
      <c r="Q692" s="692" t="n"/>
      <c r="R692" s="692" t="n"/>
      <c r="S692" s="692" t="n"/>
      <c r="T692" s="692" t="n"/>
      <c r="U692" s="692" t="n"/>
      <c r="V692" s="692" t="n"/>
      <c r="W692" s="692" t="n"/>
    </row>
    <row r="693">
      <c r="A693" s="692" t="n"/>
      <c r="B693" s="692" t="n"/>
      <c r="C693" s="692" t="n"/>
      <c r="D693" s="692" t="n"/>
      <c r="E693" s="692" t="n"/>
      <c r="F693" s="692" t="n"/>
      <c r="G693" s="692" t="n"/>
      <c r="H693" s="692" t="n"/>
      <c r="I693" s="692" t="n"/>
      <c r="J693" s="692" t="n"/>
      <c r="K693" s="692" t="n"/>
      <c r="L693" s="692" t="n"/>
      <c r="M693" s="692" t="n"/>
      <c r="N693" s="692" t="n"/>
      <c r="O693" s="692" t="n"/>
      <c r="P693" s="692" t="n"/>
      <c r="Q693" s="692" t="n"/>
      <c r="R693" s="692" t="n"/>
      <c r="S693" s="692" t="n"/>
      <c r="T693" s="692" t="n"/>
      <c r="U693" s="692" t="n"/>
      <c r="V693" s="692" t="n"/>
      <c r="W693" s="692" t="n"/>
    </row>
    <row r="694">
      <c r="A694" s="692" t="n"/>
      <c r="B694" s="692" t="n"/>
      <c r="C694" s="692" t="n"/>
      <c r="D694" s="692" t="n"/>
      <c r="E694" s="692" t="n"/>
      <c r="F694" s="692" t="n"/>
      <c r="G694" s="692" t="n"/>
      <c r="H694" s="692" t="n"/>
      <c r="I694" s="692" t="n"/>
      <c r="J694" s="692" t="n"/>
      <c r="K694" s="692" t="n"/>
      <c r="L694" s="692" t="n"/>
      <c r="M694" s="692" t="n"/>
      <c r="N694" s="692" t="n"/>
      <c r="O694" s="692" t="n"/>
      <c r="P694" s="692" t="n"/>
      <c r="Q694" s="692" t="n"/>
      <c r="R694" s="692" t="n"/>
      <c r="S694" s="692" t="n"/>
      <c r="T694" s="692" t="n"/>
      <c r="U694" s="692" t="n"/>
      <c r="V694" s="692" t="n"/>
      <c r="W694" s="692" t="n"/>
    </row>
    <row r="695">
      <c r="A695" s="692" t="n"/>
      <c r="B695" s="692" t="n"/>
      <c r="C695" s="692" t="n"/>
      <c r="D695" s="692" t="n"/>
      <c r="E695" s="692" t="n"/>
      <c r="F695" s="692" t="n"/>
      <c r="G695" s="692" t="n"/>
      <c r="H695" s="692" t="n"/>
      <c r="I695" s="692" t="n"/>
      <c r="J695" s="692" t="n"/>
      <c r="K695" s="692" t="n"/>
      <c r="L695" s="692" t="n"/>
      <c r="M695" s="692" t="n"/>
      <c r="N695" s="692" t="n"/>
      <c r="O695" s="692" t="n"/>
      <c r="P695" s="692" t="n"/>
      <c r="Q695" s="692" t="n"/>
      <c r="R695" s="692" t="n"/>
      <c r="S695" s="692" t="n"/>
      <c r="T695" s="692" t="n"/>
      <c r="U695" s="692" t="n"/>
      <c r="V695" s="692" t="n"/>
      <c r="W695" s="692" t="n"/>
    </row>
    <row r="696">
      <c r="A696" s="692" t="n"/>
      <c r="B696" s="692" t="n"/>
      <c r="C696" s="692" t="n"/>
      <c r="D696" s="692" t="n"/>
      <c r="E696" s="692" t="n"/>
      <c r="F696" s="692" t="n"/>
      <c r="G696" s="692" t="n"/>
      <c r="H696" s="692" t="n"/>
      <c r="I696" s="692" t="n"/>
      <c r="J696" s="692" t="n"/>
      <c r="K696" s="692" t="n"/>
      <c r="L696" s="692" t="n"/>
      <c r="M696" s="692" t="n"/>
      <c r="N696" s="692" t="n"/>
      <c r="O696" s="692" t="n"/>
      <c r="P696" s="692" t="n"/>
      <c r="Q696" s="692" t="n"/>
      <c r="R696" s="692" t="n"/>
      <c r="S696" s="692" t="n"/>
      <c r="T696" s="692" t="n"/>
      <c r="U696" s="692" t="n"/>
      <c r="V696" s="692" t="n"/>
      <c r="W696" s="692" t="n"/>
    </row>
    <row r="697">
      <c r="A697" s="692" t="n"/>
      <c r="B697" s="692" t="n"/>
      <c r="C697" s="692" t="n"/>
      <c r="D697" s="692" t="n"/>
      <c r="E697" s="692" t="n"/>
      <c r="F697" s="692" t="n"/>
      <c r="G697" s="692" t="n"/>
      <c r="H697" s="692" t="n"/>
      <c r="I697" s="692" t="n"/>
      <c r="J697" s="692" t="n"/>
      <c r="K697" s="692" t="n"/>
      <c r="L697" s="692" t="n"/>
      <c r="M697" s="692" t="n"/>
      <c r="N697" s="692" t="n"/>
      <c r="O697" s="692" t="n"/>
      <c r="P697" s="692" t="n"/>
      <c r="Q697" s="692" t="n"/>
      <c r="R697" s="692" t="n"/>
      <c r="S697" s="692" t="n"/>
      <c r="T697" s="692" t="n"/>
      <c r="U697" s="692" t="n"/>
      <c r="V697" s="692" t="n"/>
      <c r="W697" s="692" t="n"/>
    </row>
    <row r="698">
      <c r="A698" s="692" t="n"/>
      <c r="B698" s="692" t="n"/>
      <c r="C698" s="692" t="n"/>
      <c r="D698" s="692" t="n"/>
      <c r="E698" s="692" t="n"/>
      <c r="F698" s="692" t="n"/>
      <c r="G698" s="692" t="n"/>
      <c r="H698" s="692" t="n"/>
      <c r="I698" s="692" t="n"/>
      <c r="J698" s="692" t="n"/>
      <c r="K698" s="692" t="n"/>
      <c r="L698" s="692" t="n"/>
      <c r="M698" s="692" t="n"/>
      <c r="N698" s="692" t="n"/>
      <c r="O698" s="692" t="n"/>
      <c r="P698" s="692" t="n"/>
      <c r="Q698" s="692" t="n"/>
      <c r="R698" s="692" t="n"/>
      <c r="S698" s="692" t="n"/>
      <c r="T698" s="692" t="n"/>
      <c r="U698" s="692" t="n"/>
      <c r="V698" s="692" t="n"/>
      <c r="W698" s="692" t="n"/>
    </row>
    <row r="699">
      <c r="A699" s="692" t="n"/>
      <c r="B699" s="692" t="n"/>
      <c r="C699" s="692" t="n"/>
      <c r="D699" s="692" t="n"/>
      <c r="E699" s="692" t="n"/>
      <c r="F699" s="692" t="n"/>
      <c r="G699" s="692" t="n"/>
      <c r="H699" s="692" t="n"/>
      <c r="I699" s="692" t="n"/>
      <c r="J699" s="692" t="n"/>
      <c r="K699" s="692" t="n"/>
      <c r="L699" s="692" t="n"/>
      <c r="M699" s="692" t="n"/>
      <c r="N699" s="692" t="n"/>
      <c r="O699" s="692" t="n"/>
      <c r="P699" s="692" t="n"/>
      <c r="Q699" s="692" t="n"/>
      <c r="R699" s="692" t="n"/>
      <c r="S699" s="692" t="n"/>
      <c r="T699" s="692" t="n"/>
      <c r="U699" s="692" t="n"/>
      <c r="V699" s="692" t="n"/>
      <c r="W699" s="692" t="n"/>
    </row>
    <row r="700">
      <c r="A700" s="692" t="n"/>
      <c r="B700" s="692" t="n"/>
      <c r="C700" s="692" t="n"/>
      <c r="D700" s="692" t="n"/>
      <c r="E700" s="692" t="n"/>
      <c r="F700" s="692" t="n"/>
      <c r="G700" s="692" t="n"/>
      <c r="H700" s="692" t="n"/>
      <c r="I700" s="692" t="n"/>
      <c r="J700" s="692" t="n"/>
      <c r="K700" s="692" t="n"/>
      <c r="L700" s="692" t="n"/>
      <c r="M700" s="692" t="n"/>
      <c r="N700" s="692" t="n"/>
      <c r="O700" s="692" t="n"/>
      <c r="P700" s="692" t="n"/>
      <c r="Q700" s="692" t="n"/>
      <c r="R700" s="692" t="n"/>
      <c r="S700" s="692" t="n"/>
      <c r="T700" s="692" t="n"/>
      <c r="U700" s="692" t="n"/>
      <c r="V700" s="692" t="n"/>
      <c r="W700" s="692" t="n"/>
    </row>
    <row r="701">
      <c r="A701" s="692" t="n"/>
      <c r="B701" s="692" t="n"/>
      <c r="C701" s="692" t="n"/>
      <c r="D701" s="692" t="n"/>
      <c r="E701" s="692" t="n"/>
      <c r="F701" s="692" t="n"/>
      <c r="G701" s="692" t="n"/>
      <c r="H701" s="692" t="n"/>
      <c r="I701" s="692" t="n"/>
      <c r="J701" s="692" t="n"/>
      <c r="K701" s="692" t="n"/>
      <c r="L701" s="692" t="n"/>
      <c r="M701" s="692" t="n"/>
      <c r="N701" s="692" t="n"/>
      <c r="O701" s="692" t="n"/>
      <c r="P701" s="692" t="n"/>
      <c r="Q701" s="692" t="n"/>
      <c r="R701" s="692" t="n"/>
      <c r="S701" s="692" t="n"/>
      <c r="T701" s="692" t="n"/>
      <c r="U701" s="692" t="n"/>
      <c r="V701" s="692" t="n"/>
      <c r="W701" s="692" t="n"/>
    </row>
    <row r="702">
      <c r="A702" s="692" t="n"/>
      <c r="B702" s="692" t="n"/>
      <c r="C702" s="692" t="n"/>
      <c r="D702" s="692" t="n"/>
      <c r="E702" s="692" t="n"/>
      <c r="F702" s="692" t="n"/>
      <c r="G702" s="692" t="n"/>
      <c r="H702" s="692" t="n"/>
      <c r="I702" s="692" t="n"/>
      <c r="J702" s="692" t="n"/>
      <c r="K702" s="692" t="n"/>
      <c r="L702" s="692" t="n"/>
      <c r="M702" s="692" t="n"/>
      <c r="N702" s="692" t="n"/>
      <c r="O702" s="692" t="n"/>
      <c r="P702" s="692" t="n"/>
      <c r="Q702" s="692" t="n"/>
      <c r="R702" s="692" t="n"/>
      <c r="S702" s="692" t="n"/>
      <c r="T702" s="692" t="n"/>
      <c r="U702" s="692" t="n"/>
      <c r="V702" s="692" t="n"/>
      <c r="W702" s="692" t="n"/>
    </row>
    <row r="703">
      <c r="A703" s="692" t="n"/>
      <c r="B703" s="692" t="n"/>
      <c r="C703" s="692" t="n"/>
      <c r="D703" s="692" t="n"/>
      <c r="E703" s="692" t="n"/>
      <c r="F703" s="692" t="n"/>
      <c r="G703" s="692" t="n"/>
      <c r="H703" s="692" t="n"/>
      <c r="I703" s="692" t="n"/>
      <c r="J703" s="692" t="n"/>
      <c r="K703" s="692" t="n"/>
      <c r="L703" s="692" t="n"/>
      <c r="M703" s="692" t="n"/>
      <c r="N703" s="692" t="n"/>
      <c r="O703" s="692" t="n"/>
      <c r="P703" s="692" t="n"/>
      <c r="Q703" s="692" t="n"/>
      <c r="R703" s="692" t="n"/>
      <c r="S703" s="692" t="n"/>
      <c r="T703" s="692" t="n"/>
      <c r="U703" s="692" t="n"/>
      <c r="V703" s="692" t="n"/>
      <c r="W703" s="692" t="n"/>
    </row>
    <row r="704">
      <c r="A704" s="692" t="n"/>
      <c r="B704" s="692" t="n"/>
      <c r="C704" s="692" t="n"/>
      <c r="D704" s="692" t="n"/>
      <c r="E704" s="692" t="n"/>
      <c r="F704" s="692" t="n"/>
      <c r="G704" s="692" t="n"/>
      <c r="H704" s="692" t="n"/>
      <c r="I704" s="692" t="n"/>
      <c r="J704" s="692" t="n"/>
      <c r="K704" s="692" t="n"/>
      <c r="L704" s="692" t="n"/>
      <c r="M704" s="692" t="n"/>
      <c r="N704" s="692" t="n"/>
      <c r="O704" s="692" t="n"/>
      <c r="P704" s="692" t="n"/>
      <c r="Q704" s="692" t="n"/>
      <c r="R704" s="692" t="n"/>
      <c r="S704" s="692" t="n"/>
      <c r="T704" s="692" t="n"/>
      <c r="U704" s="692" t="n"/>
      <c r="V704" s="692" t="n"/>
      <c r="W704" s="692" t="n"/>
    </row>
    <row r="705">
      <c r="A705" s="692" t="n"/>
      <c r="B705" s="692" t="n"/>
      <c r="C705" s="692" t="n"/>
      <c r="D705" s="692" t="n"/>
      <c r="E705" s="692" t="n"/>
      <c r="F705" s="692" t="n"/>
      <c r="G705" s="692" t="n"/>
      <c r="H705" s="692" t="n"/>
      <c r="I705" s="692" t="n"/>
      <c r="J705" s="692" t="n"/>
      <c r="K705" s="692" t="n"/>
      <c r="L705" s="692" t="n"/>
      <c r="M705" s="692" t="n"/>
      <c r="N705" s="692" t="n"/>
      <c r="O705" s="692" t="n"/>
      <c r="P705" s="692" t="n"/>
      <c r="Q705" s="692" t="n"/>
      <c r="R705" s="692" t="n"/>
      <c r="S705" s="692" t="n"/>
      <c r="T705" s="692" t="n"/>
      <c r="U705" s="692" t="n"/>
      <c r="V705" s="692" t="n"/>
      <c r="W705" s="692" t="n"/>
    </row>
    <row r="706">
      <c r="A706" s="692" t="n"/>
      <c r="B706" s="692" t="n"/>
      <c r="C706" s="692" t="n"/>
      <c r="D706" s="692" t="n"/>
      <c r="E706" s="692" t="n"/>
      <c r="F706" s="692" t="n"/>
      <c r="G706" s="692" t="n"/>
      <c r="H706" s="692" t="n"/>
      <c r="I706" s="692" t="n"/>
      <c r="J706" s="692" t="n"/>
      <c r="K706" s="692" t="n"/>
      <c r="L706" s="692" t="n"/>
      <c r="M706" s="692" t="n"/>
      <c r="N706" s="692" t="n"/>
      <c r="O706" s="692" t="n"/>
      <c r="P706" s="692" t="n"/>
      <c r="Q706" s="692" t="n"/>
      <c r="R706" s="692" t="n"/>
      <c r="S706" s="692" t="n"/>
      <c r="T706" s="692" t="n"/>
      <c r="U706" s="692" t="n"/>
      <c r="V706" s="692" t="n"/>
      <c r="W706" s="692" t="n"/>
    </row>
    <row r="707">
      <c r="A707" s="692" t="n"/>
      <c r="B707" s="692" t="n"/>
      <c r="C707" s="692" t="n"/>
      <c r="D707" s="692" t="n"/>
      <c r="E707" s="692" t="n"/>
      <c r="F707" s="692" t="n"/>
      <c r="G707" s="692" t="n"/>
      <c r="H707" s="692" t="n"/>
      <c r="I707" s="692" t="n"/>
      <c r="J707" s="692" t="n"/>
      <c r="K707" s="692" t="n"/>
      <c r="L707" s="692" t="n"/>
      <c r="M707" s="692" t="n"/>
      <c r="N707" s="692" t="n"/>
      <c r="O707" s="692" t="n"/>
      <c r="P707" s="692" t="n"/>
      <c r="Q707" s="692" t="n"/>
      <c r="R707" s="692" t="n"/>
      <c r="S707" s="692" t="n"/>
      <c r="T707" s="692" t="n"/>
      <c r="U707" s="692" t="n"/>
      <c r="V707" s="692" t="n"/>
      <c r="W707" s="692" t="n"/>
    </row>
    <row r="708">
      <c r="A708" s="692" t="n"/>
      <c r="B708" s="692" t="n"/>
      <c r="C708" s="692" t="n"/>
      <c r="D708" s="692" t="n"/>
      <c r="E708" s="692" t="n"/>
      <c r="F708" s="692" t="n"/>
      <c r="G708" s="692" t="n"/>
      <c r="H708" s="692" t="n"/>
      <c r="I708" s="692" t="n"/>
      <c r="J708" s="692" t="n"/>
      <c r="K708" s="692" t="n"/>
      <c r="L708" s="692" t="n"/>
      <c r="M708" s="692" t="n"/>
      <c r="N708" s="692" t="n"/>
      <c r="O708" s="692" t="n"/>
      <c r="P708" s="692" t="n"/>
      <c r="Q708" s="692" t="n"/>
      <c r="R708" s="692" t="n"/>
      <c r="S708" s="692" t="n"/>
      <c r="T708" s="692" t="n"/>
      <c r="U708" s="692" t="n"/>
      <c r="V708" s="692" t="n"/>
      <c r="W708" s="692" t="n"/>
    </row>
    <row r="709">
      <c r="A709" s="692" t="n"/>
      <c r="B709" s="692" t="n"/>
      <c r="C709" s="692" t="n"/>
      <c r="D709" s="692" t="n"/>
      <c r="E709" s="692" t="n"/>
      <c r="F709" s="692" t="n"/>
      <c r="G709" s="692" t="n"/>
      <c r="H709" s="692" t="n"/>
      <c r="I709" s="692" t="n"/>
      <c r="J709" s="692" t="n"/>
      <c r="K709" s="692" t="n"/>
      <c r="L709" s="692" t="n"/>
      <c r="M709" s="692" t="n"/>
      <c r="N709" s="692" t="n"/>
      <c r="O709" s="692" t="n"/>
      <c r="P709" s="692" t="n"/>
      <c r="Q709" s="692" t="n"/>
      <c r="R709" s="692" t="n"/>
      <c r="S709" s="692" t="n"/>
      <c r="T709" s="692" t="n"/>
      <c r="U709" s="692" t="n"/>
      <c r="V709" s="692" t="n"/>
      <c r="W709" s="692" t="n"/>
    </row>
    <row r="710">
      <c r="A710" s="692" t="n"/>
      <c r="B710" s="692" t="n"/>
      <c r="C710" s="692" t="n"/>
      <c r="D710" s="692" t="n"/>
      <c r="E710" s="692" t="n"/>
      <c r="F710" s="692" t="n"/>
      <c r="G710" s="692" t="n"/>
      <c r="H710" s="692" t="n"/>
      <c r="I710" s="692" t="n"/>
      <c r="J710" s="692" t="n"/>
      <c r="K710" s="692" t="n"/>
      <c r="L710" s="692" t="n"/>
      <c r="M710" s="692" t="n"/>
      <c r="N710" s="692" t="n"/>
      <c r="O710" s="692" t="n"/>
      <c r="P710" s="692" t="n"/>
      <c r="Q710" s="692" t="n"/>
      <c r="R710" s="692" t="n"/>
      <c r="S710" s="692" t="n"/>
      <c r="T710" s="692" t="n"/>
      <c r="U710" s="692" t="n"/>
      <c r="V710" s="692" t="n"/>
      <c r="W710" s="692" t="n"/>
    </row>
    <row r="711">
      <c r="A711" s="692" t="n"/>
      <c r="B711" s="692" t="n"/>
      <c r="C711" s="692" t="n"/>
      <c r="D711" s="692" t="n"/>
      <c r="E711" s="692" t="n"/>
      <c r="F711" s="692" t="n"/>
      <c r="G711" s="692" t="n"/>
      <c r="H711" s="692" t="n"/>
      <c r="I711" s="692" t="n"/>
      <c r="J711" s="692" t="n"/>
      <c r="K711" s="692" t="n"/>
      <c r="L711" s="692" t="n"/>
      <c r="M711" s="692" t="n"/>
      <c r="N711" s="692" t="n"/>
      <c r="O711" s="692" t="n"/>
      <c r="P711" s="692" t="n"/>
      <c r="Q711" s="692" t="n"/>
      <c r="R711" s="692" t="n"/>
      <c r="S711" s="692" t="n"/>
      <c r="T711" s="692" t="n"/>
      <c r="U711" s="692" t="n"/>
      <c r="V711" s="692" t="n"/>
      <c r="W711" s="692" t="n"/>
    </row>
    <row r="712">
      <c r="A712" s="692" t="n"/>
      <c r="B712" s="692" t="n"/>
      <c r="C712" s="692" t="n"/>
      <c r="D712" s="692" t="n"/>
      <c r="E712" s="692" t="n"/>
      <c r="F712" s="692" t="n"/>
      <c r="G712" s="692" t="n"/>
      <c r="H712" s="692" t="n"/>
      <c r="I712" s="692" t="n"/>
      <c r="J712" s="692" t="n"/>
      <c r="K712" s="692" t="n"/>
      <c r="L712" s="692" t="n"/>
      <c r="M712" s="692" t="n"/>
      <c r="N712" s="692" t="n"/>
      <c r="O712" s="692" t="n"/>
      <c r="P712" s="692" t="n"/>
      <c r="Q712" s="692" t="n"/>
      <c r="R712" s="692" t="n"/>
      <c r="S712" s="692" t="n"/>
      <c r="T712" s="692" t="n"/>
      <c r="U712" s="692" t="n"/>
      <c r="V712" s="692" t="n"/>
      <c r="W712" s="692" t="n"/>
    </row>
    <row r="713">
      <c r="A713" s="692" t="n"/>
      <c r="B713" s="692" t="n"/>
      <c r="C713" s="692" t="n"/>
      <c r="D713" s="692" t="n"/>
      <c r="E713" s="692" t="n"/>
      <c r="F713" s="692" t="n"/>
      <c r="G713" s="692" t="n"/>
      <c r="H713" s="692" t="n"/>
      <c r="I713" s="692" t="n"/>
      <c r="J713" s="692" t="n"/>
      <c r="K713" s="692" t="n"/>
      <c r="L713" s="692" t="n"/>
      <c r="M713" s="692" t="n"/>
      <c r="N713" s="692" t="n"/>
      <c r="O713" s="692" t="n"/>
      <c r="P713" s="692" t="n"/>
      <c r="Q713" s="692" t="n"/>
      <c r="R713" s="692" t="n"/>
      <c r="S713" s="692" t="n"/>
      <c r="T713" s="692" t="n"/>
      <c r="U713" s="692" t="n"/>
      <c r="V713" s="692" t="n"/>
      <c r="W713" s="692" t="n"/>
    </row>
    <row r="714">
      <c r="A714" s="692" t="n"/>
      <c r="B714" s="692" t="n"/>
      <c r="C714" s="692" t="n"/>
      <c r="D714" s="692" t="n"/>
      <c r="E714" s="692" t="n"/>
      <c r="F714" s="692" t="n"/>
      <c r="G714" s="692" t="n"/>
      <c r="H714" s="692" t="n"/>
      <c r="I714" s="692" t="n"/>
      <c r="J714" s="692" t="n"/>
      <c r="K714" s="692" t="n"/>
      <c r="L714" s="692" t="n"/>
      <c r="M714" s="692" t="n"/>
      <c r="N714" s="692" t="n"/>
      <c r="O714" s="692" t="n"/>
      <c r="P714" s="692" t="n"/>
      <c r="Q714" s="692" t="n"/>
      <c r="R714" s="692" t="n"/>
      <c r="S714" s="692" t="n"/>
      <c r="T714" s="692" t="n"/>
      <c r="U714" s="692" t="n"/>
      <c r="V714" s="692" t="n"/>
      <c r="W714" s="692" t="n"/>
    </row>
    <row r="715">
      <c r="A715" s="692" t="n"/>
      <c r="B715" s="692" t="n"/>
      <c r="C715" s="692" t="n"/>
      <c r="D715" s="692" t="n"/>
      <c r="E715" s="692" t="n"/>
      <c r="F715" s="692" t="n"/>
      <c r="G715" s="692" t="n"/>
      <c r="H715" s="692" t="n"/>
      <c r="I715" s="692" t="n"/>
      <c r="J715" s="692" t="n"/>
      <c r="K715" s="692" t="n"/>
      <c r="L715" s="692" t="n"/>
      <c r="M715" s="692" t="n"/>
      <c r="N715" s="692" t="n"/>
      <c r="O715" s="692" t="n"/>
      <c r="P715" s="692" t="n"/>
      <c r="Q715" s="692" t="n"/>
      <c r="R715" s="692" t="n"/>
      <c r="S715" s="692" t="n"/>
      <c r="T715" s="692" t="n"/>
      <c r="U715" s="692" t="n"/>
      <c r="V715" s="692" t="n"/>
      <c r="W715" s="692" t="n"/>
    </row>
    <row r="716">
      <c r="A716" s="692" t="n"/>
      <c r="B716" s="692" t="n"/>
      <c r="C716" s="692" t="n"/>
      <c r="D716" s="692" t="n"/>
      <c r="E716" s="692" t="n"/>
      <c r="F716" s="692" t="n"/>
      <c r="G716" s="692" t="n"/>
      <c r="H716" s="692" t="n"/>
      <c r="I716" s="692" t="n"/>
      <c r="J716" s="692" t="n"/>
      <c r="K716" s="692" t="n"/>
      <c r="L716" s="692" t="n"/>
      <c r="M716" s="692" t="n"/>
      <c r="N716" s="692" t="n"/>
      <c r="O716" s="692" t="n"/>
      <c r="P716" s="692" t="n"/>
      <c r="Q716" s="692" t="n"/>
      <c r="R716" s="692" t="n"/>
      <c r="S716" s="692" t="n"/>
      <c r="T716" s="692" t="n"/>
      <c r="U716" s="692" t="n"/>
      <c r="V716" s="692" t="n"/>
      <c r="W716" s="692" t="n"/>
    </row>
    <row r="717">
      <c r="A717" s="692" t="n"/>
      <c r="B717" s="692" t="n"/>
      <c r="C717" s="692" t="n"/>
      <c r="D717" s="692" t="n"/>
      <c r="E717" s="692" t="n"/>
      <c r="F717" s="692" t="n"/>
      <c r="G717" s="692" t="n"/>
      <c r="H717" s="692" t="n"/>
      <c r="I717" s="692" t="n"/>
      <c r="J717" s="692" t="n"/>
      <c r="K717" s="692" t="n"/>
      <c r="L717" s="692" t="n"/>
      <c r="M717" s="692" t="n"/>
      <c r="N717" s="692" t="n"/>
      <c r="O717" s="692" t="n"/>
      <c r="P717" s="692" t="n"/>
      <c r="Q717" s="692" t="n"/>
      <c r="R717" s="692" t="n"/>
      <c r="S717" s="692" t="n"/>
      <c r="T717" s="692" t="n"/>
      <c r="U717" s="692" t="n"/>
      <c r="V717" s="692" t="n"/>
      <c r="W717" s="692" t="n"/>
    </row>
    <row r="718">
      <c r="A718" s="692" t="n"/>
      <c r="B718" s="692" t="n"/>
      <c r="C718" s="692" t="n"/>
      <c r="D718" s="692" t="n"/>
      <c r="E718" s="692" t="n"/>
      <c r="F718" s="692" t="n"/>
      <c r="G718" s="692" t="n"/>
      <c r="H718" s="692" t="n"/>
      <c r="I718" s="692" t="n"/>
      <c r="J718" s="692" t="n"/>
      <c r="K718" s="692" t="n"/>
      <c r="L718" s="692" t="n"/>
      <c r="M718" s="692" t="n"/>
      <c r="N718" s="692" t="n"/>
      <c r="O718" s="692" t="n"/>
      <c r="P718" s="692" t="n"/>
      <c r="Q718" s="692" t="n"/>
      <c r="R718" s="692" t="n"/>
      <c r="S718" s="692" t="n"/>
      <c r="T718" s="692" t="n"/>
      <c r="U718" s="692" t="n"/>
      <c r="V718" s="692" t="n"/>
      <c r="W718" s="692" t="n"/>
    </row>
    <row r="719">
      <c r="A719" s="692" t="n"/>
      <c r="B719" s="692" t="n"/>
      <c r="C719" s="692" t="n"/>
      <c r="D719" s="692" t="n"/>
      <c r="E719" s="692" t="n"/>
      <c r="F719" s="692" t="n"/>
      <c r="G719" s="692" t="n"/>
      <c r="H719" s="692" t="n"/>
      <c r="I719" s="692" t="n"/>
      <c r="J719" s="692" t="n"/>
      <c r="K719" s="692" t="n"/>
      <c r="L719" s="692" t="n"/>
      <c r="M719" s="692" t="n"/>
      <c r="N719" s="692" t="n"/>
      <c r="O719" s="692" t="n"/>
      <c r="P719" s="692" t="n"/>
      <c r="Q719" s="692" t="n"/>
      <c r="R719" s="692" t="n"/>
      <c r="S719" s="692" t="n"/>
      <c r="T719" s="692" t="n"/>
      <c r="U719" s="692" t="n"/>
      <c r="V719" s="692" t="n"/>
      <c r="W719" s="692" t="n"/>
    </row>
    <row r="720">
      <c r="A720" s="692" t="n"/>
      <c r="B720" s="692" t="n"/>
      <c r="C720" s="692" t="n"/>
      <c r="D720" s="692" t="n"/>
      <c r="E720" s="692" t="n"/>
      <c r="F720" s="692" t="n"/>
      <c r="G720" s="692" t="n"/>
      <c r="H720" s="692" t="n"/>
      <c r="I720" s="692" t="n"/>
      <c r="J720" s="692" t="n"/>
      <c r="K720" s="692" t="n"/>
      <c r="L720" s="692" t="n"/>
      <c r="M720" s="692" t="n"/>
      <c r="N720" s="692" t="n"/>
      <c r="O720" s="692" t="n"/>
      <c r="P720" s="692" t="n"/>
      <c r="Q720" s="692" t="n"/>
      <c r="R720" s="692" t="n"/>
      <c r="S720" s="692" t="n"/>
      <c r="T720" s="692" t="n"/>
      <c r="U720" s="692" t="n"/>
      <c r="V720" s="692" t="n"/>
      <c r="W720" s="692" t="n"/>
    </row>
    <row r="721">
      <c r="A721" s="692" t="n"/>
      <c r="B721" s="692" t="n"/>
      <c r="C721" s="692" t="n"/>
      <c r="D721" s="692" t="n"/>
      <c r="E721" s="692" t="n"/>
      <c r="F721" s="692" t="n"/>
      <c r="G721" s="692" t="n"/>
      <c r="H721" s="692" t="n"/>
      <c r="I721" s="692" t="n"/>
      <c r="J721" s="692" t="n"/>
      <c r="K721" s="692" t="n"/>
      <c r="L721" s="692" t="n"/>
      <c r="M721" s="692" t="n"/>
      <c r="N721" s="692" t="n"/>
      <c r="O721" s="692" t="n"/>
      <c r="P721" s="692" t="n"/>
      <c r="Q721" s="692" t="n"/>
      <c r="R721" s="692" t="n"/>
      <c r="S721" s="692" t="n"/>
      <c r="T721" s="692" t="n"/>
      <c r="U721" s="692" t="n"/>
      <c r="V721" s="692" t="n"/>
      <c r="W721" s="692" t="n"/>
    </row>
    <row r="722">
      <c r="A722" s="692" t="n"/>
      <c r="B722" s="692" t="n"/>
      <c r="C722" s="692" t="n"/>
      <c r="D722" s="692" t="n"/>
      <c r="E722" s="692" t="n"/>
      <c r="F722" s="692" t="n"/>
      <c r="G722" s="692" t="n"/>
      <c r="H722" s="692" t="n"/>
      <c r="I722" s="692" t="n"/>
      <c r="J722" s="692" t="n"/>
      <c r="K722" s="692" t="n"/>
      <c r="L722" s="692" t="n"/>
      <c r="M722" s="692" t="n"/>
      <c r="N722" s="692" t="n"/>
      <c r="O722" s="692" t="n"/>
      <c r="P722" s="692" t="n"/>
      <c r="Q722" s="692" t="n"/>
      <c r="R722" s="692" t="n"/>
      <c r="S722" s="692" t="n"/>
      <c r="T722" s="692" t="n"/>
      <c r="U722" s="692" t="n"/>
      <c r="V722" s="692" t="n"/>
      <c r="W722" s="692" t="n"/>
    </row>
    <row r="723">
      <c r="A723" s="692" t="n"/>
      <c r="B723" s="692" t="n"/>
      <c r="C723" s="692" t="n"/>
      <c r="D723" s="692" t="n"/>
      <c r="E723" s="692" t="n"/>
      <c r="F723" s="692" t="n"/>
      <c r="G723" s="692" t="n"/>
      <c r="H723" s="692" t="n"/>
      <c r="I723" s="692" t="n"/>
      <c r="J723" s="692" t="n"/>
      <c r="K723" s="692" t="n"/>
      <c r="L723" s="692" t="n"/>
      <c r="M723" s="692" t="n"/>
      <c r="N723" s="692" t="n"/>
      <c r="O723" s="692" t="n"/>
      <c r="P723" s="692" t="n"/>
      <c r="Q723" s="692" t="n"/>
      <c r="R723" s="692" t="n"/>
      <c r="S723" s="692" t="n"/>
      <c r="T723" s="692" t="n"/>
      <c r="U723" s="692" t="n"/>
      <c r="V723" s="692" t="n"/>
      <c r="W723" s="692" t="n"/>
    </row>
    <row r="724">
      <c r="A724" s="692" t="n"/>
      <c r="B724" s="692" t="n"/>
      <c r="C724" s="692" t="n"/>
      <c r="D724" s="692" t="n"/>
      <c r="E724" s="692" t="n"/>
      <c r="F724" s="692" t="n"/>
      <c r="G724" s="692" t="n"/>
      <c r="H724" s="692" t="n"/>
      <c r="I724" s="692" t="n"/>
      <c r="J724" s="692" t="n"/>
      <c r="K724" s="692" t="n"/>
      <c r="L724" s="692" t="n"/>
      <c r="M724" s="692" t="n"/>
      <c r="N724" s="692" t="n"/>
      <c r="O724" s="692" t="n"/>
      <c r="P724" s="692" t="n"/>
      <c r="Q724" s="692" t="n"/>
      <c r="R724" s="692" t="n"/>
      <c r="S724" s="692" t="n"/>
      <c r="T724" s="692" t="n"/>
      <c r="U724" s="692" t="n"/>
      <c r="V724" s="692" t="n"/>
      <c r="W724" s="692" t="n"/>
    </row>
    <row r="725">
      <c r="A725" s="692" t="n"/>
      <c r="B725" s="692" t="n"/>
      <c r="C725" s="692" t="n"/>
      <c r="D725" s="692" t="n"/>
      <c r="E725" s="692" t="n"/>
      <c r="F725" s="692" t="n"/>
      <c r="G725" s="692" t="n"/>
      <c r="H725" s="692" t="n"/>
      <c r="I725" s="692" t="n"/>
      <c r="J725" s="692" t="n"/>
      <c r="K725" s="692" t="n"/>
      <c r="L725" s="692" t="n"/>
      <c r="M725" s="692" t="n"/>
      <c r="N725" s="692" t="n"/>
      <c r="O725" s="692" t="n"/>
      <c r="P725" s="692" t="n"/>
      <c r="Q725" s="692" t="n"/>
      <c r="R725" s="692" t="n"/>
      <c r="S725" s="692" t="n"/>
      <c r="T725" s="692" t="n"/>
      <c r="U725" s="692" t="n"/>
      <c r="V725" s="692" t="n"/>
      <c r="W725" s="692" t="n"/>
    </row>
    <row r="726">
      <c r="A726" s="692" t="n"/>
      <c r="B726" s="692" t="n"/>
      <c r="C726" s="692" t="n"/>
      <c r="D726" s="692" t="n"/>
      <c r="E726" s="692" t="n"/>
      <c r="F726" s="692" t="n"/>
      <c r="G726" s="692" t="n"/>
      <c r="H726" s="692" t="n"/>
      <c r="I726" s="692" t="n"/>
      <c r="J726" s="692" t="n"/>
      <c r="K726" s="692" t="n"/>
      <c r="L726" s="692" t="n"/>
      <c r="M726" s="692" t="n"/>
      <c r="N726" s="692" t="n"/>
      <c r="O726" s="692" t="n"/>
      <c r="P726" s="692" t="n"/>
      <c r="Q726" s="692" t="n"/>
      <c r="R726" s="692" t="n"/>
      <c r="S726" s="692" t="n"/>
      <c r="T726" s="692" t="n"/>
      <c r="U726" s="692" t="n"/>
      <c r="V726" s="692" t="n"/>
      <c r="W726" s="692" t="n"/>
    </row>
    <row r="727">
      <c r="A727" s="692" t="n"/>
      <c r="B727" s="692" t="n"/>
      <c r="C727" s="692" t="n"/>
      <c r="D727" s="692" t="n"/>
      <c r="E727" s="692" t="n"/>
      <c r="F727" s="692" t="n"/>
      <c r="G727" s="692" t="n"/>
      <c r="H727" s="692" t="n"/>
      <c r="I727" s="692" t="n"/>
      <c r="J727" s="692" t="n"/>
      <c r="K727" s="692" t="n"/>
      <c r="L727" s="692" t="n"/>
      <c r="M727" s="692" t="n"/>
      <c r="N727" s="692" t="n"/>
      <c r="O727" s="692" t="n"/>
      <c r="P727" s="692" t="n"/>
      <c r="Q727" s="692" t="n"/>
      <c r="R727" s="692" t="n"/>
      <c r="S727" s="692" t="n"/>
      <c r="T727" s="692" t="n"/>
      <c r="U727" s="692" t="n"/>
      <c r="V727" s="692" t="n"/>
      <c r="W727" s="692" t="n"/>
    </row>
    <row r="728">
      <c r="A728" s="692" t="n"/>
      <c r="B728" s="692" t="n"/>
      <c r="C728" s="692" t="n"/>
      <c r="D728" s="692" t="n"/>
      <c r="E728" s="692" t="n"/>
      <c r="F728" s="692" t="n"/>
      <c r="G728" s="692" t="n"/>
      <c r="H728" s="692" t="n"/>
      <c r="I728" s="692" t="n"/>
      <c r="J728" s="692" t="n"/>
      <c r="K728" s="692" t="n"/>
      <c r="L728" s="692" t="n"/>
      <c r="M728" s="692" t="n"/>
      <c r="N728" s="692" t="n"/>
      <c r="O728" s="692" t="n"/>
      <c r="P728" s="692" t="n"/>
      <c r="Q728" s="692" t="n"/>
      <c r="R728" s="692" t="n"/>
      <c r="S728" s="692" t="n"/>
      <c r="T728" s="692" t="n"/>
      <c r="U728" s="692" t="n"/>
      <c r="V728" s="692" t="n"/>
      <c r="W728" s="692" t="n"/>
    </row>
    <row r="729">
      <c r="A729" s="692" t="n"/>
      <c r="B729" s="692" t="n"/>
      <c r="C729" s="692" t="n"/>
      <c r="D729" s="692" t="n"/>
      <c r="E729" s="692" t="n"/>
      <c r="F729" s="692" t="n"/>
      <c r="G729" s="692" t="n"/>
      <c r="H729" s="692" t="n"/>
      <c r="I729" s="692" t="n"/>
      <c r="J729" s="692" t="n"/>
      <c r="K729" s="692" t="n"/>
      <c r="L729" s="692" t="n"/>
      <c r="M729" s="692" t="n"/>
      <c r="N729" s="692" t="n"/>
      <c r="O729" s="692" t="n"/>
      <c r="P729" s="692" t="n"/>
      <c r="Q729" s="692" t="n"/>
      <c r="R729" s="692" t="n"/>
      <c r="S729" s="692" t="n"/>
      <c r="T729" s="692" t="n"/>
      <c r="U729" s="692" t="n"/>
      <c r="V729" s="692" t="n"/>
      <c r="W729" s="692" t="n"/>
    </row>
    <row r="730">
      <c r="A730" s="692" t="n"/>
      <c r="B730" s="692" t="n"/>
      <c r="C730" s="692" t="n"/>
      <c r="D730" s="692" t="n"/>
      <c r="E730" s="692" t="n"/>
      <c r="F730" s="692" t="n"/>
      <c r="G730" s="692" t="n"/>
      <c r="H730" s="692" t="n"/>
      <c r="I730" s="692" t="n"/>
      <c r="J730" s="692" t="n"/>
      <c r="K730" s="692" t="n"/>
      <c r="L730" s="692" t="n"/>
      <c r="M730" s="692" t="n"/>
      <c r="N730" s="692" t="n"/>
      <c r="O730" s="692" t="n"/>
      <c r="P730" s="692" t="n"/>
      <c r="Q730" s="692" t="n"/>
      <c r="R730" s="692" t="n"/>
      <c r="S730" s="692" t="n"/>
      <c r="T730" s="692" t="n"/>
      <c r="U730" s="692" t="n"/>
      <c r="V730" s="692" t="n"/>
      <c r="W730" s="692" t="n"/>
    </row>
    <row r="731">
      <c r="A731" s="692" t="n"/>
      <c r="B731" s="692" t="n"/>
      <c r="C731" s="692" t="n"/>
      <c r="D731" s="692" t="n"/>
      <c r="E731" s="692" t="n"/>
      <c r="F731" s="692" t="n"/>
      <c r="G731" s="692" t="n"/>
      <c r="H731" s="692" t="n"/>
      <c r="I731" s="692" t="n"/>
      <c r="J731" s="692" t="n"/>
      <c r="K731" s="692" t="n"/>
      <c r="L731" s="692" t="n"/>
      <c r="M731" s="692" t="n"/>
      <c r="N731" s="692" t="n"/>
      <c r="O731" s="692" t="n"/>
      <c r="P731" s="692" t="n"/>
      <c r="Q731" s="692" t="n"/>
      <c r="R731" s="692" t="n"/>
      <c r="S731" s="692" t="n"/>
      <c r="T731" s="692" t="n"/>
      <c r="U731" s="692" t="n"/>
      <c r="V731" s="692" t="n"/>
      <c r="W731" s="692" t="n"/>
    </row>
    <row r="732">
      <c r="A732" s="692" t="n"/>
      <c r="B732" s="692" t="n"/>
      <c r="C732" s="692" t="n"/>
      <c r="D732" s="692" t="n"/>
      <c r="E732" s="692" t="n"/>
      <c r="F732" s="692" t="n"/>
      <c r="G732" s="692" t="n"/>
      <c r="H732" s="692" t="n"/>
      <c r="I732" s="692" t="n"/>
      <c r="J732" s="692" t="n"/>
      <c r="K732" s="692" t="n"/>
      <c r="L732" s="692" t="n"/>
      <c r="M732" s="692" t="n"/>
      <c r="N732" s="692" t="n"/>
      <c r="O732" s="692" t="n"/>
      <c r="P732" s="692" t="n"/>
      <c r="Q732" s="692" t="n"/>
      <c r="R732" s="692" t="n"/>
      <c r="S732" s="692" t="n"/>
      <c r="T732" s="692" t="n"/>
      <c r="U732" s="692" t="n"/>
      <c r="V732" s="692" t="n"/>
      <c r="W732" s="692" t="n"/>
    </row>
    <row r="733">
      <c r="A733" s="692" t="n"/>
      <c r="B733" s="692" t="n"/>
      <c r="C733" s="692" t="n"/>
      <c r="D733" s="692" t="n"/>
      <c r="E733" s="692" t="n"/>
      <c r="F733" s="692" t="n"/>
      <c r="G733" s="692" t="n"/>
      <c r="H733" s="692" t="n"/>
      <c r="I733" s="692" t="n"/>
      <c r="J733" s="692" t="n"/>
      <c r="K733" s="692" t="n"/>
      <c r="L733" s="692" t="n"/>
      <c r="M733" s="692" t="n"/>
      <c r="N733" s="692" t="n"/>
      <c r="O733" s="692" t="n"/>
      <c r="P733" s="692" t="n"/>
      <c r="Q733" s="692" t="n"/>
      <c r="R733" s="692" t="n"/>
      <c r="S733" s="692" t="n"/>
      <c r="T733" s="692" t="n"/>
      <c r="U733" s="692" t="n"/>
      <c r="V733" s="692" t="n"/>
      <c r="W733" s="692" t="n"/>
    </row>
    <row r="734">
      <c r="A734" s="692" t="n"/>
      <c r="B734" s="692" t="n"/>
      <c r="C734" s="692" t="n"/>
      <c r="D734" s="692" t="n"/>
      <c r="E734" s="692" t="n"/>
      <c r="F734" s="692" t="n"/>
      <c r="G734" s="692" t="n"/>
      <c r="H734" s="692" t="n"/>
      <c r="I734" s="692" t="n"/>
      <c r="J734" s="692" t="n"/>
      <c r="K734" s="692" t="n"/>
      <c r="L734" s="692" t="n"/>
      <c r="M734" s="692" t="n"/>
      <c r="N734" s="692" t="n"/>
      <c r="O734" s="692" t="n"/>
      <c r="P734" s="692" t="n"/>
      <c r="Q734" s="692" t="n"/>
      <c r="R734" s="692" t="n"/>
      <c r="S734" s="692" t="n"/>
      <c r="T734" s="692" t="n"/>
      <c r="U734" s="692" t="n"/>
      <c r="V734" s="692" t="n"/>
      <c r="W734" s="692" t="n"/>
    </row>
    <row r="735">
      <c r="A735" s="692" t="n"/>
      <c r="B735" s="692" t="n"/>
      <c r="C735" s="692" t="n"/>
      <c r="D735" s="692" t="n"/>
      <c r="E735" s="692" t="n"/>
      <c r="F735" s="692" t="n"/>
      <c r="G735" s="692" t="n"/>
      <c r="H735" s="692" t="n"/>
      <c r="I735" s="692" t="n"/>
      <c r="J735" s="692" t="n"/>
      <c r="K735" s="692" t="n"/>
      <c r="L735" s="692" t="n"/>
      <c r="M735" s="692" t="n"/>
      <c r="N735" s="692" t="n"/>
      <c r="O735" s="692" t="n"/>
      <c r="P735" s="692" t="n"/>
      <c r="Q735" s="692" t="n"/>
      <c r="R735" s="692" t="n"/>
      <c r="S735" s="692" t="n"/>
      <c r="T735" s="692" t="n"/>
      <c r="U735" s="692" t="n"/>
      <c r="V735" s="692" t="n"/>
      <c r="W735" s="692" t="n"/>
    </row>
    <row r="736">
      <c r="A736" s="692" t="n"/>
      <c r="B736" s="692" t="n"/>
      <c r="C736" s="692" t="n"/>
      <c r="D736" s="692" t="n"/>
      <c r="E736" s="692" t="n"/>
      <c r="F736" s="692" t="n"/>
      <c r="G736" s="692" t="n"/>
      <c r="H736" s="692" t="n"/>
      <c r="I736" s="692" t="n"/>
      <c r="J736" s="692" t="n"/>
      <c r="K736" s="692" t="n"/>
      <c r="L736" s="692" t="n"/>
      <c r="M736" s="692" t="n"/>
      <c r="N736" s="692" t="n"/>
      <c r="O736" s="692" t="n"/>
      <c r="P736" s="692" t="n"/>
      <c r="Q736" s="692" t="n"/>
      <c r="R736" s="692" t="n"/>
      <c r="S736" s="692" t="n"/>
      <c r="T736" s="692" t="n"/>
      <c r="U736" s="692" t="n"/>
      <c r="V736" s="692" t="n"/>
      <c r="W736" s="692" t="n"/>
    </row>
    <row r="737">
      <c r="A737" s="692" t="n"/>
      <c r="B737" s="692" t="n"/>
      <c r="C737" s="692" t="n"/>
      <c r="D737" s="692" t="n"/>
      <c r="E737" s="692" t="n"/>
      <c r="F737" s="692" t="n"/>
      <c r="G737" s="692" t="n"/>
      <c r="H737" s="692" t="n"/>
      <c r="I737" s="692" t="n"/>
      <c r="J737" s="692" t="n"/>
      <c r="K737" s="692" t="n"/>
      <c r="L737" s="692" t="n"/>
      <c r="M737" s="692" t="n"/>
      <c r="N737" s="692" t="n"/>
      <c r="O737" s="692" t="n"/>
      <c r="P737" s="692" t="n"/>
      <c r="Q737" s="692" t="n"/>
      <c r="R737" s="692" t="n"/>
      <c r="S737" s="692" t="n"/>
      <c r="T737" s="692" t="n"/>
      <c r="U737" s="692" t="n"/>
      <c r="V737" s="692" t="n"/>
      <c r="W737" s="692" t="n"/>
    </row>
    <row r="738">
      <c r="A738" s="692" t="n"/>
      <c r="B738" s="692" t="n"/>
      <c r="C738" s="692" t="n"/>
      <c r="D738" s="692" t="n"/>
      <c r="E738" s="692" t="n"/>
      <c r="F738" s="692" t="n"/>
      <c r="G738" s="692" t="n"/>
      <c r="H738" s="692" t="n"/>
      <c r="I738" s="692" t="n"/>
      <c r="J738" s="692" t="n"/>
      <c r="K738" s="692" t="n"/>
      <c r="L738" s="692" t="n"/>
      <c r="M738" s="692" t="n"/>
      <c r="N738" s="692" t="n"/>
      <c r="O738" s="692" t="n"/>
      <c r="P738" s="692" t="n"/>
      <c r="Q738" s="692" t="n"/>
      <c r="R738" s="692" t="n"/>
      <c r="S738" s="692" t="n"/>
      <c r="T738" s="692" t="n"/>
      <c r="U738" s="692" t="n"/>
      <c r="V738" s="692" t="n"/>
      <c r="W738" s="692" t="n"/>
    </row>
    <row r="739">
      <c r="A739" s="692" t="n"/>
      <c r="B739" s="692" t="n"/>
      <c r="C739" s="692" t="n"/>
      <c r="D739" s="692" t="n"/>
      <c r="E739" s="692" t="n"/>
      <c r="F739" s="692" t="n"/>
      <c r="G739" s="692" t="n"/>
      <c r="H739" s="692" t="n"/>
      <c r="I739" s="692" t="n"/>
      <c r="J739" s="692" t="n"/>
      <c r="K739" s="692" t="n"/>
      <c r="L739" s="692" t="n"/>
      <c r="M739" s="692" t="n"/>
      <c r="N739" s="692" t="n"/>
      <c r="O739" s="692" t="n"/>
      <c r="P739" s="692" t="n"/>
      <c r="Q739" s="692" t="n"/>
      <c r="R739" s="692" t="n"/>
      <c r="S739" s="692" t="n"/>
      <c r="T739" s="692" t="n"/>
      <c r="U739" s="692" t="n"/>
      <c r="V739" s="692" t="n"/>
      <c r="W739" s="692" t="n"/>
    </row>
    <row r="740">
      <c r="A740" s="692" t="n"/>
      <c r="B740" s="692" t="n"/>
      <c r="C740" s="692" t="n"/>
      <c r="D740" s="692" t="n"/>
      <c r="E740" s="692" t="n"/>
      <c r="F740" s="692" t="n"/>
      <c r="G740" s="692" t="n"/>
      <c r="H740" s="692" t="n"/>
      <c r="I740" s="692" t="n"/>
      <c r="J740" s="692" t="n"/>
      <c r="K740" s="692" t="n"/>
      <c r="L740" s="692" t="n"/>
      <c r="M740" s="692" t="n"/>
      <c r="N740" s="692" t="n"/>
      <c r="O740" s="692" t="n"/>
      <c r="P740" s="692" t="n"/>
      <c r="Q740" s="692" t="n"/>
      <c r="R740" s="692" t="n"/>
      <c r="S740" s="692" t="n"/>
      <c r="T740" s="692" t="n"/>
      <c r="U740" s="692" t="n"/>
      <c r="V740" s="692" t="n"/>
      <c r="W740" s="692" t="n"/>
    </row>
    <row r="741">
      <c r="A741" s="692" t="n"/>
      <c r="B741" s="692" t="n"/>
      <c r="C741" s="692" t="n"/>
      <c r="D741" s="692" t="n"/>
      <c r="E741" s="692" t="n"/>
      <c r="F741" s="692" t="n"/>
      <c r="G741" s="692" t="n"/>
      <c r="H741" s="692" t="n"/>
      <c r="I741" s="692" t="n"/>
      <c r="J741" s="692" t="n"/>
      <c r="K741" s="692" t="n"/>
      <c r="L741" s="692" t="n"/>
      <c r="M741" s="692" t="n"/>
      <c r="N741" s="692" t="n"/>
      <c r="O741" s="692" t="n"/>
      <c r="P741" s="692" t="n"/>
      <c r="Q741" s="692" t="n"/>
      <c r="R741" s="692" t="n"/>
      <c r="S741" s="692" t="n"/>
      <c r="T741" s="692" t="n"/>
      <c r="U741" s="692" t="n"/>
      <c r="V741" s="692" t="n"/>
      <c r="W741" s="692" t="n"/>
    </row>
    <row r="742">
      <c r="A742" s="692" t="n"/>
      <c r="B742" s="692" t="n"/>
      <c r="C742" s="692" t="n"/>
      <c r="D742" s="692" t="n"/>
      <c r="E742" s="692" t="n"/>
      <c r="F742" s="692" t="n"/>
      <c r="G742" s="692" t="n"/>
      <c r="H742" s="692" t="n"/>
      <c r="I742" s="692" t="n"/>
      <c r="J742" s="692" t="n"/>
      <c r="K742" s="692" t="n"/>
      <c r="L742" s="692" t="n"/>
      <c r="M742" s="692" t="n"/>
      <c r="N742" s="692" t="n"/>
      <c r="O742" s="692" t="n"/>
      <c r="P742" s="692" t="n"/>
      <c r="Q742" s="692" t="n"/>
      <c r="R742" s="692" t="n"/>
      <c r="S742" s="692" t="n"/>
      <c r="T742" s="692" t="n"/>
      <c r="U742" s="692" t="n"/>
      <c r="V742" s="692" t="n"/>
      <c r="W742" s="692" t="n"/>
    </row>
    <row r="743">
      <c r="A743" s="692" t="n"/>
      <c r="B743" s="692" t="n"/>
      <c r="C743" s="692" t="n"/>
      <c r="D743" s="692" t="n"/>
      <c r="E743" s="692" t="n"/>
      <c r="F743" s="692" t="n"/>
      <c r="G743" s="692" t="n"/>
      <c r="H743" s="692" t="n"/>
      <c r="I743" s="692" t="n"/>
      <c r="J743" s="692" t="n"/>
      <c r="K743" s="692" t="n"/>
      <c r="L743" s="692" t="n"/>
      <c r="M743" s="692" t="n"/>
      <c r="N743" s="692" t="n"/>
      <c r="O743" s="692" t="n"/>
      <c r="P743" s="692" t="n"/>
      <c r="Q743" s="692" t="n"/>
      <c r="R743" s="692" t="n"/>
      <c r="S743" s="692" t="n"/>
      <c r="T743" s="692" t="n"/>
      <c r="U743" s="692" t="n"/>
      <c r="V743" s="692" t="n"/>
      <c r="W743" s="692" t="n"/>
    </row>
    <row r="744">
      <c r="A744" s="692" t="n"/>
      <c r="B744" s="692" t="n"/>
      <c r="C744" s="692" t="n"/>
      <c r="D744" s="692" t="n"/>
      <c r="E744" s="692" t="n"/>
      <c r="F744" s="692" t="n"/>
      <c r="G744" s="692" t="n"/>
      <c r="H744" s="692" t="n"/>
      <c r="I744" s="692" t="n"/>
      <c r="J744" s="692" t="n"/>
      <c r="K744" s="692" t="n"/>
      <c r="L744" s="692" t="n"/>
      <c r="M744" s="692" t="n"/>
      <c r="N744" s="692" t="n"/>
      <c r="O744" s="692" t="n"/>
      <c r="P744" s="692" t="n"/>
      <c r="Q744" s="692" t="n"/>
      <c r="R744" s="692" t="n"/>
      <c r="S744" s="692" t="n"/>
      <c r="T744" s="692" t="n"/>
      <c r="U744" s="692" t="n"/>
      <c r="V744" s="692" t="n"/>
      <c r="W744" s="692" t="n"/>
    </row>
    <row r="745">
      <c r="A745" s="692" t="n"/>
      <c r="B745" s="692" t="n"/>
      <c r="C745" s="692" t="n"/>
      <c r="D745" s="692" t="n"/>
      <c r="E745" s="692" t="n"/>
      <c r="F745" s="692" t="n"/>
      <c r="G745" s="692" t="n"/>
      <c r="H745" s="692" t="n"/>
      <c r="I745" s="692" t="n"/>
      <c r="J745" s="692" t="n"/>
      <c r="K745" s="692" t="n"/>
      <c r="L745" s="692" t="n"/>
      <c r="M745" s="692" t="n"/>
      <c r="N745" s="692" t="n"/>
      <c r="O745" s="692" t="n"/>
      <c r="P745" s="692" t="n"/>
      <c r="Q745" s="692" t="n"/>
      <c r="R745" s="692" t="n"/>
      <c r="S745" s="692" t="n"/>
      <c r="T745" s="692" t="n"/>
      <c r="U745" s="692" t="n"/>
      <c r="V745" s="692" t="n"/>
      <c r="W745" s="692" t="n"/>
    </row>
    <row r="746">
      <c r="A746" s="692" t="n"/>
      <c r="B746" s="692" t="n"/>
      <c r="C746" s="692" t="n"/>
      <c r="D746" s="692" t="n"/>
      <c r="E746" s="692" t="n"/>
      <c r="F746" s="692" t="n"/>
      <c r="G746" s="692" t="n"/>
      <c r="H746" s="692" t="n"/>
      <c r="I746" s="692" t="n"/>
      <c r="J746" s="692" t="n"/>
      <c r="K746" s="692" t="n"/>
      <c r="L746" s="692" t="n"/>
      <c r="M746" s="692" t="n"/>
      <c r="N746" s="692" t="n"/>
      <c r="O746" s="692" t="n"/>
      <c r="P746" s="692" t="n"/>
      <c r="Q746" s="692" t="n"/>
      <c r="R746" s="692" t="n"/>
      <c r="S746" s="692" t="n"/>
      <c r="T746" s="692" t="n"/>
      <c r="U746" s="692" t="n"/>
      <c r="V746" s="692" t="n"/>
      <c r="W746" s="692" t="n"/>
    </row>
    <row r="747">
      <c r="A747" s="692" t="n"/>
      <c r="B747" s="692" t="n"/>
      <c r="C747" s="692" t="n"/>
      <c r="D747" s="692" t="n"/>
      <c r="E747" s="692" t="n"/>
      <c r="F747" s="692" t="n"/>
      <c r="G747" s="692" t="n"/>
      <c r="H747" s="692" t="n"/>
      <c r="I747" s="692" t="n"/>
      <c r="J747" s="692" t="n"/>
      <c r="K747" s="692" t="n"/>
      <c r="L747" s="692" t="n"/>
      <c r="M747" s="692" t="n"/>
      <c r="N747" s="692" t="n"/>
      <c r="O747" s="692" t="n"/>
      <c r="P747" s="692" t="n"/>
      <c r="Q747" s="692" t="n"/>
      <c r="R747" s="692" t="n"/>
      <c r="S747" s="692" t="n"/>
      <c r="T747" s="692" t="n"/>
      <c r="U747" s="692" t="n"/>
      <c r="V747" s="692" t="n"/>
      <c r="W747" s="692" t="n"/>
    </row>
    <row r="748">
      <c r="A748" s="692" t="n"/>
      <c r="B748" s="692" t="n"/>
      <c r="C748" s="692" t="n"/>
      <c r="D748" s="692" t="n"/>
      <c r="E748" s="692" t="n"/>
      <c r="F748" s="692" t="n"/>
      <c r="G748" s="692" t="n"/>
      <c r="H748" s="692" t="n"/>
      <c r="I748" s="692" t="n"/>
      <c r="J748" s="692" t="n"/>
      <c r="K748" s="692" t="n"/>
      <c r="L748" s="692" t="n"/>
      <c r="M748" s="692" t="n"/>
      <c r="N748" s="692" t="n"/>
      <c r="O748" s="692" t="n"/>
      <c r="P748" s="692" t="n"/>
      <c r="Q748" s="692" t="n"/>
      <c r="R748" s="692" t="n"/>
      <c r="S748" s="692" t="n"/>
      <c r="T748" s="692" t="n"/>
      <c r="U748" s="692" t="n"/>
      <c r="V748" s="692" t="n"/>
      <c r="W748" s="692" t="n"/>
    </row>
    <row r="749">
      <c r="A749" s="692" t="n"/>
      <c r="B749" s="692" t="n"/>
      <c r="C749" s="692" t="n"/>
      <c r="D749" s="692" t="n"/>
      <c r="E749" s="692" t="n"/>
      <c r="F749" s="692" t="n"/>
      <c r="G749" s="692" t="n"/>
      <c r="H749" s="692" t="n"/>
      <c r="I749" s="692" t="n"/>
      <c r="J749" s="692" t="n"/>
      <c r="K749" s="692" t="n"/>
      <c r="L749" s="692" t="n"/>
      <c r="M749" s="692" t="n"/>
      <c r="N749" s="692" t="n"/>
      <c r="O749" s="692" t="n"/>
      <c r="P749" s="692" t="n"/>
      <c r="Q749" s="692" t="n"/>
      <c r="R749" s="692" t="n"/>
      <c r="S749" s="692" t="n"/>
      <c r="T749" s="692" t="n"/>
      <c r="U749" s="692" t="n"/>
      <c r="V749" s="692" t="n"/>
      <c r="W749" s="692" t="n"/>
    </row>
    <row r="750">
      <c r="A750" s="692" t="n"/>
      <c r="B750" s="692" t="n"/>
      <c r="C750" s="692" t="n"/>
      <c r="D750" s="692" t="n"/>
      <c r="E750" s="692" t="n"/>
      <c r="F750" s="692" t="n"/>
      <c r="G750" s="692" t="n"/>
      <c r="H750" s="692" t="n"/>
      <c r="I750" s="692" t="n"/>
      <c r="J750" s="692" t="n"/>
      <c r="K750" s="692" t="n"/>
      <c r="L750" s="692" t="n"/>
      <c r="M750" s="692" t="n"/>
      <c r="N750" s="692" t="n"/>
      <c r="O750" s="692" t="n"/>
      <c r="P750" s="692" t="n"/>
      <c r="Q750" s="692" t="n"/>
      <c r="R750" s="692" t="n"/>
      <c r="S750" s="692" t="n"/>
      <c r="T750" s="692" t="n"/>
      <c r="U750" s="692" t="n"/>
      <c r="V750" s="692" t="n"/>
      <c r="W750" s="692" t="n"/>
    </row>
    <row r="751">
      <c r="A751" s="692" t="n"/>
      <c r="B751" s="692" t="n"/>
      <c r="C751" s="692" t="n"/>
      <c r="D751" s="692" t="n"/>
      <c r="E751" s="692" t="n"/>
      <c r="F751" s="692" t="n"/>
      <c r="G751" s="692" t="n"/>
      <c r="H751" s="692" t="n"/>
      <c r="I751" s="692" t="n"/>
      <c r="J751" s="692" t="n"/>
      <c r="K751" s="692" t="n"/>
      <c r="L751" s="692" t="n"/>
      <c r="M751" s="692" t="n"/>
      <c r="N751" s="692" t="n"/>
      <c r="O751" s="692" t="n"/>
      <c r="P751" s="692" t="n"/>
      <c r="Q751" s="692" t="n"/>
      <c r="R751" s="692" t="n"/>
      <c r="S751" s="692" t="n"/>
      <c r="T751" s="692" t="n"/>
      <c r="U751" s="692" t="n"/>
      <c r="V751" s="692" t="n"/>
      <c r="W751" s="692" t="n"/>
    </row>
    <row r="752">
      <c r="A752" s="692" t="n"/>
      <c r="B752" s="692" t="n"/>
      <c r="C752" s="692" t="n"/>
      <c r="D752" s="692" t="n"/>
      <c r="E752" s="692" t="n"/>
      <c r="F752" s="692" t="n"/>
      <c r="G752" s="692" t="n"/>
      <c r="H752" s="692" t="n"/>
      <c r="I752" s="692" t="n"/>
      <c r="J752" s="692" t="n"/>
      <c r="K752" s="692" t="n"/>
      <c r="L752" s="692" t="n"/>
      <c r="M752" s="692" t="n"/>
      <c r="N752" s="692" t="n"/>
      <c r="O752" s="692" t="n"/>
      <c r="P752" s="692" t="n"/>
      <c r="Q752" s="692" t="n"/>
      <c r="R752" s="692" t="n"/>
      <c r="S752" s="692" t="n"/>
      <c r="T752" s="692" t="n"/>
      <c r="U752" s="692" t="n"/>
      <c r="V752" s="692" t="n"/>
      <c r="W752" s="692" t="n"/>
    </row>
    <row r="753">
      <c r="A753" s="692" t="n"/>
      <c r="B753" s="692" t="n"/>
      <c r="C753" s="692" t="n"/>
      <c r="D753" s="692" t="n"/>
      <c r="E753" s="692" t="n"/>
      <c r="F753" s="692" t="n"/>
      <c r="G753" s="692" t="n"/>
      <c r="H753" s="692" t="n"/>
      <c r="I753" s="692" t="n"/>
      <c r="J753" s="692" t="n"/>
      <c r="K753" s="692" t="n"/>
      <c r="L753" s="692" t="n"/>
      <c r="M753" s="692" t="n"/>
      <c r="N753" s="692" t="n"/>
      <c r="O753" s="692" t="n"/>
      <c r="P753" s="692" t="n"/>
      <c r="Q753" s="692" t="n"/>
      <c r="R753" s="692" t="n"/>
      <c r="S753" s="692" t="n"/>
      <c r="T753" s="692" t="n"/>
      <c r="U753" s="692" t="n"/>
      <c r="V753" s="692" t="n"/>
      <c r="W753" s="692" t="n"/>
    </row>
    <row r="754">
      <c r="A754" s="692" t="n"/>
      <c r="B754" s="692" t="n"/>
      <c r="C754" s="692" t="n"/>
      <c r="D754" s="692" t="n"/>
      <c r="E754" s="692" t="n"/>
      <c r="F754" s="692" t="n"/>
      <c r="G754" s="692" t="n"/>
      <c r="H754" s="692" t="n"/>
      <c r="I754" s="692" t="n"/>
      <c r="J754" s="692" t="n"/>
      <c r="K754" s="692" t="n"/>
      <c r="L754" s="692" t="n"/>
      <c r="M754" s="692" t="n"/>
      <c r="N754" s="692" t="n"/>
      <c r="O754" s="692" t="n"/>
      <c r="P754" s="692" t="n"/>
      <c r="Q754" s="692" t="n"/>
      <c r="R754" s="692" t="n"/>
      <c r="S754" s="692" t="n"/>
      <c r="T754" s="692" t="n"/>
      <c r="U754" s="692" t="n"/>
      <c r="V754" s="692" t="n"/>
      <c r="W754" s="692" t="n"/>
    </row>
    <row r="755">
      <c r="A755" s="692" t="n"/>
      <c r="B755" s="692" t="n"/>
      <c r="C755" s="692" t="n"/>
      <c r="D755" s="692" t="n"/>
      <c r="E755" s="692" t="n"/>
      <c r="F755" s="692" t="n"/>
      <c r="G755" s="692" t="n"/>
      <c r="H755" s="692" t="n"/>
      <c r="I755" s="692" t="n"/>
      <c r="J755" s="692" t="n"/>
      <c r="K755" s="692" t="n"/>
      <c r="L755" s="692" t="n"/>
      <c r="M755" s="692" t="n"/>
      <c r="N755" s="692" t="n"/>
      <c r="O755" s="692" t="n"/>
      <c r="P755" s="692" t="n"/>
      <c r="Q755" s="692" t="n"/>
      <c r="R755" s="692" t="n"/>
      <c r="S755" s="692" t="n"/>
      <c r="T755" s="692" t="n"/>
      <c r="U755" s="692" t="n"/>
      <c r="V755" s="692" t="n"/>
      <c r="W755" s="692" t="n"/>
    </row>
    <row r="756">
      <c r="A756" s="692" t="n"/>
      <c r="B756" s="692" t="n"/>
      <c r="C756" s="692" t="n"/>
      <c r="D756" s="692" t="n"/>
      <c r="E756" s="692" t="n"/>
      <c r="F756" s="692" t="n"/>
      <c r="G756" s="692" t="n"/>
      <c r="H756" s="692" t="n"/>
      <c r="I756" s="692" t="n"/>
      <c r="J756" s="692" t="n"/>
      <c r="K756" s="692" t="n"/>
      <c r="L756" s="692" t="n"/>
      <c r="M756" s="692" t="n"/>
      <c r="N756" s="692" t="n"/>
      <c r="O756" s="692" t="n"/>
      <c r="P756" s="692" t="n"/>
      <c r="Q756" s="692" t="n"/>
      <c r="R756" s="692" t="n"/>
      <c r="S756" s="692" t="n"/>
      <c r="T756" s="692" t="n"/>
      <c r="U756" s="692" t="n"/>
      <c r="V756" s="692" t="n"/>
      <c r="W756" s="692" t="n"/>
    </row>
    <row r="757">
      <c r="A757" s="692" t="n"/>
      <c r="B757" s="692" t="n"/>
      <c r="C757" s="692" t="n"/>
      <c r="D757" s="692" t="n"/>
      <c r="E757" s="692" t="n"/>
      <c r="F757" s="692" t="n"/>
      <c r="G757" s="692" t="n"/>
      <c r="H757" s="692" t="n"/>
      <c r="I757" s="692" t="n"/>
      <c r="J757" s="692" t="n"/>
      <c r="K757" s="692" t="n"/>
      <c r="L757" s="692" t="n"/>
      <c r="M757" s="692" t="n"/>
      <c r="N757" s="692" t="n"/>
      <c r="O757" s="692" t="n"/>
      <c r="P757" s="692" t="n"/>
      <c r="Q757" s="692" t="n"/>
      <c r="R757" s="692" t="n"/>
      <c r="S757" s="692" t="n"/>
      <c r="T757" s="692" t="n"/>
      <c r="U757" s="692" t="n"/>
      <c r="V757" s="692" t="n"/>
      <c r="W757" s="692" t="n"/>
    </row>
    <row r="758">
      <c r="A758" s="692" t="n"/>
      <c r="B758" s="692" t="n"/>
      <c r="C758" s="692" t="n"/>
      <c r="D758" s="692" t="n"/>
      <c r="E758" s="692" t="n"/>
      <c r="F758" s="692" t="n"/>
      <c r="G758" s="692" t="n"/>
      <c r="H758" s="692" t="n"/>
      <c r="I758" s="692" t="n"/>
      <c r="J758" s="692" t="n"/>
      <c r="K758" s="692" t="n"/>
      <c r="L758" s="692" t="n"/>
      <c r="M758" s="692" t="n"/>
      <c r="N758" s="692" t="n"/>
      <c r="O758" s="692" t="n"/>
      <c r="P758" s="692" t="n"/>
      <c r="Q758" s="692" t="n"/>
      <c r="R758" s="692" t="n"/>
      <c r="S758" s="692" t="n"/>
      <c r="T758" s="692" t="n"/>
      <c r="U758" s="692" t="n"/>
      <c r="V758" s="692" t="n"/>
      <c r="W758" s="692" t="n"/>
    </row>
    <row r="759">
      <c r="A759" s="692" t="n"/>
      <c r="B759" s="692" t="n"/>
      <c r="C759" s="692" t="n"/>
      <c r="D759" s="692" t="n"/>
      <c r="E759" s="692" t="n"/>
      <c r="F759" s="692" t="n"/>
      <c r="G759" s="692" t="n"/>
      <c r="H759" s="692" t="n"/>
      <c r="I759" s="692" t="n"/>
      <c r="J759" s="692" t="n"/>
      <c r="K759" s="692" t="n"/>
      <c r="L759" s="692" t="n"/>
      <c r="M759" s="692" t="n"/>
      <c r="N759" s="692" t="n"/>
      <c r="O759" s="692" t="n"/>
      <c r="P759" s="692" t="n"/>
      <c r="Q759" s="692" t="n"/>
      <c r="R759" s="692" t="n"/>
      <c r="S759" s="692" t="n"/>
      <c r="T759" s="692" t="n"/>
      <c r="U759" s="692" t="n"/>
      <c r="V759" s="692" t="n"/>
      <c r="W759" s="692" t="n"/>
    </row>
    <row r="760">
      <c r="A760" s="692" t="n"/>
      <c r="B760" s="692" t="n"/>
      <c r="C760" s="692" t="n"/>
      <c r="D760" s="692" t="n"/>
      <c r="E760" s="692" t="n"/>
      <c r="F760" s="692" t="n"/>
      <c r="G760" s="692" t="n"/>
      <c r="H760" s="692" t="n"/>
      <c r="I760" s="692" t="n"/>
      <c r="J760" s="692" t="n"/>
      <c r="K760" s="692" t="n"/>
      <c r="L760" s="692" t="n"/>
      <c r="M760" s="692" t="n"/>
      <c r="N760" s="692" t="n"/>
      <c r="O760" s="692" t="n"/>
      <c r="P760" s="692" t="n"/>
      <c r="Q760" s="692" t="n"/>
      <c r="R760" s="692" t="n"/>
      <c r="S760" s="692" t="n"/>
      <c r="T760" s="692" t="n"/>
      <c r="U760" s="692" t="n"/>
      <c r="V760" s="692" t="n"/>
      <c r="W760" s="692" t="n"/>
    </row>
    <row r="761">
      <c r="A761" s="692" t="n"/>
      <c r="B761" s="692" t="n"/>
      <c r="C761" s="692" t="n"/>
      <c r="D761" s="692" t="n"/>
      <c r="E761" s="692" t="n"/>
      <c r="F761" s="692" t="n"/>
      <c r="G761" s="692" t="n"/>
      <c r="H761" s="692" t="n"/>
      <c r="I761" s="692" t="n"/>
      <c r="J761" s="692" t="n"/>
      <c r="K761" s="692" t="n"/>
      <c r="L761" s="692" t="n"/>
      <c r="M761" s="692" t="n"/>
      <c r="N761" s="692" t="n"/>
      <c r="O761" s="692" t="n"/>
      <c r="P761" s="692" t="n"/>
      <c r="Q761" s="692" t="n"/>
      <c r="R761" s="692" t="n"/>
      <c r="S761" s="692" t="n"/>
      <c r="T761" s="692" t="n"/>
      <c r="U761" s="692" t="n"/>
      <c r="V761" s="692" t="n"/>
      <c r="W761" s="692" t="n"/>
    </row>
    <row r="762">
      <c r="A762" s="692" t="n"/>
      <c r="B762" s="692" t="n"/>
      <c r="C762" s="692" t="n"/>
      <c r="D762" s="692" t="n"/>
      <c r="E762" s="692" t="n"/>
      <c r="F762" s="692" t="n"/>
      <c r="G762" s="692" t="n"/>
      <c r="H762" s="692" t="n"/>
      <c r="I762" s="692" t="n"/>
      <c r="J762" s="692" t="n"/>
      <c r="K762" s="692" t="n"/>
      <c r="L762" s="692" t="n"/>
      <c r="M762" s="692" t="n"/>
      <c r="N762" s="692" t="n"/>
      <c r="O762" s="692" t="n"/>
      <c r="P762" s="692" t="n"/>
      <c r="Q762" s="692" t="n"/>
      <c r="R762" s="692" t="n"/>
      <c r="S762" s="692" t="n"/>
      <c r="T762" s="692" t="n"/>
      <c r="U762" s="692" t="n"/>
      <c r="V762" s="692" t="n"/>
      <c r="W762" s="692" t="n"/>
    </row>
    <row r="763">
      <c r="A763" s="692" t="n"/>
      <c r="B763" s="692" t="n"/>
      <c r="C763" s="692" t="n"/>
      <c r="D763" s="692" t="n"/>
      <c r="E763" s="692" t="n"/>
      <c r="F763" s="692" t="n"/>
      <c r="G763" s="692" t="n"/>
      <c r="H763" s="692" t="n"/>
      <c r="I763" s="692" t="n"/>
      <c r="J763" s="692" t="n"/>
      <c r="K763" s="692" t="n"/>
      <c r="L763" s="692" t="n"/>
      <c r="M763" s="692" t="n"/>
      <c r="N763" s="692" t="n"/>
      <c r="O763" s="692" t="n"/>
      <c r="P763" s="692" t="n"/>
      <c r="Q763" s="692" t="n"/>
      <c r="R763" s="692" t="n"/>
      <c r="S763" s="692" t="n"/>
      <c r="T763" s="692" t="n"/>
      <c r="U763" s="692" t="n"/>
      <c r="V763" s="692" t="n"/>
      <c r="W763" s="692" t="n"/>
    </row>
    <row r="764">
      <c r="A764" s="692" t="n"/>
      <c r="B764" s="692" t="n"/>
      <c r="C764" s="692" t="n"/>
      <c r="D764" s="692" t="n"/>
      <c r="E764" s="692" t="n"/>
      <c r="F764" s="692" t="n"/>
      <c r="G764" s="692" t="n"/>
      <c r="H764" s="692" t="n"/>
      <c r="I764" s="692" t="n"/>
      <c r="J764" s="692" t="n"/>
      <c r="K764" s="692" t="n"/>
      <c r="L764" s="692" t="n"/>
      <c r="M764" s="692" t="n"/>
      <c r="N764" s="692" t="n"/>
      <c r="O764" s="692" t="n"/>
      <c r="P764" s="692" t="n"/>
      <c r="Q764" s="692" t="n"/>
      <c r="R764" s="692" t="n"/>
      <c r="S764" s="692" t="n"/>
      <c r="T764" s="692" t="n"/>
      <c r="U764" s="692" t="n"/>
      <c r="V764" s="692" t="n"/>
      <c r="W764" s="692" t="n"/>
    </row>
    <row r="765">
      <c r="A765" s="692" t="n"/>
      <c r="B765" s="692" t="n"/>
      <c r="C765" s="692" t="n"/>
      <c r="D765" s="692" t="n"/>
      <c r="E765" s="692" t="n"/>
      <c r="F765" s="692" t="n"/>
      <c r="G765" s="692" t="n"/>
      <c r="H765" s="692" t="n"/>
      <c r="I765" s="692" t="n"/>
      <c r="J765" s="692" t="n"/>
      <c r="K765" s="692" t="n"/>
      <c r="L765" s="692" t="n"/>
      <c r="M765" s="692" t="n"/>
      <c r="N765" s="692" t="n"/>
      <c r="O765" s="692" t="n"/>
      <c r="P765" s="692" t="n"/>
      <c r="Q765" s="692" t="n"/>
      <c r="R765" s="692" t="n"/>
      <c r="S765" s="692" t="n"/>
      <c r="T765" s="692" t="n"/>
      <c r="U765" s="692" t="n"/>
      <c r="V765" s="692" t="n"/>
      <c r="W765" s="692" t="n"/>
    </row>
    <row r="766">
      <c r="A766" s="692" t="n"/>
      <c r="B766" s="692" t="n"/>
      <c r="C766" s="692" t="n"/>
      <c r="D766" s="692" t="n"/>
      <c r="E766" s="692" t="n"/>
      <c r="F766" s="692" t="n"/>
      <c r="G766" s="692" t="n"/>
      <c r="H766" s="692" t="n"/>
      <c r="I766" s="692" t="n"/>
      <c r="J766" s="692" t="n"/>
      <c r="K766" s="692" t="n"/>
      <c r="L766" s="692" t="n"/>
      <c r="M766" s="692" t="n"/>
      <c r="N766" s="692" t="n"/>
      <c r="O766" s="692" t="n"/>
      <c r="P766" s="692" t="n"/>
      <c r="Q766" s="692" t="n"/>
      <c r="R766" s="692" t="n"/>
      <c r="S766" s="692" t="n"/>
      <c r="T766" s="692" t="n"/>
      <c r="U766" s="692" t="n"/>
      <c r="V766" s="692" t="n"/>
      <c r="W766" s="692" t="n"/>
    </row>
    <row r="767">
      <c r="A767" s="692" t="n"/>
      <c r="B767" s="692" t="n"/>
      <c r="C767" s="692" t="n"/>
      <c r="D767" s="692" t="n"/>
      <c r="E767" s="692" t="n"/>
      <c r="F767" s="692" t="n"/>
      <c r="G767" s="692" t="n"/>
      <c r="H767" s="692" t="n"/>
      <c r="I767" s="692" t="n"/>
      <c r="J767" s="692" t="n"/>
      <c r="K767" s="692" t="n"/>
      <c r="L767" s="692" t="n"/>
      <c r="M767" s="692" t="n"/>
      <c r="N767" s="692" t="n"/>
      <c r="O767" s="692" t="n"/>
      <c r="P767" s="692" t="n"/>
      <c r="Q767" s="692" t="n"/>
      <c r="R767" s="692" t="n"/>
      <c r="S767" s="692" t="n"/>
      <c r="T767" s="692" t="n"/>
      <c r="U767" s="692" t="n"/>
      <c r="V767" s="692" t="n"/>
      <c r="W767" s="692" t="n"/>
    </row>
    <row r="768">
      <c r="A768" s="692" t="n"/>
      <c r="B768" s="692" t="n"/>
      <c r="C768" s="692" t="n"/>
      <c r="D768" s="692" t="n"/>
      <c r="E768" s="692" t="n"/>
      <c r="F768" s="692" t="n"/>
      <c r="G768" s="692" t="n"/>
      <c r="H768" s="692" t="n"/>
      <c r="I768" s="692" t="n"/>
      <c r="J768" s="692" t="n"/>
      <c r="K768" s="692" t="n"/>
      <c r="L768" s="692" t="n"/>
      <c r="M768" s="692" t="n"/>
      <c r="N768" s="692" t="n"/>
      <c r="O768" s="692" t="n"/>
      <c r="P768" s="692" t="n"/>
      <c r="Q768" s="692" t="n"/>
      <c r="R768" s="692" t="n"/>
      <c r="S768" s="692" t="n"/>
      <c r="T768" s="692" t="n"/>
      <c r="U768" s="692" t="n"/>
      <c r="V768" s="692" t="n"/>
      <c r="W768" s="692" t="n"/>
    </row>
    <row r="769">
      <c r="A769" s="692" t="n"/>
      <c r="B769" s="692" t="n"/>
      <c r="C769" s="692" t="n"/>
      <c r="D769" s="692" t="n"/>
      <c r="E769" s="692" t="n"/>
      <c r="F769" s="692" t="n"/>
      <c r="G769" s="692" t="n"/>
      <c r="H769" s="692" t="n"/>
      <c r="I769" s="692" t="n"/>
      <c r="J769" s="692" t="n"/>
      <c r="K769" s="692" t="n"/>
      <c r="L769" s="692" t="n"/>
      <c r="M769" s="692" t="n"/>
      <c r="N769" s="692" t="n"/>
      <c r="O769" s="692" t="n"/>
      <c r="P769" s="692" t="n"/>
      <c r="Q769" s="692" t="n"/>
      <c r="R769" s="692" t="n"/>
      <c r="S769" s="692" t="n"/>
      <c r="T769" s="692" t="n"/>
      <c r="U769" s="692" t="n"/>
      <c r="V769" s="692" t="n"/>
      <c r="W769" s="692" t="n"/>
    </row>
    <row r="770">
      <c r="A770" s="692" t="n"/>
      <c r="B770" s="692" t="n"/>
      <c r="C770" s="692" t="n"/>
      <c r="D770" s="692" t="n"/>
      <c r="E770" s="692" t="n"/>
      <c r="F770" s="692" t="n"/>
      <c r="G770" s="692" t="n"/>
      <c r="H770" s="692" t="n"/>
      <c r="I770" s="692" t="n"/>
      <c r="J770" s="692" t="n"/>
      <c r="K770" s="692" t="n"/>
      <c r="L770" s="692" t="n"/>
      <c r="M770" s="692" t="n"/>
      <c r="N770" s="692" t="n"/>
      <c r="O770" s="692" t="n"/>
      <c r="P770" s="692" t="n"/>
      <c r="Q770" s="692" t="n"/>
      <c r="R770" s="692" t="n"/>
      <c r="S770" s="692" t="n"/>
      <c r="T770" s="692" t="n"/>
      <c r="U770" s="692" t="n"/>
      <c r="V770" s="692" t="n"/>
      <c r="W770" s="692" t="n"/>
    </row>
    <row r="771">
      <c r="A771" s="692" t="n"/>
      <c r="B771" s="692" t="n"/>
      <c r="C771" s="692" t="n"/>
      <c r="D771" s="692" t="n"/>
      <c r="E771" s="692" t="n"/>
      <c r="F771" s="692" t="n"/>
      <c r="G771" s="692" t="n"/>
      <c r="H771" s="692" t="n"/>
      <c r="I771" s="692" t="n"/>
      <c r="J771" s="692" t="n"/>
      <c r="K771" s="692" t="n"/>
      <c r="L771" s="692" t="n"/>
      <c r="M771" s="692" t="n"/>
      <c r="N771" s="692" t="n"/>
      <c r="O771" s="692" t="n"/>
      <c r="P771" s="692" t="n"/>
      <c r="Q771" s="692" t="n"/>
      <c r="R771" s="692" t="n"/>
      <c r="S771" s="692" t="n"/>
      <c r="T771" s="692" t="n"/>
      <c r="U771" s="692" t="n"/>
      <c r="V771" s="692" t="n"/>
      <c r="W771" s="692" t="n"/>
    </row>
    <row r="772">
      <c r="A772" s="692" t="n"/>
      <c r="B772" s="692" t="n"/>
      <c r="C772" s="692" t="n"/>
      <c r="D772" s="692" t="n"/>
      <c r="E772" s="692" t="n"/>
      <c r="F772" s="692" t="n"/>
      <c r="G772" s="692" t="n"/>
      <c r="H772" s="692" t="n"/>
      <c r="I772" s="692" t="n"/>
      <c r="J772" s="692" t="n"/>
      <c r="K772" s="692" t="n"/>
      <c r="L772" s="692" t="n"/>
      <c r="M772" s="692" t="n"/>
      <c r="N772" s="692" t="n"/>
      <c r="O772" s="692" t="n"/>
      <c r="P772" s="692" t="n"/>
      <c r="Q772" s="692" t="n"/>
      <c r="R772" s="692" t="n"/>
      <c r="S772" s="692" t="n"/>
      <c r="T772" s="692" t="n"/>
      <c r="U772" s="692" t="n"/>
      <c r="V772" s="692" t="n"/>
      <c r="W772" s="692" t="n"/>
    </row>
    <row r="773">
      <c r="A773" s="692" t="n"/>
      <c r="B773" s="692" t="n"/>
      <c r="C773" s="692" t="n"/>
      <c r="D773" s="692" t="n"/>
      <c r="E773" s="692" t="n"/>
      <c r="F773" s="692" t="n"/>
      <c r="G773" s="692" t="n"/>
      <c r="H773" s="692" t="n"/>
      <c r="I773" s="692" t="n"/>
      <c r="J773" s="692" t="n"/>
      <c r="K773" s="692" t="n"/>
      <c r="L773" s="692" t="n"/>
      <c r="M773" s="692" t="n"/>
      <c r="N773" s="692" t="n"/>
      <c r="O773" s="692" t="n"/>
      <c r="P773" s="692" t="n"/>
      <c r="Q773" s="692" t="n"/>
      <c r="R773" s="692" t="n"/>
      <c r="S773" s="692" t="n"/>
      <c r="T773" s="692" t="n"/>
      <c r="U773" s="692" t="n"/>
      <c r="V773" s="692" t="n"/>
      <c r="W773" s="692" t="n"/>
    </row>
    <row r="774">
      <c r="A774" s="692" t="n"/>
      <c r="B774" s="692" t="n"/>
      <c r="C774" s="692" t="n"/>
      <c r="D774" s="692" t="n"/>
      <c r="E774" s="692" t="n"/>
      <c r="F774" s="692" t="n"/>
      <c r="G774" s="692" t="n"/>
      <c r="H774" s="692" t="n"/>
      <c r="I774" s="692" t="n"/>
      <c r="J774" s="692" t="n"/>
      <c r="K774" s="692" t="n"/>
      <c r="L774" s="692" t="n"/>
      <c r="M774" s="692" t="n"/>
      <c r="N774" s="692" t="n"/>
      <c r="O774" s="692" t="n"/>
      <c r="P774" s="692" t="n"/>
      <c r="Q774" s="692" t="n"/>
      <c r="R774" s="692" t="n"/>
      <c r="S774" s="692" t="n"/>
      <c r="T774" s="692" t="n"/>
      <c r="U774" s="692" t="n"/>
      <c r="V774" s="692" t="n"/>
      <c r="W774" s="692" t="n"/>
    </row>
    <row r="775">
      <c r="A775" s="692" t="n"/>
      <c r="B775" s="692" t="n"/>
      <c r="C775" s="692" t="n"/>
      <c r="D775" s="692" t="n"/>
      <c r="E775" s="692" t="n"/>
      <c r="F775" s="692" t="n"/>
      <c r="G775" s="692" t="n"/>
      <c r="H775" s="692" t="n"/>
      <c r="I775" s="692" t="n"/>
      <c r="J775" s="692" t="n"/>
      <c r="K775" s="692" t="n"/>
      <c r="L775" s="692" t="n"/>
      <c r="M775" s="692" t="n"/>
      <c r="N775" s="692" t="n"/>
      <c r="O775" s="692" t="n"/>
      <c r="P775" s="692" t="n"/>
      <c r="Q775" s="692" t="n"/>
      <c r="R775" s="692" t="n"/>
      <c r="S775" s="692" t="n"/>
      <c r="T775" s="692" t="n"/>
      <c r="U775" s="692" t="n"/>
      <c r="V775" s="692" t="n"/>
      <c r="W775" s="692" t="n"/>
    </row>
    <row r="776">
      <c r="A776" s="692" t="n"/>
      <c r="B776" s="692" t="n"/>
      <c r="C776" s="692" t="n"/>
      <c r="D776" s="692" t="n"/>
      <c r="E776" s="692" t="n"/>
      <c r="F776" s="692" t="n"/>
      <c r="G776" s="692" t="n"/>
      <c r="H776" s="692" t="n"/>
      <c r="I776" s="692" t="n"/>
      <c r="J776" s="692" t="n"/>
      <c r="K776" s="692" t="n"/>
      <c r="L776" s="692" t="n"/>
      <c r="M776" s="692" t="n"/>
      <c r="N776" s="692" t="n"/>
      <c r="O776" s="692" t="n"/>
      <c r="P776" s="692" t="n"/>
      <c r="Q776" s="692" t="n"/>
      <c r="R776" s="692" t="n"/>
      <c r="S776" s="692" t="n"/>
      <c r="T776" s="692" t="n"/>
      <c r="U776" s="692" t="n"/>
      <c r="V776" s="692" t="n"/>
      <c r="W776" s="692" t="n"/>
    </row>
    <row r="777">
      <c r="A777" s="692" t="n"/>
      <c r="B777" s="692" t="n"/>
      <c r="C777" s="692" t="n"/>
      <c r="D777" s="692" t="n"/>
      <c r="E777" s="692" t="n"/>
      <c r="F777" s="692" t="n"/>
      <c r="G777" s="692" t="n"/>
      <c r="H777" s="692" t="n"/>
      <c r="I777" s="692" t="n"/>
      <c r="J777" s="692" t="n"/>
      <c r="K777" s="692" t="n"/>
      <c r="L777" s="692" t="n"/>
      <c r="M777" s="692" t="n"/>
      <c r="N777" s="692" t="n"/>
      <c r="O777" s="692" t="n"/>
      <c r="P777" s="692" t="n"/>
      <c r="Q777" s="692" t="n"/>
      <c r="R777" s="692" t="n"/>
      <c r="S777" s="692" t="n"/>
      <c r="T777" s="692" t="n"/>
      <c r="U777" s="692" t="n"/>
      <c r="V777" s="692" t="n"/>
      <c r="W777" s="692" t="n"/>
    </row>
    <row r="778">
      <c r="A778" s="692" t="n"/>
      <c r="B778" s="692" t="n"/>
      <c r="C778" s="692" t="n"/>
      <c r="D778" s="692" t="n"/>
      <c r="E778" s="692" t="n"/>
      <c r="F778" s="692" t="n"/>
      <c r="G778" s="692" t="n"/>
      <c r="H778" s="692" t="n"/>
      <c r="I778" s="692" t="n"/>
      <c r="J778" s="692" t="n"/>
      <c r="K778" s="692" t="n"/>
      <c r="L778" s="692" t="n"/>
      <c r="M778" s="692" t="n"/>
      <c r="N778" s="692" t="n"/>
      <c r="O778" s="692" t="n"/>
      <c r="P778" s="692" t="n"/>
      <c r="Q778" s="692" t="n"/>
      <c r="R778" s="692" t="n"/>
      <c r="S778" s="692" t="n"/>
      <c r="T778" s="692" t="n"/>
      <c r="U778" s="692" t="n"/>
      <c r="V778" s="692" t="n"/>
      <c r="W778" s="692" t="n"/>
    </row>
    <row r="779">
      <c r="A779" s="692" t="n"/>
      <c r="B779" s="692" t="n"/>
      <c r="C779" s="692" t="n"/>
      <c r="D779" s="692" t="n"/>
      <c r="E779" s="692" t="n"/>
      <c r="F779" s="692" t="n"/>
      <c r="G779" s="692" t="n"/>
      <c r="H779" s="692" t="n"/>
      <c r="I779" s="692" t="n"/>
      <c r="J779" s="692" t="n"/>
      <c r="K779" s="692" t="n"/>
      <c r="L779" s="692" t="n"/>
      <c r="M779" s="692" t="n"/>
      <c r="N779" s="692" t="n"/>
      <c r="O779" s="692" t="n"/>
      <c r="P779" s="692" t="n"/>
      <c r="Q779" s="692" t="n"/>
      <c r="R779" s="692" t="n"/>
      <c r="S779" s="692" t="n"/>
      <c r="T779" s="692" t="n"/>
      <c r="U779" s="692" t="n"/>
      <c r="V779" s="692" t="n"/>
      <c r="W779" s="692" t="n"/>
    </row>
    <row r="780">
      <c r="A780" s="692" t="n"/>
      <c r="B780" s="692" t="n"/>
      <c r="C780" s="692" t="n"/>
      <c r="D780" s="692" t="n"/>
      <c r="E780" s="692" t="n"/>
      <c r="F780" s="692" t="n"/>
      <c r="G780" s="692" t="n"/>
      <c r="H780" s="692" t="n"/>
      <c r="I780" s="692" t="n"/>
      <c r="J780" s="692" t="n"/>
      <c r="K780" s="692" t="n"/>
      <c r="L780" s="692" t="n"/>
      <c r="M780" s="692" t="n"/>
      <c r="N780" s="692" t="n"/>
      <c r="O780" s="692" t="n"/>
      <c r="P780" s="692" t="n"/>
      <c r="Q780" s="692" t="n"/>
      <c r="R780" s="692" t="n"/>
      <c r="S780" s="692" t="n"/>
      <c r="T780" s="692" t="n"/>
      <c r="U780" s="692" t="n"/>
      <c r="V780" s="692" t="n"/>
      <c r="W780" s="692" t="n"/>
    </row>
    <row r="781">
      <c r="A781" s="692" t="n"/>
      <c r="B781" s="692" t="n"/>
      <c r="C781" s="692" t="n"/>
      <c r="D781" s="692" t="n"/>
      <c r="E781" s="692" t="n"/>
      <c r="F781" s="692" t="n"/>
      <c r="G781" s="692" t="n"/>
      <c r="H781" s="692" t="n"/>
      <c r="I781" s="692" t="n"/>
      <c r="J781" s="692" t="n"/>
      <c r="K781" s="692" t="n"/>
      <c r="L781" s="692" t="n"/>
      <c r="M781" s="692" t="n"/>
      <c r="N781" s="692" t="n"/>
      <c r="O781" s="692" t="n"/>
      <c r="P781" s="692" t="n"/>
      <c r="Q781" s="692" t="n"/>
      <c r="R781" s="692" t="n"/>
      <c r="S781" s="692" t="n"/>
      <c r="T781" s="692" t="n"/>
      <c r="U781" s="692" t="n"/>
      <c r="V781" s="692" t="n"/>
      <c r="W781" s="692" t="n"/>
    </row>
    <row r="782">
      <c r="A782" s="692" t="n"/>
      <c r="B782" s="692" t="n"/>
      <c r="C782" s="692" t="n"/>
      <c r="D782" s="692" t="n"/>
      <c r="E782" s="692" t="n"/>
      <c r="F782" s="692" t="n"/>
      <c r="G782" s="692" t="n"/>
      <c r="H782" s="692" t="n"/>
      <c r="I782" s="692" t="n"/>
      <c r="J782" s="692" t="n"/>
      <c r="K782" s="692" t="n"/>
      <c r="L782" s="692" t="n"/>
      <c r="M782" s="692" t="n"/>
      <c r="N782" s="692" t="n"/>
      <c r="O782" s="692" t="n"/>
      <c r="P782" s="692" t="n"/>
      <c r="Q782" s="692" t="n"/>
      <c r="R782" s="692" t="n"/>
      <c r="S782" s="692" t="n"/>
      <c r="T782" s="692" t="n"/>
      <c r="U782" s="692" t="n"/>
      <c r="V782" s="692" t="n"/>
      <c r="W782" s="692" t="n"/>
    </row>
    <row r="783">
      <c r="A783" s="692" t="n"/>
      <c r="B783" s="692" t="n"/>
      <c r="C783" s="692" t="n"/>
      <c r="D783" s="692" t="n"/>
      <c r="E783" s="692" t="n"/>
      <c r="F783" s="692" t="n"/>
      <c r="G783" s="692" t="n"/>
      <c r="H783" s="692" t="n"/>
      <c r="I783" s="692" t="n"/>
      <c r="J783" s="692" t="n"/>
      <c r="K783" s="692" t="n"/>
      <c r="L783" s="692" t="n"/>
      <c r="M783" s="692" t="n"/>
      <c r="N783" s="692" t="n"/>
      <c r="O783" s="692" t="n"/>
      <c r="P783" s="692" t="n"/>
      <c r="Q783" s="692" t="n"/>
      <c r="R783" s="692" t="n"/>
      <c r="S783" s="692" t="n"/>
      <c r="T783" s="692" t="n"/>
      <c r="U783" s="692" t="n"/>
      <c r="V783" s="692" t="n"/>
      <c r="W783" s="692" t="n"/>
    </row>
    <row r="784">
      <c r="A784" s="692" t="n"/>
      <c r="B784" s="692" t="n"/>
      <c r="C784" s="692" t="n"/>
      <c r="D784" s="692" t="n"/>
      <c r="E784" s="692" t="n"/>
      <c r="F784" s="692" t="n"/>
      <c r="G784" s="692" t="n"/>
      <c r="H784" s="692" t="n"/>
      <c r="I784" s="692" t="n"/>
      <c r="J784" s="692" t="n"/>
      <c r="K784" s="692" t="n"/>
      <c r="L784" s="692" t="n"/>
      <c r="M784" s="692" t="n"/>
      <c r="N784" s="692" t="n"/>
      <c r="O784" s="692" t="n"/>
      <c r="P784" s="692" t="n"/>
      <c r="Q784" s="692" t="n"/>
      <c r="R784" s="692" t="n"/>
      <c r="S784" s="692" t="n"/>
      <c r="T784" s="692" t="n"/>
      <c r="U784" s="692" t="n"/>
      <c r="V784" s="692" t="n"/>
      <c r="W784" s="692" t="n"/>
    </row>
    <row r="785">
      <c r="A785" s="692" t="n"/>
      <c r="B785" s="692" t="n"/>
      <c r="C785" s="692" t="n"/>
      <c r="D785" s="692" t="n"/>
      <c r="E785" s="692" t="n"/>
      <c r="F785" s="692" t="n"/>
      <c r="G785" s="692" t="n"/>
      <c r="H785" s="692" t="n"/>
      <c r="I785" s="692" t="n"/>
      <c r="J785" s="692" t="n"/>
      <c r="K785" s="692" t="n"/>
      <c r="L785" s="692" t="n"/>
      <c r="M785" s="692" t="n"/>
      <c r="N785" s="692" t="n"/>
      <c r="O785" s="692" t="n"/>
      <c r="P785" s="692" t="n"/>
      <c r="Q785" s="692" t="n"/>
      <c r="R785" s="692" t="n"/>
      <c r="S785" s="692" t="n"/>
      <c r="T785" s="692" t="n"/>
      <c r="U785" s="692" t="n"/>
      <c r="V785" s="692" t="n"/>
      <c r="W785" s="692" t="n"/>
    </row>
    <row r="786">
      <c r="A786" s="692" t="n"/>
      <c r="B786" s="692" t="n"/>
      <c r="C786" s="692" t="n"/>
      <c r="D786" s="692" t="n"/>
      <c r="E786" s="692" t="n"/>
      <c r="F786" s="692" t="n"/>
      <c r="G786" s="692" t="n"/>
      <c r="H786" s="692" t="n"/>
      <c r="I786" s="692" t="n"/>
      <c r="J786" s="692" t="n"/>
      <c r="K786" s="692" t="n"/>
      <c r="L786" s="692" t="n"/>
      <c r="M786" s="692" t="n"/>
      <c r="N786" s="692" t="n"/>
      <c r="O786" s="692" t="n"/>
      <c r="P786" s="692" t="n"/>
      <c r="Q786" s="692" t="n"/>
      <c r="R786" s="692" t="n"/>
      <c r="S786" s="692" t="n"/>
      <c r="T786" s="692" t="n"/>
      <c r="U786" s="692" t="n"/>
      <c r="V786" s="692" t="n"/>
      <c r="W786" s="692" t="n"/>
    </row>
    <row r="787">
      <c r="A787" s="692" t="n"/>
      <c r="B787" s="692" t="n"/>
      <c r="C787" s="692" t="n"/>
      <c r="D787" s="692" t="n"/>
      <c r="E787" s="692" t="n"/>
      <c r="F787" s="692" t="n"/>
      <c r="G787" s="692" t="n"/>
      <c r="H787" s="692" t="n"/>
      <c r="I787" s="692" t="n"/>
      <c r="J787" s="692" t="n"/>
      <c r="K787" s="692" t="n"/>
      <c r="L787" s="692" t="n"/>
      <c r="M787" s="692" t="n"/>
      <c r="N787" s="692" t="n"/>
      <c r="O787" s="692" t="n"/>
      <c r="P787" s="692" t="n"/>
      <c r="Q787" s="692" t="n"/>
      <c r="R787" s="692" t="n"/>
      <c r="S787" s="692" t="n"/>
      <c r="T787" s="692" t="n"/>
      <c r="U787" s="692" t="n"/>
      <c r="V787" s="692" t="n"/>
      <c r="W787" s="692" t="n"/>
    </row>
    <row r="788">
      <c r="A788" s="692" t="n"/>
      <c r="B788" s="692" t="n"/>
      <c r="C788" s="692" t="n"/>
      <c r="D788" s="692" t="n"/>
      <c r="E788" s="692" t="n"/>
      <c r="F788" s="692" t="n"/>
      <c r="G788" s="692" t="n"/>
      <c r="H788" s="692" t="n"/>
      <c r="I788" s="692" t="n"/>
      <c r="J788" s="692" t="n"/>
      <c r="K788" s="692" t="n"/>
      <c r="L788" s="692" t="n"/>
      <c r="M788" s="692" t="n"/>
      <c r="N788" s="692" t="n"/>
      <c r="O788" s="692" t="n"/>
      <c r="P788" s="692" t="n"/>
      <c r="Q788" s="692" t="n"/>
      <c r="R788" s="692" t="n"/>
      <c r="S788" s="692" t="n"/>
      <c r="T788" s="692" t="n"/>
      <c r="U788" s="692" t="n"/>
      <c r="V788" s="692" t="n"/>
      <c r="W788" s="692" t="n"/>
    </row>
    <row r="789">
      <c r="A789" s="692" t="n"/>
      <c r="B789" s="692" t="n"/>
      <c r="C789" s="692" t="n"/>
      <c r="D789" s="692" t="n"/>
      <c r="E789" s="692" t="n"/>
      <c r="F789" s="692" t="n"/>
      <c r="G789" s="692" t="n"/>
      <c r="H789" s="692" t="n"/>
      <c r="I789" s="692" t="n"/>
      <c r="J789" s="692" t="n"/>
      <c r="K789" s="692" t="n"/>
      <c r="L789" s="692" t="n"/>
      <c r="M789" s="692" t="n"/>
      <c r="N789" s="692" t="n"/>
      <c r="O789" s="692" t="n"/>
      <c r="P789" s="692" t="n"/>
      <c r="Q789" s="692" t="n"/>
      <c r="R789" s="692" t="n"/>
      <c r="S789" s="692" t="n"/>
      <c r="T789" s="692" t="n"/>
      <c r="U789" s="692" t="n"/>
      <c r="V789" s="692" t="n"/>
      <c r="W789" s="692" t="n"/>
    </row>
    <row r="790">
      <c r="A790" s="692" t="n"/>
      <c r="B790" s="692" t="n"/>
      <c r="C790" s="692" t="n"/>
      <c r="D790" s="692" t="n"/>
      <c r="E790" s="692" t="n"/>
      <c r="F790" s="692" t="n"/>
      <c r="G790" s="692" t="n"/>
      <c r="H790" s="692" t="n"/>
      <c r="I790" s="692" t="n"/>
      <c r="J790" s="692" t="n"/>
      <c r="K790" s="692" t="n"/>
      <c r="L790" s="692" t="n"/>
      <c r="M790" s="692" t="n"/>
      <c r="N790" s="692" t="n"/>
      <c r="O790" s="692" t="n"/>
      <c r="P790" s="692" t="n"/>
      <c r="Q790" s="692" t="n"/>
      <c r="R790" s="692" t="n"/>
      <c r="S790" s="692" t="n"/>
      <c r="T790" s="692" t="n"/>
      <c r="U790" s="692" t="n"/>
      <c r="V790" s="692" t="n"/>
      <c r="W790" s="692" t="n"/>
    </row>
    <row r="791">
      <c r="A791" s="692" t="n"/>
      <c r="B791" s="692" t="n"/>
      <c r="C791" s="692" t="n"/>
      <c r="D791" s="692" t="n"/>
      <c r="E791" s="692" t="n"/>
      <c r="F791" s="692" t="n"/>
      <c r="G791" s="692" t="n"/>
      <c r="H791" s="692" t="n"/>
      <c r="I791" s="692" t="n"/>
      <c r="J791" s="692" t="n"/>
      <c r="K791" s="692" t="n"/>
      <c r="L791" s="692" t="n"/>
      <c r="M791" s="692" t="n"/>
      <c r="N791" s="692" t="n"/>
      <c r="O791" s="692" t="n"/>
      <c r="P791" s="692" t="n"/>
      <c r="Q791" s="692" t="n"/>
      <c r="R791" s="692" t="n"/>
      <c r="S791" s="692" t="n"/>
      <c r="T791" s="692" t="n"/>
      <c r="U791" s="692" t="n"/>
      <c r="V791" s="692" t="n"/>
      <c r="W791" s="692" t="n"/>
    </row>
    <row r="792">
      <c r="A792" s="692" t="n"/>
      <c r="B792" s="692" t="n"/>
      <c r="C792" s="692" t="n"/>
      <c r="D792" s="692" t="n"/>
      <c r="E792" s="692" t="n"/>
      <c r="F792" s="692" t="n"/>
      <c r="G792" s="692" t="n"/>
      <c r="H792" s="692" t="n"/>
      <c r="I792" s="692" t="n"/>
      <c r="J792" s="692" t="n"/>
      <c r="K792" s="692" t="n"/>
      <c r="L792" s="692" t="n"/>
      <c r="M792" s="692" t="n"/>
      <c r="N792" s="692" t="n"/>
      <c r="O792" s="692" t="n"/>
      <c r="P792" s="692" t="n"/>
      <c r="Q792" s="692" t="n"/>
      <c r="R792" s="692" t="n"/>
      <c r="S792" s="692" t="n"/>
      <c r="T792" s="692" t="n"/>
      <c r="U792" s="692" t="n"/>
      <c r="V792" s="692" t="n"/>
      <c r="W792" s="692" t="n"/>
    </row>
    <row r="793">
      <c r="A793" s="692" t="n"/>
      <c r="B793" s="692" t="n"/>
      <c r="C793" s="692" t="n"/>
      <c r="D793" s="692" t="n"/>
      <c r="E793" s="692" t="n"/>
      <c r="F793" s="692" t="n"/>
      <c r="G793" s="692" t="n"/>
      <c r="H793" s="692" t="n"/>
      <c r="I793" s="692" t="n"/>
      <c r="J793" s="692" t="n"/>
      <c r="K793" s="692" t="n"/>
      <c r="L793" s="692" t="n"/>
      <c r="M793" s="692" t="n"/>
      <c r="N793" s="692" t="n"/>
      <c r="O793" s="692" t="n"/>
      <c r="P793" s="692" t="n"/>
      <c r="Q793" s="692" t="n"/>
      <c r="R793" s="692" t="n"/>
      <c r="S793" s="692" t="n"/>
      <c r="T793" s="692" t="n"/>
      <c r="U793" s="692" t="n"/>
      <c r="V793" s="692" t="n"/>
      <c r="W793" s="692" t="n"/>
    </row>
    <row r="794">
      <c r="A794" s="692" t="n"/>
      <c r="B794" s="692" t="n"/>
      <c r="C794" s="692" t="n"/>
      <c r="D794" s="692" t="n"/>
      <c r="E794" s="692" t="n"/>
      <c r="F794" s="692" t="n"/>
      <c r="G794" s="692" t="n"/>
      <c r="H794" s="692" t="n"/>
      <c r="I794" s="692" t="n"/>
      <c r="J794" s="692" t="n"/>
      <c r="K794" s="692" t="n"/>
      <c r="L794" s="692" t="n"/>
      <c r="M794" s="692" t="n"/>
      <c r="N794" s="692" t="n"/>
      <c r="O794" s="692" t="n"/>
      <c r="P794" s="692" t="n"/>
      <c r="Q794" s="692" t="n"/>
      <c r="R794" s="692" t="n"/>
      <c r="S794" s="692" t="n"/>
      <c r="T794" s="692" t="n"/>
      <c r="U794" s="692" t="n"/>
      <c r="V794" s="692" t="n"/>
      <c r="W794" s="692" t="n"/>
    </row>
    <row r="795">
      <c r="A795" s="692" t="n"/>
      <c r="B795" s="692" t="n"/>
      <c r="C795" s="692" t="n"/>
      <c r="D795" s="692" t="n"/>
      <c r="E795" s="692" t="n"/>
      <c r="F795" s="692" t="n"/>
      <c r="G795" s="692" t="n"/>
      <c r="H795" s="692" t="n"/>
      <c r="I795" s="692" t="n"/>
      <c r="J795" s="692" t="n"/>
      <c r="K795" s="692" t="n"/>
      <c r="L795" s="692" t="n"/>
      <c r="M795" s="692" t="n"/>
      <c r="N795" s="692" t="n"/>
      <c r="O795" s="692" t="n"/>
      <c r="P795" s="692" t="n"/>
      <c r="Q795" s="692" t="n"/>
      <c r="R795" s="692" t="n"/>
      <c r="S795" s="692" t="n"/>
      <c r="T795" s="692" t="n"/>
      <c r="U795" s="692" t="n"/>
      <c r="V795" s="692" t="n"/>
      <c r="W795" s="692" t="n"/>
    </row>
    <row r="796">
      <c r="A796" s="692" t="n"/>
      <c r="B796" s="692" t="n"/>
      <c r="C796" s="692" t="n"/>
      <c r="D796" s="692" t="n"/>
      <c r="E796" s="692" t="n"/>
      <c r="F796" s="692" t="n"/>
      <c r="G796" s="692" t="n"/>
      <c r="H796" s="692" t="n"/>
      <c r="I796" s="692" t="n"/>
      <c r="J796" s="692" t="n"/>
      <c r="K796" s="692" t="n"/>
      <c r="L796" s="692" t="n"/>
      <c r="M796" s="692" t="n"/>
      <c r="N796" s="692" t="n"/>
      <c r="O796" s="692" t="n"/>
      <c r="P796" s="692" t="n"/>
      <c r="Q796" s="692" t="n"/>
      <c r="R796" s="692" t="n"/>
      <c r="S796" s="692" t="n"/>
      <c r="T796" s="692" t="n"/>
      <c r="U796" s="692" t="n"/>
      <c r="V796" s="692" t="n"/>
      <c r="W796" s="692" t="n"/>
    </row>
    <row r="797">
      <c r="A797" s="692" t="n"/>
      <c r="B797" s="692" t="n"/>
      <c r="C797" s="692" t="n"/>
      <c r="D797" s="692" t="n"/>
      <c r="E797" s="692" t="n"/>
      <c r="F797" s="692" t="n"/>
      <c r="G797" s="692" t="n"/>
      <c r="H797" s="692" t="n"/>
      <c r="I797" s="692" t="n"/>
      <c r="J797" s="692" t="n"/>
      <c r="K797" s="692" t="n"/>
      <c r="L797" s="692" t="n"/>
      <c r="M797" s="692" t="n"/>
      <c r="N797" s="692" t="n"/>
      <c r="O797" s="692" t="n"/>
      <c r="P797" s="692" t="n"/>
      <c r="Q797" s="692" t="n"/>
      <c r="R797" s="692" t="n"/>
      <c r="S797" s="692" t="n"/>
      <c r="T797" s="692" t="n"/>
      <c r="U797" s="692" t="n"/>
      <c r="V797" s="692" t="n"/>
      <c r="W797" s="692" t="n"/>
    </row>
    <row r="798">
      <c r="A798" s="692" t="n"/>
      <c r="B798" s="692" t="n"/>
      <c r="C798" s="692" t="n"/>
      <c r="D798" s="692" t="n"/>
      <c r="E798" s="692" t="n"/>
      <c r="F798" s="692" t="n"/>
      <c r="G798" s="692" t="n"/>
      <c r="H798" s="692" t="n"/>
      <c r="I798" s="692" t="n"/>
      <c r="J798" s="692" t="n"/>
      <c r="K798" s="692" t="n"/>
      <c r="L798" s="692" t="n"/>
      <c r="M798" s="692" t="n"/>
      <c r="N798" s="692" t="n"/>
      <c r="O798" s="692" t="n"/>
      <c r="P798" s="692" t="n"/>
      <c r="Q798" s="692" t="n"/>
      <c r="R798" s="692" t="n"/>
      <c r="S798" s="692" t="n"/>
      <c r="T798" s="692" t="n"/>
      <c r="U798" s="692" t="n"/>
      <c r="V798" s="692" t="n"/>
      <c r="W798" s="692" t="n"/>
    </row>
    <row r="799">
      <c r="A799" s="692" t="n"/>
      <c r="B799" s="692" t="n"/>
      <c r="C799" s="692" t="n"/>
      <c r="D799" s="692" t="n"/>
      <c r="E799" s="692" t="n"/>
      <c r="F799" s="692" t="n"/>
      <c r="G799" s="692" t="n"/>
      <c r="H799" s="692" t="n"/>
      <c r="I799" s="692" t="n"/>
      <c r="J799" s="692" t="n"/>
      <c r="K799" s="692" t="n"/>
      <c r="L799" s="692" t="n"/>
      <c r="M799" s="692" t="n"/>
      <c r="N799" s="692" t="n"/>
      <c r="O799" s="692" t="n"/>
      <c r="P799" s="692" t="n"/>
      <c r="Q799" s="692" t="n"/>
      <c r="R799" s="692" t="n"/>
      <c r="S799" s="692" t="n"/>
      <c r="T799" s="692" t="n"/>
      <c r="U799" s="692" t="n"/>
      <c r="V799" s="692" t="n"/>
      <c r="W799" s="692" t="n"/>
    </row>
    <row r="800">
      <c r="A800" s="692" t="n"/>
      <c r="B800" s="692" t="n"/>
      <c r="C800" s="692" t="n"/>
      <c r="D800" s="692" t="n"/>
      <c r="E800" s="692" t="n"/>
      <c r="F800" s="692" t="n"/>
      <c r="G800" s="692" t="n"/>
      <c r="H800" s="692" t="n"/>
      <c r="I800" s="692" t="n"/>
      <c r="J800" s="692" t="n"/>
      <c r="K800" s="692" t="n"/>
      <c r="L800" s="692" t="n"/>
      <c r="M800" s="692" t="n"/>
      <c r="N800" s="692" t="n"/>
      <c r="O800" s="692" t="n"/>
      <c r="P800" s="692" t="n"/>
      <c r="Q800" s="692" t="n"/>
      <c r="R800" s="692" t="n"/>
      <c r="S800" s="692" t="n"/>
      <c r="T800" s="692" t="n"/>
      <c r="U800" s="692" t="n"/>
      <c r="V800" s="692" t="n"/>
      <c r="W800" s="692" t="n"/>
    </row>
    <row r="801">
      <c r="A801" s="692" t="n"/>
      <c r="B801" s="692" t="n"/>
      <c r="C801" s="692" t="n"/>
      <c r="D801" s="692" t="n"/>
      <c r="E801" s="692" t="n"/>
      <c r="F801" s="692" t="n"/>
      <c r="G801" s="692" t="n"/>
      <c r="H801" s="692" t="n"/>
      <c r="I801" s="692" t="n"/>
      <c r="J801" s="692" t="n"/>
      <c r="K801" s="692" t="n"/>
      <c r="L801" s="692" t="n"/>
      <c r="M801" s="692" t="n"/>
      <c r="N801" s="692" t="n"/>
      <c r="O801" s="692" t="n"/>
      <c r="P801" s="692" t="n"/>
      <c r="Q801" s="692" t="n"/>
      <c r="R801" s="692" t="n"/>
      <c r="S801" s="692" t="n"/>
      <c r="T801" s="692" t="n"/>
      <c r="U801" s="692" t="n"/>
      <c r="V801" s="692" t="n"/>
      <c r="W801" s="692" t="n"/>
    </row>
    <row r="802">
      <c r="A802" s="692" t="n"/>
      <c r="B802" s="692" t="n"/>
      <c r="C802" s="692" t="n"/>
      <c r="D802" s="692" t="n"/>
      <c r="E802" s="692" t="n"/>
      <c r="F802" s="692" t="n"/>
      <c r="G802" s="692" t="n"/>
      <c r="H802" s="692" t="n"/>
      <c r="I802" s="692" t="n"/>
      <c r="J802" s="692" t="n"/>
      <c r="K802" s="692" t="n"/>
      <c r="L802" s="692" t="n"/>
      <c r="M802" s="692" t="n"/>
      <c r="N802" s="692" t="n"/>
      <c r="O802" s="692" t="n"/>
      <c r="P802" s="692" t="n"/>
      <c r="Q802" s="692" t="n"/>
      <c r="R802" s="692" t="n"/>
      <c r="S802" s="692" t="n"/>
      <c r="T802" s="692" t="n"/>
      <c r="U802" s="692" t="n"/>
      <c r="V802" s="692" t="n"/>
      <c r="W802" s="692" t="n"/>
    </row>
    <row r="803">
      <c r="A803" s="692" t="n"/>
      <c r="B803" s="692" t="n"/>
      <c r="C803" s="692" t="n"/>
      <c r="D803" s="692" t="n"/>
      <c r="E803" s="692" t="n"/>
      <c r="F803" s="692" t="n"/>
      <c r="G803" s="692" t="n"/>
      <c r="H803" s="692" t="n"/>
      <c r="I803" s="692" t="n"/>
      <c r="J803" s="692" t="n"/>
      <c r="K803" s="692" t="n"/>
      <c r="L803" s="692" t="n"/>
      <c r="M803" s="692" t="n"/>
      <c r="N803" s="692" t="n"/>
      <c r="O803" s="692" t="n"/>
      <c r="P803" s="692" t="n"/>
      <c r="Q803" s="692" t="n"/>
      <c r="R803" s="692" t="n"/>
      <c r="S803" s="692" t="n"/>
      <c r="T803" s="692" t="n"/>
      <c r="U803" s="692" t="n"/>
      <c r="V803" s="692" t="n"/>
      <c r="W803" s="692" t="n"/>
    </row>
    <row r="804">
      <c r="A804" s="692" t="n"/>
      <c r="B804" s="692" t="n"/>
      <c r="C804" s="692" t="n"/>
      <c r="D804" s="692" t="n"/>
      <c r="E804" s="692" t="n"/>
      <c r="F804" s="692" t="n"/>
      <c r="G804" s="692" t="n"/>
      <c r="H804" s="692" t="n"/>
      <c r="I804" s="692" t="n"/>
      <c r="J804" s="692" t="n"/>
      <c r="K804" s="692" t="n"/>
      <c r="L804" s="692" t="n"/>
      <c r="M804" s="692" t="n"/>
      <c r="N804" s="692" t="n"/>
      <c r="O804" s="692" t="n"/>
      <c r="P804" s="692" t="n"/>
      <c r="Q804" s="692" t="n"/>
      <c r="R804" s="692" t="n"/>
      <c r="S804" s="692" t="n"/>
      <c r="T804" s="692" t="n"/>
      <c r="U804" s="692" t="n"/>
      <c r="V804" s="692" t="n"/>
      <c r="W804" s="692" t="n"/>
    </row>
    <row r="805">
      <c r="A805" s="692" t="n"/>
      <c r="B805" s="692" t="n"/>
      <c r="C805" s="692" t="n"/>
      <c r="D805" s="692" t="n"/>
      <c r="E805" s="692" t="n"/>
      <c r="F805" s="692" t="n"/>
      <c r="G805" s="692" t="n"/>
      <c r="H805" s="692" t="n"/>
      <c r="I805" s="692" t="n"/>
      <c r="J805" s="692" t="n"/>
      <c r="K805" s="692" t="n"/>
      <c r="L805" s="692" t="n"/>
      <c r="M805" s="692" t="n"/>
      <c r="N805" s="692" t="n"/>
      <c r="O805" s="692" t="n"/>
      <c r="P805" s="692" t="n"/>
      <c r="Q805" s="692" t="n"/>
      <c r="R805" s="692" t="n"/>
      <c r="S805" s="692" t="n"/>
      <c r="T805" s="692" t="n"/>
      <c r="U805" s="692" t="n"/>
      <c r="V805" s="692" t="n"/>
      <c r="W805" s="692" t="n"/>
    </row>
    <row r="806">
      <c r="A806" s="692" t="n"/>
      <c r="B806" s="692" t="n"/>
      <c r="C806" s="692" t="n"/>
      <c r="D806" s="692" t="n"/>
      <c r="E806" s="692" t="n"/>
      <c r="F806" s="692" t="n"/>
      <c r="G806" s="692" t="n"/>
      <c r="H806" s="692" t="n"/>
      <c r="I806" s="692" t="n"/>
      <c r="J806" s="692" t="n"/>
      <c r="K806" s="692" t="n"/>
      <c r="L806" s="692" t="n"/>
      <c r="M806" s="692" t="n"/>
      <c r="N806" s="692" t="n"/>
      <c r="O806" s="692" t="n"/>
      <c r="P806" s="692" t="n"/>
      <c r="Q806" s="692" t="n"/>
      <c r="R806" s="692" t="n"/>
      <c r="S806" s="692" t="n"/>
      <c r="T806" s="692" t="n"/>
      <c r="U806" s="692" t="n"/>
      <c r="V806" s="692" t="n"/>
      <c r="W806" s="692" t="n"/>
    </row>
    <row r="807">
      <c r="A807" s="692" t="n"/>
      <c r="B807" s="692" t="n"/>
      <c r="C807" s="692" t="n"/>
      <c r="D807" s="692" t="n"/>
      <c r="E807" s="692" t="n"/>
      <c r="F807" s="692" t="n"/>
      <c r="G807" s="692" t="n"/>
      <c r="H807" s="692" t="n"/>
      <c r="I807" s="692" t="n"/>
      <c r="J807" s="692" t="n"/>
      <c r="K807" s="692" t="n"/>
      <c r="L807" s="692" t="n"/>
      <c r="M807" s="692" t="n"/>
      <c r="N807" s="692" t="n"/>
      <c r="O807" s="692" t="n"/>
      <c r="P807" s="692" t="n"/>
      <c r="Q807" s="692" t="n"/>
      <c r="R807" s="692" t="n"/>
      <c r="S807" s="692" t="n"/>
      <c r="T807" s="692" t="n"/>
      <c r="U807" s="692" t="n"/>
      <c r="V807" s="692" t="n"/>
      <c r="W807" s="692" t="n"/>
    </row>
    <row r="808">
      <c r="A808" s="692" t="n"/>
      <c r="B808" s="692" t="n"/>
      <c r="C808" s="692" t="n"/>
      <c r="D808" s="692" t="n"/>
      <c r="E808" s="692" t="n"/>
      <c r="F808" s="692" t="n"/>
      <c r="G808" s="692" t="n"/>
      <c r="H808" s="692" t="n"/>
      <c r="I808" s="692" t="n"/>
      <c r="J808" s="692" t="n"/>
      <c r="K808" s="692" t="n"/>
      <c r="L808" s="692" t="n"/>
      <c r="M808" s="692" t="n"/>
      <c r="N808" s="692" t="n"/>
      <c r="O808" s="692" t="n"/>
      <c r="P808" s="692" t="n"/>
      <c r="Q808" s="692" t="n"/>
      <c r="R808" s="692" t="n"/>
      <c r="S808" s="692" t="n"/>
      <c r="T808" s="692" t="n"/>
      <c r="U808" s="692" t="n"/>
      <c r="V808" s="692" t="n"/>
      <c r="W808" s="692" t="n"/>
    </row>
    <row r="809">
      <c r="A809" s="692" t="n"/>
      <c r="B809" s="692" t="n"/>
      <c r="C809" s="692" t="n"/>
      <c r="D809" s="692" t="n"/>
      <c r="E809" s="692" t="n"/>
      <c r="F809" s="692" t="n"/>
      <c r="G809" s="692" t="n"/>
      <c r="H809" s="692" t="n"/>
      <c r="I809" s="692" t="n"/>
      <c r="J809" s="692" t="n"/>
      <c r="K809" s="692" t="n"/>
      <c r="L809" s="692" t="n"/>
      <c r="M809" s="692" t="n"/>
      <c r="N809" s="692" t="n"/>
      <c r="O809" s="692" t="n"/>
      <c r="P809" s="692" t="n"/>
      <c r="Q809" s="692" t="n"/>
      <c r="R809" s="692" t="n"/>
      <c r="S809" s="692" t="n"/>
      <c r="T809" s="692" t="n"/>
      <c r="U809" s="692" t="n"/>
      <c r="V809" s="692" t="n"/>
      <c r="W809" s="692" t="n"/>
    </row>
    <row r="810">
      <c r="A810" s="692" t="n"/>
      <c r="B810" s="692" t="n"/>
      <c r="C810" s="692" t="n"/>
      <c r="D810" s="692" t="n"/>
      <c r="E810" s="692" t="n"/>
      <c r="F810" s="692" t="n"/>
      <c r="G810" s="692" t="n"/>
      <c r="H810" s="692" t="n"/>
      <c r="I810" s="692" t="n"/>
      <c r="J810" s="692" t="n"/>
      <c r="K810" s="692" t="n"/>
      <c r="L810" s="692" t="n"/>
      <c r="M810" s="692" t="n"/>
      <c r="N810" s="692" t="n"/>
      <c r="O810" s="692" t="n"/>
      <c r="P810" s="692" t="n"/>
      <c r="Q810" s="692" t="n"/>
      <c r="R810" s="692" t="n"/>
      <c r="S810" s="692" t="n"/>
      <c r="T810" s="692" t="n"/>
      <c r="U810" s="692" t="n"/>
      <c r="V810" s="692" t="n"/>
      <c r="W810" s="692" t="n"/>
    </row>
    <row r="811">
      <c r="A811" s="692" t="n"/>
      <c r="B811" s="692" t="n"/>
      <c r="C811" s="692" t="n"/>
      <c r="D811" s="692" t="n"/>
      <c r="E811" s="692" t="n"/>
      <c r="F811" s="692" t="n"/>
      <c r="G811" s="692" t="n"/>
      <c r="H811" s="692" t="n"/>
      <c r="I811" s="692" t="n"/>
      <c r="J811" s="692" t="n"/>
      <c r="K811" s="692" t="n"/>
      <c r="L811" s="692" t="n"/>
      <c r="M811" s="692" t="n"/>
      <c r="N811" s="692" t="n"/>
      <c r="O811" s="692" t="n"/>
      <c r="P811" s="692" t="n"/>
      <c r="Q811" s="692" t="n"/>
      <c r="R811" s="692" t="n"/>
      <c r="S811" s="692" t="n"/>
      <c r="T811" s="692" t="n"/>
      <c r="U811" s="692" t="n"/>
      <c r="V811" s="692" t="n"/>
      <c r="W811" s="692" t="n"/>
    </row>
    <row r="812">
      <c r="A812" s="692" t="n"/>
      <c r="B812" s="692" t="n"/>
      <c r="C812" s="692" t="n"/>
      <c r="D812" s="692" t="n"/>
      <c r="E812" s="692" t="n"/>
      <c r="F812" s="692" t="n"/>
      <c r="G812" s="692" t="n"/>
      <c r="H812" s="692" t="n"/>
      <c r="I812" s="692" t="n"/>
      <c r="J812" s="692" t="n"/>
      <c r="K812" s="692" t="n"/>
      <c r="L812" s="692" t="n"/>
      <c r="M812" s="692" t="n"/>
      <c r="N812" s="692" t="n"/>
      <c r="O812" s="692" t="n"/>
      <c r="P812" s="692" t="n"/>
      <c r="Q812" s="692" t="n"/>
      <c r="R812" s="692" t="n"/>
      <c r="S812" s="692" t="n"/>
      <c r="T812" s="692" t="n"/>
      <c r="U812" s="692" t="n"/>
      <c r="V812" s="692" t="n"/>
      <c r="W812" s="692" t="n"/>
    </row>
    <row r="813">
      <c r="A813" s="692" t="n"/>
      <c r="B813" s="692" t="n"/>
      <c r="C813" s="692" t="n"/>
      <c r="D813" s="692" t="n"/>
      <c r="E813" s="692" t="n"/>
      <c r="F813" s="692" t="n"/>
      <c r="G813" s="692" t="n"/>
      <c r="H813" s="692" t="n"/>
      <c r="I813" s="692" t="n"/>
      <c r="J813" s="692" t="n"/>
      <c r="K813" s="692" t="n"/>
      <c r="L813" s="692" t="n"/>
      <c r="M813" s="692" t="n"/>
      <c r="N813" s="692" t="n"/>
      <c r="O813" s="692" t="n"/>
      <c r="P813" s="692" t="n"/>
      <c r="Q813" s="692" t="n"/>
      <c r="R813" s="692" t="n"/>
      <c r="S813" s="692" t="n"/>
      <c r="T813" s="692" t="n"/>
      <c r="U813" s="692" t="n"/>
      <c r="V813" s="692" t="n"/>
      <c r="W813" s="692" t="n"/>
    </row>
    <row r="814">
      <c r="A814" s="692" t="n"/>
      <c r="B814" s="692" t="n"/>
      <c r="C814" s="692" t="n"/>
      <c r="D814" s="692" t="n"/>
      <c r="E814" s="692" t="n"/>
      <c r="F814" s="692" t="n"/>
      <c r="G814" s="692" t="n"/>
      <c r="H814" s="692" t="n"/>
      <c r="I814" s="692" t="n"/>
      <c r="J814" s="692" t="n"/>
      <c r="K814" s="692" t="n"/>
      <c r="L814" s="692" t="n"/>
      <c r="M814" s="692" t="n"/>
      <c r="N814" s="692" t="n"/>
      <c r="O814" s="692" t="n"/>
      <c r="P814" s="692" t="n"/>
      <c r="Q814" s="692" t="n"/>
      <c r="R814" s="692" t="n"/>
      <c r="S814" s="692" t="n"/>
      <c r="T814" s="692" t="n"/>
      <c r="U814" s="692" t="n"/>
      <c r="V814" s="692" t="n"/>
      <c r="W814" s="692" t="n"/>
    </row>
    <row r="815">
      <c r="A815" s="692" t="n"/>
      <c r="B815" s="692" t="n"/>
      <c r="C815" s="692" t="n"/>
      <c r="D815" s="692" t="n"/>
      <c r="E815" s="692" t="n"/>
      <c r="F815" s="692" t="n"/>
      <c r="G815" s="692" t="n"/>
      <c r="H815" s="692" t="n"/>
      <c r="I815" s="692" t="n"/>
      <c r="J815" s="692" t="n"/>
      <c r="K815" s="692" t="n"/>
      <c r="L815" s="692" t="n"/>
      <c r="M815" s="692" t="n"/>
      <c r="N815" s="692" t="n"/>
      <c r="O815" s="692" t="n"/>
      <c r="P815" s="692" t="n"/>
      <c r="Q815" s="692" t="n"/>
      <c r="R815" s="692" t="n"/>
      <c r="S815" s="692" t="n"/>
      <c r="T815" s="692" t="n"/>
      <c r="U815" s="692" t="n"/>
      <c r="V815" s="692" t="n"/>
      <c r="W815" s="692" t="n"/>
    </row>
    <row r="816">
      <c r="A816" s="692" t="n"/>
      <c r="B816" s="692" t="n"/>
      <c r="C816" s="692" t="n"/>
      <c r="D816" s="692" t="n"/>
      <c r="E816" s="692" t="n"/>
      <c r="F816" s="692" t="n"/>
      <c r="G816" s="692" t="n"/>
      <c r="H816" s="692" t="n"/>
      <c r="I816" s="692" t="n"/>
      <c r="J816" s="692" t="n"/>
      <c r="K816" s="692" t="n"/>
      <c r="L816" s="692" t="n"/>
      <c r="M816" s="692" t="n"/>
      <c r="N816" s="692" t="n"/>
      <c r="O816" s="692" t="n"/>
      <c r="P816" s="692" t="n"/>
      <c r="Q816" s="692" t="n"/>
      <c r="R816" s="692" t="n"/>
      <c r="S816" s="692" t="n"/>
      <c r="T816" s="692" t="n"/>
      <c r="U816" s="692" t="n"/>
      <c r="V816" s="692" t="n"/>
      <c r="W816" s="692" t="n"/>
    </row>
    <row r="817">
      <c r="A817" s="692" t="n"/>
      <c r="B817" s="692" t="n"/>
      <c r="C817" s="692" t="n"/>
      <c r="D817" s="692" t="n"/>
      <c r="E817" s="692" t="n"/>
      <c r="F817" s="692" t="n"/>
      <c r="G817" s="692" t="n"/>
      <c r="H817" s="692" t="n"/>
      <c r="I817" s="692" t="n"/>
      <c r="J817" s="692" t="n"/>
      <c r="K817" s="692" t="n"/>
      <c r="L817" s="692" t="n"/>
      <c r="M817" s="692" t="n"/>
      <c r="N817" s="692" t="n"/>
      <c r="O817" s="692" t="n"/>
      <c r="P817" s="692" t="n"/>
      <c r="Q817" s="692" t="n"/>
      <c r="R817" s="692" t="n"/>
      <c r="S817" s="692" t="n"/>
      <c r="T817" s="692" t="n"/>
      <c r="U817" s="692" t="n"/>
      <c r="V817" s="692" t="n"/>
      <c r="W817" s="692" t="n"/>
    </row>
    <row r="818">
      <c r="A818" s="692" t="n"/>
      <c r="B818" s="692" t="n"/>
      <c r="C818" s="692" t="n"/>
      <c r="D818" s="692" t="n"/>
      <c r="E818" s="692" t="n"/>
      <c r="F818" s="692" t="n"/>
      <c r="G818" s="692" t="n"/>
      <c r="H818" s="692" t="n"/>
      <c r="I818" s="692" t="n"/>
      <c r="J818" s="692" t="n"/>
      <c r="K818" s="692" t="n"/>
      <c r="L818" s="692" t="n"/>
      <c r="M818" s="692" t="n"/>
      <c r="N818" s="692" t="n"/>
      <c r="O818" s="692" t="n"/>
      <c r="P818" s="692" t="n"/>
      <c r="Q818" s="692" t="n"/>
      <c r="R818" s="692" t="n"/>
      <c r="S818" s="692" t="n"/>
      <c r="T818" s="692" t="n"/>
      <c r="U818" s="692" t="n"/>
      <c r="V818" s="692" t="n"/>
      <c r="W818" s="692" t="n"/>
    </row>
    <row r="819">
      <c r="A819" s="692" t="n"/>
      <c r="B819" s="692" t="n"/>
      <c r="C819" s="692" t="n"/>
      <c r="D819" s="692" t="n"/>
      <c r="E819" s="692" t="n"/>
      <c r="F819" s="692" t="n"/>
      <c r="G819" s="692" t="n"/>
      <c r="H819" s="692" t="n"/>
      <c r="I819" s="692" t="n"/>
      <c r="J819" s="692" t="n"/>
      <c r="K819" s="692" t="n"/>
      <c r="L819" s="692" t="n"/>
      <c r="M819" s="692" t="n"/>
      <c r="N819" s="692" t="n"/>
      <c r="O819" s="692" t="n"/>
      <c r="P819" s="692" t="n"/>
      <c r="Q819" s="692" t="n"/>
      <c r="R819" s="692" t="n"/>
      <c r="S819" s="692" t="n"/>
      <c r="T819" s="692" t="n"/>
      <c r="U819" s="692" t="n"/>
      <c r="V819" s="692" t="n"/>
      <c r="W819" s="692" t="n"/>
    </row>
    <row r="820">
      <c r="A820" s="692" t="n"/>
      <c r="B820" s="692" t="n"/>
      <c r="C820" s="692" t="n"/>
      <c r="D820" s="692" t="n"/>
      <c r="E820" s="692" t="n"/>
      <c r="F820" s="692" t="n"/>
      <c r="G820" s="692" t="n"/>
      <c r="H820" s="692" t="n"/>
      <c r="I820" s="692" t="n"/>
      <c r="J820" s="692" t="n"/>
      <c r="K820" s="692" t="n"/>
      <c r="L820" s="692" t="n"/>
      <c r="M820" s="692" t="n"/>
      <c r="N820" s="692" t="n"/>
      <c r="O820" s="692" t="n"/>
      <c r="P820" s="692" t="n"/>
      <c r="Q820" s="692" t="n"/>
      <c r="R820" s="692" t="n"/>
      <c r="S820" s="692" t="n"/>
      <c r="T820" s="692" t="n"/>
      <c r="U820" s="692" t="n"/>
      <c r="V820" s="692" t="n"/>
      <c r="W820" s="692" t="n"/>
    </row>
    <row r="821">
      <c r="A821" s="692" t="n"/>
      <c r="B821" s="692" t="n"/>
      <c r="C821" s="692" t="n"/>
      <c r="D821" s="692" t="n"/>
      <c r="E821" s="692" t="n"/>
      <c r="F821" s="692" t="n"/>
      <c r="G821" s="692" t="n"/>
      <c r="H821" s="692" t="n"/>
      <c r="I821" s="692" t="n"/>
      <c r="J821" s="692" t="n"/>
      <c r="K821" s="692" t="n"/>
      <c r="L821" s="692" t="n"/>
      <c r="M821" s="692" t="n"/>
      <c r="N821" s="692" t="n"/>
      <c r="O821" s="692" t="n"/>
      <c r="P821" s="692" t="n"/>
      <c r="Q821" s="692" t="n"/>
      <c r="R821" s="692" t="n"/>
      <c r="S821" s="692" t="n"/>
      <c r="T821" s="692" t="n"/>
      <c r="U821" s="692" t="n"/>
      <c r="V821" s="692" t="n"/>
      <c r="W821" s="692" t="n"/>
    </row>
    <row r="822">
      <c r="A822" s="692" t="n"/>
      <c r="B822" s="692" t="n"/>
      <c r="C822" s="692" t="n"/>
      <c r="D822" s="692" t="n"/>
      <c r="E822" s="692" t="n"/>
      <c r="F822" s="692" t="n"/>
      <c r="G822" s="692" t="n"/>
      <c r="H822" s="692" t="n"/>
      <c r="I822" s="692" t="n"/>
      <c r="J822" s="692" t="n"/>
      <c r="K822" s="692" t="n"/>
      <c r="L822" s="692" t="n"/>
      <c r="M822" s="692" t="n"/>
      <c r="N822" s="692" t="n"/>
      <c r="O822" s="692" t="n"/>
      <c r="P822" s="692" t="n"/>
      <c r="Q822" s="692" t="n"/>
      <c r="R822" s="692" t="n"/>
      <c r="S822" s="692" t="n"/>
      <c r="T822" s="692" t="n"/>
      <c r="U822" s="692" t="n"/>
      <c r="V822" s="692" t="n"/>
      <c r="W822" s="692" t="n"/>
    </row>
    <row r="823">
      <c r="A823" s="692" t="n"/>
      <c r="B823" s="692" t="n"/>
      <c r="C823" s="692" t="n"/>
      <c r="D823" s="692" t="n"/>
      <c r="E823" s="692" t="n"/>
      <c r="F823" s="692" t="n"/>
      <c r="G823" s="692" t="n"/>
      <c r="H823" s="692" t="n"/>
      <c r="I823" s="692" t="n"/>
      <c r="J823" s="692" t="n"/>
      <c r="K823" s="692" t="n"/>
      <c r="L823" s="692" t="n"/>
      <c r="M823" s="692" t="n"/>
      <c r="N823" s="692" t="n"/>
      <c r="O823" s="692" t="n"/>
      <c r="P823" s="692" t="n"/>
      <c r="Q823" s="692" t="n"/>
      <c r="R823" s="692" t="n"/>
      <c r="S823" s="692" t="n"/>
      <c r="T823" s="692" t="n"/>
      <c r="U823" s="692" t="n"/>
      <c r="V823" s="692" t="n"/>
      <c r="W823" s="692" t="n"/>
    </row>
    <row r="824">
      <c r="A824" s="692" t="n"/>
      <c r="B824" s="692" t="n"/>
      <c r="C824" s="692" t="n"/>
      <c r="D824" s="692" t="n"/>
      <c r="E824" s="692" t="n"/>
      <c r="F824" s="692" t="n"/>
      <c r="G824" s="692" t="n"/>
      <c r="H824" s="692" t="n"/>
      <c r="I824" s="692" t="n"/>
      <c r="J824" s="692" t="n"/>
      <c r="K824" s="692" t="n"/>
      <c r="L824" s="692" t="n"/>
      <c r="M824" s="692" t="n"/>
      <c r="N824" s="692" t="n"/>
      <c r="O824" s="692" t="n"/>
      <c r="P824" s="692" t="n"/>
      <c r="Q824" s="692" t="n"/>
      <c r="R824" s="692" t="n"/>
      <c r="S824" s="692" t="n"/>
      <c r="T824" s="692" t="n"/>
      <c r="U824" s="692" t="n"/>
      <c r="V824" s="692" t="n"/>
      <c r="W824" s="692" t="n"/>
    </row>
    <row r="825">
      <c r="A825" s="692" t="n"/>
      <c r="B825" s="692" t="n"/>
      <c r="C825" s="692" t="n"/>
      <c r="D825" s="692" t="n"/>
      <c r="E825" s="692" t="n"/>
      <c r="F825" s="692" t="n"/>
      <c r="G825" s="692" t="n"/>
      <c r="H825" s="692" t="n"/>
      <c r="I825" s="692" t="n"/>
      <c r="J825" s="692" t="n"/>
      <c r="K825" s="692" t="n"/>
      <c r="L825" s="692" t="n"/>
      <c r="M825" s="692" t="n"/>
      <c r="N825" s="692" t="n"/>
      <c r="O825" s="692" t="n"/>
      <c r="P825" s="692" t="n"/>
      <c r="Q825" s="692" t="n"/>
      <c r="R825" s="692" t="n"/>
      <c r="S825" s="692" t="n"/>
      <c r="T825" s="692" t="n"/>
      <c r="U825" s="692" t="n"/>
      <c r="V825" s="692" t="n"/>
      <c r="W825" s="692" t="n"/>
    </row>
    <row r="826">
      <c r="A826" s="692" t="n"/>
      <c r="B826" s="692" t="n"/>
      <c r="C826" s="692" t="n"/>
      <c r="D826" s="692" t="n"/>
      <c r="E826" s="692" t="n"/>
      <c r="F826" s="692" t="n"/>
      <c r="G826" s="692" t="n"/>
      <c r="H826" s="692" t="n"/>
      <c r="I826" s="692" t="n"/>
      <c r="J826" s="692" t="n"/>
      <c r="K826" s="692" t="n"/>
      <c r="L826" s="692" t="n"/>
      <c r="M826" s="692" t="n"/>
      <c r="N826" s="692" t="n"/>
      <c r="O826" s="692" t="n"/>
      <c r="P826" s="692" t="n"/>
      <c r="Q826" s="692" t="n"/>
      <c r="R826" s="692" t="n"/>
      <c r="S826" s="692" t="n"/>
      <c r="T826" s="692" t="n"/>
      <c r="U826" s="692" t="n"/>
      <c r="V826" s="692" t="n"/>
      <c r="W826" s="692" t="n"/>
    </row>
    <row r="827">
      <c r="A827" s="692" t="n"/>
      <c r="B827" s="692" t="n"/>
      <c r="C827" s="692" t="n"/>
      <c r="D827" s="692" t="n"/>
      <c r="E827" s="692" t="n"/>
      <c r="F827" s="692" t="n"/>
      <c r="G827" s="692" t="n"/>
      <c r="H827" s="692" t="n"/>
      <c r="I827" s="692" t="n"/>
      <c r="J827" s="692" t="n"/>
      <c r="K827" s="692" t="n"/>
      <c r="L827" s="692" t="n"/>
      <c r="M827" s="692" t="n"/>
      <c r="N827" s="692" t="n"/>
      <c r="O827" s="692" t="n"/>
      <c r="P827" s="692" t="n"/>
      <c r="Q827" s="692" t="n"/>
      <c r="R827" s="692" t="n"/>
      <c r="S827" s="692" t="n"/>
      <c r="T827" s="692" t="n"/>
      <c r="U827" s="692" t="n"/>
      <c r="V827" s="692" t="n"/>
      <c r="W827" s="692" t="n"/>
    </row>
    <row r="828">
      <c r="A828" s="692" t="n"/>
      <c r="B828" s="692" t="n"/>
      <c r="C828" s="692" t="n"/>
      <c r="D828" s="692" t="n"/>
      <c r="E828" s="692" t="n"/>
      <c r="F828" s="692" t="n"/>
      <c r="G828" s="692" t="n"/>
      <c r="H828" s="692" t="n"/>
      <c r="I828" s="692" t="n"/>
      <c r="J828" s="692" t="n"/>
      <c r="K828" s="692" t="n"/>
      <c r="L828" s="692" t="n"/>
      <c r="M828" s="692" t="n"/>
      <c r="N828" s="692" t="n"/>
      <c r="O828" s="692" t="n"/>
      <c r="P828" s="692" t="n"/>
      <c r="Q828" s="692" t="n"/>
      <c r="R828" s="692" t="n"/>
      <c r="S828" s="692" t="n"/>
      <c r="T828" s="692" t="n"/>
      <c r="U828" s="692" t="n"/>
      <c r="V828" s="692" t="n"/>
      <c r="W828" s="692" t="n"/>
    </row>
    <row r="829">
      <c r="A829" s="692" t="n"/>
      <c r="B829" s="692" t="n"/>
      <c r="C829" s="692" t="n"/>
      <c r="D829" s="692" t="n"/>
      <c r="E829" s="692" t="n"/>
      <c r="F829" s="692" t="n"/>
      <c r="G829" s="692" t="n"/>
      <c r="H829" s="692" t="n"/>
      <c r="I829" s="692" t="n"/>
      <c r="J829" s="692" t="n"/>
      <c r="K829" s="692" t="n"/>
      <c r="L829" s="692" t="n"/>
      <c r="M829" s="692" t="n"/>
      <c r="N829" s="692" t="n"/>
      <c r="O829" s="692" t="n"/>
      <c r="P829" s="692" t="n"/>
      <c r="Q829" s="692" t="n"/>
      <c r="R829" s="692" t="n"/>
      <c r="S829" s="692" t="n"/>
      <c r="T829" s="692" t="n"/>
      <c r="U829" s="692" t="n"/>
      <c r="V829" s="692" t="n"/>
      <c r="W829" s="692" t="n"/>
    </row>
    <row r="830">
      <c r="A830" s="692" t="n"/>
      <c r="B830" s="692" t="n"/>
      <c r="C830" s="692" t="n"/>
      <c r="D830" s="692" t="n"/>
      <c r="E830" s="692" t="n"/>
      <c r="F830" s="692" t="n"/>
      <c r="G830" s="692" t="n"/>
      <c r="H830" s="692" t="n"/>
      <c r="I830" s="692" t="n"/>
      <c r="J830" s="692" t="n"/>
      <c r="K830" s="692" t="n"/>
      <c r="L830" s="692" t="n"/>
      <c r="M830" s="692" t="n"/>
      <c r="N830" s="692" t="n"/>
      <c r="O830" s="692" t="n"/>
      <c r="P830" s="692" t="n"/>
      <c r="Q830" s="692" t="n"/>
      <c r="R830" s="692" t="n"/>
      <c r="S830" s="692" t="n"/>
      <c r="T830" s="692" t="n"/>
      <c r="U830" s="692" t="n"/>
      <c r="V830" s="692" t="n"/>
      <c r="W830" s="692" t="n"/>
    </row>
    <row r="831">
      <c r="A831" s="692" t="n"/>
      <c r="B831" s="692" t="n"/>
      <c r="C831" s="692" t="n"/>
      <c r="D831" s="692" t="n"/>
      <c r="E831" s="692" t="n"/>
      <c r="F831" s="692" t="n"/>
      <c r="G831" s="692" t="n"/>
      <c r="H831" s="692" t="n"/>
      <c r="I831" s="692" t="n"/>
      <c r="J831" s="692" t="n"/>
      <c r="K831" s="692" t="n"/>
      <c r="L831" s="692" t="n"/>
      <c r="M831" s="692" t="n"/>
      <c r="N831" s="692" t="n"/>
      <c r="O831" s="692" t="n"/>
      <c r="P831" s="692" t="n"/>
      <c r="Q831" s="692" t="n"/>
      <c r="R831" s="692" t="n"/>
      <c r="S831" s="692" t="n"/>
      <c r="T831" s="692" t="n"/>
      <c r="U831" s="692" t="n"/>
      <c r="V831" s="692" t="n"/>
      <c r="W831" s="692" t="n"/>
    </row>
    <row r="832">
      <c r="A832" s="692" t="n"/>
      <c r="B832" s="692" t="n"/>
      <c r="C832" s="692" t="n"/>
      <c r="D832" s="692" t="n"/>
      <c r="E832" s="692" t="n"/>
      <c r="F832" s="692" t="n"/>
      <c r="G832" s="692" t="n"/>
      <c r="H832" s="692" t="n"/>
      <c r="I832" s="692" t="n"/>
      <c r="J832" s="692" t="n"/>
      <c r="K832" s="692" t="n"/>
      <c r="L832" s="692" t="n"/>
      <c r="M832" s="692" t="n"/>
      <c r="N832" s="692" t="n"/>
      <c r="O832" s="692" t="n"/>
      <c r="P832" s="692" t="n"/>
      <c r="Q832" s="692" t="n"/>
      <c r="R832" s="692" t="n"/>
      <c r="S832" s="692" t="n"/>
      <c r="T832" s="692" t="n"/>
      <c r="U832" s="692" t="n"/>
      <c r="V832" s="692" t="n"/>
      <c r="W832" s="692" t="n"/>
    </row>
    <row r="833">
      <c r="A833" s="692" t="n"/>
      <c r="B833" s="692" t="n"/>
      <c r="C833" s="692" t="n"/>
      <c r="D833" s="692" t="n"/>
      <c r="E833" s="692" t="n"/>
      <c r="F833" s="692" t="n"/>
      <c r="G833" s="692" t="n"/>
      <c r="H833" s="692" t="n"/>
      <c r="I833" s="692" t="n"/>
      <c r="J833" s="692" t="n"/>
      <c r="K833" s="692" t="n"/>
      <c r="L833" s="692" t="n"/>
      <c r="M833" s="692" t="n"/>
      <c r="N833" s="692" t="n"/>
      <c r="O833" s="692" t="n"/>
      <c r="P833" s="692" t="n"/>
      <c r="Q833" s="692" t="n"/>
      <c r="R833" s="692" t="n"/>
      <c r="S833" s="692" t="n"/>
      <c r="T833" s="692" t="n"/>
      <c r="U833" s="692" t="n"/>
      <c r="V833" s="692" t="n"/>
      <c r="W833" s="692" t="n"/>
    </row>
    <row r="834">
      <c r="A834" s="692" t="n"/>
      <c r="B834" s="692" t="n"/>
      <c r="C834" s="692" t="n"/>
      <c r="D834" s="692" t="n"/>
      <c r="E834" s="692" t="n"/>
      <c r="F834" s="692" t="n"/>
      <c r="G834" s="692" t="n"/>
      <c r="H834" s="692" t="n"/>
      <c r="I834" s="692" t="n"/>
      <c r="J834" s="692" t="n"/>
      <c r="K834" s="692" t="n"/>
      <c r="L834" s="692" t="n"/>
      <c r="M834" s="692" t="n"/>
      <c r="N834" s="692" t="n"/>
      <c r="O834" s="692" t="n"/>
      <c r="P834" s="692" t="n"/>
      <c r="Q834" s="692" t="n"/>
      <c r="R834" s="692" t="n"/>
      <c r="S834" s="692" t="n"/>
      <c r="T834" s="692" t="n"/>
      <c r="U834" s="692" t="n"/>
      <c r="V834" s="692" t="n"/>
      <c r="W834" s="692" t="n"/>
    </row>
    <row r="835">
      <c r="A835" s="692" t="n"/>
      <c r="B835" s="692" t="n"/>
      <c r="C835" s="692" t="n"/>
      <c r="D835" s="692" t="n"/>
      <c r="E835" s="692" t="n"/>
      <c r="F835" s="692" t="n"/>
      <c r="G835" s="692" t="n"/>
      <c r="H835" s="692" t="n"/>
      <c r="I835" s="692" t="n"/>
      <c r="J835" s="692" t="n"/>
      <c r="K835" s="692" t="n"/>
      <c r="L835" s="692" t="n"/>
      <c r="M835" s="692" t="n"/>
      <c r="N835" s="692" t="n"/>
      <c r="O835" s="692" t="n"/>
      <c r="P835" s="692" t="n"/>
      <c r="Q835" s="692" t="n"/>
      <c r="R835" s="692" t="n"/>
      <c r="S835" s="692" t="n"/>
      <c r="T835" s="692" t="n"/>
      <c r="U835" s="692" t="n"/>
      <c r="V835" s="692" t="n"/>
      <c r="W835" s="692" t="n"/>
    </row>
    <row r="836">
      <c r="A836" s="692" t="n"/>
      <c r="B836" s="692" t="n"/>
      <c r="C836" s="692" t="n"/>
      <c r="D836" s="692" t="n"/>
      <c r="E836" s="692" t="n"/>
      <c r="F836" s="692" t="n"/>
      <c r="G836" s="692" t="n"/>
      <c r="H836" s="692" t="n"/>
      <c r="I836" s="692" t="n"/>
      <c r="J836" s="692" t="n"/>
      <c r="K836" s="692" t="n"/>
      <c r="L836" s="692" t="n"/>
      <c r="M836" s="692" t="n"/>
      <c r="N836" s="692" t="n"/>
      <c r="O836" s="692" t="n"/>
      <c r="P836" s="692" t="n"/>
      <c r="Q836" s="692" t="n"/>
      <c r="R836" s="692" t="n"/>
      <c r="S836" s="692" t="n"/>
      <c r="T836" s="692" t="n"/>
      <c r="U836" s="692" t="n"/>
      <c r="V836" s="692" t="n"/>
      <c r="W836" s="692" t="n"/>
    </row>
    <row r="837">
      <c r="A837" s="692" t="n"/>
      <c r="B837" s="692" t="n"/>
      <c r="C837" s="692" t="n"/>
      <c r="D837" s="692" t="n"/>
      <c r="E837" s="692" t="n"/>
      <c r="F837" s="692" t="n"/>
      <c r="G837" s="692" t="n"/>
      <c r="H837" s="692" t="n"/>
      <c r="I837" s="692" t="n"/>
      <c r="J837" s="692" t="n"/>
      <c r="K837" s="692" t="n"/>
      <c r="L837" s="692" t="n"/>
      <c r="M837" s="692" t="n"/>
      <c r="N837" s="692" t="n"/>
      <c r="O837" s="692" t="n"/>
      <c r="P837" s="692" t="n"/>
      <c r="Q837" s="692" t="n"/>
      <c r="R837" s="692" t="n"/>
      <c r="S837" s="692" t="n"/>
      <c r="T837" s="692" t="n"/>
      <c r="U837" s="692" t="n"/>
      <c r="V837" s="692" t="n"/>
      <c r="W837" s="692" t="n"/>
    </row>
    <row r="838">
      <c r="A838" s="692" t="n"/>
      <c r="B838" s="692" t="n"/>
      <c r="C838" s="692" t="n"/>
      <c r="D838" s="692" t="n"/>
      <c r="E838" s="692" t="n"/>
      <c r="F838" s="692" t="n"/>
      <c r="G838" s="692" t="n"/>
      <c r="H838" s="692" t="n"/>
      <c r="I838" s="692" t="n"/>
      <c r="J838" s="692" t="n"/>
      <c r="K838" s="692" t="n"/>
      <c r="L838" s="692" t="n"/>
      <c r="M838" s="692" t="n"/>
      <c r="N838" s="692" t="n"/>
      <c r="O838" s="692" t="n"/>
      <c r="P838" s="692" t="n"/>
      <c r="Q838" s="692" t="n"/>
      <c r="R838" s="692" t="n"/>
      <c r="S838" s="692" t="n"/>
      <c r="T838" s="692" t="n"/>
      <c r="U838" s="692" t="n"/>
      <c r="V838" s="692" t="n"/>
      <c r="W838" s="692" t="n"/>
    </row>
    <row r="839">
      <c r="A839" s="692" t="n"/>
      <c r="B839" s="692" t="n"/>
      <c r="C839" s="692" t="n"/>
      <c r="D839" s="692" t="n"/>
      <c r="E839" s="692" t="n"/>
      <c r="F839" s="692" t="n"/>
      <c r="G839" s="692" t="n"/>
      <c r="H839" s="692" t="n"/>
      <c r="I839" s="692" t="n"/>
      <c r="J839" s="692" t="n"/>
      <c r="K839" s="692" t="n"/>
      <c r="L839" s="692" t="n"/>
      <c r="M839" s="692" t="n"/>
      <c r="N839" s="692" t="n"/>
      <c r="O839" s="692" t="n"/>
      <c r="P839" s="692" t="n"/>
      <c r="Q839" s="692" t="n"/>
      <c r="R839" s="692" t="n"/>
      <c r="S839" s="692" t="n"/>
      <c r="T839" s="692" t="n"/>
      <c r="U839" s="692" t="n"/>
      <c r="V839" s="692" t="n"/>
      <c r="W839" s="692" t="n"/>
    </row>
    <row r="840">
      <c r="A840" s="692" t="n"/>
      <c r="B840" s="692" t="n"/>
      <c r="C840" s="692" t="n"/>
      <c r="D840" s="692" t="n"/>
      <c r="E840" s="692" t="n"/>
      <c r="F840" s="692" t="n"/>
      <c r="G840" s="692" t="n"/>
      <c r="H840" s="692" t="n"/>
      <c r="I840" s="692" t="n"/>
      <c r="J840" s="692" t="n"/>
      <c r="K840" s="692" t="n"/>
      <c r="L840" s="692" t="n"/>
      <c r="M840" s="692" t="n"/>
      <c r="N840" s="692" t="n"/>
      <c r="O840" s="692" t="n"/>
      <c r="P840" s="692" t="n"/>
      <c r="Q840" s="692" t="n"/>
      <c r="R840" s="692" t="n"/>
      <c r="S840" s="692" t="n"/>
      <c r="T840" s="692" t="n"/>
      <c r="U840" s="692" t="n"/>
      <c r="V840" s="692" t="n"/>
      <c r="W840" s="692" t="n"/>
    </row>
    <row r="841">
      <c r="A841" s="692" t="n"/>
      <c r="B841" s="692" t="n"/>
      <c r="C841" s="692" t="n"/>
      <c r="D841" s="692" t="n"/>
      <c r="E841" s="692" t="n"/>
      <c r="F841" s="692" t="n"/>
      <c r="G841" s="692" t="n"/>
      <c r="H841" s="692" t="n"/>
      <c r="I841" s="692" t="n"/>
      <c r="J841" s="692" t="n"/>
      <c r="K841" s="692" t="n"/>
      <c r="L841" s="692" t="n"/>
      <c r="M841" s="692" t="n"/>
      <c r="N841" s="692" t="n"/>
      <c r="O841" s="692" t="n"/>
      <c r="P841" s="692" t="n"/>
      <c r="Q841" s="692" t="n"/>
      <c r="R841" s="692" t="n"/>
      <c r="S841" s="692" t="n"/>
      <c r="T841" s="692" t="n"/>
      <c r="U841" s="692" t="n"/>
      <c r="V841" s="692" t="n"/>
      <c r="W841" s="692" t="n"/>
    </row>
    <row r="842">
      <c r="A842" s="692" t="n"/>
      <c r="B842" s="692" t="n"/>
      <c r="C842" s="692" t="n"/>
      <c r="D842" s="692" t="n"/>
      <c r="E842" s="692" t="n"/>
      <c r="F842" s="692" t="n"/>
      <c r="G842" s="692" t="n"/>
      <c r="H842" s="692" t="n"/>
      <c r="I842" s="692" t="n"/>
      <c r="J842" s="692" t="n"/>
      <c r="K842" s="692" t="n"/>
      <c r="L842" s="692" t="n"/>
      <c r="M842" s="692" t="n"/>
      <c r="N842" s="692" t="n"/>
      <c r="O842" s="692" t="n"/>
      <c r="P842" s="692" t="n"/>
      <c r="Q842" s="692" t="n"/>
      <c r="R842" s="692" t="n"/>
      <c r="S842" s="692" t="n"/>
      <c r="T842" s="692" t="n"/>
      <c r="U842" s="692" t="n"/>
      <c r="V842" s="692" t="n"/>
      <c r="W842" s="692" t="n"/>
    </row>
    <row r="843">
      <c r="A843" s="692" t="n"/>
      <c r="B843" s="692" t="n"/>
      <c r="C843" s="692" t="n"/>
      <c r="D843" s="692" t="n"/>
      <c r="E843" s="692" t="n"/>
      <c r="F843" s="692" t="n"/>
      <c r="G843" s="692" t="n"/>
      <c r="H843" s="692" t="n"/>
      <c r="I843" s="692" t="n"/>
      <c r="J843" s="692" t="n"/>
      <c r="K843" s="692" t="n"/>
      <c r="L843" s="692" t="n"/>
      <c r="M843" s="692" t="n"/>
      <c r="N843" s="692" t="n"/>
      <c r="O843" s="692" t="n"/>
      <c r="P843" s="692" t="n"/>
      <c r="Q843" s="692" t="n"/>
      <c r="R843" s="692" t="n"/>
      <c r="S843" s="692" t="n"/>
      <c r="T843" s="692" t="n"/>
      <c r="U843" s="692" t="n"/>
      <c r="V843" s="692" t="n"/>
      <c r="W843" s="692" t="n"/>
    </row>
    <row r="844">
      <c r="A844" s="692" t="n"/>
      <c r="B844" s="692" t="n"/>
      <c r="C844" s="692" t="n"/>
      <c r="D844" s="692" t="n"/>
      <c r="E844" s="692" t="n"/>
      <c r="F844" s="692" t="n"/>
      <c r="G844" s="692" t="n"/>
      <c r="H844" s="692" t="n"/>
      <c r="I844" s="692" t="n"/>
      <c r="J844" s="692" t="n"/>
      <c r="K844" s="692" t="n"/>
      <c r="L844" s="692" t="n"/>
      <c r="M844" s="692" t="n"/>
      <c r="N844" s="692" t="n"/>
      <c r="O844" s="692" t="n"/>
      <c r="P844" s="692" t="n"/>
      <c r="Q844" s="692" t="n"/>
      <c r="R844" s="692" t="n"/>
      <c r="S844" s="692" t="n"/>
      <c r="T844" s="692" t="n"/>
      <c r="U844" s="692" t="n"/>
      <c r="V844" s="692" t="n"/>
      <c r="W844" s="692" t="n"/>
    </row>
    <row r="845">
      <c r="A845" s="692" t="n"/>
      <c r="B845" s="692" t="n"/>
      <c r="C845" s="692" t="n"/>
      <c r="D845" s="692" t="n"/>
      <c r="E845" s="692" t="n"/>
      <c r="F845" s="692" t="n"/>
      <c r="G845" s="692" t="n"/>
      <c r="H845" s="692" t="n"/>
      <c r="I845" s="692" t="n"/>
      <c r="J845" s="692" t="n"/>
      <c r="K845" s="692" t="n"/>
      <c r="L845" s="692" t="n"/>
      <c r="M845" s="692" t="n"/>
      <c r="N845" s="692" t="n"/>
      <c r="O845" s="692" t="n"/>
      <c r="P845" s="692" t="n"/>
      <c r="Q845" s="692" t="n"/>
      <c r="R845" s="692" t="n"/>
      <c r="S845" s="692" t="n"/>
      <c r="T845" s="692" t="n"/>
      <c r="U845" s="692" t="n"/>
      <c r="V845" s="692" t="n"/>
      <c r="W845" s="692" t="n"/>
    </row>
    <row r="846">
      <c r="A846" s="692" t="n"/>
      <c r="B846" s="692" t="n"/>
      <c r="C846" s="692" t="n"/>
      <c r="D846" s="692" t="n"/>
      <c r="E846" s="692" t="n"/>
      <c r="F846" s="692" t="n"/>
      <c r="G846" s="692" t="n"/>
      <c r="H846" s="692" t="n"/>
      <c r="I846" s="692" t="n"/>
      <c r="J846" s="692" t="n"/>
      <c r="K846" s="692" t="n"/>
      <c r="L846" s="692" t="n"/>
      <c r="M846" s="692" t="n"/>
      <c r="N846" s="692" t="n"/>
      <c r="O846" s="692" t="n"/>
      <c r="P846" s="692" t="n"/>
      <c r="Q846" s="692" t="n"/>
      <c r="R846" s="692" t="n"/>
      <c r="S846" s="692" t="n"/>
      <c r="T846" s="692" t="n"/>
      <c r="U846" s="692" t="n"/>
      <c r="V846" s="692" t="n"/>
      <c r="W846" s="692" t="n"/>
    </row>
    <row r="847">
      <c r="A847" s="692" t="n"/>
      <c r="B847" s="692" t="n"/>
      <c r="C847" s="692" t="n"/>
      <c r="D847" s="692" t="n"/>
      <c r="E847" s="692" t="n"/>
      <c r="F847" s="692" t="n"/>
      <c r="G847" s="692" t="n"/>
      <c r="H847" s="692" t="n"/>
      <c r="I847" s="692" t="n"/>
      <c r="J847" s="692" t="n"/>
      <c r="K847" s="692" t="n"/>
      <c r="L847" s="692" t="n"/>
      <c r="M847" s="692" t="n"/>
      <c r="N847" s="692" t="n"/>
      <c r="O847" s="692" t="n"/>
      <c r="P847" s="692" t="n"/>
      <c r="Q847" s="692" t="n"/>
      <c r="R847" s="692" t="n"/>
      <c r="S847" s="692" t="n"/>
      <c r="T847" s="692" t="n"/>
      <c r="U847" s="692" t="n"/>
      <c r="V847" s="692" t="n"/>
      <c r="W847" s="692" t="n"/>
    </row>
    <row r="848">
      <c r="A848" s="692" t="n"/>
      <c r="B848" s="692" t="n"/>
      <c r="C848" s="692" t="n"/>
      <c r="D848" s="692" t="n"/>
      <c r="E848" s="692" t="n"/>
      <c r="F848" s="692" t="n"/>
      <c r="G848" s="692" t="n"/>
      <c r="H848" s="692" t="n"/>
      <c r="I848" s="692" t="n"/>
      <c r="J848" s="692" t="n"/>
      <c r="K848" s="692" t="n"/>
      <c r="L848" s="692" t="n"/>
      <c r="M848" s="692" t="n"/>
      <c r="N848" s="692" t="n"/>
      <c r="O848" s="692" t="n"/>
      <c r="P848" s="692" t="n"/>
      <c r="Q848" s="692" t="n"/>
      <c r="R848" s="692" t="n"/>
      <c r="S848" s="692" t="n"/>
      <c r="T848" s="692" t="n"/>
      <c r="U848" s="692" t="n"/>
      <c r="V848" s="692" t="n"/>
      <c r="W848" s="692" t="n"/>
    </row>
    <row r="849">
      <c r="A849" s="692" t="n"/>
      <c r="B849" s="692" t="n"/>
      <c r="C849" s="692" t="n"/>
      <c r="D849" s="692" t="n"/>
      <c r="E849" s="692" t="n"/>
      <c r="F849" s="692" t="n"/>
      <c r="G849" s="692" t="n"/>
      <c r="H849" s="692" t="n"/>
      <c r="I849" s="692" t="n"/>
      <c r="J849" s="692" t="n"/>
      <c r="K849" s="692" t="n"/>
      <c r="L849" s="692" t="n"/>
      <c r="M849" s="692" t="n"/>
      <c r="N849" s="692" t="n"/>
      <c r="O849" s="692" t="n"/>
      <c r="P849" s="692" t="n"/>
      <c r="Q849" s="692" t="n"/>
      <c r="R849" s="692" t="n"/>
      <c r="S849" s="692" t="n"/>
      <c r="T849" s="692" t="n"/>
      <c r="U849" s="692" t="n"/>
      <c r="V849" s="692" t="n"/>
      <c r="W849" s="692" t="n"/>
    </row>
    <row r="850">
      <c r="A850" s="692" t="n"/>
      <c r="B850" s="692" t="n"/>
      <c r="C850" s="692" t="n"/>
      <c r="D850" s="692" t="n"/>
      <c r="E850" s="692" t="n"/>
      <c r="F850" s="692" t="n"/>
      <c r="G850" s="692" t="n"/>
      <c r="H850" s="692" t="n"/>
      <c r="I850" s="692" t="n"/>
      <c r="J850" s="692" t="n"/>
      <c r="K850" s="692" t="n"/>
      <c r="L850" s="692" t="n"/>
      <c r="M850" s="692" t="n"/>
      <c r="N850" s="692" t="n"/>
      <c r="O850" s="692" t="n"/>
      <c r="P850" s="692" t="n"/>
      <c r="Q850" s="692" t="n"/>
      <c r="R850" s="692" t="n"/>
      <c r="S850" s="692" t="n"/>
      <c r="T850" s="692" t="n"/>
      <c r="U850" s="692" t="n"/>
      <c r="V850" s="692" t="n"/>
      <c r="W850" s="692" t="n"/>
    </row>
    <row r="851">
      <c r="A851" s="692" t="n"/>
      <c r="B851" s="692" t="n"/>
      <c r="C851" s="692" t="n"/>
      <c r="D851" s="692" t="n"/>
      <c r="E851" s="692" t="n"/>
      <c r="F851" s="692" t="n"/>
      <c r="G851" s="692" t="n"/>
      <c r="H851" s="692" t="n"/>
      <c r="I851" s="692" t="n"/>
      <c r="J851" s="692" t="n"/>
      <c r="K851" s="692" t="n"/>
      <c r="L851" s="692" t="n"/>
      <c r="M851" s="692" t="n"/>
      <c r="N851" s="692" t="n"/>
      <c r="O851" s="692" t="n"/>
      <c r="P851" s="692" t="n"/>
      <c r="Q851" s="692" t="n"/>
      <c r="R851" s="692" t="n"/>
      <c r="S851" s="692" t="n"/>
      <c r="T851" s="692" t="n"/>
      <c r="U851" s="692" t="n"/>
      <c r="V851" s="692" t="n"/>
      <c r="W851" s="692" t="n"/>
    </row>
    <row r="852">
      <c r="A852" s="692" t="n"/>
      <c r="B852" s="692" t="n"/>
      <c r="C852" s="692" t="n"/>
      <c r="D852" s="692" t="n"/>
      <c r="E852" s="692" t="n"/>
      <c r="F852" s="692" t="n"/>
      <c r="G852" s="692" t="n"/>
      <c r="H852" s="692" t="n"/>
      <c r="I852" s="692" t="n"/>
      <c r="J852" s="692" t="n"/>
      <c r="K852" s="692" t="n"/>
      <c r="L852" s="692" t="n"/>
      <c r="M852" s="692" t="n"/>
      <c r="N852" s="692" t="n"/>
      <c r="O852" s="692" t="n"/>
      <c r="P852" s="692" t="n"/>
      <c r="Q852" s="692" t="n"/>
      <c r="R852" s="692" t="n"/>
      <c r="S852" s="692" t="n"/>
      <c r="T852" s="692" t="n"/>
      <c r="U852" s="692" t="n"/>
      <c r="V852" s="692" t="n"/>
      <c r="W852" s="692" t="n"/>
    </row>
    <row r="853">
      <c r="A853" s="692" t="n"/>
      <c r="B853" s="692" t="n"/>
      <c r="C853" s="692" t="n"/>
      <c r="D853" s="692" t="n"/>
      <c r="E853" s="692" t="n"/>
      <c r="F853" s="692" t="n"/>
      <c r="G853" s="692" t="n"/>
      <c r="H853" s="692" t="n"/>
      <c r="I853" s="692" t="n"/>
      <c r="J853" s="692" t="n"/>
      <c r="K853" s="692" t="n"/>
      <c r="L853" s="692" t="n"/>
      <c r="M853" s="692" t="n"/>
      <c r="N853" s="692" t="n"/>
      <c r="O853" s="692" t="n"/>
      <c r="P853" s="692" t="n"/>
      <c r="Q853" s="692" t="n"/>
      <c r="R853" s="692" t="n"/>
      <c r="S853" s="692" t="n"/>
      <c r="T853" s="692" t="n"/>
      <c r="U853" s="692" t="n"/>
      <c r="V853" s="692" t="n"/>
      <c r="W853" s="692" t="n"/>
    </row>
    <row r="854">
      <c r="A854" s="692" t="n"/>
      <c r="B854" s="692" t="n"/>
      <c r="C854" s="692" t="n"/>
      <c r="D854" s="692" t="n"/>
      <c r="E854" s="692" t="n"/>
      <c r="F854" s="692" t="n"/>
      <c r="G854" s="692" t="n"/>
      <c r="H854" s="692" t="n"/>
      <c r="I854" s="692" t="n"/>
      <c r="J854" s="692" t="n"/>
      <c r="K854" s="692" t="n"/>
      <c r="L854" s="692" t="n"/>
      <c r="M854" s="692" t="n"/>
      <c r="N854" s="692" t="n"/>
      <c r="O854" s="692" t="n"/>
      <c r="P854" s="692" t="n"/>
      <c r="Q854" s="692" t="n"/>
      <c r="R854" s="692" t="n"/>
      <c r="S854" s="692" t="n"/>
      <c r="T854" s="692" t="n"/>
      <c r="U854" s="692" t="n"/>
      <c r="V854" s="692" t="n"/>
      <c r="W854" s="692" t="n"/>
    </row>
    <row r="855">
      <c r="A855" s="692" t="n"/>
      <c r="B855" s="692" t="n"/>
      <c r="C855" s="692" t="n"/>
      <c r="D855" s="692" t="n"/>
      <c r="E855" s="692" t="n"/>
      <c r="F855" s="692" t="n"/>
      <c r="G855" s="692" t="n"/>
      <c r="H855" s="692" t="n"/>
      <c r="I855" s="692" t="n"/>
      <c r="J855" s="692" t="n"/>
      <c r="K855" s="692" t="n"/>
      <c r="L855" s="692" t="n"/>
      <c r="M855" s="692" t="n"/>
      <c r="N855" s="692" t="n"/>
      <c r="O855" s="692" t="n"/>
      <c r="P855" s="692" t="n"/>
      <c r="Q855" s="692" t="n"/>
      <c r="R855" s="692" t="n"/>
      <c r="S855" s="692" t="n"/>
      <c r="T855" s="692" t="n"/>
      <c r="U855" s="692" t="n"/>
      <c r="V855" s="692" t="n"/>
      <c r="W855" s="692" t="n"/>
    </row>
    <row r="856">
      <c r="A856" s="692" t="n"/>
      <c r="B856" s="692" t="n"/>
      <c r="C856" s="692" t="n"/>
      <c r="D856" s="692" t="n"/>
      <c r="E856" s="692" t="n"/>
      <c r="F856" s="692" t="n"/>
      <c r="G856" s="692" t="n"/>
      <c r="H856" s="692" t="n"/>
      <c r="I856" s="692" t="n"/>
      <c r="J856" s="692" t="n"/>
      <c r="K856" s="692" t="n"/>
      <c r="L856" s="692" t="n"/>
      <c r="M856" s="692" t="n"/>
      <c r="N856" s="692" t="n"/>
      <c r="O856" s="692" t="n"/>
      <c r="P856" s="692" t="n"/>
      <c r="Q856" s="692" t="n"/>
      <c r="R856" s="692" t="n"/>
      <c r="S856" s="692" t="n"/>
      <c r="T856" s="692" t="n"/>
      <c r="U856" s="692" t="n"/>
      <c r="V856" s="692" t="n"/>
      <c r="W856" s="692" t="n"/>
    </row>
    <row r="857">
      <c r="A857" s="692" t="n"/>
      <c r="B857" s="692" t="n"/>
      <c r="C857" s="692" t="n"/>
      <c r="D857" s="692" t="n"/>
      <c r="E857" s="692" t="n"/>
      <c r="F857" s="692" t="n"/>
      <c r="G857" s="692" t="n"/>
      <c r="H857" s="692" t="n"/>
      <c r="I857" s="692" t="n"/>
      <c r="J857" s="692" t="n"/>
      <c r="K857" s="692" t="n"/>
      <c r="L857" s="692" t="n"/>
      <c r="M857" s="692" t="n"/>
      <c r="N857" s="692" t="n"/>
      <c r="O857" s="692" t="n"/>
      <c r="P857" s="692" t="n"/>
      <c r="Q857" s="692" t="n"/>
      <c r="R857" s="692" t="n"/>
      <c r="S857" s="692" t="n"/>
      <c r="T857" s="692" t="n"/>
      <c r="U857" s="692" t="n"/>
      <c r="V857" s="692" t="n"/>
      <c r="W857" s="692" t="n"/>
    </row>
    <row r="858">
      <c r="A858" s="692" t="n"/>
      <c r="B858" s="692" t="n"/>
      <c r="C858" s="692" t="n"/>
      <c r="D858" s="692" t="n"/>
      <c r="E858" s="692" t="n"/>
      <c r="F858" s="692" t="n"/>
      <c r="G858" s="692" t="n"/>
      <c r="H858" s="692" t="n"/>
      <c r="I858" s="692" t="n"/>
      <c r="J858" s="692" t="n"/>
      <c r="K858" s="692" t="n"/>
      <c r="L858" s="692" t="n"/>
      <c r="M858" s="692" t="n"/>
      <c r="N858" s="692" t="n"/>
      <c r="O858" s="692" t="n"/>
      <c r="P858" s="692" t="n"/>
      <c r="Q858" s="692" t="n"/>
      <c r="R858" s="692" t="n"/>
      <c r="S858" s="692" t="n"/>
      <c r="T858" s="692" t="n"/>
      <c r="U858" s="692" t="n"/>
      <c r="V858" s="692" t="n"/>
      <c r="W858" s="692" t="n"/>
    </row>
    <row r="859">
      <c r="A859" s="692" t="n"/>
      <c r="B859" s="692" t="n"/>
      <c r="C859" s="692" t="n"/>
      <c r="D859" s="692" t="n"/>
      <c r="E859" s="692" t="n"/>
      <c r="F859" s="692" t="n"/>
      <c r="G859" s="692" t="n"/>
      <c r="H859" s="692" t="n"/>
      <c r="I859" s="692" t="n"/>
      <c r="J859" s="692" t="n"/>
      <c r="K859" s="692" t="n"/>
      <c r="L859" s="692" t="n"/>
      <c r="M859" s="692" t="n"/>
      <c r="N859" s="692" t="n"/>
      <c r="O859" s="692" t="n"/>
      <c r="P859" s="692" t="n"/>
      <c r="Q859" s="692" t="n"/>
      <c r="R859" s="692" t="n"/>
      <c r="S859" s="692" t="n"/>
      <c r="T859" s="692" t="n"/>
      <c r="U859" s="692" t="n"/>
      <c r="V859" s="692" t="n"/>
      <c r="W859" s="692" t="n"/>
    </row>
    <row r="860">
      <c r="A860" s="692" t="n"/>
      <c r="B860" s="692" t="n"/>
      <c r="C860" s="692" t="n"/>
      <c r="D860" s="692" t="n"/>
      <c r="E860" s="692" t="n"/>
      <c r="F860" s="692" t="n"/>
      <c r="G860" s="692" t="n"/>
      <c r="H860" s="692" t="n"/>
      <c r="I860" s="692" t="n"/>
      <c r="J860" s="692" t="n"/>
      <c r="K860" s="692" t="n"/>
      <c r="L860" s="692" t="n"/>
      <c r="M860" s="692" t="n"/>
      <c r="N860" s="692" t="n"/>
      <c r="O860" s="692" t="n"/>
      <c r="P860" s="692" t="n"/>
      <c r="Q860" s="692" t="n"/>
      <c r="R860" s="692" t="n"/>
      <c r="S860" s="692" t="n"/>
      <c r="T860" s="692" t="n"/>
      <c r="U860" s="692" t="n"/>
      <c r="V860" s="692" t="n"/>
      <c r="W860" s="692" t="n"/>
    </row>
    <row r="861">
      <c r="A861" s="692" t="n"/>
      <c r="B861" s="692" t="n"/>
      <c r="C861" s="692" t="n"/>
      <c r="D861" s="692" t="n"/>
      <c r="E861" s="692" t="n"/>
      <c r="F861" s="692" t="n"/>
      <c r="G861" s="692" t="n"/>
      <c r="H861" s="692" t="n"/>
      <c r="I861" s="692" t="n"/>
      <c r="J861" s="692" t="n"/>
      <c r="K861" s="692" t="n"/>
      <c r="L861" s="692" t="n"/>
      <c r="M861" s="692" t="n"/>
      <c r="N861" s="692" t="n"/>
      <c r="O861" s="692" t="n"/>
      <c r="P861" s="692" t="n"/>
      <c r="Q861" s="692" t="n"/>
      <c r="R861" s="692" t="n"/>
      <c r="S861" s="692" t="n"/>
      <c r="T861" s="692" t="n"/>
      <c r="U861" s="692" t="n"/>
      <c r="V861" s="692" t="n"/>
      <c r="W861" s="692" t="n"/>
    </row>
    <row r="862">
      <c r="A862" s="692" t="n"/>
      <c r="B862" s="692" t="n"/>
      <c r="C862" s="692" t="n"/>
      <c r="D862" s="692" t="n"/>
      <c r="E862" s="692" t="n"/>
      <c r="F862" s="692" t="n"/>
      <c r="G862" s="692" t="n"/>
      <c r="H862" s="692" t="n"/>
      <c r="I862" s="692" t="n"/>
      <c r="J862" s="692" t="n"/>
      <c r="K862" s="692" t="n"/>
      <c r="L862" s="692" t="n"/>
      <c r="M862" s="692" t="n"/>
      <c r="N862" s="692" t="n"/>
      <c r="O862" s="692" t="n"/>
      <c r="P862" s="692" t="n"/>
      <c r="Q862" s="692" t="n"/>
      <c r="R862" s="692" t="n"/>
      <c r="S862" s="692" t="n"/>
      <c r="T862" s="692" t="n"/>
      <c r="U862" s="692" t="n"/>
      <c r="V862" s="692" t="n"/>
      <c r="W862" s="692" t="n"/>
    </row>
    <row r="863">
      <c r="A863" s="692" t="n"/>
      <c r="B863" s="692" t="n"/>
      <c r="C863" s="692" t="n"/>
      <c r="D863" s="692" t="n"/>
      <c r="E863" s="692" t="n"/>
      <c r="F863" s="692" t="n"/>
      <c r="G863" s="692" t="n"/>
      <c r="H863" s="692" t="n"/>
      <c r="I863" s="692" t="n"/>
      <c r="J863" s="692" t="n"/>
      <c r="K863" s="692" t="n"/>
      <c r="L863" s="692" t="n"/>
      <c r="M863" s="692" t="n"/>
      <c r="N863" s="692" t="n"/>
      <c r="O863" s="692" t="n"/>
      <c r="P863" s="692" t="n"/>
      <c r="Q863" s="692" t="n"/>
      <c r="R863" s="692" t="n"/>
      <c r="S863" s="692" t="n"/>
      <c r="T863" s="692" t="n"/>
      <c r="U863" s="692" t="n"/>
      <c r="V863" s="692" t="n"/>
      <c r="W863" s="692" t="n"/>
    </row>
    <row r="864">
      <c r="A864" s="692" t="n"/>
      <c r="B864" s="692" t="n"/>
      <c r="C864" s="692" t="n"/>
      <c r="D864" s="692" t="n"/>
      <c r="E864" s="692" t="n"/>
      <c r="F864" s="692" t="n"/>
      <c r="G864" s="692" t="n"/>
      <c r="H864" s="692" t="n"/>
      <c r="I864" s="692" t="n"/>
      <c r="J864" s="692" t="n"/>
      <c r="K864" s="692" t="n"/>
      <c r="L864" s="692" t="n"/>
      <c r="M864" s="692" t="n"/>
      <c r="N864" s="692" t="n"/>
      <c r="O864" s="692" t="n"/>
      <c r="P864" s="692" t="n"/>
      <c r="Q864" s="692" t="n"/>
      <c r="R864" s="692" t="n"/>
      <c r="S864" s="692" t="n"/>
      <c r="T864" s="692" t="n"/>
      <c r="U864" s="692" t="n"/>
      <c r="V864" s="692" t="n"/>
      <c r="W864" s="692" t="n"/>
    </row>
    <row r="865">
      <c r="A865" s="692" t="n"/>
      <c r="B865" s="692" t="n"/>
      <c r="C865" s="692" t="n"/>
      <c r="D865" s="692" t="n"/>
      <c r="E865" s="692" t="n"/>
      <c r="F865" s="692" t="n"/>
      <c r="G865" s="692" t="n"/>
      <c r="H865" s="692" t="n"/>
      <c r="I865" s="692" t="n"/>
      <c r="J865" s="692" t="n"/>
      <c r="K865" s="692" t="n"/>
      <c r="L865" s="692" t="n"/>
      <c r="M865" s="692" t="n"/>
      <c r="N865" s="692" t="n"/>
      <c r="O865" s="692" t="n"/>
      <c r="P865" s="692" t="n"/>
      <c r="Q865" s="692" t="n"/>
      <c r="R865" s="692" t="n"/>
      <c r="S865" s="692" t="n"/>
      <c r="T865" s="692" t="n"/>
      <c r="U865" s="692" t="n"/>
      <c r="V865" s="692" t="n"/>
      <c r="W865" s="692" t="n"/>
    </row>
    <row r="866">
      <c r="A866" s="692" t="n"/>
      <c r="B866" s="692" t="n"/>
      <c r="C866" s="692" t="n"/>
      <c r="D866" s="692" t="n"/>
      <c r="E866" s="692" t="n"/>
      <c r="F866" s="692" t="n"/>
      <c r="G866" s="692" t="n"/>
      <c r="H866" s="692" t="n"/>
      <c r="I866" s="692" t="n"/>
      <c r="J866" s="692" t="n"/>
      <c r="K866" s="692" t="n"/>
      <c r="L866" s="692" t="n"/>
      <c r="M866" s="692" t="n"/>
      <c r="N866" s="692" t="n"/>
      <c r="O866" s="692" t="n"/>
      <c r="P866" s="692" t="n"/>
      <c r="Q866" s="692" t="n"/>
      <c r="R866" s="692" t="n"/>
      <c r="S866" s="692" t="n"/>
      <c r="T866" s="692" t="n"/>
      <c r="U866" s="692" t="n"/>
      <c r="V866" s="692" t="n"/>
      <c r="W866" s="692" t="n"/>
    </row>
    <row r="867">
      <c r="A867" s="692" t="n"/>
      <c r="B867" s="692" t="n"/>
      <c r="C867" s="692" t="n"/>
      <c r="D867" s="692" t="n"/>
      <c r="E867" s="692" t="n"/>
      <c r="F867" s="692" t="n"/>
      <c r="G867" s="692" t="n"/>
      <c r="H867" s="692" t="n"/>
      <c r="I867" s="692" t="n"/>
      <c r="J867" s="692" t="n"/>
      <c r="K867" s="692" t="n"/>
      <c r="L867" s="692" t="n"/>
      <c r="M867" s="692" t="n"/>
      <c r="N867" s="692" t="n"/>
      <c r="O867" s="692" t="n"/>
      <c r="P867" s="692" t="n"/>
      <c r="Q867" s="692" t="n"/>
      <c r="R867" s="692" t="n"/>
      <c r="S867" s="692" t="n"/>
      <c r="T867" s="692" t="n"/>
      <c r="U867" s="692" t="n"/>
      <c r="V867" s="692" t="n"/>
      <c r="W867" s="692" t="n"/>
    </row>
    <row r="868">
      <c r="A868" s="692" t="n"/>
      <c r="B868" s="692" t="n"/>
      <c r="C868" s="692" t="n"/>
      <c r="D868" s="692" t="n"/>
      <c r="E868" s="692" t="n"/>
      <c r="F868" s="692" t="n"/>
      <c r="G868" s="692" t="n"/>
      <c r="H868" s="692" t="n"/>
      <c r="I868" s="692" t="n"/>
      <c r="J868" s="692" t="n"/>
      <c r="K868" s="692" t="n"/>
      <c r="L868" s="692" t="n"/>
      <c r="M868" s="692" t="n"/>
      <c r="N868" s="692" t="n"/>
      <c r="O868" s="692" t="n"/>
      <c r="P868" s="692" t="n"/>
      <c r="Q868" s="692" t="n"/>
      <c r="R868" s="692" t="n"/>
      <c r="S868" s="692" t="n"/>
      <c r="T868" s="692" t="n"/>
      <c r="U868" s="692" t="n"/>
      <c r="V868" s="692" t="n"/>
      <c r="W868" s="692" t="n"/>
    </row>
    <row r="869">
      <c r="A869" s="692" t="n"/>
      <c r="B869" s="692" t="n"/>
      <c r="C869" s="692" t="n"/>
      <c r="D869" s="692" t="n"/>
      <c r="E869" s="692" t="n"/>
      <c r="F869" s="692" t="n"/>
      <c r="G869" s="692" t="n"/>
      <c r="H869" s="692" t="n"/>
      <c r="I869" s="692" t="n"/>
      <c r="J869" s="692" t="n"/>
      <c r="K869" s="692" t="n"/>
      <c r="L869" s="692" t="n"/>
      <c r="M869" s="692" t="n"/>
      <c r="N869" s="692" t="n"/>
      <c r="O869" s="692" t="n"/>
      <c r="P869" s="692" t="n"/>
      <c r="Q869" s="692" t="n"/>
      <c r="R869" s="692" t="n"/>
      <c r="S869" s="692" t="n"/>
      <c r="T869" s="692" t="n"/>
      <c r="U869" s="692" t="n"/>
      <c r="V869" s="692" t="n"/>
      <c r="W869" s="692" t="n"/>
    </row>
    <row r="870">
      <c r="A870" s="692" t="n"/>
      <c r="B870" s="692" t="n"/>
      <c r="C870" s="692" t="n"/>
      <c r="D870" s="692" t="n"/>
      <c r="E870" s="692" t="n"/>
      <c r="F870" s="692" t="n"/>
      <c r="G870" s="692" t="n"/>
      <c r="H870" s="692" t="n"/>
      <c r="I870" s="692" t="n"/>
      <c r="J870" s="692" t="n"/>
      <c r="K870" s="692" t="n"/>
      <c r="L870" s="692" t="n"/>
      <c r="M870" s="692" t="n"/>
      <c r="N870" s="692" t="n"/>
      <c r="O870" s="692" t="n"/>
      <c r="P870" s="692" t="n"/>
      <c r="Q870" s="692" t="n"/>
      <c r="R870" s="692" t="n"/>
      <c r="S870" s="692" t="n"/>
      <c r="T870" s="692" t="n"/>
      <c r="U870" s="692" t="n"/>
      <c r="V870" s="692" t="n"/>
      <c r="W870" s="692" t="n"/>
    </row>
    <row r="871">
      <c r="A871" s="692" t="n"/>
      <c r="B871" s="692" t="n"/>
      <c r="C871" s="692" t="n"/>
      <c r="D871" s="692" t="n"/>
      <c r="E871" s="692" t="n"/>
      <c r="F871" s="692" t="n"/>
      <c r="G871" s="692" t="n"/>
      <c r="H871" s="692" t="n"/>
      <c r="I871" s="692" t="n"/>
      <c r="J871" s="692" t="n"/>
      <c r="K871" s="692" t="n"/>
      <c r="L871" s="692" t="n"/>
      <c r="M871" s="692" t="n"/>
      <c r="N871" s="692" t="n"/>
      <c r="O871" s="692" t="n"/>
      <c r="P871" s="692" t="n"/>
      <c r="Q871" s="692" t="n"/>
      <c r="R871" s="692" t="n"/>
      <c r="S871" s="692" t="n"/>
      <c r="T871" s="692" t="n"/>
      <c r="U871" s="692" t="n"/>
      <c r="V871" s="692" t="n"/>
      <c r="W871" s="692" t="n"/>
    </row>
    <row r="872">
      <c r="A872" s="692" t="n"/>
      <c r="B872" s="692" t="n"/>
      <c r="C872" s="692" t="n"/>
      <c r="D872" s="692" t="n"/>
      <c r="E872" s="692" t="n"/>
      <c r="F872" s="692" t="n"/>
      <c r="G872" s="692" t="n"/>
      <c r="H872" s="692" t="n"/>
      <c r="I872" s="692" t="n"/>
      <c r="J872" s="692" t="n"/>
      <c r="K872" s="692" t="n"/>
      <c r="L872" s="692" t="n"/>
      <c r="M872" s="692" t="n"/>
      <c r="N872" s="692" t="n"/>
      <c r="O872" s="692" t="n"/>
      <c r="P872" s="692" t="n"/>
      <c r="Q872" s="692" t="n"/>
      <c r="R872" s="692" t="n"/>
      <c r="S872" s="692" t="n"/>
      <c r="T872" s="692" t="n"/>
      <c r="U872" s="692" t="n"/>
      <c r="V872" s="692" t="n"/>
      <c r="W872" s="692" t="n"/>
    </row>
    <row r="873">
      <c r="A873" s="692" t="n"/>
      <c r="B873" s="692" t="n"/>
      <c r="C873" s="692" t="n"/>
      <c r="D873" s="692" t="n"/>
      <c r="E873" s="692" t="n"/>
      <c r="F873" s="692" t="n"/>
      <c r="G873" s="692" t="n"/>
      <c r="H873" s="692" t="n"/>
      <c r="I873" s="692" t="n"/>
      <c r="J873" s="692" t="n"/>
      <c r="K873" s="692" t="n"/>
      <c r="L873" s="692" t="n"/>
      <c r="M873" s="692" t="n"/>
      <c r="N873" s="692" t="n"/>
      <c r="O873" s="692" t="n"/>
      <c r="P873" s="692" t="n"/>
      <c r="Q873" s="692" t="n"/>
      <c r="R873" s="692" t="n"/>
      <c r="S873" s="692" t="n"/>
      <c r="T873" s="692" t="n"/>
      <c r="U873" s="692" t="n"/>
      <c r="V873" s="692" t="n"/>
      <c r="W873" s="692" t="n"/>
    </row>
    <row r="874">
      <c r="A874" s="692" t="n"/>
      <c r="B874" s="692" t="n"/>
      <c r="C874" s="692" t="n"/>
      <c r="D874" s="692" t="n"/>
      <c r="E874" s="692" t="n"/>
      <c r="F874" s="692" t="n"/>
      <c r="G874" s="692" t="n"/>
      <c r="H874" s="692" t="n"/>
      <c r="I874" s="692" t="n"/>
      <c r="J874" s="692" t="n"/>
      <c r="K874" s="692" t="n"/>
      <c r="L874" s="692" t="n"/>
      <c r="M874" s="692" t="n"/>
      <c r="N874" s="692" t="n"/>
      <c r="O874" s="692" t="n"/>
      <c r="P874" s="692" t="n"/>
      <c r="Q874" s="692" t="n"/>
      <c r="R874" s="692" t="n"/>
      <c r="S874" s="692" t="n"/>
      <c r="T874" s="692" t="n"/>
      <c r="U874" s="692" t="n"/>
      <c r="V874" s="692" t="n"/>
      <c r="W874" s="692" t="n"/>
    </row>
    <row r="875">
      <c r="A875" s="692" t="n"/>
      <c r="B875" s="692" t="n"/>
      <c r="C875" s="692" t="n"/>
      <c r="D875" s="692" t="n"/>
      <c r="E875" s="692" t="n"/>
      <c r="F875" s="692" t="n"/>
      <c r="G875" s="692" t="n"/>
      <c r="H875" s="692" t="n"/>
      <c r="I875" s="692" t="n"/>
      <c r="J875" s="692" t="n"/>
      <c r="K875" s="692" t="n"/>
      <c r="L875" s="692" t="n"/>
      <c r="M875" s="692" t="n"/>
      <c r="N875" s="692" t="n"/>
      <c r="O875" s="692" t="n"/>
      <c r="P875" s="692" t="n"/>
      <c r="Q875" s="692" t="n"/>
      <c r="R875" s="692" t="n"/>
      <c r="S875" s="692" t="n"/>
      <c r="T875" s="692" t="n"/>
      <c r="U875" s="692" t="n"/>
      <c r="V875" s="692" t="n"/>
      <c r="W875" s="692" t="n"/>
    </row>
    <row r="876">
      <c r="A876" s="692" t="n"/>
      <c r="B876" s="692" t="n"/>
      <c r="C876" s="692" t="n"/>
      <c r="D876" s="692" t="n"/>
      <c r="E876" s="692" t="n"/>
      <c r="F876" s="692" t="n"/>
      <c r="G876" s="692" t="n"/>
      <c r="H876" s="692" t="n"/>
      <c r="I876" s="692" t="n"/>
      <c r="J876" s="692" t="n"/>
      <c r="K876" s="692" t="n"/>
      <c r="L876" s="692" t="n"/>
      <c r="M876" s="692" t="n"/>
      <c r="N876" s="692" t="n"/>
      <c r="O876" s="692" t="n"/>
      <c r="P876" s="692" t="n"/>
      <c r="Q876" s="692" t="n"/>
      <c r="R876" s="692" t="n"/>
      <c r="S876" s="692" t="n"/>
      <c r="T876" s="692" t="n"/>
      <c r="U876" s="692" t="n"/>
      <c r="V876" s="692" t="n"/>
      <c r="W876" s="692" t="n"/>
    </row>
    <row r="877">
      <c r="A877" s="692" t="n"/>
      <c r="B877" s="692" t="n"/>
      <c r="C877" s="692" t="n"/>
      <c r="D877" s="692" t="n"/>
      <c r="E877" s="692" t="n"/>
      <c r="F877" s="692" t="n"/>
      <c r="G877" s="692" t="n"/>
      <c r="H877" s="692" t="n"/>
      <c r="I877" s="692" t="n"/>
      <c r="J877" s="692" t="n"/>
      <c r="K877" s="692" t="n"/>
      <c r="L877" s="692" t="n"/>
      <c r="M877" s="692" t="n"/>
      <c r="N877" s="692" t="n"/>
      <c r="O877" s="692" t="n"/>
      <c r="P877" s="692" t="n"/>
      <c r="Q877" s="692" t="n"/>
      <c r="R877" s="692" t="n"/>
      <c r="S877" s="692" t="n"/>
      <c r="T877" s="692" t="n"/>
      <c r="U877" s="692" t="n"/>
      <c r="V877" s="692" t="n"/>
      <c r="W877" s="692" t="n"/>
    </row>
    <row r="878">
      <c r="A878" s="692" t="n"/>
      <c r="B878" s="692" t="n"/>
      <c r="C878" s="692" t="n"/>
      <c r="D878" s="692" t="n"/>
      <c r="E878" s="692" t="n"/>
      <c r="F878" s="692" t="n"/>
      <c r="G878" s="692" t="n"/>
      <c r="H878" s="692" t="n"/>
      <c r="I878" s="692" t="n"/>
      <c r="J878" s="692" t="n"/>
      <c r="K878" s="692" t="n"/>
      <c r="L878" s="692" t="n"/>
      <c r="M878" s="692" t="n"/>
      <c r="N878" s="692" t="n"/>
      <c r="O878" s="692" t="n"/>
      <c r="P878" s="692" t="n"/>
      <c r="Q878" s="692" t="n"/>
      <c r="R878" s="692" t="n"/>
      <c r="S878" s="692" t="n"/>
      <c r="T878" s="692" t="n"/>
      <c r="U878" s="692" t="n"/>
      <c r="V878" s="692" t="n"/>
      <c r="W878" s="692" t="n"/>
    </row>
    <row r="879">
      <c r="A879" s="692" t="n"/>
      <c r="B879" s="692" t="n"/>
      <c r="C879" s="692" t="n"/>
      <c r="D879" s="692" t="n"/>
      <c r="E879" s="692" t="n"/>
      <c r="F879" s="692" t="n"/>
      <c r="G879" s="692" t="n"/>
      <c r="H879" s="692" t="n"/>
      <c r="I879" s="692" t="n"/>
      <c r="J879" s="692" t="n"/>
      <c r="K879" s="692" t="n"/>
      <c r="L879" s="692" t="n"/>
      <c r="M879" s="692" t="n"/>
      <c r="N879" s="692" t="n"/>
      <c r="O879" s="692" t="n"/>
      <c r="P879" s="692" t="n"/>
      <c r="Q879" s="692" t="n"/>
      <c r="R879" s="692" t="n"/>
      <c r="S879" s="692" t="n"/>
      <c r="T879" s="692" t="n"/>
      <c r="U879" s="692" t="n"/>
      <c r="V879" s="692" t="n"/>
      <c r="W879" s="692" t="n"/>
    </row>
    <row r="880">
      <c r="A880" s="692" t="n"/>
      <c r="B880" s="692" t="n"/>
      <c r="C880" s="692" t="n"/>
      <c r="D880" s="692" t="n"/>
      <c r="E880" s="692" t="n"/>
      <c r="F880" s="692" t="n"/>
      <c r="G880" s="692" t="n"/>
      <c r="H880" s="692" t="n"/>
      <c r="I880" s="692" t="n"/>
      <c r="J880" s="692" t="n"/>
      <c r="K880" s="692" t="n"/>
      <c r="L880" s="692" t="n"/>
      <c r="M880" s="692" t="n"/>
      <c r="N880" s="692" t="n"/>
      <c r="O880" s="692" t="n"/>
      <c r="P880" s="692" t="n"/>
      <c r="Q880" s="692" t="n"/>
      <c r="R880" s="692" t="n"/>
      <c r="S880" s="692" t="n"/>
      <c r="T880" s="692" t="n"/>
      <c r="U880" s="692" t="n"/>
      <c r="V880" s="692" t="n"/>
      <c r="W880" s="692" t="n"/>
    </row>
    <row r="881">
      <c r="A881" s="692" t="n"/>
      <c r="B881" s="692" t="n"/>
      <c r="C881" s="692" t="n"/>
      <c r="D881" s="692" t="n"/>
      <c r="E881" s="692" t="n"/>
      <c r="F881" s="692" t="n"/>
      <c r="G881" s="692" t="n"/>
      <c r="H881" s="692" t="n"/>
      <c r="I881" s="692" t="n"/>
      <c r="J881" s="692" t="n"/>
      <c r="K881" s="692" t="n"/>
      <c r="L881" s="692" t="n"/>
      <c r="M881" s="692" t="n"/>
      <c r="N881" s="692" t="n"/>
      <c r="O881" s="692" t="n"/>
      <c r="P881" s="692" t="n"/>
      <c r="Q881" s="692" t="n"/>
      <c r="R881" s="692" t="n"/>
      <c r="S881" s="692" t="n"/>
      <c r="T881" s="692" t="n"/>
      <c r="U881" s="692" t="n"/>
      <c r="V881" s="692" t="n"/>
      <c r="W881" s="692" t="n"/>
    </row>
    <row r="882">
      <c r="A882" s="692" t="n"/>
      <c r="B882" s="692" t="n"/>
      <c r="C882" s="692" t="n"/>
      <c r="D882" s="692" t="n"/>
      <c r="E882" s="692" t="n"/>
      <c r="F882" s="692" t="n"/>
      <c r="G882" s="692" t="n"/>
      <c r="H882" s="692" t="n"/>
      <c r="I882" s="692" t="n"/>
      <c r="J882" s="692" t="n"/>
      <c r="K882" s="692" t="n"/>
      <c r="L882" s="692" t="n"/>
      <c r="M882" s="692" t="n"/>
      <c r="N882" s="692" t="n"/>
      <c r="O882" s="692" t="n"/>
      <c r="P882" s="692" t="n"/>
      <c r="Q882" s="692" t="n"/>
      <c r="R882" s="692" t="n"/>
      <c r="S882" s="692" t="n"/>
      <c r="T882" s="692" t="n"/>
      <c r="U882" s="692" t="n"/>
      <c r="V882" s="692" t="n"/>
      <c r="W882" s="692" t="n"/>
    </row>
    <row r="883">
      <c r="A883" s="692" t="n"/>
      <c r="B883" s="692" t="n"/>
      <c r="C883" s="692" t="n"/>
      <c r="D883" s="692" t="n"/>
      <c r="E883" s="692" t="n"/>
      <c r="F883" s="692" t="n"/>
      <c r="G883" s="692" t="n"/>
      <c r="H883" s="692" t="n"/>
      <c r="I883" s="692" t="n"/>
      <c r="J883" s="692" t="n"/>
      <c r="K883" s="692" t="n"/>
      <c r="L883" s="692" t="n"/>
      <c r="M883" s="692" t="n"/>
      <c r="N883" s="692" t="n"/>
      <c r="O883" s="692" t="n"/>
      <c r="P883" s="692" t="n"/>
      <c r="Q883" s="692" t="n"/>
      <c r="R883" s="692" t="n"/>
      <c r="S883" s="692" t="n"/>
      <c r="T883" s="692" t="n"/>
      <c r="U883" s="692" t="n"/>
      <c r="V883" s="692" t="n"/>
      <c r="W883" s="692" t="n"/>
    </row>
    <row r="884">
      <c r="A884" s="692" t="n"/>
      <c r="B884" s="692" t="n"/>
      <c r="C884" s="692" t="n"/>
      <c r="D884" s="692" t="n"/>
      <c r="E884" s="692" t="n"/>
      <c r="F884" s="692" t="n"/>
      <c r="G884" s="692" t="n"/>
      <c r="H884" s="692" t="n"/>
      <c r="I884" s="692" t="n"/>
      <c r="J884" s="692" t="n"/>
      <c r="K884" s="692" t="n"/>
      <c r="L884" s="692" t="n"/>
      <c r="M884" s="692" t="n"/>
      <c r="N884" s="692" t="n"/>
      <c r="O884" s="692" t="n"/>
      <c r="P884" s="692" t="n"/>
      <c r="Q884" s="692" t="n"/>
      <c r="R884" s="692" t="n"/>
      <c r="S884" s="692" t="n"/>
      <c r="T884" s="692" t="n"/>
      <c r="U884" s="692" t="n"/>
      <c r="V884" s="692" t="n"/>
      <c r="W884" s="692" t="n"/>
    </row>
    <row r="885">
      <c r="A885" s="692" t="n"/>
      <c r="B885" s="692" t="n"/>
      <c r="C885" s="692" t="n"/>
      <c r="D885" s="692" t="n"/>
      <c r="E885" s="692" t="n"/>
      <c r="F885" s="692" t="n"/>
      <c r="G885" s="692" t="n"/>
      <c r="H885" s="692" t="n"/>
      <c r="I885" s="692" t="n"/>
      <c r="J885" s="692" t="n"/>
      <c r="K885" s="692" t="n"/>
      <c r="L885" s="692" t="n"/>
      <c r="M885" s="692" t="n"/>
      <c r="N885" s="692" t="n"/>
      <c r="O885" s="692" t="n"/>
      <c r="P885" s="692" t="n"/>
      <c r="Q885" s="692" t="n"/>
      <c r="R885" s="692" t="n"/>
      <c r="S885" s="692" t="n"/>
      <c r="T885" s="692" t="n"/>
      <c r="U885" s="692" t="n"/>
      <c r="V885" s="692" t="n"/>
      <c r="W885" s="692" t="n"/>
    </row>
    <row r="886">
      <c r="A886" s="692" t="n"/>
      <c r="B886" s="692" t="n"/>
      <c r="C886" s="692" t="n"/>
      <c r="D886" s="692" t="n"/>
      <c r="E886" s="692" t="n"/>
      <c r="F886" s="692" t="n"/>
      <c r="G886" s="692" t="n"/>
      <c r="H886" s="692" t="n"/>
      <c r="I886" s="692" t="n"/>
      <c r="J886" s="692" t="n"/>
      <c r="K886" s="692" t="n"/>
      <c r="L886" s="692" t="n"/>
      <c r="M886" s="692" t="n"/>
      <c r="N886" s="692" t="n"/>
      <c r="O886" s="692" t="n"/>
      <c r="P886" s="692" t="n"/>
      <c r="Q886" s="692" t="n"/>
      <c r="R886" s="692" t="n"/>
      <c r="S886" s="692" t="n"/>
      <c r="T886" s="692" t="n"/>
      <c r="U886" s="692" t="n"/>
      <c r="V886" s="692" t="n"/>
      <c r="W886" s="692" t="n"/>
    </row>
    <row r="887">
      <c r="A887" s="692" t="n"/>
      <c r="B887" s="692" t="n"/>
      <c r="C887" s="692" t="n"/>
      <c r="D887" s="692" t="n"/>
      <c r="E887" s="692" t="n"/>
      <c r="F887" s="692" t="n"/>
      <c r="G887" s="692" t="n"/>
      <c r="H887" s="692" t="n"/>
      <c r="I887" s="692" t="n"/>
      <c r="J887" s="692" t="n"/>
      <c r="K887" s="692" t="n"/>
      <c r="L887" s="692" t="n"/>
      <c r="M887" s="692" t="n"/>
      <c r="N887" s="692" t="n"/>
      <c r="O887" s="692" t="n"/>
      <c r="P887" s="692" t="n"/>
      <c r="Q887" s="692" t="n"/>
      <c r="R887" s="692" t="n"/>
      <c r="S887" s="692" t="n"/>
      <c r="T887" s="692" t="n"/>
      <c r="U887" s="692" t="n"/>
      <c r="V887" s="692" t="n"/>
      <c r="W887" s="692" t="n"/>
    </row>
    <row r="888">
      <c r="A888" s="692" t="n"/>
      <c r="B888" s="692" t="n"/>
      <c r="C888" s="692" t="n"/>
      <c r="D888" s="692" t="n"/>
      <c r="E888" s="692" t="n"/>
      <c r="F888" s="692" t="n"/>
      <c r="G888" s="692" t="n"/>
      <c r="H888" s="692" t="n"/>
      <c r="I888" s="692" t="n"/>
      <c r="J888" s="692" t="n"/>
      <c r="K888" s="692" t="n"/>
      <c r="L888" s="692" t="n"/>
      <c r="M888" s="692" t="n"/>
      <c r="N888" s="692" t="n"/>
      <c r="O888" s="692" t="n"/>
      <c r="P888" s="692" t="n"/>
      <c r="Q888" s="692" t="n"/>
      <c r="R888" s="692" t="n"/>
      <c r="S888" s="692" t="n"/>
      <c r="T888" s="692" t="n"/>
      <c r="U888" s="692" t="n"/>
      <c r="V888" s="692" t="n"/>
      <c r="W888" s="692" t="n"/>
    </row>
    <row r="889">
      <c r="A889" s="692" t="n"/>
      <c r="B889" s="692" t="n"/>
      <c r="C889" s="692" t="n"/>
      <c r="D889" s="692" t="n"/>
      <c r="E889" s="692" t="n"/>
      <c r="F889" s="692" t="n"/>
      <c r="G889" s="692" t="n"/>
      <c r="H889" s="692" t="n"/>
      <c r="I889" s="692" t="n"/>
      <c r="J889" s="692" t="n"/>
      <c r="K889" s="692" t="n"/>
      <c r="L889" s="692" t="n"/>
      <c r="M889" s="692" t="n"/>
      <c r="N889" s="692" t="n"/>
      <c r="O889" s="692" t="n"/>
      <c r="P889" s="692" t="n"/>
      <c r="Q889" s="692" t="n"/>
      <c r="R889" s="692" t="n"/>
      <c r="S889" s="692" t="n"/>
      <c r="T889" s="692" t="n"/>
      <c r="U889" s="692" t="n"/>
      <c r="V889" s="692" t="n"/>
      <c r="W889" s="692" t="n"/>
    </row>
    <row r="890">
      <c r="A890" s="692" t="n"/>
      <c r="B890" s="692" t="n"/>
      <c r="C890" s="692" t="n"/>
      <c r="D890" s="692" t="n"/>
      <c r="E890" s="692" t="n"/>
      <c r="F890" s="692" t="n"/>
      <c r="G890" s="692" t="n"/>
      <c r="H890" s="692" t="n"/>
      <c r="I890" s="692" t="n"/>
      <c r="J890" s="692" t="n"/>
      <c r="K890" s="692" t="n"/>
      <c r="L890" s="692" t="n"/>
      <c r="M890" s="692" t="n"/>
      <c r="N890" s="692" t="n"/>
      <c r="O890" s="692" t="n"/>
      <c r="P890" s="692" t="n"/>
      <c r="Q890" s="692" t="n"/>
      <c r="R890" s="692" t="n"/>
      <c r="S890" s="692" t="n"/>
      <c r="T890" s="692" t="n"/>
      <c r="U890" s="692" t="n"/>
      <c r="V890" s="692" t="n"/>
      <c r="W890" s="692" t="n"/>
    </row>
    <row r="891">
      <c r="A891" s="692" t="n"/>
      <c r="B891" s="692" t="n"/>
      <c r="C891" s="692" t="n"/>
      <c r="D891" s="692" t="n"/>
      <c r="E891" s="692" t="n"/>
      <c r="F891" s="692" t="n"/>
      <c r="G891" s="692" t="n"/>
      <c r="H891" s="692" t="n"/>
      <c r="I891" s="692" t="n"/>
      <c r="J891" s="692" t="n"/>
      <c r="K891" s="692" t="n"/>
      <c r="L891" s="692" t="n"/>
      <c r="M891" s="692" t="n"/>
      <c r="N891" s="692" t="n"/>
      <c r="O891" s="692" t="n"/>
      <c r="P891" s="692" t="n"/>
      <c r="Q891" s="692" t="n"/>
      <c r="R891" s="692" t="n"/>
      <c r="S891" s="692" t="n"/>
      <c r="T891" s="692" t="n"/>
      <c r="U891" s="692" t="n"/>
      <c r="V891" s="692" t="n"/>
      <c r="W891" s="692" t="n"/>
    </row>
    <row r="892">
      <c r="A892" s="692" t="n"/>
      <c r="B892" s="692" t="n"/>
      <c r="C892" s="692" t="n"/>
      <c r="D892" s="692" t="n"/>
      <c r="E892" s="692" t="n"/>
      <c r="F892" s="692" t="n"/>
      <c r="G892" s="692" t="n"/>
      <c r="H892" s="692" t="n"/>
      <c r="I892" s="692" t="n"/>
      <c r="J892" s="692" t="n"/>
      <c r="K892" s="692" t="n"/>
      <c r="L892" s="692" t="n"/>
      <c r="M892" s="692" t="n"/>
      <c r="N892" s="692" t="n"/>
      <c r="O892" s="692" t="n"/>
      <c r="P892" s="692" t="n"/>
      <c r="Q892" s="692" t="n"/>
      <c r="R892" s="692" t="n"/>
      <c r="S892" s="692" t="n"/>
      <c r="T892" s="692" t="n"/>
      <c r="U892" s="692" t="n"/>
      <c r="V892" s="692" t="n"/>
      <c r="W892" s="692" t="n"/>
    </row>
    <row r="893">
      <c r="A893" s="692" t="n"/>
      <c r="B893" s="692" t="n"/>
      <c r="C893" s="692" t="n"/>
      <c r="D893" s="692" t="n"/>
      <c r="E893" s="692" t="n"/>
      <c r="F893" s="692" t="n"/>
      <c r="G893" s="692" t="n"/>
      <c r="H893" s="692" t="n"/>
      <c r="I893" s="692" t="n"/>
      <c r="J893" s="692" t="n"/>
      <c r="K893" s="692" t="n"/>
      <c r="L893" s="692" t="n"/>
      <c r="M893" s="692" t="n"/>
      <c r="N893" s="692" t="n"/>
      <c r="O893" s="692" t="n"/>
      <c r="P893" s="692" t="n"/>
      <c r="Q893" s="692" t="n"/>
      <c r="R893" s="692" t="n"/>
      <c r="S893" s="692" t="n"/>
      <c r="T893" s="692" t="n"/>
      <c r="U893" s="692" t="n"/>
      <c r="V893" s="692" t="n"/>
      <c r="W893" s="692" t="n"/>
    </row>
    <row r="894">
      <c r="A894" s="692" t="n"/>
      <c r="B894" s="692" t="n"/>
      <c r="C894" s="692" t="n"/>
      <c r="D894" s="692" t="n"/>
      <c r="E894" s="692" t="n"/>
      <c r="F894" s="692" t="n"/>
      <c r="G894" s="692" t="n"/>
      <c r="H894" s="692" t="n"/>
      <c r="I894" s="692" t="n"/>
      <c r="J894" s="692" t="n"/>
      <c r="K894" s="692" t="n"/>
      <c r="L894" s="692" t="n"/>
      <c r="M894" s="692" t="n"/>
      <c r="N894" s="692" t="n"/>
      <c r="O894" s="692" t="n"/>
      <c r="P894" s="692" t="n"/>
      <c r="Q894" s="692" t="n"/>
      <c r="R894" s="692" t="n"/>
      <c r="S894" s="692" t="n"/>
      <c r="T894" s="692" t="n"/>
      <c r="U894" s="692" t="n"/>
      <c r="V894" s="692" t="n"/>
      <c r="W894" s="692" t="n"/>
    </row>
    <row r="895">
      <c r="A895" s="692" t="n"/>
      <c r="B895" s="692" t="n"/>
      <c r="C895" s="692" t="n"/>
      <c r="D895" s="692" t="n"/>
      <c r="E895" s="692" t="n"/>
      <c r="F895" s="692" t="n"/>
      <c r="G895" s="692" t="n"/>
      <c r="H895" s="692" t="n"/>
      <c r="I895" s="692" t="n"/>
      <c r="J895" s="692" t="n"/>
      <c r="K895" s="692" t="n"/>
      <c r="L895" s="692" t="n"/>
      <c r="M895" s="692" t="n"/>
      <c r="N895" s="692" t="n"/>
      <c r="O895" s="692" t="n"/>
      <c r="P895" s="692" t="n"/>
      <c r="Q895" s="692" t="n"/>
      <c r="R895" s="692" t="n"/>
      <c r="S895" s="692" t="n"/>
      <c r="T895" s="692" t="n"/>
      <c r="U895" s="692" t="n"/>
      <c r="V895" s="692" t="n"/>
      <c r="W895" s="692" t="n"/>
    </row>
    <row r="896">
      <c r="A896" s="692" t="n"/>
      <c r="B896" s="692" t="n"/>
      <c r="C896" s="692" t="n"/>
      <c r="D896" s="692" t="n"/>
      <c r="E896" s="692" t="n"/>
      <c r="F896" s="692" t="n"/>
      <c r="G896" s="692" t="n"/>
      <c r="H896" s="692" t="n"/>
      <c r="I896" s="692" t="n"/>
      <c r="J896" s="692" t="n"/>
      <c r="K896" s="692" t="n"/>
      <c r="L896" s="692" t="n"/>
      <c r="M896" s="692" t="n"/>
      <c r="N896" s="692" t="n"/>
      <c r="O896" s="692" t="n"/>
      <c r="P896" s="692" t="n"/>
      <c r="Q896" s="692" t="n"/>
      <c r="R896" s="692" t="n"/>
      <c r="S896" s="692" t="n"/>
      <c r="T896" s="692" t="n"/>
      <c r="U896" s="692" t="n"/>
      <c r="V896" s="692" t="n"/>
      <c r="W896" s="692" t="n"/>
    </row>
    <row r="897">
      <c r="A897" s="692" t="n"/>
      <c r="B897" s="692" t="n"/>
      <c r="C897" s="692" t="n"/>
      <c r="D897" s="692" t="n"/>
      <c r="E897" s="692" t="n"/>
      <c r="F897" s="692" t="n"/>
      <c r="G897" s="692" t="n"/>
      <c r="H897" s="692" t="n"/>
      <c r="I897" s="692" t="n"/>
      <c r="J897" s="692" t="n"/>
      <c r="K897" s="692" t="n"/>
      <c r="L897" s="692" t="n"/>
      <c r="M897" s="692" t="n"/>
      <c r="N897" s="692" t="n"/>
      <c r="O897" s="692" t="n"/>
      <c r="P897" s="692" t="n"/>
      <c r="Q897" s="692" t="n"/>
      <c r="R897" s="692" t="n"/>
      <c r="S897" s="692" t="n"/>
      <c r="T897" s="692" t="n"/>
      <c r="U897" s="692" t="n"/>
      <c r="V897" s="692" t="n"/>
      <c r="W897" s="692" t="n"/>
    </row>
    <row r="898">
      <c r="A898" s="692" t="n"/>
      <c r="B898" s="692" t="n"/>
      <c r="C898" s="692" t="n"/>
      <c r="D898" s="692" t="n"/>
      <c r="E898" s="692" t="n"/>
      <c r="F898" s="692" t="n"/>
      <c r="G898" s="692" t="n"/>
      <c r="H898" s="692" t="n"/>
      <c r="I898" s="692" t="n"/>
      <c r="J898" s="692" t="n"/>
      <c r="K898" s="692" t="n"/>
      <c r="L898" s="692" t="n"/>
      <c r="M898" s="692" t="n"/>
      <c r="N898" s="692" t="n"/>
      <c r="O898" s="692" t="n"/>
      <c r="P898" s="692" t="n"/>
      <c r="Q898" s="692" t="n"/>
      <c r="R898" s="692" t="n"/>
      <c r="S898" s="692" t="n"/>
      <c r="T898" s="692" t="n"/>
      <c r="U898" s="692" t="n"/>
      <c r="V898" s="692" t="n"/>
      <c r="W898" s="692" t="n"/>
    </row>
    <row r="899">
      <c r="A899" s="692" t="n"/>
      <c r="B899" s="692" t="n"/>
      <c r="C899" s="692" t="n"/>
      <c r="D899" s="692" t="n"/>
      <c r="E899" s="692" t="n"/>
      <c r="F899" s="692" t="n"/>
      <c r="G899" s="692" t="n"/>
      <c r="H899" s="692" t="n"/>
      <c r="I899" s="692" t="n"/>
      <c r="J899" s="692" t="n"/>
      <c r="K899" s="692" t="n"/>
      <c r="L899" s="692" t="n"/>
      <c r="M899" s="692" t="n"/>
      <c r="N899" s="692" t="n"/>
      <c r="O899" s="692" t="n"/>
      <c r="P899" s="692" t="n"/>
      <c r="Q899" s="692" t="n"/>
      <c r="R899" s="692" t="n"/>
      <c r="S899" s="692" t="n"/>
      <c r="T899" s="692" t="n"/>
      <c r="U899" s="692" t="n"/>
      <c r="V899" s="692" t="n"/>
      <c r="W899" s="692" t="n"/>
    </row>
    <row r="900">
      <c r="A900" s="692" t="n"/>
      <c r="B900" s="692" t="n"/>
      <c r="C900" s="692" t="n"/>
      <c r="D900" s="692" t="n"/>
      <c r="E900" s="692" t="n"/>
      <c r="F900" s="692" t="n"/>
      <c r="G900" s="692" t="n"/>
      <c r="H900" s="692" t="n"/>
      <c r="I900" s="692" t="n"/>
      <c r="J900" s="692" t="n"/>
      <c r="K900" s="692" t="n"/>
      <c r="L900" s="692" t="n"/>
      <c r="M900" s="692" t="n"/>
      <c r="N900" s="692" t="n"/>
      <c r="O900" s="692" t="n"/>
      <c r="P900" s="692" t="n"/>
      <c r="Q900" s="692" t="n"/>
      <c r="R900" s="692" t="n"/>
      <c r="S900" s="692" t="n"/>
      <c r="T900" s="692" t="n"/>
      <c r="U900" s="692" t="n"/>
      <c r="V900" s="692" t="n"/>
      <c r="W900" s="692" t="n"/>
    </row>
    <row r="901">
      <c r="A901" s="692" t="n"/>
      <c r="B901" s="692" t="n"/>
      <c r="C901" s="692" t="n"/>
      <c r="D901" s="692" t="n"/>
      <c r="E901" s="692" t="n"/>
      <c r="F901" s="692" t="n"/>
      <c r="G901" s="692" t="n"/>
      <c r="H901" s="692" t="n"/>
      <c r="I901" s="692" t="n"/>
      <c r="J901" s="692" t="n"/>
      <c r="K901" s="692" t="n"/>
      <c r="L901" s="692" t="n"/>
      <c r="M901" s="692" t="n"/>
      <c r="N901" s="692" t="n"/>
      <c r="O901" s="692" t="n"/>
      <c r="P901" s="692" t="n"/>
      <c r="Q901" s="692" t="n"/>
      <c r="R901" s="692" t="n"/>
      <c r="S901" s="692" t="n"/>
      <c r="T901" s="692" t="n"/>
      <c r="U901" s="692" t="n"/>
      <c r="V901" s="692" t="n"/>
      <c r="W901" s="692" t="n"/>
    </row>
    <row r="902">
      <c r="A902" s="692" t="n"/>
      <c r="B902" s="692" t="n"/>
      <c r="C902" s="692" t="n"/>
      <c r="D902" s="692" t="n"/>
      <c r="E902" s="692" t="n"/>
      <c r="F902" s="692" t="n"/>
      <c r="G902" s="692" t="n"/>
      <c r="H902" s="692" t="n"/>
      <c r="I902" s="692" t="n"/>
      <c r="J902" s="692" t="n"/>
      <c r="K902" s="692" t="n"/>
      <c r="L902" s="692" t="n"/>
      <c r="M902" s="692" t="n"/>
      <c r="N902" s="692" t="n"/>
      <c r="O902" s="692" t="n"/>
      <c r="P902" s="692" t="n"/>
      <c r="Q902" s="692" t="n"/>
      <c r="R902" s="692" t="n"/>
      <c r="S902" s="692" t="n"/>
      <c r="T902" s="692" t="n"/>
      <c r="U902" s="692" t="n"/>
      <c r="V902" s="692" t="n"/>
      <c r="W902" s="692" t="n"/>
    </row>
    <row r="903">
      <c r="A903" s="692" t="n"/>
      <c r="B903" s="692" t="n"/>
      <c r="C903" s="692" t="n"/>
      <c r="D903" s="692" t="n"/>
      <c r="E903" s="692" t="n"/>
      <c r="F903" s="692" t="n"/>
      <c r="G903" s="692" t="n"/>
      <c r="H903" s="692" t="n"/>
      <c r="I903" s="692" t="n"/>
      <c r="J903" s="692" t="n"/>
      <c r="K903" s="692" t="n"/>
      <c r="L903" s="692" t="n"/>
      <c r="M903" s="692" t="n"/>
      <c r="N903" s="692" t="n"/>
      <c r="O903" s="692" t="n"/>
      <c r="P903" s="692" t="n"/>
      <c r="Q903" s="692" t="n"/>
      <c r="R903" s="692" t="n"/>
      <c r="S903" s="692" t="n"/>
      <c r="T903" s="692" t="n"/>
      <c r="U903" s="692" t="n"/>
      <c r="V903" s="692" t="n"/>
      <c r="W903" s="692" t="n"/>
    </row>
    <row r="904">
      <c r="A904" s="692" t="n"/>
      <c r="B904" s="692" t="n"/>
      <c r="C904" s="692" t="n"/>
      <c r="D904" s="692" t="n"/>
      <c r="E904" s="692" t="n"/>
      <c r="F904" s="692" t="n"/>
      <c r="G904" s="692" t="n"/>
      <c r="H904" s="692" t="n"/>
      <c r="I904" s="692" t="n"/>
      <c r="J904" s="692" t="n"/>
      <c r="K904" s="692" t="n"/>
      <c r="L904" s="692" t="n"/>
      <c r="M904" s="692" t="n"/>
      <c r="N904" s="692" t="n"/>
      <c r="O904" s="692" t="n"/>
      <c r="P904" s="692" t="n"/>
      <c r="Q904" s="692" t="n"/>
      <c r="R904" s="692" t="n"/>
      <c r="S904" s="692" t="n"/>
      <c r="T904" s="692" t="n"/>
      <c r="U904" s="692" t="n"/>
      <c r="V904" s="692" t="n"/>
      <c r="W904" s="692" t="n"/>
    </row>
    <row r="905">
      <c r="A905" s="692" t="n"/>
      <c r="B905" s="692" t="n"/>
      <c r="C905" s="692" t="n"/>
      <c r="D905" s="692" t="n"/>
      <c r="E905" s="692" t="n"/>
      <c r="F905" s="692" t="n"/>
      <c r="G905" s="692" t="n"/>
      <c r="H905" s="692" t="n"/>
      <c r="I905" s="692" t="n"/>
      <c r="J905" s="692" t="n"/>
      <c r="K905" s="692" t="n"/>
      <c r="L905" s="692" t="n"/>
      <c r="M905" s="692" t="n"/>
      <c r="N905" s="692" t="n"/>
      <c r="O905" s="692" t="n"/>
      <c r="P905" s="692" t="n"/>
      <c r="Q905" s="692" t="n"/>
      <c r="R905" s="692" t="n"/>
      <c r="S905" s="692" t="n"/>
      <c r="T905" s="692" t="n"/>
      <c r="U905" s="692" t="n"/>
      <c r="V905" s="692" t="n"/>
      <c r="W905" s="692" t="n"/>
    </row>
    <row r="906">
      <c r="A906" s="692" t="n"/>
      <c r="B906" s="692" t="n"/>
      <c r="C906" s="692" t="n"/>
      <c r="D906" s="692" t="n"/>
      <c r="E906" s="692" t="n"/>
      <c r="F906" s="692" t="n"/>
      <c r="G906" s="692" t="n"/>
      <c r="H906" s="692" t="n"/>
      <c r="I906" s="692" t="n"/>
      <c r="J906" s="692" t="n"/>
      <c r="K906" s="692" t="n"/>
      <c r="L906" s="692" t="n"/>
      <c r="M906" s="692" t="n"/>
      <c r="N906" s="692" t="n"/>
      <c r="O906" s="692" t="n"/>
      <c r="P906" s="692" t="n"/>
      <c r="Q906" s="692" t="n"/>
      <c r="R906" s="692" t="n"/>
      <c r="S906" s="692" t="n"/>
      <c r="T906" s="692" t="n"/>
      <c r="U906" s="692" t="n"/>
      <c r="V906" s="692" t="n"/>
      <c r="W906" s="692" t="n"/>
    </row>
    <row r="907">
      <c r="A907" s="692" t="n"/>
      <c r="B907" s="692" t="n"/>
      <c r="C907" s="692" t="n"/>
      <c r="D907" s="692" t="n"/>
      <c r="E907" s="692" t="n"/>
      <c r="F907" s="692" t="n"/>
      <c r="G907" s="692" t="n"/>
      <c r="H907" s="692" t="n"/>
      <c r="I907" s="692" t="n"/>
      <c r="J907" s="692" t="n"/>
      <c r="K907" s="692" t="n"/>
      <c r="L907" s="692" t="n"/>
      <c r="M907" s="692" t="n"/>
      <c r="N907" s="692" t="n"/>
      <c r="O907" s="692" t="n"/>
      <c r="P907" s="692" t="n"/>
      <c r="Q907" s="692" t="n"/>
      <c r="R907" s="692" t="n"/>
      <c r="S907" s="692" t="n"/>
      <c r="T907" s="692" t="n"/>
      <c r="U907" s="692" t="n"/>
      <c r="V907" s="692" t="n"/>
      <c r="W907" s="692" t="n"/>
    </row>
    <row r="908">
      <c r="A908" s="692" t="n"/>
      <c r="B908" s="692" t="n"/>
      <c r="C908" s="692" t="n"/>
      <c r="D908" s="692" t="n"/>
      <c r="E908" s="692" t="n"/>
      <c r="F908" s="692" t="n"/>
      <c r="G908" s="692" t="n"/>
      <c r="H908" s="692" t="n"/>
      <c r="I908" s="692" t="n"/>
      <c r="J908" s="692" t="n"/>
      <c r="K908" s="692" t="n"/>
      <c r="L908" s="692" t="n"/>
      <c r="M908" s="692" t="n"/>
      <c r="N908" s="692" t="n"/>
      <c r="O908" s="692" t="n"/>
      <c r="P908" s="692" t="n"/>
      <c r="Q908" s="692" t="n"/>
      <c r="R908" s="692" t="n"/>
      <c r="S908" s="692" t="n"/>
      <c r="T908" s="692" t="n"/>
      <c r="U908" s="692" t="n"/>
      <c r="V908" s="692" t="n"/>
      <c r="W908" s="692" t="n"/>
    </row>
    <row r="909">
      <c r="A909" s="692" t="n"/>
      <c r="B909" s="692" t="n"/>
      <c r="C909" s="692" t="n"/>
      <c r="D909" s="692" t="n"/>
      <c r="E909" s="692" t="n"/>
      <c r="F909" s="692" t="n"/>
      <c r="G909" s="692" t="n"/>
      <c r="H909" s="692" t="n"/>
      <c r="I909" s="692" t="n"/>
      <c r="J909" s="692" t="n"/>
      <c r="K909" s="692" t="n"/>
      <c r="L909" s="692" t="n"/>
      <c r="M909" s="692" t="n"/>
      <c r="N909" s="692" t="n"/>
      <c r="O909" s="692" t="n"/>
      <c r="P909" s="692" t="n"/>
      <c r="Q909" s="692" t="n"/>
      <c r="R909" s="692" t="n"/>
      <c r="S909" s="692" t="n"/>
      <c r="T909" s="692" t="n"/>
      <c r="U909" s="692" t="n"/>
      <c r="V909" s="692" t="n"/>
      <c r="W909" s="692" t="n"/>
    </row>
    <row r="910">
      <c r="A910" s="692" t="n"/>
      <c r="B910" s="692" t="n"/>
      <c r="C910" s="692" t="n"/>
      <c r="D910" s="692" t="n"/>
      <c r="E910" s="692" t="n"/>
      <c r="F910" s="692" t="n"/>
      <c r="G910" s="692" t="n"/>
      <c r="H910" s="692" t="n"/>
      <c r="I910" s="692" t="n"/>
      <c r="J910" s="692" t="n"/>
      <c r="K910" s="692" t="n"/>
      <c r="L910" s="692" t="n"/>
      <c r="M910" s="692" t="n"/>
      <c r="N910" s="692" t="n"/>
      <c r="O910" s="692" t="n"/>
      <c r="P910" s="692" t="n"/>
      <c r="Q910" s="692" t="n"/>
      <c r="R910" s="692" t="n"/>
      <c r="S910" s="692" t="n"/>
      <c r="T910" s="692" t="n"/>
      <c r="U910" s="692" t="n"/>
      <c r="V910" s="692" t="n"/>
      <c r="W910" s="692" t="n"/>
    </row>
    <row r="911">
      <c r="A911" s="692" t="n"/>
      <c r="B911" s="692" t="n"/>
      <c r="C911" s="692" t="n"/>
      <c r="D911" s="692" t="n"/>
      <c r="E911" s="692" t="n"/>
      <c r="F911" s="692" t="n"/>
      <c r="G911" s="692" t="n"/>
      <c r="H911" s="692" t="n"/>
      <c r="I911" s="692" t="n"/>
      <c r="J911" s="692" t="n"/>
      <c r="K911" s="692" t="n"/>
      <c r="L911" s="692" t="n"/>
      <c r="M911" s="692" t="n"/>
      <c r="N911" s="692" t="n"/>
      <c r="O911" s="692" t="n"/>
      <c r="P911" s="692" t="n"/>
      <c r="Q911" s="692" t="n"/>
      <c r="R911" s="692" t="n"/>
      <c r="S911" s="692" t="n"/>
      <c r="T911" s="692" t="n"/>
      <c r="U911" s="692" t="n"/>
      <c r="V911" s="692" t="n"/>
      <c r="W911" s="692" t="n"/>
    </row>
    <row r="912">
      <c r="A912" s="692" t="n"/>
      <c r="B912" s="692" t="n"/>
      <c r="C912" s="692" t="n"/>
      <c r="D912" s="692" t="n"/>
      <c r="E912" s="692" t="n"/>
      <c r="F912" s="692" t="n"/>
      <c r="G912" s="692" t="n"/>
      <c r="H912" s="692" t="n"/>
      <c r="I912" s="692" t="n"/>
      <c r="J912" s="692" t="n"/>
      <c r="K912" s="692" t="n"/>
      <c r="L912" s="692" t="n"/>
      <c r="M912" s="692" t="n"/>
      <c r="N912" s="692" t="n"/>
      <c r="O912" s="692" t="n"/>
      <c r="P912" s="692" t="n"/>
      <c r="Q912" s="692" t="n"/>
      <c r="R912" s="692" t="n"/>
      <c r="S912" s="692" t="n"/>
      <c r="T912" s="692" t="n"/>
      <c r="U912" s="692" t="n"/>
      <c r="V912" s="692" t="n"/>
      <c r="W912" s="692" t="n"/>
    </row>
    <row r="913">
      <c r="A913" s="692" t="n"/>
      <c r="B913" s="692" t="n"/>
      <c r="C913" s="692" t="n"/>
      <c r="D913" s="692" t="n"/>
      <c r="E913" s="692" t="n"/>
      <c r="F913" s="692" t="n"/>
      <c r="G913" s="692" t="n"/>
      <c r="H913" s="692" t="n"/>
      <c r="I913" s="692" t="n"/>
      <c r="J913" s="692" t="n"/>
      <c r="K913" s="692" t="n"/>
      <c r="L913" s="692" t="n"/>
      <c r="M913" s="692" t="n"/>
      <c r="N913" s="692" t="n"/>
      <c r="O913" s="692" t="n"/>
      <c r="P913" s="692" t="n"/>
      <c r="Q913" s="692" t="n"/>
      <c r="R913" s="692" t="n"/>
      <c r="S913" s="692" t="n"/>
      <c r="T913" s="692" t="n"/>
      <c r="U913" s="692" t="n"/>
      <c r="V913" s="692" t="n"/>
      <c r="W913" s="692" t="n"/>
    </row>
    <row r="914">
      <c r="A914" s="692" t="n"/>
      <c r="B914" s="692" t="n"/>
      <c r="C914" s="692" t="n"/>
      <c r="D914" s="692" t="n"/>
      <c r="E914" s="692" t="n"/>
      <c r="F914" s="692" t="n"/>
      <c r="G914" s="692" t="n"/>
      <c r="H914" s="692" t="n"/>
      <c r="I914" s="692" t="n"/>
      <c r="J914" s="692" t="n"/>
      <c r="K914" s="692" t="n"/>
      <c r="L914" s="692" t="n"/>
      <c r="M914" s="692" t="n"/>
      <c r="N914" s="692" t="n"/>
      <c r="O914" s="692" t="n"/>
      <c r="P914" s="692" t="n"/>
      <c r="Q914" s="692" t="n"/>
      <c r="R914" s="692" t="n"/>
      <c r="S914" s="692" t="n"/>
      <c r="T914" s="692" t="n"/>
      <c r="U914" s="692" t="n"/>
      <c r="V914" s="692" t="n"/>
      <c r="W914" s="692" t="n"/>
    </row>
    <row r="915">
      <c r="A915" s="692" t="n"/>
      <c r="B915" s="692" t="n"/>
      <c r="C915" s="692" t="n"/>
      <c r="D915" s="692" t="n"/>
      <c r="E915" s="692" t="n"/>
      <c r="F915" s="692" t="n"/>
      <c r="G915" s="692" t="n"/>
      <c r="H915" s="692" t="n"/>
      <c r="I915" s="692" t="n"/>
      <c r="J915" s="692" t="n"/>
      <c r="K915" s="692" t="n"/>
      <c r="L915" s="692" t="n"/>
      <c r="M915" s="692" t="n"/>
      <c r="N915" s="692" t="n"/>
      <c r="O915" s="692" t="n"/>
      <c r="P915" s="692" t="n"/>
      <c r="Q915" s="692" t="n"/>
      <c r="R915" s="692" t="n"/>
      <c r="S915" s="692" t="n"/>
      <c r="T915" s="692" t="n"/>
      <c r="U915" s="692" t="n"/>
      <c r="V915" s="692" t="n"/>
      <c r="W915" s="692" t="n"/>
    </row>
    <row r="916">
      <c r="A916" s="692" t="n"/>
      <c r="B916" s="692" t="n"/>
      <c r="C916" s="692" t="n"/>
      <c r="D916" s="692" t="n"/>
      <c r="E916" s="692" t="n"/>
      <c r="F916" s="692" t="n"/>
      <c r="G916" s="692" t="n"/>
      <c r="H916" s="692" t="n"/>
      <c r="I916" s="692" t="n"/>
      <c r="J916" s="692" t="n"/>
      <c r="K916" s="692" t="n"/>
      <c r="L916" s="692" t="n"/>
      <c r="M916" s="692" t="n"/>
      <c r="N916" s="692" t="n"/>
      <c r="O916" s="692" t="n"/>
      <c r="P916" s="692" t="n"/>
      <c r="Q916" s="692" t="n"/>
      <c r="R916" s="692" t="n"/>
      <c r="S916" s="692" t="n"/>
      <c r="T916" s="692" t="n"/>
      <c r="U916" s="692" t="n"/>
      <c r="V916" s="692" t="n"/>
      <c r="W916" s="692" t="n"/>
    </row>
    <row r="917">
      <c r="A917" s="692" t="n"/>
      <c r="B917" s="692" t="n"/>
      <c r="C917" s="692" t="n"/>
      <c r="D917" s="692" t="n"/>
      <c r="E917" s="692" t="n"/>
      <c r="F917" s="692" t="n"/>
      <c r="G917" s="692" t="n"/>
      <c r="H917" s="692" t="n"/>
      <c r="I917" s="692" t="n"/>
      <c r="J917" s="692" t="n"/>
      <c r="K917" s="692" t="n"/>
      <c r="L917" s="692" t="n"/>
      <c r="M917" s="692" t="n"/>
      <c r="N917" s="692" t="n"/>
      <c r="O917" s="692" t="n"/>
      <c r="P917" s="692" t="n"/>
      <c r="Q917" s="692" t="n"/>
      <c r="R917" s="692" t="n"/>
      <c r="S917" s="692" t="n"/>
      <c r="T917" s="692" t="n"/>
      <c r="U917" s="692" t="n"/>
      <c r="V917" s="692" t="n"/>
      <c r="W917" s="692" t="n"/>
    </row>
    <row r="918">
      <c r="A918" s="692" t="n"/>
      <c r="B918" s="692" t="n"/>
      <c r="C918" s="692" t="n"/>
      <c r="D918" s="692" t="n"/>
      <c r="E918" s="692" t="n"/>
      <c r="F918" s="692" t="n"/>
      <c r="G918" s="692" t="n"/>
      <c r="H918" s="692" t="n"/>
      <c r="I918" s="692" t="n"/>
      <c r="J918" s="692" t="n"/>
      <c r="K918" s="692" t="n"/>
      <c r="L918" s="692" t="n"/>
      <c r="M918" s="692" t="n"/>
      <c r="N918" s="692" t="n"/>
      <c r="O918" s="692" t="n"/>
      <c r="P918" s="692" t="n"/>
      <c r="Q918" s="692" t="n"/>
      <c r="R918" s="692" t="n"/>
      <c r="S918" s="692" t="n"/>
      <c r="T918" s="692" t="n"/>
      <c r="U918" s="692" t="n"/>
      <c r="V918" s="692" t="n"/>
      <c r="W918" s="692" t="n"/>
    </row>
    <row r="919">
      <c r="A919" s="692" t="n"/>
      <c r="B919" s="692" t="n"/>
      <c r="C919" s="692" t="n"/>
      <c r="D919" s="692" t="n"/>
      <c r="E919" s="692" t="n"/>
      <c r="F919" s="692" t="n"/>
      <c r="G919" s="692" t="n"/>
      <c r="H919" s="692" t="n"/>
      <c r="I919" s="692" t="n"/>
      <c r="J919" s="692" t="n"/>
      <c r="K919" s="692" t="n"/>
      <c r="L919" s="692" t="n"/>
      <c r="M919" s="692" t="n"/>
      <c r="N919" s="692" t="n"/>
      <c r="O919" s="692" t="n"/>
      <c r="P919" s="692" t="n"/>
      <c r="Q919" s="692" t="n"/>
      <c r="R919" s="692" t="n"/>
      <c r="S919" s="692" t="n"/>
      <c r="T919" s="692" t="n"/>
      <c r="U919" s="692" t="n"/>
      <c r="V919" s="692" t="n"/>
      <c r="W919" s="692" t="n"/>
    </row>
    <row r="920">
      <c r="A920" s="692" t="n"/>
      <c r="B920" s="692" t="n"/>
      <c r="C920" s="692" t="n"/>
      <c r="D920" s="692" t="n"/>
      <c r="E920" s="692" t="n"/>
      <c r="F920" s="692" t="n"/>
      <c r="G920" s="692" t="n"/>
      <c r="H920" s="692" t="n"/>
      <c r="I920" s="692" t="n"/>
      <c r="J920" s="692" t="n"/>
      <c r="K920" s="692" t="n"/>
      <c r="L920" s="692" t="n"/>
      <c r="M920" s="692" t="n"/>
      <c r="N920" s="692" t="n"/>
      <c r="O920" s="692" t="n"/>
      <c r="P920" s="692" t="n"/>
      <c r="Q920" s="692" t="n"/>
      <c r="R920" s="692" t="n"/>
      <c r="S920" s="692" t="n"/>
      <c r="T920" s="692" t="n"/>
      <c r="U920" s="692" t="n"/>
      <c r="V920" s="692" t="n"/>
      <c r="W920" s="692" t="n"/>
    </row>
    <row r="921">
      <c r="A921" s="692" t="n"/>
      <c r="B921" s="692" t="n"/>
      <c r="C921" s="692" t="n"/>
      <c r="D921" s="692" t="n"/>
      <c r="E921" s="692" t="n"/>
      <c r="F921" s="692" t="n"/>
      <c r="G921" s="692" t="n"/>
      <c r="H921" s="692" t="n"/>
      <c r="I921" s="692" t="n"/>
      <c r="J921" s="692" t="n"/>
      <c r="K921" s="692" t="n"/>
      <c r="L921" s="692" t="n"/>
      <c r="M921" s="692" t="n"/>
      <c r="N921" s="692" t="n"/>
      <c r="O921" s="692" t="n"/>
      <c r="P921" s="692" t="n"/>
      <c r="Q921" s="692" t="n"/>
      <c r="R921" s="692" t="n"/>
      <c r="S921" s="692" t="n"/>
      <c r="T921" s="692" t="n"/>
      <c r="U921" s="692" t="n"/>
      <c r="V921" s="692" t="n"/>
      <c r="W921" s="692" t="n"/>
    </row>
    <row r="922">
      <c r="A922" s="692" t="n"/>
      <c r="B922" s="692" t="n"/>
      <c r="C922" s="692" t="n"/>
      <c r="D922" s="692" t="n"/>
      <c r="E922" s="692" t="n"/>
      <c r="F922" s="692" t="n"/>
      <c r="G922" s="692" t="n"/>
      <c r="H922" s="692" t="n"/>
      <c r="I922" s="692" t="n"/>
      <c r="J922" s="692" t="n"/>
      <c r="K922" s="692" t="n"/>
      <c r="L922" s="692" t="n"/>
      <c r="M922" s="692" t="n"/>
      <c r="N922" s="692" t="n"/>
      <c r="O922" s="692" t="n"/>
      <c r="P922" s="692" t="n"/>
      <c r="Q922" s="692" t="n"/>
      <c r="R922" s="692" t="n"/>
      <c r="S922" s="692" t="n"/>
      <c r="T922" s="692" t="n"/>
      <c r="U922" s="692" t="n"/>
      <c r="V922" s="692" t="n"/>
      <c r="W922" s="692" t="n"/>
    </row>
    <row r="923">
      <c r="A923" s="692" t="n"/>
      <c r="B923" s="692" t="n"/>
      <c r="C923" s="692" t="n"/>
      <c r="D923" s="692" t="n"/>
      <c r="E923" s="692" t="n"/>
      <c r="F923" s="692" t="n"/>
      <c r="G923" s="692" t="n"/>
      <c r="H923" s="692" t="n"/>
      <c r="I923" s="692" t="n"/>
      <c r="J923" s="692" t="n"/>
      <c r="K923" s="692" t="n"/>
      <c r="L923" s="692" t="n"/>
      <c r="M923" s="692" t="n"/>
      <c r="N923" s="692" t="n"/>
      <c r="O923" s="692" t="n"/>
      <c r="P923" s="692" t="n"/>
      <c r="Q923" s="692" t="n"/>
      <c r="R923" s="692" t="n"/>
      <c r="S923" s="692" t="n"/>
      <c r="T923" s="692" t="n"/>
      <c r="U923" s="692" t="n"/>
      <c r="V923" s="692" t="n"/>
      <c r="W923" s="692" t="n"/>
    </row>
    <row r="924">
      <c r="A924" s="692" t="n"/>
      <c r="B924" s="692" t="n"/>
      <c r="C924" s="692" t="n"/>
      <c r="D924" s="692" t="n"/>
      <c r="E924" s="692" t="n"/>
      <c r="F924" s="692" t="n"/>
      <c r="G924" s="692" t="n"/>
      <c r="H924" s="692" t="n"/>
      <c r="I924" s="692" t="n"/>
      <c r="J924" s="692" t="n"/>
      <c r="K924" s="692" t="n"/>
      <c r="L924" s="692" t="n"/>
      <c r="M924" s="692" t="n"/>
      <c r="N924" s="692" t="n"/>
      <c r="O924" s="692" t="n"/>
      <c r="P924" s="692" t="n"/>
      <c r="Q924" s="692" t="n"/>
      <c r="R924" s="692" t="n"/>
      <c r="S924" s="692" t="n"/>
      <c r="T924" s="692" t="n"/>
      <c r="U924" s="692" t="n"/>
      <c r="V924" s="692" t="n"/>
      <c r="W924" s="692" t="n"/>
    </row>
    <row r="925">
      <c r="A925" s="692" t="n"/>
      <c r="B925" s="692" t="n"/>
      <c r="C925" s="692" t="n"/>
      <c r="D925" s="692" t="n"/>
      <c r="E925" s="692" t="n"/>
      <c r="F925" s="692" t="n"/>
      <c r="G925" s="692" t="n"/>
      <c r="H925" s="692" t="n"/>
      <c r="I925" s="692" t="n"/>
      <c r="J925" s="692" t="n"/>
      <c r="K925" s="692" t="n"/>
      <c r="L925" s="692" t="n"/>
      <c r="M925" s="692" t="n"/>
      <c r="N925" s="692" t="n"/>
      <c r="O925" s="692" t="n"/>
      <c r="P925" s="692" t="n"/>
      <c r="Q925" s="692" t="n"/>
      <c r="R925" s="692" t="n"/>
      <c r="S925" s="692" t="n"/>
      <c r="T925" s="692" t="n"/>
      <c r="U925" s="692" t="n"/>
      <c r="V925" s="692" t="n"/>
      <c r="W925" s="692" t="n"/>
    </row>
    <row r="926">
      <c r="A926" s="692" t="n"/>
      <c r="B926" s="692" t="n"/>
      <c r="C926" s="692" t="n"/>
      <c r="D926" s="692" t="n"/>
      <c r="E926" s="692" t="n"/>
      <c r="F926" s="692" t="n"/>
      <c r="G926" s="692" t="n"/>
      <c r="H926" s="692" t="n"/>
      <c r="I926" s="692" t="n"/>
      <c r="J926" s="692" t="n"/>
      <c r="K926" s="692" t="n"/>
      <c r="L926" s="692" t="n"/>
      <c r="M926" s="692" t="n"/>
      <c r="N926" s="692" t="n"/>
      <c r="O926" s="692" t="n"/>
      <c r="P926" s="692" t="n"/>
      <c r="Q926" s="692" t="n"/>
      <c r="R926" s="692" t="n"/>
      <c r="S926" s="692" t="n"/>
      <c r="T926" s="692" t="n"/>
      <c r="U926" s="692" t="n"/>
      <c r="V926" s="692" t="n"/>
      <c r="W926" s="692" t="n"/>
    </row>
    <row r="927">
      <c r="A927" s="692" t="n"/>
      <c r="B927" s="692" t="n"/>
      <c r="C927" s="692" t="n"/>
      <c r="D927" s="692" t="n"/>
      <c r="E927" s="692" t="n"/>
      <c r="F927" s="692" t="n"/>
      <c r="G927" s="692" t="n"/>
      <c r="H927" s="692" t="n"/>
      <c r="I927" s="692" t="n"/>
      <c r="J927" s="692" t="n"/>
      <c r="K927" s="692" t="n"/>
      <c r="L927" s="692" t="n"/>
      <c r="M927" s="692" t="n"/>
      <c r="N927" s="692" t="n"/>
      <c r="O927" s="692" t="n"/>
      <c r="P927" s="692" t="n"/>
      <c r="Q927" s="692" t="n"/>
      <c r="R927" s="692" t="n"/>
      <c r="S927" s="692" t="n"/>
      <c r="T927" s="692" t="n"/>
      <c r="U927" s="692" t="n"/>
      <c r="V927" s="692" t="n"/>
      <c r="W927" s="692" t="n"/>
    </row>
    <row r="928">
      <c r="A928" s="692" t="n"/>
      <c r="B928" s="692" t="n"/>
      <c r="C928" s="692" t="n"/>
      <c r="D928" s="692" t="n"/>
      <c r="E928" s="692" t="n"/>
      <c r="F928" s="692" t="n"/>
      <c r="G928" s="692" t="n"/>
      <c r="H928" s="692" t="n"/>
      <c r="I928" s="692" t="n"/>
      <c r="J928" s="692" t="n"/>
      <c r="K928" s="692" t="n"/>
      <c r="L928" s="692" t="n"/>
      <c r="M928" s="692" t="n"/>
      <c r="N928" s="692" t="n"/>
      <c r="O928" s="692" t="n"/>
      <c r="P928" s="692" t="n"/>
      <c r="Q928" s="692" t="n"/>
      <c r="R928" s="692" t="n"/>
      <c r="S928" s="692" t="n"/>
      <c r="T928" s="692" t="n"/>
      <c r="U928" s="692" t="n"/>
      <c r="V928" s="692" t="n"/>
      <c r="W928" s="692" t="n"/>
    </row>
    <row r="929">
      <c r="A929" s="692" t="n"/>
      <c r="B929" s="692" t="n"/>
      <c r="C929" s="692" t="n"/>
      <c r="D929" s="692" t="n"/>
      <c r="E929" s="692" t="n"/>
      <c r="F929" s="692" t="n"/>
      <c r="G929" s="692" t="n"/>
      <c r="H929" s="692" t="n"/>
      <c r="I929" s="692" t="n"/>
      <c r="J929" s="692" t="n"/>
      <c r="K929" s="692" t="n"/>
      <c r="L929" s="692" t="n"/>
      <c r="M929" s="692" t="n"/>
      <c r="N929" s="692" t="n"/>
      <c r="O929" s="692" t="n"/>
      <c r="P929" s="692" t="n"/>
      <c r="Q929" s="692" t="n"/>
      <c r="R929" s="692" t="n"/>
      <c r="S929" s="692" t="n"/>
      <c r="T929" s="692" t="n"/>
      <c r="U929" s="692" t="n"/>
      <c r="V929" s="692" t="n"/>
      <c r="W929" s="692" t="n"/>
    </row>
    <row r="930">
      <c r="A930" s="692" t="n"/>
      <c r="B930" s="692" t="n"/>
      <c r="C930" s="692" t="n"/>
      <c r="D930" s="692" t="n"/>
      <c r="E930" s="692" t="n"/>
      <c r="F930" s="692" t="n"/>
      <c r="G930" s="692" t="n"/>
      <c r="H930" s="692" t="n"/>
      <c r="I930" s="692" t="n"/>
      <c r="J930" s="692" t="n"/>
      <c r="K930" s="692" t="n"/>
      <c r="L930" s="692" t="n"/>
      <c r="M930" s="692" t="n"/>
      <c r="N930" s="692" t="n"/>
      <c r="O930" s="692" t="n"/>
      <c r="P930" s="692" t="n"/>
      <c r="Q930" s="692" t="n"/>
      <c r="R930" s="692" t="n"/>
      <c r="S930" s="692" t="n"/>
      <c r="T930" s="692" t="n"/>
      <c r="U930" s="692" t="n"/>
      <c r="V930" s="692" t="n"/>
      <c r="W930" s="692" t="n"/>
    </row>
    <row r="931">
      <c r="A931" s="692" t="n"/>
      <c r="B931" s="692" t="n"/>
      <c r="C931" s="692" t="n"/>
      <c r="D931" s="692" t="n"/>
      <c r="E931" s="692" t="n"/>
      <c r="F931" s="692" t="n"/>
      <c r="G931" s="692" t="n"/>
      <c r="H931" s="692" t="n"/>
      <c r="I931" s="692" t="n"/>
      <c r="J931" s="692" t="n"/>
      <c r="K931" s="692" t="n"/>
      <c r="L931" s="692" t="n"/>
      <c r="M931" s="692" t="n"/>
      <c r="N931" s="692" t="n"/>
      <c r="O931" s="692" t="n"/>
      <c r="P931" s="692" t="n"/>
      <c r="Q931" s="692" t="n"/>
      <c r="R931" s="692" t="n"/>
      <c r="S931" s="692" t="n"/>
      <c r="T931" s="692" t="n"/>
      <c r="U931" s="692" t="n"/>
      <c r="V931" s="692" t="n"/>
      <c r="W931" s="692" t="n"/>
    </row>
    <row r="932">
      <c r="A932" s="692" t="n"/>
      <c r="B932" s="692" t="n"/>
      <c r="C932" s="692" t="n"/>
      <c r="D932" s="692" t="n"/>
      <c r="E932" s="692" t="n"/>
      <c r="F932" s="692" t="n"/>
      <c r="G932" s="692" t="n"/>
      <c r="H932" s="692" t="n"/>
      <c r="I932" s="692" t="n"/>
      <c r="J932" s="692" t="n"/>
      <c r="K932" s="692" t="n"/>
      <c r="L932" s="692" t="n"/>
      <c r="M932" s="692" t="n"/>
      <c r="N932" s="692" t="n"/>
      <c r="O932" s="692" t="n"/>
      <c r="P932" s="692" t="n"/>
      <c r="Q932" s="692" t="n"/>
      <c r="R932" s="692" t="n"/>
      <c r="S932" s="692" t="n"/>
      <c r="T932" s="692" t="n"/>
      <c r="U932" s="692" t="n"/>
      <c r="V932" s="692" t="n"/>
      <c r="W932" s="692" t="n"/>
    </row>
    <row r="933">
      <c r="A933" s="692" t="n"/>
      <c r="B933" s="692" t="n"/>
      <c r="C933" s="692" t="n"/>
      <c r="D933" s="692" t="n"/>
      <c r="E933" s="692" t="n"/>
      <c r="F933" s="692" t="n"/>
      <c r="G933" s="692" t="n"/>
      <c r="H933" s="692" t="n"/>
      <c r="I933" s="692" t="n"/>
      <c r="J933" s="692" t="n"/>
      <c r="K933" s="692" t="n"/>
      <c r="L933" s="692" t="n"/>
      <c r="M933" s="692" t="n"/>
      <c r="N933" s="692" t="n"/>
      <c r="O933" s="692" t="n"/>
      <c r="P933" s="692" t="n"/>
      <c r="Q933" s="692" t="n"/>
      <c r="R933" s="692" t="n"/>
      <c r="S933" s="692" t="n"/>
      <c r="T933" s="692" t="n"/>
      <c r="U933" s="692" t="n"/>
      <c r="V933" s="692" t="n"/>
      <c r="W933" s="692" t="n"/>
    </row>
    <row r="934">
      <c r="A934" s="692" t="n"/>
      <c r="B934" s="692" t="n"/>
      <c r="C934" s="692" t="n"/>
      <c r="D934" s="692" t="n"/>
      <c r="E934" s="692" t="n"/>
      <c r="F934" s="692" t="n"/>
      <c r="G934" s="692" t="n"/>
      <c r="H934" s="692" t="n"/>
      <c r="I934" s="692" t="n"/>
      <c r="J934" s="692" t="n"/>
      <c r="K934" s="692" t="n"/>
      <c r="L934" s="692" t="n"/>
      <c r="M934" s="692" t="n"/>
      <c r="N934" s="692" t="n"/>
      <c r="O934" s="692" t="n"/>
      <c r="P934" s="692" t="n"/>
      <c r="Q934" s="692" t="n"/>
      <c r="R934" s="692" t="n"/>
      <c r="S934" s="692" t="n"/>
      <c r="T934" s="692" t="n"/>
      <c r="U934" s="692" t="n"/>
      <c r="V934" s="692" t="n"/>
      <c r="W934" s="692" t="n"/>
    </row>
    <row r="935">
      <c r="A935" s="692" t="n"/>
      <c r="B935" s="692" t="n"/>
      <c r="C935" s="692" t="n"/>
      <c r="D935" s="692" t="n"/>
      <c r="E935" s="692" t="n"/>
      <c r="F935" s="692" t="n"/>
      <c r="G935" s="692" t="n"/>
      <c r="H935" s="692" t="n"/>
      <c r="I935" s="692" t="n"/>
      <c r="J935" s="692" t="n"/>
      <c r="K935" s="692" t="n"/>
      <c r="L935" s="692" t="n"/>
      <c r="M935" s="692" t="n"/>
      <c r="N935" s="692" t="n"/>
      <c r="O935" s="692" t="n"/>
      <c r="P935" s="692" t="n"/>
      <c r="Q935" s="692" t="n"/>
      <c r="R935" s="692" t="n"/>
      <c r="S935" s="692" t="n"/>
      <c r="T935" s="692" t="n"/>
      <c r="U935" s="692" t="n"/>
      <c r="V935" s="692" t="n"/>
      <c r="W935" s="692" t="n"/>
    </row>
    <row r="936">
      <c r="A936" s="692" t="n"/>
      <c r="B936" s="692" t="n"/>
      <c r="C936" s="692" t="n"/>
      <c r="D936" s="692" t="n"/>
      <c r="E936" s="692" t="n"/>
      <c r="F936" s="692" t="n"/>
      <c r="G936" s="692" t="n"/>
      <c r="H936" s="692" t="n"/>
      <c r="I936" s="692" t="n"/>
      <c r="J936" s="692" t="n"/>
      <c r="K936" s="692" t="n"/>
      <c r="L936" s="692" t="n"/>
      <c r="M936" s="692" t="n"/>
      <c r="N936" s="692" t="n"/>
      <c r="O936" s="692" t="n"/>
      <c r="P936" s="692" t="n"/>
      <c r="Q936" s="692" t="n"/>
      <c r="R936" s="692" t="n"/>
      <c r="S936" s="692" t="n"/>
      <c r="T936" s="692" t="n"/>
      <c r="U936" s="692" t="n"/>
      <c r="V936" s="692" t="n"/>
      <c r="W936" s="692" t="n"/>
    </row>
    <row r="937">
      <c r="A937" s="692" t="n"/>
      <c r="B937" s="692" t="n"/>
      <c r="C937" s="692" t="n"/>
      <c r="D937" s="692" t="n"/>
      <c r="E937" s="692" t="n"/>
      <c r="F937" s="692" t="n"/>
      <c r="G937" s="692" t="n"/>
      <c r="H937" s="692" t="n"/>
      <c r="I937" s="692" t="n"/>
      <c r="J937" s="692" t="n"/>
      <c r="K937" s="692" t="n"/>
      <c r="L937" s="692" t="n"/>
      <c r="M937" s="692" t="n"/>
      <c r="N937" s="692" t="n"/>
      <c r="O937" s="692" t="n"/>
      <c r="P937" s="692" t="n"/>
      <c r="Q937" s="692" t="n"/>
      <c r="R937" s="692" t="n"/>
      <c r="S937" s="692" t="n"/>
      <c r="T937" s="692" t="n"/>
      <c r="U937" s="692" t="n"/>
      <c r="V937" s="692" t="n"/>
      <c r="W937" s="692" t="n"/>
    </row>
    <row r="938">
      <c r="A938" s="692" t="n"/>
      <c r="B938" s="692" t="n"/>
      <c r="C938" s="692" t="n"/>
      <c r="D938" s="692" t="n"/>
      <c r="E938" s="692" t="n"/>
      <c r="F938" s="692" t="n"/>
      <c r="G938" s="692" t="n"/>
      <c r="H938" s="692" t="n"/>
      <c r="I938" s="692" t="n"/>
      <c r="J938" s="692" t="n"/>
      <c r="K938" s="692" t="n"/>
      <c r="L938" s="692" t="n"/>
      <c r="M938" s="692" t="n"/>
      <c r="N938" s="692" t="n"/>
      <c r="O938" s="692" t="n"/>
      <c r="P938" s="692" t="n"/>
      <c r="Q938" s="692" t="n"/>
      <c r="R938" s="692" t="n"/>
      <c r="S938" s="692" t="n"/>
      <c r="T938" s="692" t="n"/>
      <c r="U938" s="692" t="n"/>
      <c r="V938" s="692" t="n"/>
      <c r="W938" s="692" t="n"/>
    </row>
    <row r="939">
      <c r="A939" s="692" t="n"/>
      <c r="B939" s="692" t="n"/>
      <c r="C939" s="692" t="n"/>
      <c r="D939" s="692" t="n"/>
      <c r="E939" s="692" t="n"/>
      <c r="F939" s="692" t="n"/>
      <c r="G939" s="692" t="n"/>
      <c r="H939" s="692" t="n"/>
      <c r="I939" s="692" t="n"/>
      <c r="J939" s="692" t="n"/>
      <c r="K939" s="692" t="n"/>
      <c r="L939" s="692" t="n"/>
      <c r="M939" s="692" t="n"/>
      <c r="N939" s="692" t="n"/>
      <c r="O939" s="692" t="n"/>
      <c r="P939" s="692" t="n"/>
      <c r="Q939" s="692" t="n"/>
      <c r="R939" s="692" t="n"/>
      <c r="S939" s="692" t="n"/>
      <c r="T939" s="692" t="n"/>
      <c r="U939" s="692" t="n"/>
      <c r="V939" s="692" t="n"/>
      <c r="W939" s="692" t="n"/>
    </row>
    <row r="940">
      <c r="A940" s="692" t="n"/>
      <c r="B940" s="692" t="n"/>
      <c r="C940" s="692" t="n"/>
      <c r="D940" s="692" t="n"/>
      <c r="E940" s="692" t="n"/>
      <c r="F940" s="692" t="n"/>
      <c r="G940" s="692" t="n"/>
      <c r="H940" s="692" t="n"/>
      <c r="I940" s="692" t="n"/>
      <c r="J940" s="692" t="n"/>
      <c r="K940" s="692" t="n"/>
      <c r="L940" s="692" t="n"/>
      <c r="M940" s="692" t="n"/>
      <c r="N940" s="692" t="n"/>
      <c r="O940" s="692" t="n"/>
      <c r="P940" s="692" t="n"/>
      <c r="Q940" s="692" t="n"/>
      <c r="R940" s="692" t="n"/>
      <c r="S940" s="692" t="n"/>
      <c r="T940" s="692" t="n"/>
      <c r="U940" s="692" t="n"/>
      <c r="V940" s="692" t="n"/>
      <c r="W940" s="692" t="n"/>
    </row>
    <row r="941">
      <c r="A941" s="692" t="n"/>
      <c r="B941" s="692" t="n"/>
      <c r="C941" s="692" t="n"/>
      <c r="D941" s="692" t="n"/>
      <c r="E941" s="692" t="n"/>
      <c r="F941" s="692" t="n"/>
      <c r="G941" s="692" t="n"/>
      <c r="H941" s="692" t="n"/>
      <c r="I941" s="692" t="n"/>
      <c r="J941" s="692" t="n"/>
      <c r="K941" s="692" t="n"/>
      <c r="L941" s="692" t="n"/>
      <c r="M941" s="692" t="n"/>
      <c r="N941" s="692" t="n"/>
      <c r="O941" s="692" t="n"/>
      <c r="P941" s="692" t="n"/>
      <c r="Q941" s="692" t="n"/>
      <c r="R941" s="692" t="n"/>
      <c r="S941" s="692" t="n"/>
      <c r="T941" s="692" t="n"/>
      <c r="U941" s="692" t="n"/>
      <c r="V941" s="692" t="n"/>
      <c r="W941" s="692" t="n"/>
    </row>
    <row r="942">
      <c r="A942" s="692" t="n"/>
      <c r="B942" s="692" t="n"/>
      <c r="C942" s="692" t="n"/>
      <c r="D942" s="692" t="n"/>
      <c r="E942" s="692" t="n"/>
      <c r="F942" s="692" t="n"/>
      <c r="G942" s="692" t="n"/>
      <c r="H942" s="692" t="n"/>
      <c r="I942" s="692" t="n"/>
      <c r="J942" s="692" t="n"/>
      <c r="K942" s="692" t="n"/>
      <c r="L942" s="692" t="n"/>
      <c r="M942" s="692" t="n"/>
      <c r="N942" s="692" t="n"/>
      <c r="O942" s="692" t="n"/>
      <c r="P942" s="692" t="n"/>
      <c r="Q942" s="692" t="n"/>
      <c r="R942" s="692" t="n"/>
      <c r="S942" s="692" t="n"/>
      <c r="T942" s="692" t="n"/>
      <c r="U942" s="692" t="n"/>
      <c r="V942" s="692" t="n"/>
      <c r="W942" s="692" t="n"/>
    </row>
    <row r="943">
      <c r="A943" s="692" t="n"/>
      <c r="B943" s="692" t="n"/>
      <c r="C943" s="692" t="n"/>
      <c r="D943" s="692" t="n"/>
      <c r="E943" s="692" t="n"/>
      <c r="F943" s="692" t="n"/>
      <c r="G943" s="692" t="n"/>
      <c r="H943" s="692" t="n"/>
      <c r="I943" s="692" t="n"/>
      <c r="J943" s="692" t="n"/>
      <c r="K943" s="692" t="n"/>
      <c r="L943" s="692" t="n"/>
      <c r="M943" s="692" t="n"/>
      <c r="N943" s="692" t="n"/>
      <c r="O943" s="692" t="n"/>
      <c r="P943" s="692" t="n"/>
      <c r="Q943" s="692" t="n"/>
      <c r="R943" s="692" t="n"/>
      <c r="S943" s="692" t="n"/>
      <c r="T943" s="692" t="n"/>
      <c r="U943" s="692" t="n"/>
      <c r="V943" s="692" t="n"/>
      <c r="W943" s="692" t="n"/>
    </row>
    <row r="944">
      <c r="A944" s="692" t="n"/>
      <c r="B944" s="692" t="n"/>
      <c r="C944" s="692" t="n"/>
      <c r="D944" s="692" t="n"/>
      <c r="E944" s="692" t="n"/>
      <c r="F944" s="692" t="n"/>
      <c r="G944" s="692" t="n"/>
      <c r="H944" s="692" t="n"/>
      <c r="I944" s="692" t="n"/>
      <c r="J944" s="692" t="n"/>
      <c r="K944" s="692" t="n"/>
      <c r="L944" s="692" t="n"/>
      <c r="M944" s="692" t="n"/>
      <c r="N944" s="692" t="n"/>
      <c r="O944" s="692" t="n"/>
      <c r="P944" s="692" t="n"/>
      <c r="Q944" s="692" t="n"/>
      <c r="R944" s="692" t="n"/>
      <c r="S944" s="692" t="n"/>
      <c r="T944" s="692" t="n"/>
      <c r="U944" s="692" t="n"/>
      <c r="V944" s="692" t="n"/>
      <c r="W944" s="692" t="n"/>
    </row>
    <row r="945">
      <c r="A945" s="692" t="n"/>
      <c r="B945" s="692" t="n"/>
      <c r="C945" s="692" t="n"/>
      <c r="D945" s="692" t="n"/>
      <c r="E945" s="692" t="n"/>
      <c r="F945" s="692" t="n"/>
      <c r="G945" s="692" t="n"/>
      <c r="H945" s="692" t="n"/>
      <c r="I945" s="692" t="n"/>
      <c r="J945" s="692" t="n"/>
      <c r="K945" s="692" t="n"/>
      <c r="L945" s="692" t="n"/>
      <c r="M945" s="692" t="n"/>
      <c r="N945" s="692" t="n"/>
      <c r="O945" s="692" t="n"/>
      <c r="P945" s="692" t="n"/>
      <c r="Q945" s="692" t="n"/>
      <c r="R945" s="692" t="n"/>
      <c r="S945" s="692" t="n"/>
      <c r="T945" s="692" t="n"/>
      <c r="U945" s="692" t="n"/>
      <c r="V945" s="692" t="n"/>
      <c r="W945" s="692" t="n"/>
    </row>
    <row r="946">
      <c r="A946" s="692" t="n"/>
      <c r="B946" s="692" t="n"/>
      <c r="C946" s="692" t="n"/>
      <c r="D946" s="692" t="n"/>
      <c r="E946" s="692" t="n"/>
      <c r="F946" s="692" t="n"/>
      <c r="G946" s="692" t="n"/>
      <c r="H946" s="692" t="n"/>
      <c r="I946" s="692" t="n"/>
      <c r="J946" s="692" t="n"/>
      <c r="K946" s="692" t="n"/>
      <c r="L946" s="692" t="n"/>
      <c r="M946" s="692" t="n"/>
      <c r="N946" s="692" t="n"/>
      <c r="O946" s="692" t="n"/>
      <c r="P946" s="692" t="n"/>
      <c r="Q946" s="692" t="n"/>
      <c r="R946" s="692" t="n"/>
      <c r="S946" s="692" t="n"/>
      <c r="T946" s="692" t="n"/>
      <c r="U946" s="692" t="n"/>
      <c r="V946" s="692" t="n"/>
      <c r="W946" s="692" t="n"/>
    </row>
    <row r="947">
      <c r="A947" s="692" t="n"/>
      <c r="B947" s="692" t="n"/>
      <c r="C947" s="692" t="n"/>
      <c r="D947" s="692" t="n"/>
      <c r="E947" s="692" t="n"/>
      <c r="F947" s="692" t="n"/>
      <c r="G947" s="692" t="n"/>
      <c r="H947" s="692" t="n"/>
      <c r="I947" s="692" t="n"/>
      <c r="J947" s="692" t="n"/>
      <c r="K947" s="692" t="n"/>
      <c r="L947" s="692" t="n"/>
      <c r="M947" s="692" t="n"/>
      <c r="N947" s="692" t="n"/>
      <c r="O947" s="692" t="n"/>
      <c r="P947" s="692" t="n"/>
      <c r="Q947" s="692" t="n"/>
      <c r="R947" s="692" t="n"/>
      <c r="S947" s="692" t="n"/>
      <c r="T947" s="692" t="n"/>
      <c r="U947" s="692" t="n"/>
      <c r="V947" s="692" t="n"/>
      <c r="W947" s="692" t="n"/>
    </row>
    <row r="948">
      <c r="A948" s="692" t="n"/>
      <c r="B948" s="692" t="n"/>
      <c r="C948" s="692" t="n"/>
      <c r="D948" s="692" t="n"/>
      <c r="E948" s="692" t="n"/>
      <c r="F948" s="692" t="n"/>
      <c r="G948" s="692" t="n"/>
      <c r="H948" s="692" t="n"/>
      <c r="I948" s="692" t="n"/>
      <c r="J948" s="692" t="n"/>
      <c r="K948" s="692" t="n"/>
      <c r="L948" s="692" t="n"/>
      <c r="M948" s="692" t="n"/>
      <c r="N948" s="692" t="n"/>
      <c r="O948" s="692" t="n"/>
      <c r="P948" s="692" t="n"/>
      <c r="Q948" s="692" t="n"/>
      <c r="R948" s="692" t="n"/>
      <c r="S948" s="692" t="n"/>
      <c r="T948" s="692" t="n"/>
      <c r="U948" s="692" t="n"/>
      <c r="V948" s="692" t="n"/>
      <c r="W948" s="692" t="n"/>
    </row>
    <row r="949">
      <c r="A949" s="692" t="n"/>
      <c r="B949" s="692" t="n"/>
      <c r="C949" s="692" t="n"/>
      <c r="D949" s="692" t="n"/>
      <c r="E949" s="692" t="n"/>
      <c r="F949" s="692" t="n"/>
      <c r="G949" s="692" t="n"/>
      <c r="H949" s="692" t="n"/>
      <c r="I949" s="692" t="n"/>
      <c r="J949" s="692" t="n"/>
      <c r="K949" s="692" t="n"/>
      <c r="L949" s="692" t="n"/>
      <c r="M949" s="692" t="n"/>
      <c r="N949" s="692" t="n"/>
      <c r="O949" s="692" t="n"/>
      <c r="P949" s="692" t="n"/>
      <c r="Q949" s="692" t="n"/>
      <c r="R949" s="692" t="n"/>
      <c r="S949" s="692" t="n"/>
      <c r="T949" s="692" t="n"/>
      <c r="U949" s="692" t="n"/>
      <c r="V949" s="692" t="n"/>
      <c r="W949" s="692" t="n"/>
    </row>
    <row r="950">
      <c r="A950" s="692" t="n"/>
      <c r="B950" s="692" t="n"/>
      <c r="C950" s="692" t="n"/>
      <c r="D950" s="692" t="n"/>
      <c r="E950" s="692" t="n"/>
      <c r="F950" s="692" t="n"/>
      <c r="G950" s="692" t="n"/>
      <c r="H950" s="692" t="n"/>
      <c r="I950" s="692" t="n"/>
      <c r="J950" s="692" t="n"/>
      <c r="K950" s="692" t="n"/>
      <c r="L950" s="692" t="n"/>
      <c r="M950" s="692" t="n"/>
      <c r="N950" s="692" t="n"/>
      <c r="O950" s="692" t="n"/>
      <c r="P950" s="692" t="n"/>
      <c r="Q950" s="692" t="n"/>
      <c r="R950" s="692" t="n"/>
      <c r="S950" s="692" t="n"/>
      <c r="T950" s="692" t="n"/>
      <c r="U950" s="692" t="n"/>
      <c r="V950" s="692" t="n"/>
      <c r="W950" s="692" t="n"/>
    </row>
    <row r="951">
      <c r="A951" s="692" t="n"/>
      <c r="B951" s="692" t="n"/>
      <c r="C951" s="692" t="n"/>
      <c r="D951" s="692" t="n"/>
      <c r="E951" s="692" t="n"/>
      <c r="F951" s="692" t="n"/>
      <c r="G951" s="692" t="n"/>
      <c r="H951" s="692" t="n"/>
      <c r="I951" s="692" t="n"/>
      <c r="J951" s="692" t="n"/>
      <c r="K951" s="692" t="n"/>
      <c r="L951" s="692" t="n"/>
      <c r="M951" s="692" t="n"/>
      <c r="N951" s="692" t="n"/>
      <c r="O951" s="692" t="n"/>
      <c r="P951" s="692" t="n"/>
      <c r="Q951" s="692" t="n"/>
      <c r="R951" s="692" t="n"/>
      <c r="S951" s="692" t="n"/>
      <c r="T951" s="692" t="n"/>
      <c r="U951" s="692" t="n"/>
      <c r="V951" s="692" t="n"/>
      <c r="W951" s="692" t="n"/>
    </row>
    <row r="952">
      <c r="A952" s="692" t="n"/>
      <c r="B952" s="692" t="n"/>
      <c r="C952" s="692" t="n"/>
      <c r="D952" s="692" t="n"/>
      <c r="E952" s="692" t="n"/>
      <c r="F952" s="692" t="n"/>
      <c r="G952" s="692" t="n"/>
      <c r="H952" s="692" t="n"/>
      <c r="I952" s="692" t="n"/>
      <c r="J952" s="692" t="n"/>
      <c r="K952" s="692" t="n"/>
      <c r="L952" s="692" t="n"/>
      <c r="M952" s="692" t="n"/>
      <c r="N952" s="692" t="n"/>
      <c r="O952" s="692" t="n"/>
      <c r="P952" s="692" t="n"/>
      <c r="Q952" s="692" t="n"/>
      <c r="R952" s="692" t="n"/>
      <c r="S952" s="692" t="n"/>
      <c r="T952" s="692" t="n"/>
      <c r="U952" s="692" t="n"/>
      <c r="V952" s="692" t="n"/>
      <c r="W952" s="692" t="n"/>
    </row>
    <row r="953">
      <c r="A953" s="692" t="n"/>
      <c r="B953" s="692" t="n"/>
      <c r="C953" s="692" t="n"/>
      <c r="D953" s="692" t="n"/>
      <c r="E953" s="692" t="n"/>
      <c r="F953" s="692" t="n"/>
      <c r="G953" s="692" t="n"/>
      <c r="H953" s="692" t="n"/>
      <c r="I953" s="692" t="n"/>
      <c r="J953" s="692" t="n"/>
      <c r="K953" s="692" t="n"/>
      <c r="L953" s="692" t="n"/>
      <c r="M953" s="692" t="n"/>
      <c r="N953" s="692" t="n"/>
      <c r="O953" s="692" t="n"/>
      <c r="P953" s="692" t="n"/>
      <c r="Q953" s="692" t="n"/>
      <c r="R953" s="692" t="n"/>
      <c r="S953" s="692" t="n"/>
      <c r="T953" s="692" t="n"/>
      <c r="U953" s="692" t="n"/>
      <c r="V953" s="692" t="n"/>
      <c r="W953" s="692" t="n"/>
    </row>
    <row r="954">
      <c r="A954" s="692" t="n"/>
      <c r="B954" s="692" t="n"/>
      <c r="C954" s="692" t="n"/>
      <c r="D954" s="692" t="n"/>
      <c r="E954" s="692" t="n"/>
      <c r="F954" s="692" t="n"/>
      <c r="G954" s="692" t="n"/>
      <c r="H954" s="692" t="n"/>
      <c r="I954" s="692" t="n"/>
      <c r="J954" s="692" t="n"/>
      <c r="K954" s="692" t="n"/>
      <c r="L954" s="692" t="n"/>
      <c r="M954" s="692" t="n"/>
      <c r="N954" s="692" t="n"/>
      <c r="O954" s="692" t="n"/>
      <c r="P954" s="692" t="n"/>
      <c r="Q954" s="692" t="n"/>
      <c r="R954" s="692" t="n"/>
      <c r="S954" s="692" t="n"/>
      <c r="T954" s="692" t="n"/>
      <c r="U954" s="692" t="n"/>
      <c r="V954" s="692" t="n"/>
      <c r="W954" s="692" t="n"/>
    </row>
    <row r="955">
      <c r="A955" s="692" t="n"/>
      <c r="B955" s="692" t="n"/>
      <c r="C955" s="692" t="n"/>
      <c r="D955" s="692" t="n"/>
      <c r="E955" s="692" t="n"/>
      <c r="F955" s="692" t="n"/>
      <c r="G955" s="692" t="n"/>
      <c r="H955" s="692" t="n"/>
      <c r="I955" s="692" t="n"/>
      <c r="J955" s="692" t="n"/>
      <c r="K955" s="692" t="n"/>
      <c r="L955" s="692" t="n"/>
      <c r="M955" s="692" t="n"/>
      <c r="N955" s="692" t="n"/>
      <c r="O955" s="692" t="n"/>
      <c r="P955" s="692" t="n"/>
      <c r="Q955" s="692" t="n"/>
      <c r="R955" s="692" t="n"/>
      <c r="S955" s="692" t="n"/>
      <c r="T955" s="692" t="n"/>
      <c r="U955" s="692" t="n"/>
      <c r="V955" s="692" t="n"/>
      <c r="W955" s="692" t="n"/>
    </row>
    <row r="956">
      <c r="A956" s="692" t="n"/>
      <c r="B956" s="692" t="n"/>
      <c r="C956" s="692" t="n"/>
      <c r="D956" s="692" t="n"/>
      <c r="E956" s="692" t="n"/>
      <c r="F956" s="692" t="n"/>
      <c r="G956" s="692" t="n"/>
      <c r="H956" s="692" t="n"/>
      <c r="I956" s="692" t="n"/>
      <c r="J956" s="692" t="n"/>
      <c r="K956" s="692" t="n"/>
      <c r="L956" s="692" t="n"/>
      <c r="M956" s="692" t="n"/>
      <c r="N956" s="692" t="n"/>
      <c r="O956" s="692" t="n"/>
      <c r="P956" s="692" t="n"/>
      <c r="Q956" s="692" t="n"/>
      <c r="R956" s="692" t="n"/>
      <c r="S956" s="692" t="n"/>
      <c r="T956" s="692" t="n"/>
      <c r="U956" s="692" t="n"/>
      <c r="V956" s="692" t="n"/>
      <c r="W956" s="692" t="n"/>
    </row>
    <row r="957">
      <c r="A957" s="692" t="n"/>
      <c r="B957" s="692" t="n"/>
      <c r="C957" s="692" t="n"/>
      <c r="D957" s="692" t="n"/>
      <c r="E957" s="692" t="n"/>
      <c r="F957" s="692" t="n"/>
      <c r="G957" s="692" t="n"/>
      <c r="H957" s="692" t="n"/>
      <c r="I957" s="692" t="n"/>
      <c r="J957" s="692" t="n"/>
      <c r="K957" s="692" t="n"/>
      <c r="L957" s="692" t="n"/>
      <c r="M957" s="692" t="n"/>
      <c r="N957" s="692" t="n"/>
      <c r="O957" s="692" t="n"/>
      <c r="P957" s="692" t="n"/>
      <c r="Q957" s="692" t="n"/>
      <c r="R957" s="692" t="n"/>
      <c r="S957" s="692" t="n"/>
      <c r="T957" s="692" t="n"/>
      <c r="U957" s="692" t="n"/>
      <c r="V957" s="692" t="n"/>
      <c r="W957" s="692" t="n"/>
    </row>
    <row r="958">
      <c r="A958" s="692" t="n"/>
      <c r="B958" s="692" t="n"/>
      <c r="C958" s="692" t="n"/>
      <c r="D958" s="692" t="n"/>
      <c r="E958" s="692" t="n"/>
      <c r="F958" s="692" t="n"/>
      <c r="G958" s="692" t="n"/>
      <c r="H958" s="692" t="n"/>
      <c r="I958" s="692" t="n"/>
      <c r="J958" s="692" t="n"/>
      <c r="K958" s="692" t="n"/>
      <c r="L958" s="692" t="n"/>
      <c r="M958" s="692" t="n"/>
      <c r="N958" s="692" t="n"/>
      <c r="O958" s="692" t="n"/>
      <c r="P958" s="692" t="n"/>
      <c r="Q958" s="692" t="n"/>
      <c r="R958" s="692" t="n"/>
      <c r="S958" s="692" t="n"/>
      <c r="T958" s="692" t="n"/>
      <c r="U958" s="692" t="n"/>
      <c r="V958" s="692" t="n"/>
      <c r="W958" s="692" t="n"/>
    </row>
    <row r="959">
      <c r="A959" s="692" t="n"/>
      <c r="B959" s="692" t="n"/>
      <c r="C959" s="692" t="n"/>
      <c r="D959" s="692" t="n"/>
      <c r="E959" s="692" t="n"/>
      <c r="F959" s="692" t="n"/>
      <c r="G959" s="692" t="n"/>
      <c r="H959" s="692" t="n"/>
      <c r="I959" s="692" t="n"/>
      <c r="J959" s="692" t="n"/>
      <c r="K959" s="692" t="n"/>
      <c r="L959" s="692" t="n"/>
      <c r="M959" s="692" t="n"/>
      <c r="N959" s="692" t="n"/>
      <c r="O959" s="692" t="n"/>
      <c r="P959" s="692" t="n"/>
      <c r="Q959" s="692" t="n"/>
      <c r="R959" s="692" t="n"/>
      <c r="S959" s="692" t="n"/>
      <c r="T959" s="692" t="n"/>
      <c r="U959" s="692" t="n"/>
      <c r="V959" s="692" t="n"/>
      <c r="W959" s="692" t="n"/>
    </row>
    <row r="960">
      <c r="A960" s="692" t="n"/>
      <c r="B960" s="692" t="n"/>
      <c r="C960" s="692" t="n"/>
      <c r="D960" s="692" t="n"/>
      <c r="E960" s="692" t="n"/>
      <c r="F960" s="692" t="n"/>
      <c r="G960" s="692" t="n"/>
      <c r="H960" s="692" t="n"/>
      <c r="I960" s="692" t="n"/>
      <c r="J960" s="692" t="n"/>
      <c r="K960" s="692" t="n"/>
      <c r="L960" s="692" t="n"/>
      <c r="M960" s="692" t="n"/>
      <c r="N960" s="692" t="n"/>
      <c r="O960" s="692" t="n"/>
      <c r="P960" s="692" t="n"/>
      <c r="Q960" s="692" t="n"/>
      <c r="R960" s="692" t="n"/>
      <c r="S960" s="692" t="n"/>
      <c r="T960" s="692" t="n"/>
      <c r="U960" s="692" t="n"/>
      <c r="V960" s="692" t="n"/>
      <c r="W960" s="692" t="n"/>
    </row>
    <row r="961">
      <c r="A961" s="692" t="n"/>
      <c r="B961" s="692" t="n"/>
      <c r="C961" s="692" t="n"/>
      <c r="D961" s="692" t="n"/>
      <c r="E961" s="692" t="n"/>
      <c r="F961" s="692" t="n"/>
      <c r="G961" s="692" t="n"/>
      <c r="H961" s="692" t="n"/>
      <c r="I961" s="692" t="n"/>
      <c r="J961" s="692" t="n"/>
      <c r="K961" s="692" t="n"/>
      <c r="L961" s="692" t="n"/>
      <c r="M961" s="692" t="n"/>
      <c r="N961" s="692" t="n"/>
      <c r="O961" s="692" t="n"/>
      <c r="P961" s="692" t="n"/>
      <c r="Q961" s="692" t="n"/>
      <c r="R961" s="692" t="n"/>
      <c r="S961" s="692" t="n"/>
      <c r="T961" s="692" t="n"/>
      <c r="U961" s="692" t="n"/>
      <c r="V961" s="692" t="n"/>
      <c r="W961" s="692" t="n"/>
    </row>
    <row r="962">
      <c r="A962" s="692" t="n"/>
      <c r="B962" s="692" t="n"/>
      <c r="C962" s="692" t="n"/>
      <c r="D962" s="692" t="n"/>
      <c r="E962" s="692" t="n"/>
      <c r="F962" s="692" t="n"/>
      <c r="G962" s="692" t="n"/>
      <c r="H962" s="692" t="n"/>
      <c r="I962" s="692" t="n"/>
      <c r="J962" s="692" t="n"/>
      <c r="K962" s="692" t="n"/>
      <c r="L962" s="692" t="n"/>
      <c r="M962" s="692" t="n"/>
      <c r="N962" s="692" t="n"/>
      <c r="O962" s="692" t="n"/>
      <c r="P962" s="692" t="n"/>
      <c r="Q962" s="692" t="n"/>
      <c r="R962" s="692" t="n"/>
      <c r="S962" s="692" t="n"/>
      <c r="T962" s="692" t="n"/>
      <c r="U962" s="692" t="n"/>
      <c r="V962" s="692" t="n"/>
      <c r="W962" s="692" t="n"/>
    </row>
    <row r="963">
      <c r="A963" s="692" t="n"/>
      <c r="B963" s="692" t="n"/>
      <c r="C963" s="692" t="n"/>
      <c r="D963" s="692" t="n"/>
      <c r="E963" s="692" t="n"/>
      <c r="F963" s="692" t="n"/>
      <c r="G963" s="692" t="n"/>
      <c r="H963" s="692" t="n"/>
      <c r="I963" s="692" t="n"/>
      <c r="J963" s="692" t="n"/>
      <c r="K963" s="692" t="n"/>
      <c r="L963" s="692" t="n"/>
      <c r="M963" s="692" t="n"/>
      <c r="N963" s="692" t="n"/>
      <c r="O963" s="692" t="n"/>
      <c r="P963" s="692" t="n"/>
      <c r="Q963" s="692" t="n"/>
      <c r="R963" s="692" t="n"/>
      <c r="S963" s="692" t="n"/>
      <c r="T963" s="692" t="n"/>
      <c r="U963" s="692" t="n"/>
      <c r="V963" s="692" t="n"/>
      <c r="W963" s="692" t="n"/>
    </row>
    <row r="964">
      <c r="A964" s="692" t="n"/>
      <c r="B964" s="692" t="n"/>
      <c r="C964" s="692" t="n"/>
      <c r="D964" s="692" t="n"/>
      <c r="E964" s="692" t="n"/>
      <c r="F964" s="692" t="n"/>
      <c r="G964" s="692" t="n"/>
      <c r="H964" s="692" t="n"/>
      <c r="I964" s="692" t="n"/>
      <c r="J964" s="692" t="n"/>
      <c r="K964" s="692" t="n"/>
      <c r="L964" s="692" t="n"/>
      <c r="M964" s="692" t="n"/>
      <c r="N964" s="692" t="n"/>
      <c r="O964" s="692" t="n"/>
      <c r="P964" s="692" t="n"/>
      <c r="Q964" s="692" t="n"/>
      <c r="R964" s="692" t="n"/>
      <c r="S964" s="692" t="n"/>
      <c r="T964" s="692" t="n"/>
      <c r="U964" s="692" t="n"/>
      <c r="V964" s="692" t="n"/>
      <c r="W964" s="692" t="n"/>
    </row>
    <row r="965">
      <c r="A965" s="692" t="n"/>
      <c r="B965" s="692" t="n"/>
      <c r="C965" s="692" t="n"/>
      <c r="D965" s="692" t="n"/>
      <c r="E965" s="692" t="n"/>
      <c r="F965" s="692" t="n"/>
      <c r="G965" s="692" t="n"/>
      <c r="H965" s="692" t="n"/>
      <c r="I965" s="692" t="n"/>
      <c r="J965" s="692" t="n"/>
      <c r="K965" s="692" t="n"/>
      <c r="L965" s="692" t="n"/>
      <c r="M965" s="692" t="n"/>
      <c r="N965" s="692" t="n"/>
      <c r="O965" s="692" t="n"/>
      <c r="P965" s="692" t="n"/>
      <c r="Q965" s="692" t="n"/>
      <c r="R965" s="692" t="n"/>
      <c r="S965" s="692" t="n"/>
      <c r="T965" s="692" t="n"/>
      <c r="U965" s="692" t="n"/>
      <c r="V965" s="692" t="n"/>
      <c r="W965" s="692" t="n"/>
    </row>
    <row r="966">
      <c r="A966" s="692" t="n"/>
      <c r="B966" s="692" t="n"/>
      <c r="C966" s="692" t="n"/>
      <c r="D966" s="692" t="n"/>
      <c r="E966" s="692" t="n"/>
      <c r="F966" s="692" t="n"/>
      <c r="G966" s="692" t="n"/>
      <c r="H966" s="692" t="n"/>
      <c r="I966" s="692" t="n"/>
      <c r="J966" s="692" t="n"/>
      <c r="K966" s="692" t="n"/>
      <c r="L966" s="692" t="n"/>
      <c r="M966" s="692" t="n"/>
      <c r="N966" s="692" t="n"/>
      <c r="O966" s="692" t="n"/>
      <c r="P966" s="692" t="n"/>
      <c r="Q966" s="692" t="n"/>
      <c r="R966" s="692" t="n"/>
      <c r="S966" s="692" t="n"/>
      <c r="T966" s="692" t="n"/>
      <c r="U966" s="692" t="n"/>
      <c r="V966" s="692" t="n"/>
      <c r="W966" s="692" t="n"/>
    </row>
    <row r="967">
      <c r="A967" s="692" t="n"/>
      <c r="B967" s="692" t="n"/>
      <c r="C967" s="692" t="n"/>
      <c r="D967" s="692" t="n"/>
      <c r="E967" s="692" t="n"/>
      <c r="F967" s="692" t="n"/>
      <c r="G967" s="692" t="n"/>
      <c r="H967" s="692" t="n"/>
      <c r="I967" s="692" t="n"/>
      <c r="J967" s="692" t="n"/>
      <c r="K967" s="692" t="n"/>
      <c r="L967" s="692" t="n"/>
      <c r="M967" s="692" t="n"/>
      <c r="N967" s="692" t="n"/>
      <c r="O967" s="692" t="n"/>
      <c r="P967" s="692" t="n"/>
      <c r="Q967" s="692" t="n"/>
      <c r="R967" s="692" t="n"/>
      <c r="S967" s="692" t="n"/>
      <c r="T967" s="692" t="n"/>
      <c r="U967" s="692" t="n"/>
      <c r="V967" s="692" t="n"/>
      <c r="W967" s="692" t="n"/>
    </row>
    <row r="968">
      <c r="A968" s="692" t="n"/>
      <c r="B968" s="692" t="n"/>
      <c r="C968" s="692" t="n"/>
      <c r="D968" s="692" t="n"/>
      <c r="E968" s="692" t="n"/>
      <c r="F968" s="692" t="n"/>
      <c r="G968" s="692" t="n"/>
      <c r="H968" s="692" t="n"/>
      <c r="I968" s="692" t="n"/>
      <c r="J968" s="692" t="n"/>
      <c r="K968" s="692" t="n"/>
      <c r="L968" s="692" t="n"/>
      <c r="M968" s="692" t="n"/>
      <c r="N968" s="692" t="n"/>
      <c r="O968" s="692" t="n"/>
      <c r="P968" s="692" t="n"/>
      <c r="Q968" s="692" t="n"/>
      <c r="R968" s="692" t="n"/>
      <c r="S968" s="692" t="n"/>
      <c r="T968" s="692" t="n"/>
      <c r="U968" s="692" t="n"/>
      <c r="V968" s="692" t="n"/>
      <c r="W968" s="692" t="n"/>
    </row>
    <row r="969">
      <c r="A969" s="692" t="n"/>
      <c r="B969" s="692" t="n"/>
      <c r="C969" s="692" t="n"/>
      <c r="D969" s="692" t="n"/>
      <c r="E969" s="692" t="n"/>
      <c r="F969" s="692" t="n"/>
      <c r="G969" s="692" t="n"/>
      <c r="H969" s="692" t="n"/>
      <c r="I969" s="692" t="n"/>
      <c r="J969" s="692" t="n"/>
      <c r="K969" s="692" t="n"/>
      <c r="L969" s="692" t="n"/>
      <c r="M969" s="692" t="n"/>
      <c r="N969" s="692" t="n"/>
      <c r="O969" s="692" t="n"/>
      <c r="P969" s="692" t="n"/>
      <c r="Q969" s="692" t="n"/>
      <c r="R969" s="692" t="n"/>
      <c r="S969" s="692" t="n"/>
      <c r="T969" s="692" t="n"/>
      <c r="U969" s="692" t="n"/>
      <c r="V969" s="692" t="n"/>
      <c r="W969" s="692" t="n"/>
    </row>
    <row r="970">
      <c r="A970" s="692" t="n"/>
      <c r="B970" s="692" t="n"/>
      <c r="C970" s="692" t="n"/>
      <c r="D970" s="692" t="n"/>
      <c r="E970" s="692" t="n"/>
      <c r="F970" s="692" t="n"/>
      <c r="G970" s="692" t="n"/>
      <c r="H970" s="692" t="n"/>
      <c r="I970" s="692" t="n"/>
      <c r="J970" s="692" t="n"/>
      <c r="K970" s="692" t="n"/>
      <c r="L970" s="692" t="n"/>
      <c r="M970" s="692" t="n"/>
      <c r="N970" s="692" t="n"/>
      <c r="O970" s="692" t="n"/>
      <c r="P970" s="692" t="n"/>
      <c r="Q970" s="692" t="n"/>
      <c r="R970" s="692" t="n"/>
      <c r="S970" s="692" t="n"/>
      <c r="T970" s="692" t="n"/>
      <c r="U970" s="692" t="n"/>
      <c r="V970" s="692" t="n"/>
      <c r="W970" s="692" t="n"/>
    </row>
    <row r="971">
      <c r="A971" s="692" t="n"/>
      <c r="B971" s="692" t="n"/>
      <c r="C971" s="692" t="n"/>
      <c r="D971" s="692" t="n"/>
      <c r="E971" s="692" t="n"/>
      <c r="F971" s="692" t="n"/>
      <c r="G971" s="692" t="n"/>
      <c r="H971" s="692" t="n"/>
      <c r="I971" s="692" t="n"/>
      <c r="J971" s="692" t="n"/>
      <c r="K971" s="692" t="n"/>
      <c r="L971" s="692" t="n"/>
      <c r="M971" s="692" t="n"/>
      <c r="N971" s="692" t="n"/>
      <c r="O971" s="692" t="n"/>
      <c r="P971" s="692" t="n"/>
      <c r="Q971" s="692" t="n"/>
      <c r="R971" s="692" t="n"/>
      <c r="S971" s="692" t="n"/>
      <c r="T971" s="692" t="n"/>
      <c r="U971" s="692" t="n"/>
      <c r="V971" s="692" t="n"/>
      <c r="W971" s="692" t="n"/>
    </row>
    <row r="972">
      <c r="A972" s="692" t="n"/>
      <c r="B972" s="692" t="n"/>
      <c r="C972" s="692" t="n"/>
      <c r="D972" s="692" t="n"/>
      <c r="E972" s="692" t="n"/>
      <c r="F972" s="692" t="n"/>
      <c r="G972" s="692" t="n"/>
      <c r="H972" s="692" t="n"/>
      <c r="I972" s="692" t="n"/>
      <c r="J972" s="692" t="n"/>
      <c r="K972" s="692" t="n"/>
      <c r="L972" s="692" t="n"/>
      <c r="M972" s="692" t="n"/>
      <c r="N972" s="692" t="n"/>
      <c r="O972" s="692" t="n"/>
      <c r="P972" s="692" t="n"/>
      <c r="Q972" s="692" t="n"/>
      <c r="R972" s="692" t="n"/>
      <c r="S972" s="692" t="n"/>
      <c r="T972" s="692" t="n"/>
      <c r="U972" s="692" t="n"/>
      <c r="V972" s="692" t="n"/>
      <c r="W972" s="692" t="n"/>
    </row>
    <row r="973">
      <c r="A973" s="692" t="n"/>
      <c r="B973" s="692" t="n"/>
      <c r="C973" s="692" t="n"/>
      <c r="D973" s="692" t="n"/>
      <c r="E973" s="692" t="n"/>
      <c r="F973" s="692" t="n"/>
      <c r="G973" s="692" t="n"/>
      <c r="H973" s="692" t="n"/>
      <c r="I973" s="692" t="n"/>
      <c r="J973" s="692" t="n"/>
      <c r="K973" s="692" t="n"/>
      <c r="L973" s="692" t="n"/>
      <c r="M973" s="692" t="n"/>
      <c r="N973" s="692" t="n"/>
      <c r="O973" s="692" t="n"/>
      <c r="P973" s="692" t="n"/>
      <c r="Q973" s="692" t="n"/>
      <c r="R973" s="692" t="n"/>
      <c r="S973" s="692" t="n"/>
      <c r="T973" s="692" t="n"/>
      <c r="U973" s="692" t="n"/>
      <c r="V973" s="692" t="n"/>
      <c r="W973" s="692" t="n"/>
    </row>
    <row r="974">
      <c r="A974" s="692" t="n"/>
      <c r="B974" s="692" t="n"/>
      <c r="C974" s="692" t="n"/>
      <c r="D974" s="692" t="n"/>
      <c r="E974" s="692" t="n"/>
      <c r="F974" s="692" t="n"/>
      <c r="G974" s="692" t="n"/>
      <c r="H974" s="692" t="n"/>
      <c r="I974" s="692" t="n"/>
      <c r="J974" s="692" t="n"/>
      <c r="K974" s="692" t="n"/>
      <c r="L974" s="692" t="n"/>
      <c r="M974" s="692" t="n"/>
      <c r="N974" s="692" t="n"/>
      <c r="O974" s="692" t="n"/>
      <c r="P974" s="692" t="n"/>
      <c r="Q974" s="692" t="n"/>
      <c r="R974" s="692" t="n"/>
      <c r="S974" s="692" t="n"/>
      <c r="T974" s="692" t="n"/>
      <c r="U974" s="692" t="n"/>
      <c r="V974" s="692" t="n"/>
      <c r="W974" s="692" t="n"/>
    </row>
    <row r="975">
      <c r="A975" s="692" t="n"/>
      <c r="B975" s="692" t="n"/>
      <c r="C975" s="692" t="n"/>
      <c r="D975" s="692" t="n"/>
      <c r="E975" s="692" t="n"/>
      <c r="F975" s="692" t="n"/>
      <c r="G975" s="692" t="n"/>
      <c r="H975" s="692" t="n"/>
      <c r="I975" s="692" t="n"/>
      <c r="J975" s="692" t="n"/>
      <c r="K975" s="692" t="n"/>
      <c r="L975" s="692" t="n"/>
      <c r="M975" s="692" t="n"/>
      <c r="N975" s="692" t="n"/>
      <c r="O975" s="692" t="n"/>
      <c r="P975" s="692" t="n"/>
      <c r="Q975" s="692" t="n"/>
      <c r="R975" s="692" t="n"/>
      <c r="S975" s="692" t="n"/>
      <c r="T975" s="692" t="n"/>
      <c r="U975" s="692" t="n"/>
      <c r="V975" s="692" t="n"/>
      <c r="W975" s="692" t="n"/>
    </row>
    <row r="976">
      <c r="A976" s="692" t="n"/>
      <c r="B976" s="692" t="n"/>
      <c r="C976" s="692" t="n"/>
      <c r="D976" s="692" t="n"/>
      <c r="E976" s="692" t="n"/>
      <c r="F976" s="692" t="n"/>
      <c r="G976" s="692" t="n"/>
      <c r="H976" s="692" t="n"/>
      <c r="I976" s="692" t="n"/>
      <c r="J976" s="692" t="n"/>
      <c r="K976" s="692" t="n"/>
      <c r="L976" s="692" t="n"/>
      <c r="M976" s="692" t="n"/>
      <c r="N976" s="692" t="n"/>
      <c r="O976" s="692" t="n"/>
      <c r="P976" s="692" t="n"/>
      <c r="Q976" s="692" t="n"/>
      <c r="R976" s="692" t="n"/>
      <c r="S976" s="692" t="n"/>
      <c r="T976" s="692" t="n"/>
      <c r="U976" s="692" t="n"/>
      <c r="V976" s="692" t="n"/>
      <c r="W976" s="692" t="n"/>
    </row>
    <row r="977">
      <c r="A977" s="692" t="n"/>
      <c r="B977" s="692" t="n"/>
      <c r="C977" s="692" t="n"/>
      <c r="D977" s="692" t="n"/>
      <c r="E977" s="692" t="n"/>
      <c r="F977" s="692" t="n"/>
      <c r="G977" s="692" t="n"/>
      <c r="H977" s="692" t="n"/>
      <c r="I977" s="692" t="n"/>
      <c r="J977" s="692" t="n"/>
      <c r="K977" s="692" t="n"/>
      <c r="L977" s="692" t="n"/>
      <c r="M977" s="692" t="n"/>
      <c r="N977" s="692" t="n"/>
      <c r="O977" s="692" t="n"/>
      <c r="P977" s="692" t="n"/>
      <c r="Q977" s="692" t="n"/>
      <c r="R977" s="692" t="n"/>
      <c r="S977" s="692" t="n"/>
      <c r="T977" s="692" t="n"/>
      <c r="U977" s="692" t="n"/>
      <c r="V977" s="692" t="n"/>
      <c r="W977" s="692" t="n"/>
    </row>
    <row r="978">
      <c r="A978" s="692" t="n"/>
      <c r="B978" s="692" t="n"/>
      <c r="C978" s="692" t="n"/>
      <c r="D978" s="692" t="n"/>
      <c r="E978" s="692" t="n"/>
      <c r="F978" s="692" t="n"/>
      <c r="G978" s="692" t="n"/>
      <c r="H978" s="692" t="n"/>
      <c r="I978" s="692" t="n"/>
      <c r="J978" s="692" t="n"/>
      <c r="K978" s="692" t="n"/>
      <c r="L978" s="692" t="n"/>
      <c r="M978" s="692" t="n"/>
      <c r="N978" s="692" t="n"/>
      <c r="O978" s="692" t="n"/>
      <c r="P978" s="692" t="n"/>
      <c r="Q978" s="692" t="n"/>
      <c r="R978" s="692" t="n"/>
      <c r="S978" s="692" t="n"/>
      <c r="T978" s="692" t="n"/>
      <c r="U978" s="692" t="n"/>
      <c r="V978" s="692" t="n"/>
      <c r="W978" s="692" t="n"/>
    </row>
    <row r="979">
      <c r="A979" s="692" t="n"/>
      <c r="B979" s="692" t="n"/>
      <c r="C979" s="692" t="n"/>
      <c r="D979" s="692" t="n"/>
      <c r="E979" s="692" t="n"/>
      <c r="F979" s="692" t="n"/>
      <c r="G979" s="692" t="n"/>
      <c r="H979" s="692" t="n"/>
      <c r="I979" s="692" t="n"/>
      <c r="J979" s="692" t="n"/>
      <c r="K979" s="692" t="n"/>
      <c r="L979" s="692" t="n"/>
      <c r="M979" s="692" t="n"/>
      <c r="N979" s="692" t="n"/>
      <c r="O979" s="692" t="n"/>
      <c r="P979" s="692" t="n"/>
      <c r="Q979" s="692" t="n"/>
      <c r="R979" s="692" t="n"/>
      <c r="S979" s="692" t="n"/>
      <c r="T979" s="692" t="n"/>
      <c r="U979" s="692" t="n"/>
      <c r="V979" s="692" t="n"/>
      <c r="W979" s="692" t="n"/>
    </row>
    <row r="980">
      <c r="A980" s="692" t="n"/>
      <c r="B980" s="692" t="n"/>
      <c r="C980" s="692" t="n"/>
      <c r="D980" s="692" t="n"/>
      <c r="E980" s="692" t="n"/>
      <c r="F980" s="692" t="n"/>
      <c r="G980" s="692" t="n"/>
      <c r="H980" s="692" t="n"/>
      <c r="I980" s="692" t="n"/>
      <c r="J980" s="692" t="n"/>
      <c r="K980" s="692" t="n"/>
      <c r="L980" s="692" t="n"/>
      <c r="M980" s="692" t="n"/>
      <c r="N980" s="692" t="n"/>
      <c r="O980" s="692" t="n"/>
      <c r="P980" s="692" t="n"/>
      <c r="Q980" s="692" t="n"/>
      <c r="R980" s="692" t="n"/>
      <c r="S980" s="692" t="n"/>
      <c r="T980" s="692" t="n"/>
      <c r="U980" s="692" t="n"/>
      <c r="V980" s="692" t="n"/>
      <c r="W980" s="692" t="n"/>
    </row>
    <row r="981">
      <c r="A981" s="692" t="n"/>
      <c r="B981" s="692" t="n"/>
      <c r="C981" s="692" t="n"/>
      <c r="D981" s="692" t="n"/>
      <c r="E981" s="692" t="n"/>
      <c r="F981" s="692" t="n"/>
      <c r="G981" s="692" t="n"/>
      <c r="H981" s="692" t="n"/>
      <c r="I981" s="692" t="n"/>
      <c r="J981" s="692" t="n"/>
      <c r="K981" s="692" t="n"/>
      <c r="L981" s="692" t="n"/>
      <c r="M981" s="692" t="n"/>
      <c r="N981" s="692" t="n"/>
      <c r="O981" s="692" t="n"/>
      <c r="P981" s="692" t="n"/>
      <c r="Q981" s="692" t="n"/>
      <c r="R981" s="692" t="n"/>
      <c r="S981" s="692" t="n"/>
      <c r="T981" s="692" t="n"/>
      <c r="U981" s="692" t="n"/>
      <c r="V981" s="692" t="n"/>
      <c r="W981" s="692" t="n"/>
    </row>
    <row r="982">
      <c r="A982" s="692" t="n"/>
      <c r="B982" s="692" t="n"/>
      <c r="C982" s="692" t="n"/>
      <c r="D982" s="692" t="n"/>
      <c r="E982" s="692" t="n"/>
      <c r="F982" s="692" t="n"/>
      <c r="G982" s="692" t="n"/>
      <c r="H982" s="692" t="n"/>
      <c r="I982" s="692" t="n"/>
      <c r="J982" s="692" t="n"/>
      <c r="K982" s="692" t="n"/>
      <c r="L982" s="692" t="n"/>
      <c r="M982" s="692" t="n"/>
      <c r="N982" s="692" t="n"/>
      <c r="O982" s="692" t="n"/>
      <c r="P982" s="692" t="n"/>
      <c r="Q982" s="692" t="n"/>
      <c r="R982" s="692" t="n"/>
      <c r="S982" s="692" t="n"/>
      <c r="T982" s="692" t="n"/>
      <c r="U982" s="692" t="n"/>
      <c r="V982" s="692" t="n"/>
      <c r="W982" s="692" t="n"/>
    </row>
    <row r="983">
      <c r="A983" s="692" t="n"/>
      <c r="B983" s="692" t="n"/>
      <c r="C983" s="692" t="n"/>
      <c r="D983" s="692" t="n"/>
      <c r="E983" s="692" t="n"/>
      <c r="F983" s="692" t="n"/>
      <c r="G983" s="692" t="n"/>
      <c r="H983" s="692" t="n"/>
      <c r="I983" s="692" t="n"/>
      <c r="J983" s="692" t="n"/>
      <c r="K983" s="692" t="n"/>
      <c r="L983" s="692" t="n"/>
      <c r="M983" s="692" t="n"/>
      <c r="N983" s="692" t="n"/>
      <c r="O983" s="692" t="n"/>
      <c r="P983" s="692" t="n"/>
      <c r="Q983" s="692" t="n"/>
      <c r="R983" s="692" t="n"/>
      <c r="S983" s="692" t="n"/>
      <c r="T983" s="692" t="n"/>
      <c r="U983" s="692" t="n"/>
      <c r="V983" s="692" t="n"/>
      <c r="W983" s="692" t="n"/>
    </row>
    <row r="984">
      <c r="A984" s="692" t="n"/>
      <c r="B984" s="692" t="n"/>
      <c r="C984" s="692" t="n"/>
      <c r="D984" s="692" t="n"/>
      <c r="E984" s="692" t="n"/>
      <c r="F984" s="692" t="n"/>
      <c r="G984" s="692" t="n"/>
      <c r="H984" s="692" t="n"/>
      <c r="I984" s="692" t="n"/>
      <c r="J984" s="692" t="n"/>
      <c r="K984" s="692" t="n"/>
      <c r="L984" s="692" t="n"/>
      <c r="M984" s="692" t="n"/>
      <c r="N984" s="692" t="n"/>
      <c r="O984" s="692" t="n"/>
      <c r="P984" s="692" t="n"/>
      <c r="Q984" s="692" t="n"/>
      <c r="R984" s="692" t="n"/>
      <c r="S984" s="692" t="n"/>
      <c r="T984" s="692" t="n"/>
      <c r="U984" s="692" t="n"/>
      <c r="V984" s="692" t="n"/>
      <c r="W984" s="692" t="n"/>
    </row>
    <row r="985">
      <c r="B985" s="692" t="n"/>
      <c r="C985" s="692" t="n"/>
      <c r="D985" s="692" t="n"/>
      <c r="E985" s="692" t="n"/>
      <c r="F985" s="692" t="n"/>
      <c r="G985" s="692" t="n"/>
      <c r="H985" s="692" t="n"/>
      <c r="I985" s="692" t="n"/>
      <c r="J985" s="692" t="n"/>
      <c r="K985" s="692" t="n"/>
      <c r="L985" s="692" t="n"/>
      <c r="N985" s="692" t="n"/>
      <c r="O985" s="692" t="n"/>
      <c r="P985" s="692" t="n"/>
      <c r="Q985" s="692" t="n"/>
      <c r="R985" s="692" t="n"/>
      <c r="S985" s="692" t="n"/>
      <c r="T985" s="692" t="n"/>
      <c r="U985" s="692" t="n"/>
      <c r="V985" s="692" t="n"/>
      <c r="W985" s="692" t="n"/>
    </row>
    <row r="986">
      <c r="B986" s="692" t="n"/>
      <c r="C986" s="692" t="n"/>
      <c r="D986" s="692" t="n"/>
      <c r="E986" s="692" t="n"/>
      <c r="F986" s="692" t="n"/>
      <c r="G986" s="692" t="n"/>
      <c r="H986" s="692" t="n"/>
      <c r="I986" s="692" t="n"/>
      <c r="J986" s="692" t="n"/>
      <c r="K986" s="692" t="n"/>
      <c r="L986" s="692" t="n"/>
      <c r="N986" s="692" t="n"/>
      <c r="O986" s="692" t="n"/>
      <c r="P986" s="692" t="n"/>
      <c r="Q986" s="692" t="n"/>
      <c r="R986" s="692" t="n"/>
      <c r="S986" s="692" t="n"/>
      <c r="T986" s="692" t="n"/>
      <c r="U986" s="692" t="n"/>
      <c r="V986" s="692" t="n"/>
      <c r="W986" s="692" t="n"/>
    </row>
    <row r="987">
      <c r="B987" s="692" t="n"/>
      <c r="C987" s="692" t="n"/>
      <c r="D987" s="692" t="n"/>
      <c r="E987" s="692" t="n"/>
      <c r="H987" s="692" t="n"/>
      <c r="I987" s="692" t="n"/>
      <c r="J987" s="692" t="n"/>
      <c r="K987" s="692" t="n"/>
      <c r="N987" s="692" t="n"/>
      <c r="O987" s="692" t="n"/>
      <c r="P987" s="692" t="n"/>
      <c r="T987" s="692" t="n"/>
      <c r="U987" s="692" t="n"/>
      <c r="V987" s="692" t="n"/>
      <c r="W987" s="692" t="n"/>
    </row>
    <row r="988">
      <c r="B988" s="692" t="n"/>
      <c r="C988" s="692" t="n"/>
      <c r="D988" s="692" t="n"/>
      <c r="E988" s="692" t="n"/>
      <c r="H988" s="692" t="n"/>
      <c r="I988" s="692" t="n"/>
      <c r="J988" s="692" t="n"/>
      <c r="K988" s="692" t="n"/>
      <c r="N988" s="692" t="n"/>
      <c r="O988" s="692" t="n"/>
      <c r="P988" s="692" t="n"/>
      <c r="T988" s="692" t="n"/>
      <c r="U988" s="692" t="n"/>
      <c r="V988" s="692" t="n"/>
      <c r="W988" s="692" t="n"/>
    </row>
    <row r="989">
      <c r="B989" s="692" t="n"/>
      <c r="C989" s="692" t="n"/>
      <c r="D989" s="692" t="n"/>
      <c r="E989" s="692" t="n"/>
      <c r="H989" s="692" t="n"/>
      <c r="I989" s="692" t="n"/>
      <c r="J989" s="692" t="n"/>
      <c r="K989" s="692" t="n"/>
      <c r="N989" s="692" t="n"/>
      <c r="O989" s="692" t="n"/>
      <c r="P989" s="692" t="n"/>
      <c r="T989" s="692" t="n"/>
      <c r="U989" s="692" t="n"/>
      <c r="V989" s="692" t="n"/>
      <c r="W989" s="692" t="n"/>
    </row>
    <row r="990">
      <c r="B990" s="692" t="n"/>
      <c r="C990" s="692" t="n"/>
      <c r="D990" s="692" t="n"/>
      <c r="E990" s="692" t="n"/>
      <c r="H990" s="692" t="n"/>
      <c r="I990" s="692" t="n"/>
      <c r="J990" s="692" t="n"/>
      <c r="K990" s="692" t="n"/>
      <c r="N990" s="692" t="n"/>
      <c r="O990" s="692" t="n"/>
      <c r="P990" s="692" t="n"/>
      <c r="T990" s="692" t="n"/>
      <c r="U990" s="692" t="n"/>
      <c r="V990" s="692" t="n"/>
      <c r="W990" s="692" t="n"/>
    </row>
    <row r="991">
      <c r="B991" s="692" t="n"/>
      <c r="C991" s="692" t="n"/>
      <c r="D991" s="692" t="n"/>
      <c r="E991" s="692" t="n"/>
      <c r="H991" s="692" t="n"/>
      <c r="I991" s="692" t="n"/>
      <c r="J991" s="692" t="n"/>
      <c r="K991" s="692" t="n"/>
      <c r="N991" s="692" t="n"/>
      <c r="O991" s="692" t="n"/>
      <c r="P991" s="692" t="n"/>
      <c r="T991" s="692" t="n"/>
      <c r="U991" s="692" t="n"/>
      <c r="V991" s="692" t="n"/>
      <c r="W991" s="692" t="n"/>
    </row>
    <row r="992">
      <c r="B992" s="692" t="n"/>
      <c r="C992" s="692" t="n"/>
      <c r="D992" s="692" t="n"/>
      <c r="E992" s="692" t="n"/>
      <c r="H992" s="692" t="n"/>
      <c r="I992" s="692" t="n"/>
      <c r="J992" s="692" t="n"/>
      <c r="K992" s="692" t="n"/>
      <c r="N992" s="692" t="n"/>
      <c r="O992" s="692" t="n"/>
      <c r="P992" s="692" t="n"/>
      <c r="T992" s="692" t="n"/>
      <c r="U992" s="692" t="n"/>
      <c r="V992" s="692" t="n"/>
      <c r="W992" s="692" t="n"/>
    </row>
  </sheetData>
  <mergeCells count="6">
    <mergeCell ref="G1:K1"/>
    <mergeCell ref="N27:P27"/>
    <mergeCell ref="S1:W1"/>
    <mergeCell ref="H27:J27"/>
    <mergeCell ref="A1:E1"/>
    <mergeCell ref="M1:Q1"/>
  </mergeCells>
  <dataValidations count="1">
    <dataValidation sqref="D3:E18 I29:J44 J3:K18 O3:P18 U3:V18" showDropDown="1" showInputMessage="0" showErrorMessage="0" allowBlank="1" type="custom">
      <formula1>AND(ISNUMBER(D3),(NOT(OR(NOT(ISERROR(DATEVALUE(D3))), AND(ISNUMBER(D3), LEFT(CELL("format", D3))="D")))))</formula1>
    </dataValidation>
  </dataValidations>
  <pageMargins left="0.75" right="0.75" top="1" bottom="1" header="0.5" footer="0.5"/>
  <tableParts count="10">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s>
</worksheet>
</file>

<file path=xl/worksheets/sheet9.xml><?xml version="1.0" encoding="utf-8"?>
<worksheet xmlns="http://schemas.openxmlformats.org/spreadsheetml/2006/main">
  <sheetPr>
    <outlinePr summaryBelow="0" summaryRight="0"/>
    <pageSetUpPr/>
  </sheetPr>
  <dimension ref="A2:AH29"/>
  <sheetViews>
    <sheetView workbookViewId="0">
      <selection activeCell="A1" sqref="A1"/>
    </sheetView>
  </sheetViews>
  <sheetFormatPr baseColWidth="8" defaultColWidth="12.63" defaultRowHeight="15.75" customHeight="1"/>
  <cols>
    <col width="4.88" customWidth="1" style="763" min="1" max="1"/>
    <col width="10.25" customWidth="1" style="763" min="2" max="4"/>
    <col width="13.5" customWidth="1" style="763" min="34" max="34"/>
  </cols>
  <sheetData>
    <row r="1" ht="279.75" customHeight="1" s="763"/>
    <row r="2">
      <c r="O2" s="689" t="inlineStr">
        <is>
          <t>Entry Age:</t>
        </is>
      </c>
      <c r="P2" s="689" t="inlineStr">
        <is>
          <t>Youngest Canadian Track 1 age (data-driven relevancy)</t>
        </is>
      </c>
      <c r="T2" s="689" t="n">
        <v>16</v>
      </c>
    </row>
    <row r="3">
      <c r="A3" s="266" t="inlineStr">
        <is>
          <t>Age</t>
        </is>
      </c>
      <c r="B3" s="267" t="inlineStr">
        <is>
          <t>Track 1</t>
        </is>
      </c>
      <c r="C3" s="267" t="inlineStr">
        <is>
          <t>Track 2</t>
        </is>
      </c>
      <c r="D3" s="268" t="inlineStr">
        <is>
          <t>Track 3</t>
        </is>
      </c>
      <c r="G3" s="86" t="inlineStr">
        <is>
          <t>Age</t>
        </is>
      </c>
      <c r="H3" s="87" t="inlineStr">
        <is>
          <t>Track 1</t>
        </is>
      </c>
      <c r="I3" s="87" t="inlineStr">
        <is>
          <t>Track 1 Points</t>
        </is>
      </c>
      <c r="J3" s="87" t="inlineStr">
        <is>
          <t>Track 2</t>
        </is>
      </c>
      <c r="K3" s="87" t="inlineStr">
        <is>
          <t>Track 2 Points</t>
        </is>
      </c>
      <c r="L3" s="87" t="inlineStr">
        <is>
          <t>Track 3</t>
        </is>
      </c>
      <c r="M3" s="269" t="inlineStr">
        <is>
          <t>Track 3 Points</t>
        </is>
      </c>
      <c r="O3" s="689" t="inlineStr">
        <is>
          <t>Arrival Age:</t>
        </is>
      </c>
      <c r="P3" s="689" t="inlineStr">
        <is>
          <t>Truncated SEA Games average age across medalists for the past 3 Games</t>
        </is>
      </c>
      <c r="T3" s="689" t="n">
        <v>27</v>
      </c>
    </row>
    <row r="4">
      <c r="A4" s="270" t="n">
        <v>16</v>
      </c>
      <c r="B4" s="326" t="n">
        <v>25.66</v>
      </c>
      <c r="C4" s="326" t="n"/>
      <c r="D4" s="272" t="n"/>
      <c r="G4" s="273" t="n">
        <v>16</v>
      </c>
      <c r="H4" s="517" t="n">
        <v>25.66</v>
      </c>
      <c r="I4" s="599">
        <f>IFERROR(__xludf.DUMMYFUNCTION("LET(t, H4,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"),778.0)</f>
        <v/>
      </c>
      <c r="J4" s="517" t="n"/>
      <c r="K4" s="599" t="n"/>
      <c r="L4" s="517" t="n"/>
      <c r="M4" s="276" t="n"/>
      <c r="O4" s="689" t="inlineStr">
        <is>
          <t>Arrival Time:</t>
        </is>
      </c>
      <c r="P4" s="689" t="inlineStr">
        <is>
          <t>2025 SEA Games Bronze medal time</t>
        </is>
      </c>
      <c r="T4" s="689" t="n">
        <v>25.32</v>
      </c>
    </row>
    <row r="5">
      <c r="A5" s="277" t="n">
        <v>17</v>
      </c>
      <c r="B5" s="323" t="n">
        <v>25.4</v>
      </c>
      <c r="C5" s="323" t="n">
        <v>25.68</v>
      </c>
      <c r="D5" s="280" t="n"/>
      <c r="G5" s="281" t="n">
        <v>17</v>
      </c>
      <c r="H5" s="505" t="n">
        <v>25.4</v>
      </c>
      <c r="I5" s="672">
        <f>IFERROR(__xludf.DUMMYFUNCTION("LET(t, H5,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"),803.0)</f>
        <v/>
      </c>
      <c r="J5" s="505" t="n">
        <v>25.68</v>
      </c>
      <c r="K5" s="672">
        <f>IFERROR(__xludf.DUMMYFUNCTION("LET(t, J5,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"),777.0)</f>
        <v/>
      </c>
      <c r="L5" s="505" t="n"/>
      <c r="M5" s="285" t="n"/>
      <c r="O5" s="689" t="inlineStr">
        <is>
          <t>Create the tables with dummy data for this process so far...</t>
        </is>
      </c>
    </row>
    <row r="6">
      <c r="A6" s="270" t="n">
        <v>18</v>
      </c>
      <c r="B6" s="326" t="n">
        <v>25.2</v>
      </c>
      <c r="C6" s="326" t="n">
        <v>25.48</v>
      </c>
      <c r="D6" s="272" t="n">
        <v>25.64</v>
      </c>
      <c r="G6" s="273" t="n">
        <v>18</v>
      </c>
      <c r="H6" s="517" t="n">
        <v>25.2</v>
      </c>
      <c r="I6" s="599">
        <f>IFERROR(__xludf.DUMMYFUNCTION("LET(t, H6,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"),822.0)</f>
        <v/>
      </c>
      <c r="J6" s="517" t="n">
        <v>25.48</v>
      </c>
      <c r="K6" s="599">
        <f>IFERROR(__xludf.DUMMYFUNCTION("LET(t, J6,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"),795.0)</f>
        <v/>
      </c>
      <c r="L6" s="517" t="n">
        <v>25.64</v>
      </c>
      <c r="M6" s="276">
        <f>IFERROR(__xludf.DUMMYFUNCTION("LET(t, L6,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"),780.0)</f>
        <v/>
      </c>
      <c r="R6" s="291" t="inlineStr">
        <is>
          <t>Female 50 Free</t>
        </is>
      </c>
      <c r="S6" s="764" t="n"/>
      <c r="T6" s="764" t="n"/>
      <c r="U6" s="764" t="n"/>
      <c r="V6" s="765" t="n"/>
    </row>
    <row r="7">
      <c r="A7" s="277" t="n">
        <v>19</v>
      </c>
      <c r="B7" s="323" t="n">
        <v>25.02</v>
      </c>
      <c r="C7" s="323" t="n">
        <v>25.3</v>
      </c>
      <c r="D7" s="280" t="n">
        <v>25.47</v>
      </c>
      <c r="G7" s="281" t="n">
        <v>19</v>
      </c>
      <c r="H7" s="505" t="n">
        <v>25.02</v>
      </c>
      <c r="I7" s="672">
        <f>IFERROR(__xludf.DUMMYFUNCTION("LET(t, H7,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"),840.0)</f>
        <v/>
      </c>
      <c r="J7" s="505" t="n">
        <v>25.3</v>
      </c>
      <c r="K7" s="672">
        <f>IFERROR(__xludf.DUMMYFUNCTION("LET(t, J7,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"),812.0)</f>
        <v/>
      </c>
      <c r="L7" s="505" t="n">
        <v>25.47</v>
      </c>
      <c r="M7" s="285">
        <f>IFERROR(__xludf.DUMMYFUNCTION("LET(t, L7,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"),796.0)</f>
        <v/>
      </c>
      <c r="O7" s="291" t="inlineStr">
        <is>
          <t>Female 50 Free</t>
        </is>
      </c>
      <c r="P7" s="765" t="n"/>
      <c r="Q7" s="689" t="n"/>
      <c r="R7" s="289" t="n"/>
      <c r="S7" s="289" t="n"/>
      <c r="T7" s="289" t="n"/>
      <c r="U7" s="289" t="n"/>
      <c r="V7" s="289" t="n"/>
      <c r="X7" s="291" t="inlineStr">
        <is>
          <t>Result</t>
        </is>
      </c>
      <c r="Y7" s="764" t="n"/>
      <c r="Z7" s="765" t="n"/>
      <c r="AB7" s="290" t="n"/>
      <c r="AC7" s="291" t="inlineStr">
        <is>
          <t>Result</t>
        </is>
      </c>
      <c r="AD7" s="764" t="n"/>
      <c r="AE7" s="764" t="n"/>
      <c r="AF7" s="764" t="n"/>
      <c r="AG7" s="764" t="n"/>
      <c r="AH7" s="765" t="n"/>
    </row>
    <row r="8">
      <c r="A8" s="270" t="n">
        <v>20</v>
      </c>
      <c r="B8" s="326" t="n">
        <v>24.86</v>
      </c>
      <c r="C8" s="326" t="n">
        <v>25.14</v>
      </c>
      <c r="D8" s="272" t="n">
        <v>25.3</v>
      </c>
      <c r="G8" s="273" t="n">
        <v>20</v>
      </c>
      <c r="H8" s="517" t="n">
        <v>24.86</v>
      </c>
      <c r="I8" s="599">
        <f>IFERROR(__xludf.DUMMYFUNCTION("LET(t, H8,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"),856.0)</f>
        <v/>
      </c>
      <c r="J8" s="517" t="n">
        <v>25.14</v>
      </c>
      <c r="K8" s="599">
        <f>IFERROR(__xludf.DUMMYFUNCTION("LET(t, J8,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"),828.0)</f>
        <v/>
      </c>
      <c r="L8" s="517" t="n">
        <v>25.3</v>
      </c>
      <c r="M8" s="276">
        <f>IFERROR(__xludf.DUMMYFUNCTION("LET(t, L8,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"),812.0)</f>
        <v/>
      </c>
      <c r="O8" s="291" t="inlineStr">
        <is>
          <t>Age</t>
        </is>
      </c>
      <c r="P8" s="291" t="inlineStr">
        <is>
          <t>Time</t>
        </is>
      </c>
      <c r="Q8" s="689" t="inlineStr">
        <is>
          <t>Delta to time</t>
        </is>
      </c>
      <c r="R8" s="292" t="inlineStr">
        <is>
          <t>Gender</t>
        </is>
      </c>
      <c r="S8" s="293" t="inlineStr">
        <is>
          <t>Event</t>
        </is>
      </c>
      <c r="T8" s="294" t="inlineStr">
        <is>
          <t>Age</t>
        </is>
      </c>
      <c r="U8" s="550" t="inlineStr">
        <is>
          <t>Time</t>
        </is>
      </c>
      <c r="V8" s="296" t="inlineStr">
        <is>
          <t>AQUA</t>
        </is>
      </c>
      <c r="X8" s="297" t="inlineStr">
        <is>
          <t>Age</t>
        </is>
      </c>
      <c r="Y8" s="298" t="inlineStr">
        <is>
          <t>Time</t>
        </is>
      </c>
      <c r="Z8" s="299" t="inlineStr">
        <is>
          <t>AQUA</t>
        </is>
      </c>
      <c r="AA8" s="300" t="inlineStr">
        <is>
          <t>Gender</t>
        </is>
      </c>
      <c r="AB8" s="292" t="inlineStr">
        <is>
          <t>Event</t>
        </is>
      </c>
      <c r="AC8" s="301" t="inlineStr">
        <is>
          <t>Age</t>
        </is>
      </c>
      <c r="AD8" s="302" t="inlineStr">
        <is>
          <t>Time</t>
        </is>
      </c>
      <c r="AE8" s="303" t="inlineStr">
        <is>
          <t>AQUA</t>
        </is>
      </c>
      <c r="AF8" s="304" t="inlineStr">
        <is>
          <t>Target Time</t>
        </is>
      </c>
      <c r="AG8" s="304" t="inlineStr">
        <is>
          <t>Target AQUA</t>
        </is>
      </c>
      <c r="AH8" s="303" t="inlineStr">
        <is>
          <t>Difference</t>
        </is>
      </c>
    </row>
    <row r="9">
      <c r="A9" s="277" t="n">
        <v>21</v>
      </c>
      <c r="B9" s="323" t="n"/>
      <c r="C9" s="323" t="n">
        <v>24.99</v>
      </c>
      <c r="D9" s="280" t="n">
        <v>25.15</v>
      </c>
      <c r="G9" s="281" t="n">
        <v>21</v>
      </c>
      <c r="H9" s="505" t="n"/>
      <c r="I9" s="672" t="n"/>
      <c r="J9" s="505" t="n">
        <v>24.99</v>
      </c>
      <c r="K9" s="672">
        <f>IFERROR(__xludf.DUMMYFUNCTION("LET(t, J9,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"),843.0)</f>
        <v/>
      </c>
      <c r="L9" s="505" t="n">
        <v>25.15</v>
      </c>
      <c r="M9" s="285">
        <f>IFERROR(__xludf.DUMMYFUNCTION("LET(t, L9,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"),827.0)</f>
        <v/>
      </c>
      <c r="O9" s="305" t="n">
        <v>16</v>
      </c>
      <c r="P9" s="306">
        <f>P10+Q10</f>
        <v/>
      </c>
      <c r="R9" s="356" t="inlineStr">
        <is>
          <t>F</t>
        </is>
      </c>
      <c r="S9" s="590" t="inlineStr">
        <is>
          <t>50 Free</t>
        </is>
      </c>
      <c r="T9" s="308" t="n">
        <v>16</v>
      </c>
      <c r="U9" s="309" t="n">
        <v>26.63</v>
      </c>
      <c r="V9" s="310">
        <f>IFERROR(__xludf.DUMMYFUNCTION("LET(
  gen,$R9, ev,$S9, t,$U9,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)"),696.0)</f>
        <v/>
      </c>
      <c r="X9" s="311" t="n">
        <v>18</v>
      </c>
      <c r="Y9" s="312" t="n">
        <v>26.11</v>
      </c>
      <c r="Z9" s="313">
        <f>IFERROR(__xludf.DUMMYFUNCTION("LET(
  gen,$R9, ev,$S9, t,$Y9,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)"),739.0)</f>
        <v/>
      </c>
      <c r="AA9" s="314" t="inlineStr">
        <is>
          <t>F</t>
        </is>
      </c>
      <c r="AB9" s="315" t="inlineStr">
        <is>
          <t>50 Free</t>
        </is>
      </c>
      <c r="AC9" s="316" t="n">
        <v>18</v>
      </c>
      <c r="AD9" s="317">
        <f>Table13[Time]</f>
        <v/>
      </c>
      <c r="AE9" s="318">
        <f>IFERROR(__xludf.DUMMYFUNCTION("LET(
  gen,$AA9, ev,$AB9, t,$AD9,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
      </c>
      <c r="AF9" s="317" t="n">
        <v>26.17</v>
      </c>
      <c r="AG9" s="318">
        <f>IFERROR(__xludf.DUMMYFUNCTION("LET(
  gen,$AA9, ev,$AB9, t,$AF9,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
      </c>
      <c r="AH9" s="318">
        <f>Table15[AQUA]-Table15[Target AQUA]</f>
        <v/>
      </c>
    </row>
    <row r="10">
      <c r="A10" s="270" t="n">
        <v>22</v>
      </c>
      <c r="B10" s="326" t="n"/>
      <c r="C10" s="326" t="n">
        <v>24.86</v>
      </c>
      <c r="D10" s="272" t="n">
        <v>25.02</v>
      </c>
      <c r="G10" s="273" t="n">
        <v>22</v>
      </c>
      <c r="H10" s="517" t="n"/>
      <c r="I10" s="599" t="n"/>
      <c r="J10" s="517" t="n">
        <v>24.86</v>
      </c>
      <c r="K10" s="599">
        <f>IFERROR(__xludf.DUMMYFUNCTION("LET(t, J10,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"),856.0)</f>
        <v/>
      </c>
      <c r="L10" s="517" t="n">
        <v>25.02</v>
      </c>
      <c r="M10" s="276">
        <f>IFERROR(__xludf.DUMMYFUNCTION("LET(t, L10,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"),840.0)</f>
        <v/>
      </c>
      <c r="O10" s="319" t="n">
        <v>17</v>
      </c>
      <c r="P10" s="320">
        <f>P11+Q11</f>
        <v/>
      </c>
      <c r="Q10" s="78">
        <f t="array" ref="Q10">AVERAGE(IF(NOT(ISBLANK(B4:D4))*NOT(ISBLANK(B5:D5)), ABS(B4:D4-B5:D5), ""))
</f>
        <v/>
      </c>
      <c r="R10" s="382" t="inlineStr">
        <is>
          <t>F</t>
        </is>
      </c>
      <c r="S10" s="613" t="inlineStr">
        <is>
          <t>50 Free</t>
        </is>
      </c>
      <c r="T10" s="322" t="n">
        <v>17</v>
      </c>
      <c r="U10" s="323" t="n">
        <v>26.37</v>
      </c>
      <c r="V10" s="324">
        <f>IFERROR(__xludf.DUMMYFUNCTION("LET(
  gen,$R10, ev,$S10, t,$U10,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)"),717.0)</f>
        <v/>
      </c>
    </row>
    <row r="11">
      <c r="A11" s="277" t="n">
        <v>23</v>
      </c>
      <c r="B11" s="323" t="n"/>
      <c r="C11" s="323" t="n"/>
      <c r="D11" s="280" t="n">
        <v>24.93</v>
      </c>
      <c r="G11" s="281" t="n">
        <v>23</v>
      </c>
      <c r="H11" s="505" t="n"/>
      <c r="I11" s="672" t="n"/>
      <c r="J11" s="505" t="n"/>
      <c r="K11" s="672" t="n"/>
      <c r="L11" s="505" t="n">
        <v>24.93</v>
      </c>
      <c r="M11" s="285">
        <f>IFERROR(__xludf.DUMMYFUNCTION("LET(t, L11,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"),849.0)</f>
        <v/>
      </c>
      <c r="O11" s="319" t="n">
        <v>18</v>
      </c>
      <c r="P11" s="320">
        <f>P12+Q12</f>
        <v/>
      </c>
      <c r="Q11" s="78">
        <f t="array" ref="Q11">AVERAGE(IF(NOT(ISBLANK(B5:D5))*NOT(ISBLANK(B6:D6)), ABS(B5:D5-B6:D6), ""))
</f>
        <v/>
      </c>
      <c r="R11" s="356" t="inlineStr">
        <is>
          <t>F</t>
        </is>
      </c>
      <c r="S11" s="590" t="inlineStr">
        <is>
          <t>50 Free</t>
        </is>
      </c>
      <c r="T11" s="325" t="n">
        <v>18</v>
      </c>
      <c r="U11" s="326" t="n">
        <v>26.17</v>
      </c>
      <c r="V11" s="327">
        <f>IFERROR(__xludf.DUMMYFUNCTION("LET(
  gen,$R11, ev,$S11, t,$U11,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
      </c>
      <c r="X11" s="291" t="inlineStr">
        <is>
          <t>Result</t>
        </is>
      </c>
      <c r="Y11" s="764" t="n"/>
      <c r="Z11" s="765" t="n"/>
      <c r="AB11" s="290" t="n"/>
      <c r="AC11" s="291" t="inlineStr">
        <is>
          <t>Result</t>
        </is>
      </c>
      <c r="AD11" s="764" t="n"/>
      <c r="AE11" s="764" t="n"/>
      <c r="AF11" s="764" t="n"/>
      <c r="AG11" s="764" t="n"/>
      <c r="AH11" s="765" t="n"/>
    </row>
    <row r="12">
      <c r="A12" s="328" t="n">
        <v>24</v>
      </c>
      <c r="B12" s="329" t="n"/>
      <c r="C12" s="329" t="n"/>
      <c r="D12" s="330" t="n">
        <v>24.86</v>
      </c>
      <c r="G12" s="331" t="n">
        <v>24</v>
      </c>
      <c r="H12" s="332" t="n"/>
      <c r="I12" s="333" t="n"/>
      <c r="J12" s="332" t="n"/>
      <c r="K12" s="333" t="n"/>
      <c r="L12" s="332" t="n">
        <v>24.86</v>
      </c>
      <c r="M12" s="334">
        <f>IFERROR(__xludf.DUMMYFUNCTION("LET(t, L12, base, 'AQUA POINTS'!$B$3, baseSec, IF(ISNUMBER(base), IF(base&lt;1, base*86400, base), IF(REGEXMATCH(base,"":""), VALUE(LEFT(base, FIND("":"",base)-1))*60 + VALUE(MID(base, FIND("":"",base)+1, 99)), VALUE(SUBSTITUTE(base,"","",""."")))), tSec, IF"&amp;"(ISNUMBER(t), IF(t&lt;1, t*86400, t), IF(REGEXMATCH(t,"":""), VALUE(LEFT(t, FIND("":"",t)-1))*60 + VALUE(MID(t, FIND("":"",t)+1, 99)), VALUE(SUBSTITUTE(t,"","",""."")))), INT(1000*(baseSec/tSec)^3)) "),856.0)</f>
        <v/>
      </c>
      <c r="O12" s="319" t="n">
        <v>19</v>
      </c>
      <c r="P12" s="320">
        <f>P13+Q13</f>
        <v/>
      </c>
      <c r="Q12" s="78">
        <f t="array" ref="Q12">AVERAGE(IF(NOT(ISBLANK(B6:D6))*NOT(ISBLANK(B7:D7)), ABS(B6:D6-B7:D7), ""))
</f>
        <v/>
      </c>
      <c r="R12" s="382" t="inlineStr">
        <is>
          <t>F</t>
        </is>
      </c>
      <c r="S12" s="613" t="inlineStr">
        <is>
          <t>50 Free</t>
        </is>
      </c>
      <c r="T12" s="322" t="n">
        <v>19</v>
      </c>
      <c r="U12" s="323" t="n">
        <v>25.99333333333334</v>
      </c>
      <c r="V12" s="324">
        <f>IFERROR(__xludf.DUMMYFUNCTION("LET(
  gen,$R12, ev,$S12, t,$U12,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)"),749.0)</f>
        <v/>
      </c>
      <c r="X12" s="297" t="inlineStr">
        <is>
          <t>Age</t>
        </is>
      </c>
      <c r="Y12" s="298" t="inlineStr">
        <is>
          <t>Time</t>
        </is>
      </c>
      <c r="Z12" s="299" t="inlineStr">
        <is>
          <t>AQUA</t>
        </is>
      </c>
      <c r="AA12" s="300" t="inlineStr">
        <is>
          <t>Gender</t>
        </is>
      </c>
      <c r="AB12" s="292" t="inlineStr">
        <is>
          <t>Event</t>
        </is>
      </c>
      <c r="AC12" s="335" t="inlineStr">
        <is>
          <t>Age</t>
        </is>
      </c>
      <c r="AD12" s="336" t="inlineStr">
        <is>
          <t>Time</t>
        </is>
      </c>
      <c r="AE12" s="303" t="inlineStr">
        <is>
          <t>AQUA</t>
        </is>
      </c>
      <c r="AF12" s="337" t="inlineStr">
        <is>
          <t>Target Time</t>
        </is>
      </c>
      <c r="AG12" s="337" t="inlineStr">
        <is>
          <t>Target AQUA</t>
        </is>
      </c>
      <c r="AH12" s="338" t="inlineStr">
        <is>
          <t>Difference</t>
        </is>
      </c>
    </row>
    <row r="13">
      <c r="O13" s="319" t="n">
        <v>20</v>
      </c>
      <c r="P13" s="320">
        <f>P14+Q14</f>
        <v/>
      </c>
      <c r="Q13" s="78">
        <f t="array" ref="Q13">AVERAGE(IF(NOT(ISBLANK(B7:D7))*NOT(ISBLANK(B8:D8)), ABS(B7:D7-B8:D8), ""))
</f>
        <v/>
      </c>
      <c r="R13" s="356" t="inlineStr">
        <is>
          <t>F</t>
        </is>
      </c>
      <c r="S13" s="590" t="inlineStr">
        <is>
          <t>50 Free</t>
        </is>
      </c>
      <c r="T13" s="325" t="n">
        <v>20</v>
      </c>
      <c r="U13" s="326" t="n">
        <v>25.83</v>
      </c>
      <c r="V13" s="327">
        <f>IFERROR(__xludf.DUMMYFUNCTION("LET(
  gen,$R13, ev,$S13, t,$U13,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
      </c>
      <c r="X13" s="316" t="n">
        <v>20</v>
      </c>
      <c r="Y13" s="339" t="n">
        <v>26.11</v>
      </c>
      <c r="Z13" s="340">
        <f>IFERROR(__xludf.DUMMYFUNCTION("LET(
  gen,$R10, ev,$S10, t,$Y13,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
      </c>
      <c r="AA13" s="314" t="inlineStr">
        <is>
          <t>F</t>
        </is>
      </c>
      <c r="AB13" s="315" t="inlineStr">
        <is>
          <t>50 Free</t>
        </is>
      </c>
      <c r="AC13" s="316" t="n">
        <v>20</v>
      </c>
      <c r="AD13" s="317">
        <f>Table14[Time]</f>
        <v/>
      </c>
      <c r="AE13" s="318">
        <f>IFERROR(__xludf.DUMMYFUNCTION("LET(
  gen,$AA13, ev,$AB13, t,$AD13,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)"),739.0)</f>
        <v/>
      </c>
      <c r="AF13" s="317" t="n">
        <v>25.83</v>
      </c>
      <c r="AG13" s="318">
        <f>IFERROR(__xludf.DUMMYFUNCTION("LET(
  gen,$R13, ev,$S13, t,$U13,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
      </c>
      <c r="AH13" s="318">
        <f>Table16[AQUA]-Table16[Target AQUA]</f>
        <v/>
      </c>
    </row>
    <row r="14">
      <c r="O14" s="319" t="n">
        <v>21</v>
      </c>
      <c r="P14" s="320">
        <f>P15+Q15</f>
        <v/>
      </c>
      <c r="Q14" s="78">
        <f t="array" ref="Q14">AVERAGE(IF(NOT(ISBLANK(B8:D8))*NOT(ISBLANK(B9:D9)), ABS(B8:D8-B9:D9), ""))
</f>
        <v/>
      </c>
      <c r="R14" s="382" t="inlineStr">
        <is>
          <t>F</t>
        </is>
      </c>
      <c r="S14" s="613" t="inlineStr">
        <is>
          <t>50 Free</t>
        </is>
      </c>
      <c r="T14" s="322" t="n">
        <v>21</v>
      </c>
      <c r="U14" s="323" t="n">
        <v>25.68</v>
      </c>
      <c r="V14" s="324">
        <f>IFERROR(__xludf.DUMMYFUNCTION("LET(
  gen,$R14, ev,$S14, t,$U14,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)"),777.0)</f>
        <v/>
      </c>
    </row>
    <row r="15">
      <c r="B15" s="291" t="inlineStr">
        <is>
          <t>Female 50 Free</t>
        </is>
      </c>
      <c r="C15" s="765" t="n"/>
      <c r="O15" s="319" t="n">
        <v>22</v>
      </c>
      <c r="P15" s="320">
        <f>P16+Q16</f>
        <v/>
      </c>
      <c r="Q15" s="78">
        <f t="array" ref="Q15">AVERAGE(IF(NOT(ISBLANK(B9:D9))*NOT(ISBLANK(B10:D10)), ABS(B9:D9-B10:D10), ""))
</f>
        <v/>
      </c>
      <c r="R15" s="356" t="inlineStr">
        <is>
          <t>F</t>
        </is>
      </c>
      <c r="S15" s="590" t="inlineStr">
        <is>
          <t>50 Free</t>
        </is>
      </c>
      <c r="T15" s="325" t="n">
        <v>22</v>
      </c>
      <c r="U15" s="326" t="n">
        <v>25.55</v>
      </c>
      <c r="V15" s="327">
        <f>IFERROR(__xludf.DUMMYFUNCTION("LET(
  gen,$R15, ev,$S15, t,$U15,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)"),789.0)</f>
        <v/>
      </c>
    </row>
    <row r="16">
      <c r="B16" s="291" t="inlineStr">
        <is>
          <t>Age</t>
        </is>
      </c>
      <c r="C16" s="291" t="inlineStr">
        <is>
          <t>Time</t>
        </is>
      </c>
      <c r="O16" s="319" t="n">
        <v>23</v>
      </c>
      <c r="P16" s="320">
        <f>P17+Q17</f>
        <v/>
      </c>
      <c r="Q16" s="78">
        <f t="array" ref="Q16">AVERAGE(IF(NOT(ISBLANK(B10:D10))*NOT(ISBLANK(B11:D11)), ABS(B10:D10-B11:D11), ""))
</f>
        <v/>
      </c>
      <c r="R16" s="382" t="inlineStr">
        <is>
          <t>F</t>
        </is>
      </c>
      <c r="S16" s="613" t="inlineStr">
        <is>
          <t>50 Free</t>
        </is>
      </c>
      <c r="T16" s="322" t="n">
        <v>23</v>
      </c>
      <c r="U16" s="323" t="n">
        <v>25.46</v>
      </c>
      <c r="V16" s="324">
        <f>IFERROR(__xludf.DUMMYFUNCTION("LET(
  gen,$R16, ev,$S16, t,$U16,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)"),797.0)</f>
        <v/>
      </c>
    </row>
    <row r="17">
      <c r="B17" s="305" t="n">
        <v>16</v>
      </c>
      <c r="C17" s="399" t="n"/>
      <c r="O17" s="319" t="n">
        <v>24</v>
      </c>
      <c r="P17" s="392">
        <f>P18+Q18</f>
        <v/>
      </c>
      <c r="Q17" s="78">
        <f t="array" ref="Q17">AVERAGE(IF(NOT(ISBLANK(B11:D11))*NOT(ISBLANK(B12:D12)), ABS(B11:D11-B12:D12), ""))
</f>
        <v/>
      </c>
      <c r="R17" s="356" t="inlineStr">
        <is>
          <t>F</t>
        </is>
      </c>
      <c r="S17" s="590" t="inlineStr">
        <is>
          <t>50 Free</t>
        </is>
      </c>
      <c r="T17" s="325" t="n">
        <v>24</v>
      </c>
      <c r="U17" s="593" t="n">
        <v>25.39</v>
      </c>
      <c r="V17" s="327">
        <f>IFERROR(__xludf.DUMMYFUNCTION("LET(
  gen,$R17, ev,$S17, t,$U17,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)"),804.0)</f>
        <v/>
      </c>
    </row>
    <row r="18">
      <c r="B18" s="319" t="n">
        <v>17</v>
      </c>
      <c r="C18" s="392" t="n"/>
      <c r="O18" s="344" t="n">
        <v>25</v>
      </c>
      <c r="P18" s="345" t="n">
        <v>25.32</v>
      </c>
      <c r="Q18" s="689" t="n">
        <v>0.07000000000000001</v>
      </c>
      <c r="R18" s="360" t="inlineStr">
        <is>
          <t>F</t>
        </is>
      </c>
      <c r="S18" s="681" t="inlineStr">
        <is>
          <t>50 Free</t>
        </is>
      </c>
      <c r="T18" s="348" t="n">
        <v>25</v>
      </c>
      <c r="U18" s="349" t="n">
        <v>25.32</v>
      </c>
      <c r="V18" s="350">
        <f>IFERROR(__xludf.DUMMYFUNCTION("LET(
  gen,$R18, ev,$S18, t,$U18,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)"),810.0)</f>
        <v/>
      </c>
    </row>
    <row r="19">
      <c r="B19" s="319" t="n">
        <v>18</v>
      </c>
      <c r="C19" s="392" t="n"/>
      <c r="R19" s="689" t="inlineStr">
        <is>
          <t>ok, so then just compare the points difference for the swimmers AQUA points to the on track age points?</t>
        </is>
      </c>
    </row>
    <row r="20">
      <c r="A20" s="689" t="n"/>
      <c r="B20" s="319" t="n">
        <v>19</v>
      </c>
      <c r="C20" s="355" t="n"/>
      <c r="D20" s="689" t="n"/>
    </row>
    <row r="21">
      <c r="A21" s="689" t="n"/>
      <c r="B21" s="319" t="n">
        <v>20</v>
      </c>
      <c r="C21" s="355" t="n"/>
      <c r="D21" s="689" t="n"/>
    </row>
    <row r="22">
      <c r="A22" s="689" t="n"/>
      <c r="B22" s="319" t="n">
        <v>21</v>
      </c>
      <c r="C22" s="355" t="n"/>
      <c r="D22" s="689" t="n"/>
    </row>
    <row r="23">
      <c r="A23" s="689" t="n"/>
      <c r="B23" s="319" t="n">
        <v>22</v>
      </c>
      <c r="C23" s="355" t="n"/>
      <c r="D23" s="689" t="n"/>
    </row>
    <row r="24">
      <c r="A24" s="689" t="n"/>
      <c r="B24" s="319" t="n">
        <v>23</v>
      </c>
      <c r="C24" s="355" t="n"/>
      <c r="D24" s="689" t="n"/>
      <c r="R24" s="352" t="inlineStr">
        <is>
          <t>Gender</t>
        </is>
      </c>
      <c r="S24" s="353" t="inlineStr">
        <is>
          <t>Event</t>
        </is>
      </c>
      <c r="T24" s="353" t="inlineStr">
        <is>
          <t>Age</t>
        </is>
      </c>
      <c r="U24" s="353" t="inlineStr">
        <is>
          <t>Time</t>
        </is>
      </c>
      <c r="V24" s="353" t="inlineStr">
        <is>
          <t>AQUA</t>
        </is>
      </c>
      <c r="W24" s="354" t="inlineStr">
        <is>
          <t>Column 1</t>
        </is>
      </c>
    </row>
    <row r="25">
      <c r="A25" s="689" t="n"/>
      <c r="B25" s="319" t="n">
        <v>24</v>
      </c>
      <c r="C25" s="355" t="n"/>
      <c r="D25" s="689" t="n"/>
      <c r="R25" s="356" t="inlineStr">
        <is>
          <t>F</t>
        </is>
      </c>
      <c r="S25" s="590" t="inlineStr">
        <is>
          <t>50 Free</t>
        </is>
      </c>
      <c r="T25" s="590" t="n">
        <v>22</v>
      </c>
      <c r="U25" s="590" t="n">
        <v>26.05</v>
      </c>
      <c r="V25" s="358">
        <f>IFERROR(__xludf.DUMMYFUNCTION("LET(
  gen,$R25, ev,$S25, t,$U25,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)"),744.0)</f>
        <v/>
      </c>
      <c r="W25" s="745">
        <f>Table12[AQUA] - VLOOKUP(T25, T9:V17, 3, FALSE)</f>
        <v/>
      </c>
    </row>
    <row r="26">
      <c r="A26" s="689" t="n"/>
      <c r="B26" s="344" t="n">
        <v>25</v>
      </c>
      <c r="C26" s="345" t="n">
        <v>25.32</v>
      </c>
      <c r="D26" s="689" t="n"/>
      <c r="R26" s="360" t="inlineStr">
        <is>
          <t>F</t>
        </is>
      </c>
      <c r="S26" s="681" t="inlineStr">
        <is>
          <t>50 Free</t>
        </is>
      </c>
      <c r="T26" s="681" t="n">
        <v>18</v>
      </c>
      <c r="U26" s="681" t="n">
        <v>26.05</v>
      </c>
      <c r="V26" s="362">
        <f>IFERROR(__xludf.DUMMYFUNCTION("LET(
  gen,$R26, ev,$S26, t,$U26,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)"),744.0)</f>
        <v/>
      </c>
      <c r="W26" s="363">
        <f>Table12[AQUA] - VLOOKUP(T26, T10:V18, 3, FALSE)</f>
        <v/>
      </c>
    </row>
    <row r="27">
      <c r="A27" s="689" t="n"/>
      <c r="B27" s="689" t="n"/>
      <c r="C27" s="689" t="n"/>
      <c r="D27" s="689" t="n"/>
    </row>
    <row r="28">
      <c r="A28" s="689" t="n"/>
      <c r="B28" s="689" t="n"/>
      <c r="C28" s="689" t="n"/>
      <c r="D28" s="689" t="n"/>
    </row>
    <row r="29">
      <c r="A29" s="689" t="n"/>
      <c r="B29" s="689" t="n"/>
      <c r="C29" s="689" t="n"/>
      <c r="D29" s="689" t="n"/>
    </row>
  </sheetData>
  <mergeCells count="7">
    <mergeCell ref="O7:P7"/>
    <mergeCell ref="AC7:AH7"/>
    <mergeCell ref="B15:C15"/>
    <mergeCell ref="AC11:AH11"/>
    <mergeCell ref="R6:V6"/>
    <mergeCell ref="X7:Z7"/>
    <mergeCell ref="X11:Z11"/>
  </mergeCells>
  <dataValidations count="2">
    <dataValidation sqref="A4:D12 G4:H12 J4:J12 L4:L12" showDropDown="1" showInputMessage="0" showErrorMessage="0" allowBlank="1" type="custom">
      <formula1>AND(ISNUMBER(A4),(NOT(OR(NOT(ISERROR(DATEVALUE(A4))), AND(ISNUMBER(A4), LEFT(CELL("format", A4))="D")))))</formula1>
    </dataValidation>
    <dataValidation sqref="I4:I12 K4:K12 M4:M12" showDropDown="1" showInputMessage="0" showErrorMessage="0" allowBlank="1" type="custom">
      <formula1>AND(ISNUMBER(I4),(NOT(OR(NOT(ISERROR(DATEVALUE(I4))), AND(ISNUMBER(I4), LEFT(CELL("format", I4))="D")))))</formula1>
    </dataValidation>
  </dataValidations>
  <pageMargins left="0.75" right="0.75" top="1" bottom="1" header="0.5" footer="0.5"/>
  <drawing xmlns:r="http://schemas.openxmlformats.org/officeDocument/2006/relationships" r:id="rId1"/>
  <tableParts count="8">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xl/worksheets/sheet10.xml><?xml version="1.0" encoding="utf-8"?>
<worksheet xmlns="http://schemas.openxmlformats.org/spreadsheetml/2006/main">
  <sheetPr>
    <outlinePr summaryBelow="0" summaryRight="0"/>
    <pageSetUpPr/>
  </sheetPr>
  <dimension ref="A1:Z908"/>
  <sheetViews>
    <sheetView workbookViewId="0">
      <selection activeCell="A1" sqref="A1"/>
    </sheetView>
  </sheetViews>
  <sheetFormatPr baseColWidth="8" defaultColWidth="12.63" defaultRowHeight="15.75" customHeight="1"/>
  <cols>
    <col width="24.88" customWidth="1" style="763" min="3" max="3"/>
    <col width="8.5" customWidth="1" style="763" min="4" max="4"/>
    <col width="13.75" customWidth="1" style="763" min="9" max="9"/>
    <col width="27.38" customWidth="1" style="763" min="14" max="14"/>
    <col width="8.630000000000001" customWidth="1" style="763" min="15" max="15"/>
    <col width="14" customWidth="1" style="763" min="18" max="21"/>
    <col width="21" customWidth="1" style="763" min="22" max="22"/>
    <col width="14" customWidth="1" style="763" min="23" max="26"/>
  </cols>
  <sheetData>
    <row r="1">
      <c r="A1" s="364" t="inlineStr">
        <is>
          <t>Gender</t>
        </is>
      </c>
      <c r="B1" s="365" t="inlineStr">
        <is>
          <t>Event</t>
        </is>
      </c>
      <c r="C1" s="365" t="inlineStr">
        <is>
          <t>Name</t>
        </is>
      </c>
      <c r="D1" s="366" t="inlineStr">
        <is>
          <t>Age</t>
        </is>
      </c>
      <c r="E1" s="367" t="inlineStr">
        <is>
          <t>Time</t>
        </is>
      </c>
      <c r="F1" s="366" t="inlineStr">
        <is>
          <t>AQUA</t>
        </is>
      </c>
      <c r="G1" s="368" t="inlineStr">
        <is>
          <t>Target Time</t>
        </is>
      </c>
      <c r="H1" s="368" t="inlineStr">
        <is>
          <t>Target AQUA</t>
        </is>
      </c>
      <c r="I1" s="366" t="inlineStr">
        <is>
          <t>Difference</t>
        </is>
      </c>
      <c r="J1" s="369" t="inlineStr">
        <is>
          <t>Birth Year</t>
        </is>
      </c>
      <c r="K1" s="370" t="n"/>
      <c r="L1" s="378" t="inlineStr">
        <is>
          <t>Top Male Performances</t>
        </is>
      </c>
      <c r="M1" s="764" t="n"/>
      <c r="N1" s="764" t="n"/>
      <c r="O1" s="764" t="n"/>
      <c r="P1" s="764" t="n"/>
      <c r="Q1" s="764" t="n"/>
      <c r="R1" s="765" t="n"/>
      <c r="S1" s="372" t="n"/>
      <c r="T1" s="378" t="inlineStr">
        <is>
          <t>Top Female Performances</t>
        </is>
      </c>
      <c r="U1" s="764" t="n"/>
      <c r="V1" s="764" t="n"/>
      <c r="W1" s="764" t="n"/>
      <c r="X1" s="764" t="n"/>
      <c r="Y1" s="764" t="n"/>
      <c r="Z1" s="765" t="n"/>
    </row>
    <row r="2">
      <c r="A2" s="356" t="inlineStr">
        <is>
          <t>M</t>
        </is>
      </c>
      <c r="B2" s="590" t="inlineStr">
        <is>
          <t>200 Free</t>
        </is>
      </c>
      <c r="C2" s="590" t="inlineStr">
        <is>
          <t>Bin Zulβikry Muhammad Dhuha</t>
        </is>
      </c>
      <c r="D2" s="593">
        <f>2025-J2</f>
        <v/>
      </c>
      <c r="E2" s="661" t="inlineStr">
        <is>
          <t>1:51.82</t>
        </is>
      </c>
      <c r="F2" s="593">
        <f>IFERROR(__xludf.DUMMYFUNCTION("LET(
  gen,$A2, ev,$B2, t,$E2,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)"),759.0)</f>
        <v/>
      </c>
      <c r="G2" s="590">
        <f t="array" ref="G2">INDEX('MOT Tables 25'!$M:$M, MATCH(A2&amp;"_"&amp;B2&amp;"_"&amp;D2, 'MOT Tables 25'!$A:$A&amp;"_"&amp;'MOT Tables 25'!$B:$B&amp;"_"&amp;'MOT Tables 25'!$C:$C, 0))
</f>
        <v/>
      </c>
      <c r="H2" s="590">
        <f t="array" ref="H2">INDEX('MOT Tables 25'!$N:$N, MATCH(A2&amp;"_"&amp;B2&amp;"_"&amp;D2, 'MOT Tables 25'!$A:$A&amp;"_"&amp;'MOT Tables 25'!$B:$B&amp;"_"&amp;'MOT Tables 25'!$C:$C, 0))</f>
        <v/>
      </c>
      <c r="I2" s="590">
        <f>F2-H2</f>
        <v/>
      </c>
      <c r="J2" s="512" t="n">
        <v>2008</v>
      </c>
      <c r="K2" s="689" t="n"/>
      <c r="L2" s="378" t="inlineStr">
        <is>
          <t>Gender</t>
        </is>
      </c>
      <c r="M2" s="378" t="inlineStr">
        <is>
          <t>Event</t>
        </is>
      </c>
      <c r="N2" s="378" t="inlineStr">
        <is>
          <t>Name</t>
        </is>
      </c>
      <c r="O2" s="379" t="inlineStr">
        <is>
          <t>Age</t>
        </is>
      </c>
      <c r="P2" s="379" t="inlineStr">
        <is>
          <t>Time</t>
        </is>
      </c>
      <c r="Q2" s="380" t="inlineStr">
        <is>
          <t>Target Time</t>
        </is>
      </c>
      <c r="R2" s="379" t="inlineStr">
        <is>
          <t>Difference</t>
        </is>
      </c>
      <c r="S2" s="381" t="n"/>
      <c r="T2" s="378" t="inlineStr">
        <is>
          <t>Gender</t>
        </is>
      </c>
      <c r="U2" s="378" t="inlineStr">
        <is>
          <t>Event</t>
        </is>
      </c>
      <c r="V2" s="378" t="inlineStr">
        <is>
          <t>Name</t>
        </is>
      </c>
      <c r="W2" s="379" t="inlineStr">
        <is>
          <t>Age</t>
        </is>
      </c>
      <c r="X2" s="379" t="inlineStr">
        <is>
          <t>Time</t>
        </is>
      </c>
      <c r="Y2" s="380" t="inlineStr">
        <is>
          <t>Target Time</t>
        </is>
      </c>
      <c r="Z2" s="379" t="inlineStr">
        <is>
          <t>Difference</t>
        </is>
      </c>
    </row>
    <row r="3">
      <c r="A3" s="382" t="inlineStr">
        <is>
          <t>M</t>
        </is>
      </c>
      <c r="B3" s="613" t="inlineStr">
        <is>
          <t>400 Free</t>
        </is>
      </c>
      <c r="C3" s="613" t="inlineStr">
        <is>
          <t>Bin Zulβikry Muhammad Dhuha</t>
        </is>
      </c>
      <c r="D3" s="616">
        <f>2025-J3</f>
        <v/>
      </c>
      <c r="E3" s="665" t="inlineStr">
        <is>
          <t>3:58.39</t>
        </is>
      </c>
      <c r="F3" s="616">
        <f>IFERROR(__xludf.DUMMYFUNCTION("LET(
  gen,$A3, ev,$B3, t,$E3,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)"),786.0)</f>
        <v/>
      </c>
      <c r="G3" s="613">
        <f t="array" ref="G3">INDEX('MOT Tables 25'!$M:$M, MATCH(A3&amp;"_"&amp;B3&amp;"_"&amp;D3, 'MOT Tables 25'!$A:$A&amp;"_"&amp;'MOT Tables 25'!$B:$B&amp;"_"&amp;'MOT Tables 25'!$C:$C, 0))
</f>
        <v/>
      </c>
      <c r="H3" s="613">
        <f t="array" ref="H3">INDEX('MOT Tables 25'!$N:$N, MATCH(A3&amp;"_"&amp;B3&amp;"_"&amp;D3, 'MOT Tables 25'!$A:$A&amp;"_"&amp;'MOT Tables 25'!$B:$B&amp;"_"&amp;'MOT Tables 25'!$C:$C, 0))</f>
        <v/>
      </c>
      <c r="I3" s="613">
        <f>F3-H3</f>
        <v/>
      </c>
      <c r="J3" s="513" t="n">
        <v>2008</v>
      </c>
      <c r="K3" s="689" t="n"/>
      <c r="L3" s="387" t="inlineStr">
        <is>
          <t>M</t>
        </is>
      </c>
      <c r="M3" s="689" t="inlineStr">
        <is>
          <t>200 Free</t>
        </is>
      </c>
      <c r="N3" s="689" t="inlineStr">
        <is>
          <t>Bin Zulβikry Muhammad Dhuha</t>
        </is>
      </c>
      <c r="O3" s="692" t="n">
        <v>17</v>
      </c>
      <c r="P3" s="415" t="inlineStr">
        <is>
          <t>1:51.82</t>
        </is>
      </c>
      <c r="Q3" s="415" t="inlineStr">
        <is>
          <t>1:54.98</t>
        </is>
      </c>
      <c r="R3" s="392" t="n">
        <v>61</v>
      </c>
      <c r="S3" s="689" t="n"/>
      <c r="T3" s="394" t="inlineStr">
        <is>
          <t>F</t>
        </is>
      </c>
      <c r="U3" s="395" t="inlineStr">
        <is>
          <t>100 Breast</t>
        </is>
      </c>
      <c r="V3" s="395" t="inlineStr">
        <is>
          <t>Isabelle Chiyi Buckley</t>
        </is>
      </c>
      <c r="W3" s="396" t="n">
        <v>16</v>
      </c>
      <c r="X3" s="398" t="inlineStr">
        <is>
          <t>1:13.31</t>
        </is>
      </c>
      <c r="Y3" s="398" t="inlineStr">
        <is>
          <t>1:14.20</t>
        </is>
      </c>
      <c r="Z3" s="399" t="n">
        <v>24</v>
      </c>
    </row>
    <row r="4">
      <c r="A4" s="356" t="inlineStr">
        <is>
          <t>M</t>
        </is>
      </c>
      <c r="B4" s="590" t="inlineStr">
        <is>
          <t>100 Free</t>
        </is>
      </c>
      <c r="C4" s="590" t="inlineStr">
        <is>
          <t>LI Jie Goh</t>
        </is>
      </c>
      <c r="D4" s="593">
        <f>2025-J4</f>
        <v/>
      </c>
      <c r="E4" s="661" t="n">
        <v>52.19</v>
      </c>
      <c r="F4" s="593">
        <f>IFERROR(__xludf.DUMMYFUNCTION("LET(
  gen,$A4, ev,$B4, t,$E4,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)"),702.0)</f>
        <v/>
      </c>
      <c r="G4" s="590">
        <f t="array" ref="G4">INDEX('MOT Tables 25'!$M:$M, MATCH(A4&amp;"_"&amp;B4&amp;"_"&amp;D4, 'MOT Tables 25'!$A:$A&amp;"_"&amp;'MOT Tables 25'!$B:$B&amp;"_"&amp;'MOT Tables 25'!$C:$C, 0))
</f>
        <v/>
      </c>
      <c r="H4" s="590">
        <f t="array" ref="H4">INDEX('MOT Tables 25'!$N:$N, MATCH(A4&amp;"_"&amp;B4&amp;"_"&amp;D4, 'MOT Tables 25'!$A:$A&amp;"_"&amp;'MOT Tables 25'!$B:$B&amp;"_"&amp;'MOT Tables 25'!$C:$C, 0))</f>
        <v/>
      </c>
      <c r="I4" s="590">
        <f>F4-H4</f>
        <v/>
      </c>
      <c r="J4" s="512" t="n">
        <v>2008</v>
      </c>
      <c r="K4" s="689" t="n"/>
      <c r="L4" s="387" t="inlineStr">
        <is>
          <t>M</t>
        </is>
      </c>
      <c r="M4" s="689" t="inlineStr">
        <is>
          <t>400 Free</t>
        </is>
      </c>
      <c r="N4" s="689" t="inlineStr">
        <is>
          <t>Bin Zulβikry Muhammad Dhuha</t>
        </is>
      </c>
      <c r="O4" s="692" t="n">
        <v>17</v>
      </c>
      <c r="P4" s="415" t="inlineStr">
        <is>
          <t>3:58.39</t>
        </is>
      </c>
      <c r="Q4" s="415" t="inlineStr">
        <is>
          <t>4:04.07</t>
        </is>
      </c>
      <c r="R4" s="392" t="n">
        <v>53</v>
      </c>
      <c r="S4" s="689" t="n"/>
      <c r="T4" s="387" t="inlineStr">
        <is>
          <t>F</t>
        </is>
      </c>
      <c r="U4" s="689" t="inlineStr">
        <is>
          <t>100 Free</t>
        </is>
      </c>
      <c r="V4" s="689" t="inlineStr">
        <is>
          <t>Lynna Yeow YI Jing</t>
        </is>
      </c>
      <c r="W4" s="692" t="n">
        <v>16</v>
      </c>
      <c r="X4" s="415" t="n">
        <v>58.79</v>
      </c>
      <c r="Y4" s="415" t="inlineStr">
        <is>
          <t>59.07</t>
        </is>
      </c>
      <c r="Z4" s="392" t="n">
        <v>10</v>
      </c>
    </row>
    <row r="5">
      <c r="A5" s="382" t="inlineStr">
        <is>
          <t>M</t>
        </is>
      </c>
      <c r="B5" s="613" t="inlineStr">
        <is>
          <t>1500 Free</t>
        </is>
      </c>
      <c r="C5" s="613" t="inlineStr">
        <is>
          <t>Bin Zulβikry Muhammad Dhuha</t>
        </is>
      </c>
      <c r="D5" s="616">
        <f>2025-J5</f>
        <v/>
      </c>
      <c r="E5" s="665" t="inlineStr">
        <is>
          <t>16:00.77</t>
        </is>
      </c>
      <c r="F5" s="616">
        <f>IFERROR(__xludf.DUMMYFUNCTION("LET(
  gen,$A5, ev,$B5, t,$E5,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)"),744.0)</f>
        <v/>
      </c>
      <c r="G5" s="613">
        <f t="array" ref="G5">INDEX('MOT Tables 25'!$M:$M, MATCH(A5&amp;"_"&amp;B5&amp;"_"&amp;D5, 'MOT Tables 25'!$A:$A&amp;"_"&amp;'MOT Tables 25'!$B:$B&amp;"_"&amp;'MOT Tables 25'!$C:$C, 0))
</f>
        <v/>
      </c>
      <c r="H5" s="613">
        <f t="array" ref="H5">INDEX('MOT Tables 25'!$N:$N, MATCH(A5&amp;"_"&amp;B5&amp;"_"&amp;D5, 'MOT Tables 25'!$A:$A&amp;"_"&amp;'MOT Tables 25'!$B:$B&amp;"_"&amp;'MOT Tables 25'!$C:$C, 0))</f>
        <v/>
      </c>
      <c r="I5" s="613">
        <f>F5-H5</f>
        <v/>
      </c>
      <c r="J5" s="513" t="n">
        <v>2008</v>
      </c>
      <c r="K5" s="689" t="n"/>
      <c r="L5" s="387" t="inlineStr">
        <is>
          <t>M</t>
        </is>
      </c>
      <c r="M5" s="689" t="inlineStr">
        <is>
          <t>100 Free</t>
        </is>
      </c>
      <c r="N5" s="689" t="inlineStr">
        <is>
          <t>LI Jie Goh</t>
        </is>
      </c>
      <c r="O5" s="692" t="n">
        <v>17</v>
      </c>
      <c r="P5" s="415" t="n">
        <v>52.19</v>
      </c>
      <c r="Q5" s="415" t="inlineStr">
        <is>
          <t>53.07</t>
        </is>
      </c>
      <c r="R5" s="392" t="n">
        <v>34</v>
      </c>
      <c r="S5" s="689" t="n"/>
      <c r="T5" s="387" t="inlineStr">
        <is>
          <t>F</t>
        </is>
      </c>
      <c r="U5" s="689" t="inlineStr">
        <is>
          <t>50 Breast</t>
        </is>
      </c>
      <c r="V5" s="689" t="inlineStr">
        <is>
          <t>Isabelle Chiyi Buckley</t>
        </is>
      </c>
      <c r="W5" s="692" t="n">
        <v>16</v>
      </c>
      <c r="X5" s="415" t="n">
        <v>32.84</v>
      </c>
      <c r="Y5" s="415" t="inlineStr">
        <is>
          <t>32.94</t>
        </is>
      </c>
      <c r="Z5" s="392" t="n">
        <v>7</v>
      </c>
    </row>
    <row r="6">
      <c r="A6" s="356" t="inlineStr">
        <is>
          <t>M</t>
        </is>
      </c>
      <c r="B6" s="590" t="inlineStr">
        <is>
          <t>200 Fly</t>
        </is>
      </c>
      <c r="C6" s="590" t="inlineStr">
        <is>
          <t>LI Jie Goh</t>
        </is>
      </c>
      <c r="D6" s="593">
        <f>2025-J6</f>
        <v/>
      </c>
      <c r="E6" s="661" t="inlineStr">
        <is>
          <t>2:05.25</t>
        </is>
      </c>
      <c r="F6" s="593">
        <f>IFERROR(__xludf.DUMMYFUNCTION("LET(
  gen,$A6, ev,$B6, t,$E6,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)"),683.0)</f>
        <v/>
      </c>
      <c r="G6" s="590">
        <f t="array" ref="G6">INDEX('MOT Tables 25'!$M:$M, MATCH(A6&amp;"_"&amp;B6&amp;"_"&amp;D6, 'MOT Tables 25'!$A:$A&amp;"_"&amp;'MOT Tables 25'!$B:$B&amp;"_"&amp;'MOT Tables 25'!$C:$C, 0))
</f>
        <v/>
      </c>
      <c r="H6" s="590">
        <f t="array" ref="H6">INDEX('MOT Tables 25'!$N:$N, MATCH(A6&amp;"_"&amp;B6&amp;"_"&amp;D6, 'MOT Tables 25'!$A:$A&amp;"_"&amp;'MOT Tables 25'!$B:$B&amp;"_"&amp;'MOT Tables 25'!$C:$C, 0))</f>
        <v/>
      </c>
      <c r="I6" s="590">
        <f>F6-H6</f>
        <v/>
      </c>
      <c r="J6" s="512" t="n">
        <v>2008</v>
      </c>
      <c r="K6" s="689" t="n"/>
      <c r="L6" s="387" t="inlineStr">
        <is>
          <t>M</t>
        </is>
      </c>
      <c r="M6" s="689" t="inlineStr">
        <is>
          <t>1500 Free</t>
        </is>
      </c>
      <c r="N6" s="689" t="inlineStr">
        <is>
          <t>Bin Zulβikry Muhammad Dhuha</t>
        </is>
      </c>
      <c r="O6" s="692" t="n">
        <v>17</v>
      </c>
      <c r="P6" s="415" t="inlineStr">
        <is>
          <t>16:00.77</t>
        </is>
      </c>
      <c r="Q6" s="415" t="inlineStr">
        <is>
          <t>16:12.67</t>
        </is>
      </c>
      <c r="R6" s="392" t="n">
        <v>27</v>
      </c>
      <c r="S6" s="689" t="n"/>
      <c r="T6" s="387" t="inlineStr">
        <is>
          <t>F</t>
        </is>
      </c>
      <c r="U6" s="689" t="inlineStr">
        <is>
          <t>100 Back</t>
        </is>
      </c>
      <c r="V6" s="689" t="inlineStr">
        <is>
          <t>Xin Lin Chong</t>
        </is>
      </c>
      <c r="W6" s="692" t="n">
        <v>18</v>
      </c>
      <c r="X6" s="415" t="inlineStr">
        <is>
          <t>1:05.67</t>
        </is>
      </c>
      <c r="Y6" s="415" t="inlineStr">
        <is>
          <t>1:05.28</t>
        </is>
      </c>
      <c r="Z6" s="392" t="n">
        <v>-12</v>
      </c>
    </row>
    <row r="7">
      <c r="A7" s="382" t="inlineStr">
        <is>
          <t>M</t>
        </is>
      </c>
      <c r="B7" s="613" t="inlineStr">
        <is>
          <t>200 IM</t>
        </is>
      </c>
      <c r="C7" s="613" t="inlineStr">
        <is>
          <t>Jing Ngui</t>
        </is>
      </c>
      <c r="D7" s="616">
        <f>2025-J7</f>
        <v/>
      </c>
      <c r="E7" s="665" t="inlineStr">
        <is>
          <t>2:11.55</t>
        </is>
      </c>
      <c r="F7" s="616">
        <f>IFERROR(__xludf.DUMMYFUNCTION("LET(
  gen,$A7, ev,$B7, t,$E7,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)"),650.0)</f>
        <v/>
      </c>
      <c r="G7" s="613">
        <f t="array" ref="G7">INDEX('MOT Tables 25'!$M:$M, MATCH(A7&amp;"_"&amp;B7&amp;"_"&amp;D7, 'MOT Tables 25'!$A:$A&amp;"_"&amp;'MOT Tables 25'!$B:$B&amp;"_"&amp;'MOT Tables 25'!$C:$C, 0))
</f>
        <v/>
      </c>
      <c r="H7" s="613">
        <f t="array" ref="H7">INDEX('MOT Tables 25'!$N:$N, MATCH(A7&amp;"_"&amp;B7&amp;"_"&amp;D7, 'MOT Tables 25'!$A:$A&amp;"_"&amp;'MOT Tables 25'!$B:$B&amp;"_"&amp;'MOT Tables 25'!$C:$C, 0))</f>
        <v/>
      </c>
      <c r="I7" s="613">
        <f>F7-H7</f>
        <v/>
      </c>
      <c r="J7" s="513" t="n">
        <v>2009</v>
      </c>
      <c r="K7" s="689" t="n"/>
      <c r="L7" s="387" t="inlineStr">
        <is>
          <t>M</t>
        </is>
      </c>
      <c r="M7" s="689" t="inlineStr">
        <is>
          <t>200 Fly</t>
        </is>
      </c>
      <c r="N7" s="689" t="inlineStr">
        <is>
          <t>LI Jie Goh</t>
        </is>
      </c>
      <c r="O7" s="692" t="n">
        <v>17</v>
      </c>
      <c r="P7" s="415" t="inlineStr">
        <is>
          <t>2:05.25</t>
        </is>
      </c>
      <c r="Q7" s="415" t="inlineStr">
        <is>
          <t>2:06.02</t>
        </is>
      </c>
      <c r="R7" s="392" t="n">
        <v>12</v>
      </c>
      <c r="S7" s="689" t="n"/>
      <c r="T7" s="387" t="inlineStr">
        <is>
          <t>F</t>
        </is>
      </c>
      <c r="U7" s="689" t="inlineStr">
        <is>
          <t>50 Back</t>
        </is>
      </c>
      <c r="V7" s="689" t="inlineStr">
        <is>
          <t>Xin Lin Chong</t>
        </is>
      </c>
      <c r="W7" s="692" t="n">
        <v>18</v>
      </c>
      <c r="X7" s="415" t="n">
        <v>30.02</v>
      </c>
      <c r="Y7" s="415" t="inlineStr">
        <is>
          <t>29.62</t>
        </is>
      </c>
      <c r="Z7" s="392" t="n">
        <v>-29</v>
      </c>
    </row>
    <row r="8">
      <c r="A8" s="356" t="inlineStr">
        <is>
          <t>M</t>
        </is>
      </c>
      <c r="B8" s="590" t="inlineStr">
        <is>
          <t>100 Breast</t>
        </is>
      </c>
      <c r="C8" s="590" t="inlineStr">
        <is>
          <t>Khai Hern Wan</t>
        </is>
      </c>
      <c r="D8" s="593">
        <f>2025-J8</f>
        <v/>
      </c>
      <c r="E8" s="661" t="inlineStr">
        <is>
          <t>1:06.66</t>
        </is>
      </c>
      <c r="F8" s="593">
        <f>IFERROR(__xludf.DUMMYFUNCTION("LET(
  gen,$A8, ev,$B8, t,$E8,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)"),621.0)</f>
        <v/>
      </c>
      <c r="G8" s="590">
        <f t="array" ref="G8">INDEX('MOT Tables 25'!$M:$M, MATCH(A8&amp;"_"&amp;B8&amp;"_"&amp;D8, 'MOT Tables 25'!$A:$A&amp;"_"&amp;'MOT Tables 25'!$B:$B&amp;"_"&amp;'MOT Tables 25'!$C:$C, 0))
</f>
        <v/>
      </c>
      <c r="H8" s="590">
        <f t="array" ref="H8">INDEX('MOT Tables 25'!$N:$N, MATCH(A8&amp;"_"&amp;B8&amp;"_"&amp;D8, 'MOT Tables 25'!$A:$A&amp;"_"&amp;'MOT Tables 25'!$B:$B&amp;"_"&amp;'MOT Tables 25'!$C:$C, 0))</f>
        <v/>
      </c>
      <c r="I8" s="590">
        <f>F8-H8</f>
        <v/>
      </c>
      <c r="J8" s="512" t="n">
        <v>2008</v>
      </c>
      <c r="K8" s="689" t="n"/>
      <c r="L8" s="387" t="inlineStr">
        <is>
          <t>M</t>
        </is>
      </c>
      <c r="M8" s="689" t="inlineStr">
        <is>
          <t>200 IM</t>
        </is>
      </c>
      <c r="N8" s="689" t="inlineStr">
        <is>
          <t>Jing Ngui</t>
        </is>
      </c>
      <c r="O8" s="692" t="n">
        <v>16</v>
      </c>
      <c r="P8" s="415" t="inlineStr">
        <is>
          <t>2:11.55</t>
        </is>
      </c>
      <c r="Q8" s="415" t="inlineStr">
        <is>
          <t>2:11.15</t>
        </is>
      </c>
      <c r="R8" s="392" t="n">
        <v>-6</v>
      </c>
      <c r="S8" s="689" t="n"/>
      <c r="T8" s="387" t="inlineStr">
        <is>
          <t>F</t>
        </is>
      </c>
      <c r="U8" s="689" t="inlineStr">
        <is>
          <t>200 Breast</t>
        </is>
      </c>
      <c r="V8" s="689" t="inlineStr">
        <is>
          <t>Sue Enn Khoo</t>
        </is>
      </c>
      <c r="W8" s="692" t="n">
        <v>16</v>
      </c>
      <c r="X8" s="415" t="inlineStr">
        <is>
          <t>2:41.57</t>
        </is>
      </c>
      <c r="Y8" s="415" t="inlineStr">
        <is>
          <t>2:37.76</t>
        </is>
      </c>
      <c r="Z8" s="392" t="n">
        <v>-45</v>
      </c>
    </row>
    <row r="9">
      <c r="A9" s="382" t="inlineStr">
        <is>
          <t>M</t>
        </is>
      </c>
      <c r="B9" s="613" t="inlineStr">
        <is>
          <t>400 IM</t>
        </is>
      </c>
      <c r="C9" s="613" t="inlineStr">
        <is>
          <t>Jing Ngui</t>
        </is>
      </c>
      <c r="D9" s="616">
        <f>2025-J9</f>
        <v/>
      </c>
      <c r="E9" s="665" t="inlineStr">
        <is>
          <t>4:43.54</t>
        </is>
      </c>
      <c r="F9" s="616">
        <f>IFERROR(__xludf.DUMMYFUNCTION("LET(
  gen,$A9, ev,$B9, t,$E9,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)"),625.0)</f>
        <v/>
      </c>
      <c r="G9" s="613">
        <f t="array" ref="G9">INDEX('MOT Tables 25'!$M:$M, MATCH(A9&amp;"_"&amp;B9&amp;"_"&amp;D9, 'MOT Tables 25'!$A:$A&amp;"_"&amp;'MOT Tables 25'!$B:$B&amp;"_"&amp;'MOT Tables 25'!$C:$C, 0))
</f>
        <v/>
      </c>
      <c r="H9" s="613">
        <f t="array" ref="H9">INDEX('MOT Tables 25'!$N:$N, MATCH(A9&amp;"_"&amp;B9&amp;"_"&amp;D9, 'MOT Tables 25'!$A:$A&amp;"_"&amp;'MOT Tables 25'!$B:$B&amp;"_"&amp;'MOT Tables 25'!$C:$C, 0))</f>
        <v/>
      </c>
      <c r="I9" s="613">
        <f>F9-H9</f>
        <v/>
      </c>
      <c r="J9" s="513" t="n">
        <v>2009</v>
      </c>
      <c r="K9" s="689" t="n"/>
      <c r="L9" s="387" t="inlineStr">
        <is>
          <t>M</t>
        </is>
      </c>
      <c r="M9" s="689" t="inlineStr">
        <is>
          <t>100 Breast</t>
        </is>
      </c>
      <c r="N9" s="689" t="inlineStr">
        <is>
          <t>Khai Hern Wan</t>
        </is>
      </c>
      <c r="O9" s="692" t="n">
        <v>17</v>
      </c>
      <c r="P9" s="415" t="inlineStr">
        <is>
          <t>1:06.66</t>
        </is>
      </c>
      <c r="Q9" s="415" t="inlineStr">
        <is>
          <t>1:06.28</t>
        </is>
      </c>
      <c r="R9" s="392" t="n">
        <v>-11</v>
      </c>
      <c r="S9" s="689" t="n"/>
      <c r="T9" s="387" t="inlineStr">
        <is>
          <t>F</t>
        </is>
      </c>
      <c r="U9" s="689" t="inlineStr">
        <is>
          <t>200 Back</t>
        </is>
      </c>
      <c r="V9" s="689" t="inlineStr">
        <is>
          <t>Jie Xin Rainne Foo</t>
        </is>
      </c>
      <c r="W9" s="692" t="n">
        <v>16</v>
      </c>
      <c r="X9" s="415" t="inlineStr">
        <is>
          <t>2:27.07</t>
        </is>
      </c>
      <c r="Y9" s="415" t="inlineStr">
        <is>
          <t>2:23.41</t>
        </is>
      </c>
      <c r="Z9" s="392" t="n">
        <v>-47</v>
      </c>
    </row>
    <row r="10">
      <c r="A10" s="356" t="inlineStr">
        <is>
          <t>M</t>
        </is>
      </c>
      <c r="B10" s="590" t="inlineStr">
        <is>
          <t>50 Breast</t>
        </is>
      </c>
      <c r="C10" s="590" t="inlineStr">
        <is>
          <t>Yuen Zer Ooi</t>
        </is>
      </c>
      <c r="D10" s="593">
        <f>2025-J10</f>
        <v/>
      </c>
      <c r="E10" s="661" t="n">
        <v>30.04</v>
      </c>
      <c r="F10" s="593">
        <f>IFERROR(__xludf.DUMMYFUNCTION("LET(
  gen,$A10, ev,$B10, t,$E10,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)"),644.0)</f>
        <v/>
      </c>
      <c r="G10" s="590">
        <f t="array" ref="G10">INDEX('MOT Tables 25'!$M:$M, MATCH(A10&amp;"_"&amp;B10&amp;"_"&amp;D10, 'MOT Tables 25'!$A:$A&amp;"_"&amp;'MOT Tables 25'!$B:$B&amp;"_"&amp;'MOT Tables 25'!$C:$C, 0))
</f>
        <v/>
      </c>
      <c r="H10" s="590">
        <f t="array" ref="H10">INDEX('MOT Tables 25'!$N:$N, MATCH(A10&amp;"_"&amp;B10&amp;"_"&amp;D10, 'MOT Tables 25'!$A:$A&amp;"_"&amp;'MOT Tables 25'!$B:$B&amp;"_"&amp;'MOT Tables 25'!$C:$C, 0))</f>
        <v/>
      </c>
      <c r="I10" s="590">
        <f>F10-H10</f>
        <v/>
      </c>
      <c r="J10" s="512" t="n">
        <v>2007</v>
      </c>
      <c r="K10" s="689" t="n"/>
      <c r="L10" s="387" t="inlineStr">
        <is>
          <t>M</t>
        </is>
      </c>
      <c r="M10" s="689" t="inlineStr">
        <is>
          <t>400 IM</t>
        </is>
      </c>
      <c r="N10" s="689" t="inlineStr">
        <is>
          <t>Jing Ngui</t>
        </is>
      </c>
      <c r="O10" s="692" t="n">
        <v>16</v>
      </c>
      <c r="P10" s="415" t="inlineStr">
        <is>
          <t>4:43.54</t>
        </is>
      </c>
      <c r="Q10" s="415" t="inlineStr">
        <is>
          <t>4:40.39</t>
        </is>
      </c>
      <c r="R10" s="392" t="n">
        <v>-21</v>
      </c>
      <c r="S10" s="689" t="n"/>
      <c r="T10" s="387" t="inlineStr">
        <is>
          <t>F</t>
        </is>
      </c>
      <c r="U10" s="689" t="inlineStr">
        <is>
          <t>100 Fly</t>
        </is>
      </c>
      <c r="V10" s="689" t="inlineStr">
        <is>
          <t>Morgan Eleven Teo</t>
        </is>
      </c>
      <c r="W10" s="692" t="n">
        <v>18</v>
      </c>
      <c r="X10" s="415" t="inlineStr">
        <is>
          <t>1:03.98</t>
        </is>
      </c>
      <c r="Y10" s="415" t="inlineStr">
        <is>
          <t>1:02.28</t>
        </is>
      </c>
      <c r="Z10" s="392" t="n">
        <v>-54</v>
      </c>
    </row>
    <row r="11">
      <c r="A11" s="382" t="inlineStr">
        <is>
          <t>M</t>
        </is>
      </c>
      <c r="B11" s="613" t="inlineStr">
        <is>
          <t>50 Free</t>
        </is>
      </c>
      <c r="C11" s="613" t="inlineStr">
        <is>
          <t>Ryan EE Tian Aymes</t>
        </is>
      </c>
      <c r="D11" s="616">
        <f>2025-J11</f>
        <v/>
      </c>
      <c r="E11" s="665" t="n">
        <v>24.34</v>
      </c>
      <c r="F11" s="616">
        <f>IFERROR(__xludf.DUMMYFUNCTION("LET(
  gen,$A11, ev,$B11, t,$E11,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)"),634.0)</f>
        <v/>
      </c>
      <c r="G11" s="613">
        <f t="array" ref="G11">INDEX('MOT Tables 25'!$M:$M, MATCH(A11&amp;"_"&amp;B11&amp;"_"&amp;D11, 'MOT Tables 25'!$A:$A&amp;"_"&amp;'MOT Tables 25'!$B:$B&amp;"_"&amp;'MOT Tables 25'!$C:$C, 0))
</f>
        <v/>
      </c>
      <c r="H11" s="613">
        <f t="array" ref="H11">INDEX('MOT Tables 25'!$N:$N, MATCH(A11&amp;"_"&amp;B11&amp;"_"&amp;D11, 'MOT Tables 25'!$A:$A&amp;"_"&amp;'MOT Tables 25'!$B:$B&amp;"_"&amp;'MOT Tables 25'!$C:$C, 0))</f>
        <v/>
      </c>
      <c r="I11" s="613">
        <f>F11-H11</f>
        <v/>
      </c>
      <c r="J11" s="513" t="n">
        <v>2007</v>
      </c>
      <c r="K11" s="689" t="n"/>
      <c r="L11" s="387" t="inlineStr">
        <is>
          <t>M</t>
        </is>
      </c>
      <c r="M11" s="689" t="inlineStr">
        <is>
          <t>50 Breast</t>
        </is>
      </c>
      <c r="N11" s="689" t="inlineStr">
        <is>
          <t>Yuen Zer Ooi</t>
        </is>
      </c>
      <c r="O11" s="692" t="n">
        <v>18</v>
      </c>
      <c r="P11" s="415" t="n">
        <v>30.04</v>
      </c>
      <c r="Q11" s="415" t="inlineStr">
        <is>
          <t>29.63</t>
        </is>
      </c>
      <c r="R11" s="392" t="n">
        <v>-27</v>
      </c>
      <c r="S11" s="689" t="n"/>
      <c r="T11" s="387" t="inlineStr">
        <is>
          <t>F</t>
        </is>
      </c>
      <c r="U11" s="689" t="inlineStr">
        <is>
          <t>50 Free</t>
        </is>
      </c>
      <c r="V11" s="689" t="inlineStr">
        <is>
          <t>Wei YI Kaelyn Chee</t>
        </is>
      </c>
      <c r="W11" s="692" t="n">
        <v>16</v>
      </c>
      <c r="X11" s="415" t="n">
        <v>27.36</v>
      </c>
      <c r="Y11" s="415" t="inlineStr">
        <is>
          <t>26.63</t>
        </is>
      </c>
      <c r="Z11" s="392" t="n">
        <v>-54</v>
      </c>
    </row>
    <row r="12">
      <c r="A12" s="356" t="inlineStr">
        <is>
          <t>M</t>
        </is>
      </c>
      <c r="B12" s="590" t="inlineStr">
        <is>
          <t>50 Back</t>
        </is>
      </c>
      <c r="C12" s="590" t="inlineStr">
        <is>
          <t>Yi Quan Dylan Leong</t>
        </is>
      </c>
      <c r="D12" s="593">
        <f>2025-J12</f>
        <v/>
      </c>
      <c r="E12" s="661" t="n">
        <v>27.82</v>
      </c>
      <c r="F12" s="593">
        <f>IFERROR(__xludf.DUMMYFUNCTION("LET(
  gen,$A12, ev,$B12, t,$E12,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)"),606.0)</f>
        <v/>
      </c>
      <c r="G12" s="590">
        <f t="array" ref="G12">INDEX('MOT Tables 25'!$M:$M, MATCH(A12&amp;"_"&amp;B12&amp;"_"&amp;D12, 'MOT Tables 25'!$A:$A&amp;"_"&amp;'MOT Tables 25'!$B:$B&amp;"_"&amp;'MOT Tables 25'!$C:$C, 0))
</f>
        <v/>
      </c>
      <c r="H12" s="590">
        <f t="array" ref="H12">INDEX('MOT Tables 25'!$N:$N, MATCH(A12&amp;"_"&amp;B12&amp;"_"&amp;D12, 'MOT Tables 25'!$A:$A&amp;"_"&amp;'MOT Tables 25'!$B:$B&amp;"_"&amp;'MOT Tables 25'!$C:$C, 0))</f>
        <v/>
      </c>
      <c r="I12" s="590">
        <f>F12-H12</f>
        <v/>
      </c>
      <c r="J12" s="512" t="n">
        <v>2008</v>
      </c>
      <c r="K12" s="689" t="n"/>
      <c r="L12" s="387" t="inlineStr">
        <is>
          <t>M</t>
        </is>
      </c>
      <c r="M12" s="689" t="inlineStr">
        <is>
          <t>50 Free</t>
        </is>
      </c>
      <c r="N12" s="689" t="inlineStr">
        <is>
          <t>Ryan EE Tian Aymes</t>
        </is>
      </c>
      <c r="O12" s="692" t="n">
        <v>18</v>
      </c>
      <c r="P12" s="415" t="n">
        <v>24.34</v>
      </c>
      <c r="Q12" s="415" t="inlineStr">
        <is>
          <t>23.92</t>
        </is>
      </c>
      <c r="R12" s="392" t="n">
        <v>-34</v>
      </c>
      <c r="S12" s="689" t="n"/>
      <c r="T12" s="387" t="inlineStr">
        <is>
          <t>F</t>
        </is>
      </c>
      <c r="U12" s="689" t="inlineStr">
        <is>
          <t>200 Free</t>
        </is>
      </c>
      <c r="V12" s="689" t="inlineStr">
        <is>
          <t>Lynna Yeow YI Jing</t>
        </is>
      </c>
      <c r="W12" s="692" t="n">
        <v>16</v>
      </c>
      <c r="X12" s="415" t="inlineStr">
        <is>
          <t>2:11.07</t>
        </is>
      </c>
      <c r="Y12" s="415" t="inlineStr">
        <is>
          <t>2:07.42</t>
        </is>
      </c>
      <c r="Z12" s="392" t="n">
        <v>-56</v>
      </c>
    </row>
    <row r="13">
      <c r="A13" s="382" t="inlineStr">
        <is>
          <t>M</t>
        </is>
      </c>
      <c r="B13" s="613" t="inlineStr">
        <is>
          <t>100 Back</t>
        </is>
      </c>
      <c r="C13" s="613" t="inlineStr">
        <is>
          <t>Yi Quan Dylan Leong</t>
        </is>
      </c>
      <c r="D13" s="616">
        <f>2025-J13</f>
        <v/>
      </c>
      <c r="E13" s="665" t="inlineStr">
        <is>
          <t>1:00.13</t>
        </is>
      </c>
      <c r="F13" s="616">
        <f>IFERROR(__xludf.DUMMYFUNCTION("LET(
  gen,$A13, ev,$B13, t,$E13,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)"),631.0)</f>
        <v/>
      </c>
      <c r="G13" s="613">
        <f t="array" ref="G13">INDEX('MOT Tables 25'!$M:$M, MATCH(A13&amp;"_"&amp;B13&amp;"_"&amp;D13, 'MOT Tables 25'!$A:$A&amp;"_"&amp;'MOT Tables 25'!$B:$B&amp;"_"&amp;'MOT Tables 25'!$C:$C, 0))
</f>
        <v/>
      </c>
      <c r="H13" s="613">
        <f t="array" ref="H13">INDEX('MOT Tables 25'!$N:$N, MATCH(A13&amp;"_"&amp;B13&amp;"_"&amp;D13, 'MOT Tables 25'!$A:$A&amp;"_"&amp;'MOT Tables 25'!$B:$B&amp;"_"&amp;'MOT Tables 25'!$C:$C, 0))</f>
        <v/>
      </c>
      <c r="I13" s="613">
        <f>F13-H13</f>
        <v/>
      </c>
      <c r="J13" s="513" t="n">
        <v>2008</v>
      </c>
      <c r="K13" s="689" t="n"/>
      <c r="L13" s="387" t="inlineStr">
        <is>
          <t>M</t>
        </is>
      </c>
      <c r="M13" s="689" t="inlineStr">
        <is>
          <t>50 Back</t>
        </is>
      </c>
      <c r="N13" s="689" t="inlineStr">
        <is>
          <t>Yi Quan Dylan Leong</t>
        </is>
      </c>
      <c r="O13" s="692" t="n">
        <v>17</v>
      </c>
      <c r="P13" s="415" t="n">
        <v>27.82</v>
      </c>
      <c r="Q13" s="415" t="inlineStr">
        <is>
          <t>27.28</t>
        </is>
      </c>
      <c r="R13" s="392" t="n">
        <v>-37</v>
      </c>
      <c r="S13" s="689" t="n"/>
      <c r="T13" s="387" t="inlineStr">
        <is>
          <t>F</t>
        </is>
      </c>
      <c r="U13" s="689" t="inlineStr">
        <is>
          <t>50 Fly</t>
        </is>
      </c>
      <c r="V13" s="689" t="inlineStr">
        <is>
          <t>Natalie Suyin Buckley</t>
        </is>
      </c>
      <c r="W13" s="692" t="n">
        <v>18</v>
      </c>
      <c r="X13" s="415" t="n">
        <v>28.64</v>
      </c>
      <c r="Y13" s="415" t="inlineStr">
        <is>
          <t>27.61</t>
        </is>
      </c>
      <c r="Z13" s="392" t="n">
        <v>-72</v>
      </c>
    </row>
    <row r="14">
      <c r="A14" s="356" t="inlineStr">
        <is>
          <t>M</t>
        </is>
      </c>
      <c r="B14" s="590" t="inlineStr">
        <is>
          <t>50 Fly</t>
        </is>
      </c>
      <c r="C14" s="590" t="inlineStr">
        <is>
          <t>Abdul Karim Jaafar Bin Azhar</t>
        </is>
      </c>
      <c r="D14" s="593">
        <f>2025-J14</f>
        <v/>
      </c>
      <c r="E14" s="661" t="n">
        <v>25.94</v>
      </c>
      <c r="F14" s="593">
        <f>IFERROR(__xludf.DUMMYFUNCTION("LET(
  gen,$A14, ev,$B14, t,$E14,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)"),632.0)</f>
        <v/>
      </c>
      <c r="G14" s="590">
        <f t="array" ref="G14">INDEX('MOT Tables 25'!$M:$M, MATCH(A14&amp;"_"&amp;B14&amp;"_"&amp;D14, 'MOT Tables 25'!$A:$A&amp;"_"&amp;'MOT Tables 25'!$B:$B&amp;"_"&amp;'MOT Tables 25'!$C:$C, 0))
</f>
        <v/>
      </c>
      <c r="H14" s="590">
        <f t="array" ref="H14">INDEX('MOT Tables 25'!$N:$N, MATCH(A14&amp;"_"&amp;B14&amp;"_"&amp;D14, 'MOT Tables 25'!$A:$A&amp;"_"&amp;'MOT Tables 25'!$B:$B&amp;"_"&amp;'MOT Tables 25'!$C:$C, 0))</f>
        <v/>
      </c>
      <c r="I14" s="590">
        <f>F14-H14</f>
        <v/>
      </c>
      <c r="J14" s="512" t="n">
        <v>2008</v>
      </c>
      <c r="K14" s="689" t="n"/>
      <c r="L14" s="387" t="inlineStr">
        <is>
          <t>M</t>
        </is>
      </c>
      <c r="M14" s="689" t="inlineStr">
        <is>
          <t>100 Back</t>
        </is>
      </c>
      <c r="N14" s="689" t="inlineStr">
        <is>
          <t>Yi Quan Dylan Leong</t>
        </is>
      </c>
      <c r="O14" s="692" t="n">
        <v>17</v>
      </c>
      <c r="P14" s="415" t="inlineStr">
        <is>
          <t>1:00.13</t>
        </is>
      </c>
      <c r="Q14" s="415" t="inlineStr">
        <is>
          <t>59.00</t>
        </is>
      </c>
      <c r="R14" s="392" t="n">
        <v>-37</v>
      </c>
      <c r="S14" s="689" t="n"/>
      <c r="T14" s="387" t="inlineStr">
        <is>
          <t>F</t>
        </is>
      </c>
      <c r="U14" s="689" t="inlineStr">
        <is>
          <t>200 Fly</t>
        </is>
      </c>
      <c r="V14" s="689" t="inlineStr">
        <is>
          <t>Yue Lynn Mishya Khor</t>
        </is>
      </c>
      <c r="W14" s="692" t="n">
        <v>16</v>
      </c>
      <c r="X14" s="415" t="inlineStr">
        <is>
          <t>2:25.85</t>
        </is>
      </c>
      <c r="Y14" s="415" t="inlineStr">
        <is>
          <t>2:19.45</t>
        </is>
      </c>
      <c r="Z14" s="392" t="n">
        <v>-84</v>
      </c>
    </row>
    <row r="15">
      <c r="A15" s="382" t="inlineStr">
        <is>
          <t>M</t>
        </is>
      </c>
      <c r="B15" s="613" t="inlineStr">
        <is>
          <t>200 Breast</t>
        </is>
      </c>
      <c r="C15" s="613" t="inlineStr">
        <is>
          <t>Khai Hern Wan</t>
        </is>
      </c>
      <c r="D15" s="616">
        <f>2025-J15</f>
        <v/>
      </c>
      <c r="E15" s="665" t="inlineStr">
        <is>
          <t>2:25.97</t>
        </is>
      </c>
      <c r="F15" s="616">
        <f>IFERROR(__xludf.DUMMYFUNCTION("LET(
  gen,$A15, ev,$B15, t,$E15,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)"),635.0)</f>
        <v/>
      </c>
      <c r="G15" s="613">
        <f t="array" ref="G15">INDEX('MOT Tables 25'!$M:$M, MATCH(A15&amp;"_"&amp;B15&amp;"_"&amp;D15, 'MOT Tables 25'!$A:$A&amp;"_"&amp;'MOT Tables 25'!$B:$B&amp;"_"&amp;'MOT Tables 25'!$C:$C, 0))
</f>
        <v/>
      </c>
      <c r="H15" s="613">
        <f t="array" ref="H15">INDEX('MOT Tables 25'!$N:$N, MATCH(A15&amp;"_"&amp;B15&amp;"_"&amp;D15, 'MOT Tables 25'!$A:$A&amp;"_"&amp;'MOT Tables 25'!$B:$B&amp;"_"&amp;'MOT Tables 25'!$C:$C, 0))</f>
        <v/>
      </c>
      <c r="I15" s="613">
        <f>F15-H15</f>
        <v/>
      </c>
      <c r="J15" s="513" t="n">
        <v>2008</v>
      </c>
      <c r="K15" s="689" t="n"/>
      <c r="L15" s="387" t="inlineStr">
        <is>
          <t>M</t>
        </is>
      </c>
      <c r="M15" s="689" t="inlineStr">
        <is>
          <t>50 Fly</t>
        </is>
      </c>
      <c r="N15" s="689" t="inlineStr">
        <is>
          <t>Abdul Karim Jaafar Bin Azhar</t>
        </is>
      </c>
      <c r="O15" s="692" t="n">
        <v>17</v>
      </c>
      <c r="P15" s="415" t="n">
        <v>25.94</v>
      </c>
      <c r="Q15" s="415" t="inlineStr">
        <is>
          <t>25.42</t>
        </is>
      </c>
      <c r="R15" s="392" t="n">
        <v>-40</v>
      </c>
      <c r="S15" s="689" t="n"/>
      <c r="T15" s="387" t="inlineStr">
        <is>
          <t>F</t>
        </is>
      </c>
      <c r="U15" s="689" t="inlineStr">
        <is>
          <t>200 IM</t>
        </is>
      </c>
      <c r="V15" s="689" t="inlineStr">
        <is>
          <t>Sue Enn Khoo</t>
        </is>
      </c>
      <c r="W15" s="692" t="n">
        <v>16</v>
      </c>
      <c r="X15" s="415" t="inlineStr">
        <is>
          <t>2:28.67</t>
        </is>
      </c>
      <c r="Y15" s="415" t="inlineStr">
        <is>
          <t>2:20.83</t>
        </is>
      </c>
      <c r="Z15" s="392" t="n">
        <v>-108</v>
      </c>
    </row>
    <row r="16">
      <c r="A16" s="356" t="inlineStr">
        <is>
          <t>M</t>
        </is>
      </c>
      <c r="B16" s="590" t="inlineStr">
        <is>
          <t>100 Fly</t>
        </is>
      </c>
      <c r="C16" s="590" t="inlineStr">
        <is>
          <t>Bin Zulβikry Muhammad Dhuha</t>
        </is>
      </c>
      <c r="D16" s="593">
        <f>2025-J16</f>
        <v/>
      </c>
      <c r="E16" s="661" t="n">
        <v>57.05</v>
      </c>
      <c r="F16" s="593">
        <f>IFERROR(__xludf.DUMMYFUNCTION("LET(
  gen,$A16, ev,$B16, t,$E16,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)"),651.0)</f>
        <v/>
      </c>
      <c r="G16" s="590">
        <f t="array" ref="G16">INDEX('MOT Tables 25'!$M:$M, MATCH(A16&amp;"_"&amp;B16&amp;"_"&amp;D16, 'MOT Tables 25'!$A:$A&amp;"_"&amp;'MOT Tables 25'!$B:$B&amp;"_"&amp;'MOT Tables 25'!$C:$C, 0))
</f>
        <v/>
      </c>
      <c r="H16" s="590">
        <f t="array" ref="H16">INDEX('MOT Tables 25'!$N:$N, MATCH(A16&amp;"_"&amp;B16&amp;"_"&amp;D16, 'MOT Tables 25'!$A:$A&amp;"_"&amp;'MOT Tables 25'!$B:$B&amp;"_"&amp;'MOT Tables 25'!$C:$C, 0))</f>
        <v/>
      </c>
      <c r="I16" s="590">
        <f>F16-H16</f>
        <v/>
      </c>
      <c r="J16" s="512" t="n">
        <v>2008</v>
      </c>
      <c r="K16" s="689" t="n"/>
      <c r="L16" s="387" t="inlineStr">
        <is>
          <t>M</t>
        </is>
      </c>
      <c r="M16" s="689" t="inlineStr">
        <is>
          <t>200 Breast</t>
        </is>
      </c>
      <c r="N16" s="689" t="inlineStr">
        <is>
          <t>Khai Hern Wan</t>
        </is>
      </c>
      <c r="O16" s="692" t="n">
        <v>17</v>
      </c>
      <c r="P16" s="415" t="inlineStr">
        <is>
          <t>2:25.97</t>
        </is>
      </c>
      <c r="Q16" s="415" t="inlineStr">
        <is>
          <t>2:22.83</t>
        </is>
      </c>
      <c r="R16" s="392" t="n">
        <v>-43</v>
      </c>
      <c r="S16" s="689" t="n"/>
      <c r="T16" s="387" t="inlineStr">
        <is>
          <t>F</t>
        </is>
      </c>
      <c r="U16" s="689" t="inlineStr">
        <is>
          <t>800 Free</t>
        </is>
      </c>
      <c r="V16" s="689" t="inlineStr">
        <is>
          <t>Yun Xuan Yeoh</t>
        </is>
      </c>
      <c r="W16" s="692" t="n">
        <v>16</v>
      </c>
      <c r="X16" s="415" t="inlineStr">
        <is>
          <t>9:43.97</t>
        </is>
      </c>
      <c r="Y16" s="415" t="inlineStr">
        <is>
          <t>9:08.87</t>
        </is>
      </c>
      <c r="Z16" s="392" t="n">
        <v>-117</v>
      </c>
    </row>
    <row r="17">
      <c r="A17" s="382" t="inlineStr">
        <is>
          <t>M</t>
        </is>
      </c>
      <c r="B17" s="613" t="inlineStr">
        <is>
          <t>200 Back</t>
        </is>
      </c>
      <c r="C17" s="613" t="inlineStr">
        <is>
          <t>Yi Quan Dylan Leong</t>
        </is>
      </c>
      <c r="D17" s="616">
        <f>2025-J17</f>
        <v/>
      </c>
      <c r="E17" s="665" t="inlineStr">
        <is>
          <t>2:13.54</t>
        </is>
      </c>
      <c r="F17" s="616">
        <f>IFERROR(__xludf.DUMMYFUNCTION("LET(
  gen,$A17, ev,$B17, t,$E17,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)"),588.0)</f>
        <v/>
      </c>
      <c r="G17" s="613">
        <f t="array" ref="G17">INDEX('MOT Tables 25'!$M:$M, MATCH(A17&amp;"_"&amp;B17&amp;"_"&amp;D17, 'MOT Tables 25'!$A:$A&amp;"_"&amp;'MOT Tables 25'!$B:$B&amp;"_"&amp;'MOT Tables 25'!$C:$C, 0))
</f>
        <v/>
      </c>
      <c r="H17" s="613">
        <f t="array" ref="H17">INDEX('MOT Tables 25'!$N:$N, MATCH(A17&amp;"_"&amp;B17&amp;"_"&amp;D17, 'MOT Tables 25'!$A:$A&amp;"_"&amp;'MOT Tables 25'!$B:$B&amp;"_"&amp;'MOT Tables 25'!$C:$C, 0))</f>
        <v/>
      </c>
      <c r="I17" s="613">
        <f>F17-H17</f>
        <v/>
      </c>
      <c r="J17" s="513" t="n">
        <v>2009</v>
      </c>
      <c r="K17" s="689" t="n"/>
      <c r="L17" s="387" t="inlineStr">
        <is>
          <t>M</t>
        </is>
      </c>
      <c r="M17" s="689" t="inlineStr">
        <is>
          <t>100 Fly</t>
        </is>
      </c>
      <c r="N17" s="689" t="inlineStr">
        <is>
          <t>Bin Zulβikry Muhammad Dhuha</t>
        </is>
      </c>
      <c r="O17" s="692" t="n">
        <v>17</v>
      </c>
      <c r="P17" s="415" t="n">
        <v>57.05</v>
      </c>
      <c r="Q17" s="415" t="inlineStr">
        <is>
          <t>55.60</t>
        </is>
      </c>
      <c r="R17" s="392" t="n">
        <v>-52</v>
      </c>
      <c r="S17" s="689" t="n"/>
      <c r="T17" s="387" t="inlineStr">
        <is>
          <t>F</t>
        </is>
      </c>
      <c r="U17" s="689" t="inlineStr">
        <is>
          <t>400 Free</t>
        </is>
      </c>
      <c r="V17" s="689" t="inlineStr">
        <is>
          <t>Lynna Yeow YI Jing</t>
        </is>
      </c>
      <c r="W17" s="692" t="n">
        <v>16</v>
      </c>
      <c r="X17" s="415" t="inlineStr">
        <is>
          <t>4:42.08</t>
        </is>
      </c>
      <c r="Y17" s="415" t="inlineStr">
        <is>
          <t>4:24.02</t>
        </is>
      </c>
      <c r="Z17" s="392" t="n">
        <v>-127</v>
      </c>
    </row>
    <row r="18">
      <c r="A18" s="356" t="inlineStr">
        <is>
          <t>M</t>
        </is>
      </c>
      <c r="B18" s="590" t="inlineStr">
        <is>
          <t>800 Free</t>
        </is>
      </c>
      <c r="C18" s="590" t="inlineStr">
        <is>
          <t>Chong Samuel Lai</t>
        </is>
      </c>
      <c r="D18" s="593">
        <f>2025-J18</f>
        <v/>
      </c>
      <c r="E18" s="661" t="inlineStr">
        <is>
          <t>8:47.59</t>
        </is>
      </c>
      <c r="F18" s="593">
        <f>IFERROR(__xludf.DUMMYFUNCTION("LET(
  gen,$A18, ev,$B18, t,$E18,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)"),629.0)</f>
        <v/>
      </c>
      <c r="G18" s="590">
        <f t="array" ref="G18">INDEX('MOT Tables 25'!$M:$M, MATCH(A18&amp;"_"&amp;B18&amp;"_"&amp;D18, 'MOT Tables 25'!$A:$A&amp;"_"&amp;'MOT Tables 25'!$B:$B&amp;"_"&amp;'MOT Tables 25'!$C:$C, 0))
</f>
        <v/>
      </c>
      <c r="H18" s="590">
        <f t="array" ref="H18">INDEX('MOT Tables 25'!$N:$N, MATCH(A18&amp;"_"&amp;B18&amp;"_"&amp;D18, 'MOT Tables 25'!$A:$A&amp;"_"&amp;'MOT Tables 25'!$B:$B&amp;"_"&amp;'MOT Tables 25'!$C:$C, 0))</f>
        <v/>
      </c>
      <c r="I18" s="590">
        <f>F18-H18</f>
        <v/>
      </c>
      <c r="J18" s="512" t="n">
        <v>2007</v>
      </c>
      <c r="K18" s="689" t="n"/>
      <c r="L18" s="387" t="inlineStr">
        <is>
          <t>M</t>
        </is>
      </c>
      <c r="M18" s="689" t="inlineStr">
        <is>
          <t>200 Back</t>
        </is>
      </c>
      <c r="N18" s="689" t="inlineStr">
        <is>
          <t>Yi Quan Dylan Leong</t>
        </is>
      </c>
      <c r="O18" s="692" t="n">
        <v>16</v>
      </c>
      <c r="P18" s="415" t="inlineStr">
        <is>
          <t>2:13.54</t>
        </is>
      </c>
      <c r="Q18" s="415" t="inlineStr">
        <is>
          <t>2:08.82</t>
        </is>
      </c>
      <c r="R18" s="392" t="n">
        <v>-67</v>
      </c>
      <c r="S18" s="689" t="n"/>
      <c r="T18" s="387" t="inlineStr">
        <is>
          <t>F</t>
        </is>
      </c>
      <c r="U18" s="689" t="inlineStr">
        <is>
          <t>400 IM</t>
        </is>
      </c>
      <c r="V18" s="689" t="inlineStr">
        <is>
          <t>Sue Enn Khoo</t>
        </is>
      </c>
      <c r="W18" s="692" t="n">
        <v>16</v>
      </c>
      <c r="X18" s="415" t="inlineStr">
        <is>
          <t>5:25.06</t>
        </is>
      </c>
      <c r="Y18" s="415" t="inlineStr">
        <is>
          <t>4:59.51</t>
        </is>
      </c>
      <c r="Z18" s="392" t="n">
        <v>-149</v>
      </c>
    </row>
    <row r="19">
      <c r="A19" s="382" t="inlineStr">
        <is>
          <t>F</t>
        </is>
      </c>
      <c r="B19" s="613" t="inlineStr">
        <is>
          <t>1500 Free</t>
        </is>
      </c>
      <c r="C19" s="613" t="inlineStr">
        <is>
          <t>Yuan YI Chong</t>
        </is>
      </c>
      <c r="D19" s="616">
        <f>2025-J19</f>
        <v/>
      </c>
      <c r="E19" s="665" t="inlineStr">
        <is>
          <t>19:07.07</t>
        </is>
      </c>
      <c r="F19" s="616">
        <f>IFERROR(__xludf.DUMMYFUNCTION("LET(
  gen,$A19, ev,$B19, t,$E19,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)"),516.0)</f>
        <v/>
      </c>
      <c r="G19" s="613">
        <f t="array" ref="G19">INDEX('MOT Tables 25'!$M:$M, MATCH(A19&amp;"_"&amp;B19&amp;"_"&amp;D19, 'MOT Tables 25'!$A:$A&amp;"_"&amp;'MOT Tables 25'!$B:$B&amp;"_"&amp;'MOT Tables 25'!$C:$C, 0))
</f>
        <v/>
      </c>
      <c r="H19" s="613">
        <f t="array" ref="H19">INDEX('MOT Tables 25'!$N:$N, MATCH(A19&amp;"_"&amp;B19&amp;"_"&amp;D19, 'MOT Tables 25'!$A:$A&amp;"_"&amp;'MOT Tables 25'!$B:$B&amp;"_"&amp;'MOT Tables 25'!$C:$C, 0))</f>
        <v/>
      </c>
      <c r="I19" s="613">
        <f>F19-H19</f>
        <v/>
      </c>
      <c r="J19" s="513" t="n">
        <v>2009</v>
      </c>
      <c r="K19" s="689" t="n"/>
      <c r="L19" s="400" t="inlineStr">
        <is>
          <t>M</t>
        </is>
      </c>
      <c r="M19" s="401" t="inlineStr">
        <is>
          <t>800 Free</t>
        </is>
      </c>
      <c r="N19" s="401" t="inlineStr">
        <is>
          <t>Chong Samuel Lai</t>
        </is>
      </c>
      <c r="O19" s="402" t="n">
        <v>18</v>
      </c>
      <c r="P19" s="404" t="inlineStr">
        <is>
          <t>8:47.59</t>
        </is>
      </c>
      <c r="Q19" s="404" t="inlineStr">
        <is>
          <t>8:20.21</t>
        </is>
      </c>
      <c r="R19" s="405" t="n">
        <v>-109</v>
      </c>
      <c r="S19" s="689" t="n"/>
      <c r="T19" s="400" t="inlineStr">
        <is>
          <t>F</t>
        </is>
      </c>
      <c r="U19" s="401" t="inlineStr">
        <is>
          <t>1500 Free</t>
        </is>
      </c>
      <c r="V19" s="401" t="inlineStr">
        <is>
          <t>Yuan YI Chong</t>
        </is>
      </c>
      <c r="W19" s="402" t="n">
        <v>16</v>
      </c>
      <c r="X19" s="404" t="inlineStr">
        <is>
          <t>19:07.07</t>
        </is>
      </c>
      <c r="Y19" s="404" t="inlineStr">
        <is>
          <t>17:30.95</t>
        </is>
      </c>
      <c r="Z19" s="405" t="n">
        <v>-155</v>
      </c>
    </row>
    <row r="20">
      <c r="A20" s="356" t="inlineStr">
        <is>
          <t>F</t>
        </is>
      </c>
      <c r="B20" s="590" t="inlineStr">
        <is>
          <t>100 Breast</t>
        </is>
      </c>
      <c r="C20" s="590" t="inlineStr">
        <is>
          <t>Isabelle Chiyi Buckley</t>
        </is>
      </c>
      <c r="D20" s="593">
        <f>2025-J20</f>
        <v/>
      </c>
      <c r="E20" s="661" t="inlineStr">
        <is>
          <t>1:13.31</t>
        </is>
      </c>
      <c r="F20" s="593">
        <f>IFERROR(__xludf.DUMMYFUNCTION("LET(
  gen,$A20, ev,$B20, t,$E20,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)"),669.0)</f>
        <v/>
      </c>
      <c r="G20" s="590">
        <f t="array" ref="G20">INDEX('MOT Tables 25'!$M:$M, MATCH(A20&amp;"_"&amp;B20&amp;"_"&amp;D20, 'MOT Tables 25'!$A:$A&amp;"_"&amp;'MOT Tables 25'!$B:$B&amp;"_"&amp;'MOT Tables 25'!$C:$C, 0))
</f>
        <v/>
      </c>
      <c r="H20" s="590">
        <f t="array" ref="H20">INDEX('MOT Tables 25'!$N:$N, MATCH(A20&amp;"_"&amp;B20&amp;"_"&amp;D20, 'MOT Tables 25'!$A:$A&amp;"_"&amp;'MOT Tables 25'!$B:$B&amp;"_"&amp;'MOT Tables 25'!$C:$C, 0))</f>
        <v/>
      </c>
      <c r="I20" s="590">
        <f>F20-H20</f>
        <v/>
      </c>
      <c r="J20" s="512" t="n">
        <v>2009</v>
      </c>
      <c r="K20" s="689" t="n"/>
      <c r="L20" s="692" t="n"/>
      <c r="M20" s="689" t="n"/>
      <c r="N20" s="689" t="n"/>
      <c r="P20" s="415" t="n"/>
      <c r="Q20" s="415" t="n"/>
      <c r="R20" s="692" t="n"/>
      <c r="S20" s="689" t="n"/>
      <c r="T20" s="692" t="n"/>
      <c r="U20" s="689" t="n"/>
      <c r="V20" s="689" t="n"/>
      <c r="W20" s="692" t="n"/>
      <c r="X20" s="415" t="n"/>
      <c r="Y20" s="415" t="n"/>
      <c r="Z20" s="692" t="n"/>
    </row>
    <row r="21">
      <c r="A21" s="382" t="inlineStr">
        <is>
          <t>F</t>
        </is>
      </c>
      <c r="B21" s="613" t="inlineStr">
        <is>
          <t>100 Free</t>
        </is>
      </c>
      <c r="C21" s="613" t="inlineStr">
        <is>
          <t>Lynna Yeow YI Jing</t>
        </is>
      </c>
      <c r="D21" s="616">
        <f>2025-J21</f>
        <v/>
      </c>
      <c r="E21" s="665" t="n">
        <v>58.79</v>
      </c>
      <c r="F21" s="616">
        <f>IFERROR(__xludf.DUMMYFUNCTION("LET(
  gen,$A21, ev,$B21, t,$E21,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)"),680.0)</f>
        <v/>
      </c>
      <c r="G21" s="613">
        <f t="array" ref="G21">INDEX('MOT Tables 25'!$M:$M, MATCH(A21&amp;"_"&amp;B21&amp;"_"&amp;D21, 'MOT Tables 25'!$A:$A&amp;"_"&amp;'MOT Tables 25'!$B:$B&amp;"_"&amp;'MOT Tables 25'!$C:$C, 0))
</f>
        <v/>
      </c>
      <c r="H21" s="613">
        <f t="array" ref="H21">INDEX('MOT Tables 25'!$N:$N, MATCH(A21&amp;"_"&amp;B21&amp;"_"&amp;D21, 'MOT Tables 25'!$A:$A&amp;"_"&amp;'MOT Tables 25'!$B:$B&amp;"_"&amp;'MOT Tables 25'!$C:$C, 0))</f>
        <v/>
      </c>
      <c r="I21" s="613">
        <f>F21-H21</f>
        <v/>
      </c>
      <c r="J21" s="513" t="n">
        <v>2009</v>
      </c>
      <c r="K21" s="689" t="n"/>
      <c r="L21" s="692" t="n"/>
      <c r="M21" s="689" t="n"/>
      <c r="N21" s="689" t="n"/>
      <c r="P21" s="415" t="n"/>
      <c r="Q21" s="415" t="n"/>
      <c r="R21" s="692" t="n"/>
      <c r="S21" s="689" t="n"/>
      <c r="T21" s="692" t="n"/>
      <c r="U21" s="689" t="n"/>
      <c r="V21" s="689" t="n"/>
      <c r="W21" s="692" t="n"/>
      <c r="X21" s="415" t="n"/>
      <c r="Y21" s="415" t="n"/>
      <c r="Z21" s="692" t="n"/>
    </row>
    <row r="22">
      <c r="A22" s="356" t="inlineStr">
        <is>
          <t>F</t>
        </is>
      </c>
      <c r="B22" s="590" t="inlineStr">
        <is>
          <t>50 Breast</t>
        </is>
      </c>
      <c r="C22" s="590" t="inlineStr">
        <is>
          <t>Isabelle Chiyi Buckley</t>
        </is>
      </c>
      <c r="D22" s="593">
        <f>2025-J22</f>
        <v/>
      </c>
      <c r="E22" s="661" t="n">
        <v>32.84</v>
      </c>
      <c r="F22" s="593">
        <f>IFERROR(__xludf.DUMMYFUNCTION("LET(
  gen,$A22, ev,$B22, t,$E22,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)"),700.0)</f>
        <v/>
      </c>
      <c r="G22" s="590">
        <f t="array" ref="G22">INDEX('MOT Tables 25'!$M:$M, MATCH(A22&amp;"_"&amp;B22&amp;"_"&amp;D22, 'MOT Tables 25'!$A:$A&amp;"_"&amp;'MOT Tables 25'!$B:$B&amp;"_"&amp;'MOT Tables 25'!$C:$C, 0))
</f>
        <v/>
      </c>
      <c r="H22" s="590">
        <f t="array" ref="H22">INDEX('MOT Tables 25'!$N:$N, MATCH(A22&amp;"_"&amp;B22&amp;"_"&amp;D22, 'MOT Tables 25'!$A:$A&amp;"_"&amp;'MOT Tables 25'!$B:$B&amp;"_"&amp;'MOT Tables 25'!$C:$C, 0))</f>
        <v/>
      </c>
      <c r="I22" s="590">
        <f>F22-H22</f>
        <v/>
      </c>
      <c r="J22" s="512" t="n">
        <v>2009</v>
      </c>
      <c r="K22" s="689" t="n"/>
      <c r="L22" s="692" t="n"/>
      <c r="M22" s="689" t="n"/>
      <c r="N22" s="689" t="n"/>
      <c r="P22" s="415" t="n"/>
      <c r="Q22" s="415" t="n"/>
      <c r="R22" s="692" t="n"/>
      <c r="S22" s="689" t="n"/>
      <c r="T22" s="692" t="n"/>
      <c r="U22" s="689" t="n"/>
      <c r="V22" s="689" t="n"/>
      <c r="W22" s="692" t="n"/>
      <c r="X22" s="415" t="n"/>
      <c r="Y22" s="415" t="n"/>
      <c r="Z22" s="692" t="n"/>
    </row>
    <row r="23">
      <c r="A23" s="382" t="inlineStr">
        <is>
          <t>F</t>
        </is>
      </c>
      <c r="B23" s="613" t="inlineStr">
        <is>
          <t>100 Back</t>
        </is>
      </c>
      <c r="C23" s="613" t="inlineStr">
        <is>
          <t>Xin Lin Chong</t>
        </is>
      </c>
      <c r="D23" s="616">
        <f>2025-J23</f>
        <v/>
      </c>
      <c r="E23" s="665" t="inlineStr">
        <is>
          <t>1:05.67</t>
        </is>
      </c>
      <c r="F23" s="616">
        <f>IFERROR(__xludf.DUMMYFUNCTION("LET(
  gen,$A23, ev,$B23, t,$E23,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)"),658.0)</f>
        <v/>
      </c>
      <c r="G23" s="613">
        <f t="array" ref="G23">INDEX('MOT Tables 25'!$M:$M, MATCH(A23&amp;"_"&amp;B23&amp;"_"&amp;D23, 'MOT Tables 25'!$A:$A&amp;"_"&amp;'MOT Tables 25'!$B:$B&amp;"_"&amp;'MOT Tables 25'!$C:$C, 0))
</f>
        <v/>
      </c>
      <c r="H23" s="613">
        <f t="array" ref="H23">INDEX('MOT Tables 25'!$N:$N, MATCH(A23&amp;"_"&amp;B23&amp;"_"&amp;D23, 'MOT Tables 25'!$A:$A&amp;"_"&amp;'MOT Tables 25'!$B:$B&amp;"_"&amp;'MOT Tables 25'!$C:$C, 0))</f>
        <v/>
      </c>
      <c r="I23" s="613">
        <f>F23-H23</f>
        <v/>
      </c>
      <c r="J23" s="513" t="n">
        <v>2007</v>
      </c>
      <c r="K23" s="689" t="n"/>
      <c r="L23" s="692" t="n"/>
      <c r="M23" s="689" t="n"/>
      <c r="N23" s="689" t="n"/>
      <c r="P23" s="415" t="n"/>
      <c r="Q23" s="415" t="n"/>
      <c r="R23" s="692" t="n"/>
      <c r="S23" s="689" t="n"/>
      <c r="T23" s="692" t="n"/>
      <c r="U23" s="689" t="n"/>
      <c r="V23" s="689" t="n"/>
      <c r="W23" s="692" t="n"/>
      <c r="X23" s="415" t="n"/>
      <c r="Y23" s="415" t="n"/>
      <c r="Z23" s="692" t="n"/>
    </row>
    <row r="24">
      <c r="A24" s="356" t="inlineStr">
        <is>
          <t>F</t>
        </is>
      </c>
      <c r="B24" s="590" t="inlineStr">
        <is>
          <t>50 Back</t>
        </is>
      </c>
      <c r="C24" s="590" t="inlineStr">
        <is>
          <t>Xin Lin Chong</t>
        </is>
      </c>
      <c r="D24" s="593">
        <f>2025-J24</f>
        <v/>
      </c>
      <c r="E24" s="661" t="n">
        <v>30.02</v>
      </c>
      <c r="F24" s="593">
        <f>IFERROR(__xludf.DUMMYFUNCTION("LET(
  gen,$A24, ev,$B24, t,$E24,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
      </c>
      <c r="G24" s="590">
        <f t="array" ref="G24">INDEX('MOT Tables 25'!$M:$M, MATCH(A24&amp;"_"&amp;B24&amp;"_"&amp;D24, 'MOT Tables 25'!$A:$A&amp;"_"&amp;'MOT Tables 25'!$B:$B&amp;"_"&amp;'MOT Tables 25'!$C:$C, 0))
</f>
        <v/>
      </c>
      <c r="H24" s="590">
        <f t="array" ref="H24">INDEX('MOT Tables 25'!$N:$N, MATCH(A24&amp;"_"&amp;B24&amp;"_"&amp;D24, 'MOT Tables 25'!$A:$A&amp;"_"&amp;'MOT Tables 25'!$B:$B&amp;"_"&amp;'MOT Tables 25'!$C:$C, 0))</f>
        <v/>
      </c>
      <c r="I24" s="590">
        <f>F24-H24</f>
        <v/>
      </c>
      <c r="J24" s="512" t="n">
        <v>2007</v>
      </c>
      <c r="K24" s="689" t="n"/>
      <c r="L24" s="692" t="n"/>
      <c r="M24" s="689" t="n"/>
      <c r="N24" s="689" t="n"/>
      <c r="P24" s="415" t="n"/>
      <c r="Q24" s="415" t="n"/>
      <c r="R24" s="692" t="n"/>
      <c r="S24" s="689" t="n"/>
      <c r="T24" s="692" t="n"/>
      <c r="U24" s="689" t="n"/>
      <c r="V24" s="689" t="n"/>
      <c r="W24" s="692" t="n"/>
      <c r="X24" s="415" t="n"/>
      <c r="Y24" s="415" t="n"/>
      <c r="Z24" s="692" t="n"/>
    </row>
    <row r="25">
      <c r="A25" s="382" t="inlineStr">
        <is>
          <t>F</t>
        </is>
      </c>
      <c r="B25" s="613" t="inlineStr">
        <is>
          <t>200 Breast</t>
        </is>
      </c>
      <c r="C25" s="613" t="inlineStr">
        <is>
          <t>Sue Enn Khoo</t>
        </is>
      </c>
      <c r="D25" s="616">
        <f>2025-J25</f>
        <v/>
      </c>
      <c r="E25" s="665" t="inlineStr">
        <is>
          <t>2:41.57</t>
        </is>
      </c>
      <c r="F25" s="616">
        <f>IFERROR(__xludf.DUMMYFUNCTION("LET(
  gen,$A25, ev,$B25, t,$E25,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)"),617.0)</f>
        <v/>
      </c>
      <c r="G25" s="613">
        <f t="array" ref="G25">INDEX('MOT Tables 25'!$M:$M, MATCH(A25&amp;"_"&amp;B25&amp;"_"&amp;D25, 'MOT Tables 25'!$A:$A&amp;"_"&amp;'MOT Tables 25'!$B:$B&amp;"_"&amp;'MOT Tables 25'!$C:$C, 0))
</f>
        <v/>
      </c>
      <c r="H25" s="613">
        <f t="array" ref="H25">INDEX('MOT Tables 25'!$N:$N, MATCH(A25&amp;"_"&amp;B25&amp;"_"&amp;D25, 'MOT Tables 25'!$A:$A&amp;"_"&amp;'MOT Tables 25'!$B:$B&amp;"_"&amp;'MOT Tables 25'!$C:$C, 0))</f>
        <v/>
      </c>
      <c r="I25" s="613">
        <f>F25-H25</f>
        <v/>
      </c>
      <c r="J25" s="513" t="n">
        <v>2009</v>
      </c>
      <c r="K25" s="689" t="n"/>
      <c r="L25" s="692" t="n"/>
      <c r="M25" s="689" t="n"/>
      <c r="N25" s="689" t="n"/>
      <c r="P25" s="415" t="n"/>
      <c r="Q25" s="415" t="n"/>
      <c r="R25" s="692" t="n"/>
      <c r="S25" s="689" t="n"/>
      <c r="T25" s="692" t="n"/>
      <c r="U25" s="689" t="n"/>
      <c r="V25" s="689" t="n"/>
      <c r="W25" s="692" t="n"/>
      <c r="X25" s="415" t="n"/>
      <c r="Y25" s="415" t="n"/>
      <c r="Z25" s="692" t="n"/>
    </row>
    <row r="26">
      <c r="A26" s="356" t="inlineStr">
        <is>
          <t>F</t>
        </is>
      </c>
      <c r="B26" s="590" t="inlineStr">
        <is>
          <t>200 Back</t>
        </is>
      </c>
      <c r="C26" s="590" t="inlineStr">
        <is>
          <t>Jie Xin Rainne Foo</t>
        </is>
      </c>
      <c r="D26" s="593">
        <f>2025-J26</f>
        <v/>
      </c>
      <c r="E26" s="661" t="inlineStr">
        <is>
          <t>2:27.07</t>
        </is>
      </c>
      <c r="F26" s="593">
        <f>IFERROR(__xludf.DUMMYFUNCTION("LET(
  gen,$A26, ev,$B26, t,$E26,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)"),586.0)</f>
        <v/>
      </c>
      <c r="G26" s="590">
        <f t="array" ref="G26">INDEX('MOT Tables 25'!$M:$M, MATCH(A26&amp;"_"&amp;B26&amp;"_"&amp;D26, 'MOT Tables 25'!$A:$A&amp;"_"&amp;'MOT Tables 25'!$B:$B&amp;"_"&amp;'MOT Tables 25'!$C:$C, 0))
</f>
        <v/>
      </c>
      <c r="H26" s="590">
        <f t="array" ref="H26">INDEX('MOT Tables 25'!$N:$N, MATCH(A26&amp;"_"&amp;B26&amp;"_"&amp;D26, 'MOT Tables 25'!$A:$A&amp;"_"&amp;'MOT Tables 25'!$B:$B&amp;"_"&amp;'MOT Tables 25'!$C:$C, 0))</f>
        <v/>
      </c>
      <c r="I26" s="590">
        <f>F26-H26</f>
        <v/>
      </c>
      <c r="J26" s="512" t="n">
        <v>2009</v>
      </c>
      <c r="K26" s="689" t="n"/>
      <c r="L26" s="692" t="n"/>
      <c r="M26" s="689" t="n"/>
      <c r="N26" s="689" t="n"/>
      <c r="P26" s="415" t="n"/>
      <c r="Q26" s="415" t="n"/>
      <c r="R26" s="692" t="n"/>
      <c r="S26" s="689" t="n"/>
      <c r="T26" s="692" t="n"/>
      <c r="U26" s="689" t="n"/>
      <c r="V26" s="689" t="n"/>
      <c r="W26" s="692" t="n"/>
      <c r="X26" s="415" t="n"/>
      <c r="Y26" s="415" t="n"/>
      <c r="Z26" s="692" t="n"/>
    </row>
    <row r="27">
      <c r="A27" s="382" t="inlineStr">
        <is>
          <t>F</t>
        </is>
      </c>
      <c r="B27" s="613" t="inlineStr">
        <is>
          <t>100 Fly</t>
        </is>
      </c>
      <c r="C27" s="613" t="inlineStr">
        <is>
          <t>Morgan Eleven Teo</t>
        </is>
      </c>
      <c r="D27" s="616">
        <f>2025-J27</f>
        <v/>
      </c>
      <c r="E27" s="665" t="inlineStr">
        <is>
          <t>1:03.98</t>
        </is>
      </c>
      <c r="F27" s="616">
        <f>IFERROR(__xludf.DUMMYFUNCTION("LET(
  gen,$A27, ev,$B27, t,$E27,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)"),641.0)</f>
        <v/>
      </c>
      <c r="G27" s="613">
        <f t="array" ref="G27">INDEX('MOT Tables 25'!$M:$M, MATCH(A27&amp;"_"&amp;B27&amp;"_"&amp;D27, 'MOT Tables 25'!$A:$A&amp;"_"&amp;'MOT Tables 25'!$B:$B&amp;"_"&amp;'MOT Tables 25'!$C:$C, 0))
</f>
        <v/>
      </c>
      <c r="H27" s="613">
        <f t="array" ref="H27">INDEX('MOT Tables 25'!$N:$N, MATCH(A27&amp;"_"&amp;B27&amp;"_"&amp;D27, 'MOT Tables 25'!$A:$A&amp;"_"&amp;'MOT Tables 25'!$B:$B&amp;"_"&amp;'MOT Tables 25'!$C:$C, 0))</f>
        <v/>
      </c>
      <c r="I27" s="613">
        <f>F27-H27</f>
        <v/>
      </c>
      <c r="J27" s="513" t="n">
        <v>2007</v>
      </c>
      <c r="K27" s="689" t="n"/>
      <c r="L27" s="692" t="n"/>
      <c r="M27" s="689" t="n"/>
      <c r="N27" s="689" t="n"/>
      <c r="P27" s="415" t="n"/>
      <c r="Q27" s="415" t="n"/>
      <c r="R27" s="692" t="n"/>
      <c r="S27" s="689" t="n"/>
      <c r="T27" s="692" t="n"/>
      <c r="U27" s="689" t="n"/>
      <c r="V27" s="689" t="n"/>
      <c r="W27" s="692" t="n"/>
      <c r="X27" s="415" t="n"/>
      <c r="Y27" s="415" t="n"/>
      <c r="Z27" s="692" t="n"/>
    </row>
    <row r="28">
      <c r="A28" s="356" t="inlineStr">
        <is>
          <t>F</t>
        </is>
      </c>
      <c r="B28" s="590" t="inlineStr">
        <is>
          <t>50 Free</t>
        </is>
      </c>
      <c r="C28" s="590" t="inlineStr">
        <is>
          <t>Wei YI Kaelyn Chee</t>
        </is>
      </c>
      <c r="D28" s="593">
        <f>2025-J28</f>
        <v/>
      </c>
      <c r="E28" s="661" t="n">
        <v>27.36</v>
      </c>
      <c r="F28" s="593">
        <f>IFERROR(__xludf.DUMMYFUNCTION("LET(
  gen,$A28, ev,$B28, t,$E28,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)"),642.0)</f>
        <v/>
      </c>
      <c r="G28" s="590">
        <f t="array" ref="G28">INDEX('MOT Tables 25'!$M:$M, MATCH(A28&amp;"_"&amp;B28&amp;"_"&amp;D28, 'MOT Tables 25'!$A:$A&amp;"_"&amp;'MOT Tables 25'!$B:$B&amp;"_"&amp;'MOT Tables 25'!$C:$C, 0))
</f>
        <v/>
      </c>
      <c r="H28" s="590">
        <f t="array" ref="H28">INDEX('MOT Tables 25'!$N:$N, MATCH(A28&amp;"_"&amp;B28&amp;"_"&amp;D28, 'MOT Tables 25'!$A:$A&amp;"_"&amp;'MOT Tables 25'!$B:$B&amp;"_"&amp;'MOT Tables 25'!$C:$C, 0))</f>
        <v/>
      </c>
      <c r="I28" s="590">
        <f>F28-H28</f>
        <v/>
      </c>
      <c r="J28" s="512" t="n">
        <v>2009</v>
      </c>
      <c r="K28" s="689" t="n"/>
      <c r="L28" s="692" t="n"/>
      <c r="M28" s="689" t="n"/>
      <c r="N28" s="689" t="n"/>
      <c r="P28" s="415" t="n"/>
      <c r="Q28" s="415" t="n"/>
      <c r="R28" s="692" t="n"/>
      <c r="S28" s="689" t="n"/>
      <c r="T28" s="692" t="n"/>
      <c r="U28" s="689" t="n"/>
      <c r="V28" s="689" t="n"/>
      <c r="W28" s="692" t="n"/>
      <c r="X28" s="415" t="n"/>
      <c r="Y28" s="415" t="n"/>
      <c r="Z28" s="692" t="n"/>
    </row>
    <row r="29">
      <c r="A29" s="382" t="inlineStr">
        <is>
          <t>F</t>
        </is>
      </c>
      <c r="B29" s="613" t="inlineStr">
        <is>
          <t>200 Free</t>
        </is>
      </c>
      <c r="C29" s="613" t="inlineStr">
        <is>
          <t>Lynna Yeow YI Jing</t>
        </is>
      </c>
      <c r="D29" s="616">
        <f>2025-J29</f>
        <v/>
      </c>
      <c r="E29" s="665" t="inlineStr">
        <is>
          <t>2:11.07</t>
        </is>
      </c>
      <c r="F29" s="616">
        <f>IFERROR(__xludf.DUMMYFUNCTION("LET(
  gen,$A29, ev,$B29, t,$E29,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)"),627.0)</f>
        <v/>
      </c>
      <c r="G29" s="613">
        <f t="array" ref="G29">INDEX('MOT Tables 25'!$M:$M, MATCH(A29&amp;"_"&amp;B29&amp;"_"&amp;D29, 'MOT Tables 25'!$A:$A&amp;"_"&amp;'MOT Tables 25'!$B:$B&amp;"_"&amp;'MOT Tables 25'!$C:$C, 0))
</f>
        <v/>
      </c>
      <c r="H29" s="613">
        <f t="array" ref="H29">INDEX('MOT Tables 25'!$N:$N, MATCH(A29&amp;"_"&amp;B29&amp;"_"&amp;D29, 'MOT Tables 25'!$A:$A&amp;"_"&amp;'MOT Tables 25'!$B:$B&amp;"_"&amp;'MOT Tables 25'!$C:$C, 0))</f>
        <v/>
      </c>
      <c r="I29" s="613">
        <f>F29-H29</f>
        <v/>
      </c>
      <c r="J29" s="513" t="n">
        <v>2009</v>
      </c>
      <c r="K29" s="689" t="n"/>
      <c r="L29" s="692" t="n"/>
      <c r="M29" s="689" t="n"/>
      <c r="N29" s="689" t="n"/>
      <c r="P29" s="415" t="n"/>
      <c r="Q29" s="415" t="n"/>
      <c r="R29" s="692" t="n"/>
      <c r="S29" s="689" t="n"/>
      <c r="T29" s="692" t="n"/>
      <c r="U29" s="689" t="n"/>
      <c r="V29" s="689" t="n"/>
      <c r="W29" s="692" t="n"/>
      <c r="X29" s="415" t="n"/>
      <c r="Y29" s="415" t="n"/>
      <c r="Z29" s="692" t="n"/>
    </row>
    <row r="30">
      <c r="A30" s="356" t="inlineStr">
        <is>
          <t>F</t>
        </is>
      </c>
      <c r="B30" s="590" t="inlineStr">
        <is>
          <t>50 Fly</t>
        </is>
      </c>
      <c r="C30" s="590" t="inlineStr">
        <is>
          <t>Natalie Suyin Buckley</t>
        </is>
      </c>
      <c r="D30" s="593">
        <f>2025-J30</f>
        <v/>
      </c>
      <c r="E30" s="661" t="n">
        <v>28.64</v>
      </c>
      <c r="F30" s="593">
        <f>IFERROR(__xludf.DUMMYFUNCTION("LET(
  gen,$A30, ev,$B30, t,$E30,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)"),620.0)</f>
        <v/>
      </c>
      <c r="G30" s="590">
        <f t="array" ref="G30">INDEX('MOT Tables 25'!$M:$M, MATCH(A30&amp;"_"&amp;B30&amp;"_"&amp;D30, 'MOT Tables 25'!$A:$A&amp;"_"&amp;'MOT Tables 25'!$B:$B&amp;"_"&amp;'MOT Tables 25'!$C:$C, 0))
</f>
        <v/>
      </c>
      <c r="H30" s="590">
        <f t="array" ref="H30">INDEX('MOT Tables 25'!$N:$N, MATCH(A30&amp;"_"&amp;B30&amp;"_"&amp;D30, 'MOT Tables 25'!$A:$A&amp;"_"&amp;'MOT Tables 25'!$B:$B&amp;"_"&amp;'MOT Tables 25'!$C:$C, 0))</f>
        <v/>
      </c>
      <c r="I30" s="590">
        <f>F30-H30</f>
        <v/>
      </c>
      <c r="J30" s="512" t="n">
        <v>2007</v>
      </c>
      <c r="K30" s="689" t="n"/>
      <c r="L30" s="692" t="n"/>
      <c r="M30" s="689" t="n"/>
      <c r="N30" s="689" t="n"/>
      <c r="P30" s="415" t="n"/>
      <c r="Q30" s="415" t="n"/>
      <c r="R30" s="692" t="n"/>
      <c r="S30" s="689" t="n"/>
      <c r="T30" s="692" t="n"/>
      <c r="U30" s="689" t="n"/>
      <c r="V30" s="689" t="n"/>
      <c r="W30" s="692" t="n"/>
      <c r="X30" s="415" t="n"/>
      <c r="Y30" s="415" t="n"/>
      <c r="Z30" s="692" t="n"/>
    </row>
    <row r="31">
      <c r="A31" s="382" t="inlineStr">
        <is>
          <t>F</t>
        </is>
      </c>
      <c r="B31" s="613" t="inlineStr">
        <is>
          <t>200 Fly</t>
        </is>
      </c>
      <c r="C31" s="613" t="inlineStr">
        <is>
          <t>Yue Lynn Mishya Khor</t>
        </is>
      </c>
      <c r="D31" s="616">
        <f>2025-J31</f>
        <v/>
      </c>
      <c r="E31" s="665" t="inlineStr">
        <is>
          <t>2:25.85</t>
        </is>
      </c>
      <c r="F31" s="616">
        <f>IFERROR(__xludf.DUMMYFUNCTION("LET(
  gen,$A31, ev,$B31, t,$E31,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)"),582.0)</f>
        <v/>
      </c>
      <c r="G31" s="613">
        <f t="array" ref="G31">INDEX('MOT Tables 25'!$M:$M, MATCH(A31&amp;"_"&amp;B31&amp;"_"&amp;D31, 'MOT Tables 25'!$A:$A&amp;"_"&amp;'MOT Tables 25'!$B:$B&amp;"_"&amp;'MOT Tables 25'!$C:$C, 0))
</f>
        <v/>
      </c>
      <c r="H31" s="613">
        <f t="array" ref="H31">INDEX('MOT Tables 25'!$N:$N, MATCH(A31&amp;"_"&amp;B31&amp;"_"&amp;D31, 'MOT Tables 25'!$A:$A&amp;"_"&amp;'MOT Tables 25'!$B:$B&amp;"_"&amp;'MOT Tables 25'!$C:$C, 0))</f>
        <v/>
      </c>
      <c r="I31" s="613">
        <f>F31-H31</f>
        <v/>
      </c>
      <c r="J31" s="513" t="n">
        <v>2009</v>
      </c>
      <c r="K31" s="689" t="n"/>
      <c r="L31" s="692" t="n"/>
      <c r="M31" s="689" t="n"/>
      <c r="N31" s="689" t="n"/>
      <c r="P31" s="415" t="n"/>
      <c r="Q31" s="415" t="n"/>
      <c r="R31" s="692" t="n"/>
      <c r="S31" s="689" t="n"/>
      <c r="T31" s="692" t="n"/>
      <c r="U31" s="689" t="n"/>
      <c r="V31" s="689" t="n"/>
      <c r="W31" s="692" t="n"/>
      <c r="X31" s="415" t="n"/>
      <c r="Y31" s="415" t="n"/>
      <c r="Z31" s="692" t="n"/>
    </row>
    <row r="32">
      <c r="A32" s="356" t="inlineStr">
        <is>
          <t>F</t>
        </is>
      </c>
      <c r="B32" s="590" t="inlineStr">
        <is>
          <t>200 IM</t>
        </is>
      </c>
      <c r="C32" s="590" t="inlineStr">
        <is>
          <t>Sue Enn Khoo</t>
        </is>
      </c>
      <c r="D32" s="593">
        <f>2025-J32</f>
        <v/>
      </c>
      <c r="E32" s="661" t="inlineStr">
        <is>
          <t>2:28.67</t>
        </is>
      </c>
      <c r="F32" s="593">
        <f>IFERROR(__xludf.DUMMYFUNCTION("LET(
  gen,$A32, ev,$B32, t,$E32,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)"),610.0)</f>
        <v/>
      </c>
      <c r="G32" s="590">
        <f t="array" ref="G32">INDEX('MOT Tables 25'!$M:$M, MATCH(A32&amp;"_"&amp;B32&amp;"_"&amp;D32, 'MOT Tables 25'!$A:$A&amp;"_"&amp;'MOT Tables 25'!$B:$B&amp;"_"&amp;'MOT Tables 25'!$C:$C, 0))
</f>
        <v/>
      </c>
      <c r="H32" s="590">
        <f t="array" ref="H32">INDEX('MOT Tables 25'!$N:$N, MATCH(A32&amp;"_"&amp;B32&amp;"_"&amp;D32, 'MOT Tables 25'!$A:$A&amp;"_"&amp;'MOT Tables 25'!$B:$B&amp;"_"&amp;'MOT Tables 25'!$C:$C, 0))</f>
        <v/>
      </c>
      <c r="I32" s="590">
        <f>F32-H32</f>
        <v/>
      </c>
      <c r="J32" s="512" t="n">
        <v>2009</v>
      </c>
      <c r="K32" s="689" t="n"/>
      <c r="L32" s="692" t="n"/>
      <c r="M32" s="689" t="n"/>
      <c r="N32" s="689" t="n"/>
      <c r="P32" s="415" t="n"/>
      <c r="Q32" s="415" t="n"/>
      <c r="R32" s="692" t="n"/>
      <c r="S32" s="689" t="n"/>
      <c r="T32" s="692" t="n"/>
      <c r="U32" s="689" t="n"/>
      <c r="V32" s="689" t="n"/>
      <c r="W32" s="692" t="n"/>
      <c r="X32" s="415" t="n"/>
      <c r="Y32" s="415" t="n"/>
      <c r="Z32" s="692" t="n"/>
    </row>
    <row r="33">
      <c r="A33" s="382" t="inlineStr">
        <is>
          <t>F</t>
        </is>
      </c>
      <c r="B33" s="613" t="inlineStr">
        <is>
          <t>800 Free</t>
        </is>
      </c>
      <c r="C33" s="613" t="inlineStr">
        <is>
          <t>Yun Xuan Yeoh</t>
        </is>
      </c>
      <c r="D33" s="616">
        <f>2025-J33</f>
        <v/>
      </c>
      <c r="E33" s="665" t="inlineStr">
        <is>
          <t>9:43.97</t>
        </is>
      </c>
      <c r="F33" s="616">
        <f>IFERROR(__xludf.DUMMYFUNCTION("LET(
  gen,$A33, ev,$B33, t,$E33,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)"),572.0)</f>
        <v/>
      </c>
      <c r="G33" s="613">
        <f t="array" ref="G33">INDEX('MOT Tables 25'!$M:$M, MATCH(A33&amp;"_"&amp;B33&amp;"_"&amp;D33, 'MOT Tables 25'!$A:$A&amp;"_"&amp;'MOT Tables 25'!$B:$B&amp;"_"&amp;'MOT Tables 25'!$C:$C, 0))
</f>
        <v/>
      </c>
      <c r="H33" s="613">
        <f t="array" ref="H33">INDEX('MOT Tables 25'!$N:$N, MATCH(A33&amp;"_"&amp;B33&amp;"_"&amp;D33, 'MOT Tables 25'!$A:$A&amp;"_"&amp;'MOT Tables 25'!$B:$B&amp;"_"&amp;'MOT Tables 25'!$C:$C, 0))</f>
        <v/>
      </c>
      <c r="I33" s="613">
        <f>F33-H33</f>
        <v/>
      </c>
      <c r="J33" s="513" t="n">
        <v>2009</v>
      </c>
      <c r="K33" s="689" t="n"/>
      <c r="L33" s="692" t="n"/>
      <c r="M33" s="689" t="n"/>
      <c r="N33" s="689" t="n"/>
      <c r="P33" s="415" t="n"/>
      <c r="Q33" s="415" t="n"/>
      <c r="R33" s="692" t="n"/>
      <c r="S33" s="689" t="n"/>
      <c r="T33" s="692" t="n"/>
      <c r="U33" s="689" t="n"/>
      <c r="V33" s="689" t="n"/>
      <c r="W33" s="692" t="n"/>
      <c r="X33" s="415" t="n"/>
      <c r="Y33" s="415" t="n"/>
      <c r="Z33" s="692" t="n"/>
    </row>
    <row r="34">
      <c r="A34" s="356" t="inlineStr">
        <is>
          <t>F</t>
        </is>
      </c>
      <c r="B34" s="590" t="inlineStr">
        <is>
          <t>400 Free</t>
        </is>
      </c>
      <c r="C34" s="590" t="inlineStr">
        <is>
          <t>Lynna Yeow YI Jing</t>
        </is>
      </c>
      <c r="D34" s="593">
        <f>2025-J34</f>
        <v/>
      </c>
      <c r="E34" s="661" t="inlineStr">
        <is>
          <t>4:42.08</t>
        </is>
      </c>
      <c r="F34" s="593">
        <f>IFERROR(__xludf.DUMMYFUNCTION("LET(
  gen,$A34, ev,$B34, t,$E34,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)"),581.0)</f>
        <v/>
      </c>
      <c r="G34" s="590">
        <f t="array" ref="G34">INDEX('MOT Tables 25'!$M:$M, MATCH(A34&amp;"_"&amp;B34&amp;"_"&amp;D34, 'MOT Tables 25'!$A:$A&amp;"_"&amp;'MOT Tables 25'!$B:$B&amp;"_"&amp;'MOT Tables 25'!$C:$C, 0))
</f>
        <v/>
      </c>
      <c r="H34" s="590">
        <f t="array" ref="H34">INDEX('MOT Tables 25'!$N:$N, MATCH(A34&amp;"_"&amp;B34&amp;"_"&amp;D34, 'MOT Tables 25'!$A:$A&amp;"_"&amp;'MOT Tables 25'!$B:$B&amp;"_"&amp;'MOT Tables 25'!$C:$C, 0))</f>
        <v/>
      </c>
      <c r="I34" s="590">
        <f>F34-H34</f>
        <v/>
      </c>
      <c r="J34" s="512" t="n">
        <v>2009</v>
      </c>
      <c r="K34" s="689" t="n"/>
      <c r="L34" s="692" t="n"/>
      <c r="M34" s="689" t="n"/>
      <c r="N34" s="689" t="n"/>
      <c r="P34" s="415" t="n"/>
      <c r="Q34" s="415" t="n"/>
      <c r="R34" s="692" t="n"/>
      <c r="S34" s="689" t="n"/>
      <c r="T34" s="692" t="n"/>
      <c r="U34" s="689" t="n"/>
      <c r="V34" s="689" t="n"/>
      <c r="W34" s="692" t="n"/>
      <c r="X34" s="415" t="n"/>
      <c r="Y34" s="415" t="n"/>
      <c r="Z34" s="692" t="n"/>
    </row>
    <row r="35">
      <c r="A35" s="360" t="inlineStr">
        <is>
          <t>F</t>
        </is>
      </c>
      <c r="B35" s="681" t="inlineStr">
        <is>
          <t>400 IM</t>
        </is>
      </c>
      <c r="C35" s="681" t="inlineStr">
        <is>
          <t>Sue Enn Khoo</t>
        </is>
      </c>
      <c r="D35" s="718">
        <f>2025-J35</f>
        <v/>
      </c>
      <c r="E35" s="409" t="inlineStr">
        <is>
          <t>5:25.06</t>
        </is>
      </c>
      <c r="F35" s="718">
        <f>IFERROR(__xludf.DUMMYFUNCTION("LET(
  gen,$A35, ev,$B35, t,$E35,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)"),538.0)</f>
        <v/>
      </c>
      <c r="G35" s="681">
        <f t="array" ref="G35">INDEX('MOT Tables 25'!$M:$M, MATCH(A35&amp;"_"&amp;B35&amp;"_"&amp;D35, 'MOT Tables 25'!$A:$A&amp;"_"&amp;'MOT Tables 25'!$B:$B&amp;"_"&amp;'MOT Tables 25'!$C:$C, 0))
</f>
        <v/>
      </c>
      <c r="H35" s="681">
        <f t="array" ref="H35">INDEX('MOT Tables 25'!$N:$N, MATCH(A35&amp;"_"&amp;B35&amp;"_"&amp;D35, 'MOT Tables 25'!$A:$A&amp;"_"&amp;'MOT Tables 25'!$B:$B&amp;"_"&amp;'MOT Tables 25'!$C:$C, 0))</f>
        <v/>
      </c>
      <c r="I35" s="681">
        <f>F35-H35</f>
        <v/>
      </c>
      <c r="J35" s="544" t="n">
        <v>2009</v>
      </c>
      <c r="K35" s="689" t="n"/>
      <c r="L35" s="692" t="n"/>
      <c r="M35" s="689" t="n"/>
      <c r="N35" s="689" t="n"/>
      <c r="P35" s="415" t="n"/>
      <c r="Q35" s="415" t="n"/>
      <c r="R35" s="692" t="n"/>
      <c r="S35" s="689" t="n"/>
      <c r="T35" s="692" t="n"/>
      <c r="U35" s="689" t="n"/>
      <c r="V35" s="689" t="n"/>
      <c r="W35" s="692" t="n"/>
      <c r="X35" s="415" t="n"/>
      <c r="Y35" s="415" t="n"/>
      <c r="Z35" s="692" t="n"/>
    </row>
    <row r="36">
      <c r="D36" s="692" t="n"/>
      <c r="E36" s="415" t="n"/>
      <c r="F36" s="692" t="n"/>
      <c r="L36" s="692" t="n"/>
      <c r="M36" s="689" t="n"/>
      <c r="N36" s="689" t="n"/>
      <c r="P36" s="415" t="n"/>
      <c r="Q36" s="415" t="n"/>
      <c r="R36" s="692" t="n"/>
      <c r="S36" s="689" t="n"/>
      <c r="T36" s="692" t="n"/>
      <c r="U36" s="689" t="n"/>
      <c r="V36" s="689" t="n"/>
      <c r="W36" s="692" t="n"/>
      <c r="X36" s="415" t="n"/>
      <c r="Y36" s="415" t="n"/>
      <c r="Z36" s="692" t="n"/>
    </row>
    <row r="37">
      <c r="D37" s="692" t="n"/>
      <c r="E37" s="415" t="n"/>
      <c r="F37" s="692" t="n"/>
      <c r="L37" s="692" t="n"/>
      <c r="Q37" s="415" t="n"/>
      <c r="R37" s="692" t="n"/>
      <c r="T37" s="692" t="n"/>
      <c r="W37" s="692" t="n"/>
      <c r="Y37" s="415" t="n"/>
      <c r="Z37" s="692" t="n"/>
    </row>
    <row r="38">
      <c r="D38" s="692" t="n"/>
      <c r="E38" s="415" t="n"/>
      <c r="F38" s="692" t="n"/>
      <c r="L38" s="692" t="n"/>
      <c r="Q38" s="415" t="n"/>
      <c r="R38" s="692" t="n"/>
      <c r="T38" s="692" t="n"/>
      <c r="W38" s="692" t="n"/>
      <c r="Y38" s="415" t="n"/>
      <c r="Z38" s="692" t="n"/>
    </row>
    <row r="39">
      <c r="D39" s="692" t="n"/>
      <c r="E39" s="415" t="n"/>
      <c r="F39" s="692" t="n"/>
      <c r="L39" s="692" t="n"/>
      <c r="Q39" s="415" t="n"/>
      <c r="R39" s="692" t="n"/>
      <c r="T39" s="692" t="n"/>
      <c r="W39" s="692" t="n"/>
      <c r="Y39" s="415" t="n"/>
      <c r="Z39" s="692" t="n"/>
    </row>
    <row r="40">
      <c r="D40" s="692" t="n"/>
      <c r="E40" s="415" t="n"/>
      <c r="F40" s="692" t="n"/>
      <c r="L40" s="692" t="n"/>
      <c r="Q40" s="415" t="n"/>
      <c r="R40" s="692" t="n"/>
      <c r="T40" s="692" t="n"/>
      <c r="W40" s="692" t="n"/>
      <c r="Y40" s="415" t="n"/>
      <c r="Z40" s="692" t="n"/>
    </row>
    <row r="41">
      <c r="D41" s="692" t="n"/>
      <c r="E41" s="415" t="n"/>
      <c r="F41" s="692" t="n"/>
      <c r="L41" s="692" t="n"/>
      <c r="Q41" s="415" t="n"/>
      <c r="R41" s="692" t="n"/>
      <c r="T41" s="692" t="n"/>
      <c r="W41" s="692" t="n"/>
      <c r="Y41" s="415" t="n"/>
      <c r="Z41" s="692" t="n"/>
    </row>
    <row r="42">
      <c r="D42" s="692" t="n"/>
      <c r="E42" s="415" t="n"/>
      <c r="F42" s="692" t="n"/>
      <c r="L42" s="692" t="n"/>
      <c r="Q42" s="415" t="n"/>
      <c r="R42" s="692" t="n"/>
      <c r="T42" s="692" t="n"/>
      <c r="W42" s="692" t="n"/>
      <c r="Y42" s="415" t="n"/>
      <c r="Z42" s="692" t="n"/>
    </row>
    <row r="43">
      <c r="D43" s="692" t="n"/>
      <c r="E43" s="415" t="n"/>
      <c r="F43" s="692" t="n"/>
      <c r="L43" s="692" t="n"/>
      <c r="Q43" s="415" t="n"/>
      <c r="R43" s="692" t="n"/>
      <c r="T43" s="692" t="n"/>
      <c r="W43" s="692" t="n"/>
      <c r="Y43" s="415" t="n"/>
      <c r="Z43" s="692" t="n"/>
    </row>
    <row r="44">
      <c r="D44" s="692" t="n"/>
      <c r="E44" s="415" t="n"/>
      <c r="F44" s="692" t="n"/>
      <c r="L44" s="692" t="n"/>
      <c r="Q44" s="415" t="n"/>
      <c r="R44" s="692" t="n"/>
      <c r="T44" s="692" t="n"/>
      <c r="W44" s="692" t="n"/>
      <c r="Y44" s="415" t="n"/>
      <c r="Z44" s="692" t="n"/>
    </row>
    <row r="45">
      <c r="D45" s="692" t="n"/>
      <c r="E45" s="415" t="n"/>
      <c r="F45" s="692" t="n"/>
      <c r="L45" s="692" t="n"/>
      <c r="Q45" s="415" t="n"/>
      <c r="R45" s="692" t="n"/>
      <c r="T45" s="692" t="n"/>
      <c r="W45" s="692" t="n"/>
      <c r="Y45" s="415" t="n"/>
      <c r="Z45" s="692" t="n"/>
    </row>
    <row r="46">
      <c r="D46" s="692" t="n"/>
      <c r="E46" s="415" t="n"/>
      <c r="F46" s="692" t="n"/>
      <c r="L46" s="692" t="n"/>
      <c r="Q46" s="415" t="n"/>
      <c r="R46" s="692" t="n"/>
      <c r="T46" s="692" t="n"/>
      <c r="W46" s="692" t="n"/>
      <c r="Y46" s="415" t="n"/>
      <c r="Z46" s="692" t="n"/>
    </row>
    <row r="47">
      <c r="D47" s="692" t="n"/>
      <c r="E47" s="415" t="n"/>
      <c r="F47" s="692" t="n"/>
      <c r="L47" s="692" t="n"/>
      <c r="Q47" s="415" t="n"/>
      <c r="R47" s="692" t="n"/>
      <c r="T47" s="692" t="n"/>
      <c r="W47" s="692" t="n"/>
      <c r="Y47" s="415" t="n"/>
      <c r="Z47" s="692" t="n"/>
    </row>
    <row r="48">
      <c r="D48" s="692" t="n"/>
      <c r="E48" s="415" t="n"/>
      <c r="F48" s="692" t="n"/>
      <c r="L48" s="692" t="n"/>
      <c r="Q48" s="415" t="n"/>
      <c r="R48" s="692" t="n"/>
      <c r="T48" s="692" t="n"/>
      <c r="W48" s="692" t="n"/>
      <c r="Y48" s="415" t="n"/>
      <c r="Z48" s="692" t="n"/>
    </row>
    <row r="49">
      <c r="D49" s="692" t="n"/>
      <c r="E49" s="415" t="n"/>
      <c r="F49" s="692" t="n"/>
      <c r="L49" s="692" t="n"/>
      <c r="Q49" s="415" t="n"/>
      <c r="R49" s="692" t="n"/>
      <c r="T49" s="692" t="n"/>
      <c r="W49" s="692" t="n"/>
      <c r="Y49" s="415" t="n"/>
      <c r="Z49" s="692" t="n"/>
    </row>
    <row r="50">
      <c r="D50" s="692" t="n"/>
      <c r="E50" s="415" t="n"/>
      <c r="F50" s="692" t="n"/>
      <c r="L50" s="692" t="n"/>
      <c r="Q50" s="415" t="n"/>
      <c r="R50" s="692" t="n"/>
      <c r="T50" s="692" t="n"/>
      <c r="W50" s="692" t="n"/>
      <c r="Y50" s="415" t="n"/>
      <c r="Z50" s="692" t="n"/>
    </row>
    <row r="51">
      <c r="D51" s="692" t="n"/>
      <c r="E51" s="415" t="n"/>
      <c r="F51" s="692" t="n"/>
      <c r="L51" s="692" t="n"/>
      <c r="Q51" s="415" t="n"/>
      <c r="R51" s="692" t="n"/>
      <c r="T51" s="692" t="n"/>
      <c r="W51" s="692" t="n"/>
      <c r="Y51" s="415" t="n"/>
      <c r="Z51" s="692" t="n"/>
    </row>
    <row r="52">
      <c r="D52" s="692" t="n"/>
      <c r="E52" s="415" t="n"/>
      <c r="F52" s="692" t="n"/>
      <c r="L52" s="692" t="n"/>
      <c r="Q52" s="415" t="n"/>
      <c r="R52" s="692" t="n"/>
      <c r="T52" s="692" t="n"/>
      <c r="W52" s="692" t="n"/>
      <c r="Y52" s="415" t="n"/>
      <c r="Z52" s="692" t="n"/>
    </row>
    <row r="53">
      <c r="D53" s="692" t="n"/>
      <c r="E53" s="415" t="n"/>
      <c r="F53" s="692" t="n"/>
      <c r="L53" s="692" t="n"/>
      <c r="Q53" s="415" t="n"/>
      <c r="R53" s="692" t="n"/>
      <c r="T53" s="692" t="n"/>
      <c r="W53" s="692" t="n"/>
      <c r="Y53" s="415" t="n"/>
      <c r="Z53" s="692" t="n"/>
    </row>
    <row r="54">
      <c r="D54" s="692" t="n"/>
      <c r="E54" s="415" t="n"/>
      <c r="F54" s="692" t="n"/>
      <c r="L54" s="692" t="n"/>
      <c r="Q54" s="415" t="n"/>
      <c r="R54" s="692" t="n"/>
      <c r="T54" s="692" t="n"/>
      <c r="W54" s="692" t="n"/>
      <c r="Y54" s="415" t="n"/>
      <c r="Z54" s="692" t="n"/>
    </row>
    <row r="55">
      <c r="D55" s="692" t="n"/>
      <c r="E55" s="415" t="n"/>
      <c r="F55" s="692" t="n"/>
      <c r="L55" s="692" t="n"/>
      <c r="Q55" s="415" t="n"/>
      <c r="R55" s="692" t="n"/>
      <c r="T55" s="692" t="n"/>
      <c r="W55" s="692" t="n"/>
      <c r="Y55" s="415" t="n"/>
      <c r="Z55" s="692" t="n"/>
    </row>
    <row r="56">
      <c r="D56" s="692" t="n"/>
      <c r="E56" s="415" t="n"/>
      <c r="F56" s="692" t="n"/>
      <c r="L56" s="692" t="n"/>
      <c r="Q56" s="415" t="n"/>
      <c r="R56" s="692" t="n"/>
      <c r="T56" s="692" t="n"/>
      <c r="W56" s="692" t="n"/>
      <c r="Y56" s="415" t="n"/>
      <c r="Z56" s="692" t="n"/>
    </row>
    <row r="57">
      <c r="D57" s="692" t="n"/>
      <c r="E57" s="415" t="n"/>
      <c r="F57" s="692" t="n"/>
      <c r="L57" s="692" t="n"/>
      <c r="Q57" s="415" t="n"/>
      <c r="R57" s="692" t="n"/>
      <c r="T57" s="692" t="n"/>
      <c r="W57" s="692" t="n"/>
      <c r="Y57" s="415" t="n"/>
      <c r="Z57" s="692" t="n"/>
    </row>
    <row r="58">
      <c r="D58" s="692" t="n"/>
      <c r="E58" s="415" t="n"/>
      <c r="F58" s="692" t="n"/>
      <c r="L58" s="692" t="n"/>
      <c r="Q58" s="415" t="n"/>
      <c r="R58" s="692" t="n"/>
      <c r="T58" s="692" t="n"/>
      <c r="W58" s="692" t="n"/>
      <c r="Y58" s="415" t="n"/>
      <c r="Z58" s="692" t="n"/>
    </row>
    <row r="59">
      <c r="D59" s="692" t="n"/>
      <c r="E59" s="415" t="n"/>
      <c r="F59" s="692" t="n"/>
      <c r="L59" s="692" t="n"/>
      <c r="Q59" s="415" t="n"/>
      <c r="R59" s="692" t="n"/>
      <c r="T59" s="692" t="n"/>
      <c r="W59" s="692" t="n"/>
      <c r="Y59" s="415" t="n"/>
      <c r="Z59" s="692" t="n"/>
    </row>
    <row r="60">
      <c r="D60" s="692" t="n"/>
      <c r="E60" s="415" t="n"/>
      <c r="F60" s="692" t="n"/>
      <c r="L60" s="692" t="n"/>
      <c r="Q60" s="415" t="n"/>
      <c r="R60" s="692" t="n"/>
      <c r="T60" s="692" t="n"/>
      <c r="W60" s="692" t="n"/>
      <c r="Y60" s="415" t="n"/>
      <c r="Z60" s="692" t="n"/>
    </row>
    <row r="61">
      <c r="D61" s="692" t="n"/>
      <c r="E61" s="415" t="n"/>
      <c r="F61" s="692" t="n"/>
      <c r="L61" s="692" t="n"/>
      <c r="Q61" s="415" t="n"/>
      <c r="R61" s="692" t="n"/>
      <c r="T61" s="692" t="n"/>
      <c r="W61" s="692" t="n"/>
      <c r="Y61" s="415" t="n"/>
      <c r="Z61" s="692" t="n"/>
    </row>
    <row r="62">
      <c r="D62" s="692" t="n"/>
      <c r="E62" s="415" t="n"/>
      <c r="F62" s="692" t="n"/>
      <c r="L62" s="692" t="n"/>
      <c r="Q62" s="415" t="n"/>
      <c r="R62" s="692" t="n"/>
      <c r="T62" s="692" t="n"/>
      <c r="W62" s="692" t="n"/>
      <c r="Y62" s="415" t="n"/>
      <c r="Z62" s="692" t="n"/>
    </row>
    <row r="63">
      <c r="D63" s="692" t="n"/>
      <c r="E63" s="415" t="n"/>
      <c r="F63" s="692" t="n"/>
      <c r="L63" s="692" t="n"/>
      <c r="Q63" s="415" t="n"/>
      <c r="R63" s="692" t="n"/>
      <c r="T63" s="692" t="n"/>
      <c r="W63" s="692" t="n"/>
      <c r="Y63" s="415" t="n"/>
      <c r="Z63" s="692" t="n"/>
    </row>
    <row r="64">
      <c r="D64" s="692" t="n"/>
      <c r="E64" s="415" t="n"/>
      <c r="F64" s="692" t="n"/>
      <c r="L64" s="692" t="n"/>
      <c r="Q64" s="415" t="n"/>
      <c r="R64" s="692" t="n"/>
      <c r="T64" s="692" t="n"/>
      <c r="W64" s="692" t="n"/>
      <c r="Y64" s="415" t="n"/>
      <c r="Z64" s="692" t="n"/>
    </row>
    <row r="65">
      <c r="D65" s="692" t="n"/>
      <c r="E65" s="415" t="n"/>
      <c r="F65" s="692" t="n"/>
      <c r="L65" s="692" t="n"/>
      <c r="Q65" s="415" t="n"/>
      <c r="R65" s="692" t="n"/>
      <c r="T65" s="692" t="n"/>
      <c r="W65" s="692" t="n"/>
      <c r="Y65" s="415" t="n"/>
      <c r="Z65" s="692" t="n"/>
    </row>
    <row r="66">
      <c r="D66" s="692" t="n"/>
      <c r="E66" s="415" t="n"/>
      <c r="F66" s="692" t="n"/>
      <c r="L66" s="692" t="n"/>
      <c r="Q66" s="415" t="n"/>
      <c r="R66" s="692" t="n"/>
      <c r="T66" s="692" t="n"/>
      <c r="W66" s="692" t="n"/>
      <c r="Y66" s="415" t="n"/>
      <c r="Z66" s="692" t="n"/>
    </row>
    <row r="67">
      <c r="D67" s="692" t="n"/>
      <c r="E67" s="415" t="n"/>
      <c r="F67" s="692" t="n"/>
      <c r="L67" s="692" t="n"/>
      <c r="Q67" s="415" t="n"/>
      <c r="R67" s="692" t="n"/>
      <c r="T67" s="692" t="n"/>
      <c r="W67" s="692" t="n"/>
      <c r="Y67" s="415" t="n"/>
      <c r="Z67" s="692" t="n"/>
    </row>
    <row r="68">
      <c r="D68" s="692" t="n"/>
      <c r="E68" s="415" t="n"/>
      <c r="F68" s="692" t="n"/>
      <c r="L68" s="692" t="n"/>
      <c r="Q68" s="415" t="n"/>
      <c r="R68" s="692" t="n"/>
      <c r="T68" s="692" t="n"/>
      <c r="W68" s="692" t="n"/>
      <c r="Y68" s="415" t="n"/>
      <c r="Z68" s="692" t="n"/>
    </row>
    <row r="69">
      <c r="D69" s="692" t="n"/>
      <c r="E69" s="415" t="n"/>
      <c r="F69" s="692" t="n"/>
      <c r="L69" s="692" t="n"/>
      <c r="Q69" s="415" t="n"/>
      <c r="R69" s="692" t="n"/>
      <c r="T69" s="692" t="n"/>
      <c r="W69" s="692" t="n"/>
      <c r="Y69" s="415" t="n"/>
      <c r="Z69" s="692" t="n"/>
    </row>
    <row r="70">
      <c r="D70" s="692" t="n"/>
      <c r="E70" s="415" t="n"/>
      <c r="F70" s="692" t="n"/>
      <c r="L70" s="692" t="n"/>
      <c r="Q70" s="415" t="n"/>
      <c r="R70" s="692" t="n"/>
      <c r="T70" s="692" t="n"/>
      <c r="W70" s="692" t="n"/>
      <c r="Y70" s="415" t="n"/>
      <c r="Z70" s="692" t="n"/>
    </row>
    <row r="71">
      <c r="D71" s="692" t="n"/>
      <c r="E71" s="415" t="n"/>
      <c r="F71" s="692" t="n"/>
      <c r="L71" s="692" t="n"/>
      <c r="Q71" s="415" t="n"/>
      <c r="R71" s="692" t="n"/>
      <c r="T71" s="692" t="n"/>
      <c r="W71" s="692" t="n"/>
      <c r="Y71" s="415" t="n"/>
      <c r="Z71" s="692" t="n"/>
    </row>
    <row r="72">
      <c r="D72" s="692" t="n"/>
      <c r="E72" s="415" t="n"/>
      <c r="F72" s="692" t="n"/>
      <c r="L72" s="692" t="n"/>
      <c r="Q72" s="415" t="n"/>
      <c r="R72" s="692" t="n"/>
      <c r="T72" s="692" t="n"/>
      <c r="W72" s="692" t="n"/>
      <c r="Y72" s="415" t="n"/>
      <c r="Z72" s="692" t="n"/>
    </row>
    <row r="73">
      <c r="D73" s="692" t="n"/>
      <c r="E73" s="415" t="n"/>
      <c r="F73" s="692" t="n"/>
      <c r="L73" s="692" t="n"/>
      <c r="Q73" s="415" t="n"/>
      <c r="R73" s="692" t="n"/>
      <c r="T73" s="692" t="n"/>
      <c r="W73" s="692" t="n"/>
      <c r="Y73" s="415" t="n"/>
      <c r="Z73" s="692" t="n"/>
    </row>
    <row r="74">
      <c r="D74" s="692" t="n"/>
      <c r="E74" s="415" t="n"/>
      <c r="F74" s="692" t="n"/>
      <c r="L74" s="692" t="n"/>
      <c r="Q74" s="415" t="n"/>
      <c r="R74" s="692" t="n"/>
      <c r="T74" s="692" t="n"/>
      <c r="W74" s="692" t="n"/>
      <c r="Y74" s="415" t="n"/>
      <c r="Z74" s="692" t="n"/>
    </row>
    <row r="75">
      <c r="D75" s="692" t="n"/>
      <c r="E75" s="415" t="n"/>
      <c r="F75" s="692" t="n"/>
      <c r="L75" s="692" t="n"/>
      <c r="Q75" s="415" t="n"/>
      <c r="R75" s="692" t="n"/>
      <c r="T75" s="692" t="n"/>
      <c r="W75" s="692" t="n"/>
      <c r="Y75" s="415" t="n"/>
      <c r="Z75" s="692" t="n"/>
    </row>
    <row r="76">
      <c r="D76" s="692" t="n"/>
      <c r="E76" s="415" t="n"/>
      <c r="F76" s="692" t="n"/>
      <c r="L76" s="692" t="n"/>
      <c r="Q76" s="415" t="n"/>
      <c r="R76" s="692" t="n"/>
      <c r="T76" s="692" t="n"/>
      <c r="W76" s="692" t="n"/>
      <c r="Y76" s="415" t="n"/>
      <c r="Z76" s="692" t="n"/>
    </row>
    <row r="77">
      <c r="D77" s="692" t="n"/>
      <c r="E77" s="415" t="n"/>
      <c r="F77" s="692" t="n"/>
      <c r="L77" s="692" t="n"/>
      <c r="Q77" s="415" t="n"/>
      <c r="R77" s="692" t="n"/>
      <c r="T77" s="692" t="n"/>
      <c r="W77" s="692" t="n"/>
      <c r="Y77" s="415" t="n"/>
      <c r="Z77" s="692" t="n"/>
    </row>
    <row r="78">
      <c r="D78" s="692" t="n"/>
      <c r="E78" s="415" t="n"/>
      <c r="F78" s="692" t="n"/>
      <c r="L78" s="692" t="n"/>
      <c r="Q78" s="415" t="n"/>
      <c r="R78" s="692" t="n"/>
      <c r="T78" s="692" t="n"/>
      <c r="W78" s="692" t="n"/>
      <c r="Y78" s="415" t="n"/>
      <c r="Z78" s="692" t="n"/>
    </row>
    <row r="79">
      <c r="D79" s="692" t="n"/>
      <c r="E79" s="415" t="n"/>
      <c r="F79" s="692" t="n"/>
      <c r="L79" s="692" t="n"/>
      <c r="Q79" s="415" t="n"/>
      <c r="R79" s="692" t="n"/>
      <c r="T79" s="692" t="n"/>
      <c r="W79" s="692" t="n"/>
      <c r="Y79" s="415" t="n"/>
      <c r="Z79" s="692" t="n"/>
    </row>
    <row r="80">
      <c r="D80" s="692" t="n"/>
      <c r="E80" s="415" t="n"/>
      <c r="F80" s="692" t="n"/>
      <c r="L80" s="692" t="n"/>
      <c r="Q80" s="415" t="n"/>
      <c r="R80" s="692" t="n"/>
      <c r="T80" s="692" t="n"/>
      <c r="W80" s="692" t="n"/>
      <c r="Y80" s="415" t="n"/>
      <c r="Z80" s="692" t="n"/>
    </row>
    <row r="81">
      <c r="D81" s="692" t="n"/>
      <c r="E81" s="415" t="n"/>
      <c r="F81" s="692" t="n"/>
      <c r="L81" s="692" t="n"/>
      <c r="Q81" s="415" t="n"/>
      <c r="R81" s="692" t="n"/>
      <c r="T81" s="692" t="n"/>
      <c r="W81" s="692" t="n"/>
      <c r="Y81" s="415" t="n"/>
      <c r="Z81" s="692" t="n"/>
    </row>
    <row r="82">
      <c r="D82" s="692" t="n"/>
      <c r="E82" s="415" t="n"/>
      <c r="F82" s="692" t="n"/>
      <c r="L82" s="692" t="n"/>
      <c r="Q82" s="415" t="n"/>
      <c r="R82" s="692" t="n"/>
      <c r="T82" s="692" t="n"/>
      <c r="W82" s="692" t="n"/>
      <c r="Y82" s="415" t="n"/>
      <c r="Z82" s="692" t="n"/>
    </row>
    <row r="83">
      <c r="D83" s="692" t="n"/>
      <c r="E83" s="415" t="n"/>
      <c r="F83" s="692" t="n"/>
      <c r="L83" s="692" t="n"/>
      <c r="Q83" s="415" t="n"/>
      <c r="R83" s="692" t="n"/>
      <c r="T83" s="692" t="n"/>
      <c r="W83" s="692" t="n"/>
      <c r="Y83" s="415" t="n"/>
      <c r="Z83" s="692" t="n"/>
    </row>
    <row r="84">
      <c r="D84" s="692" t="n"/>
      <c r="E84" s="415" t="n"/>
      <c r="F84" s="692" t="n"/>
      <c r="L84" s="692" t="n"/>
      <c r="Q84" s="415" t="n"/>
      <c r="R84" s="692" t="n"/>
      <c r="T84" s="692" t="n"/>
      <c r="W84" s="692" t="n"/>
      <c r="Y84" s="415" t="n"/>
      <c r="Z84" s="692" t="n"/>
    </row>
    <row r="85">
      <c r="D85" s="692" t="n"/>
      <c r="E85" s="415" t="n"/>
      <c r="F85" s="692" t="n"/>
      <c r="L85" s="692" t="n"/>
      <c r="Q85" s="415" t="n"/>
      <c r="R85" s="692" t="n"/>
      <c r="T85" s="692" t="n"/>
      <c r="W85" s="692" t="n"/>
      <c r="Y85" s="415" t="n"/>
      <c r="Z85" s="692" t="n"/>
    </row>
    <row r="86">
      <c r="D86" s="692" t="n"/>
      <c r="E86" s="415" t="n"/>
      <c r="F86" s="692" t="n"/>
      <c r="L86" s="692" t="n"/>
      <c r="Q86" s="415" t="n"/>
      <c r="R86" s="692" t="n"/>
      <c r="T86" s="692" t="n"/>
      <c r="W86" s="692" t="n"/>
      <c r="Y86" s="415" t="n"/>
      <c r="Z86" s="692" t="n"/>
    </row>
    <row r="87">
      <c r="D87" s="692" t="n"/>
      <c r="E87" s="415" t="n"/>
      <c r="F87" s="692" t="n"/>
      <c r="L87" s="692" t="n"/>
      <c r="Q87" s="415" t="n"/>
      <c r="R87" s="692" t="n"/>
      <c r="T87" s="692" t="n"/>
      <c r="W87" s="692" t="n"/>
      <c r="Y87" s="415" t="n"/>
      <c r="Z87" s="692" t="n"/>
    </row>
    <row r="88">
      <c r="D88" s="692" t="n"/>
      <c r="E88" s="415" t="n"/>
      <c r="F88" s="692" t="n"/>
      <c r="L88" s="692" t="n"/>
      <c r="Q88" s="415" t="n"/>
      <c r="R88" s="692" t="n"/>
      <c r="T88" s="692" t="n"/>
      <c r="W88" s="692" t="n"/>
      <c r="Y88" s="415" t="n"/>
      <c r="Z88" s="692" t="n"/>
    </row>
    <row r="89">
      <c r="D89" s="692" t="n"/>
      <c r="E89" s="415" t="n"/>
      <c r="F89" s="692" t="n"/>
      <c r="L89" s="692" t="n"/>
      <c r="Q89" s="415" t="n"/>
      <c r="R89" s="692" t="n"/>
      <c r="T89" s="692" t="n"/>
      <c r="W89" s="692" t="n"/>
      <c r="Y89" s="415" t="n"/>
      <c r="Z89" s="692" t="n"/>
    </row>
    <row r="90">
      <c r="D90" s="692" t="n"/>
      <c r="E90" s="415" t="n"/>
      <c r="F90" s="692" t="n"/>
      <c r="L90" s="692" t="n"/>
      <c r="Q90" s="415" t="n"/>
      <c r="R90" s="692" t="n"/>
      <c r="T90" s="692" t="n"/>
      <c r="W90" s="692" t="n"/>
      <c r="Y90" s="415" t="n"/>
      <c r="Z90" s="692" t="n"/>
    </row>
    <row r="91">
      <c r="D91" s="692" t="n"/>
      <c r="E91" s="415" t="n"/>
      <c r="F91" s="692" t="n"/>
      <c r="L91" s="692" t="n"/>
      <c r="Q91" s="415" t="n"/>
      <c r="R91" s="692" t="n"/>
      <c r="T91" s="692" t="n"/>
      <c r="W91" s="692" t="n"/>
      <c r="Y91" s="415" t="n"/>
      <c r="Z91" s="692" t="n"/>
    </row>
    <row r="92">
      <c r="D92" s="692" t="n"/>
      <c r="E92" s="415" t="n"/>
      <c r="F92" s="692" t="n"/>
      <c r="L92" s="692" t="n"/>
      <c r="Q92" s="415" t="n"/>
      <c r="R92" s="692" t="n"/>
      <c r="T92" s="692" t="n"/>
      <c r="W92" s="692" t="n"/>
      <c r="Y92" s="415" t="n"/>
      <c r="Z92" s="692" t="n"/>
    </row>
    <row r="93">
      <c r="D93" s="692" t="n"/>
      <c r="E93" s="415" t="n"/>
      <c r="F93" s="692" t="n"/>
      <c r="L93" s="692" t="n"/>
      <c r="Q93" s="415" t="n"/>
      <c r="R93" s="692" t="n"/>
      <c r="T93" s="692" t="n"/>
      <c r="W93" s="692" t="n"/>
      <c r="Y93" s="415" t="n"/>
      <c r="Z93" s="692" t="n"/>
    </row>
    <row r="94">
      <c r="D94" s="692" t="n"/>
      <c r="E94" s="415" t="n"/>
      <c r="F94" s="692" t="n"/>
      <c r="L94" s="692" t="n"/>
      <c r="Q94" s="415" t="n"/>
      <c r="R94" s="692" t="n"/>
      <c r="T94" s="692" t="n"/>
      <c r="W94" s="692" t="n"/>
      <c r="Y94" s="415" t="n"/>
      <c r="Z94" s="692" t="n"/>
    </row>
    <row r="95">
      <c r="D95" s="692" t="n"/>
      <c r="E95" s="415" t="n"/>
      <c r="F95" s="692" t="n"/>
      <c r="L95" s="692" t="n"/>
      <c r="Q95" s="415" t="n"/>
      <c r="R95" s="692" t="n"/>
      <c r="T95" s="692" t="n"/>
      <c r="W95" s="692" t="n"/>
      <c r="Y95" s="415" t="n"/>
      <c r="Z95" s="692" t="n"/>
    </row>
    <row r="96">
      <c r="D96" s="692" t="n"/>
      <c r="E96" s="415" t="n"/>
      <c r="F96" s="692" t="n"/>
      <c r="L96" s="692" t="n"/>
      <c r="Q96" s="415" t="n"/>
      <c r="R96" s="692" t="n"/>
      <c r="T96" s="692" t="n"/>
      <c r="W96" s="692" t="n"/>
      <c r="Y96" s="415" t="n"/>
      <c r="Z96" s="692" t="n"/>
    </row>
    <row r="97">
      <c r="D97" s="692" t="n"/>
      <c r="E97" s="415" t="n"/>
      <c r="F97" s="692" t="n"/>
      <c r="L97" s="692" t="n"/>
      <c r="Q97" s="415" t="n"/>
      <c r="R97" s="692" t="n"/>
      <c r="T97" s="692" t="n"/>
      <c r="W97" s="692" t="n"/>
      <c r="Y97" s="415" t="n"/>
      <c r="Z97" s="692" t="n"/>
    </row>
    <row r="98">
      <c r="D98" s="692" t="n"/>
      <c r="E98" s="415" t="n"/>
      <c r="F98" s="692" t="n"/>
      <c r="L98" s="692" t="n"/>
      <c r="Q98" s="415" t="n"/>
      <c r="R98" s="692" t="n"/>
      <c r="T98" s="692" t="n"/>
      <c r="W98" s="692" t="n"/>
      <c r="Y98" s="415" t="n"/>
      <c r="Z98" s="692" t="n"/>
    </row>
    <row r="99">
      <c r="D99" s="692" t="n"/>
      <c r="E99" s="415" t="n"/>
      <c r="F99" s="692" t="n"/>
      <c r="L99" s="692" t="n"/>
      <c r="Q99" s="415" t="n"/>
      <c r="R99" s="692" t="n"/>
      <c r="T99" s="692" t="n"/>
      <c r="W99" s="692" t="n"/>
      <c r="Y99" s="415" t="n"/>
      <c r="Z99" s="692" t="n"/>
    </row>
    <row r="100">
      <c r="D100" s="692" t="n"/>
      <c r="E100" s="415" t="n"/>
      <c r="F100" s="692" t="n"/>
      <c r="L100" s="692" t="n"/>
      <c r="Q100" s="415" t="n"/>
      <c r="R100" s="692" t="n"/>
      <c r="T100" s="692" t="n"/>
      <c r="W100" s="692" t="n"/>
      <c r="Y100" s="415" t="n"/>
      <c r="Z100" s="692" t="n"/>
    </row>
    <row r="101">
      <c r="D101" s="692" t="n"/>
      <c r="E101" s="415" t="n"/>
      <c r="F101" s="692" t="n"/>
      <c r="L101" s="692" t="n"/>
      <c r="Q101" s="415" t="n"/>
      <c r="R101" s="692" t="n"/>
      <c r="T101" s="692" t="n"/>
      <c r="W101" s="692" t="n"/>
      <c r="Y101" s="415" t="n"/>
      <c r="Z101" s="692" t="n"/>
    </row>
    <row r="102">
      <c r="D102" s="692" t="n"/>
      <c r="E102" s="415" t="n"/>
      <c r="F102" s="692" t="n"/>
      <c r="L102" s="692" t="n"/>
      <c r="Q102" s="415" t="n"/>
      <c r="R102" s="692" t="n"/>
      <c r="T102" s="692" t="n"/>
      <c r="W102" s="692" t="n"/>
      <c r="Y102" s="415" t="n"/>
      <c r="Z102" s="692" t="n"/>
    </row>
    <row r="103">
      <c r="D103" s="692" t="n"/>
      <c r="E103" s="415" t="n"/>
      <c r="F103" s="692" t="n"/>
      <c r="L103" s="692" t="n"/>
      <c r="Q103" s="415" t="n"/>
      <c r="R103" s="692" t="n"/>
      <c r="T103" s="692" t="n"/>
      <c r="W103" s="692" t="n"/>
      <c r="Y103" s="415" t="n"/>
      <c r="Z103" s="692" t="n"/>
    </row>
    <row r="104">
      <c r="D104" s="692" t="n"/>
      <c r="E104" s="415" t="n"/>
      <c r="F104" s="692" t="n"/>
      <c r="L104" s="692" t="n"/>
      <c r="Q104" s="415" t="n"/>
      <c r="R104" s="692" t="n"/>
      <c r="T104" s="692" t="n"/>
      <c r="W104" s="692" t="n"/>
      <c r="Y104" s="415" t="n"/>
      <c r="Z104" s="692" t="n"/>
    </row>
    <row r="105">
      <c r="D105" s="692" t="n"/>
      <c r="E105" s="415" t="n"/>
      <c r="F105" s="692" t="n"/>
      <c r="L105" s="692" t="n"/>
      <c r="Q105" s="415" t="n"/>
      <c r="R105" s="692" t="n"/>
      <c r="T105" s="692" t="n"/>
      <c r="W105" s="692" t="n"/>
      <c r="Y105" s="415" t="n"/>
      <c r="Z105" s="692" t="n"/>
    </row>
    <row r="106">
      <c r="D106" s="692" t="n"/>
      <c r="E106" s="415" t="n"/>
      <c r="F106" s="692" t="n"/>
      <c r="L106" s="692" t="n"/>
      <c r="Q106" s="415" t="n"/>
      <c r="R106" s="692" t="n"/>
      <c r="T106" s="692" t="n"/>
      <c r="W106" s="692" t="n"/>
      <c r="Y106" s="415" t="n"/>
      <c r="Z106" s="692" t="n"/>
    </row>
    <row r="107">
      <c r="D107" s="692" t="n"/>
      <c r="E107" s="415" t="n"/>
      <c r="F107" s="692" t="n"/>
      <c r="L107" s="692" t="n"/>
      <c r="Q107" s="415" t="n"/>
      <c r="R107" s="692" t="n"/>
      <c r="T107" s="692" t="n"/>
      <c r="W107" s="692" t="n"/>
      <c r="Y107" s="415" t="n"/>
      <c r="Z107" s="692" t="n"/>
    </row>
    <row r="108">
      <c r="D108" s="692" t="n"/>
      <c r="E108" s="415" t="n"/>
      <c r="F108" s="692" t="n"/>
      <c r="L108" s="692" t="n"/>
      <c r="Q108" s="415" t="n"/>
      <c r="R108" s="692" t="n"/>
      <c r="T108" s="692" t="n"/>
      <c r="W108" s="692" t="n"/>
      <c r="Y108" s="415" t="n"/>
      <c r="Z108" s="692" t="n"/>
    </row>
    <row r="109">
      <c r="D109" s="692" t="n"/>
      <c r="E109" s="415" t="n"/>
      <c r="F109" s="692" t="n"/>
      <c r="L109" s="692" t="n"/>
      <c r="Q109" s="415" t="n"/>
      <c r="R109" s="692" t="n"/>
      <c r="T109" s="692" t="n"/>
      <c r="W109" s="692" t="n"/>
      <c r="Y109" s="415" t="n"/>
      <c r="Z109" s="692" t="n"/>
    </row>
    <row r="110">
      <c r="D110" s="692" t="n"/>
      <c r="E110" s="415" t="n"/>
      <c r="F110" s="692" t="n"/>
      <c r="L110" s="692" t="n"/>
      <c r="Q110" s="415" t="n"/>
      <c r="R110" s="692" t="n"/>
      <c r="T110" s="692" t="n"/>
      <c r="W110" s="692" t="n"/>
      <c r="Y110" s="415" t="n"/>
      <c r="Z110" s="692" t="n"/>
    </row>
    <row r="111">
      <c r="D111" s="692" t="n"/>
      <c r="E111" s="415" t="n"/>
      <c r="F111" s="692" t="n"/>
      <c r="L111" s="692" t="n"/>
      <c r="Q111" s="415" t="n"/>
      <c r="R111" s="692" t="n"/>
      <c r="T111" s="692" t="n"/>
      <c r="W111" s="692" t="n"/>
      <c r="Y111" s="415" t="n"/>
      <c r="Z111" s="692" t="n"/>
    </row>
    <row r="112">
      <c r="D112" s="692" t="n"/>
      <c r="E112" s="415" t="n"/>
      <c r="F112" s="692" t="n"/>
      <c r="L112" s="692" t="n"/>
      <c r="Q112" s="415" t="n"/>
      <c r="R112" s="692" t="n"/>
      <c r="T112" s="692" t="n"/>
      <c r="W112" s="692" t="n"/>
      <c r="Y112" s="415" t="n"/>
      <c r="Z112" s="692" t="n"/>
    </row>
    <row r="113">
      <c r="D113" s="692" t="n"/>
      <c r="E113" s="415" t="n"/>
      <c r="F113" s="692" t="n"/>
      <c r="L113" s="692" t="n"/>
      <c r="Q113" s="415" t="n"/>
      <c r="R113" s="692" t="n"/>
      <c r="T113" s="692" t="n"/>
      <c r="W113" s="692" t="n"/>
      <c r="Y113" s="415" t="n"/>
      <c r="Z113" s="692" t="n"/>
    </row>
    <row r="114">
      <c r="D114" s="692" t="n"/>
      <c r="E114" s="415" t="n"/>
      <c r="F114" s="692" t="n"/>
      <c r="L114" s="692" t="n"/>
      <c r="Q114" s="415" t="n"/>
      <c r="R114" s="692" t="n"/>
      <c r="T114" s="692" t="n"/>
      <c r="W114" s="692" t="n"/>
      <c r="Y114" s="415" t="n"/>
      <c r="Z114" s="692" t="n"/>
    </row>
    <row r="115">
      <c r="D115" s="692" t="n"/>
      <c r="E115" s="415" t="n"/>
      <c r="F115" s="692" t="n"/>
      <c r="L115" s="692" t="n"/>
      <c r="Q115" s="415" t="n"/>
      <c r="R115" s="692" t="n"/>
      <c r="T115" s="692" t="n"/>
      <c r="W115" s="692" t="n"/>
      <c r="Y115" s="415" t="n"/>
      <c r="Z115" s="692" t="n"/>
    </row>
    <row r="116">
      <c r="D116" s="692" t="n"/>
      <c r="E116" s="415" t="n"/>
      <c r="F116" s="692" t="n"/>
      <c r="L116" s="692" t="n"/>
      <c r="Q116" s="415" t="n"/>
      <c r="R116" s="692" t="n"/>
      <c r="T116" s="692" t="n"/>
      <c r="W116" s="692" t="n"/>
      <c r="Y116" s="415" t="n"/>
      <c r="Z116" s="692" t="n"/>
    </row>
    <row r="117">
      <c r="D117" s="692" t="n"/>
      <c r="E117" s="415" t="n"/>
      <c r="F117" s="692" t="n"/>
      <c r="L117" s="692" t="n"/>
      <c r="Q117" s="415" t="n"/>
      <c r="R117" s="692" t="n"/>
      <c r="T117" s="692" t="n"/>
      <c r="W117" s="692" t="n"/>
      <c r="Y117" s="415" t="n"/>
      <c r="Z117" s="692" t="n"/>
    </row>
    <row r="118">
      <c r="D118" s="692" t="n"/>
      <c r="E118" s="415" t="n"/>
      <c r="F118" s="692" t="n"/>
      <c r="L118" s="692" t="n"/>
      <c r="Q118" s="415" t="n"/>
      <c r="R118" s="692" t="n"/>
      <c r="T118" s="692" t="n"/>
      <c r="W118" s="692" t="n"/>
      <c r="Y118" s="415" t="n"/>
      <c r="Z118" s="692" t="n"/>
    </row>
    <row r="119">
      <c r="D119" s="692" t="n"/>
      <c r="E119" s="415" t="n"/>
      <c r="F119" s="692" t="n"/>
      <c r="L119" s="692" t="n"/>
      <c r="Q119" s="415" t="n"/>
      <c r="R119" s="692" t="n"/>
      <c r="T119" s="692" t="n"/>
      <c r="W119" s="692" t="n"/>
      <c r="Y119" s="415" t="n"/>
      <c r="Z119" s="692" t="n"/>
    </row>
    <row r="120">
      <c r="D120" s="692" t="n"/>
      <c r="E120" s="415" t="n"/>
      <c r="F120" s="692" t="n"/>
      <c r="L120" s="692" t="n"/>
      <c r="Q120" s="415" t="n"/>
      <c r="R120" s="692" t="n"/>
      <c r="T120" s="692" t="n"/>
      <c r="W120" s="692" t="n"/>
      <c r="Y120" s="415" t="n"/>
      <c r="Z120" s="692" t="n"/>
    </row>
    <row r="121">
      <c r="D121" s="692" t="n"/>
      <c r="E121" s="415" t="n"/>
      <c r="F121" s="692" t="n"/>
      <c r="L121" s="692" t="n"/>
      <c r="Q121" s="415" t="n"/>
      <c r="R121" s="692" t="n"/>
      <c r="T121" s="692" t="n"/>
      <c r="W121" s="692" t="n"/>
      <c r="Y121" s="415" t="n"/>
      <c r="Z121" s="692" t="n"/>
    </row>
    <row r="122">
      <c r="D122" s="692" t="n"/>
      <c r="E122" s="415" t="n"/>
      <c r="F122" s="692" t="n"/>
      <c r="L122" s="692" t="n"/>
      <c r="Q122" s="415" t="n"/>
      <c r="R122" s="692" t="n"/>
      <c r="T122" s="692" t="n"/>
      <c r="W122" s="692" t="n"/>
      <c r="Y122" s="415" t="n"/>
      <c r="Z122" s="692" t="n"/>
    </row>
    <row r="123">
      <c r="D123" s="692" t="n"/>
      <c r="E123" s="415" t="n"/>
      <c r="F123" s="692" t="n"/>
      <c r="L123" s="692" t="n"/>
      <c r="Q123" s="415" t="n"/>
      <c r="R123" s="692" t="n"/>
      <c r="T123" s="692" t="n"/>
      <c r="W123" s="692" t="n"/>
      <c r="Y123" s="415" t="n"/>
      <c r="Z123" s="692" t="n"/>
    </row>
    <row r="124">
      <c r="D124" s="692" t="n"/>
      <c r="E124" s="415" t="n"/>
      <c r="F124" s="692" t="n"/>
      <c r="L124" s="692" t="n"/>
      <c r="Q124" s="415" t="n"/>
      <c r="R124" s="692" t="n"/>
      <c r="T124" s="692" t="n"/>
      <c r="W124" s="692" t="n"/>
      <c r="Y124" s="415" t="n"/>
      <c r="Z124" s="692" t="n"/>
    </row>
    <row r="125">
      <c r="D125" s="692" t="n"/>
      <c r="E125" s="415" t="n"/>
      <c r="F125" s="692" t="n"/>
      <c r="L125" s="692" t="n"/>
      <c r="Q125" s="415" t="n"/>
      <c r="R125" s="692" t="n"/>
      <c r="T125" s="692" t="n"/>
      <c r="W125" s="692" t="n"/>
      <c r="Y125" s="415" t="n"/>
      <c r="Z125" s="692" t="n"/>
    </row>
    <row r="126">
      <c r="D126" s="692" t="n"/>
      <c r="E126" s="415" t="n"/>
      <c r="F126" s="692" t="n"/>
      <c r="L126" s="692" t="n"/>
      <c r="Q126" s="415" t="n"/>
      <c r="R126" s="692" t="n"/>
      <c r="T126" s="692" t="n"/>
      <c r="W126" s="692" t="n"/>
      <c r="Y126" s="415" t="n"/>
      <c r="Z126" s="692" t="n"/>
    </row>
    <row r="127">
      <c r="D127" s="692" t="n"/>
      <c r="E127" s="415" t="n"/>
      <c r="F127" s="692" t="n"/>
      <c r="L127" s="692" t="n"/>
      <c r="Q127" s="415" t="n"/>
      <c r="R127" s="692" t="n"/>
      <c r="T127" s="692" t="n"/>
      <c r="W127" s="692" t="n"/>
      <c r="Y127" s="415" t="n"/>
      <c r="Z127" s="692" t="n"/>
    </row>
    <row r="128">
      <c r="D128" s="692" t="n"/>
      <c r="E128" s="415" t="n"/>
      <c r="F128" s="692" t="n"/>
      <c r="L128" s="692" t="n"/>
      <c r="Q128" s="415" t="n"/>
      <c r="R128" s="692" t="n"/>
      <c r="T128" s="692" t="n"/>
      <c r="W128" s="692" t="n"/>
      <c r="Y128" s="415" t="n"/>
      <c r="Z128" s="692" t="n"/>
    </row>
    <row r="129">
      <c r="D129" s="692" t="n"/>
      <c r="E129" s="415" t="n"/>
      <c r="F129" s="692" t="n"/>
      <c r="L129" s="692" t="n"/>
      <c r="Q129" s="415" t="n"/>
      <c r="R129" s="692" t="n"/>
      <c r="T129" s="692" t="n"/>
      <c r="W129" s="692" t="n"/>
      <c r="Y129" s="415" t="n"/>
      <c r="Z129" s="692" t="n"/>
    </row>
    <row r="130">
      <c r="D130" s="692" t="n"/>
      <c r="E130" s="415" t="n"/>
      <c r="F130" s="692" t="n"/>
      <c r="L130" s="692" t="n"/>
      <c r="Q130" s="415" t="n"/>
      <c r="R130" s="692" t="n"/>
      <c r="T130" s="692" t="n"/>
      <c r="W130" s="692" t="n"/>
      <c r="Y130" s="415" t="n"/>
      <c r="Z130" s="692" t="n"/>
    </row>
    <row r="131">
      <c r="D131" s="692" t="n"/>
      <c r="E131" s="415" t="n"/>
      <c r="F131" s="692" t="n"/>
      <c r="L131" s="692" t="n"/>
      <c r="Q131" s="415" t="n"/>
      <c r="R131" s="692" t="n"/>
      <c r="T131" s="692" t="n"/>
      <c r="W131" s="692" t="n"/>
      <c r="Y131" s="415" t="n"/>
      <c r="Z131" s="692" t="n"/>
    </row>
    <row r="132">
      <c r="D132" s="692" t="n"/>
      <c r="E132" s="415" t="n"/>
      <c r="F132" s="692" t="n"/>
      <c r="L132" s="692" t="n"/>
      <c r="Q132" s="415" t="n"/>
      <c r="R132" s="692" t="n"/>
      <c r="T132" s="692" t="n"/>
      <c r="W132" s="692" t="n"/>
      <c r="Y132" s="415" t="n"/>
      <c r="Z132" s="692" t="n"/>
    </row>
    <row r="133">
      <c r="D133" s="692" t="n"/>
      <c r="E133" s="415" t="n"/>
      <c r="F133" s="692" t="n"/>
      <c r="L133" s="692" t="n"/>
      <c r="Q133" s="415" t="n"/>
      <c r="R133" s="692" t="n"/>
      <c r="T133" s="692" t="n"/>
      <c r="W133" s="692" t="n"/>
      <c r="Y133" s="415" t="n"/>
      <c r="Z133" s="692" t="n"/>
    </row>
    <row r="134">
      <c r="D134" s="692" t="n"/>
      <c r="E134" s="415" t="n"/>
      <c r="F134" s="692" t="n"/>
      <c r="L134" s="692" t="n"/>
      <c r="Q134" s="415" t="n"/>
      <c r="R134" s="692" t="n"/>
      <c r="T134" s="692" t="n"/>
      <c r="W134" s="692" t="n"/>
      <c r="Y134" s="415" t="n"/>
      <c r="Z134" s="692" t="n"/>
    </row>
    <row r="135">
      <c r="D135" s="692" t="n"/>
      <c r="E135" s="415" t="n"/>
      <c r="F135" s="692" t="n"/>
      <c r="L135" s="692" t="n"/>
      <c r="Q135" s="415" t="n"/>
      <c r="R135" s="692" t="n"/>
      <c r="T135" s="692" t="n"/>
      <c r="W135" s="692" t="n"/>
      <c r="Y135" s="415" t="n"/>
      <c r="Z135" s="692" t="n"/>
    </row>
    <row r="136">
      <c r="D136" s="692" t="n"/>
      <c r="E136" s="415" t="n"/>
      <c r="F136" s="692" t="n"/>
      <c r="L136" s="692" t="n"/>
      <c r="Q136" s="415" t="n"/>
      <c r="R136" s="692" t="n"/>
      <c r="T136" s="692" t="n"/>
      <c r="W136" s="692" t="n"/>
      <c r="Y136" s="415" t="n"/>
      <c r="Z136" s="692" t="n"/>
    </row>
    <row r="137">
      <c r="D137" s="692" t="n"/>
      <c r="E137" s="415" t="n"/>
      <c r="F137" s="692" t="n"/>
      <c r="L137" s="692" t="n"/>
      <c r="Q137" s="415" t="n"/>
      <c r="R137" s="692" t="n"/>
      <c r="T137" s="692" t="n"/>
      <c r="W137" s="692" t="n"/>
      <c r="Y137" s="415" t="n"/>
      <c r="Z137" s="692" t="n"/>
    </row>
    <row r="138">
      <c r="D138" s="692" t="n"/>
      <c r="E138" s="415" t="n"/>
      <c r="F138" s="692" t="n"/>
      <c r="L138" s="692" t="n"/>
      <c r="Q138" s="415" t="n"/>
      <c r="R138" s="692" t="n"/>
      <c r="T138" s="692" t="n"/>
      <c r="W138" s="692" t="n"/>
      <c r="Y138" s="415" t="n"/>
      <c r="Z138" s="692" t="n"/>
    </row>
    <row r="139">
      <c r="D139" s="692" t="n"/>
      <c r="E139" s="415" t="n"/>
      <c r="F139" s="692" t="n"/>
      <c r="L139" s="692" t="n"/>
      <c r="Q139" s="415" t="n"/>
      <c r="R139" s="692" t="n"/>
      <c r="T139" s="692" t="n"/>
      <c r="W139" s="692" t="n"/>
      <c r="Y139" s="415" t="n"/>
      <c r="Z139" s="692" t="n"/>
    </row>
    <row r="140">
      <c r="D140" s="692" t="n"/>
      <c r="E140" s="415" t="n"/>
      <c r="F140" s="692" t="n"/>
      <c r="L140" s="692" t="n"/>
      <c r="Q140" s="415" t="n"/>
      <c r="R140" s="692" t="n"/>
      <c r="T140" s="692" t="n"/>
      <c r="W140" s="692" t="n"/>
      <c r="Y140" s="415" t="n"/>
      <c r="Z140" s="692" t="n"/>
    </row>
    <row r="141">
      <c r="D141" s="692" t="n"/>
      <c r="E141" s="415" t="n"/>
      <c r="F141" s="692" t="n"/>
      <c r="L141" s="692" t="n"/>
      <c r="Q141" s="415" t="n"/>
      <c r="R141" s="692" t="n"/>
      <c r="T141" s="692" t="n"/>
      <c r="W141" s="692" t="n"/>
      <c r="Y141" s="415" t="n"/>
      <c r="Z141" s="692" t="n"/>
    </row>
    <row r="142">
      <c r="D142" s="692" t="n"/>
      <c r="E142" s="415" t="n"/>
      <c r="F142" s="692" t="n"/>
      <c r="L142" s="692" t="n"/>
      <c r="Q142" s="415" t="n"/>
      <c r="R142" s="692" t="n"/>
      <c r="T142" s="692" t="n"/>
      <c r="W142" s="692" t="n"/>
      <c r="Y142" s="415" t="n"/>
      <c r="Z142" s="692" t="n"/>
    </row>
    <row r="143">
      <c r="D143" s="692" t="n"/>
      <c r="E143" s="415" t="n"/>
      <c r="F143" s="692" t="n"/>
      <c r="L143" s="692" t="n"/>
      <c r="Q143" s="415" t="n"/>
      <c r="R143" s="692" t="n"/>
      <c r="T143" s="692" t="n"/>
      <c r="W143" s="692" t="n"/>
      <c r="Y143" s="415" t="n"/>
      <c r="Z143" s="692" t="n"/>
    </row>
    <row r="144">
      <c r="D144" s="692" t="n"/>
      <c r="E144" s="415" t="n"/>
      <c r="F144" s="692" t="n"/>
      <c r="L144" s="692" t="n"/>
      <c r="Q144" s="415" t="n"/>
      <c r="R144" s="692" t="n"/>
      <c r="T144" s="692" t="n"/>
      <c r="W144" s="692" t="n"/>
      <c r="Y144" s="415" t="n"/>
      <c r="Z144" s="692" t="n"/>
    </row>
    <row r="145">
      <c r="D145" s="692" t="n"/>
      <c r="E145" s="415" t="n"/>
      <c r="F145" s="692" t="n"/>
      <c r="L145" s="692" t="n"/>
      <c r="Q145" s="415" t="n"/>
      <c r="R145" s="692" t="n"/>
      <c r="T145" s="692" t="n"/>
      <c r="W145" s="692" t="n"/>
      <c r="Y145" s="415" t="n"/>
      <c r="Z145" s="692" t="n"/>
    </row>
    <row r="146">
      <c r="D146" s="692" t="n"/>
      <c r="E146" s="415" t="n"/>
      <c r="F146" s="692" t="n"/>
      <c r="L146" s="692" t="n"/>
      <c r="Q146" s="415" t="n"/>
      <c r="R146" s="692" t="n"/>
      <c r="T146" s="692" t="n"/>
      <c r="W146" s="692" t="n"/>
      <c r="Y146" s="415" t="n"/>
      <c r="Z146" s="692" t="n"/>
    </row>
    <row r="147">
      <c r="D147" s="692" t="n"/>
      <c r="E147" s="415" t="n"/>
      <c r="F147" s="692" t="n"/>
      <c r="L147" s="692" t="n"/>
      <c r="Q147" s="415" t="n"/>
      <c r="R147" s="692" t="n"/>
      <c r="T147" s="692" t="n"/>
      <c r="W147" s="692" t="n"/>
      <c r="Y147" s="415" t="n"/>
      <c r="Z147" s="692" t="n"/>
    </row>
    <row r="148">
      <c r="D148" s="692" t="n"/>
      <c r="E148" s="415" t="n"/>
      <c r="F148" s="692" t="n"/>
      <c r="L148" s="692" t="n"/>
      <c r="Q148" s="415" t="n"/>
      <c r="R148" s="692" t="n"/>
      <c r="T148" s="692" t="n"/>
      <c r="W148" s="692" t="n"/>
      <c r="Y148" s="415" t="n"/>
      <c r="Z148" s="692" t="n"/>
    </row>
    <row r="149">
      <c r="D149" s="692" t="n"/>
      <c r="E149" s="415" t="n"/>
      <c r="F149" s="692" t="n"/>
      <c r="L149" s="692" t="n"/>
      <c r="Q149" s="415" t="n"/>
      <c r="R149" s="692" t="n"/>
      <c r="T149" s="692" t="n"/>
      <c r="W149" s="692" t="n"/>
      <c r="Y149" s="415" t="n"/>
      <c r="Z149" s="692" t="n"/>
    </row>
    <row r="150">
      <c r="D150" s="692" t="n"/>
      <c r="E150" s="415" t="n"/>
      <c r="F150" s="692" t="n"/>
      <c r="L150" s="692" t="n"/>
      <c r="Q150" s="415" t="n"/>
      <c r="R150" s="692" t="n"/>
      <c r="T150" s="692" t="n"/>
      <c r="W150" s="692" t="n"/>
      <c r="Y150" s="415" t="n"/>
      <c r="Z150" s="692" t="n"/>
    </row>
    <row r="151">
      <c r="D151" s="692" t="n"/>
      <c r="E151" s="415" t="n"/>
      <c r="F151" s="692" t="n"/>
      <c r="L151" s="692" t="n"/>
      <c r="Q151" s="415" t="n"/>
      <c r="R151" s="692" t="n"/>
      <c r="T151" s="692" t="n"/>
      <c r="W151" s="692" t="n"/>
      <c r="Y151" s="415" t="n"/>
      <c r="Z151" s="692" t="n"/>
    </row>
    <row r="152">
      <c r="D152" s="692" t="n"/>
      <c r="E152" s="415" t="n"/>
      <c r="F152" s="692" t="n"/>
      <c r="L152" s="692" t="n"/>
      <c r="Q152" s="415" t="n"/>
      <c r="R152" s="692" t="n"/>
      <c r="T152" s="692" t="n"/>
      <c r="W152" s="692" t="n"/>
      <c r="Y152" s="415" t="n"/>
      <c r="Z152" s="692" t="n"/>
    </row>
    <row r="153">
      <c r="D153" s="692" t="n"/>
      <c r="E153" s="415" t="n"/>
      <c r="F153" s="692" t="n"/>
      <c r="L153" s="692" t="n"/>
      <c r="Q153" s="415" t="n"/>
      <c r="R153" s="692" t="n"/>
      <c r="T153" s="692" t="n"/>
      <c r="W153" s="692" t="n"/>
      <c r="Y153" s="415" t="n"/>
      <c r="Z153" s="692" t="n"/>
    </row>
    <row r="154">
      <c r="D154" s="692" t="n"/>
      <c r="E154" s="415" t="n"/>
      <c r="F154" s="692" t="n"/>
      <c r="L154" s="692" t="n"/>
      <c r="Q154" s="415" t="n"/>
      <c r="R154" s="692" t="n"/>
      <c r="T154" s="692" t="n"/>
      <c r="W154" s="692" t="n"/>
      <c r="Y154" s="415" t="n"/>
      <c r="Z154" s="692" t="n"/>
    </row>
    <row r="155">
      <c r="D155" s="692" t="n"/>
      <c r="E155" s="415" t="n"/>
      <c r="F155" s="692" t="n"/>
      <c r="L155" s="692" t="n"/>
      <c r="Q155" s="415" t="n"/>
      <c r="R155" s="692" t="n"/>
      <c r="T155" s="692" t="n"/>
      <c r="W155" s="692" t="n"/>
      <c r="Y155" s="415" t="n"/>
      <c r="Z155" s="692" t="n"/>
    </row>
    <row r="156">
      <c r="D156" s="692" t="n"/>
      <c r="E156" s="415" t="n"/>
      <c r="F156" s="692" t="n"/>
      <c r="L156" s="692" t="n"/>
      <c r="Q156" s="415" t="n"/>
      <c r="R156" s="692" t="n"/>
      <c r="T156" s="692" t="n"/>
      <c r="W156" s="692" t="n"/>
      <c r="Y156" s="415" t="n"/>
      <c r="Z156" s="692" t="n"/>
    </row>
    <row r="157">
      <c r="D157" s="692" t="n"/>
      <c r="E157" s="415" t="n"/>
      <c r="F157" s="692" t="n"/>
      <c r="L157" s="692" t="n"/>
      <c r="Q157" s="415" t="n"/>
      <c r="R157" s="692" t="n"/>
      <c r="T157" s="692" t="n"/>
      <c r="W157" s="692" t="n"/>
      <c r="Y157" s="415" t="n"/>
      <c r="Z157" s="692" t="n"/>
    </row>
    <row r="158">
      <c r="D158" s="692" t="n"/>
      <c r="E158" s="415" t="n"/>
      <c r="F158" s="692" t="n"/>
      <c r="L158" s="692" t="n"/>
      <c r="Q158" s="415" t="n"/>
      <c r="R158" s="692" t="n"/>
      <c r="T158" s="692" t="n"/>
      <c r="W158" s="692" t="n"/>
      <c r="Y158" s="415" t="n"/>
      <c r="Z158" s="692" t="n"/>
    </row>
    <row r="159">
      <c r="D159" s="692" t="n"/>
      <c r="E159" s="415" t="n"/>
      <c r="F159" s="692" t="n"/>
      <c r="L159" s="692" t="n"/>
      <c r="Q159" s="415" t="n"/>
      <c r="R159" s="692" t="n"/>
      <c r="T159" s="692" t="n"/>
      <c r="W159" s="692" t="n"/>
      <c r="Y159" s="415" t="n"/>
      <c r="Z159" s="692" t="n"/>
    </row>
    <row r="160">
      <c r="D160" s="692" t="n"/>
      <c r="E160" s="415" t="n"/>
      <c r="F160" s="692" t="n"/>
      <c r="L160" s="692" t="n"/>
      <c r="Q160" s="415" t="n"/>
      <c r="R160" s="692" t="n"/>
      <c r="T160" s="692" t="n"/>
      <c r="W160" s="692" t="n"/>
      <c r="Y160" s="415" t="n"/>
      <c r="Z160" s="692" t="n"/>
    </row>
    <row r="161">
      <c r="D161" s="692" t="n"/>
      <c r="E161" s="415" t="n"/>
      <c r="F161" s="692" t="n"/>
      <c r="L161" s="692" t="n"/>
      <c r="Q161" s="415" t="n"/>
      <c r="R161" s="692" t="n"/>
      <c r="T161" s="692" t="n"/>
      <c r="W161" s="692" t="n"/>
      <c r="Y161" s="415" t="n"/>
      <c r="Z161" s="692" t="n"/>
    </row>
    <row r="162">
      <c r="D162" s="692" t="n"/>
      <c r="E162" s="415" t="n"/>
      <c r="F162" s="692" t="n"/>
      <c r="L162" s="692" t="n"/>
      <c r="Q162" s="415" t="n"/>
      <c r="R162" s="692" t="n"/>
      <c r="T162" s="692" t="n"/>
      <c r="W162" s="692" t="n"/>
      <c r="Y162" s="415" t="n"/>
      <c r="Z162" s="692" t="n"/>
    </row>
    <row r="163">
      <c r="D163" s="692" t="n"/>
      <c r="E163" s="415" t="n"/>
      <c r="F163" s="692" t="n"/>
      <c r="L163" s="692" t="n"/>
      <c r="Q163" s="415" t="n"/>
      <c r="R163" s="692" t="n"/>
      <c r="T163" s="692" t="n"/>
      <c r="W163" s="692" t="n"/>
      <c r="Y163" s="415" t="n"/>
      <c r="Z163" s="692" t="n"/>
    </row>
    <row r="164">
      <c r="D164" s="692" t="n"/>
      <c r="E164" s="415" t="n"/>
      <c r="F164" s="692" t="n"/>
      <c r="L164" s="692" t="n"/>
      <c r="Q164" s="415" t="n"/>
      <c r="R164" s="692" t="n"/>
      <c r="T164" s="692" t="n"/>
      <c r="W164" s="692" t="n"/>
      <c r="Y164" s="415" t="n"/>
      <c r="Z164" s="692" t="n"/>
    </row>
    <row r="165">
      <c r="D165" s="692" t="n"/>
      <c r="E165" s="415" t="n"/>
      <c r="F165" s="692" t="n"/>
      <c r="L165" s="692" t="n"/>
      <c r="Q165" s="415" t="n"/>
      <c r="R165" s="692" t="n"/>
      <c r="T165" s="692" t="n"/>
      <c r="W165" s="692" t="n"/>
      <c r="Y165" s="415" t="n"/>
      <c r="Z165" s="692" t="n"/>
    </row>
    <row r="166">
      <c r="D166" s="692" t="n"/>
      <c r="E166" s="415" t="n"/>
      <c r="F166" s="692" t="n"/>
      <c r="L166" s="692" t="n"/>
      <c r="Q166" s="415" t="n"/>
      <c r="R166" s="692" t="n"/>
      <c r="T166" s="692" t="n"/>
      <c r="W166" s="692" t="n"/>
      <c r="Y166" s="415" t="n"/>
      <c r="Z166" s="692" t="n"/>
    </row>
    <row r="167">
      <c r="D167" s="692" t="n"/>
      <c r="E167" s="415" t="n"/>
      <c r="F167" s="692" t="n"/>
      <c r="L167" s="692" t="n"/>
      <c r="Q167" s="415" t="n"/>
      <c r="R167" s="692" t="n"/>
      <c r="T167" s="692" t="n"/>
      <c r="W167" s="692" t="n"/>
      <c r="Y167" s="415" t="n"/>
      <c r="Z167" s="692" t="n"/>
    </row>
    <row r="168">
      <c r="D168" s="692" t="n"/>
      <c r="E168" s="415" t="n"/>
      <c r="F168" s="692" t="n"/>
      <c r="L168" s="692" t="n"/>
      <c r="Q168" s="415" t="n"/>
      <c r="R168" s="692" t="n"/>
      <c r="T168" s="692" t="n"/>
      <c r="W168" s="692" t="n"/>
      <c r="Y168" s="415" t="n"/>
      <c r="Z168" s="692" t="n"/>
    </row>
    <row r="169">
      <c r="D169" s="692" t="n"/>
      <c r="E169" s="415" t="n"/>
      <c r="F169" s="692" t="n"/>
      <c r="L169" s="692" t="n"/>
      <c r="Q169" s="415" t="n"/>
      <c r="R169" s="692" t="n"/>
      <c r="T169" s="692" t="n"/>
      <c r="W169" s="692" t="n"/>
      <c r="Y169" s="415" t="n"/>
      <c r="Z169" s="692" t="n"/>
    </row>
    <row r="170">
      <c r="D170" s="692" t="n"/>
      <c r="E170" s="415" t="n"/>
      <c r="F170" s="692" t="n"/>
      <c r="L170" s="692" t="n"/>
      <c r="Q170" s="415" t="n"/>
      <c r="R170" s="692" t="n"/>
      <c r="T170" s="692" t="n"/>
      <c r="W170" s="692" t="n"/>
      <c r="Y170" s="415" t="n"/>
      <c r="Z170" s="692" t="n"/>
    </row>
    <row r="171">
      <c r="D171" s="692" t="n"/>
      <c r="E171" s="415" t="n"/>
      <c r="F171" s="692" t="n"/>
      <c r="L171" s="692" t="n"/>
      <c r="Q171" s="415" t="n"/>
      <c r="R171" s="692" t="n"/>
      <c r="T171" s="692" t="n"/>
      <c r="W171" s="692" t="n"/>
      <c r="Y171" s="415" t="n"/>
      <c r="Z171" s="692" t="n"/>
    </row>
    <row r="172">
      <c r="D172" s="692" t="n"/>
      <c r="E172" s="415" t="n"/>
      <c r="F172" s="692" t="n"/>
      <c r="L172" s="692" t="n"/>
      <c r="Q172" s="415" t="n"/>
      <c r="R172" s="692" t="n"/>
      <c r="T172" s="692" t="n"/>
      <c r="W172" s="692" t="n"/>
      <c r="Y172" s="415" t="n"/>
      <c r="Z172" s="692" t="n"/>
    </row>
    <row r="173">
      <c r="D173" s="692" t="n"/>
      <c r="E173" s="415" t="n"/>
      <c r="F173" s="692" t="n"/>
      <c r="L173" s="692" t="n"/>
      <c r="Q173" s="415" t="n"/>
      <c r="R173" s="692" t="n"/>
      <c r="T173" s="692" t="n"/>
      <c r="W173" s="692" t="n"/>
      <c r="Y173" s="415" t="n"/>
      <c r="Z173" s="692" t="n"/>
    </row>
    <row r="174">
      <c r="D174" s="692" t="n"/>
      <c r="E174" s="415" t="n"/>
      <c r="F174" s="692" t="n"/>
      <c r="L174" s="692" t="n"/>
      <c r="Q174" s="415" t="n"/>
      <c r="R174" s="692" t="n"/>
      <c r="T174" s="692" t="n"/>
      <c r="W174" s="692" t="n"/>
      <c r="Y174" s="415" t="n"/>
      <c r="Z174" s="692" t="n"/>
    </row>
    <row r="175">
      <c r="D175" s="692" t="n"/>
      <c r="E175" s="415" t="n"/>
      <c r="F175" s="692" t="n"/>
      <c r="L175" s="692" t="n"/>
      <c r="Q175" s="415" t="n"/>
      <c r="R175" s="692" t="n"/>
      <c r="T175" s="692" t="n"/>
      <c r="W175" s="692" t="n"/>
      <c r="Y175" s="415" t="n"/>
      <c r="Z175" s="692" t="n"/>
    </row>
    <row r="176">
      <c r="D176" s="692" t="n"/>
      <c r="E176" s="415" t="n"/>
      <c r="F176" s="692" t="n"/>
      <c r="L176" s="692" t="n"/>
      <c r="Q176" s="415" t="n"/>
      <c r="R176" s="692" t="n"/>
      <c r="T176" s="692" t="n"/>
      <c r="W176" s="692" t="n"/>
      <c r="Y176" s="415" t="n"/>
      <c r="Z176" s="692" t="n"/>
    </row>
    <row r="177">
      <c r="D177" s="692" t="n"/>
      <c r="E177" s="415" t="n"/>
      <c r="F177" s="692" t="n"/>
      <c r="L177" s="692" t="n"/>
      <c r="Q177" s="415" t="n"/>
      <c r="R177" s="692" t="n"/>
      <c r="T177" s="692" t="n"/>
      <c r="W177" s="692" t="n"/>
      <c r="Y177" s="415" t="n"/>
      <c r="Z177" s="692" t="n"/>
    </row>
    <row r="178">
      <c r="D178" s="692" t="n"/>
      <c r="E178" s="415" t="n"/>
      <c r="F178" s="692" t="n"/>
      <c r="L178" s="692" t="n"/>
      <c r="Q178" s="415" t="n"/>
      <c r="R178" s="692" t="n"/>
      <c r="T178" s="692" t="n"/>
      <c r="W178" s="692" t="n"/>
      <c r="Y178" s="415" t="n"/>
      <c r="Z178" s="692" t="n"/>
    </row>
    <row r="179">
      <c r="D179" s="692" t="n"/>
      <c r="E179" s="415" t="n"/>
      <c r="F179" s="692" t="n"/>
      <c r="L179" s="692" t="n"/>
      <c r="Q179" s="415" t="n"/>
      <c r="R179" s="692" t="n"/>
      <c r="T179" s="692" t="n"/>
      <c r="W179" s="692" t="n"/>
      <c r="Y179" s="415" t="n"/>
      <c r="Z179" s="692" t="n"/>
    </row>
    <row r="180">
      <c r="D180" s="692" t="n"/>
      <c r="E180" s="415" t="n"/>
      <c r="F180" s="692" t="n"/>
      <c r="L180" s="692" t="n"/>
      <c r="Q180" s="415" t="n"/>
      <c r="R180" s="692" t="n"/>
      <c r="T180" s="692" t="n"/>
      <c r="W180" s="692" t="n"/>
      <c r="Y180" s="415" t="n"/>
      <c r="Z180" s="692" t="n"/>
    </row>
    <row r="181">
      <c r="D181" s="692" t="n"/>
      <c r="E181" s="415" t="n"/>
      <c r="F181" s="692" t="n"/>
      <c r="L181" s="692" t="n"/>
      <c r="Q181" s="415" t="n"/>
      <c r="R181" s="692" t="n"/>
      <c r="T181" s="692" t="n"/>
      <c r="W181" s="692" t="n"/>
      <c r="Y181" s="415" t="n"/>
      <c r="Z181" s="692" t="n"/>
    </row>
    <row r="182">
      <c r="D182" s="692" t="n"/>
      <c r="E182" s="415" t="n"/>
      <c r="F182" s="692" t="n"/>
      <c r="L182" s="692" t="n"/>
      <c r="Q182" s="415" t="n"/>
      <c r="R182" s="692" t="n"/>
      <c r="T182" s="692" t="n"/>
      <c r="W182" s="692" t="n"/>
      <c r="Y182" s="415" t="n"/>
      <c r="Z182" s="692" t="n"/>
    </row>
    <row r="183">
      <c r="D183" s="692" t="n"/>
      <c r="E183" s="415" t="n"/>
      <c r="F183" s="692" t="n"/>
      <c r="L183" s="692" t="n"/>
      <c r="Q183" s="415" t="n"/>
      <c r="R183" s="692" t="n"/>
      <c r="T183" s="692" t="n"/>
      <c r="W183" s="692" t="n"/>
      <c r="Y183" s="415" t="n"/>
      <c r="Z183" s="692" t="n"/>
    </row>
    <row r="184">
      <c r="D184" s="692" t="n"/>
      <c r="E184" s="415" t="n"/>
      <c r="F184" s="692" t="n"/>
      <c r="L184" s="692" t="n"/>
      <c r="Q184" s="415" t="n"/>
      <c r="R184" s="692" t="n"/>
      <c r="T184" s="692" t="n"/>
      <c r="W184" s="692" t="n"/>
      <c r="Y184" s="415" t="n"/>
      <c r="Z184" s="692" t="n"/>
    </row>
    <row r="185">
      <c r="D185" s="692" t="n"/>
      <c r="E185" s="415" t="n"/>
      <c r="F185" s="692" t="n"/>
      <c r="L185" s="692" t="n"/>
      <c r="Q185" s="415" t="n"/>
      <c r="R185" s="692" t="n"/>
      <c r="T185" s="692" t="n"/>
      <c r="W185" s="692" t="n"/>
      <c r="Y185" s="415" t="n"/>
      <c r="Z185" s="692" t="n"/>
    </row>
    <row r="186">
      <c r="D186" s="692" t="n"/>
      <c r="E186" s="415" t="n"/>
      <c r="F186" s="692" t="n"/>
      <c r="L186" s="692" t="n"/>
      <c r="Q186" s="415" t="n"/>
      <c r="R186" s="692" t="n"/>
      <c r="T186" s="692" t="n"/>
      <c r="W186" s="692" t="n"/>
      <c r="Y186" s="415" t="n"/>
      <c r="Z186" s="692" t="n"/>
    </row>
    <row r="187">
      <c r="D187" s="692" t="n"/>
      <c r="E187" s="415" t="n"/>
      <c r="F187" s="692" t="n"/>
      <c r="L187" s="692" t="n"/>
      <c r="Q187" s="415" t="n"/>
      <c r="R187" s="692" t="n"/>
      <c r="T187" s="692" t="n"/>
      <c r="W187" s="692" t="n"/>
      <c r="Y187" s="415" t="n"/>
      <c r="Z187" s="692" t="n"/>
    </row>
    <row r="188">
      <c r="D188" s="692" t="n"/>
      <c r="E188" s="415" t="n"/>
      <c r="F188" s="692" t="n"/>
      <c r="L188" s="692" t="n"/>
      <c r="Q188" s="415" t="n"/>
      <c r="R188" s="692" t="n"/>
      <c r="T188" s="692" t="n"/>
      <c r="W188" s="692" t="n"/>
      <c r="Y188" s="415" t="n"/>
      <c r="Z188" s="692" t="n"/>
    </row>
    <row r="189">
      <c r="D189" s="692" t="n"/>
      <c r="E189" s="415" t="n"/>
      <c r="F189" s="692" t="n"/>
      <c r="L189" s="692" t="n"/>
      <c r="Q189" s="415" t="n"/>
      <c r="R189" s="692" t="n"/>
      <c r="T189" s="692" t="n"/>
      <c r="W189" s="692" t="n"/>
      <c r="Y189" s="415" t="n"/>
      <c r="Z189" s="692" t="n"/>
    </row>
    <row r="190">
      <c r="D190" s="692" t="n"/>
      <c r="E190" s="415" t="n"/>
      <c r="F190" s="692" t="n"/>
      <c r="L190" s="692" t="n"/>
      <c r="Q190" s="415" t="n"/>
      <c r="R190" s="692" t="n"/>
      <c r="T190" s="692" t="n"/>
      <c r="W190" s="692" t="n"/>
      <c r="Y190" s="415" t="n"/>
      <c r="Z190" s="692" t="n"/>
    </row>
    <row r="191">
      <c r="D191" s="692" t="n"/>
      <c r="E191" s="415" t="n"/>
      <c r="F191" s="692" t="n"/>
      <c r="L191" s="692" t="n"/>
      <c r="Q191" s="415" t="n"/>
      <c r="R191" s="692" t="n"/>
      <c r="T191" s="692" t="n"/>
      <c r="W191" s="692" t="n"/>
      <c r="Y191" s="415" t="n"/>
      <c r="Z191" s="692" t="n"/>
    </row>
    <row r="192">
      <c r="D192" s="692" t="n"/>
      <c r="E192" s="415" t="n"/>
      <c r="F192" s="692" t="n"/>
      <c r="L192" s="692" t="n"/>
      <c r="Q192" s="415" t="n"/>
      <c r="R192" s="692" t="n"/>
      <c r="T192" s="692" t="n"/>
      <c r="W192" s="692" t="n"/>
      <c r="Y192" s="415" t="n"/>
      <c r="Z192" s="692" t="n"/>
    </row>
    <row r="193">
      <c r="D193" s="692" t="n"/>
      <c r="E193" s="415" t="n"/>
      <c r="F193" s="692" t="n"/>
      <c r="L193" s="692" t="n"/>
      <c r="Q193" s="415" t="n"/>
      <c r="R193" s="692" t="n"/>
      <c r="T193" s="692" t="n"/>
      <c r="W193" s="692" t="n"/>
      <c r="Y193" s="415" t="n"/>
      <c r="Z193" s="692" t="n"/>
    </row>
    <row r="194">
      <c r="D194" s="692" t="n"/>
      <c r="E194" s="415" t="n"/>
      <c r="F194" s="692" t="n"/>
      <c r="L194" s="692" t="n"/>
      <c r="Q194" s="415" t="n"/>
      <c r="R194" s="692" t="n"/>
      <c r="T194" s="692" t="n"/>
      <c r="W194" s="692" t="n"/>
      <c r="Y194" s="415" t="n"/>
      <c r="Z194" s="692" t="n"/>
    </row>
    <row r="195">
      <c r="D195" s="692" t="n"/>
      <c r="E195" s="415" t="n"/>
      <c r="F195" s="692" t="n"/>
      <c r="L195" s="692" t="n"/>
      <c r="Q195" s="415" t="n"/>
      <c r="R195" s="692" t="n"/>
      <c r="T195" s="692" t="n"/>
      <c r="W195" s="692" t="n"/>
      <c r="Y195" s="415" t="n"/>
      <c r="Z195" s="692" t="n"/>
    </row>
    <row r="196">
      <c r="D196" s="692" t="n"/>
      <c r="E196" s="415" t="n"/>
      <c r="F196" s="692" t="n"/>
      <c r="L196" s="692" t="n"/>
      <c r="Q196" s="415" t="n"/>
      <c r="R196" s="692" t="n"/>
      <c r="T196" s="692" t="n"/>
      <c r="W196" s="692" t="n"/>
      <c r="Y196" s="415" t="n"/>
      <c r="Z196" s="692" t="n"/>
    </row>
    <row r="197">
      <c r="D197" s="692" t="n"/>
      <c r="E197" s="415" t="n"/>
      <c r="F197" s="692" t="n"/>
      <c r="L197" s="692" t="n"/>
      <c r="Q197" s="415" t="n"/>
      <c r="R197" s="692" t="n"/>
      <c r="T197" s="692" t="n"/>
      <c r="W197" s="692" t="n"/>
      <c r="Y197" s="415" t="n"/>
      <c r="Z197" s="692" t="n"/>
    </row>
    <row r="198">
      <c r="D198" s="692" t="n"/>
      <c r="E198" s="415" t="n"/>
      <c r="F198" s="692" t="n"/>
      <c r="L198" s="692" t="n"/>
      <c r="Q198" s="415" t="n"/>
      <c r="R198" s="692" t="n"/>
      <c r="T198" s="692" t="n"/>
      <c r="W198" s="692" t="n"/>
      <c r="Y198" s="415" t="n"/>
      <c r="Z198" s="692" t="n"/>
    </row>
    <row r="199">
      <c r="D199" s="692" t="n"/>
      <c r="E199" s="415" t="n"/>
      <c r="F199" s="692" t="n"/>
      <c r="L199" s="692" t="n"/>
      <c r="Q199" s="415" t="n"/>
      <c r="R199" s="692" t="n"/>
      <c r="T199" s="692" t="n"/>
      <c r="W199" s="692" t="n"/>
      <c r="Y199" s="415" t="n"/>
      <c r="Z199" s="692" t="n"/>
    </row>
    <row r="200">
      <c r="D200" s="692" t="n"/>
      <c r="E200" s="415" t="n"/>
      <c r="F200" s="692" t="n"/>
      <c r="L200" s="692" t="n"/>
      <c r="Q200" s="415" t="n"/>
      <c r="R200" s="692" t="n"/>
      <c r="T200" s="692" t="n"/>
      <c r="W200" s="692" t="n"/>
      <c r="Y200" s="415" t="n"/>
      <c r="Z200" s="692" t="n"/>
    </row>
    <row r="201">
      <c r="D201" s="692" t="n"/>
      <c r="E201" s="415" t="n"/>
      <c r="F201" s="692" t="n"/>
      <c r="L201" s="692" t="n"/>
      <c r="Q201" s="415" t="n"/>
      <c r="R201" s="692" t="n"/>
      <c r="T201" s="692" t="n"/>
      <c r="W201" s="692" t="n"/>
      <c r="Y201" s="415" t="n"/>
      <c r="Z201" s="692" t="n"/>
    </row>
    <row r="202">
      <c r="D202" s="692" t="n"/>
      <c r="E202" s="415" t="n"/>
      <c r="F202" s="692" t="n"/>
      <c r="L202" s="692" t="n"/>
      <c r="Q202" s="415" t="n"/>
      <c r="R202" s="692" t="n"/>
      <c r="T202" s="692" t="n"/>
      <c r="W202" s="692" t="n"/>
      <c r="Y202" s="415" t="n"/>
      <c r="Z202" s="692" t="n"/>
    </row>
    <row r="203">
      <c r="D203" s="692" t="n"/>
      <c r="E203" s="415" t="n"/>
      <c r="F203" s="692" t="n"/>
      <c r="L203" s="692" t="n"/>
      <c r="Q203" s="415" t="n"/>
      <c r="R203" s="692" t="n"/>
      <c r="T203" s="692" t="n"/>
      <c r="W203" s="692" t="n"/>
      <c r="Y203" s="415" t="n"/>
      <c r="Z203" s="692" t="n"/>
    </row>
    <row r="204">
      <c r="D204" s="692" t="n"/>
      <c r="E204" s="415" t="n"/>
      <c r="F204" s="692" t="n"/>
      <c r="L204" s="692" t="n"/>
      <c r="Q204" s="415" t="n"/>
      <c r="R204" s="692" t="n"/>
      <c r="T204" s="692" t="n"/>
      <c r="W204" s="692" t="n"/>
      <c r="Y204" s="415" t="n"/>
      <c r="Z204" s="692" t="n"/>
    </row>
    <row r="205">
      <c r="D205" s="692" t="n"/>
      <c r="E205" s="415" t="n"/>
      <c r="F205" s="692" t="n"/>
      <c r="L205" s="692" t="n"/>
      <c r="Q205" s="415" t="n"/>
      <c r="R205" s="692" t="n"/>
      <c r="T205" s="692" t="n"/>
      <c r="W205" s="692" t="n"/>
      <c r="Y205" s="415" t="n"/>
      <c r="Z205" s="692" t="n"/>
    </row>
    <row r="206">
      <c r="D206" s="692" t="n"/>
      <c r="E206" s="415" t="n"/>
      <c r="F206" s="692" t="n"/>
      <c r="L206" s="692" t="n"/>
      <c r="Q206" s="415" t="n"/>
      <c r="R206" s="692" t="n"/>
      <c r="T206" s="692" t="n"/>
      <c r="W206" s="692" t="n"/>
      <c r="Y206" s="415" t="n"/>
      <c r="Z206" s="692" t="n"/>
    </row>
    <row r="207">
      <c r="D207" s="692" t="n"/>
      <c r="E207" s="415" t="n"/>
      <c r="F207" s="692" t="n"/>
      <c r="L207" s="692" t="n"/>
      <c r="Q207" s="415" t="n"/>
      <c r="R207" s="692" t="n"/>
      <c r="T207" s="692" t="n"/>
      <c r="W207" s="692" t="n"/>
      <c r="Y207" s="415" t="n"/>
      <c r="Z207" s="692" t="n"/>
    </row>
    <row r="208">
      <c r="D208" s="692" t="n"/>
      <c r="E208" s="415" t="n"/>
      <c r="F208" s="692" t="n"/>
      <c r="L208" s="692" t="n"/>
      <c r="Q208" s="415" t="n"/>
      <c r="R208" s="692" t="n"/>
      <c r="T208" s="692" t="n"/>
      <c r="W208" s="692" t="n"/>
      <c r="Y208" s="415" t="n"/>
      <c r="Z208" s="692" t="n"/>
    </row>
    <row r="209">
      <c r="D209" s="692" t="n"/>
      <c r="E209" s="415" t="n"/>
      <c r="F209" s="692" t="n"/>
      <c r="L209" s="692" t="n"/>
      <c r="Q209" s="415" t="n"/>
      <c r="R209" s="692" t="n"/>
      <c r="T209" s="692" t="n"/>
      <c r="W209" s="692" t="n"/>
      <c r="Y209" s="415" t="n"/>
      <c r="Z209" s="692" t="n"/>
    </row>
    <row r="210">
      <c r="D210" s="692" t="n"/>
      <c r="E210" s="415" t="n"/>
      <c r="F210" s="692" t="n"/>
      <c r="L210" s="692" t="n"/>
      <c r="Q210" s="415" t="n"/>
      <c r="R210" s="692" t="n"/>
      <c r="T210" s="692" t="n"/>
      <c r="W210" s="692" t="n"/>
      <c r="Y210" s="415" t="n"/>
      <c r="Z210" s="692" t="n"/>
    </row>
    <row r="211">
      <c r="D211" s="692" t="n"/>
      <c r="E211" s="415" t="n"/>
      <c r="F211" s="692" t="n"/>
      <c r="L211" s="692" t="n"/>
      <c r="Q211" s="415" t="n"/>
      <c r="R211" s="692" t="n"/>
      <c r="T211" s="692" t="n"/>
      <c r="W211" s="692" t="n"/>
      <c r="Y211" s="415" t="n"/>
      <c r="Z211" s="692" t="n"/>
    </row>
    <row r="212">
      <c r="D212" s="692" t="n"/>
      <c r="E212" s="415" t="n"/>
      <c r="F212" s="692" t="n"/>
      <c r="L212" s="692" t="n"/>
      <c r="Q212" s="415" t="n"/>
      <c r="R212" s="692" t="n"/>
      <c r="T212" s="692" t="n"/>
      <c r="W212" s="692" t="n"/>
      <c r="Y212" s="415" t="n"/>
      <c r="Z212" s="692" t="n"/>
    </row>
    <row r="213">
      <c r="D213" s="692" t="n"/>
      <c r="E213" s="415" t="n"/>
      <c r="F213" s="692" t="n"/>
      <c r="L213" s="692" t="n"/>
      <c r="Q213" s="415" t="n"/>
      <c r="R213" s="692" t="n"/>
      <c r="T213" s="692" t="n"/>
      <c r="W213" s="692" t="n"/>
      <c r="Y213" s="415" t="n"/>
      <c r="Z213" s="692" t="n"/>
    </row>
    <row r="214">
      <c r="D214" s="692" t="n"/>
      <c r="E214" s="415" t="n"/>
      <c r="F214" s="692" t="n"/>
      <c r="L214" s="692" t="n"/>
      <c r="Q214" s="415" t="n"/>
      <c r="R214" s="692" t="n"/>
      <c r="T214" s="692" t="n"/>
      <c r="W214" s="692" t="n"/>
      <c r="Y214" s="415" t="n"/>
      <c r="Z214" s="692" t="n"/>
    </row>
    <row r="215">
      <c r="D215" s="692" t="n"/>
      <c r="E215" s="415" t="n"/>
      <c r="F215" s="692" t="n"/>
      <c r="L215" s="692" t="n"/>
      <c r="Q215" s="415" t="n"/>
      <c r="R215" s="692" t="n"/>
      <c r="T215" s="692" t="n"/>
      <c r="W215" s="692" t="n"/>
      <c r="Y215" s="415" t="n"/>
      <c r="Z215" s="692" t="n"/>
    </row>
    <row r="216">
      <c r="D216" s="692" t="n"/>
      <c r="E216" s="415" t="n"/>
      <c r="F216" s="692" t="n"/>
      <c r="L216" s="692" t="n"/>
      <c r="Q216" s="415" t="n"/>
      <c r="R216" s="692" t="n"/>
      <c r="T216" s="692" t="n"/>
      <c r="W216" s="692" t="n"/>
      <c r="Y216" s="415" t="n"/>
      <c r="Z216" s="692" t="n"/>
    </row>
    <row r="217">
      <c r="D217" s="692" t="n"/>
      <c r="E217" s="415" t="n"/>
      <c r="F217" s="692" t="n"/>
      <c r="L217" s="692" t="n"/>
      <c r="Q217" s="415" t="n"/>
      <c r="R217" s="692" t="n"/>
      <c r="T217" s="692" t="n"/>
      <c r="W217" s="692" t="n"/>
      <c r="Y217" s="415" t="n"/>
      <c r="Z217" s="692" t="n"/>
    </row>
    <row r="218">
      <c r="D218" s="692" t="n"/>
      <c r="E218" s="415" t="n"/>
      <c r="F218" s="692" t="n"/>
      <c r="L218" s="692" t="n"/>
      <c r="Q218" s="415" t="n"/>
      <c r="R218" s="692" t="n"/>
      <c r="T218" s="692" t="n"/>
      <c r="W218" s="692" t="n"/>
      <c r="Y218" s="415" t="n"/>
      <c r="Z218" s="692" t="n"/>
    </row>
    <row r="219">
      <c r="D219" s="692" t="n"/>
      <c r="E219" s="415" t="n"/>
      <c r="F219" s="692" t="n"/>
      <c r="L219" s="692" t="n"/>
      <c r="Q219" s="415" t="n"/>
      <c r="R219" s="692" t="n"/>
      <c r="T219" s="692" t="n"/>
      <c r="W219" s="692" t="n"/>
      <c r="Y219" s="415" t="n"/>
      <c r="Z219" s="692" t="n"/>
    </row>
    <row r="220">
      <c r="D220" s="692" t="n"/>
      <c r="E220" s="415" t="n"/>
      <c r="F220" s="692" t="n"/>
      <c r="L220" s="692" t="n"/>
      <c r="Q220" s="415" t="n"/>
      <c r="R220" s="692" t="n"/>
      <c r="T220" s="692" t="n"/>
      <c r="W220" s="692" t="n"/>
      <c r="Y220" s="415" t="n"/>
      <c r="Z220" s="692" t="n"/>
    </row>
    <row r="221">
      <c r="D221" s="692" t="n"/>
      <c r="E221" s="415" t="n"/>
      <c r="F221" s="692" t="n"/>
      <c r="L221" s="692" t="n"/>
      <c r="Q221" s="415" t="n"/>
      <c r="R221" s="692" t="n"/>
      <c r="T221" s="692" t="n"/>
      <c r="W221" s="692" t="n"/>
      <c r="Y221" s="415" t="n"/>
      <c r="Z221" s="692" t="n"/>
    </row>
    <row r="222">
      <c r="D222" s="692" t="n"/>
      <c r="E222" s="415" t="n"/>
      <c r="F222" s="692" t="n"/>
      <c r="L222" s="692" t="n"/>
      <c r="Q222" s="415" t="n"/>
      <c r="R222" s="692" t="n"/>
      <c r="T222" s="692" t="n"/>
      <c r="W222" s="692" t="n"/>
      <c r="Y222" s="415" t="n"/>
      <c r="Z222" s="692" t="n"/>
    </row>
    <row r="223">
      <c r="D223" s="692" t="n"/>
      <c r="E223" s="415" t="n"/>
      <c r="F223" s="692" t="n"/>
      <c r="L223" s="692" t="n"/>
      <c r="Q223" s="415" t="n"/>
      <c r="R223" s="692" t="n"/>
      <c r="T223" s="692" t="n"/>
      <c r="W223" s="692" t="n"/>
      <c r="Y223" s="415" t="n"/>
      <c r="Z223" s="692" t="n"/>
    </row>
    <row r="224">
      <c r="D224" s="692" t="n"/>
      <c r="E224" s="415" t="n"/>
      <c r="F224" s="692" t="n"/>
      <c r="L224" s="692" t="n"/>
      <c r="Q224" s="415" t="n"/>
      <c r="R224" s="692" t="n"/>
      <c r="T224" s="692" t="n"/>
      <c r="W224" s="692" t="n"/>
      <c r="Y224" s="415" t="n"/>
      <c r="Z224" s="692" t="n"/>
    </row>
    <row r="225">
      <c r="D225" s="692" t="n"/>
      <c r="E225" s="415" t="n"/>
      <c r="F225" s="692" t="n"/>
      <c r="L225" s="692" t="n"/>
      <c r="Q225" s="415" t="n"/>
      <c r="R225" s="692" t="n"/>
      <c r="T225" s="692" t="n"/>
      <c r="W225" s="692" t="n"/>
      <c r="Y225" s="415" t="n"/>
      <c r="Z225" s="692" t="n"/>
    </row>
    <row r="226">
      <c r="D226" s="692" t="n"/>
      <c r="E226" s="415" t="n"/>
      <c r="F226" s="692" t="n"/>
      <c r="L226" s="692" t="n"/>
      <c r="Q226" s="415" t="n"/>
      <c r="R226" s="692" t="n"/>
      <c r="T226" s="692" t="n"/>
      <c r="W226" s="692" t="n"/>
      <c r="Y226" s="415" t="n"/>
      <c r="Z226" s="692" t="n"/>
    </row>
    <row r="227">
      <c r="D227" s="692" t="n"/>
      <c r="E227" s="415" t="n"/>
      <c r="F227" s="692" t="n"/>
      <c r="L227" s="692" t="n"/>
      <c r="Q227" s="415" t="n"/>
      <c r="R227" s="692" t="n"/>
      <c r="T227" s="692" t="n"/>
      <c r="W227" s="692" t="n"/>
      <c r="Y227" s="415" t="n"/>
      <c r="Z227" s="692" t="n"/>
    </row>
    <row r="228">
      <c r="D228" s="692" t="n"/>
      <c r="E228" s="415" t="n"/>
      <c r="F228" s="692" t="n"/>
      <c r="L228" s="692" t="n"/>
      <c r="Q228" s="415" t="n"/>
      <c r="R228" s="692" t="n"/>
      <c r="T228" s="692" t="n"/>
      <c r="W228" s="692" t="n"/>
      <c r="Y228" s="415" t="n"/>
      <c r="Z228" s="692" t="n"/>
    </row>
    <row r="229">
      <c r="D229" s="692" t="n"/>
      <c r="E229" s="415" t="n"/>
      <c r="F229" s="692" t="n"/>
      <c r="L229" s="692" t="n"/>
      <c r="Q229" s="415" t="n"/>
      <c r="R229" s="692" t="n"/>
      <c r="T229" s="692" t="n"/>
      <c r="W229" s="692" t="n"/>
      <c r="Y229" s="415" t="n"/>
      <c r="Z229" s="692" t="n"/>
    </row>
    <row r="230">
      <c r="D230" s="692" t="n"/>
      <c r="E230" s="415" t="n"/>
      <c r="F230" s="692" t="n"/>
      <c r="L230" s="692" t="n"/>
      <c r="Q230" s="415" t="n"/>
      <c r="R230" s="692" t="n"/>
      <c r="T230" s="692" t="n"/>
      <c r="W230" s="692" t="n"/>
      <c r="Y230" s="415" t="n"/>
      <c r="Z230" s="692" t="n"/>
    </row>
    <row r="231">
      <c r="D231" s="692" t="n"/>
      <c r="E231" s="415" t="n"/>
      <c r="F231" s="692" t="n"/>
      <c r="L231" s="692" t="n"/>
      <c r="Q231" s="415" t="n"/>
      <c r="R231" s="692" t="n"/>
      <c r="T231" s="692" t="n"/>
      <c r="W231" s="692" t="n"/>
      <c r="Y231" s="415" t="n"/>
      <c r="Z231" s="692" t="n"/>
    </row>
    <row r="232">
      <c r="D232" s="692" t="n"/>
      <c r="E232" s="415" t="n"/>
      <c r="F232" s="692" t="n"/>
      <c r="L232" s="692" t="n"/>
      <c r="Q232" s="415" t="n"/>
      <c r="R232" s="692" t="n"/>
      <c r="T232" s="692" t="n"/>
      <c r="W232" s="692" t="n"/>
      <c r="Y232" s="415" t="n"/>
      <c r="Z232" s="692" t="n"/>
    </row>
    <row r="233">
      <c r="D233" s="692" t="n"/>
      <c r="E233" s="415" t="n"/>
      <c r="F233" s="692" t="n"/>
      <c r="L233" s="692" t="n"/>
      <c r="Q233" s="415" t="n"/>
      <c r="R233" s="692" t="n"/>
      <c r="T233" s="692" t="n"/>
      <c r="W233" s="692" t="n"/>
      <c r="Y233" s="415" t="n"/>
      <c r="Z233" s="692" t="n"/>
    </row>
    <row r="234">
      <c r="D234" s="692" t="n"/>
      <c r="E234" s="415" t="n"/>
      <c r="F234" s="692" t="n"/>
      <c r="L234" s="692" t="n"/>
      <c r="Q234" s="415" t="n"/>
      <c r="R234" s="692" t="n"/>
      <c r="T234" s="692" t="n"/>
      <c r="W234" s="692" t="n"/>
      <c r="Y234" s="415" t="n"/>
      <c r="Z234" s="692" t="n"/>
    </row>
    <row r="235">
      <c r="D235" s="692" t="n"/>
      <c r="E235" s="415" t="n"/>
      <c r="F235" s="692" t="n"/>
      <c r="L235" s="692" t="n"/>
      <c r="Q235" s="415" t="n"/>
      <c r="R235" s="692" t="n"/>
      <c r="T235" s="692" t="n"/>
      <c r="W235" s="692" t="n"/>
      <c r="Y235" s="415" t="n"/>
      <c r="Z235" s="692" t="n"/>
    </row>
    <row r="236">
      <c r="D236" s="692" t="n"/>
      <c r="E236" s="415" t="n"/>
      <c r="F236" s="692" t="n"/>
      <c r="L236" s="692" t="n"/>
      <c r="Q236" s="415" t="n"/>
      <c r="R236" s="692" t="n"/>
      <c r="T236" s="692" t="n"/>
      <c r="W236" s="692" t="n"/>
      <c r="Y236" s="415" t="n"/>
      <c r="Z236" s="692" t="n"/>
    </row>
    <row r="237">
      <c r="D237" s="692" t="n"/>
      <c r="E237" s="415" t="n"/>
      <c r="F237" s="692" t="n"/>
      <c r="L237" s="692" t="n"/>
      <c r="Q237" s="415" t="n"/>
      <c r="R237" s="692" t="n"/>
      <c r="T237" s="692" t="n"/>
      <c r="W237" s="692" t="n"/>
      <c r="Y237" s="415" t="n"/>
      <c r="Z237" s="692" t="n"/>
    </row>
    <row r="238">
      <c r="D238" s="692" t="n"/>
      <c r="E238" s="415" t="n"/>
      <c r="F238" s="692" t="n"/>
      <c r="L238" s="692" t="n"/>
      <c r="Q238" s="415" t="n"/>
      <c r="R238" s="692" t="n"/>
      <c r="T238" s="692" t="n"/>
      <c r="W238" s="692" t="n"/>
      <c r="Y238" s="415" t="n"/>
      <c r="Z238" s="692" t="n"/>
    </row>
    <row r="239">
      <c r="D239" s="692" t="n"/>
      <c r="E239" s="415" t="n"/>
      <c r="F239" s="692" t="n"/>
      <c r="L239" s="692" t="n"/>
      <c r="Q239" s="415" t="n"/>
      <c r="R239" s="692" t="n"/>
      <c r="T239" s="692" t="n"/>
      <c r="W239" s="692" t="n"/>
      <c r="Y239" s="415" t="n"/>
      <c r="Z239" s="692" t="n"/>
    </row>
    <row r="240">
      <c r="D240" s="692" t="n"/>
      <c r="E240" s="415" t="n"/>
      <c r="F240" s="692" t="n"/>
      <c r="L240" s="692" t="n"/>
      <c r="Q240" s="415" t="n"/>
      <c r="R240" s="692" t="n"/>
      <c r="T240" s="692" t="n"/>
      <c r="W240" s="692" t="n"/>
      <c r="Y240" s="415" t="n"/>
      <c r="Z240" s="692" t="n"/>
    </row>
    <row r="241">
      <c r="D241" s="692" t="n"/>
      <c r="E241" s="415" t="n"/>
      <c r="F241" s="692" t="n"/>
      <c r="L241" s="692" t="n"/>
      <c r="Q241" s="415" t="n"/>
      <c r="R241" s="692" t="n"/>
      <c r="T241" s="692" t="n"/>
      <c r="W241" s="692" t="n"/>
      <c r="Y241" s="415" t="n"/>
      <c r="Z241" s="692" t="n"/>
    </row>
    <row r="242">
      <c r="D242" s="692" t="n"/>
      <c r="E242" s="415" t="n"/>
      <c r="F242" s="692" t="n"/>
      <c r="L242" s="692" t="n"/>
      <c r="Q242" s="415" t="n"/>
      <c r="R242" s="692" t="n"/>
      <c r="T242" s="692" t="n"/>
      <c r="W242" s="692" t="n"/>
      <c r="Y242" s="415" t="n"/>
      <c r="Z242" s="692" t="n"/>
    </row>
    <row r="243">
      <c r="D243" s="692" t="n"/>
      <c r="E243" s="415" t="n"/>
      <c r="F243" s="692" t="n"/>
      <c r="L243" s="692" t="n"/>
      <c r="Q243" s="415" t="n"/>
      <c r="R243" s="692" t="n"/>
      <c r="T243" s="692" t="n"/>
      <c r="W243" s="692" t="n"/>
      <c r="Y243" s="415" t="n"/>
      <c r="Z243" s="692" t="n"/>
    </row>
    <row r="244">
      <c r="D244" s="692" t="n"/>
      <c r="E244" s="415" t="n"/>
      <c r="F244" s="692" t="n"/>
      <c r="L244" s="692" t="n"/>
      <c r="Q244" s="415" t="n"/>
      <c r="R244" s="692" t="n"/>
      <c r="T244" s="692" t="n"/>
      <c r="W244" s="692" t="n"/>
      <c r="Y244" s="415" t="n"/>
      <c r="Z244" s="692" t="n"/>
    </row>
    <row r="245">
      <c r="D245" s="692" t="n"/>
      <c r="E245" s="415" t="n"/>
      <c r="F245" s="692" t="n"/>
      <c r="L245" s="692" t="n"/>
      <c r="Q245" s="415" t="n"/>
      <c r="R245" s="692" t="n"/>
      <c r="T245" s="692" t="n"/>
      <c r="W245" s="692" t="n"/>
      <c r="Y245" s="415" t="n"/>
      <c r="Z245" s="692" t="n"/>
    </row>
    <row r="246">
      <c r="D246" s="692" t="n"/>
      <c r="E246" s="415" t="n"/>
      <c r="F246" s="692" t="n"/>
      <c r="L246" s="692" t="n"/>
      <c r="Q246" s="415" t="n"/>
      <c r="R246" s="692" t="n"/>
      <c r="T246" s="692" t="n"/>
      <c r="W246" s="692" t="n"/>
      <c r="Y246" s="415" t="n"/>
      <c r="Z246" s="692" t="n"/>
    </row>
    <row r="247">
      <c r="D247" s="692" t="n"/>
      <c r="E247" s="415" t="n"/>
      <c r="F247" s="692" t="n"/>
      <c r="L247" s="692" t="n"/>
      <c r="Q247" s="415" t="n"/>
      <c r="R247" s="692" t="n"/>
      <c r="T247" s="692" t="n"/>
      <c r="W247" s="692" t="n"/>
      <c r="Y247" s="415" t="n"/>
      <c r="Z247" s="692" t="n"/>
    </row>
    <row r="248">
      <c r="D248" s="692" t="n"/>
      <c r="E248" s="415" t="n"/>
      <c r="F248" s="692" t="n"/>
      <c r="L248" s="692" t="n"/>
      <c r="Q248" s="415" t="n"/>
      <c r="R248" s="692" t="n"/>
      <c r="T248" s="692" t="n"/>
      <c r="W248" s="692" t="n"/>
      <c r="Y248" s="415" t="n"/>
      <c r="Z248" s="692" t="n"/>
    </row>
    <row r="249">
      <c r="D249" s="692" t="n"/>
      <c r="E249" s="415" t="n"/>
      <c r="F249" s="692" t="n"/>
      <c r="L249" s="692" t="n"/>
      <c r="Q249" s="415" t="n"/>
      <c r="R249" s="692" t="n"/>
      <c r="T249" s="692" t="n"/>
      <c r="W249" s="692" t="n"/>
      <c r="Y249" s="415" t="n"/>
      <c r="Z249" s="692" t="n"/>
    </row>
    <row r="250">
      <c r="D250" s="692" t="n"/>
      <c r="E250" s="415" t="n"/>
      <c r="F250" s="692" t="n"/>
      <c r="L250" s="692" t="n"/>
      <c r="Q250" s="415" t="n"/>
      <c r="R250" s="692" t="n"/>
      <c r="T250" s="692" t="n"/>
      <c r="W250" s="692" t="n"/>
      <c r="Y250" s="415" t="n"/>
      <c r="Z250" s="692" t="n"/>
    </row>
    <row r="251">
      <c r="D251" s="692" t="n"/>
      <c r="E251" s="415" t="n"/>
      <c r="F251" s="692" t="n"/>
      <c r="L251" s="692" t="n"/>
      <c r="Q251" s="415" t="n"/>
      <c r="R251" s="692" t="n"/>
      <c r="T251" s="692" t="n"/>
      <c r="W251" s="692" t="n"/>
      <c r="Y251" s="415" t="n"/>
      <c r="Z251" s="692" t="n"/>
    </row>
    <row r="252">
      <c r="D252" s="692" t="n"/>
      <c r="E252" s="415" t="n"/>
      <c r="F252" s="692" t="n"/>
      <c r="L252" s="692" t="n"/>
      <c r="Q252" s="415" t="n"/>
      <c r="R252" s="692" t="n"/>
      <c r="T252" s="692" t="n"/>
      <c r="W252" s="692" t="n"/>
      <c r="Y252" s="415" t="n"/>
      <c r="Z252" s="692" t="n"/>
    </row>
    <row r="253">
      <c r="D253" s="692" t="n"/>
      <c r="E253" s="415" t="n"/>
      <c r="F253" s="692" t="n"/>
      <c r="L253" s="692" t="n"/>
      <c r="Q253" s="415" t="n"/>
      <c r="R253" s="692" t="n"/>
      <c r="T253" s="692" t="n"/>
      <c r="W253" s="692" t="n"/>
      <c r="Y253" s="415" t="n"/>
      <c r="Z253" s="692" t="n"/>
    </row>
    <row r="254">
      <c r="D254" s="692" t="n"/>
      <c r="E254" s="415" t="n"/>
      <c r="F254" s="692" t="n"/>
      <c r="L254" s="692" t="n"/>
      <c r="Q254" s="415" t="n"/>
      <c r="R254" s="692" t="n"/>
      <c r="T254" s="692" t="n"/>
      <c r="W254" s="692" t="n"/>
      <c r="Y254" s="415" t="n"/>
      <c r="Z254" s="692" t="n"/>
    </row>
    <row r="255">
      <c r="D255" s="692" t="n"/>
      <c r="E255" s="415" t="n"/>
      <c r="F255" s="692" t="n"/>
      <c r="L255" s="692" t="n"/>
      <c r="Q255" s="415" t="n"/>
      <c r="R255" s="692" t="n"/>
      <c r="T255" s="692" t="n"/>
      <c r="W255" s="692" t="n"/>
      <c r="Y255" s="415" t="n"/>
      <c r="Z255" s="692" t="n"/>
    </row>
    <row r="256">
      <c r="D256" s="692" t="n"/>
      <c r="E256" s="415" t="n"/>
      <c r="F256" s="692" t="n"/>
      <c r="L256" s="692" t="n"/>
      <c r="Q256" s="415" t="n"/>
      <c r="R256" s="692" t="n"/>
      <c r="T256" s="692" t="n"/>
      <c r="W256" s="692" t="n"/>
      <c r="Y256" s="415" t="n"/>
      <c r="Z256" s="692" t="n"/>
    </row>
    <row r="257">
      <c r="D257" s="692" t="n"/>
      <c r="E257" s="415" t="n"/>
      <c r="F257" s="692" t="n"/>
      <c r="L257" s="692" t="n"/>
      <c r="Q257" s="415" t="n"/>
      <c r="R257" s="692" t="n"/>
      <c r="T257" s="692" t="n"/>
      <c r="W257" s="692" t="n"/>
      <c r="Y257" s="415" t="n"/>
      <c r="Z257" s="692" t="n"/>
    </row>
    <row r="258">
      <c r="D258" s="692" t="n"/>
      <c r="E258" s="415" t="n"/>
      <c r="F258" s="692" t="n"/>
      <c r="L258" s="692" t="n"/>
      <c r="Q258" s="415" t="n"/>
      <c r="R258" s="692" t="n"/>
      <c r="T258" s="692" t="n"/>
      <c r="W258" s="692" t="n"/>
      <c r="Y258" s="415" t="n"/>
      <c r="Z258" s="692" t="n"/>
    </row>
    <row r="259">
      <c r="D259" s="692" t="n"/>
      <c r="E259" s="415" t="n"/>
      <c r="F259" s="692" t="n"/>
      <c r="L259" s="692" t="n"/>
      <c r="Q259" s="415" t="n"/>
      <c r="R259" s="692" t="n"/>
      <c r="T259" s="692" t="n"/>
      <c r="W259" s="692" t="n"/>
      <c r="Y259" s="415" t="n"/>
      <c r="Z259" s="692" t="n"/>
    </row>
    <row r="260">
      <c r="D260" s="692" t="n"/>
      <c r="E260" s="415" t="n"/>
      <c r="F260" s="692" t="n"/>
      <c r="L260" s="692" t="n"/>
      <c r="Q260" s="415" t="n"/>
      <c r="R260" s="692" t="n"/>
      <c r="T260" s="692" t="n"/>
      <c r="W260" s="692" t="n"/>
      <c r="Y260" s="415" t="n"/>
      <c r="Z260" s="692" t="n"/>
    </row>
    <row r="261">
      <c r="D261" s="692" t="n"/>
      <c r="E261" s="415" t="n"/>
      <c r="F261" s="692" t="n"/>
      <c r="L261" s="692" t="n"/>
      <c r="Q261" s="415" t="n"/>
      <c r="R261" s="692" t="n"/>
      <c r="T261" s="692" t="n"/>
      <c r="W261" s="692" t="n"/>
      <c r="Y261" s="415" t="n"/>
      <c r="Z261" s="692" t="n"/>
    </row>
    <row r="262">
      <c r="D262" s="692" t="n"/>
      <c r="E262" s="415" t="n"/>
      <c r="F262" s="692" t="n"/>
      <c r="L262" s="692" t="n"/>
      <c r="Q262" s="415" t="n"/>
      <c r="R262" s="692" t="n"/>
      <c r="T262" s="692" t="n"/>
      <c r="W262" s="692" t="n"/>
      <c r="Y262" s="415" t="n"/>
      <c r="Z262" s="692" t="n"/>
    </row>
    <row r="263">
      <c r="D263" s="692" t="n"/>
      <c r="E263" s="415" t="n"/>
      <c r="F263" s="692" t="n"/>
      <c r="L263" s="692" t="n"/>
      <c r="Q263" s="415" t="n"/>
      <c r="R263" s="692" t="n"/>
      <c r="T263" s="692" t="n"/>
      <c r="W263" s="692" t="n"/>
      <c r="Y263" s="415" t="n"/>
      <c r="Z263" s="692" t="n"/>
    </row>
    <row r="264">
      <c r="D264" s="692" t="n"/>
      <c r="E264" s="415" t="n"/>
      <c r="F264" s="692" t="n"/>
      <c r="L264" s="692" t="n"/>
      <c r="Q264" s="415" t="n"/>
      <c r="R264" s="692" t="n"/>
      <c r="T264" s="692" t="n"/>
      <c r="W264" s="692" t="n"/>
      <c r="Y264" s="415" t="n"/>
      <c r="Z264" s="692" t="n"/>
    </row>
    <row r="265">
      <c r="D265" s="692" t="n"/>
      <c r="E265" s="415" t="n"/>
      <c r="F265" s="692" t="n"/>
      <c r="L265" s="692" t="n"/>
      <c r="Q265" s="415" t="n"/>
      <c r="R265" s="692" t="n"/>
      <c r="T265" s="692" t="n"/>
      <c r="W265" s="692" t="n"/>
      <c r="Y265" s="415" t="n"/>
      <c r="Z265" s="692" t="n"/>
    </row>
    <row r="266">
      <c r="D266" s="692" t="n"/>
      <c r="E266" s="415" t="n"/>
      <c r="F266" s="692" t="n"/>
      <c r="L266" s="692" t="n"/>
      <c r="Q266" s="415" t="n"/>
      <c r="R266" s="692" t="n"/>
      <c r="T266" s="692" t="n"/>
      <c r="W266" s="692" t="n"/>
      <c r="Y266" s="415" t="n"/>
      <c r="Z266" s="692" t="n"/>
    </row>
    <row r="267">
      <c r="D267" s="692" t="n"/>
      <c r="E267" s="415" t="n"/>
      <c r="F267" s="692" t="n"/>
      <c r="L267" s="692" t="n"/>
      <c r="Q267" s="415" t="n"/>
      <c r="R267" s="692" t="n"/>
      <c r="T267" s="692" t="n"/>
      <c r="W267" s="692" t="n"/>
      <c r="Y267" s="415" t="n"/>
      <c r="Z267" s="692" t="n"/>
    </row>
    <row r="268">
      <c r="D268" s="692" t="n"/>
      <c r="E268" s="415" t="n"/>
      <c r="F268" s="692" t="n"/>
      <c r="L268" s="692" t="n"/>
      <c r="Q268" s="415" t="n"/>
      <c r="R268" s="692" t="n"/>
      <c r="T268" s="692" t="n"/>
      <c r="W268" s="692" t="n"/>
      <c r="Y268" s="415" t="n"/>
      <c r="Z268" s="692" t="n"/>
    </row>
    <row r="269">
      <c r="D269" s="692" t="n"/>
      <c r="E269" s="415" t="n"/>
      <c r="F269" s="692" t="n"/>
      <c r="L269" s="692" t="n"/>
      <c r="Q269" s="415" t="n"/>
      <c r="R269" s="692" t="n"/>
      <c r="T269" s="692" t="n"/>
      <c r="W269" s="692" t="n"/>
      <c r="Y269" s="415" t="n"/>
      <c r="Z269" s="692" t="n"/>
    </row>
    <row r="270">
      <c r="D270" s="692" t="n"/>
      <c r="E270" s="415" t="n"/>
      <c r="F270" s="692" t="n"/>
      <c r="L270" s="692" t="n"/>
      <c r="Q270" s="415" t="n"/>
      <c r="R270" s="692" t="n"/>
      <c r="T270" s="692" t="n"/>
      <c r="W270" s="692" t="n"/>
      <c r="Y270" s="415" t="n"/>
      <c r="Z270" s="692" t="n"/>
    </row>
    <row r="271">
      <c r="D271" s="692" t="n"/>
      <c r="E271" s="415" t="n"/>
      <c r="F271" s="692" t="n"/>
      <c r="L271" s="692" t="n"/>
      <c r="Q271" s="415" t="n"/>
      <c r="R271" s="692" t="n"/>
      <c r="T271" s="692" t="n"/>
      <c r="W271" s="692" t="n"/>
      <c r="Y271" s="415" t="n"/>
      <c r="Z271" s="692" t="n"/>
    </row>
    <row r="272">
      <c r="D272" s="692" t="n"/>
      <c r="E272" s="415" t="n"/>
      <c r="F272" s="692" t="n"/>
      <c r="L272" s="692" t="n"/>
      <c r="Q272" s="415" t="n"/>
      <c r="R272" s="692" t="n"/>
      <c r="T272" s="692" t="n"/>
      <c r="W272" s="692" t="n"/>
      <c r="Y272" s="415" t="n"/>
      <c r="Z272" s="692" t="n"/>
    </row>
    <row r="273">
      <c r="D273" s="692" t="n"/>
      <c r="E273" s="415" t="n"/>
      <c r="F273" s="692" t="n"/>
      <c r="L273" s="692" t="n"/>
      <c r="Q273" s="415" t="n"/>
      <c r="R273" s="692" t="n"/>
      <c r="T273" s="692" t="n"/>
      <c r="W273" s="692" t="n"/>
      <c r="Y273" s="415" t="n"/>
      <c r="Z273" s="692" t="n"/>
    </row>
    <row r="274">
      <c r="D274" s="692" t="n"/>
      <c r="E274" s="415" t="n"/>
      <c r="F274" s="692" t="n"/>
      <c r="L274" s="692" t="n"/>
      <c r="Q274" s="415" t="n"/>
      <c r="R274" s="692" t="n"/>
      <c r="T274" s="692" t="n"/>
      <c r="W274" s="692" t="n"/>
      <c r="Y274" s="415" t="n"/>
      <c r="Z274" s="692" t="n"/>
    </row>
    <row r="275">
      <c r="D275" s="692" t="n"/>
      <c r="E275" s="415" t="n"/>
      <c r="F275" s="692" t="n"/>
      <c r="L275" s="692" t="n"/>
      <c r="Q275" s="415" t="n"/>
      <c r="R275" s="692" t="n"/>
      <c r="T275" s="692" t="n"/>
      <c r="W275" s="692" t="n"/>
      <c r="Y275" s="415" t="n"/>
      <c r="Z275" s="692" t="n"/>
    </row>
    <row r="276">
      <c r="D276" s="692" t="n"/>
      <c r="E276" s="415" t="n"/>
      <c r="F276" s="692" t="n"/>
      <c r="L276" s="692" t="n"/>
      <c r="Q276" s="415" t="n"/>
      <c r="R276" s="692" t="n"/>
      <c r="T276" s="692" t="n"/>
      <c r="W276" s="692" t="n"/>
      <c r="Y276" s="415" t="n"/>
      <c r="Z276" s="692" t="n"/>
    </row>
    <row r="277">
      <c r="D277" s="692" t="n"/>
      <c r="E277" s="415" t="n"/>
      <c r="F277" s="692" t="n"/>
      <c r="L277" s="692" t="n"/>
      <c r="Q277" s="415" t="n"/>
      <c r="R277" s="692" t="n"/>
      <c r="T277" s="692" t="n"/>
      <c r="W277" s="692" t="n"/>
      <c r="Y277" s="415" t="n"/>
      <c r="Z277" s="692" t="n"/>
    </row>
    <row r="278">
      <c r="D278" s="692" t="n"/>
      <c r="E278" s="415" t="n"/>
      <c r="F278" s="692" t="n"/>
      <c r="L278" s="692" t="n"/>
      <c r="Q278" s="415" t="n"/>
      <c r="R278" s="692" t="n"/>
      <c r="T278" s="692" t="n"/>
      <c r="W278" s="692" t="n"/>
      <c r="Y278" s="415" t="n"/>
      <c r="Z278" s="692" t="n"/>
    </row>
    <row r="279">
      <c r="D279" s="692" t="n"/>
      <c r="E279" s="415" t="n"/>
      <c r="F279" s="692" t="n"/>
      <c r="L279" s="692" t="n"/>
      <c r="Q279" s="415" t="n"/>
      <c r="R279" s="692" t="n"/>
      <c r="T279" s="692" t="n"/>
      <c r="W279" s="692" t="n"/>
      <c r="Y279" s="415" t="n"/>
      <c r="Z279" s="692" t="n"/>
    </row>
    <row r="280">
      <c r="D280" s="692" t="n"/>
      <c r="E280" s="415" t="n"/>
      <c r="F280" s="692" t="n"/>
      <c r="L280" s="692" t="n"/>
      <c r="Q280" s="415" t="n"/>
      <c r="R280" s="692" t="n"/>
      <c r="T280" s="692" t="n"/>
      <c r="W280" s="692" t="n"/>
      <c r="Y280" s="415" t="n"/>
      <c r="Z280" s="692" t="n"/>
    </row>
    <row r="281">
      <c r="D281" s="692" t="n"/>
      <c r="E281" s="415" t="n"/>
      <c r="F281" s="692" t="n"/>
      <c r="L281" s="692" t="n"/>
      <c r="Q281" s="415" t="n"/>
      <c r="R281" s="692" t="n"/>
      <c r="T281" s="692" t="n"/>
      <c r="W281" s="692" t="n"/>
      <c r="Y281" s="415" t="n"/>
      <c r="Z281" s="692" t="n"/>
    </row>
    <row r="282">
      <c r="D282" s="692" t="n"/>
      <c r="E282" s="415" t="n"/>
      <c r="F282" s="692" t="n"/>
      <c r="L282" s="692" t="n"/>
      <c r="Q282" s="415" t="n"/>
      <c r="R282" s="692" t="n"/>
      <c r="T282" s="692" t="n"/>
      <c r="W282" s="692" t="n"/>
      <c r="Y282" s="415" t="n"/>
      <c r="Z282" s="692" t="n"/>
    </row>
    <row r="283">
      <c r="D283" s="692" t="n"/>
      <c r="E283" s="415" t="n"/>
      <c r="F283" s="692" t="n"/>
      <c r="L283" s="692" t="n"/>
      <c r="Q283" s="415" t="n"/>
      <c r="R283" s="692" t="n"/>
      <c r="T283" s="692" t="n"/>
      <c r="W283" s="692" t="n"/>
      <c r="Y283" s="415" t="n"/>
      <c r="Z283" s="692" t="n"/>
    </row>
    <row r="284">
      <c r="D284" s="692" t="n"/>
      <c r="E284" s="415" t="n"/>
      <c r="F284" s="692" t="n"/>
      <c r="L284" s="692" t="n"/>
      <c r="Q284" s="415" t="n"/>
      <c r="R284" s="692" t="n"/>
      <c r="T284" s="692" t="n"/>
      <c r="W284" s="692" t="n"/>
      <c r="Y284" s="415" t="n"/>
      <c r="Z284" s="692" t="n"/>
    </row>
    <row r="285">
      <c r="D285" s="692" t="n"/>
      <c r="E285" s="415" t="n"/>
      <c r="F285" s="692" t="n"/>
      <c r="L285" s="692" t="n"/>
      <c r="Q285" s="415" t="n"/>
      <c r="R285" s="692" t="n"/>
      <c r="T285" s="692" t="n"/>
      <c r="W285" s="692" t="n"/>
      <c r="Y285" s="415" t="n"/>
      <c r="Z285" s="692" t="n"/>
    </row>
    <row r="286">
      <c r="D286" s="692" t="n"/>
      <c r="E286" s="415" t="n"/>
      <c r="F286" s="692" t="n"/>
      <c r="L286" s="692" t="n"/>
      <c r="Q286" s="415" t="n"/>
      <c r="R286" s="692" t="n"/>
      <c r="T286" s="692" t="n"/>
      <c r="W286" s="692" t="n"/>
      <c r="Y286" s="415" t="n"/>
      <c r="Z286" s="692" t="n"/>
    </row>
    <row r="287">
      <c r="D287" s="692" t="n"/>
      <c r="E287" s="415" t="n"/>
      <c r="F287" s="692" t="n"/>
      <c r="L287" s="692" t="n"/>
      <c r="Q287" s="415" t="n"/>
      <c r="R287" s="692" t="n"/>
      <c r="T287" s="692" t="n"/>
      <c r="W287" s="692" t="n"/>
      <c r="Y287" s="415" t="n"/>
      <c r="Z287" s="692" t="n"/>
    </row>
    <row r="288">
      <c r="D288" s="692" t="n"/>
      <c r="E288" s="415" t="n"/>
      <c r="F288" s="692" t="n"/>
      <c r="L288" s="692" t="n"/>
      <c r="Q288" s="415" t="n"/>
      <c r="R288" s="692" t="n"/>
      <c r="T288" s="692" t="n"/>
      <c r="W288" s="692" t="n"/>
      <c r="Y288" s="415" t="n"/>
      <c r="Z288" s="692" t="n"/>
    </row>
    <row r="289">
      <c r="D289" s="692" t="n"/>
      <c r="E289" s="415" t="n"/>
      <c r="F289" s="692" t="n"/>
      <c r="L289" s="692" t="n"/>
      <c r="Q289" s="415" t="n"/>
      <c r="R289" s="692" t="n"/>
      <c r="T289" s="692" t="n"/>
      <c r="W289" s="692" t="n"/>
      <c r="Y289" s="415" t="n"/>
      <c r="Z289" s="692" t="n"/>
    </row>
    <row r="290">
      <c r="D290" s="692" t="n"/>
      <c r="E290" s="415" t="n"/>
      <c r="F290" s="692" t="n"/>
      <c r="L290" s="692" t="n"/>
      <c r="Q290" s="415" t="n"/>
      <c r="R290" s="692" t="n"/>
      <c r="T290" s="692" t="n"/>
      <c r="W290" s="692" t="n"/>
      <c r="Y290" s="415" t="n"/>
      <c r="Z290" s="692" t="n"/>
    </row>
    <row r="291">
      <c r="D291" s="692" t="n"/>
      <c r="E291" s="415" t="n"/>
      <c r="F291" s="692" t="n"/>
      <c r="L291" s="692" t="n"/>
      <c r="Q291" s="415" t="n"/>
      <c r="R291" s="692" t="n"/>
      <c r="T291" s="692" t="n"/>
      <c r="W291" s="692" t="n"/>
      <c r="Y291" s="415" t="n"/>
      <c r="Z291" s="692" t="n"/>
    </row>
    <row r="292">
      <c r="D292" s="692" t="n"/>
      <c r="E292" s="415" t="n"/>
      <c r="F292" s="692" t="n"/>
      <c r="L292" s="692" t="n"/>
      <c r="Q292" s="415" t="n"/>
      <c r="R292" s="692" t="n"/>
      <c r="T292" s="692" t="n"/>
      <c r="W292" s="692" t="n"/>
      <c r="Y292" s="415" t="n"/>
      <c r="Z292" s="692" t="n"/>
    </row>
    <row r="293">
      <c r="D293" s="692" t="n"/>
      <c r="E293" s="415" t="n"/>
      <c r="F293" s="692" t="n"/>
      <c r="L293" s="692" t="n"/>
      <c r="Q293" s="415" t="n"/>
      <c r="R293" s="692" t="n"/>
      <c r="T293" s="692" t="n"/>
      <c r="W293" s="692" t="n"/>
      <c r="Y293" s="415" t="n"/>
      <c r="Z293" s="692" t="n"/>
    </row>
    <row r="294">
      <c r="D294" s="692" t="n"/>
      <c r="E294" s="415" t="n"/>
      <c r="F294" s="692" t="n"/>
      <c r="L294" s="692" t="n"/>
      <c r="Q294" s="415" t="n"/>
      <c r="R294" s="692" t="n"/>
      <c r="T294" s="692" t="n"/>
      <c r="W294" s="692" t="n"/>
      <c r="Y294" s="415" t="n"/>
      <c r="Z294" s="692" t="n"/>
    </row>
    <row r="295">
      <c r="D295" s="692" t="n"/>
      <c r="E295" s="415" t="n"/>
      <c r="F295" s="692" t="n"/>
      <c r="L295" s="692" t="n"/>
      <c r="Q295" s="415" t="n"/>
      <c r="R295" s="692" t="n"/>
      <c r="T295" s="692" t="n"/>
      <c r="W295" s="692" t="n"/>
      <c r="Y295" s="415" t="n"/>
      <c r="Z295" s="692" t="n"/>
    </row>
    <row r="296">
      <c r="D296" s="692" t="n"/>
      <c r="E296" s="415" t="n"/>
      <c r="F296" s="692" t="n"/>
      <c r="L296" s="692" t="n"/>
      <c r="Q296" s="415" t="n"/>
      <c r="R296" s="692" t="n"/>
      <c r="T296" s="692" t="n"/>
      <c r="W296" s="692" t="n"/>
      <c r="Y296" s="415" t="n"/>
      <c r="Z296" s="692" t="n"/>
    </row>
    <row r="297">
      <c r="D297" s="692" t="n"/>
      <c r="E297" s="415" t="n"/>
      <c r="F297" s="692" t="n"/>
      <c r="L297" s="692" t="n"/>
      <c r="Q297" s="415" t="n"/>
      <c r="R297" s="692" t="n"/>
      <c r="T297" s="692" t="n"/>
      <c r="W297" s="692" t="n"/>
      <c r="Y297" s="415" t="n"/>
      <c r="Z297" s="692" t="n"/>
    </row>
    <row r="298">
      <c r="D298" s="692" t="n"/>
      <c r="E298" s="415" t="n"/>
      <c r="F298" s="692" t="n"/>
      <c r="L298" s="692" t="n"/>
      <c r="Q298" s="415" t="n"/>
      <c r="R298" s="692" t="n"/>
      <c r="T298" s="692" t="n"/>
      <c r="W298" s="692" t="n"/>
      <c r="Y298" s="415" t="n"/>
      <c r="Z298" s="692" t="n"/>
    </row>
    <row r="299">
      <c r="D299" s="692" t="n"/>
      <c r="E299" s="415" t="n"/>
      <c r="F299" s="692" t="n"/>
      <c r="L299" s="692" t="n"/>
      <c r="Q299" s="415" t="n"/>
      <c r="R299" s="692" t="n"/>
      <c r="T299" s="692" t="n"/>
      <c r="W299" s="692" t="n"/>
      <c r="Y299" s="415" t="n"/>
      <c r="Z299" s="692" t="n"/>
    </row>
    <row r="300">
      <c r="D300" s="692" t="n"/>
      <c r="E300" s="415" t="n"/>
      <c r="F300" s="692" t="n"/>
      <c r="L300" s="692" t="n"/>
      <c r="Q300" s="415" t="n"/>
      <c r="R300" s="692" t="n"/>
      <c r="T300" s="692" t="n"/>
      <c r="W300" s="692" t="n"/>
      <c r="Y300" s="415" t="n"/>
      <c r="Z300" s="692" t="n"/>
    </row>
    <row r="301">
      <c r="D301" s="692" t="n"/>
      <c r="E301" s="415" t="n"/>
      <c r="F301" s="692" t="n"/>
      <c r="L301" s="692" t="n"/>
      <c r="Q301" s="415" t="n"/>
      <c r="R301" s="692" t="n"/>
      <c r="T301" s="692" t="n"/>
      <c r="W301" s="692" t="n"/>
      <c r="Y301" s="415" t="n"/>
      <c r="Z301" s="692" t="n"/>
    </row>
    <row r="302">
      <c r="D302" s="692" t="n"/>
      <c r="E302" s="415" t="n"/>
      <c r="F302" s="692" t="n"/>
      <c r="L302" s="692" t="n"/>
      <c r="Q302" s="415" t="n"/>
      <c r="R302" s="692" t="n"/>
      <c r="T302" s="692" t="n"/>
      <c r="W302" s="692" t="n"/>
      <c r="Y302" s="415" t="n"/>
      <c r="Z302" s="692" t="n"/>
    </row>
    <row r="303">
      <c r="D303" s="692" t="n"/>
      <c r="E303" s="415" t="n"/>
      <c r="F303" s="692" t="n"/>
      <c r="L303" s="692" t="n"/>
      <c r="Q303" s="415" t="n"/>
      <c r="R303" s="692" t="n"/>
      <c r="T303" s="692" t="n"/>
      <c r="W303" s="692" t="n"/>
      <c r="Y303" s="415" t="n"/>
      <c r="Z303" s="692" t="n"/>
    </row>
    <row r="304">
      <c r="D304" s="692" t="n"/>
      <c r="E304" s="415" t="n"/>
      <c r="F304" s="692" t="n"/>
      <c r="L304" s="692" t="n"/>
      <c r="Q304" s="415" t="n"/>
      <c r="R304" s="692" t="n"/>
      <c r="T304" s="692" t="n"/>
      <c r="W304" s="692" t="n"/>
      <c r="Y304" s="415" t="n"/>
      <c r="Z304" s="692" t="n"/>
    </row>
    <row r="305">
      <c r="D305" s="692" t="n"/>
      <c r="E305" s="415" t="n"/>
      <c r="F305" s="692" t="n"/>
      <c r="L305" s="692" t="n"/>
      <c r="Q305" s="415" t="n"/>
      <c r="R305" s="692" t="n"/>
      <c r="T305" s="692" t="n"/>
      <c r="W305" s="692" t="n"/>
      <c r="Y305" s="415" t="n"/>
      <c r="Z305" s="692" t="n"/>
    </row>
    <row r="306">
      <c r="D306" s="692" t="n"/>
      <c r="E306" s="415" t="n"/>
      <c r="F306" s="692" t="n"/>
      <c r="L306" s="692" t="n"/>
      <c r="Q306" s="415" t="n"/>
      <c r="R306" s="692" t="n"/>
      <c r="T306" s="692" t="n"/>
      <c r="W306" s="692" t="n"/>
      <c r="Y306" s="415" t="n"/>
      <c r="Z306" s="692" t="n"/>
    </row>
    <row r="307">
      <c r="D307" s="692" t="n"/>
      <c r="E307" s="415" t="n"/>
      <c r="F307" s="692" t="n"/>
      <c r="L307" s="692" t="n"/>
      <c r="Q307" s="415" t="n"/>
      <c r="R307" s="692" t="n"/>
      <c r="T307" s="692" t="n"/>
      <c r="W307" s="692" t="n"/>
      <c r="Y307" s="415" t="n"/>
      <c r="Z307" s="692" t="n"/>
    </row>
    <row r="308">
      <c r="D308" s="692" t="n"/>
      <c r="E308" s="415" t="n"/>
      <c r="F308" s="692" t="n"/>
      <c r="L308" s="692" t="n"/>
      <c r="Q308" s="415" t="n"/>
      <c r="R308" s="692" t="n"/>
      <c r="T308" s="692" t="n"/>
      <c r="W308" s="692" t="n"/>
      <c r="Y308" s="415" t="n"/>
      <c r="Z308" s="692" t="n"/>
    </row>
    <row r="309">
      <c r="D309" s="692" t="n"/>
      <c r="E309" s="415" t="n"/>
      <c r="F309" s="692" t="n"/>
      <c r="L309" s="692" t="n"/>
      <c r="Q309" s="415" t="n"/>
      <c r="R309" s="692" t="n"/>
      <c r="T309" s="692" t="n"/>
      <c r="W309" s="692" t="n"/>
      <c r="Y309" s="415" t="n"/>
      <c r="Z309" s="692" t="n"/>
    </row>
    <row r="310">
      <c r="D310" s="692" t="n"/>
      <c r="E310" s="415" t="n"/>
      <c r="F310" s="692" t="n"/>
      <c r="L310" s="692" t="n"/>
      <c r="Q310" s="415" t="n"/>
      <c r="R310" s="692" t="n"/>
      <c r="T310" s="692" t="n"/>
      <c r="W310" s="692" t="n"/>
      <c r="Y310" s="415" t="n"/>
      <c r="Z310" s="692" t="n"/>
    </row>
    <row r="311">
      <c r="D311" s="692" t="n"/>
      <c r="E311" s="415" t="n"/>
      <c r="F311" s="692" t="n"/>
      <c r="L311" s="692" t="n"/>
      <c r="Q311" s="415" t="n"/>
      <c r="R311" s="692" t="n"/>
      <c r="T311" s="692" t="n"/>
      <c r="W311" s="692" t="n"/>
      <c r="Y311" s="415" t="n"/>
      <c r="Z311" s="692" t="n"/>
    </row>
    <row r="312">
      <c r="D312" s="692" t="n"/>
      <c r="E312" s="415" t="n"/>
      <c r="F312" s="692" t="n"/>
      <c r="L312" s="692" t="n"/>
      <c r="Q312" s="415" t="n"/>
      <c r="R312" s="692" t="n"/>
      <c r="T312" s="692" t="n"/>
      <c r="W312" s="692" t="n"/>
      <c r="Y312" s="415" t="n"/>
      <c r="Z312" s="692" t="n"/>
    </row>
    <row r="313">
      <c r="D313" s="692" t="n"/>
      <c r="E313" s="415" t="n"/>
      <c r="F313" s="692" t="n"/>
      <c r="L313" s="692" t="n"/>
      <c r="Q313" s="415" t="n"/>
      <c r="R313" s="692" t="n"/>
      <c r="T313" s="692" t="n"/>
      <c r="W313" s="692" t="n"/>
      <c r="Y313" s="415" t="n"/>
      <c r="Z313" s="692" t="n"/>
    </row>
    <row r="314">
      <c r="D314" s="692" t="n"/>
      <c r="E314" s="415" t="n"/>
      <c r="F314" s="692" t="n"/>
      <c r="L314" s="692" t="n"/>
      <c r="Q314" s="415" t="n"/>
      <c r="R314" s="692" t="n"/>
      <c r="T314" s="692" t="n"/>
      <c r="W314" s="692" t="n"/>
      <c r="Y314" s="415" t="n"/>
      <c r="Z314" s="692" t="n"/>
    </row>
    <row r="315">
      <c r="D315" s="692" t="n"/>
      <c r="E315" s="415" t="n"/>
      <c r="F315" s="692" t="n"/>
      <c r="L315" s="692" t="n"/>
      <c r="Q315" s="415" t="n"/>
      <c r="R315" s="692" t="n"/>
      <c r="T315" s="692" t="n"/>
      <c r="W315" s="692" t="n"/>
      <c r="Y315" s="415" t="n"/>
      <c r="Z315" s="692" t="n"/>
    </row>
    <row r="316">
      <c r="D316" s="692" t="n"/>
      <c r="E316" s="415" t="n"/>
      <c r="F316" s="692" t="n"/>
      <c r="L316" s="692" t="n"/>
      <c r="Q316" s="415" t="n"/>
      <c r="R316" s="692" t="n"/>
      <c r="T316" s="692" t="n"/>
      <c r="W316" s="692" t="n"/>
      <c r="Y316" s="415" t="n"/>
      <c r="Z316" s="692" t="n"/>
    </row>
    <row r="317">
      <c r="D317" s="692" t="n"/>
      <c r="E317" s="415" t="n"/>
      <c r="F317" s="692" t="n"/>
      <c r="L317" s="692" t="n"/>
      <c r="Q317" s="415" t="n"/>
      <c r="R317" s="692" t="n"/>
      <c r="T317" s="692" t="n"/>
      <c r="W317" s="692" t="n"/>
      <c r="Y317" s="415" t="n"/>
      <c r="Z317" s="692" t="n"/>
    </row>
    <row r="318">
      <c r="D318" s="692" t="n"/>
      <c r="E318" s="415" t="n"/>
      <c r="F318" s="692" t="n"/>
      <c r="L318" s="692" t="n"/>
      <c r="Q318" s="415" t="n"/>
      <c r="R318" s="692" t="n"/>
      <c r="T318" s="692" t="n"/>
      <c r="W318" s="692" t="n"/>
      <c r="Y318" s="415" t="n"/>
      <c r="Z318" s="692" t="n"/>
    </row>
    <row r="319">
      <c r="D319" s="692" t="n"/>
      <c r="E319" s="415" t="n"/>
      <c r="F319" s="692" t="n"/>
      <c r="L319" s="692" t="n"/>
      <c r="Q319" s="415" t="n"/>
      <c r="R319" s="692" t="n"/>
      <c r="T319" s="692" t="n"/>
      <c r="W319" s="692" t="n"/>
      <c r="Y319" s="415" t="n"/>
      <c r="Z319" s="692" t="n"/>
    </row>
    <row r="320">
      <c r="D320" s="692" t="n"/>
      <c r="E320" s="415" t="n"/>
      <c r="F320" s="692" t="n"/>
      <c r="L320" s="692" t="n"/>
      <c r="Q320" s="415" t="n"/>
      <c r="R320" s="692" t="n"/>
      <c r="T320" s="692" t="n"/>
      <c r="W320" s="692" t="n"/>
      <c r="Y320" s="415" t="n"/>
      <c r="Z320" s="692" t="n"/>
    </row>
    <row r="321">
      <c r="D321" s="692" t="n"/>
      <c r="E321" s="415" t="n"/>
      <c r="F321" s="692" t="n"/>
      <c r="L321" s="692" t="n"/>
      <c r="Q321" s="415" t="n"/>
      <c r="R321" s="692" t="n"/>
      <c r="T321" s="692" t="n"/>
      <c r="W321" s="692" t="n"/>
      <c r="Y321" s="415" t="n"/>
      <c r="Z321" s="692" t="n"/>
    </row>
    <row r="322">
      <c r="D322" s="692" t="n"/>
      <c r="E322" s="415" t="n"/>
      <c r="F322" s="692" t="n"/>
      <c r="L322" s="692" t="n"/>
      <c r="Q322" s="415" t="n"/>
      <c r="R322" s="692" t="n"/>
      <c r="T322" s="692" t="n"/>
      <c r="W322" s="692" t="n"/>
      <c r="Y322" s="415" t="n"/>
      <c r="Z322" s="692" t="n"/>
    </row>
    <row r="323">
      <c r="D323" s="692" t="n"/>
      <c r="E323" s="415" t="n"/>
      <c r="F323" s="692" t="n"/>
      <c r="L323" s="692" t="n"/>
      <c r="Q323" s="415" t="n"/>
      <c r="R323" s="692" t="n"/>
      <c r="T323" s="692" t="n"/>
      <c r="W323" s="692" t="n"/>
      <c r="Y323" s="415" t="n"/>
      <c r="Z323" s="692" t="n"/>
    </row>
    <row r="324">
      <c r="D324" s="692" t="n"/>
      <c r="E324" s="415" t="n"/>
      <c r="F324" s="692" t="n"/>
      <c r="L324" s="692" t="n"/>
      <c r="Q324" s="415" t="n"/>
      <c r="R324" s="692" t="n"/>
      <c r="T324" s="692" t="n"/>
      <c r="W324" s="692" t="n"/>
      <c r="Y324" s="415" t="n"/>
      <c r="Z324" s="692" t="n"/>
    </row>
    <row r="325">
      <c r="D325" s="692" t="n"/>
      <c r="E325" s="415" t="n"/>
      <c r="F325" s="692" t="n"/>
      <c r="L325" s="692" t="n"/>
      <c r="Q325" s="415" t="n"/>
      <c r="R325" s="692" t="n"/>
      <c r="T325" s="692" t="n"/>
      <c r="W325" s="692" t="n"/>
      <c r="Y325" s="415" t="n"/>
      <c r="Z325" s="692" t="n"/>
    </row>
    <row r="326">
      <c r="D326" s="692" t="n"/>
      <c r="E326" s="415" t="n"/>
      <c r="F326" s="692" t="n"/>
      <c r="L326" s="692" t="n"/>
      <c r="Q326" s="415" t="n"/>
      <c r="R326" s="692" t="n"/>
      <c r="T326" s="692" t="n"/>
      <c r="W326" s="692" t="n"/>
      <c r="Y326" s="415" t="n"/>
      <c r="Z326" s="692" t="n"/>
    </row>
    <row r="327">
      <c r="D327" s="692" t="n"/>
      <c r="E327" s="415" t="n"/>
      <c r="F327" s="692" t="n"/>
      <c r="L327" s="692" t="n"/>
      <c r="Q327" s="415" t="n"/>
      <c r="R327" s="692" t="n"/>
      <c r="T327" s="692" t="n"/>
      <c r="W327" s="692" t="n"/>
      <c r="Y327" s="415" t="n"/>
      <c r="Z327" s="692" t="n"/>
    </row>
    <row r="328">
      <c r="D328" s="692" t="n"/>
      <c r="E328" s="415" t="n"/>
      <c r="F328" s="692" t="n"/>
      <c r="L328" s="692" t="n"/>
      <c r="Q328" s="415" t="n"/>
      <c r="R328" s="692" t="n"/>
      <c r="T328" s="692" t="n"/>
      <c r="W328" s="692" t="n"/>
      <c r="Y328" s="415" t="n"/>
      <c r="Z328" s="692" t="n"/>
    </row>
    <row r="329">
      <c r="D329" s="692" t="n"/>
      <c r="E329" s="415" t="n"/>
      <c r="F329" s="692" t="n"/>
      <c r="L329" s="692" t="n"/>
      <c r="Q329" s="415" t="n"/>
      <c r="R329" s="692" t="n"/>
      <c r="T329" s="692" t="n"/>
      <c r="W329" s="692" t="n"/>
      <c r="Y329" s="415" t="n"/>
      <c r="Z329" s="692" t="n"/>
    </row>
    <row r="330">
      <c r="D330" s="692" t="n"/>
      <c r="E330" s="415" t="n"/>
      <c r="F330" s="692" t="n"/>
      <c r="L330" s="692" t="n"/>
      <c r="Q330" s="415" t="n"/>
      <c r="R330" s="692" t="n"/>
      <c r="T330" s="692" t="n"/>
      <c r="W330" s="692" t="n"/>
      <c r="Y330" s="415" t="n"/>
      <c r="Z330" s="692" t="n"/>
    </row>
    <row r="331">
      <c r="D331" s="692" t="n"/>
      <c r="E331" s="415" t="n"/>
      <c r="F331" s="692" t="n"/>
      <c r="L331" s="692" t="n"/>
      <c r="Q331" s="415" t="n"/>
      <c r="R331" s="692" t="n"/>
      <c r="T331" s="692" t="n"/>
      <c r="W331" s="692" t="n"/>
      <c r="Y331" s="415" t="n"/>
      <c r="Z331" s="692" t="n"/>
    </row>
    <row r="332">
      <c r="D332" s="692" t="n"/>
      <c r="E332" s="415" t="n"/>
      <c r="F332" s="692" t="n"/>
      <c r="L332" s="692" t="n"/>
      <c r="Q332" s="415" t="n"/>
      <c r="R332" s="692" t="n"/>
      <c r="T332" s="692" t="n"/>
      <c r="W332" s="692" t="n"/>
      <c r="Y332" s="415" t="n"/>
      <c r="Z332" s="692" t="n"/>
    </row>
    <row r="333">
      <c r="D333" s="692" t="n"/>
      <c r="E333" s="415" t="n"/>
      <c r="F333" s="692" t="n"/>
      <c r="L333" s="692" t="n"/>
      <c r="Q333" s="415" t="n"/>
      <c r="R333" s="692" t="n"/>
      <c r="T333" s="692" t="n"/>
      <c r="W333" s="692" t="n"/>
      <c r="Y333" s="415" t="n"/>
      <c r="Z333" s="692" t="n"/>
    </row>
    <row r="334">
      <c r="D334" s="692" t="n"/>
      <c r="E334" s="415" t="n"/>
      <c r="F334" s="692" t="n"/>
      <c r="L334" s="692" t="n"/>
      <c r="Q334" s="415" t="n"/>
      <c r="R334" s="692" t="n"/>
      <c r="T334" s="692" t="n"/>
      <c r="W334" s="692" t="n"/>
      <c r="Y334" s="415" t="n"/>
      <c r="Z334" s="692" t="n"/>
    </row>
    <row r="335">
      <c r="D335" s="692" t="n"/>
      <c r="E335" s="415" t="n"/>
      <c r="F335" s="692" t="n"/>
      <c r="L335" s="692" t="n"/>
      <c r="Q335" s="415" t="n"/>
      <c r="R335" s="692" t="n"/>
      <c r="T335" s="692" t="n"/>
      <c r="W335" s="692" t="n"/>
      <c r="Y335" s="415" t="n"/>
      <c r="Z335" s="692" t="n"/>
    </row>
    <row r="336">
      <c r="D336" s="692" t="n"/>
      <c r="E336" s="415" t="n"/>
      <c r="F336" s="692" t="n"/>
      <c r="L336" s="692" t="n"/>
      <c r="Q336" s="415" t="n"/>
      <c r="R336" s="692" t="n"/>
      <c r="T336" s="692" t="n"/>
      <c r="W336" s="692" t="n"/>
      <c r="Y336" s="415" t="n"/>
      <c r="Z336" s="692" t="n"/>
    </row>
    <row r="337">
      <c r="D337" s="692" t="n"/>
      <c r="E337" s="415" t="n"/>
      <c r="F337" s="692" t="n"/>
      <c r="L337" s="692" t="n"/>
      <c r="Q337" s="415" t="n"/>
      <c r="R337" s="692" t="n"/>
      <c r="T337" s="692" t="n"/>
      <c r="W337" s="692" t="n"/>
      <c r="Y337" s="415" t="n"/>
      <c r="Z337" s="692" t="n"/>
    </row>
    <row r="338">
      <c r="D338" s="692" t="n"/>
      <c r="E338" s="415" t="n"/>
      <c r="F338" s="692" t="n"/>
      <c r="L338" s="692" t="n"/>
      <c r="Q338" s="415" t="n"/>
      <c r="R338" s="692" t="n"/>
      <c r="T338" s="692" t="n"/>
      <c r="W338" s="692" t="n"/>
      <c r="Y338" s="415" t="n"/>
      <c r="Z338" s="692" t="n"/>
    </row>
    <row r="339">
      <c r="D339" s="692" t="n"/>
      <c r="E339" s="415" t="n"/>
      <c r="F339" s="692" t="n"/>
      <c r="L339" s="692" t="n"/>
      <c r="Q339" s="415" t="n"/>
      <c r="R339" s="692" t="n"/>
      <c r="T339" s="692" t="n"/>
      <c r="W339" s="692" t="n"/>
      <c r="Y339" s="415" t="n"/>
      <c r="Z339" s="692" t="n"/>
    </row>
    <row r="340">
      <c r="D340" s="692" t="n"/>
      <c r="E340" s="415" t="n"/>
      <c r="F340" s="692" t="n"/>
      <c r="L340" s="692" t="n"/>
      <c r="Q340" s="415" t="n"/>
      <c r="R340" s="692" t="n"/>
      <c r="T340" s="692" t="n"/>
      <c r="W340" s="692" t="n"/>
      <c r="Y340" s="415" t="n"/>
      <c r="Z340" s="692" t="n"/>
    </row>
    <row r="341">
      <c r="D341" s="692" t="n"/>
      <c r="E341" s="415" t="n"/>
      <c r="F341" s="692" t="n"/>
      <c r="L341" s="692" t="n"/>
      <c r="Q341" s="415" t="n"/>
      <c r="R341" s="692" t="n"/>
      <c r="T341" s="692" t="n"/>
      <c r="W341" s="692" t="n"/>
      <c r="Y341" s="415" t="n"/>
      <c r="Z341" s="692" t="n"/>
    </row>
    <row r="342">
      <c r="D342" s="692" t="n"/>
      <c r="E342" s="415" t="n"/>
      <c r="F342" s="692" t="n"/>
      <c r="L342" s="692" t="n"/>
      <c r="Q342" s="415" t="n"/>
      <c r="R342" s="692" t="n"/>
      <c r="T342" s="692" t="n"/>
      <c r="W342" s="692" t="n"/>
      <c r="Y342" s="415" t="n"/>
      <c r="Z342" s="692" t="n"/>
    </row>
    <row r="343">
      <c r="D343" s="692" t="n"/>
      <c r="E343" s="415" t="n"/>
      <c r="F343" s="692" t="n"/>
      <c r="L343" s="692" t="n"/>
      <c r="Q343" s="415" t="n"/>
      <c r="R343" s="692" t="n"/>
      <c r="T343" s="692" t="n"/>
      <c r="W343" s="692" t="n"/>
      <c r="Y343" s="415" t="n"/>
      <c r="Z343" s="692" t="n"/>
    </row>
    <row r="344">
      <c r="D344" s="692" t="n"/>
      <c r="E344" s="415" t="n"/>
      <c r="F344" s="692" t="n"/>
      <c r="L344" s="692" t="n"/>
      <c r="Q344" s="415" t="n"/>
      <c r="R344" s="692" t="n"/>
      <c r="T344" s="692" t="n"/>
      <c r="W344" s="692" t="n"/>
      <c r="Y344" s="415" t="n"/>
      <c r="Z344" s="692" t="n"/>
    </row>
    <row r="345">
      <c r="D345" s="692" t="n"/>
      <c r="E345" s="415" t="n"/>
      <c r="F345" s="692" t="n"/>
      <c r="L345" s="692" t="n"/>
      <c r="Q345" s="415" t="n"/>
      <c r="R345" s="692" t="n"/>
      <c r="T345" s="692" t="n"/>
      <c r="W345" s="692" t="n"/>
      <c r="Y345" s="415" t="n"/>
      <c r="Z345" s="692" t="n"/>
    </row>
    <row r="346">
      <c r="D346" s="692" t="n"/>
      <c r="E346" s="415" t="n"/>
      <c r="F346" s="692" t="n"/>
      <c r="L346" s="692" t="n"/>
      <c r="Q346" s="415" t="n"/>
      <c r="R346" s="692" t="n"/>
      <c r="T346" s="692" t="n"/>
      <c r="W346" s="692" t="n"/>
      <c r="Y346" s="415" t="n"/>
      <c r="Z346" s="692" t="n"/>
    </row>
    <row r="347">
      <c r="D347" s="692" t="n"/>
      <c r="E347" s="415" t="n"/>
      <c r="F347" s="692" t="n"/>
      <c r="L347" s="692" t="n"/>
      <c r="Q347" s="415" t="n"/>
      <c r="R347" s="692" t="n"/>
      <c r="T347" s="692" t="n"/>
      <c r="W347" s="692" t="n"/>
      <c r="Y347" s="415" t="n"/>
      <c r="Z347" s="692" t="n"/>
    </row>
    <row r="348">
      <c r="D348" s="692" t="n"/>
      <c r="E348" s="415" t="n"/>
      <c r="F348" s="692" t="n"/>
      <c r="L348" s="692" t="n"/>
      <c r="Q348" s="415" t="n"/>
      <c r="R348" s="692" t="n"/>
      <c r="T348" s="692" t="n"/>
      <c r="W348" s="692" t="n"/>
      <c r="Y348" s="415" t="n"/>
      <c r="Z348" s="692" t="n"/>
    </row>
    <row r="349">
      <c r="D349" s="692" t="n"/>
      <c r="E349" s="415" t="n"/>
      <c r="F349" s="692" t="n"/>
      <c r="L349" s="692" t="n"/>
      <c r="Q349" s="415" t="n"/>
      <c r="R349" s="692" t="n"/>
      <c r="T349" s="692" t="n"/>
      <c r="W349" s="692" t="n"/>
      <c r="Y349" s="415" t="n"/>
      <c r="Z349" s="692" t="n"/>
    </row>
    <row r="350">
      <c r="D350" s="692" t="n"/>
      <c r="E350" s="415" t="n"/>
      <c r="F350" s="692" t="n"/>
      <c r="L350" s="692" t="n"/>
      <c r="Q350" s="415" t="n"/>
      <c r="R350" s="692" t="n"/>
      <c r="T350" s="692" t="n"/>
      <c r="W350" s="692" t="n"/>
      <c r="Y350" s="415" t="n"/>
      <c r="Z350" s="692" t="n"/>
    </row>
    <row r="351">
      <c r="D351" s="692" t="n"/>
      <c r="E351" s="415" t="n"/>
      <c r="F351" s="692" t="n"/>
      <c r="L351" s="692" t="n"/>
      <c r="Q351" s="415" t="n"/>
      <c r="R351" s="692" t="n"/>
      <c r="T351" s="692" t="n"/>
      <c r="W351" s="692" t="n"/>
      <c r="Y351" s="415" t="n"/>
      <c r="Z351" s="692" t="n"/>
    </row>
    <row r="352">
      <c r="D352" s="692" t="n"/>
      <c r="E352" s="415" t="n"/>
      <c r="F352" s="692" t="n"/>
      <c r="L352" s="692" t="n"/>
      <c r="Q352" s="415" t="n"/>
      <c r="R352" s="692" t="n"/>
      <c r="T352" s="692" t="n"/>
      <c r="W352" s="692" t="n"/>
      <c r="Y352" s="415" t="n"/>
      <c r="Z352" s="692" t="n"/>
    </row>
    <row r="353">
      <c r="D353" s="692" t="n"/>
      <c r="E353" s="415" t="n"/>
      <c r="F353" s="692" t="n"/>
      <c r="L353" s="692" t="n"/>
      <c r="Q353" s="415" t="n"/>
      <c r="R353" s="692" t="n"/>
      <c r="T353" s="692" t="n"/>
      <c r="W353" s="692" t="n"/>
      <c r="Y353" s="415" t="n"/>
      <c r="Z353" s="692" t="n"/>
    </row>
    <row r="354">
      <c r="D354" s="692" t="n"/>
      <c r="E354" s="415" t="n"/>
      <c r="F354" s="692" t="n"/>
      <c r="L354" s="692" t="n"/>
      <c r="Q354" s="415" t="n"/>
      <c r="R354" s="692" t="n"/>
      <c r="T354" s="692" t="n"/>
      <c r="W354" s="692" t="n"/>
      <c r="Y354" s="415" t="n"/>
      <c r="Z354" s="692" t="n"/>
    </row>
    <row r="355">
      <c r="D355" s="692" t="n"/>
      <c r="E355" s="415" t="n"/>
      <c r="F355" s="692" t="n"/>
      <c r="L355" s="692" t="n"/>
      <c r="Q355" s="415" t="n"/>
      <c r="R355" s="692" t="n"/>
      <c r="T355" s="692" t="n"/>
      <c r="W355" s="692" t="n"/>
      <c r="Y355" s="415" t="n"/>
      <c r="Z355" s="692" t="n"/>
    </row>
    <row r="356">
      <c r="D356" s="692" t="n"/>
      <c r="E356" s="415" t="n"/>
      <c r="F356" s="692" t="n"/>
      <c r="L356" s="692" t="n"/>
      <c r="Q356" s="415" t="n"/>
      <c r="R356" s="692" t="n"/>
      <c r="T356" s="692" t="n"/>
      <c r="W356" s="692" t="n"/>
      <c r="Y356" s="415" t="n"/>
      <c r="Z356" s="692" t="n"/>
    </row>
    <row r="357">
      <c r="D357" s="692" t="n"/>
      <c r="E357" s="415" t="n"/>
      <c r="F357" s="692" t="n"/>
      <c r="L357" s="692" t="n"/>
      <c r="Q357" s="415" t="n"/>
      <c r="R357" s="692" t="n"/>
      <c r="T357" s="692" t="n"/>
      <c r="W357" s="692" t="n"/>
      <c r="Y357" s="415" t="n"/>
      <c r="Z357" s="692" t="n"/>
    </row>
    <row r="358">
      <c r="D358" s="692" t="n"/>
      <c r="E358" s="415" t="n"/>
      <c r="F358" s="692" t="n"/>
      <c r="L358" s="692" t="n"/>
      <c r="Q358" s="415" t="n"/>
      <c r="R358" s="692" t="n"/>
      <c r="T358" s="692" t="n"/>
      <c r="W358" s="692" t="n"/>
      <c r="Y358" s="415" t="n"/>
      <c r="Z358" s="692" t="n"/>
    </row>
    <row r="359">
      <c r="D359" s="692" t="n"/>
      <c r="E359" s="415" t="n"/>
      <c r="F359" s="692" t="n"/>
      <c r="L359" s="692" t="n"/>
      <c r="Q359" s="415" t="n"/>
      <c r="R359" s="692" t="n"/>
      <c r="T359" s="692" t="n"/>
      <c r="W359" s="692" t="n"/>
      <c r="Y359" s="415" t="n"/>
      <c r="Z359" s="692" t="n"/>
    </row>
    <row r="360">
      <c r="D360" s="692" t="n"/>
      <c r="E360" s="415" t="n"/>
      <c r="F360" s="692" t="n"/>
      <c r="L360" s="692" t="n"/>
      <c r="Q360" s="415" t="n"/>
      <c r="R360" s="692" t="n"/>
      <c r="T360" s="692" t="n"/>
      <c r="W360" s="692" t="n"/>
      <c r="Y360" s="415" t="n"/>
      <c r="Z360" s="692" t="n"/>
    </row>
    <row r="361">
      <c r="D361" s="692" t="n"/>
      <c r="E361" s="415" t="n"/>
      <c r="F361" s="692" t="n"/>
      <c r="L361" s="692" t="n"/>
      <c r="Q361" s="415" t="n"/>
      <c r="R361" s="692" t="n"/>
      <c r="T361" s="692" t="n"/>
      <c r="W361" s="692" t="n"/>
      <c r="Y361" s="415" t="n"/>
      <c r="Z361" s="692" t="n"/>
    </row>
    <row r="362">
      <c r="D362" s="692" t="n"/>
      <c r="E362" s="415" t="n"/>
      <c r="F362" s="692" t="n"/>
      <c r="L362" s="692" t="n"/>
      <c r="Q362" s="415" t="n"/>
      <c r="R362" s="692" t="n"/>
      <c r="T362" s="692" t="n"/>
      <c r="W362" s="692" t="n"/>
      <c r="Y362" s="415" t="n"/>
      <c r="Z362" s="692" t="n"/>
    </row>
    <row r="363">
      <c r="D363" s="692" t="n"/>
      <c r="E363" s="415" t="n"/>
      <c r="F363" s="692" t="n"/>
      <c r="L363" s="692" t="n"/>
      <c r="Q363" s="415" t="n"/>
      <c r="R363" s="692" t="n"/>
      <c r="T363" s="692" t="n"/>
      <c r="W363" s="692" t="n"/>
      <c r="Y363" s="415" t="n"/>
      <c r="Z363" s="692" t="n"/>
    </row>
    <row r="364">
      <c r="D364" s="692" t="n"/>
      <c r="E364" s="415" t="n"/>
      <c r="F364" s="692" t="n"/>
      <c r="L364" s="692" t="n"/>
      <c r="Q364" s="415" t="n"/>
      <c r="R364" s="692" t="n"/>
      <c r="T364" s="692" t="n"/>
      <c r="W364" s="692" t="n"/>
      <c r="Y364" s="415" t="n"/>
      <c r="Z364" s="692" t="n"/>
    </row>
    <row r="365">
      <c r="D365" s="692" t="n"/>
      <c r="E365" s="415" t="n"/>
      <c r="F365" s="692" t="n"/>
      <c r="L365" s="692" t="n"/>
      <c r="Q365" s="415" t="n"/>
      <c r="R365" s="692" t="n"/>
      <c r="T365" s="692" t="n"/>
      <c r="W365" s="692" t="n"/>
      <c r="Y365" s="415" t="n"/>
      <c r="Z365" s="692" t="n"/>
    </row>
    <row r="366">
      <c r="D366" s="692" t="n"/>
      <c r="E366" s="415" t="n"/>
      <c r="F366" s="692" t="n"/>
      <c r="L366" s="692" t="n"/>
      <c r="Q366" s="415" t="n"/>
      <c r="R366" s="692" t="n"/>
      <c r="T366" s="692" t="n"/>
      <c r="W366" s="692" t="n"/>
      <c r="Y366" s="415" t="n"/>
      <c r="Z366" s="692" t="n"/>
    </row>
    <row r="367">
      <c r="D367" s="692" t="n"/>
      <c r="E367" s="415" t="n"/>
      <c r="F367" s="692" t="n"/>
      <c r="L367" s="692" t="n"/>
      <c r="Q367" s="415" t="n"/>
      <c r="R367" s="692" t="n"/>
      <c r="T367" s="692" t="n"/>
      <c r="W367" s="692" t="n"/>
      <c r="Y367" s="415" t="n"/>
      <c r="Z367" s="692" t="n"/>
    </row>
    <row r="368">
      <c r="D368" s="692" t="n"/>
      <c r="E368" s="415" t="n"/>
      <c r="F368" s="692" t="n"/>
      <c r="L368" s="692" t="n"/>
      <c r="Q368" s="415" t="n"/>
      <c r="R368" s="692" t="n"/>
      <c r="T368" s="692" t="n"/>
      <c r="W368" s="692" t="n"/>
      <c r="Y368" s="415" t="n"/>
      <c r="Z368" s="692" t="n"/>
    </row>
    <row r="369">
      <c r="D369" s="692" t="n"/>
      <c r="E369" s="415" t="n"/>
      <c r="F369" s="692" t="n"/>
      <c r="L369" s="692" t="n"/>
      <c r="Q369" s="415" t="n"/>
      <c r="R369" s="692" t="n"/>
      <c r="T369" s="692" t="n"/>
      <c r="W369" s="692" t="n"/>
      <c r="Y369" s="415" t="n"/>
      <c r="Z369" s="692" t="n"/>
    </row>
    <row r="370">
      <c r="D370" s="692" t="n"/>
      <c r="E370" s="415" t="n"/>
      <c r="F370" s="692" t="n"/>
      <c r="L370" s="692" t="n"/>
      <c r="Q370" s="415" t="n"/>
      <c r="R370" s="692" t="n"/>
      <c r="T370" s="692" t="n"/>
      <c r="W370" s="692" t="n"/>
      <c r="Y370" s="415" t="n"/>
      <c r="Z370" s="692" t="n"/>
    </row>
    <row r="371">
      <c r="D371" s="692" t="n"/>
      <c r="E371" s="415" t="n"/>
      <c r="F371" s="692" t="n"/>
      <c r="L371" s="692" t="n"/>
      <c r="Q371" s="415" t="n"/>
      <c r="R371" s="692" t="n"/>
      <c r="T371" s="692" t="n"/>
      <c r="W371" s="692" t="n"/>
      <c r="Y371" s="415" t="n"/>
      <c r="Z371" s="692" t="n"/>
    </row>
    <row r="372">
      <c r="D372" s="692" t="n"/>
      <c r="E372" s="415" t="n"/>
      <c r="F372" s="692" t="n"/>
      <c r="L372" s="692" t="n"/>
      <c r="Q372" s="415" t="n"/>
      <c r="R372" s="692" t="n"/>
      <c r="T372" s="692" t="n"/>
      <c r="W372" s="692" t="n"/>
      <c r="Y372" s="415" t="n"/>
      <c r="Z372" s="692" t="n"/>
    </row>
    <row r="373">
      <c r="D373" s="692" t="n"/>
      <c r="E373" s="415" t="n"/>
      <c r="F373" s="692" t="n"/>
      <c r="L373" s="692" t="n"/>
      <c r="Q373" s="415" t="n"/>
      <c r="R373" s="692" t="n"/>
      <c r="T373" s="692" t="n"/>
      <c r="W373" s="692" t="n"/>
      <c r="Y373" s="415" t="n"/>
      <c r="Z373" s="692" t="n"/>
    </row>
    <row r="374">
      <c r="D374" s="692" t="n"/>
      <c r="E374" s="415" t="n"/>
      <c r="F374" s="692" t="n"/>
      <c r="L374" s="692" t="n"/>
      <c r="Q374" s="415" t="n"/>
      <c r="R374" s="692" t="n"/>
      <c r="T374" s="692" t="n"/>
      <c r="W374" s="692" t="n"/>
      <c r="Y374" s="415" t="n"/>
      <c r="Z374" s="692" t="n"/>
    </row>
    <row r="375">
      <c r="D375" s="692" t="n"/>
      <c r="E375" s="415" t="n"/>
      <c r="F375" s="692" t="n"/>
      <c r="L375" s="692" t="n"/>
      <c r="Q375" s="415" t="n"/>
      <c r="R375" s="692" t="n"/>
      <c r="T375" s="692" t="n"/>
      <c r="W375" s="692" t="n"/>
      <c r="Y375" s="415" t="n"/>
      <c r="Z375" s="692" t="n"/>
    </row>
    <row r="376">
      <c r="D376" s="692" t="n"/>
      <c r="E376" s="415" t="n"/>
      <c r="F376" s="692" t="n"/>
      <c r="L376" s="692" t="n"/>
      <c r="Q376" s="415" t="n"/>
      <c r="R376" s="692" t="n"/>
      <c r="T376" s="692" t="n"/>
      <c r="W376" s="692" t="n"/>
      <c r="Y376" s="415" t="n"/>
      <c r="Z376" s="692" t="n"/>
    </row>
    <row r="377">
      <c r="D377" s="692" t="n"/>
      <c r="E377" s="415" t="n"/>
      <c r="F377" s="692" t="n"/>
      <c r="L377" s="692" t="n"/>
      <c r="Q377" s="415" t="n"/>
      <c r="R377" s="692" t="n"/>
      <c r="T377" s="692" t="n"/>
      <c r="W377" s="692" t="n"/>
      <c r="Y377" s="415" t="n"/>
      <c r="Z377" s="692" t="n"/>
    </row>
    <row r="378">
      <c r="D378" s="692" t="n"/>
      <c r="E378" s="415" t="n"/>
      <c r="F378" s="692" t="n"/>
      <c r="L378" s="692" t="n"/>
      <c r="Q378" s="415" t="n"/>
      <c r="R378" s="692" t="n"/>
      <c r="T378" s="692" t="n"/>
      <c r="W378" s="692" t="n"/>
      <c r="Y378" s="415" t="n"/>
      <c r="Z378" s="692" t="n"/>
    </row>
    <row r="379">
      <c r="D379" s="692" t="n"/>
      <c r="E379" s="415" t="n"/>
      <c r="F379" s="692" t="n"/>
      <c r="L379" s="692" t="n"/>
      <c r="Q379" s="415" t="n"/>
      <c r="R379" s="692" t="n"/>
      <c r="T379" s="692" t="n"/>
      <c r="W379" s="692" t="n"/>
      <c r="Y379" s="415" t="n"/>
      <c r="Z379" s="692" t="n"/>
    </row>
    <row r="380">
      <c r="D380" s="692" t="n"/>
      <c r="E380" s="415" t="n"/>
      <c r="F380" s="692" t="n"/>
      <c r="L380" s="692" t="n"/>
      <c r="Q380" s="415" t="n"/>
      <c r="R380" s="692" t="n"/>
      <c r="T380" s="692" t="n"/>
      <c r="W380" s="692" t="n"/>
      <c r="Y380" s="415" t="n"/>
      <c r="Z380" s="692" t="n"/>
    </row>
    <row r="381">
      <c r="D381" s="692" t="n"/>
      <c r="E381" s="415" t="n"/>
      <c r="F381" s="692" t="n"/>
      <c r="L381" s="692" t="n"/>
      <c r="Q381" s="415" t="n"/>
      <c r="R381" s="692" t="n"/>
      <c r="T381" s="692" t="n"/>
      <c r="W381" s="692" t="n"/>
      <c r="Y381" s="415" t="n"/>
      <c r="Z381" s="692" t="n"/>
    </row>
    <row r="382">
      <c r="D382" s="692" t="n"/>
      <c r="E382" s="415" t="n"/>
      <c r="F382" s="692" t="n"/>
      <c r="L382" s="692" t="n"/>
      <c r="Q382" s="415" t="n"/>
      <c r="R382" s="692" t="n"/>
      <c r="T382" s="692" t="n"/>
      <c r="W382" s="692" t="n"/>
      <c r="Y382" s="415" t="n"/>
      <c r="Z382" s="692" t="n"/>
    </row>
    <row r="383">
      <c r="D383" s="692" t="n"/>
      <c r="E383" s="415" t="n"/>
      <c r="F383" s="692" t="n"/>
      <c r="L383" s="692" t="n"/>
      <c r="Q383" s="415" t="n"/>
      <c r="R383" s="692" t="n"/>
      <c r="T383" s="692" t="n"/>
      <c r="W383" s="692" t="n"/>
      <c r="Y383" s="415" t="n"/>
      <c r="Z383" s="692" t="n"/>
    </row>
    <row r="384">
      <c r="D384" s="692" t="n"/>
      <c r="E384" s="415" t="n"/>
      <c r="F384" s="692" t="n"/>
      <c r="L384" s="692" t="n"/>
      <c r="Q384" s="415" t="n"/>
      <c r="R384" s="692" t="n"/>
      <c r="T384" s="692" t="n"/>
      <c r="W384" s="692" t="n"/>
      <c r="Y384" s="415" t="n"/>
      <c r="Z384" s="692" t="n"/>
    </row>
    <row r="385">
      <c r="D385" s="692" t="n"/>
      <c r="E385" s="415" t="n"/>
      <c r="F385" s="692" t="n"/>
      <c r="L385" s="692" t="n"/>
      <c r="Q385" s="415" t="n"/>
      <c r="R385" s="692" t="n"/>
      <c r="T385" s="692" t="n"/>
      <c r="W385" s="692" t="n"/>
      <c r="Y385" s="415" t="n"/>
      <c r="Z385" s="692" t="n"/>
    </row>
    <row r="386">
      <c r="D386" s="692" t="n"/>
      <c r="E386" s="415" t="n"/>
      <c r="F386" s="692" t="n"/>
      <c r="L386" s="692" t="n"/>
      <c r="Q386" s="415" t="n"/>
      <c r="R386" s="692" t="n"/>
      <c r="T386" s="692" t="n"/>
      <c r="W386" s="692" t="n"/>
      <c r="Y386" s="415" t="n"/>
      <c r="Z386" s="692" t="n"/>
    </row>
    <row r="387">
      <c r="D387" s="692" t="n"/>
      <c r="E387" s="415" t="n"/>
      <c r="F387" s="692" t="n"/>
      <c r="L387" s="692" t="n"/>
      <c r="Q387" s="415" t="n"/>
      <c r="R387" s="692" t="n"/>
      <c r="T387" s="692" t="n"/>
      <c r="W387" s="692" t="n"/>
      <c r="Y387" s="415" t="n"/>
      <c r="Z387" s="692" t="n"/>
    </row>
    <row r="388">
      <c r="D388" s="692" t="n"/>
      <c r="E388" s="415" t="n"/>
      <c r="F388" s="692" t="n"/>
      <c r="L388" s="692" t="n"/>
      <c r="Q388" s="415" t="n"/>
      <c r="R388" s="692" t="n"/>
      <c r="T388" s="692" t="n"/>
      <c r="W388" s="692" t="n"/>
      <c r="Y388" s="415" t="n"/>
      <c r="Z388" s="692" t="n"/>
    </row>
    <row r="389">
      <c r="D389" s="692" t="n"/>
      <c r="E389" s="415" t="n"/>
      <c r="F389" s="692" t="n"/>
      <c r="L389" s="692" t="n"/>
      <c r="Q389" s="415" t="n"/>
      <c r="R389" s="692" t="n"/>
      <c r="T389" s="692" t="n"/>
      <c r="W389" s="692" t="n"/>
      <c r="Y389" s="415" t="n"/>
      <c r="Z389" s="692" t="n"/>
    </row>
    <row r="390">
      <c r="D390" s="692" t="n"/>
      <c r="E390" s="415" t="n"/>
      <c r="F390" s="692" t="n"/>
      <c r="L390" s="692" t="n"/>
      <c r="Q390" s="415" t="n"/>
      <c r="R390" s="692" t="n"/>
      <c r="T390" s="692" t="n"/>
      <c r="W390" s="692" t="n"/>
      <c r="Y390" s="415" t="n"/>
      <c r="Z390" s="692" t="n"/>
    </row>
    <row r="391">
      <c r="D391" s="692" t="n"/>
      <c r="E391" s="415" t="n"/>
      <c r="F391" s="692" t="n"/>
      <c r="L391" s="692" t="n"/>
      <c r="Q391" s="415" t="n"/>
      <c r="R391" s="692" t="n"/>
      <c r="T391" s="692" t="n"/>
      <c r="W391" s="692" t="n"/>
      <c r="Y391" s="415" t="n"/>
      <c r="Z391" s="692" t="n"/>
    </row>
    <row r="392">
      <c r="D392" s="692" t="n"/>
      <c r="E392" s="415" t="n"/>
      <c r="F392" s="692" t="n"/>
      <c r="L392" s="692" t="n"/>
      <c r="Q392" s="415" t="n"/>
      <c r="R392" s="692" t="n"/>
      <c r="T392" s="692" t="n"/>
      <c r="W392" s="692" t="n"/>
      <c r="Y392" s="415" t="n"/>
      <c r="Z392" s="692" t="n"/>
    </row>
    <row r="393">
      <c r="D393" s="692" t="n"/>
      <c r="E393" s="415" t="n"/>
      <c r="F393" s="692" t="n"/>
      <c r="L393" s="692" t="n"/>
      <c r="Q393" s="415" t="n"/>
      <c r="R393" s="692" t="n"/>
      <c r="T393" s="692" t="n"/>
      <c r="W393" s="692" t="n"/>
      <c r="Y393" s="415" t="n"/>
      <c r="Z393" s="692" t="n"/>
    </row>
    <row r="394">
      <c r="D394" s="692" t="n"/>
      <c r="E394" s="415" t="n"/>
      <c r="F394" s="692" t="n"/>
      <c r="L394" s="692" t="n"/>
      <c r="Q394" s="415" t="n"/>
      <c r="R394" s="692" t="n"/>
      <c r="T394" s="692" t="n"/>
      <c r="W394" s="692" t="n"/>
      <c r="Y394" s="415" t="n"/>
      <c r="Z394" s="692" t="n"/>
    </row>
    <row r="395">
      <c r="D395" s="692" t="n"/>
      <c r="E395" s="415" t="n"/>
      <c r="F395" s="692" t="n"/>
      <c r="L395" s="692" t="n"/>
      <c r="Q395" s="415" t="n"/>
      <c r="R395" s="692" t="n"/>
      <c r="T395" s="692" t="n"/>
      <c r="W395" s="692" t="n"/>
      <c r="Y395" s="415" t="n"/>
      <c r="Z395" s="692" t="n"/>
    </row>
    <row r="396">
      <c r="D396" s="692" t="n"/>
      <c r="E396" s="415" t="n"/>
      <c r="F396" s="692" t="n"/>
      <c r="L396" s="692" t="n"/>
      <c r="Q396" s="415" t="n"/>
      <c r="R396" s="692" t="n"/>
      <c r="T396" s="692" t="n"/>
      <c r="W396" s="692" t="n"/>
      <c r="Y396" s="415" t="n"/>
      <c r="Z396" s="692" t="n"/>
    </row>
    <row r="397">
      <c r="D397" s="692" t="n"/>
      <c r="E397" s="415" t="n"/>
      <c r="F397" s="692" t="n"/>
      <c r="L397" s="692" t="n"/>
      <c r="Q397" s="415" t="n"/>
      <c r="R397" s="692" t="n"/>
      <c r="T397" s="692" t="n"/>
      <c r="W397" s="692" t="n"/>
      <c r="Y397" s="415" t="n"/>
      <c r="Z397" s="692" t="n"/>
    </row>
    <row r="398">
      <c r="D398" s="692" t="n"/>
      <c r="E398" s="415" t="n"/>
      <c r="F398" s="692" t="n"/>
      <c r="L398" s="692" t="n"/>
      <c r="Q398" s="415" t="n"/>
      <c r="R398" s="692" t="n"/>
      <c r="T398" s="692" t="n"/>
      <c r="W398" s="692" t="n"/>
      <c r="Y398" s="415" t="n"/>
      <c r="Z398" s="692" t="n"/>
    </row>
    <row r="399">
      <c r="D399" s="692" t="n"/>
      <c r="E399" s="415" t="n"/>
      <c r="F399" s="692" t="n"/>
      <c r="L399" s="692" t="n"/>
      <c r="Q399" s="415" t="n"/>
      <c r="R399" s="692" t="n"/>
      <c r="T399" s="692" t="n"/>
      <c r="W399" s="692" t="n"/>
      <c r="Y399" s="415" t="n"/>
      <c r="Z399" s="692" t="n"/>
    </row>
    <row r="400">
      <c r="D400" s="692" t="n"/>
      <c r="E400" s="415" t="n"/>
      <c r="F400" s="692" t="n"/>
      <c r="L400" s="692" t="n"/>
      <c r="Q400" s="415" t="n"/>
      <c r="R400" s="692" t="n"/>
      <c r="T400" s="692" t="n"/>
      <c r="W400" s="692" t="n"/>
      <c r="Y400" s="415" t="n"/>
      <c r="Z400" s="692" t="n"/>
    </row>
    <row r="401">
      <c r="D401" s="692" t="n"/>
      <c r="E401" s="415" t="n"/>
      <c r="F401" s="692" t="n"/>
      <c r="L401" s="692" t="n"/>
      <c r="Q401" s="415" t="n"/>
      <c r="R401" s="692" t="n"/>
      <c r="T401" s="692" t="n"/>
      <c r="W401" s="692" t="n"/>
      <c r="Y401" s="415" t="n"/>
      <c r="Z401" s="692" t="n"/>
    </row>
    <row r="402">
      <c r="D402" s="692" t="n"/>
      <c r="E402" s="415" t="n"/>
      <c r="F402" s="692" t="n"/>
      <c r="L402" s="692" t="n"/>
      <c r="Q402" s="415" t="n"/>
      <c r="R402" s="692" t="n"/>
      <c r="T402" s="692" t="n"/>
      <c r="W402" s="692" t="n"/>
      <c r="Y402" s="415" t="n"/>
      <c r="Z402" s="692" t="n"/>
    </row>
    <row r="403">
      <c r="D403" s="692" t="n"/>
      <c r="E403" s="415" t="n"/>
      <c r="F403" s="692" t="n"/>
      <c r="L403" s="692" t="n"/>
      <c r="Q403" s="415" t="n"/>
      <c r="R403" s="692" t="n"/>
      <c r="T403" s="692" t="n"/>
      <c r="W403" s="692" t="n"/>
      <c r="Y403" s="415" t="n"/>
      <c r="Z403" s="692" t="n"/>
    </row>
    <row r="404">
      <c r="D404" s="692" t="n"/>
      <c r="E404" s="415" t="n"/>
      <c r="F404" s="692" t="n"/>
      <c r="L404" s="692" t="n"/>
      <c r="Q404" s="415" t="n"/>
      <c r="R404" s="692" t="n"/>
      <c r="T404" s="692" t="n"/>
      <c r="W404" s="692" t="n"/>
      <c r="Y404" s="415" t="n"/>
      <c r="Z404" s="692" t="n"/>
    </row>
    <row r="405">
      <c r="D405" s="692" t="n"/>
      <c r="E405" s="415" t="n"/>
      <c r="F405" s="692" t="n"/>
      <c r="L405" s="692" t="n"/>
      <c r="Q405" s="415" t="n"/>
      <c r="R405" s="692" t="n"/>
      <c r="T405" s="692" t="n"/>
      <c r="W405" s="692" t="n"/>
      <c r="Y405" s="415" t="n"/>
      <c r="Z405" s="692" t="n"/>
    </row>
    <row r="406">
      <c r="D406" s="692" t="n"/>
      <c r="E406" s="415" t="n"/>
      <c r="F406" s="692" t="n"/>
      <c r="L406" s="692" t="n"/>
      <c r="Q406" s="415" t="n"/>
      <c r="R406" s="692" t="n"/>
      <c r="T406" s="692" t="n"/>
      <c r="W406" s="692" t="n"/>
      <c r="Y406" s="415" t="n"/>
      <c r="Z406" s="692" t="n"/>
    </row>
    <row r="407">
      <c r="D407" s="692" t="n"/>
      <c r="E407" s="415" t="n"/>
      <c r="F407" s="692" t="n"/>
      <c r="L407" s="692" t="n"/>
      <c r="Q407" s="415" t="n"/>
      <c r="R407" s="692" t="n"/>
      <c r="T407" s="692" t="n"/>
      <c r="W407" s="692" t="n"/>
      <c r="Y407" s="415" t="n"/>
      <c r="Z407" s="692" t="n"/>
    </row>
    <row r="408">
      <c r="D408" s="692" t="n"/>
      <c r="E408" s="415" t="n"/>
      <c r="F408" s="692" t="n"/>
      <c r="L408" s="692" t="n"/>
      <c r="Q408" s="415" t="n"/>
      <c r="R408" s="692" t="n"/>
      <c r="T408" s="692" t="n"/>
      <c r="W408" s="692" t="n"/>
      <c r="Y408" s="415" t="n"/>
      <c r="Z408" s="692" t="n"/>
    </row>
    <row r="409">
      <c r="D409" s="692" t="n"/>
      <c r="E409" s="415" t="n"/>
      <c r="F409" s="692" t="n"/>
      <c r="L409" s="692" t="n"/>
      <c r="Q409" s="415" t="n"/>
      <c r="R409" s="692" t="n"/>
      <c r="T409" s="692" t="n"/>
      <c r="W409" s="692" t="n"/>
      <c r="Y409" s="415" t="n"/>
      <c r="Z409" s="692" t="n"/>
    </row>
    <row r="410">
      <c r="D410" s="692" t="n"/>
      <c r="E410" s="415" t="n"/>
      <c r="F410" s="692" t="n"/>
      <c r="L410" s="692" t="n"/>
      <c r="Q410" s="415" t="n"/>
      <c r="R410" s="692" t="n"/>
      <c r="T410" s="692" t="n"/>
      <c r="W410" s="692" t="n"/>
      <c r="Y410" s="415" t="n"/>
      <c r="Z410" s="692" t="n"/>
    </row>
    <row r="411">
      <c r="D411" s="692" t="n"/>
      <c r="E411" s="415" t="n"/>
      <c r="F411" s="692" t="n"/>
      <c r="L411" s="692" t="n"/>
      <c r="Q411" s="415" t="n"/>
      <c r="R411" s="692" t="n"/>
      <c r="T411" s="692" t="n"/>
      <c r="W411" s="692" t="n"/>
      <c r="Y411" s="415" t="n"/>
      <c r="Z411" s="692" t="n"/>
    </row>
    <row r="412">
      <c r="D412" s="692" t="n"/>
      <c r="E412" s="415" t="n"/>
      <c r="F412" s="692" t="n"/>
      <c r="L412" s="692" t="n"/>
      <c r="Q412" s="415" t="n"/>
      <c r="R412" s="692" t="n"/>
      <c r="T412" s="692" t="n"/>
      <c r="W412" s="692" t="n"/>
      <c r="Y412" s="415" t="n"/>
      <c r="Z412" s="692" t="n"/>
    </row>
    <row r="413">
      <c r="D413" s="692" t="n"/>
      <c r="E413" s="415" t="n"/>
      <c r="F413" s="692" t="n"/>
      <c r="L413" s="692" t="n"/>
      <c r="Q413" s="415" t="n"/>
      <c r="R413" s="692" t="n"/>
      <c r="T413" s="692" t="n"/>
      <c r="W413" s="692" t="n"/>
      <c r="Y413" s="415" t="n"/>
      <c r="Z413" s="692" t="n"/>
    </row>
    <row r="414">
      <c r="D414" s="692" t="n"/>
      <c r="E414" s="415" t="n"/>
      <c r="F414" s="692" t="n"/>
      <c r="L414" s="692" t="n"/>
      <c r="Q414" s="415" t="n"/>
      <c r="R414" s="692" t="n"/>
      <c r="T414" s="692" t="n"/>
      <c r="W414" s="692" t="n"/>
      <c r="Y414" s="415" t="n"/>
      <c r="Z414" s="692" t="n"/>
    </row>
    <row r="415">
      <c r="D415" s="692" t="n"/>
      <c r="E415" s="415" t="n"/>
      <c r="F415" s="692" t="n"/>
      <c r="L415" s="692" t="n"/>
      <c r="Q415" s="415" t="n"/>
      <c r="R415" s="692" t="n"/>
      <c r="T415" s="692" t="n"/>
      <c r="W415" s="692" t="n"/>
      <c r="Y415" s="415" t="n"/>
      <c r="Z415" s="692" t="n"/>
    </row>
    <row r="416">
      <c r="D416" s="692" t="n"/>
      <c r="E416" s="415" t="n"/>
      <c r="F416" s="692" t="n"/>
      <c r="L416" s="692" t="n"/>
      <c r="Q416" s="415" t="n"/>
      <c r="R416" s="692" t="n"/>
      <c r="T416" s="692" t="n"/>
      <c r="W416" s="692" t="n"/>
      <c r="Y416" s="415" t="n"/>
      <c r="Z416" s="692" t="n"/>
    </row>
    <row r="417">
      <c r="D417" s="692" t="n"/>
      <c r="E417" s="415" t="n"/>
      <c r="F417" s="692" t="n"/>
      <c r="L417" s="692" t="n"/>
      <c r="Q417" s="415" t="n"/>
      <c r="R417" s="692" t="n"/>
      <c r="T417" s="692" t="n"/>
      <c r="W417" s="692" t="n"/>
      <c r="Y417" s="415" t="n"/>
      <c r="Z417" s="692" t="n"/>
    </row>
    <row r="418">
      <c r="D418" s="692" t="n"/>
      <c r="E418" s="415" t="n"/>
      <c r="F418" s="692" t="n"/>
      <c r="L418" s="692" t="n"/>
      <c r="Q418" s="415" t="n"/>
      <c r="R418" s="692" t="n"/>
      <c r="T418" s="692" t="n"/>
      <c r="W418" s="692" t="n"/>
      <c r="Y418" s="415" t="n"/>
      <c r="Z418" s="692" t="n"/>
    </row>
    <row r="419">
      <c r="D419" s="692" t="n"/>
      <c r="E419" s="415" t="n"/>
      <c r="F419" s="692" t="n"/>
      <c r="L419" s="692" t="n"/>
      <c r="Q419" s="415" t="n"/>
      <c r="R419" s="692" t="n"/>
      <c r="T419" s="692" t="n"/>
      <c r="W419" s="692" t="n"/>
      <c r="Y419" s="415" t="n"/>
      <c r="Z419" s="692" t="n"/>
    </row>
    <row r="420">
      <c r="D420" s="692" t="n"/>
      <c r="E420" s="415" t="n"/>
      <c r="F420" s="692" t="n"/>
      <c r="L420" s="692" t="n"/>
      <c r="Q420" s="415" t="n"/>
      <c r="R420" s="692" t="n"/>
      <c r="T420" s="692" t="n"/>
      <c r="W420" s="692" t="n"/>
      <c r="Y420" s="415" t="n"/>
      <c r="Z420" s="692" t="n"/>
    </row>
    <row r="421">
      <c r="D421" s="692" t="n"/>
      <c r="E421" s="415" t="n"/>
      <c r="F421" s="692" t="n"/>
      <c r="L421" s="692" t="n"/>
      <c r="Q421" s="415" t="n"/>
      <c r="R421" s="692" t="n"/>
      <c r="T421" s="692" t="n"/>
      <c r="W421" s="692" t="n"/>
      <c r="Y421" s="415" t="n"/>
      <c r="Z421" s="692" t="n"/>
    </row>
    <row r="422">
      <c r="D422" s="692" t="n"/>
      <c r="E422" s="415" t="n"/>
      <c r="F422" s="692" t="n"/>
      <c r="L422" s="692" t="n"/>
      <c r="Q422" s="415" t="n"/>
      <c r="R422" s="692" t="n"/>
      <c r="T422" s="692" t="n"/>
      <c r="W422" s="692" t="n"/>
      <c r="Y422" s="415" t="n"/>
      <c r="Z422" s="692" t="n"/>
    </row>
    <row r="423">
      <c r="D423" s="692" t="n"/>
      <c r="E423" s="415" t="n"/>
      <c r="F423" s="692" t="n"/>
      <c r="L423" s="692" t="n"/>
      <c r="Q423" s="415" t="n"/>
      <c r="R423" s="692" t="n"/>
      <c r="T423" s="692" t="n"/>
      <c r="W423" s="692" t="n"/>
      <c r="Y423" s="415" t="n"/>
      <c r="Z423" s="692" t="n"/>
    </row>
    <row r="424">
      <c r="D424" s="692" t="n"/>
      <c r="E424" s="415" t="n"/>
      <c r="F424" s="692" t="n"/>
      <c r="L424" s="692" t="n"/>
      <c r="Q424" s="415" t="n"/>
      <c r="R424" s="692" t="n"/>
      <c r="T424" s="692" t="n"/>
      <c r="W424" s="692" t="n"/>
      <c r="Y424" s="415" t="n"/>
      <c r="Z424" s="692" t="n"/>
    </row>
    <row r="425">
      <c r="D425" s="692" t="n"/>
      <c r="E425" s="415" t="n"/>
      <c r="F425" s="692" t="n"/>
      <c r="L425" s="692" t="n"/>
      <c r="Q425" s="415" t="n"/>
      <c r="R425" s="692" t="n"/>
      <c r="T425" s="692" t="n"/>
      <c r="W425" s="692" t="n"/>
      <c r="Y425" s="415" t="n"/>
      <c r="Z425" s="692" t="n"/>
    </row>
    <row r="426">
      <c r="D426" s="692" t="n"/>
      <c r="E426" s="415" t="n"/>
      <c r="F426" s="692" t="n"/>
      <c r="L426" s="692" t="n"/>
      <c r="Q426" s="415" t="n"/>
      <c r="R426" s="692" t="n"/>
      <c r="T426" s="692" t="n"/>
      <c r="W426" s="692" t="n"/>
      <c r="Y426" s="415" t="n"/>
      <c r="Z426" s="692" t="n"/>
    </row>
    <row r="427">
      <c r="D427" s="692" t="n"/>
      <c r="E427" s="415" t="n"/>
      <c r="F427" s="692" t="n"/>
      <c r="L427" s="692" t="n"/>
      <c r="Q427" s="415" t="n"/>
      <c r="R427" s="692" t="n"/>
      <c r="T427" s="692" t="n"/>
      <c r="W427" s="692" t="n"/>
      <c r="Y427" s="415" t="n"/>
      <c r="Z427" s="692" t="n"/>
    </row>
    <row r="428">
      <c r="D428" s="692" t="n"/>
      <c r="E428" s="415" t="n"/>
      <c r="F428" s="692" t="n"/>
      <c r="L428" s="692" t="n"/>
      <c r="Q428" s="415" t="n"/>
      <c r="R428" s="692" t="n"/>
      <c r="T428" s="692" t="n"/>
      <c r="W428" s="692" t="n"/>
      <c r="Y428" s="415" t="n"/>
      <c r="Z428" s="692" t="n"/>
    </row>
    <row r="429">
      <c r="D429" s="692" t="n"/>
      <c r="E429" s="415" t="n"/>
      <c r="F429" s="692" t="n"/>
      <c r="L429" s="692" t="n"/>
      <c r="Q429" s="415" t="n"/>
      <c r="R429" s="692" t="n"/>
      <c r="T429" s="692" t="n"/>
      <c r="W429" s="692" t="n"/>
      <c r="Y429" s="415" t="n"/>
      <c r="Z429" s="692" t="n"/>
    </row>
    <row r="430">
      <c r="D430" s="692" t="n"/>
      <c r="E430" s="415" t="n"/>
      <c r="F430" s="692" t="n"/>
      <c r="L430" s="692" t="n"/>
      <c r="Q430" s="415" t="n"/>
      <c r="R430" s="692" t="n"/>
      <c r="T430" s="692" t="n"/>
      <c r="W430" s="692" t="n"/>
      <c r="Y430" s="415" t="n"/>
      <c r="Z430" s="692" t="n"/>
    </row>
    <row r="431">
      <c r="D431" s="692" t="n"/>
      <c r="E431" s="415" t="n"/>
      <c r="F431" s="692" t="n"/>
      <c r="L431" s="692" t="n"/>
      <c r="Q431" s="415" t="n"/>
      <c r="R431" s="692" t="n"/>
      <c r="T431" s="692" t="n"/>
      <c r="W431" s="692" t="n"/>
      <c r="Y431" s="415" t="n"/>
      <c r="Z431" s="692" t="n"/>
    </row>
    <row r="432">
      <c r="D432" s="692" t="n"/>
      <c r="E432" s="415" t="n"/>
      <c r="F432" s="692" t="n"/>
      <c r="L432" s="692" t="n"/>
      <c r="Q432" s="415" t="n"/>
      <c r="R432" s="692" t="n"/>
      <c r="T432" s="692" t="n"/>
      <c r="W432" s="692" t="n"/>
      <c r="Y432" s="415" t="n"/>
      <c r="Z432" s="692" t="n"/>
    </row>
    <row r="433">
      <c r="D433" s="692" t="n"/>
      <c r="E433" s="415" t="n"/>
      <c r="F433" s="692" t="n"/>
      <c r="L433" s="692" t="n"/>
      <c r="Q433" s="415" t="n"/>
      <c r="R433" s="692" t="n"/>
      <c r="T433" s="692" t="n"/>
      <c r="W433" s="692" t="n"/>
      <c r="Y433" s="415" t="n"/>
      <c r="Z433" s="692" t="n"/>
    </row>
    <row r="434">
      <c r="D434" s="692" t="n"/>
      <c r="E434" s="415" t="n"/>
      <c r="F434" s="692" t="n"/>
      <c r="L434" s="692" t="n"/>
      <c r="Q434" s="415" t="n"/>
      <c r="R434" s="692" t="n"/>
      <c r="T434" s="692" t="n"/>
      <c r="W434" s="692" t="n"/>
      <c r="Y434" s="415" t="n"/>
      <c r="Z434" s="692" t="n"/>
    </row>
    <row r="435">
      <c r="D435" s="692" t="n"/>
      <c r="E435" s="415" t="n"/>
      <c r="F435" s="692" t="n"/>
      <c r="L435" s="692" t="n"/>
      <c r="Q435" s="415" t="n"/>
      <c r="R435" s="692" t="n"/>
      <c r="T435" s="692" t="n"/>
      <c r="W435" s="692" t="n"/>
      <c r="Y435" s="415" t="n"/>
      <c r="Z435" s="692" t="n"/>
    </row>
    <row r="436">
      <c r="D436" s="692" t="n"/>
      <c r="E436" s="415" t="n"/>
      <c r="F436" s="692" t="n"/>
      <c r="L436" s="692" t="n"/>
      <c r="Q436" s="415" t="n"/>
      <c r="R436" s="692" t="n"/>
      <c r="T436" s="692" t="n"/>
      <c r="W436" s="692" t="n"/>
      <c r="Y436" s="415" t="n"/>
      <c r="Z436" s="692" t="n"/>
    </row>
    <row r="437">
      <c r="D437" s="692" t="n"/>
      <c r="E437" s="415" t="n"/>
      <c r="F437" s="692" t="n"/>
      <c r="L437" s="692" t="n"/>
      <c r="Q437" s="415" t="n"/>
      <c r="R437" s="692" t="n"/>
      <c r="T437" s="692" t="n"/>
      <c r="W437" s="692" t="n"/>
      <c r="Y437" s="415" t="n"/>
      <c r="Z437" s="692" t="n"/>
    </row>
    <row r="438">
      <c r="D438" s="692" t="n"/>
      <c r="E438" s="415" t="n"/>
      <c r="F438" s="692" t="n"/>
      <c r="L438" s="692" t="n"/>
      <c r="Q438" s="415" t="n"/>
      <c r="R438" s="692" t="n"/>
      <c r="T438" s="692" t="n"/>
      <c r="W438" s="692" t="n"/>
      <c r="Y438" s="415" t="n"/>
      <c r="Z438" s="692" t="n"/>
    </row>
    <row r="439">
      <c r="D439" s="692" t="n"/>
      <c r="E439" s="415" t="n"/>
      <c r="F439" s="692" t="n"/>
      <c r="L439" s="692" t="n"/>
      <c r="Q439" s="415" t="n"/>
      <c r="R439" s="692" t="n"/>
      <c r="T439" s="692" t="n"/>
      <c r="W439" s="692" t="n"/>
      <c r="Y439" s="415" t="n"/>
      <c r="Z439" s="692" t="n"/>
    </row>
    <row r="440">
      <c r="D440" s="692" t="n"/>
      <c r="E440" s="415" t="n"/>
      <c r="F440" s="692" t="n"/>
      <c r="L440" s="692" t="n"/>
      <c r="Q440" s="415" t="n"/>
      <c r="R440" s="692" t="n"/>
      <c r="T440" s="692" t="n"/>
      <c r="W440" s="692" t="n"/>
      <c r="Y440" s="415" t="n"/>
      <c r="Z440" s="692" t="n"/>
    </row>
    <row r="441">
      <c r="D441" s="692" t="n"/>
      <c r="E441" s="415" t="n"/>
      <c r="F441" s="692" t="n"/>
      <c r="L441" s="692" t="n"/>
      <c r="Q441" s="415" t="n"/>
      <c r="R441" s="692" t="n"/>
      <c r="T441" s="692" t="n"/>
      <c r="W441" s="692" t="n"/>
      <c r="Y441" s="415" t="n"/>
      <c r="Z441" s="692" t="n"/>
    </row>
    <row r="442">
      <c r="D442" s="692" t="n"/>
      <c r="E442" s="415" t="n"/>
      <c r="F442" s="692" t="n"/>
      <c r="L442" s="692" t="n"/>
      <c r="Q442" s="415" t="n"/>
      <c r="R442" s="692" t="n"/>
      <c r="T442" s="692" t="n"/>
      <c r="W442" s="692" t="n"/>
      <c r="Y442" s="415" t="n"/>
      <c r="Z442" s="692" t="n"/>
    </row>
    <row r="443">
      <c r="D443" s="692" t="n"/>
      <c r="E443" s="415" t="n"/>
      <c r="F443" s="692" t="n"/>
      <c r="L443" s="692" t="n"/>
      <c r="Q443" s="415" t="n"/>
      <c r="R443" s="692" t="n"/>
      <c r="T443" s="692" t="n"/>
      <c r="W443" s="692" t="n"/>
      <c r="Y443" s="415" t="n"/>
      <c r="Z443" s="692" t="n"/>
    </row>
    <row r="444">
      <c r="D444" s="692" t="n"/>
      <c r="E444" s="415" t="n"/>
      <c r="F444" s="692" t="n"/>
      <c r="L444" s="692" t="n"/>
      <c r="Q444" s="415" t="n"/>
      <c r="R444" s="692" t="n"/>
      <c r="T444" s="692" t="n"/>
      <c r="W444" s="692" t="n"/>
      <c r="Y444" s="415" t="n"/>
      <c r="Z444" s="692" t="n"/>
    </row>
    <row r="445">
      <c r="D445" s="692" t="n"/>
      <c r="E445" s="415" t="n"/>
      <c r="F445" s="692" t="n"/>
      <c r="L445" s="692" t="n"/>
      <c r="Q445" s="415" t="n"/>
      <c r="R445" s="692" t="n"/>
      <c r="T445" s="692" t="n"/>
      <c r="W445" s="692" t="n"/>
      <c r="Y445" s="415" t="n"/>
      <c r="Z445" s="692" t="n"/>
    </row>
    <row r="446">
      <c r="D446" s="692" t="n"/>
      <c r="E446" s="415" t="n"/>
      <c r="F446" s="692" t="n"/>
      <c r="L446" s="692" t="n"/>
      <c r="Q446" s="415" t="n"/>
      <c r="R446" s="692" t="n"/>
      <c r="T446" s="692" t="n"/>
      <c r="W446" s="692" t="n"/>
      <c r="Y446" s="415" t="n"/>
      <c r="Z446" s="692" t="n"/>
    </row>
    <row r="447">
      <c r="D447" s="692" t="n"/>
      <c r="E447" s="415" t="n"/>
      <c r="F447" s="692" t="n"/>
      <c r="L447" s="692" t="n"/>
      <c r="Q447" s="415" t="n"/>
      <c r="R447" s="692" t="n"/>
      <c r="T447" s="692" t="n"/>
      <c r="W447" s="692" t="n"/>
      <c r="Y447" s="415" t="n"/>
      <c r="Z447" s="692" t="n"/>
    </row>
    <row r="448">
      <c r="D448" s="692" t="n"/>
      <c r="E448" s="415" t="n"/>
      <c r="F448" s="692" t="n"/>
      <c r="L448" s="692" t="n"/>
      <c r="Q448" s="415" t="n"/>
      <c r="R448" s="692" t="n"/>
      <c r="T448" s="692" t="n"/>
      <c r="W448" s="692" t="n"/>
      <c r="Y448" s="415" t="n"/>
      <c r="Z448" s="692" t="n"/>
    </row>
    <row r="449">
      <c r="D449" s="692" t="n"/>
      <c r="E449" s="415" t="n"/>
      <c r="F449" s="692" t="n"/>
      <c r="L449" s="692" t="n"/>
      <c r="Q449" s="415" t="n"/>
      <c r="R449" s="692" t="n"/>
      <c r="T449" s="692" t="n"/>
      <c r="W449" s="692" t="n"/>
      <c r="Y449" s="415" t="n"/>
      <c r="Z449" s="692" t="n"/>
    </row>
    <row r="450">
      <c r="D450" s="692" t="n"/>
      <c r="E450" s="415" t="n"/>
      <c r="F450" s="692" t="n"/>
      <c r="L450" s="692" t="n"/>
      <c r="Q450" s="415" t="n"/>
      <c r="R450" s="692" t="n"/>
      <c r="T450" s="692" t="n"/>
      <c r="W450" s="692" t="n"/>
      <c r="Y450" s="415" t="n"/>
      <c r="Z450" s="692" t="n"/>
    </row>
    <row r="451">
      <c r="D451" s="692" t="n"/>
      <c r="E451" s="415" t="n"/>
      <c r="F451" s="692" t="n"/>
      <c r="L451" s="692" t="n"/>
      <c r="Q451" s="415" t="n"/>
      <c r="R451" s="692" t="n"/>
      <c r="T451" s="692" t="n"/>
      <c r="W451" s="692" t="n"/>
      <c r="Y451" s="415" t="n"/>
      <c r="Z451" s="692" t="n"/>
    </row>
    <row r="452">
      <c r="D452" s="692" t="n"/>
      <c r="E452" s="415" t="n"/>
      <c r="F452" s="692" t="n"/>
      <c r="L452" s="692" t="n"/>
      <c r="Q452" s="415" t="n"/>
      <c r="R452" s="692" t="n"/>
      <c r="T452" s="692" t="n"/>
      <c r="W452" s="692" t="n"/>
      <c r="Y452" s="415" t="n"/>
      <c r="Z452" s="692" t="n"/>
    </row>
    <row r="453">
      <c r="D453" s="692" t="n"/>
      <c r="E453" s="415" t="n"/>
      <c r="F453" s="692" t="n"/>
      <c r="L453" s="692" t="n"/>
      <c r="Q453" s="415" t="n"/>
      <c r="R453" s="692" t="n"/>
      <c r="T453" s="692" t="n"/>
      <c r="W453" s="692" t="n"/>
      <c r="Y453" s="415" t="n"/>
      <c r="Z453" s="692" t="n"/>
    </row>
    <row r="454">
      <c r="D454" s="692" t="n"/>
      <c r="E454" s="415" t="n"/>
      <c r="F454" s="692" t="n"/>
      <c r="L454" s="692" t="n"/>
      <c r="Q454" s="415" t="n"/>
      <c r="R454" s="692" t="n"/>
      <c r="T454" s="692" t="n"/>
      <c r="W454" s="692" t="n"/>
      <c r="Y454" s="415" t="n"/>
      <c r="Z454" s="692" t="n"/>
    </row>
    <row r="455">
      <c r="D455" s="692" t="n"/>
      <c r="E455" s="415" t="n"/>
      <c r="F455" s="692" t="n"/>
      <c r="L455" s="692" t="n"/>
      <c r="Q455" s="415" t="n"/>
      <c r="R455" s="692" t="n"/>
      <c r="T455" s="692" t="n"/>
      <c r="W455" s="692" t="n"/>
      <c r="Y455" s="415" t="n"/>
      <c r="Z455" s="692" t="n"/>
    </row>
    <row r="456">
      <c r="D456" s="692" t="n"/>
      <c r="E456" s="415" t="n"/>
      <c r="F456" s="692" t="n"/>
      <c r="L456" s="692" t="n"/>
      <c r="Q456" s="415" t="n"/>
      <c r="R456" s="692" t="n"/>
      <c r="T456" s="692" t="n"/>
      <c r="W456" s="692" t="n"/>
      <c r="Y456" s="415" t="n"/>
      <c r="Z456" s="692" t="n"/>
    </row>
    <row r="457">
      <c r="D457" s="692" t="n"/>
      <c r="E457" s="415" t="n"/>
      <c r="F457" s="692" t="n"/>
      <c r="L457" s="692" t="n"/>
      <c r="Q457" s="415" t="n"/>
      <c r="R457" s="692" t="n"/>
      <c r="T457" s="692" t="n"/>
      <c r="W457" s="692" t="n"/>
      <c r="Y457" s="415" t="n"/>
      <c r="Z457" s="692" t="n"/>
    </row>
    <row r="458">
      <c r="D458" s="692" t="n"/>
      <c r="E458" s="415" t="n"/>
      <c r="F458" s="692" t="n"/>
      <c r="L458" s="692" t="n"/>
      <c r="Q458" s="415" t="n"/>
      <c r="R458" s="692" t="n"/>
      <c r="T458" s="692" t="n"/>
      <c r="W458" s="692" t="n"/>
      <c r="Y458" s="415" t="n"/>
      <c r="Z458" s="692" t="n"/>
    </row>
    <row r="459">
      <c r="D459" s="692" t="n"/>
      <c r="E459" s="415" t="n"/>
      <c r="F459" s="692" t="n"/>
      <c r="L459" s="692" t="n"/>
      <c r="Q459" s="415" t="n"/>
      <c r="R459" s="692" t="n"/>
      <c r="T459" s="692" t="n"/>
      <c r="W459" s="692" t="n"/>
      <c r="Y459" s="415" t="n"/>
      <c r="Z459" s="692" t="n"/>
    </row>
    <row r="460">
      <c r="D460" s="692" t="n"/>
      <c r="E460" s="415" t="n"/>
      <c r="F460" s="692" t="n"/>
      <c r="L460" s="692" t="n"/>
      <c r="Q460" s="415" t="n"/>
      <c r="R460" s="692" t="n"/>
      <c r="T460" s="692" t="n"/>
      <c r="W460" s="692" t="n"/>
      <c r="Y460" s="415" t="n"/>
      <c r="Z460" s="692" t="n"/>
    </row>
    <row r="461">
      <c r="D461" s="692" t="n"/>
      <c r="E461" s="415" t="n"/>
      <c r="F461" s="692" t="n"/>
      <c r="L461" s="692" t="n"/>
      <c r="Q461" s="415" t="n"/>
      <c r="R461" s="692" t="n"/>
      <c r="T461" s="692" t="n"/>
      <c r="W461" s="692" t="n"/>
      <c r="Y461" s="415" t="n"/>
      <c r="Z461" s="692" t="n"/>
    </row>
    <row r="462">
      <c r="D462" s="692" t="n"/>
      <c r="E462" s="415" t="n"/>
      <c r="F462" s="692" t="n"/>
      <c r="L462" s="692" t="n"/>
      <c r="Q462" s="415" t="n"/>
      <c r="R462" s="692" t="n"/>
      <c r="T462" s="692" t="n"/>
      <c r="W462" s="692" t="n"/>
      <c r="Y462" s="415" t="n"/>
      <c r="Z462" s="692" t="n"/>
    </row>
    <row r="463">
      <c r="D463" s="692" t="n"/>
      <c r="E463" s="415" t="n"/>
      <c r="F463" s="692" t="n"/>
      <c r="L463" s="692" t="n"/>
      <c r="Q463" s="415" t="n"/>
      <c r="R463" s="692" t="n"/>
      <c r="T463" s="692" t="n"/>
      <c r="W463" s="692" t="n"/>
      <c r="Y463" s="415" t="n"/>
      <c r="Z463" s="692" t="n"/>
    </row>
    <row r="464">
      <c r="D464" s="692" t="n"/>
      <c r="E464" s="415" t="n"/>
      <c r="F464" s="692" t="n"/>
      <c r="L464" s="692" t="n"/>
      <c r="Q464" s="415" t="n"/>
      <c r="R464" s="692" t="n"/>
      <c r="T464" s="692" t="n"/>
      <c r="W464" s="692" t="n"/>
      <c r="Y464" s="415" t="n"/>
      <c r="Z464" s="692" t="n"/>
    </row>
    <row r="465">
      <c r="D465" s="692" t="n"/>
      <c r="E465" s="415" t="n"/>
      <c r="F465" s="692" t="n"/>
      <c r="L465" s="692" t="n"/>
      <c r="Q465" s="415" t="n"/>
      <c r="R465" s="692" t="n"/>
      <c r="T465" s="692" t="n"/>
      <c r="W465" s="692" t="n"/>
      <c r="Y465" s="415" t="n"/>
      <c r="Z465" s="692" t="n"/>
    </row>
    <row r="466">
      <c r="D466" s="692" t="n"/>
      <c r="E466" s="415" t="n"/>
      <c r="F466" s="692" t="n"/>
      <c r="L466" s="692" t="n"/>
      <c r="Q466" s="415" t="n"/>
      <c r="R466" s="692" t="n"/>
      <c r="T466" s="692" t="n"/>
      <c r="W466" s="692" t="n"/>
      <c r="Y466" s="415" t="n"/>
      <c r="Z466" s="692" t="n"/>
    </row>
    <row r="467">
      <c r="D467" s="692" t="n"/>
      <c r="E467" s="415" t="n"/>
      <c r="F467" s="692" t="n"/>
      <c r="L467" s="692" t="n"/>
      <c r="Q467" s="415" t="n"/>
      <c r="R467" s="692" t="n"/>
      <c r="T467" s="692" t="n"/>
      <c r="W467" s="692" t="n"/>
      <c r="Y467" s="415" t="n"/>
      <c r="Z467" s="692" t="n"/>
    </row>
    <row r="468">
      <c r="D468" s="692" t="n"/>
      <c r="E468" s="415" t="n"/>
      <c r="F468" s="692" t="n"/>
      <c r="L468" s="692" t="n"/>
      <c r="Q468" s="415" t="n"/>
      <c r="R468" s="692" t="n"/>
      <c r="T468" s="692" t="n"/>
      <c r="W468" s="692" t="n"/>
      <c r="Y468" s="415" t="n"/>
      <c r="Z468" s="692" t="n"/>
    </row>
    <row r="469">
      <c r="D469" s="692" t="n"/>
      <c r="E469" s="415" t="n"/>
      <c r="F469" s="692" t="n"/>
      <c r="L469" s="692" t="n"/>
      <c r="Q469" s="415" t="n"/>
      <c r="R469" s="692" t="n"/>
      <c r="T469" s="692" t="n"/>
      <c r="W469" s="692" t="n"/>
      <c r="Y469" s="415" t="n"/>
      <c r="Z469" s="692" t="n"/>
    </row>
    <row r="470">
      <c r="D470" s="692" t="n"/>
      <c r="E470" s="415" t="n"/>
      <c r="F470" s="692" t="n"/>
      <c r="L470" s="692" t="n"/>
      <c r="Q470" s="415" t="n"/>
      <c r="R470" s="692" t="n"/>
      <c r="T470" s="692" t="n"/>
      <c r="W470" s="692" t="n"/>
      <c r="Y470" s="415" t="n"/>
      <c r="Z470" s="692" t="n"/>
    </row>
    <row r="471">
      <c r="D471" s="692" t="n"/>
      <c r="E471" s="415" t="n"/>
      <c r="F471" s="692" t="n"/>
      <c r="L471" s="692" t="n"/>
      <c r="Q471" s="415" t="n"/>
      <c r="R471" s="692" t="n"/>
      <c r="T471" s="692" t="n"/>
      <c r="W471" s="692" t="n"/>
      <c r="Y471" s="415" t="n"/>
      <c r="Z471" s="692" t="n"/>
    </row>
    <row r="472">
      <c r="D472" s="692" t="n"/>
      <c r="E472" s="415" t="n"/>
      <c r="F472" s="692" t="n"/>
      <c r="L472" s="692" t="n"/>
      <c r="Q472" s="415" t="n"/>
      <c r="R472" s="692" t="n"/>
      <c r="T472" s="692" t="n"/>
      <c r="W472" s="692" t="n"/>
      <c r="Y472" s="415" t="n"/>
      <c r="Z472" s="692" t="n"/>
    </row>
    <row r="473">
      <c r="D473" s="692" t="n"/>
      <c r="E473" s="415" t="n"/>
      <c r="F473" s="692" t="n"/>
      <c r="L473" s="692" t="n"/>
      <c r="Q473" s="415" t="n"/>
      <c r="R473" s="692" t="n"/>
      <c r="T473" s="692" t="n"/>
      <c r="W473" s="692" t="n"/>
      <c r="Y473" s="415" t="n"/>
      <c r="Z473" s="692" t="n"/>
    </row>
    <row r="474">
      <c r="D474" s="692" t="n"/>
      <c r="E474" s="415" t="n"/>
      <c r="F474" s="692" t="n"/>
      <c r="L474" s="692" t="n"/>
      <c r="Q474" s="415" t="n"/>
      <c r="R474" s="692" t="n"/>
      <c r="T474" s="692" t="n"/>
      <c r="W474" s="692" t="n"/>
      <c r="Y474" s="415" t="n"/>
      <c r="Z474" s="692" t="n"/>
    </row>
    <row r="475">
      <c r="D475" s="692" t="n"/>
      <c r="E475" s="415" t="n"/>
      <c r="F475" s="692" t="n"/>
      <c r="L475" s="692" t="n"/>
      <c r="Q475" s="415" t="n"/>
      <c r="R475" s="692" t="n"/>
      <c r="T475" s="692" t="n"/>
      <c r="W475" s="692" t="n"/>
      <c r="Y475" s="415" t="n"/>
      <c r="Z475" s="692" t="n"/>
    </row>
    <row r="476">
      <c r="D476" s="692" t="n"/>
      <c r="E476" s="415" t="n"/>
      <c r="F476" s="692" t="n"/>
      <c r="L476" s="692" t="n"/>
      <c r="Q476" s="415" t="n"/>
      <c r="R476" s="692" t="n"/>
      <c r="T476" s="692" t="n"/>
      <c r="W476" s="692" t="n"/>
      <c r="Y476" s="415" t="n"/>
      <c r="Z476" s="692" t="n"/>
    </row>
    <row r="477">
      <c r="D477" s="692" t="n"/>
      <c r="E477" s="415" t="n"/>
      <c r="F477" s="692" t="n"/>
      <c r="L477" s="692" t="n"/>
      <c r="Q477" s="415" t="n"/>
      <c r="R477" s="692" t="n"/>
      <c r="T477" s="692" t="n"/>
      <c r="W477" s="692" t="n"/>
      <c r="Y477" s="415" t="n"/>
      <c r="Z477" s="692" t="n"/>
    </row>
    <row r="478">
      <c r="D478" s="692" t="n"/>
      <c r="E478" s="415" t="n"/>
      <c r="F478" s="692" t="n"/>
      <c r="L478" s="692" t="n"/>
      <c r="Q478" s="415" t="n"/>
      <c r="R478" s="692" t="n"/>
      <c r="T478" s="692" t="n"/>
      <c r="W478" s="692" t="n"/>
      <c r="Y478" s="415" t="n"/>
      <c r="Z478" s="692" t="n"/>
    </row>
    <row r="479">
      <c r="D479" s="692" t="n"/>
      <c r="E479" s="415" t="n"/>
      <c r="F479" s="692" t="n"/>
      <c r="L479" s="692" t="n"/>
      <c r="Q479" s="415" t="n"/>
      <c r="R479" s="692" t="n"/>
      <c r="T479" s="692" t="n"/>
      <c r="W479" s="692" t="n"/>
      <c r="Y479" s="415" t="n"/>
      <c r="Z479" s="692" t="n"/>
    </row>
    <row r="480">
      <c r="D480" s="692" t="n"/>
      <c r="E480" s="415" t="n"/>
      <c r="F480" s="692" t="n"/>
      <c r="L480" s="692" t="n"/>
      <c r="Q480" s="415" t="n"/>
      <c r="R480" s="692" t="n"/>
      <c r="T480" s="692" t="n"/>
      <c r="W480" s="692" t="n"/>
      <c r="Y480" s="415" t="n"/>
      <c r="Z480" s="692" t="n"/>
    </row>
    <row r="481">
      <c r="D481" s="692" t="n"/>
      <c r="E481" s="415" t="n"/>
      <c r="F481" s="692" t="n"/>
      <c r="L481" s="692" t="n"/>
      <c r="Q481" s="415" t="n"/>
      <c r="R481" s="692" t="n"/>
      <c r="T481" s="692" t="n"/>
      <c r="W481" s="692" t="n"/>
      <c r="Y481" s="415" t="n"/>
      <c r="Z481" s="692" t="n"/>
    </row>
    <row r="482">
      <c r="D482" s="692" t="n"/>
      <c r="E482" s="415" t="n"/>
      <c r="F482" s="692" t="n"/>
      <c r="L482" s="692" t="n"/>
      <c r="Q482" s="415" t="n"/>
      <c r="R482" s="692" t="n"/>
      <c r="T482" s="692" t="n"/>
      <c r="W482" s="692" t="n"/>
      <c r="Y482" s="415" t="n"/>
      <c r="Z482" s="692" t="n"/>
    </row>
    <row r="483">
      <c r="D483" s="692" t="n"/>
      <c r="E483" s="415" t="n"/>
      <c r="F483" s="692" t="n"/>
      <c r="L483" s="692" t="n"/>
      <c r="Q483" s="415" t="n"/>
      <c r="R483" s="692" t="n"/>
      <c r="T483" s="692" t="n"/>
      <c r="W483" s="692" t="n"/>
      <c r="Y483" s="415" t="n"/>
      <c r="Z483" s="692" t="n"/>
    </row>
    <row r="484">
      <c r="D484" s="692" t="n"/>
      <c r="E484" s="415" t="n"/>
      <c r="F484" s="692" t="n"/>
      <c r="L484" s="692" t="n"/>
      <c r="Q484" s="415" t="n"/>
      <c r="R484" s="692" t="n"/>
      <c r="T484" s="692" t="n"/>
      <c r="W484" s="692" t="n"/>
      <c r="Y484" s="415" t="n"/>
      <c r="Z484" s="692" t="n"/>
    </row>
    <row r="485">
      <c r="D485" s="692" t="n"/>
      <c r="E485" s="415" t="n"/>
      <c r="F485" s="692" t="n"/>
      <c r="L485" s="692" t="n"/>
      <c r="Q485" s="415" t="n"/>
      <c r="R485" s="692" t="n"/>
      <c r="T485" s="692" t="n"/>
      <c r="W485" s="692" t="n"/>
      <c r="Y485" s="415" t="n"/>
      <c r="Z485" s="692" t="n"/>
    </row>
    <row r="486">
      <c r="D486" s="692" t="n"/>
      <c r="E486" s="415" t="n"/>
      <c r="F486" s="692" t="n"/>
      <c r="L486" s="692" t="n"/>
      <c r="Q486" s="415" t="n"/>
      <c r="R486" s="692" t="n"/>
      <c r="T486" s="692" t="n"/>
      <c r="W486" s="692" t="n"/>
      <c r="Y486" s="415" t="n"/>
      <c r="Z486" s="692" t="n"/>
    </row>
    <row r="487">
      <c r="D487" s="692" t="n"/>
      <c r="E487" s="415" t="n"/>
      <c r="F487" s="692" t="n"/>
      <c r="L487" s="692" t="n"/>
      <c r="Q487" s="415" t="n"/>
      <c r="R487" s="692" t="n"/>
      <c r="T487" s="692" t="n"/>
      <c r="W487" s="692" t="n"/>
      <c r="Y487" s="415" t="n"/>
      <c r="Z487" s="692" t="n"/>
    </row>
    <row r="488">
      <c r="D488" s="692" t="n"/>
      <c r="E488" s="415" t="n"/>
      <c r="F488" s="692" t="n"/>
      <c r="L488" s="692" t="n"/>
      <c r="Q488" s="415" t="n"/>
      <c r="R488" s="692" t="n"/>
      <c r="T488" s="692" t="n"/>
      <c r="W488" s="692" t="n"/>
      <c r="Y488" s="415" t="n"/>
      <c r="Z488" s="692" t="n"/>
    </row>
    <row r="489">
      <c r="D489" s="692" t="n"/>
      <c r="E489" s="415" t="n"/>
      <c r="F489" s="692" t="n"/>
      <c r="L489" s="692" t="n"/>
      <c r="Q489" s="415" t="n"/>
      <c r="R489" s="692" t="n"/>
      <c r="T489" s="692" t="n"/>
      <c r="W489" s="692" t="n"/>
      <c r="Y489" s="415" t="n"/>
      <c r="Z489" s="692" t="n"/>
    </row>
    <row r="490">
      <c r="D490" s="692" t="n"/>
      <c r="E490" s="415" t="n"/>
      <c r="F490" s="692" t="n"/>
      <c r="L490" s="692" t="n"/>
      <c r="Q490" s="415" t="n"/>
      <c r="R490" s="692" t="n"/>
      <c r="T490" s="692" t="n"/>
      <c r="W490" s="692" t="n"/>
      <c r="Y490" s="415" t="n"/>
      <c r="Z490" s="692" t="n"/>
    </row>
    <row r="491">
      <c r="D491" s="692" t="n"/>
      <c r="E491" s="415" t="n"/>
      <c r="F491" s="692" t="n"/>
      <c r="L491" s="692" t="n"/>
      <c r="Q491" s="415" t="n"/>
      <c r="R491" s="692" t="n"/>
      <c r="T491" s="692" t="n"/>
      <c r="W491" s="692" t="n"/>
      <c r="Y491" s="415" t="n"/>
      <c r="Z491" s="692" t="n"/>
    </row>
    <row r="492">
      <c r="D492" s="692" t="n"/>
      <c r="E492" s="415" t="n"/>
      <c r="F492" s="692" t="n"/>
      <c r="L492" s="692" t="n"/>
      <c r="Q492" s="415" t="n"/>
      <c r="R492" s="692" t="n"/>
      <c r="T492" s="692" t="n"/>
      <c r="W492" s="692" t="n"/>
      <c r="Y492" s="415" t="n"/>
      <c r="Z492" s="692" t="n"/>
    </row>
    <row r="493">
      <c r="D493" s="692" t="n"/>
      <c r="E493" s="415" t="n"/>
      <c r="F493" s="692" t="n"/>
      <c r="L493" s="692" t="n"/>
      <c r="Q493" s="415" t="n"/>
      <c r="R493" s="692" t="n"/>
      <c r="T493" s="692" t="n"/>
      <c r="W493" s="692" t="n"/>
      <c r="Y493" s="415" t="n"/>
      <c r="Z493" s="692" t="n"/>
    </row>
    <row r="494">
      <c r="D494" s="692" t="n"/>
      <c r="E494" s="415" t="n"/>
      <c r="F494" s="692" t="n"/>
      <c r="L494" s="692" t="n"/>
      <c r="Q494" s="415" t="n"/>
      <c r="R494" s="692" t="n"/>
      <c r="T494" s="692" t="n"/>
      <c r="W494" s="692" t="n"/>
      <c r="Y494" s="415" t="n"/>
      <c r="Z494" s="692" t="n"/>
    </row>
    <row r="495">
      <c r="D495" s="692" t="n"/>
      <c r="E495" s="415" t="n"/>
      <c r="F495" s="692" t="n"/>
      <c r="L495" s="692" t="n"/>
      <c r="Q495" s="415" t="n"/>
      <c r="R495" s="692" t="n"/>
      <c r="T495" s="692" t="n"/>
      <c r="W495" s="692" t="n"/>
      <c r="Y495" s="415" t="n"/>
      <c r="Z495" s="692" t="n"/>
    </row>
    <row r="496">
      <c r="D496" s="692" t="n"/>
      <c r="E496" s="415" t="n"/>
      <c r="F496" s="692" t="n"/>
      <c r="L496" s="692" t="n"/>
      <c r="Q496" s="415" t="n"/>
      <c r="R496" s="692" t="n"/>
      <c r="T496" s="692" t="n"/>
      <c r="W496" s="692" t="n"/>
      <c r="Y496" s="415" t="n"/>
      <c r="Z496" s="692" t="n"/>
    </row>
    <row r="497">
      <c r="D497" s="692" t="n"/>
      <c r="E497" s="415" t="n"/>
      <c r="F497" s="692" t="n"/>
      <c r="L497" s="692" t="n"/>
      <c r="Q497" s="415" t="n"/>
      <c r="R497" s="692" t="n"/>
      <c r="T497" s="692" t="n"/>
      <c r="W497" s="692" t="n"/>
      <c r="Y497" s="415" t="n"/>
      <c r="Z497" s="692" t="n"/>
    </row>
    <row r="498">
      <c r="D498" s="692" t="n"/>
      <c r="E498" s="415" t="n"/>
      <c r="F498" s="692" t="n"/>
      <c r="L498" s="692" t="n"/>
      <c r="Q498" s="415" t="n"/>
      <c r="R498" s="692" t="n"/>
      <c r="T498" s="692" t="n"/>
      <c r="W498" s="692" t="n"/>
      <c r="Y498" s="415" t="n"/>
      <c r="Z498" s="692" t="n"/>
    </row>
    <row r="499">
      <c r="D499" s="692" t="n"/>
      <c r="E499" s="415" t="n"/>
      <c r="F499" s="692" t="n"/>
      <c r="L499" s="692" t="n"/>
      <c r="Q499" s="415" t="n"/>
      <c r="R499" s="692" t="n"/>
      <c r="T499" s="692" t="n"/>
      <c r="W499" s="692" t="n"/>
      <c r="Y499" s="415" t="n"/>
      <c r="Z499" s="692" t="n"/>
    </row>
    <row r="500">
      <c r="D500" s="692" t="n"/>
      <c r="E500" s="415" t="n"/>
      <c r="F500" s="692" t="n"/>
      <c r="L500" s="692" t="n"/>
      <c r="Q500" s="415" t="n"/>
      <c r="R500" s="692" t="n"/>
      <c r="T500" s="692" t="n"/>
      <c r="W500" s="692" t="n"/>
      <c r="Y500" s="415" t="n"/>
      <c r="Z500" s="692" t="n"/>
    </row>
    <row r="501">
      <c r="D501" s="692" t="n"/>
      <c r="E501" s="415" t="n"/>
      <c r="F501" s="692" t="n"/>
      <c r="L501" s="692" t="n"/>
      <c r="Q501" s="415" t="n"/>
      <c r="R501" s="692" t="n"/>
      <c r="T501" s="692" t="n"/>
      <c r="W501" s="692" t="n"/>
      <c r="Y501" s="415" t="n"/>
      <c r="Z501" s="692" t="n"/>
    </row>
    <row r="502">
      <c r="D502" s="692" t="n"/>
      <c r="E502" s="415" t="n"/>
      <c r="F502" s="692" t="n"/>
      <c r="L502" s="692" t="n"/>
      <c r="Q502" s="415" t="n"/>
      <c r="R502" s="692" t="n"/>
      <c r="T502" s="692" t="n"/>
      <c r="W502" s="692" t="n"/>
      <c r="Y502" s="415" t="n"/>
      <c r="Z502" s="692" t="n"/>
    </row>
    <row r="503">
      <c r="D503" s="692" t="n"/>
      <c r="E503" s="415" t="n"/>
      <c r="F503" s="692" t="n"/>
      <c r="L503" s="692" t="n"/>
      <c r="Q503" s="415" t="n"/>
      <c r="R503" s="692" t="n"/>
      <c r="T503" s="692" t="n"/>
      <c r="W503" s="692" t="n"/>
      <c r="Y503" s="415" t="n"/>
      <c r="Z503" s="692" t="n"/>
    </row>
    <row r="504">
      <c r="D504" s="692" t="n"/>
      <c r="E504" s="415" t="n"/>
      <c r="F504" s="692" t="n"/>
      <c r="L504" s="692" t="n"/>
      <c r="Q504" s="415" t="n"/>
      <c r="R504" s="692" t="n"/>
      <c r="T504" s="692" t="n"/>
      <c r="W504" s="692" t="n"/>
      <c r="Y504" s="415" t="n"/>
      <c r="Z504" s="692" t="n"/>
    </row>
    <row r="505">
      <c r="D505" s="692" t="n"/>
      <c r="E505" s="415" t="n"/>
      <c r="F505" s="692" t="n"/>
      <c r="L505" s="692" t="n"/>
      <c r="Q505" s="415" t="n"/>
      <c r="R505" s="692" t="n"/>
      <c r="T505" s="692" t="n"/>
      <c r="W505" s="692" t="n"/>
      <c r="Y505" s="415" t="n"/>
      <c r="Z505" s="692" t="n"/>
    </row>
    <row r="506">
      <c r="D506" s="692" t="n"/>
      <c r="E506" s="415" t="n"/>
      <c r="F506" s="692" t="n"/>
      <c r="L506" s="692" t="n"/>
      <c r="Q506" s="415" t="n"/>
      <c r="R506" s="692" t="n"/>
      <c r="T506" s="692" t="n"/>
      <c r="W506" s="692" t="n"/>
      <c r="Y506" s="415" t="n"/>
      <c r="Z506" s="692" t="n"/>
    </row>
    <row r="507">
      <c r="D507" s="692" t="n"/>
      <c r="E507" s="415" t="n"/>
      <c r="F507" s="692" t="n"/>
      <c r="L507" s="692" t="n"/>
      <c r="Q507" s="415" t="n"/>
      <c r="R507" s="692" t="n"/>
      <c r="T507" s="692" t="n"/>
      <c r="W507" s="692" t="n"/>
      <c r="Y507" s="415" t="n"/>
      <c r="Z507" s="692" t="n"/>
    </row>
    <row r="508">
      <c r="D508" s="692" t="n"/>
      <c r="E508" s="415" t="n"/>
      <c r="F508" s="692" t="n"/>
      <c r="L508" s="692" t="n"/>
      <c r="Q508" s="415" t="n"/>
      <c r="R508" s="692" t="n"/>
      <c r="T508" s="692" t="n"/>
      <c r="W508" s="692" t="n"/>
      <c r="Y508" s="415" t="n"/>
      <c r="Z508" s="692" t="n"/>
    </row>
    <row r="509">
      <c r="D509" s="692" t="n"/>
      <c r="E509" s="415" t="n"/>
      <c r="F509" s="692" t="n"/>
      <c r="L509" s="692" t="n"/>
      <c r="Q509" s="415" t="n"/>
      <c r="R509" s="692" t="n"/>
      <c r="T509" s="692" t="n"/>
      <c r="W509" s="692" t="n"/>
      <c r="Y509" s="415" t="n"/>
      <c r="Z509" s="692" t="n"/>
    </row>
    <row r="510">
      <c r="D510" s="692" t="n"/>
      <c r="E510" s="415" t="n"/>
      <c r="F510" s="692" t="n"/>
      <c r="L510" s="692" t="n"/>
      <c r="Q510" s="415" t="n"/>
      <c r="R510" s="692" t="n"/>
      <c r="T510" s="692" t="n"/>
      <c r="W510" s="692" t="n"/>
      <c r="Y510" s="415" t="n"/>
      <c r="Z510" s="692" t="n"/>
    </row>
    <row r="511">
      <c r="D511" s="692" t="n"/>
      <c r="E511" s="415" t="n"/>
      <c r="F511" s="692" t="n"/>
      <c r="L511" s="692" t="n"/>
      <c r="Q511" s="415" t="n"/>
      <c r="R511" s="692" t="n"/>
      <c r="T511" s="692" t="n"/>
      <c r="W511" s="692" t="n"/>
      <c r="Y511" s="415" t="n"/>
      <c r="Z511" s="692" t="n"/>
    </row>
    <row r="512">
      <c r="D512" s="692" t="n"/>
      <c r="E512" s="415" t="n"/>
      <c r="F512" s="692" t="n"/>
      <c r="L512" s="692" t="n"/>
      <c r="Q512" s="415" t="n"/>
      <c r="R512" s="692" t="n"/>
      <c r="T512" s="692" t="n"/>
      <c r="W512" s="692" t="n"/>
      <c r="Y512" s="415" t="n"/>
      <c r="Z512" s="692" t="n"/>
    </row>
    <row r="513">
      <c r="D513" s="692" t="n"/>
      <c r="E513" s="415" t="n"/>
      <c r="F513" s="692" t="n"/>
      <c r="L513" s="692" t="n"/>
      <c r="Q513" s="415" t="n"/>
      <c r="R513" s="692" t="n"/>
      <c r="T513" s="692" t="n"/>
      <c r="W513" s="692" t="n"/>
      <c r="Y513" s="415" t="n"/>
      <c r="Z513" s="692" t="n"/>
    </row>
    <row r="514">
      <c r="D514" s="692" t="n"/>
      <c r="E514" s="415" t="n"/>
      <c r="F514" s="692" t="n"/>
      <c r="L514" s="692" t="n"/>
      <c r="Q514" s="415" t="n"/>
      <c r="R514" s="692" t="n"/>
      <c r="T514" s="692" t="n"/>
      <c r="W514" s="692" t="n"/>
      <c r="Y514" s="415" t="n"/>
      <c r="Z514" s="692" t="n"/>
    </row>
    <row r="515">
      <c r="D515" s="692" t="n"/>
      <c r="E515" s="415" t="n"/>
      <c r="F515" s="692" t="n"/>
      <c r="L515" s="692" t="n"/>
      <c r="Q515" s="415" t="n"/>
      <c r="R515" s="692" t="n"/>
      <c r="T515" s="692" t="n"/>
      <c r="W515" s="692" t="n"/>
      <c r="Y515" s="415" t="n"/>
      <c r="Z515" s="692" t="n"/>
    </row>
    <row r="516">
      <c r="D516" s="692" t="n"/>
      <c r="E516" s="415" t="n"/>
      <c r="F516" s="692" t="n"/>
      <c r="L516" s="692" t="n"/>
      <c r="Q516" s="415" t="n"/>
      <c r="R516" s="692" t="n"/>
      <c r="T516" s="692" t="n"/>
      <c r="W516" s="692" t="n"/>
      <c r="Y516" s="415" t="n"/>
      <c r="Z516" s="692" t="n"/>
    </row>
    <row r="517">
      <c r="D517" s="692" t="n"/>
      <c r="E517" s="415" t="n"/>
      <c r="F517" s="692" t="n"/>
      <c r="L517" s="692" t="n"/>
      <c r="Q517" s="415" t="n"/>
      <c r="R517" s="692" t="n"/>
      <c r="T517" s="692" t="n"/>
      <c r="W517" s="692" t="n"/>
      <c r="Y517" s="415" t="n"/>
      <c r="Z517" s="692" t="n"/>
    </row>
    <row r="518">
      <c r="D518" s="692" t="n"/>
      <c r="E518" s="415" t="n"/>
      <c r="F518" s="692" t="n"/>
      <c r="L518" s="692" t="n"/>
      <c r="Q518" s="415" t="n"/>
      <c r="R518" s="692" t="n"/>
      <c r="T518" s="692" t="n"/>
      <c r="W518" s="692" t="n"/>
      <c r="Y518" s="415" t="n"/>
      <c r="Z518" s="692" t="n"/>
    </row>
    <row r="519">
      <c r="D519" s="692" t="n"/>
      <c r="E519" s="415" t="n"/>
      <c r="F519" s="692" t="n"/>
      <c r="L519" s="692" t="n"/>
      <c r="Q519" s="415" t="n"/>
      <c r="R519" s="692" t="n"/>
      <c r="T519" s="692" t="n"/>
      <c r="W519" s="692" t="n"/>
      <c r="Y519" s="415" t="n"/>
      <c r="Z519" s="692" t="n"/>
    </row>
    <row r="520">
      <c r="D520" s="692" t="n"/>
      <c r="E520" s="415" t="n"/>
      <c r="F520" s="692" t="n"/>
      <c r="L520" s="692" t="n"/>
      <c r="Q520" s="415" t="n"/>
      <c r="R520" s="692" t="n"/>
      <c r="T520" s="692" t="n"/>
      <c r="W520" s="692" t="n"/>
      <c r="Y520" s="415" t="n"/>
      <c r="Z520" s="692" t="n"/>
    </row>
    <row r="521">
      <c r="D521" s="692" t="n"/>
      <c r="E521" s="415" t="n"/>
      <c r="F521" s="692" t="n"/>
      <c r="L521" s="692" t="n"/>
      <c r="Q521" s="415" t="n"/>
      <c r="R521" s="692" t="n"/>
      <c r="T521" s="692" t="n"/>
      <c r="W521" s="692" t="n"/>
      <c r="Y521" s="415" t="n"/>
      <c r="Z521" s="692" t="n"/>
    </row>
    <row r="522">
      <c r="D522" s="692" t="n"/>
      <c r="E522" s="415" t="n"/>
      <c r="F522" s="692" t="n"/>
      <c r="L522" s="692" t="n"/>
      <c r="Q522" s="415" t="n"/>
      <c r="R522" s="692" t="n"/>
      <c r="T522" s="692" t="n"/>
      <c r="W522" s="692" t="n"/>
      <c r="Y522" s="415" t="n"/>
      <c r="Z522" s="692" t="n"/>
    </row>
    <row r="523">
      <c r="D523" s="692" t="n"/>
      <c r="E523" s="415" t="n"/>
      <c r="F523" s="692" t="n"/>
      <c r="L523" s="692" t="n"/>
      <c r="Q523" s="415" t="n"/>
      <c r="R523" s="692" t="n"/>
      <c r="T523" s="692" t="n"/>
      <c r="W523" s="692" t="n"/>
      <c r="Y523" s="415" t="n"/>
      <c r="Z523" s="692" t="n"/>
    </row>
    <row r="524">
      <c r="D524" s="692" t="n"/>
      <c r="E524" s="415" t="n"/>
      <c r="F524" s="692" t="n"/>
      <c r="L524" s="692" t="n"/>
      <c r="Q524" s="415" t="n"/>
      <c r="R524" s="692" t="n"/>
      <c r="T524" s="692" t="n"/>
      <c r="W524" s="692" t="n"/>
      <c r="Y524" s="415" t="n"/>
      <c r="Z524" s="692" t="n"/>
    </row>
    <row r="525">
      <c r="D525" s="692" t="n"/>
      <c r="E525" s="415" t="n"/>
      <c r="F525" s="692" t="n"/>
      <c r="L525" s="692" t="n"/>
      <c r="Q525" s="415" t="n"/>
      <c r="R525" s="692" t="n"/>
      <c r="T525" s="692" t="n"/>
      <c r="W525" s="692" t="n"/>
      <c r="Y525" s="415" t="n"/>
      <c r="Z525" s="692" t="n"/>
    </row>
    <row r="526">
      <c r="D526" s="692" t="n"/>
      <c r="E526" s="415" t="n"/>
      <c r="F526" s="692" t="n"/>
      <c r="L526" s="692" t="n"/>
      <c r="Q526" s="415" t="n"/>
      <c r="R526" s="692" t="n"/>
      <c r="T526" s="692" t="n"/>
      <c r="W526" s="692" t="n"/>
      <c r="Y526" s="415" t="n"/>
      <c r="Z526" s="692" t="n"/>
    </row>
    <row r="527">
      <c r="D527" s="692" t="n"/>
      <c r="E527" s="415" t="n"/>
      <c r="F527" s="692" t="n"/>
      <c r="L527" s="692" t="n"/>
      <c r="Q527" s="415" t="n"/>
      <c r="R527" s="692" t="n"/>
      <c r="T527" s="692" t="n"/>
      <c r="W527" s="692" t="n"/>
      <c r="Y527" s="415" t="n"/>
      <c r="Z527" s="692" t="n"/>
    </row>
    <row r="528">
      <c r="D528" s="692" t="n"/>
      <c r="E528" s="415" t="n"/>
      <c r="F528" s="692" t="n"/>
      <c r="L528" s="692" t="n"/>
      <c r="Q528" s="415" t="n"/>
      <c r="R528" s="692" t="n"/>
      <c r="T528" s="692" t="n"/>
      <c r="W528" s="692" t="n"/>
      <c r="Y528" s="415" t="n"/>
      <c r="Z528" s="692" t="n"/>
    </row>
    <row r="529">
      <c r="D529" s="692" t="n"/>
      <c r="E529" s="415" t="n"/>
      <c r="F529" s="692" t="n"/>
      <c r="L529" s="692" t="n"/>
      <c r="Q529" s="415" t="n"/>
      <c r="R529" s="692" t="n"/>
      <c r="T529" s="692" t="n"/>
      <c r="W529" s="692" t="n"/>
      <c r="Y529" s="415" t="n"/>
      <c r="Z529" s="692" t="n"/>
    </row>
    <row r="530">
      <c r="D530" s="692" t="n"/>
      <c r="E530" s="415" t="n"/>
      <c r="F530" s="692" t="n"/>
      <c r="L530" s="692" t="n"/>
      <c r="Q530" s="415" t="n"/>
      <c r="R530" s="692" t="n"/>
      <c r="T530" s="692" t="n"/>
      <c r="W530" s="692" t="n"/>
      <c r="Y530" s="415" t="n"/>
      <c r="Z530" s="692" t="n"/>
    </row>
    <row r="531">
      <c r="D531" s="692" t="n"/>
      <c r="E531" s="415" t="n"/>
      <c r="F531" s="692" t="n"/>
      <c r="L531" s="692" t="n"/>
      <c r="Q531" s="415" t="n"/>
      <c r="R531" s="692" t="n"/>
      <c r="T531" s="692" t="n"/>
      <c r="W531" s="692" t="n"/>
      <c r="Y531" s="415" t="n"/>
      <c r="Z531" s="692" t="n"/>
    </row>
    <row r="532">
      <c r="D532" s="692" t="n"/>
      <c r="E532" s="415" t="n"/>
      <c r="F532" s="692" t="n"/>
      <c r="L532" s="692" t="n"/>
      <c r="Q532" s="415" t="n"/>
      <c r="R532" s="692" t="n"/>
      <c r="T532" s="692" t="n"/>
      <c r="W532" s="692" t="n"/>
      <c r="Y532" s="415" t="n"/>
      <c r="Z532" s="692" t="n"/>
    </row>
    <row r="533">
      <c r="D533" s="692" t="n"/>
      <c r="E533" s="415" t="n"/>
      <c r="F533" s="692" t="n"/>
      <c r="L533" s="692" t="n"/>
      <c r="Q533" s="415" t="n"/>
      <c r="R533" s="692" t="n"/>
      <c r="T533" s="692" t="n"/>
      <c r="W533" s="692" t="n"/>
      <c r="Y533" s="415" t="n"/>
      <c r="Z533" s="692" t="n"/>
    </row>
    <row r="534">
      <c r="D534" s="692" t="n"/>
      <c r="E534" s="415" t="n"/>
      <c r="F534" s="692" t="n"/>
      <c r="L534" s="692" t="n"/>
      <c r="Q534" s="415" t="n"/>
      <c r="R534" s="692" t="n"/>
      <c r="T534" s="692" t="n"/>
      <c r="W534" s="692" t="n"/>
      <c r="Y534" s="415" t="n"/>
      <c r="Z534" s="692" t="n"/>
    </row>
    <row r="535">
      <c r="D535" s="692" t="n"/>
      <c r="E535" s="415" t="n"/>
      <c r="F535" s="692" t="n"/>
      <c r="L535" s="692" t="n"/>
      <c r="Q535" s="415" t="n"/>
      <c r="R535" s="692" t="n"/>
      <c r="T535" s="692" t="n"/>
      <c r="W535" s="692" t="n"/>
      <c r="Y535" s="415" t="n"/>
      <c r="Z535" s="692" t="n"/>
    </row>
    <row r="536">
      <c r="D536" s="692" t="n"/>
      <c r="E536" s="415" t="n"/>
      <c r="F536" s="692" t="n"/>
      <c r="L536" s="692" t="n"/>
      <c r="Q536" s="415" t="n"/>
      <c r="R536" s="692" t="n"/>
      <c r="T536" s="692" t="n"/>
      <c r="W536" s="692" t="n"/>
      <c r="Y536" s="415" t="n"/>
      <c r="Z536" s="692" t="n"/>
    </row>
    <row r="537">
      <c r="D537" s="692" t="n"/>
      <c r="E537" s="415" t="n"/>
      <c r="F537" s="692" t="n"/>
      <c r="L537" s="692" t="n"/>
      <c r="Q537" s="415" t="n"/>
      <c r="R537" s="692" t="n"/>
      <c r="T537" s="692" t="n"/>
      <c r="W537" s="692" t="n"/>
      <c r="Y537" s="415" t="n"/>
      <c r="Z537" s="692" t="n"/>
    </row>
    <row r="538">
      <c r="D538" s="692" t="n"/>
      <c r="E538" s="415" t="n"/>
      <c r="F538" s="692" t="n"/>
      <c r="L538" s="692" t="n"/>
      <c r="Q538" s="415" t="n"/>
      <c r="R538" s="692" t="n"/>
      <c r="T538" s="692" t="n"/>
      <c r="W538" s="692" t="n"/>
      <c r="Y538" s="415" t="n"/>
      <c r="Z538" s="692" t="n"/>
    </row>
    <row r="539">
      <c r="D539" s="692" t="n"/>
      <c r="E539" s="415" t="n"/>
      <c r="F539" s="692" t="n"/>
      <c r="L539" s="692" t="n"/>
      <c r="Q539" s="415" t="n"/>
      <c r="R539" s="692" t="n"/>
      <c r="T539" s="692" t="n"/>
      <c r="W539" s="692" t="n"/>
      <c r="Y539" s="415" t="n"/>
      <c r="Z539" s="692" t="n"/>
    </row>
    <row r="540">
      <c r="D540" s="692" t="n"/>
      <c r="E540" s="415" t="n"/>
      <c r="F540" s="692" t="n"/>
      <c r="L540" s="692" t="n"/>
      <c r="Q540" s="415" t="n"/>
      <c r="R540" s="692" t="n"/>
      <c r="T540" s="692" t="n"/>
      <c r="W540" s="692" t="n"/>
      <c r="Y540" s="415" t="n"/>
      <c r="Z540" s="692" t="n"/>
    </row>
    <row r="541">
      <c r="D541" s="692" t="n"/>
      <c r="E541" s="415" t="n"/>
      <c r="F541" s="692" t="n"/>
      <c r="L541" s="692" t="n"/>
      <c r="Q541" s="415" t="n"/>
      <c r="R541" s="692" t="n"/>
      <c r="T541" s="692" t="n"/>
      <c r="W541" s="692" t="n"/>
      <c r="Y541" s="415" t="n"/>
      <c r="Z541" s="692" t="n"/>
    </row>
    <row r="542">
      <c r="D542" s="692" t="n"/>
      <c r="E542" s="415" t="n"/>
      <c r="F542" s="692" t="n"/>
      <c r="L542" s="692" t="n"/>
      <c r="Q542" s="415" t="n"/>
      <c r="R542" s="692" t="n"/>
      <c r="T542" s="692" t="n"/>
      <c r="W542" s="692" t="n"/>
      <c r="Y542" s="415" t="n"/>
      <c r="Z542" s="692" t="n"/>
    </row>
    <row r="543">
      <c r="D543" s="692" t="n"/>
      <c r="E543" s="415" t="n"/>
      <c r="F543" s="692" t="n"/>
      <c r="L543" s="692" t="n"/>
      <c r="Q543" s="415" t="n"/>
      <c r="R543" s="692" t="n"/>
      <c r="T543" s="692" t="n"/>
      <c r="W543" s="692" t="n"/>
      <c r="Y543" s="415" t="n"/>
      <c r="Z543" s="692" t="n"/>
    </row>
    <row r="544">
      <c r="D544" s="692" t="n"/>
      <c r="E544" s="415" t="n"/>
      <c r="F544" s="692" t="n"/>
      <c r="L544" s="692" t="n"/>
      <c r="Q544" s="415" t="n"/>
      <c r="R544" s="692" t="n"/>
      <c r="T544" s="692" t="n"/>
      <c r="W544" s="692" t="n"/>
      <c r="Y544" s="415" t="n"/>
      <c r="Z544" s="692" t="n"/>
    </row>
    <row r="545">
      <c r="D545" s="692" t="n"/>
      <c r="E545" s="415" t="n"/>
      <c r="F545" s="692" t="n"/>
      <c r="L545" s="692" t="n"/>
      <c r="Q545" s="415" t="n"/>
      <c r="R545" s="692" t="n"/>
      <c r="T545" s="692" t="n"/>
      <c r="W545" s="692" t="n"/>
      <c r="Y545" s="415" t="n"/>
      <c r="Z545" s="692" t="n"/>
    </row>
    <row r="546">
      <c r="D546" s="692" t="n"/>
      <c r="E546" s="415" t="n"/>
      <c r="F546" s="692" t="n"/>
      <c r="L546" s="692" t="n"/>
      <c r="Q546" s="415" t="n"/>
      <c r="R546" s="692" t="n"/>
      <c r="T546" s="692" t="n"/>
      <c r="W546" s="692" t="n"/>
      <c r="Y546" s="415" t="n"/>
      <c r="Z546" s="692" t="n"/>
    </row>
    <row r="547">
      <c r="D547" s="692" t="n"/>
      <c r="E547" s="415" t="n"/>
      <c r="F547" s="692" t="n"/>
      <c r="L547" s="692" t="n"/>
      <c r="Q547" s="415" t="n"/>
      <c r="R547" s="692" t="n"/>
      <c r="T547" s="692" t="n"/>
      <c r="W547" s="692" t="n"/>
      <c r="Y547" s="415" t="n"/>
      <c r="Z547" s="692" t="n"/>
    </row>
    <row r="548">
      <c r="D548" s="692" t="n"/>
      <c r="E548" s="415" t="n"/>
      <c r="F548" s="692" t="n"/>
      <c r="L548" s="692" t="n"/>
      <c r="Q548" s="415" t="n"/>
      <c r="R548" s="692" t="n"/>
      <c r="T548" s="692" t="n"/>
      <c r="W548" s="692" t="n"/>
      <c r="Y548" s="415" t="n"/>
      <c r="Z548" s="692" t="n"/>
    </row>
    <row r="549">
      <c r="D549" s="692" t="n"/>
      <c r="E549" s="415" t="n"/>
      <c r="F549" s="692" t="n"/>
      <c r="L549" s="692" t="n"/>
      <c r="Q549" s="415" t="n"/>
      <c r="R549" s="692" t="n"/>
      <c r="T549" s="692" t="n"/>
      <c r="W549" s="692" t="n"/>
      <c r="Y549" s="415" t="n"/>
      <c r="Z549" s="692" t="n"/>
    </row>
    <row r="550">
      <c r="D550" s="692" t="n"/>
      <c r="E550" s="415" t="n"/>
      <c r="F550" s="692" t="n"/>
      <c r="L550" s="692" t="n"/>
      <c r="Q550" s="415" t="n"/>
      <c r="R550" s="692" t="n"/>
      <c r="T550" s="692" t="n"/>
      <c r="W550" s="692" t="n"/>
      <c r="Y550" s="415" t="n"/>
      <c r="Z550" s="692" t="n"/>
    </row>
    <row r="551">
      <c r="D551" s="692" t="n"/>
      <c r="E551" s="415" t="n"/>
      <c r="F551" s="692" t="n"/>
      <c r="L551" s="692" t="n"/>
      <c r="Q551" s="415" t="n"/>
      <c r="R551" s="692" t="n"/>
      <c r="T551" s="692" t="n"/>
      <c r="W551" s="692" t="n"/>
      <c r="Y551" s="415" t="n"/>
      <c r="Z551" s="692" t="n"/>
    </row>
    <row r="552">
      <c r="D552" s="692" t="n"/>
      <c r="E552" s="415" t="n"/>
      <c r="F552" s="692" t="n"/>
      <c r="L552" s="692" t="n"/>
      <c r="Q552" s="415" t="n"/>
      <c r="R552" s="692" t="n"/>
      <c r="T552" s="692" t="n"/>
      <c r="W552" s="692" t="n"/>
      <c r="Y552" s="415" t="n"/>
      <c r="Z552" s="692" t="n"/>
    </row>
    <row r="553">
      <c r="D553" s="692" t="n"/>
      <c r="E553" s="415" t="n"/>
      <c r="F553" s="692" t="n"/>
      <c r="L553" s="692" t="n"/>
      <c r="Q553" s="415" t="n"/>
      <c r="R553" s="692" t="n"/>
      <c r="T553" s="692" t="n"/>
      <c r="W553" s="692" t="n"/>
      <c r="Y553" s="415" t="n"/>
      <c r="Z553" s="692" t="n"/>
    </row>
    <row r="554">
      <c r="D554" s="692" t="n"/>
      <c r="E554" s="415" t="n"/>
      <c r="F554" s="692" t="n"/>
      <c r="L554" s="692" t="n"/>
      <c r="Q554" s="415" t="n"/>
      <c r="R554" s="692" t="n"/>
      <c r="T554" s="692" t="n"/>
      <c r="W554" s="692" t="n"/>
      <c r="Y554" s="415" t="n"/>
      <c r="Z554" s="692" t="n"/>
    </row>
    <row r="555">
      <c r="D555" s="692" t="n"/>
      <c r="E555" s="415" t="n"/>
      <c r="F555" s="692" t="n"/>
      <c r="L555" s="692" t="n"/>
      <c r="Q555" s="415" t="n"/>
      <c r="R555" s="692" t="n"/>
      <c r="T555" s="692" t="n"/>
      <c r="W555" s="692" t="n"/>
      <c r="Y555" s="415" t="n"/>
      <c r="Z555" s="692" t="n"/>
    </row>
    <row r="556">
      <c r="D556" s="692" t="n"/>
      <c r="E556" s="415" t="n"/>
      <c r="F556" s="692" t="n"/>
      <c r="L556" s="692" t="n"/>
      <c r="Q556" s="415" t="n"/>
      <c r="R556" s="692" t="n"/>
      <c r="T556" s="692" t="n"/>
      <c r="W556" s="692" t="n"/>
      <c r="Y556" s="415" t="n"/>
      <c r="Z556" s="692" t="n"/>
    </row>
    <row r="557">
      <c r="D557" s="692" t="n"/>
      <c r="E557" s="415" t="n"/>
      <c r="F557" s="692" t="n"/>
      <c r="L557" s="692" t="n"/>
      <c r="Q557" s="415" t="n"/>
      <c r="R557" s="692" t="n"/>
      <c r="T557" s="692" t="n"/>
      <c r="W557" s="692" t="n"/>
      <c r="Y557" s="415" t="n"/>
      <c r="Z557" s="692" t="n"/>
    </row>
    <row r="558">
      <c r="D558" s="692" t="n"/>
      <c r="E558" s="415" t="n"/>
      <c r="F558" s="692" t="n"/>
      <c r="L558" s="692" t="n"/>
      <c r="Q558" s="415" t="n"/>
      <c r="R558" s="692" t="n"/>
      <c r="T558" s="692" t="n"/>
      <c r="W558" s="692" t="n"/>
      <c r="Y558" s="415" t="n"/>
      <c r="Z558" s="692" t="n"/>
    </row>
    <row r="559">
      <c r="D559" s="692" t="n"/>
      <c r="E559" s="415" t="n"/>
      <c r="F559" s="692" t="n"/>
      <c r="L559" s="692" t="n"/>
      <c r="Q559" s="415" t="n"/>
      <c r="R559" s="692" t="n"/>
      <c r="T559" s="692" t="n"/>
      <c r="W559" s="692" t="n"/>
      <c r="Y559" s="415" t="n"/>
      <c r="Z559" s="692" t="n"/>
    </row>
    <row r="560">
      <c r="D560" s="692" t="n"/>
      <c r="E560" s="415" t="n"/>
      <c r="F560" s="692" t="n"/>
      <c r="L560" s="692" t="n"/>
      <c r="Q560" s="415" t="n"/>
      <c r="R560" s="692" t="n"/>
      <c r="T560" s="692" t="n"/>
      <c r="W560" s="692" t="n"/>
      <c r="Y560" s="415" t="n"/>
      <c r="Z560" s="692" t="n"/>
    </row>
    <row r="561">
      <c r="D561" s="692" t="n"/>
      <c r="E561" s="415" t="n"/>
      <c r="F561" s="692" t="n"/>
      <c r="L561" s="692" t="n"/>
      <c r="Q561" s="415" t="n"/>
      <c r="R561" s="692" t="n"/>
      <c r="T561" s="692" t="n"/>
      <c r="W561" s="692" t="n"/>
      <c r="Y561" s="415" t="n"/>
      <c r="Z561" s="692" t="n"/>
    </row>
    <row r="562">
      <c r="D562" s="692" t="n"/>
      <c r="E562" s="415" t="n"/>
      <c r="F562" s="692" t="n"/>
      <c r="L562" s="692" t="n"/>
      <c r="Q562" s="415" t="n"/>
      <c r="R562" s="692" t="n"/>
      <c r="T562" s="692" t="n"/>
      <c r="W562" s="692" t="n"/>
      <c r="Y562" s="415" t="n"/>
      <c r="Z562" s="692" t="n"/>
    </row>
    <row r="563">
      <c r="D563" s="692" t="n"/>
      <c r="E563" s="415" t="n"/>
      <c r="F563" s="692" t="n"/>
      <c r="L563" s="692" t="n"/>
      <c r="Q563" s="415" t="n"/>
      <c r="R563" s="692" t="n"/>
      <c r="T563" s="692" t="n"/>
      <c r="W563" s="692" t="n"/>
      <c r="Y563" s="415" t="n"/>
      <c r="Z563" s="692" t="n"/>
    </row>
    <row r="564">
      <c r="D564" s="692" t="n"/>
      <c r="E564" s="415" t="n"/>
      <c r="F564" s="692" t="n"/>
      <c r="L564" s="692" t="n"/>
      <c r="Q564" s="415" t="n"/>
      <c r="R564" s="692" t="n"/>
      <c r="T564" s="692" t="n"/>
      <c r="W564" s="692" t="n"/>
      <c r="Y564" s="415" t="n"/>
      <c r="Z564" s="692" t="n"/>
    </row>
    <row r="565">
      <c r="D565" s="692" t="n"/>
      <c r="E565" s="415" t="n"/>
      <c r="F565" s="692" t="n"/>
      <c r="L565" s="692" t="n"/>
      <c r="Q565" s="415" t="n"/>
      <c r="R565" s="692" t="n"/>
      <c r="T565" s="692" t="n"/>
      <c r="W565" s="692" t="n"/>
      <c r="Y565" s="415" t="n"/>
      <c r="Z565" s="692" t="n"/>
    </row>
    <row r="566">
      <c r="D566" s="692" t="n"/>
      <c r="E566" s="415" t="n"/>
      <c r="F566" s="692" t="n"/>
      <c r="L566" s="692" t="n"/>
      <c r="Q566" s="415" t="n"/>
      <c r="R566" s="692" t="n"/>
      <c r="T566" s="692" t="n"/>
      <c r="W566" s="692" t="n"/>
      <c r="Y566" s="415" t="n"/>
      <c r="Z566" s="692" t="n"/>
    </row>
    <row r="567">
      <c r="D567" s="692" t="n"/>
      <c r="E567" s="415" t="n"/>
      <c r="F567" s="692" t="n"/>
      <c r="L567" s="692" t="n"/>
      <c r="Q567" s="415" t="n"/>
      <c r="R567" s="692" t="n"/>
      <c r="T567" s="692" t="n"/>
      <c r="W567" s="692" t="n"/>
      <c r="Y567" s="415" t="n"/>
      <c r="Z567" s="692" t="n"/>
    </row>
    <row r="568">
      <c r="D568" s="692" t="n"/>
      <c r="E568" s="415" t="n"/>
      <c r="F568" s="692" t="n"/>
      <c r="L568" s="692" t="n"/>
      <c r="Q568" s="415" t="n"/>
      <c r="R568" s="692" t="n"/>
      <c r="T568" s="692" t="n"/>
      <c r="W568" s="692" t="n"/>
      <c r="Y568" s="415" t="n"/>
      <c r="Z568" s="692" t="n"/>
    </row>
    <row r="569">
      <c r="D569" s="692" t="n"/>
      <c r="E569" s="415" t="n"/>
      <c r="F569" s="692" t="n"/>
      <c r="L569" s="692" t="n"/>
      <c r="Q569" s="415" t="n"/>
      <c r="R569" s="692" t="n"/>
      <c r="T569" s="692" t="n"/>
      <c r="W569" s="692" t="n"/>
      <c r="Y569" s="415" t="n"/>
      <c r="Z569" s="692" t="n"/>
    </row>
    <row r="570">
      <c r="D570" s="692" t="n"/>
      <c r="E570" s="415" t="n"/>
      <c r="F570" s="692" t="n"/>
      <c r="L570" s="692" t="n"/>
      <c r="Q570" s="415" t="n"/>
      <c r="R570" s="692" t="n"/>
      <c r="T570" s="692" t="n"/>
      <c r="W570" s="692" t="n"/>
      <c r="Y570" s="415" t="n"/>
      <c r="Z570" s="692" t="n"/>
    </row>
    <row r="571">
      <c r="D571" s="692" t="n"/>
      <c r="E571" s="415" t="n"/>
      <c r="F571" s="692" t="n"/>
      <c r="L571" s="692" t="n"/>
      <c r="Q571" s="415" t="n"/>
      <c r="R571" s="692" t="n"/>
      <c r="T571" s="692" t="n"/>
      <c r="W571" s="692" t="n"/>
      <c r="Y571" s="415" t="n"/>
      <c r="Z571" s="692" t="n"/>
    </row>
    <row r="572">
      <c r="D572" s="692" t="n"/>
      <c r="E572" s="415" t="n"/>
      <c r="F572" s="692" t="n"/>
      <c r="L572" s="692" t="n"/>
      <c r="Q572" s="415" t="n"/>
      <c r="R572" s="692" t="n"/>
      <c r="T572" s="692" t="n"/>
      <c r="W572" s="692" t="n"/>
      <c r="Y572" s="415" t="n"/>
      <c r="Z572" s="692" t="n"/>
    </row>
    <row r="573">
      <c r="D573" s="692" t="n"/>
      <c r="E573" s="415" t="n"/>
      <c r="F573" s="692" t="n"/>
      <c r="L573" s="692" t="n"/>
      <c r="Q573" s="415" t="n"/>
      <c r="R573" s="692" t="n"/>
      <c r="T573" s="692" t="n"/>
      <c r="W573" s="692" t="n"/>
      <c r="Y573" s="415" t="n"/>
      <c r="Z573" s="692" t="n"/>
    </row>
    <row r="574">
      <c r="D574" s="692" t="n"/>
      <c r="E574" s="415" t="n"/>
      <c r="F574" s="692" t="n"/>
      <c r="L574" s="692" t="n"/>
      <c r="Q574" s="415" t="n"/>
      <c r="R574" s="692" t="n"/>
      <c r="T574" s="692" t="n"/>
      <c r="W574" s="692" t="n"/>
      <c r="Y574" s="415" t="n"/>
      <c r="Z574" s="692" t="n"/>
    </row>
    <row r="575">
      <c r="D575" s="692" t="n"/>
      <c r="E575" s="415" t="n"/>
      <c r="F575" s="692" t="n"/>
      <c r="L575" s="692" t="n"/>
      <c r="Q575" s="415" t="n"/>
      <c r="R575" s="692" t="n"/>
      <c r="T575" s="692" t="n"/>
      <c r="W575" s="692" t="n"/>
      <c r="Y575" s="415" t="n"/>
      <c r="Z575" s="692" t="n"/>
    </row>
    <row r="576">
      <c r="D576" s="692" t="n"/>
      <c r="E576" s="415" t="n"/>
      <c r="F576" s="692" t="n"/>
      <c r="L576" s="692" t="n"/>
      <c r="Q576" s="415" t="n"/>
      <c r="R576" s="692" t="n"/>
      <c r="T576" s="692" t="n"/>
      <c r="W576" s="692" t="n"/>
      <c r="Y576" s="415" t="n"/>
      <c r="Z576" s="692" t="n"/>
    </row>
    <row r="577">
      <c r="D577" s="692" t="n"/>
      <c r="E577" s="415" t="n"/>
      <c r="F577" s="692" t="n"/>
      <c r="L577" s="692" t="n"/>
      <c r="Q577" s="415" t="n"/>
      <c r="R577" s="692" t="n"/>
      <c r="T577" s="692" t="n"/>
      <c r="W577" s="692" t="n"/>
      <c r="Y577" s="415" t="n"/>
      <c r="Z577" s="692" t="n"/>
    </row>
    <row r="578">
      <c r="D578" s="692" t="n"/>
      <c r="E578" s="415" t="n"/>
      <c r="F578" s="692" t="n"/>
      <c r="L578" s="692" t="n"/>
      <c r="Q578" s="415" t="n"/>
      <c r="R578" s="692" t="n"/>
      <c r="T578" s="692" t="n"/>
      <c r="W578" s="692" t="n"/>
      <c r="Y578" s="415" t="n"/>
      <c r="Z578" s="692" t="n"/>
    </row>
    <row r="579">
      <c r="D579" s="692" t="n"/>
      <c r="E579" s="415" t="n"/>
      <c r="F579" s="692" t="n"/>
      <c r="L579" s="692" t="n"/>
      <c r="Q579" s="415" t="n"/>
      <c r="R579" s="692" t="n"/>
      <c r="T579" s="692" t="n"/>
      <c r="W579" s="692" t="n"/>
      <c r="Y579" s="415" t="n"/>
      <c r="Z579" s="692" t="n"/>
    </row>
    <row r="580">
      <c r="D580" s="692" t="n"/>
      <c r="E580" s="415" t="n"/>
      <c r="F580" s="692" t="n"/>
      <c r="L580" s="692" t="n"/>
      <c r="Q580" s="415" t="n"/>
      <c r="R580" s="692" t="n"/>
      <c r="T580" s="692" t="n"/>
      <c r="W580" s="692" t="n"/>
      <c r="Y580" s="415" t="n"/>
      <c r="Z580" s="692" t="n"/>
    </row>
    <row r="581">
      <c r="D581" s="692" t="n"/>
      <c r="E581" s="415" t="n"/>
      <c r="F581" s="692" t="n"/>
      <c r="L581" s="692" t="n"/>
      <c r="Q581" s="415" t="n"/>
      <c r="R581" s="692" t="n"/>
      <c r="T581" s="692" t="n"/>
      <c r="W581" s="692" t="n"/>
      <c r="Y581" s="415" t="n"/>
      <c r="Z581" s="692" t="n"/>
    </row>
    <row r="582">
      <c r="D582" s="692" t="n"/>
      <c r="E582" s="415" t="n"/>
      <c r="F582" s="692" t="n"/>
      <c r="L582" s="692" t="n"/>
      <c r="Q582" s="415" t="n"/>
      <c r="R582" s="692" t="n"/>
      <c r="T582" s="692" t="n"/>
      <c r="W582" s="692" t="n"/>
      <c r="Y582" s="415" t="n"/>
      <c r="Z582" s="692" t="n"/>
    </row>
    <row r="583">
      <c r="D583" s="692" t="n"/>
      <c r="E583" s="415" t="n"/>
      <c r="F583" s="692" t="n"/>
      <c r="L583" s="692" t="n"/>
      <c r="Q583" s="415" t="n"/>
      <c r="R583" s="692" t="n"/>
      <c r="T583" s="692" t="n"/>
      <c r="W583" s="692" t="n"/>
      <c r="Y583" s="415" t="n"/>
      <c r="Z583" s="692" t="n"/>
    </row>
    <row r="584">
      <c r="D584" s="692" t="n"/>
      <c r="E584" s="415" t="n"/>
      <c r="F584" s="692" t="n"/>
      <c r="L584" s="692" t="n"/>
      <c r="Q584" s="415" t="n"/>
      <c r="R584" s="692" t="n"/>
      <c r="T584" s="692" t="n"/>
      <c r="W584" s="692" t="n"/>
      <c r="Y584" s="415" t="n"/>
      <c r="Z584" s="692" t="n"/>
    </row>
    <row r="585">
      <c r="D585" s="692" t="n"/>
      <c r="E585" s="415" t="n"/>
      <c r="F585" s="692" t="n"/>
      <c r="L585" s="692" t="n"/>
      <c r="Q585" s="415" t="n"/>
      <c r="R585" s="692" t="n"/>
      <c r="T585" s="692" t="n"/>
      <c r="W585" s="692" t="n"/>
      <c r="Y585" s="415" t="n"/>
      <c r="Z585" s="692" t="n"/>
    </row>
    <row r="586">
      <c r="D586" s="692" t="n"/>
      <c r="E586" s="415" t="n"/>
      <c r="F586" s="692" t="n"/>
      <c r="L586" s="692" t="n"/>
      <c r="Q586" s="415" t="n"/>
      <c r="R586" s="692" t="n"/>
      <c r="T586" s="692" t="n"/>
      <c r="W586" s="692" t="n"/>
      <c r="Y586" s="415" t="n"/>
      <c r="Z586" s="692" t="n"/>
    </row>
    <row r="587">
      <c r="D587" s="692" t="n"/>
      <c r="E587" s="415" t="n"/>
      <c r="F587" s="692" t="n"/>
      <c r="L587" s="692" t="n"/>
      <c r="Q587" s="415" t="n"/>
      <c r="R587" s="692" t="n"/>
      <c r="T587" s="692" t="n"/>
      <c r="W587" s="692" t="n"/>
      <c r="Y587" s="415" t="n"/>
      <c r="Z587" s="692" t="n"/>
    </row>
    <row r="588">
      <c r="D588" s="692" t="n"/>
      <c r="E588" s="415" t="n"/>
      <c r="F588" s="692" t="n"/>
      <c r="L588" s="692" t="n"/>
      <c r="Q588" s="415" t="n"/>
      <c r="R588" s="692" t="n"/>
      <c r="T588" s="692" t="n"/>
      <c r="W588" s="692" t="n"/>
      <c r="Y588" s="415" t="n"/>
      <c r="Z588" s="692" t="n"/>
    </row>
    <row r="589">
      <c r="D589" s="692" t="n"/>
      <c r="E589" s="415" t="n"/>
      <c r="F589" s="692" t="n"/>
      <c r="L589" s="692" t="n"/>
      <c r="Q589" s="415" t="n"/>
      <c r="R589" s="692" t="n"/>
      <c r="T589" s="692" t="n"/>
      <c r="W589" s="692" t="n"/>
      <c r="Y589" s="415" t="n"/>
      <c r="Z589" s="692" t="n"/>
    </row>
    <row r="590">
      <c r="D590" s="692" t="n"/>
      <c r="E590" s="415" t="n"/>
      <c r="F590" s="692" t="n"/>
      <c r="L590" s="692" t="n"/>
      <c r="Q590" s="415" t="n"/>
      <c r="R590" s="692" t="n"/>
      <c r="T590" s="692" t="n"/>
      <c r="W590" s="692" t="n"/>
      <c r="Y590" s="415" t="n"/>
      <c r="Z590" s="692" t="n"/>
    </row>
    <row r="591">
      <c r="D591" s="692" t="n"/>
      <c r="E591" s="415" t="n"/>
      <c r="F591" s="692" t="n"/>
      <c r="L591" s="692" t="n"/>
      <c r="Q591" s="415" t="n"/>
      <c r="R591" s="692" t="n"/>
      <c r="T591" s="692" t="n"/>
      <c r="W591" s="692" t="n"/>
      <c r="Y591" s="415" t="n"/>
      <c r="Z591" s="692" t="n"/>
    </row>
    <row r="592">
      <c r="D592" s="692" t="n"/>
      <c r="E592" s="415" t="n"/>
      <c r="F592" s="692" t="n"/>
      <c r="L592" s="692" t="n"/>
      <c r="Q592" s="415" t="n"/>
      <c r="R592" s="692" t="n"/>
      <c r="T592" s="692" t="n"/>
      <c r="W592" s="692" t="n"/>
      <c r="Y592" s="415" t="n"/>
      <c r="Z592" s="692" t="n"/>
    </row>
    <row r="593">
      <c r="D593" s="692" t="n"/>
      <c r="E593" s="415" t="n"/>
      <c r="F593" s="692" t="n"/>
      <c r="L593" s="692" t="n"/>
      <c r="Q593" s="415" t="n"/>
      <c r="R593" s="692" t="n"/>
      <c r="T593" s="692" t="n"/>
      <c r="W593" s="692" t="n"/>
      <c r="Y593" s="415" t="n"/>
      <c r="Z593" s="692" t="n"/>
    </row>
    <row r="594">
      <c r="D594" s="692" t="n"/>
      <c r="E594" s="415" t="n"/>
      <c r="F594" s="692" t="n"/>
      <c r="L594" s="692" t="n"/>
      <c r="Q594" s="415" t="n"/>
      <c r="R594" s="692" t="n"/>
      <c r="T594" s="692" t="n"/>
      <c r="W594" s="692" t="n"/>
      <c r="Y594" s="415" t="n"/>
      <c r="Z594" s="692" t="n"/>
    </row>
    <row r="595">
      <c r="D595" s="692" t="n"/>
      <c r="E595" s="415" t="n"/>
      <c r="F595" s="692" t="n"/>
      <c r="L595" s="692" t="n"/>
      <c r="Q595" s="415" t="n"/>
      <c r="R595" s="692" t="n"/>
      <c r="T595" s="692" t="n"/>
      <c r="W595" s="692" t="n"/>
      <c r="Y595" s="415" t="n"/>
      <c r="Z595" s="692" t="n"/>
    </row>
    <row r="596">
      <c r="D596" s="692" t="n"/>
      <c r="E596" s="415" t="n"/>
      <c r="F596" s="692" t="n"/>
      <c r="L596" s="692" t="n"/>
      <c r="Q596" s="415" t="n"/>
      <c r="R596" s="692" t="n"/>
      <c r="T596" s="692" t="n"/>
      <c r="W596" s="692" t="n"/>
      <c r="Y596" s="415" t="n"/>
      <c r="Z596" s="692" t="n"/>
    </row>
    <row r="597">
      <c r="D597" s="692" t="n"/>
      <c r="E597" s="415" t="n"/>
      <c r="F597" s="692" t="n"/>
      <c r="L597" s="692" t="n"/>
      <c r="Q597" s="415" t="n"/>
      <c r="R597" s="692" t="n"/>
      <c r="T597" s="692" t="n"/>
      <c r="W597" s="692" t="n"/>
      <c r="Y597" s="415" t="n"/>
      <c r="Z597" s="692" t="n"/>
    </row>
    <row r="598">
      <c r="D598" s="692" t="n"/>
      <c r="E598" s="415" t="n"/>
      <c r="F598" s="692" t="n"/>
      <c r="L598" s="692" t="n"/>
      <c r="Q598" s="415" t="n"/>
      <c r="R598" s="692" t="n"/>
      <c r="T598" s="692" t="n"/>
      <c r="W598" s="692" t="n"/>
      <c r="Y598" s="415" t="n"/>
      <c r="Z598" s="692" t="n"/>
    </row>
    <row r="599">
      <c r="D599" s="692" t="n"/>
      <c r="E599" s="415" t="n"/>
      <c r="F599" s="692" t="n"/>
      <c r="L599" s="692" t="n"/>
      <c r="Q599" s="415" t="n"/>
      <c r="R599" s="692" t="n"/>
      <c r="T599" s="692" t="n"/>
      <c r="W599" s="692" t="n"/>
      <c r="Y599" s="415" t="n"/>
      <c r="Z599" s="692" t="n"/>
    </row>
    <row r="600">
      <c r="D600" s="692" t="n"/>
      <c r="E600" s="415" t="n"/>
      <c r="F600" s="692" t="n"/>
      <c r="L600" s="692" t="n"/>
      <c r="Q600" s="415" t="n"/>
      <c r="R600" s="692" t="n"/>
      <c r="T600" s="692" t="n"/>
      <c r="W600" s="692" t="n"/>
      <c r="Y600" s="415" t="n"/>
      <c r="Z600" s="692" t="n"/>
    </row>
    <row r="601">
      <c r="D601" s="692" t="n"/>
      <c r="E601" s="415" t="n"/>
      <c r="F601" s="692" t="n"/>
      <c r="L601" s="692" t="n"/>
      <c r="Q601" s="415" t="n"/>
      <c r="R601" s="692" t="n"/>
      <c r="T601" s="692" t="n"/>
      <c r="W601" s="692" t="n"/>
      <c r="Y601" s="415" t="n"/>
      <c r="Z601" s="692" t="n"/>
    </row>
    <row r="602">
      <c r="D602" s="692" t="n"/>
      <c r="E602" s="415" t="n"/>
      <c r="F602" s="692" t="n"/>
      <c r="L602" s="692" t="n"/>
      <c r="Q602" s="415" t="n"/>
      <c r="R602" s="692" t="n"/>
      <c r="T602" s="692" t="n"/>
      <c r="W602" s="692" t="n"/>
      <c r="Y602" s="415" t="n"/>
      <c r="Z602" s="692" t="n"/>
    </row>
    <row r="603">
      <c r="D603" s="692" t="n"/>
      <c r="E603" s="415" t="n"/>
      <c r="F603" s="692" t="n"/>
      <c r="L603" s="692" t="n"/>
      <c r="Q603" s="415" t="n"/>
      <c r="R603" s="692" t="n"/>
      <c r="T603" s="692" t="n"/>
      <c r="W603" s="692" t="n"/>
      <c r="Y603" s="415" t="n"/>
      <c r="Z603" s="692" t="n"/>
    </row>
    <row r="604">
      <c r="D604" s="692" t="n"/>
      <c r="E604" s="415" t="n"/>
      <c r="F604" s="692" t="n"/>
      <c r="L604" s="692" t="n"/>
      <c r="Q604" s="415" t="n"/>
      <c r="R604" s="692" t="n"/>
      <c r="T604" s="692" t="n"/>
      <c r="W604" s="692" t="n"/>
      <c r="Y604" s="415" t="n"/>
      <c r="Z604" s="692" t="n"/>
    </row>
    <row r="605">
      <c r="D605" s="692" t="n"/>
      <c r="E605" s="415" t="n"/>
      <c r="F605" s="692" t="n"/>
      <c r="L605" s="692" t="n"/>
      <c r="Q605" s="415" t="n"/>
      <c r="R605" s="692" t="n"/>
      <c r="T605" s="692" t="n"/>
      <c r="W605" s="692" t="n"/>
      <c r="Y605" s="415" t="n"/>
      <c r="Z605" s="692" t="n"/>
    </row>
    <row r="606">
      <c r="D606" s="692" t="n"/>
      <c r="E606" s="415" t="n"/>
      <c r="F606" s="692" t="n"/>
      <c r="L606" s="692" t="n"/>
      <c r="Q606" s="415" t="n"/>
      <c r="R606" s="692" t="n"/>
      <c r="T606" s="692" t="n"/>
      <c r="W606" s="692" t="n"/>
      <c r="Y606" s="415" t="n"/>
      <c r="Z606" s="692" t="n"/>
    </row>
    <row r="607">
      <c r="D607" s="692" t="n"/>
      <c r="E607" s="415" t="n"/>
      <c r="F607" s="692" t="n"/>
      <c r="L607" s="692" t="n"/>
      <c r="Q607" s="415" t="n"/>
      <c r="R607" s="692" t="n"/>
      <c r="T607" s="692" t="n"/>
      <c r="W607" s="692" t="n"/>
      <c r="Y607" s="415" t="n"/>
      <c r="Z607" s="692" t="n"/>
    </row>
    <row r="608">
      <c r="D608" s="692" t="n"/>
      <c r="E608" s="415" t="n"/>
      <c r="F608" s="692" t="n"/>
      <c r="L608" s="692" t="n"/>
      <c r="Q608" s="415" t="n"/>
      <c r="R608" s="692" t="n"/>
      <c r="T608" s="692" t="n"/>
      <c r="W608" s="692" t="n"/>
      <c r="Y608" s="415" t="n"/>
      <c r="Z608" s="692" t="n"/>
    </row>
    <row r="609">
      <c r="D609" s="692" t="n"/>
      <c r="E609" s="415" t="n"/>
      <c r="F609" s="692" t="n"/>
      <c r="L609" s="692" t="n"/>
      <c r="Q609" s="415" t="n"/>
      <c r="R609" s="692" t="n"/>
      <c r="T609" s="692" t="n"/>
      <c r="W609" s="692" t="n"/>
      <c r="Y609" s="415" t="n"/>
      <c r="Z609" s="692" t="n"/>
    </row>
    <row r="610">
      <c r="D610" s="692" t="n"/>
      <c r="E610" s="415" t="n"/>
      <c r="F610" s="692" t="n"/>
      <c r="L610" s="692" t="n"/>
      <c r="Q610" s="415" t="n"/>
      <c r="R610" s="692" t="n"/>
      <c r="T610" s="692" t="n"/>
      <c r="W610" s="692" t="n"/>
      <c r="Y610" s="415" t="n"/>
      <c r="Z610" s="692" t="n"/>
    </row>
    <row r="611">
      <c r="D611" s="692" t="n"/>
      <c r="E611" s="415" t="n"/>
      <c r="F611" s="692" t="n"/>
      <c r="L611" s="692" t="n"/>
      <c r="Q611" s="415" t="n"/>
      <c r="R611" s="692" t="n"/>
      <c r="T611" s="692" t="n"/>
      <c r="W611" s="692" t="n"/>
      <c r="Y611" s="415" t="n"/>
      <c r="Z611" s="692" t="n"/>
    </row>
    <row r="612">
      <c r="D612" s="692" t="n"/>
      <c r="E612" s="415" t="n"/>
      <c r="F612" s="692" t="n"/>
      <c r="L612" s="692" t="n"/>
      <c r="Q612" s="415" t="n"/>
      <c r="R612" s="692" t="n"/>
      <c r="T612" s="692" t="n"/>
      <c r="W612" s="692" t="n"/>
      <c r="Y612" s="415" t="n"/>
      <c r="Z612" s="692" t="n"/>
    </row>
    <row r="613">
      <c r="D613" s="692" t="n"/>
      <c r="E613" s="415" t="n"/>
      <c r="F613" s="692" t="n"/>
      <c r="L613" s="692" t="n"/>
      <c r="Q613" s="415" t="n"/>
      <c r="R613" s="692" t="n"/>
      <c r="T613" s="692" t="n"/>
      <c r="W613" s="692" t="n"/>
      <c r="Y613" s="415" t="n"/>
      <c r="Z613" s="692" t="n"/>
    </row>
    <row r="614">
      <c r="D614" s="692" t="n"/>
      <c r="E614" s="415" t="n"/>
      <c r="F614" s="692" t="n"/>
      <c r="L614" s="692" t="n"/>
      <c r="Q614" s="415" t="n"/>
      <c r="R614" s="692" t="n"/>
      <c r="T614" s="692" t="n"/>
      <c r="W614" s="692" t="n"/>
      <c r="Y614" s="415" t="n"/>
      <c r="Z614" s="692" t="n"/>
    </row>
    <row r="615">
      <c r="D615" s="692" t="n"/>
      <c r="E615" s="415" t="n"/>
      <c r="F615" s="692" t="n"/>
      <c r="L615" s="692" t="n"/>
      <c r="Q615" s="415" t="n"/>
      <c r="R615" s="692" t="n"/>
      <c r="T615" s="692" t="n"/>
      <c r="W615" s="692" t="n"/>
      <c r="Y615" s="415" t="n"/>
      <c r="Z615" s="692" t="n"/>
    </row>
    <row r="616">
      <c r="D616" s="692" t="n"/>
      <c r="E616" s="415" t="n"/>
      <c r="F616" s="692" t="n"/>
      <c r="L616" s="692" t="n"/>
      <c r="Q616" s="415" t="n"/>
      <c r="R616" s="692" t="n"/>
      <c r="T616" s="692" t="n"/>
      <c r="W616" s="692" t="n"/>
      <c r="Y616" s="415" t="n"/>
      <c r="Z616" s="692" t="n"/>
    </row>
    <row r="617">
      <c r="D617" s="692" t="n"/>
      <c r="E617" s="415" t="n"/>
      <c r="F617" s="692" t="n"/>
      <c r="L617" s="692" t="n"/>
      <c r="Q617" s="415" t="n"/>
      <c r="R617" s="692" t="n"/>
      <c r="T617" s="692" t="n"/>
      <c r="W617" s="692" t="n"/>
      <c r="Y617" s="415" t="n"/>
      <c r="Z617" s="692" t="n"/>
    </row>
    <row r="618">
      <c r="D618" s="692" t="n"/>
      <c r="E618" s="415" t="n"/>
      <c r="F618" s="692" t="n"/>
      <c r="L618" s="692" t="n"/>
      <c r="Q618" s="415" t="n"/>
      <c r="R618" s="692" t="n"/>
      <c r="T618" s="692" t="n"/>
      <c r="W618" s="692" t="n"/>
      <c r="Y618" s="415" t="n"/>
      <c r="Z618" s="692" t="n"/>
    </row>
    <row r="619">
      <c r="D619" s="692" t="n"/>
      <c r="E619" s="415" t="n"/>
      <c r="F619" s="692" t="n"/>
      <c r="L619" s="692" t="n"/>
      <c r="Q619" s="415" t="n"/>
      <c r="R619" s="692" t="n"/>
      <c r="T619" s="692" t="n"/>
      <c r="W619" s="692" t="n"/>
      <c r="Y619" s="415" t="n"/>
      <c r="Z619" s="692" t="n"/>
    </row>
    <row r="620">
      <c r="D620" s="692" t="n"/>
      <c r="E620" s="415" t="n"/>
      <c r="F620" s="692" t="n"/>
      <c r="L620" s="692" t="n"/>
      <c r="Q620" s="415" t="n"/>
      <c r="R620" s="692" t="n"/>
      <c r="T620" s="692" t="n"/>
      <c r="W620" s="692" t="n"/>
      <c r="Y620" s="415" t="n"/>
      <c r="Z620" s="692" t="n"/>
    </row>
    <row r="621">
      <c r="D621" s="692" t="n"/>
      <c r="E621" s="415" t="n"/>
      <c r="F621" s="692" t="n"/>
      <c r="L621" s="692" t="n"/>
      <c r="Q621" s="415" t="n"/>
      <c r="R621" s="692" t="n"/>
      <c r="T621" s="692" t="n"/>
      <c r="W621" s="692" t="n"/>
      <c r="Y621" s="415" t="n"/>
      <c r="Z621" s="692" t="n"/>
    </row>
    <row r="622">
      <c r="D622" s="692" t="n"/>
      <c r="E622" s="415" t="n"/>
      <c r="F622" s="692" t="n"/>
      <c r="L622" s="692" t="n"/>
      <c r="Q622" s="415" t="n"/>
      <c r="R622" s="692" t="n"/>
      <c r="T622" s="692" t="n"/>
      <c r="W622" s="692" t="n"/>
      <c r="Y622" s="415" t="n"/>
      <c r="Z622" s="692" t="n"/>
    </row>
    <row r="623">
      <c r="D623" s="692" t="n"/>
      <c r="E623" s="415" t="n"/>
      <c r="F623" s="692" t="n"/>
      <c r="L623" s="692" t="n"/>
      <c r="Q623" s="415" t="n"/>
      <c r="R623" s="692" t="n"/>
      <c r="T623" s="692" t="n"/>
      <c r="W623" s="692" t="n"/>
      <c r="Y623" s="415" t="n"/>
      <c r="Z623" s="692" t="n"/>
    </row>
    <row r="624">
      <c r="D624" s="692" t="n"/>
      <c r="E624" s="415" t="n"/>
      <c r="F624" s="692" t="n"/>
      <c r="L624" s="692" t="n"/>
      <c r="Q624" s="415" t="n"/>
      <c r="R624" s="692" t="n"/>
      <c r="T624" s="692" t="n"/>
      <c r="W624" s="692" t="n"/>
      <c r="Y624" s="415" t="n"/>
      <c r="Z624" s="692" t="n"/>
    </row>
    <row r="625">
      <c r="D625" s="692" t="n"/>
      <c r="E625" s="415" t="n"/>
      <c r="F625" s="692" t="n"/>
      <c r="L625" s="692" t="n"/>
      <c r="Q625" s="415" t="n"/>
      <c r="R625" s="692" t="n"/>
      <c r="T625" s="692" t="n"/>
      <c r="W625" s="692" t="n"/>
      <c r="Y625" s="415" t="n"/>
      <c r="Z625" s="692" t="n"/>
    </row>
    <row r="626">
      <c r="D626" s="692" t="n"/>
      <c r="E626" s="415" t="n"/>
      <c r="F626" s="692" t="n"/>
      <c r="L626" s="692" t="n"/>
      <c r="Q626" s="415" t="n"/>
      <c r="R626" s="692" t="n"/>
      <c r="T626" s="692" t="n"/>
      <c r="W626" s="692" t="n"/>
      <c r="Y626" s="415" t="n"/>
      <c r="Z626" s="692" t="n"/>
    </row>
    <row r="627">
      <c r="D627" s="692" t="n"/>
      <c r="E627" s="415" t="n"/>
      <c r="F627" s="692" t="n"/>
      <c r="L627" s="692" t="n"/>
      <c r="Q627" s="415" t="n"/>
      <c r="R627" s="692" t="n"/>
      <c r="T627" s="692" t="n"/>
      <c r="W627" s="692" t="n"/>
      <c r="Y627" s="415" t="n"/>
      <c r="Z627" s="692" t="n"/>
    </row>
    <row r="628">
      <c r="D628" s="692" t="n"/>
      <c r="E628" s="415" t="n"/>
      <c r="F628" s="692" t="n"/>
      <c r="L628" s="692" t="n"/>
      <c r="Q628" s="415" t="n"/>
      <c r="R628" s="692" t="n"/>
      <c r="T628" s="692" t="n"/>
      <c r="W628" s="692" t="n"/>
      <c r="Y628" s="415" t="n"/>
      <c r="Z628" s="692" t="n"/>
    </row>
    <row r="629">
      <c r="D629" s="692" t="n"/>
      <c r="E629" s="415" t="n"/>
      <c r="F629" s="692" t="n"/>
      <c r="L629" s="692" t="n"/>
      <c r="Q629" s="415" t="n"/>
      <c r="R629" s="692" t="n"/>
      <c r="T629" s="692" t="n"/>
      <c r="W629" s="692" t="n"/>
      <c r="Y629" s="415" t="n"/>
      <c r="Z629" s="692" t="n"/>
    </row>
    <row r="630">
      <c r="D630" s="692" t="n"/>
      <c r="E630" s="415" t="n"/>
      <c r="F630" s="692" t="n"/>
      <c r="L630" s="692" t="n"/>
      <c r="Q630" s="415" t="n"/>
      <c r="R630" s="692" t="n"/>
      <c r="T630" s="692" t="n"/>
      <c r="W630" s="692" t="n"/>
      <c r="Y630" s="415" t="n"/>
      <c r="Z630" s="692" t="n"/>
    </row>
    <row r="631">
      <c r="D631" s="692" t="n"/>
      <c r="E631" s="415" t="n"/>
      <c r="F631" s="692" t="n"/>
      <c r="L631" s="692" t="n"/>
      <c r="Q631" s="415" t="n"/>
      <c r="R631" s="692" t="n"/>
      <c r="T631" s="692" t="n"/>
      <c r="W631" s="692" t="n"/>
      <c r="Y631" s="415" t="n"/>
      <c r="Z631" s="692" t="n"/>
    </row>
    <row r="632">
      <c r="D632" s="692" t="n"/>
      <c r="E632" s="415" t="n"/>
      <c r="F632" s="692" t="n"/>
      <c r="L632" s="692" t="n"/>
      <c r="Q632" s="415" t="n"/>
      <c r="R632" s="692" t="n"/>
      <c r="T632" s="692" t="n"/>
      <c r="W632" s="692" t="n"/>
      <c r="Y632" s="415" t="n"/>
      <c r="Z632" s="692" t="n"/>
    </row>
    <row r="633">
      <c r="D633" s="692" t="n"/>
      <c r="E633" s="415" t="n"/>
      <c r="F633" s="692" t="n"/>
      <c r="L633" s="692" t="n"/>
      <c r="Q633" s="415" t="n"/>
      <c r="R633" s="692" t="n"/>
      <c r="T633" s="692" t="n"/>
      <c r="W633" s="692" t="n"/>
      <c r="Y633" s="415" t="n"/>
      <c r="Z633" s="692" t="n"/>
    </row>
    <row r="634">
      <c r="D634" s="692" t="n"/>
      <c r="E634" s="415" t="n"/>
      <c r="F634" s="692" t="n"/>
      <c r="L634" s="692" t="n"/>
      <c r="Q634" s="415" t="n"/>
      <c r="R634" s="692" t="n"/>
      <c r="T634" s="692" t="n"/>
      <c r="W634" s="692" t="n"/>
      <c r="Y634" s="415" t="n"/>
      <c r="Z634" s="692" t="n"/>
    </row>
    <row r="635">
      <c r="D635" s="692" t="n"/>
      <c r="E635" s="415" t="n"/>
      <c r="F635" s="692" t="n"/>
      <c r="L635" s="692" t="n"/>
      <c r="Q635" s="415" t="n"/>
      <c r="R635" s="692" t="n"/>
      <c r="T635" s="692" t="n"/>
      <c r="W635" s="692" t="n"/>
      <c r="Y635" s="415" t="n"/>
      <c r="Z635" s="692" t="n"/>
    </row>
    <row r="636">
      <c r="D636" s="692" t="n"/>
      <c r="E636" s="415" t="n"/>
      <c r="F636" s="692" t="n"/>
      <c r="L636" s="692" t="n"/>
      <c r="Q636" s="415" t="n"/>
      <c r="R636" s="692" t="n"/>
      <c r="T636" s="692" t="n"/>
      <c r="W636" s="692" t="n"/>
      <c r="Y636" s="415" t="n"/>
      <c r="Z636" s="692" t="n"/>
    </row>
    <row r="637">
      <c r="D637" s="692" t="n"/>
      <c r="E637" s="415" t="n"/>
      <c r="F637" s="692" t="n"/>
      <c r="L637" s="692" t="n"/>
      <c r="Q637" s="415" t="n"/>
      <c r="R637" s="692" t="n"/>
      <c r="T637" s="692" t="n"/>
      <c r="W637" s="692" t="n"/>
      <c r="Y637" s="415" t="n"/>
      <c r="Z637" s="692" t="n"/>
    </row>
    <row r="638">
      <c r="D638" s="692" t="n"/>
      <c r="E638" s="415" t="n"/>
      <c r="F638" s="692" t="n"/>
      <c r="L638" s="692" t="n"/>
      <c r="Q638" s="415" t="n"/>
      <c r="R638" s="692" t="n"/>
      <c r="T638" s="692" t="n"/>
      <c r="W638" s="692" t="n"/>
      <c r="Y638" s="415" t="n"/>
      <c r="Z638" s="692" t="n"/>
    </row>
    <row r="639">
      <c r="D639" s="692" t="n"/>
      <c r="E639" s="415" t="n"/>
      <c r="F639" s="692" t="n"/>
      <c r="L639" s="692" t="n"/>
      <c r="Q639" s="415" t="n"/>
      <c r="R639" s="692" t="n"/>
      <c r="T639" s="692" t="n"/>
      <c r="W639" s="692" t="n"/>
      <c r="Y639" s="415" t="n"/>
      <c r="Z639" s="692" t="n"/>
    </row>
    <row r="640">
      <c r="D640" s="692" t="n"/>
      <c r="E640" s="415" t="n"/>
      <c r="F640" s="692" t="n"/>
      <c r="L640" s="692" t="n"/>
      <c r="Q640" s="415" t="n"/>
      <c r="R640" s="692" t="n"/>
      <c r="T640" s="692" t="n"/>
      <c r="W640" s="692" t="n"/>
      <c r="Y640" s="415" t="n"/>
      <c r="Z640" s="692" t="n"/>
    </row>
    <row r="641">
      <c r="D641" s="692" t="n"/>
      <c r="E641" s="415" t="n"/>
      <c r="F641" s="692" t="n"/>
      <c r="L641" s="692" t="n"/>
      <c r="Q641" s="415" t="n"/>
      <c r="R641" s="692" t="n"/>
      <c r="T641" s="692" t="n"/>
      <c r="W641" s="692" t="n"/>
      <c r="Y641" s="415" t="n"/>
      <c r="Z641" s="692" t="n"/>
    </row>
    <row r="642">
      <c r="D642" s="692" t="n"/>
      <c r="E642" s="415" t="n"/>
      <c r="F642" s="692" t="n"/>
      <c r="L642" s="692" t="n"/>
      <c r="Q642" s="415" t="n"/>
      <c r="R642" s="692" t="n"/>
      <c r="T642" s="692" t="n"/>
      <c r="W642" s="692" t="n"/>
      <c r="Y642" s="415" t="n"/>
      <c r="Z642" s="692" t="n"/>
    </row>
    <row r="643">
      <c r="D643" s="692" t="n"/>
      <c r="E643" s="415" t="n"/>
      <c r="F643" s="692" t="n"/>
      <c r="L643" s="692" t="n"/>
      <c r="Q643" s="415" t="n"/>
      <c r="R643" s="692" t="n"/>
      <c r="T643" s="692" t="n"/>
      <c r="W643" s="692" t="n"/>
      <c r="Y643" s="415" t="n"/>
      <c r="Z643" s="692" t="n"/>
    </row>
    <row r="644">
      <c r="D644" s="692" t="n"/>
      <c r="E644" s="415" t="n"/>
      <c r="F644" s="692" t="n"/>
      <c r="L644" s="692" t="n"/>
      <c r="Q644" s="415" t="n"/>
      <c r="R644" s="692" t="n"/>
      <c r="T644" s="692" t="n"/>
      <c r="W644" s="692" t="n"/>
      <c r="Y644" s="415" t="n"/>
      <c r="Z644" s="692" t="n"/>
    </row>
    <row r="645">
      <c r="D645" s="692" t="n"/>
      <c r="E645" s="415" t="n"/>
      <c r="F645" s="692" t="n"/>
      <c r="L645" s="692" t="n"/>
      <c r="Q645" s="415" t="n"/>
      <c r="R645" s="692" t="n"/>
      <c r="T645" s="692" t="n"/>
      <c r="W645" s="692" t="n"/>
      <c r="Y645" s="415" t="n"/>
      <c r="Z645" s="692" t="n"/>
    </row>
    <row r="646">
      <c r="D646" s="692" t="n"/>
      <c r="E646" s="415" t="n"/>
      <c r="F646" s="692" t="n"/>
      <c r="L646" s="692" t="n"/>
      <c r="Q646" s="415" t="n"/>
      <c r="R646" s="692" t="n"/>
      <c r="T646" s="692" t="n"/>
      <c r="W646" s="692" t="n"/>
      <c r="Y646" s="415" t="n"/>
      <c r="Z646" s="692" t="n"/>
    </row>
    <row r="647">
      <c r="D647" s="692" t="n"/>
      <c r="E647" s="415" t="n"/>
      <c r="F647" s="692" t="n"/>
      <c r="L647" s="692" t="n"/>
      <c r="Q647" s="415" t="n"/>
      <c r="R647" s="692" t="n"/>
      <c r="T647" s="692" t="n"/>
      <c r="W647" s="692" t="n"/>
      <c r="Y647" s="415" t="n"/>
      <c r="Z647" s="692" t="n"/>
    </row>
    <row r="648">
      <c r="D648" s="692" t="n"/>
      <c r="E648" s="415" t="n"/>
      <c r="F648" s="692" t="n"/>
      <c r="L648" s="692" t="n"/>
      <c r="Q648" s="415" t="n"/>
      <c r="R648" s="692" t="n"/>
      <c r="T648" s="692" t="n"/>
      <c r="W648" s="692" t="n"/>
      <c r="Y648" s="415" t="n"/>
      <c r="Z648" s="692" t="n"/>
    </row>
    <row r="649">
      <c r="D649" s="692" t="n"/>
      <c r="E649" s="415" t="n"/>
      <c r="F649" s="692" t="n"/>
      <c r="L649" s="692" t="n"/>
      <c r="Q649" s="415" t="n"/>
      <c r="R649" s="692" t="n"/>
      <c r="T649" s="692" t="n"/>
      <c r="W649" s="692" t="n"/>
      <c r="Y649" s="415" t="n"/>
      <c r="Z649" s="692" t="n"/>
    </row>
    <row r="650">
      <c r="D650" s="692" t="n"/>
      <c r="E650" s="415" t="n"/>
      <c r="F650" s="692" t="n"/>
      <c r="L650" s="692" t="n"/>
      <c r="Q650" s="415" t="n"/>
      <c r="R650" s="692" t="n"/>
      <c r="T650" s="692" t="n"/>
      <c r="W650" s="692" t="n"/>
      <c r="Y650" s="415" t="n"/>
      <c r="Z650" s="692" t="n"/>
    </row>
    <row r="651">
      <c r="D651" s="692" t="n"/>
      <c r="E651" s="415" t="n"/>
      <c r="F651" s="692" t="n"/>
      <c r="L651" s="692" t="n"/>
      <c r="Q651" s="415" t="n"/>
      <c r="R651" s="692" t="n"/>
      <c r="T651" s="692" t="n"/>
      <c r="W651" s="692" t="n"/>
      <c r="Y651" s="415" t="n"/>
      <c r="Z651" s="692" t="n"/>
    </row>
    <row r="652">
      <c r="D652" s="692" t="n"/>
      <c r="E652" s="415" t="n"/>
      <c r="F652" s="692" t="n"/>
      <c r="L652" s="692" t="n"/>
      <c r="Q652" s="415" t="n"/>
      <c r="R652" s="692" t="n"/>
      <c r="T652" s="692" t="n"/>
      <c r="W652" s="692" t="n"/>
      <c r="Y652" s="415" t="n"/>
      <c r="Z652" s="692" t="n"/>
    </row>
    <row r="653">
      <c r="D653" s="692" t="n"/>
      <c r="E653" s="415" t="n"/>
      <c r="F653" s="692" t="n"/>
      <c r="L653" s="692" t="n"/>
      <c r="Q653" s="415" t="n"/>
      <c r="R653" s="692" t="n"/>
      <c r="T653" s="692" t="n"/>
      <c r="W653" s="692" t="n"/>
      <c r="Y653" s="415" t="n"/>
      <c r="Z653" s="692" t="n"/>
    </row>
    <row r="654">
      <c r="D654" s="692" t="n"/>
      <c r="E654" s="415" t="n"/>
      <c r="F654" s="692" t="n"/>
      <c r="L654" s="692" t="n"/>
      <c r="Q654" s="415" t="n"/>
      <c r="R654" s="692" t="n"/>
      <c r="T654" s="692" t="n"/>
      <c r="W654" s="692" t="n"/>
      <c r="Y654" s="415" t="n"/>
      <c r="Z654" s="692" t="n"/>
    </row>
    <row r="655">
      <c r="D655" s="692" t="n"/>
      <c r="E655" s="415" t="n"/>
      <c r="F655" s="692" t="n"/>
      <c r="L655" s="692" t="n"/>
      <c r="Q655" s="415" t="n"/>
      <c r="R655" s="692" t="n"/>
      <c r="T655" s="692" t="n"/>
      <c r="W655" s="692" t="n"/>
      <c r="Y655" s="415" t="n"/>
      <c r="Z655" s="692" t="n"/>
    </row>
    <row r="656">
      <c r="D656" s="692" t="n"/>
      <c r="E656" s="415" t="n"/>
      <c r="F656" s="692" t="n"/>
      <c r="L656" s="692" t="n"/>
      <c r="Q656" s="415" t="n"/>
      <c r="R656" s="692" t="n"/>
      <c r="T656" s="692" t="n"/>
      <c r="W656" s="692" t="n"/>
      <c r="Y656" s="415" t="n"/>
      <c r="Z656" s="692" t="n"/>
    </row>
    <row r="657">
      <c r="D657" s="692" t="n"/>
      <c r="E657" s="415" t="n"/>
      <c r="F657" s="692" t="n"/>
      <c r="L657" s="692" t="n"/>
      <c r="Q657" s="415" t="n"/>
      <c r="R657" s="692" t="n"/>
      <c r="T657" s="692" t="n"/>
      <c r="W657" s="692" t="n"/>
      <c r="Y657" s="415" t="n"/>
      <c r="Z657" s="692" t="n"/>
    </row>
    <row r="658">
      <c r="D658" s="692" t="n"/>
      <c r="E658" s="415" t="n"/>
      <c r="F658" s="692" t="n"/>
      <c r="L658" s="692" t="n"/>
      <c r="Q658" s="415" t="n"/>
      <c r="R658" s="692" t="n"/>
      <c r="T658" s="692" t="n"/>
      <c r="W658" s="692" t="n"/>
      <c r="Y658" s="415" t="n"/>
      <c r="Z658" s="692" t="n"/>
    </row>
    <row r="659">
      <c r="D659" s="692" t="n"/>
      <c r="E659" s="415" t="n"/>
      <c r="F659" s="692" t="n"/>
      <c r="L659" s="692" t="n"/>
      <c r="Q659" s="415" t="n"/>
      <c r="R659" s="692" t="n"/>
      <c r="T659" s="692" t="n"/>
      <c r="W659" s="692" t="n"/>
      <c r="Y659" s="415" t="n"/>
      <c r="Z659" s="692" t="n"/>
    </row>
    <row r="660">
      <c r="D660" s="692" t="n"/>
      <c r="E660" s="415" t="n"/>
      <c r="F660" s="692" t="n"/>
      <c r="L660" s="692" t="n"/>
      <c r="Q660" s="415" t="n"/>
      <c r="R660" s="692" t="n"/>
      <c r="T660" s="692" t="n"/>
      <c r="W660" s="692" t="n"/>
      <c r="Y660" s="415" t="n"/>
      <c r="Z660" s="692" t="n"/>
    </row>
    <row r="661">
      <c r="D661" s="692" t="n"/>
      <c r="E661" s="415" t="n"/>
      <c r="F661" s="692" t="n"/>
      <c r="L661" s="692" t="n"/>
      <c r="Q661" s="415" t="n"/>
      <c r="R661" s="692" t="n"/>
      <c r="T661" s="692" t="n"/>
      <c r="W661" s="692" t="n"/>
      <c r="Y661" s="415" t="n"/>
      <c r="Z661" s="692" t="n"/>
    </row>
    <row r="662">
      <c r="D662" s="692" t="n"/>
      <c r="E662" s="415" t="n"/>
      <c r="F662" s="692" t="n"/>
      <c r="L662" s="692" t="n"/>
      <c r="Q662" s="415" t="n"/>
      <c r="R662" s="692" t="n"/>
      <c r="T662" s="692" t="n"/>
      <c r="W662" s="692" t="n"/>
      <c r="Y662" s="415" t="n"/>
      <c r="Z662" s="692" t="n"/>
    </row>
    <row r="663">
      <c r="D663" s="692" t="n"/>
      <c r="E663" s="415" t="n"/>
      <c r="F663" s="692" t="n"/>
      <c r="L663" s="692" t="n"/>
      <c r="Q663" s="415" t="n"/>
      <c r="R663" s="692" t="n"/>
      <c r="T663" s="692" t="n"/>
      <c r="W663" s="692" t="n"/>
      <c r="Y663" s="415" t="n"/>
      <c r="Z663" s="692" t="n"/>
    </row>
    <row r="664">
      <c r="D664" s="692" t="n"/>
      <c r="E664" s="415" t="n"/>
      <c r="F664" s="692" t="n"/>
      <c r="L664" s="692" t="n"/>
      <c r="Q664" s="415" t="n"/>
      <c r="R664" s="692" t="n"/>
      <c r="T664" s="692" t="n"/>
      <c r="W664" s="692" t="n"/>
      <c r="Y664" s="415" t="n"/>
      <c r="Z664" s="692" t="n"/>
    </row>
    <row r="665">
      <c r="D665" s="692" t="n"/>
      <c r="E665" s="415" t="n"/>
      <c r="F665" s="692" t="n"/>
      <c r="L665" s="692" t="n"/>
      <c r="Q665" s="415" t="n"/>
      <c r="R665" s="692" t="n"/>
      <c r="T665" s="692" t="n"/>
      <c r="W665" s="692" t="n"/>
      <c r="Y665" s="415" t="n"/>
      <c r="Z665" s="692" t="n"/>
    </row>
    <row r="666">
      <c r="D666" s="692" t="n"/>
      <c r="E666" s="415" t="n"/>
      <c r="F666" s="692" t="n"/>
      <c r="L666" s="692" t="n"/>
      <c r="Q666" s="415" t="n"/>
      <c r="R666" s="692" t="n"/>
      <c r="T666" s="692" t="n"/>
      <c r="W666" s="692" t="n"/>
      <c r="Y666" s="415" t="n"/>
      <c r="Z666" s="692" t="n"/>
    </row>
    <row r="667">
      <c r="D667" s="692" t="n"/>
      <c r="E667" s="415" t="n"/>
      <c r="F667" s="692" t="n"/>
      <c r="L667" s="692" t="n"/>
      <c r="Q667" s="415" t="n"/>
      <c r="R667" s="692" t="n"/>
      <c r="T667" s="692" t="n"/>
      <c r="W667" s="692" t="n"/>
      <c r="Y667" s="415" t="n"/>
      <c r="Z667" s="692" t="n"/>
    </row>
    <row r="668">
      <c r="D668" s="692" t="n"/>
      <c r="E668" s="415" t="n"/>
      <c r="F668" s="692" t="n"/>
      <c r="L668" s="692" t="n"/>
      <c r="Q668" s="415" t="n"/>
      <c r="R668" s="692" t="n"/>
      <c r="T668" s="692" t="n"/>
      <c r="W668" s="692" t="n"/>
      <c r="Y668" s="415" t="n"/>
      <c r="Z668" s="692" t="n"/>
    </row>
    <row r="669">
      <c r="D669" s="692" t="n"/>
      <c r="E669" s="415" t="n"/>
      <c r="F669" s="692" t="n"/>
      <c r="L669" s="692" t="n"/>
      <c r="Q669" s="415" t="n"/>
      <c r="R669" s="692" t="n"/>
      <c r="T669" s="692" t="n"/>
      <c r="W669" s="692" t="n"/>
      <c r="Y669" s="415" t="n"/>
      <c r="Z669" s="692" t="n"/>
    </row>
    <row r="670">
      <c r="D670" s="692" t="n"/>
      <c r="E670" s="415" t="n"/>
      <c r="F670" s="692" t="n"/>
      <c r="L670" s="692" t="n"/>
      <c r="Q670" s="415" t="n"/>
      <c r="R670" s="692" t="n"/>
      <c r="T670" s="692" t="n"/>
      <c r="W670" s="692" t="n"/>
      <c r="Y670" s="415" t="n"/>
      <c r="Z670" s="692" t="n"/>
    </row>
    <row r="671">
      <c r="D671" s="692" t="n"/>
      <c r="E671" s="415" t="n"/>
      <c r="F671" s="692" t="n"/>
      <c r="L671" s="692" t="n"/>
      <c r="Q671" s="415" t="n"/>
      <c r="R671" s="692" t="n"/>
      <c r="T671" s="692" t="n"/>
      <c r="W671" s="692" t="n"/>
      <c r="Y671" s="415" t="n"/>
      <c r="Z671" s="692" t="n"/>
    </row>
    <row r="672">
      <c r="D672" s="692" t="n"/>
      <c r="E672" s="415" t="n"/>
      <c r="F672" s="692" t="n"/>
      <c r="L672" s="692" t="n"/>
      <c r="Q672" s="415" t="n"/>
      <c r="R672" s="692" t="n"/>
      <c r="T672" s="692" t="n"/>
      <c r="W672" s="692" t="n"/>
      <c r="Y672" s="415" t="n"/>
      <c r="Z672" s="692" t="n"/>
    </row>
    <row r="673">
      <c r="D673" s="692" t="n"/>
      <c r="E673" s="415" t="n"/>
      <c r="F673" s="692" t="n"/>
      <c r="L673" s="692" t="n"/>
      <c r="Q673" s="415" t="n"/>
      <c r="R673" s="692" t="n"/>
      <c r="T673" s="692" t="n"/>
      <c r="W673" s="692" t="n"/>
      <c r="Y673" s="415" t="n"/>
      <c r="Z673" s="692" t="n"/>
    </row>
    <row r="674">
      <c r="D674" s="692" t="n"/>
      <c r="E674" s="415" t="n"/>
      <c r="F674" s="692" t="n"/>
      <c r="L674" s="692" t="n"/>
      <c r="Q674" s="415" t="n"/>
      <c r="R674" s="692" t="n"/>
      <c r="T674" s="692" t="n"/>
      <c r="W674" s="692" t="n"/>
      <c r="Y674" s="415" t="n"/>
      <c r="Z674" s="692" t="n"/>
    </row>
    <row r="675">
      <c r="D675" s="692" t="n"/>
      <c r="E675" s="415" t="n"/>
      <c r="F675" s="692" t="n"/>
      <c r="L675" s="692" t="n"/>
      <c r="Q675" s="415" t="n"/>
      <c r="R675" s="692" t="n"/>
      <c r="T675" s="692" t="n"/>
      <c r="W675" s="692" t="n"/>
      <c r="Y675" s="415" t="n"/>
      <c r="Z675" s="692" t="n"/>
    </row>
    <row r="676">
      <c r="D676" s="692" t="n"/>
      <c r="E676" s="415" t="n"/>
      <c r="F676" s="692" t="n"/>
      <c r="L676" s="692" t="n"/>
      <c r="Q676" s="415" t="n"/>
      <c r="R676" s="692" t="n"/>
      <c r="T676" s="692" t="n"/>
      <c r="W676" s="692" t="n"/>
      <c r="Y676" s="415" t="n"/>
      <c r="Z676" s="692" t="n"/>
    </row>
    <row r="677">
      <c r="D677" s="692" t="n"/>
      <c r="E677" s="415" t="n"/>
      <c r="F677" s="692" t="n"/>
      <c r="L677" s="692" t="n"/>
      <c r="Q677" s="415" t="n"/>
      <c r="R677" s="692" t="n"/>
      <c r="T677" s="692" t="n"/>
      <c r="W677" s="692" t="n"/>
      <c r="Y677" s="415" t="n"/>
      <c r="Z677" s="692" t="n"/>
    </row>
    <row r="678">
      <c r="D678" s="692" t="n"/>
      <c r="E678" s="415" t="n"/>
      <c r="F678" s="692" t="n"/>
      <c r="L678" s="692" t="n"/>
      <c r="Q678" s="415" t="n"/>
      <c r="R678" s="692" t="n"/>
      <c r="T678" s="692" t="n"/>
      <c r="W678" s="692" t="n"/>
      <c r="Y678" s="415" t="n"/>
      <c r="Z678" s="692" t="n"/>
    </row>
    <row r="679">
      <c r="D679" s="692" t="n"/>
      <c r="E679" s="415" t="n"/>
      <c r="F679" s="692" t="n"/>
      <c r="L679" s="692" t="n"/>
      <c r="Q679" s="415" t="n"/>
      <c r="R679" s="692" t="n"/>
      <c r="T679" s="692" t="n"/>
      <c r="W679" s="692" t="n"/>
      <c r="Y679" s="415" t="n"/>
      <c r="Z679" s="692" t="n"/>
    </row>
    <row r="680">
      <c r="D680" s="692" t="n"/>
      <c r="E680" s="415" t="n"/>
      <c r="F680" s="692" t="n"/>
      <c r="L680" s="692" t="n"/>
      <c r="Q680" s="415" t="n"/>
      <c r="R680" s="692" t="n"/>
      <c r="T680" s="692" t="n"/>
      <c r="W680" s="692" t="n"/>
      <c r="Y680" s="415" t="n"/>
      <c r="Z680" s="692" t="n"/>
    </row>
    <row r="681">
      <c r="D681" s="692" t="n"/>
      <c r="E681" s="415" t="n"/>
      <c r="F681" s="692" t="n"/>
      <c r="L681" s="692" t="n"/>
      <c r="Q681" s="415" t="n"/>
      <c r="R681" s="692" t="n"/>
      <c r="T681" s="692" t="n"/>
      <c r="W681" s="692" t="n"/>
      <c r="Y681" s="415" t="n"/>
      <c r="Z681" s="692" t="n"/>
    </row>
    <row r="682">
      <c r="D682" s="692" t="n"/>
      <c r="E682" s="415" t="n"/>
      <c r="F682" s="692" t="n"/>
      <c r="L682" s="692" t="n"/>
      <c r="Q682" s="415" t="n"/>
      <c r="R682" s="692" t="n"/>
      <c r="T682" s="692" t="n"/>
      <c r="W682" s="692" t="n"/>
      <c r="Y682" s="415" t="n"/>
      <c r="Z682" s="692" t="n"/>
    </row>
    <row r="683">
      <c r="D683" s="692" t="n"/>
      <c r="E683" s="415" t="n"/>
      <c r="F683" s="692" t="n"/>
      <c r="L683" s="692" t="n"/>
      <c r="Q683" s="415" t="n"/>
      <c r="R683" s="692" t="n"/>
      <c r="T683" s="692" t="n"/>
      <c r="W683" s="692" t="n"/>
      <c r="Y683" s="415" t="n"/>
      <c r="Z683" s="692" t="n"/>
    </row>
    <row r="684">
      <c r="D684" s="692" t="n"/>
      <c r="E684" s="415" t="n"/>
      <c r="F684" s="692" t="n"/>
      <c r="L684" s="692" t="n"/>
      <c r="Q684" s="415" t="n"/>
      <c r="R684" s="692" t="n"/>
      <c r="T684" s="692" t="n"/>
      <c r="W684" s="692" t="n"/>
      <c r="Y684" s="415" t="n"/>
      <c r="Z684" s="692" t="n"/>
    </row>
    <row r="685">
      <c r="D685" s="692" t="n"/>
      <c r="E685" s="415" t="n"/>
      <c r="F685" s="692" t="n"/>
      <c r="L685" s="692" t="n"/>
      <c r="Q685" s="415" t="n"/>
      <c r="R685" s="692" t="n"/>
      <c r="T685" s="692" t="n"/>
      <c r="W685" s="692" t="n"/>
      <c r="Y685" s="415" t="n"/>
      <c r="Z685" s="692" t="n"/>
    </row>
    <row r="686">
      <c r="D686" s="692" t="n"/>
      <c r="E686" s="415" t="n"/>
      <c r="F686" s="692" t="n"/>
      <c r="L686" s="692" t="n"/>
      <c r="Q686" s="415" t="n"/>
      <c r="R686" s="692" t="n"/>
      <c r="T686" s="692" t="n"/>
      <c r="W686" s="692" t="n"/>
      <c r="Y686" s="415" t="n"/>
      <c r="Z686" s="692" t="n"/>
    </row>
    <row r="687">
      <c r="D687" s="692" t="n"/>
      <c r="E687" s="415" t="n"/>
      <c r="F687" s="692" t="n"/>
      <c r="L687" s="692" t="n"/>
      <c r="Q687" s="415" t="n"/>
      <c r="R687" s="692" t="n"/>
      <c r="T687" s="692" t="n"/>
      <c r="W687" s="692" t="n"/>
      <c r="Y687" s="415" t="n"/>
      <c r="Z687" s="692" t="n"/>
    </row>
    <row r="688">
      <c r="D688" s="692" t="n"/>
      <c r="E688" s="415" t="n"/>
      <c r="F688" s="692" t="n"/>
      <c r="L688" s="692" t="n"/>
      <c r="Q688" s="415" t="n"/>
      <c r="R688" s="692" t="n"/>
      <c r="T688" s="692" t="n"/>
      <c r="W688" s="692" t="n"/>
      <c r="Y688" s="415" t="n"/>
      <c r="Z688" s="692" t="n"/>
    </row>
    <row r="689">
      <c r="D689" s="692" t="n"/>
      <c r="E689" s="415" t="n"/>
      <c r="F689" s="692" t="n"/>
      <c r="L689" s="692" t="n"/>
      <c r="Q689" s="415" t="n"/>
      <c r="R689" s="692" t="n"/>
      <c r="T689" s="692" t="n"/>
      <c r="W689" s="692" t="n"/>
      <c r="Y689" s="415" t="n"/>
      <c r="Z689" s="692" t="n"/>
    </row>
    <row r="690">
      <c r="D690" s="692" t="n"/>
      <c r="E690" s="415" t="n"/>
      <c r="F690" s="692" t="n"/>
      <c r="L690" s="692" t="n"/>
      <c r="Q690" s="415" t="n"/>
      <c r="R690" s="692" t="n"/>
      <c r="T690" s="692" t="n"/>
      <c r="W690" s="692" t="n"/>
      <c r="Y690" s="415" t="n"/>
      <c r="Z690" s="692" t="n"/>
    </row>
    <row r="691">
      <c r="D691" s="692" t="n"/>
      <c r="E691" s="415" t="n"/>
      <c r="F691" s="692" t="n"/>
      <c r="L691" s="692" t="n"/>
      <c r="Q691" s="415" t="n"/>
      <c r="R691" s="692" t="n"/>
      <c r="T691" s="692" t="n"/>
      <c r="W691" s="692" t="n"/>
      <c r="Y691" s="415" t="n"/>
      <c r="Z691" s="692" t="n"/>
    </row>
    <row r="692">
      <c r="D692" s="692" t="n"/>
      <c r="E692" s="415" t="n"/>
      <c r="F692" s="692" t="n"/>
      <c r="L692" s="692" t="n"/>
      <c r="Q692" s="415" t="n"/>
      <c r="R692" s="692" t="n"/>
      <c r="T692" s="692" t="n"/>
      <c r="W692" s="692" t="n"/>
      <c r="Y692" s="415" t="n"/>
      <c r="Z692" s="692" t="n"/>
    </row>
    <row r="693">
      <c r="D693" s="692" t="n"/>
      <c r="E693" s="415" t="n"/>
      <c r="F693" s="692" t="n"/>
      <c r="L693" s="692" t="n"/>
      <c r="Q693" s="415" t="n"/>
      <c r="R693" s="692" t="n"/>
      <c r="T693" s="692" t="n"/>
      <c r="W693" s="692" t="n"/>
      <c r="Y693" s="415" t="n"/>
      <c r="Z693" s="692" t="n"/>
    </row>
    <row r="694">
      <c r="D694" s="692" t="n"/>
      <c r="E694" s="415" t="n"/>
      <c r="F694" s="692" t="n"/>
      <c r="L694" s="692" t="n"/>
      <c r="Q694" s="415" t="n"/>
      <c r="R694" s="692" t="n"/>
      <c r="T694" s="692" t="n"/>
      <c r="W694" s="692" t="n"/>
      <c r="Y694" s="415" t="n"/>
      <c r="Z694" s="692" t="n"/>
    </row>
    <row r="695">
      <c r="D695" s="692" t="n"/>
      <c r="E695" s="415" t="n"/>
      <c r="F695" s="692" t="n"/>
      <c r="L695" s="692" t="n"/>
      <c r="Q695" s="415" t="n"/>
      <c r="R695" s="692" t="n"/>
      <c r="T695" s="692" t="n"/>
      <c r="W695" s="692" t="n"/>
      <c r="Y695" s="415" t="n"/>
      <c r="Z695" s="692" t="n"/>
    </row>
    <row r="696">
      <c r="D696" s="692" t="n"/>
      <c r="E696" s="415" t="n"/>
      <c r="F696" s="692" t="n"/>
      <c r="L696" s="692" t="n"/>
      <c r="Q696" s="415" t="n"/>
      <c r="R696" s="692" t="n"/>
      <c r="T696" s="692" t="n"/>
      <c r="W696" s="692" t="n"/>
      <c r="Y696" s="415" t="n"/>
      <c r="Z696" s="692" t="n"/>
    </row>
    <row r="697">
      <c r="D697" s="692" t="n"/>
      <c r="E697" s="415" t="n"/>
      <c r="F697" s="692" t="n"/>
      <c r="L697" s="692" t="n"/>
      <c r="Q697" s="415" t="n"/>
      <c r="R697" s="692" t="n"/>
      <c r="T697" s="692" t="n"/>
      <c r="W697" s="692" t="n"/>
      <c r="Y697" s="415" t="n"/>
      <c r="Z697" s="692" t="n"/>
    </row>
    <row r="698">
      <c r="D698" s="692" t="n"/>
      <c r="E698" s="415" t="n"/>
      <c r="F698" s="692" t="n"/>
      <c r="L698" s="692" t="n"/>
      <c r="Q698" s="415" t="n"/>
      <c r="R698" s="692" t="n"/>
      <c r="T698" s="692" t="n"/>
      <c r="W698" s="692" t="n"/>
      <c r="Y698" s="415" t="n"/>
      <c r="Z698" s="692" t="n"/>
    </row>
    <row r="699">
      <c r="D699" s="692" t="n"/>
      <c r="E699" s="415" t="n"/>
      <c r="F699" s="692" t="n"/>
      <c r="L699" s="692" t="n"/>
      <c r="Q699" s="415" t="n"/>
      <c r="R699" s="692" t="n"/>
      <c r="T699" s="692" t="n"/>
      <c r="W699" s="692" t="n"/>
      <c r="Y699" s="415" t="n"/>
      <c r="Z699" s="692" t="n"/>
    </row>
    <row r="700">
      <c r="D700" s="692" t="n"/>
      <c r="E700" s="415" t="n"/>
      <c r="F700" s="692" t="n"/>
      <c r="L700" s="692" t="n"/>
      <c r="Q700" s="415" t="n"/>
      <c r="R700" s="692" t="n"/>
      <c r="T700" s="692" t="n"/>
      <c r="W700" s="692" t="n"/>
      <c r="Y700" s="415" t="n"/>
      <c r="Z700" s="692" t="n"/>
    </row>
    <row r="701">
      <c r="D701" s="692" t="n"/>
      <c r="E701" s="415" t="n"/>
      <c r="F701" s="692" t="n"/>
      <c r="L701" s="692" t="n"/>
      <c r="Q701" s="415" t="n"/>
      <c r="R701" s="692" t="n"/>
      <c r="T701" s="692" t="n"/>
      <c r="W701" s="692" t="n"/>
      <c r="Y701" s="415" t="n"/>
      <c r="Z701" s="692" t="n"/>
    </row>
    <row r="702">
      <c r="D702" s="692" t="n"/>
      <c r="E702" s="415" t="n"/>
      <c r="F702" s="692" t="n"/>
      <c r="L702" s="692" t="n"/>
      <c r="Q702" s="415" t="n"/>
      <c r="R702" s="692" t="n"/>
      <c r="T702" s="692" t="n"/>
      <c r="W702" s="692" t="n"/>
      <c r="Y702" s="415" t="n"/>
      <c r="Z702" s="692" t="n"/>
    </row>
    <row r="703">
      <c r="D703" s="692" t="n"/>
      <c r="E703" s="415" t="n"/>
      <c r="F703" s="692" t="n"/>
      <c r="L703" s="692" t="n"/>
      <c r="Q703" s="415" t="n"/>
      <c r="R703" s="692" t="n"/>
      <c r="T703" s="692" t="n"/>
      <c r="W703" s="692" t="n"/>
      <c r="Y703" s="415" t="n"/>
      <c r="Z703" s="692" t="n"/>
    </row>
    <row r="704">
      <c r="D704" s="692" t="n"/>
      <c r="E704" s="415" t="n"/>
      <c r="F704" s="692" t="n"/>
      <c r="L704" s="692" t="n"/>
      <c r="Q704" s="415" t="n"/>
      <c r="R704" s="692" t="n"/>
      <c r="T704" s="692" t="n"/>
      <c r="W704" s="692" t="n"/>
      <c r="Y704" s="415" t="n"/>
      <c r="Z704" s="692" t="n"/>
    </row>
    <row r="705">
      <c r="D705" s="692" t="n"/>
      <c r="E705" s="415" t="n"/>
      <c r="F705" s="692" t="n"/>
      <c r="L705" s="692" t="n"/>
      <c r="Q705" s="415" t="n"/>
      <c r="R705" s="692" t="n"/>
      <c r="T705" s="692" t="n"/>
      <c r="W705" s="692" t="n"/>
      <c r="Y705" s="415" t="n"/>
      <c r="Z705" s="692" t="n"/>
    </row>
    <row r="706">
      <c r="D706" s="692" t="n"/>
      <c r="E706" s="415" t="n"/>
      <c r="F706" s="692" t="n"/>
      <c r="L706" s="692" t="n"/>
      <c r="Q706" s="415" t="n"/>
      <c r="R706" s="692" t="n"/>
      <c r="T706" s="692" t="n"/>
      <c r="W706" s="692" t="n"/>
      <c r="Y706" s="415" t="n"/>
      <c r="Z706" s="692" t="n"/>
    </row>
    <row r="707">
      <c r="D707" s="692" t="n"/>
      <c r="E707" s="415" t="n"/>
      <c r="F707" s="692" t="n"/>
      <c r="L707" s="692" t="n"/>
      <c r="Q707" s="415" t="n"/>
      <c r="R707" s="692" t="n"/>
      <c r="T707" s="692" t="n"/>
      <c r="W707" s="692" t="n"/>
      <c r="Y707" s="415" t="n"/>
      <c r="Z707" s="692" t="n"/>
    </row>
    <row r="708">
      <c r="D708" s="692" t="n"/>
      <c r="E708" s="415" t="n"/>
      <c r="F708" s="692" t="n"/>
      <c r="L708" s="692" t="n"/>
      <c r="Q708" s="415" t="n"/>
      <c r="R708" s="692" t="n"/>
      <c r="T708" s="692" t="n"/>
      <c r="W708" s="692" t="n"/>
      <c r="Y708" s="415" t="n"/>
      <c r="Z708" s="692" t="n"/>
    </row>
    <row r="709">
      <c r="D709" s="692" t="n"/>
      <c r="E709" s="415" t="n"/>
      <c r="F709" s="692" t="n"/>
      <c r="L709" s="692" t="n"/>
      <c r="Q709" s="415" t="n"/>
      <c r="R709" s="692" t="n"/>
      <c r="T709" s="692" t="n"/>
      <c r="W709" s="692" t="n"/>
      <c r="Y709" s="415" t="n"/>
      <c r="Z709" s="692" t="n"/>
    </row>
    <row r="710">
      <c r="D710" s="692" t="n"/>
      <c r="E710" s="415" t="n"/>
      <c r="F710" s="692" t="n"/>
      <c r="L710" s="692" t="n"/>
      <c r="Q710" s="415" t="n"/>
      <c r="R710" s="692" t="n"/>
      <c r="T710" s="692" t="n"/>
      <c r="W710" s="692" t="n"/>
      <c r="Y710" s="415" t="n"/>
      <c r="Z710" s="692" t="n"/>
    </row>
    <row r="711">
      <c r="D711" s="692" t="n"/>
      <c r="E711" s="415" t="n"/>
      <c r="F711" s="692" t="n"/>
      <c r="L711" s="692" t="n"/>
      <c r="Q711" s="415" t="n"/>
      <c r="R711" s="692" t="n"/>
      <c r="T711" s="692" t="n"/>
      <c r="W711" s="692" t="n"/>
      <c r="Y711" s="415" t="n"/>
      <c r="Z711" s="692" t="n"/>
    </row>
    <row r="712">
      <c r="D712" s="692" t="n"/>
      <c r="E712" s="415" t="n"/>
      <c r="F712" s="692" t="n"/>
      <c r="L712" s="692" t="n"/>
      <c r="Q712" s="415" t="n"/>
      <c r="R712" s="692" t="n"/>
      <c r="T712" s="692" t="n"/>
      <c r="W712" s="692" t="n"/>
      <c r="Y712" s="415" t="n"/>
      <c r="Z712" s="692" t="n"/>
    </row>
    <row r="713">
      <c r="D713" s="692" t="n"/>
      <c r="E713" s="415" t="n"/>
      <c r="F713" s="692" t="n"/>
      <c r="L713" s="692" t="n"/>
      <c r="Q713" s="415" t="n"/>
      <c r="R713" s="692" t="n"/>
      <c r="T713" s="692" t="n"/>
      <c r="W713" s="692" t="n"/>
      <c r="Y713" s="415" t="n"/>
      <c r="Z713" s="692" t="n"/>
    </row>
    <row r="714">
      <c r="D714" s="692" t="n"/>
      <c r="E714" s="415" t="n"/>
      <c r="F714" s="692" t="n"/>
      <c r="L714" s="692" t="n"/>
      <c r="Q714" s="415" t="n"/>
      <c r="R714" s="692" t="n"/>
      <c r="T714" s="692" t="n"/>
      <c r="W714" s="692" t="n"/>
      <c r="Y714" s="415" t="n"/>
      <c r="Z714" s="692" t="n"/>
    </row>
    <row r="715">
      <c r="D715" s="692" t="n"/>
      <c r="E715" s="415" t="n"/>
      <c r="F715" s="692" t="n"/>
      <c r="L715" s="692" t="n"/>
      <c r="Q715" s="415" t="n"/>
      <c r="R715" s="692" t="n"/>
      <c r="T715" s="692" t="n"/>
      <c r="W715" s="692" t="n"/>
      <c r="Y715" s="415" t="n"/>
      <c r="Z715" s="692" t="n"/>
    </row>
    <row r="716">
      <c r="D716" s="692" t="n"/>
      <c r="E716" s="415" t="n"/>
      <c r="F716" s="692" t="n"/>
      <c r="L716" s="692" t="n"/>
      <c r="Q716" s="415" t="n"/>
      <c r="R716" s="692" t="n"/>
      <c r="T716" s="692" t="n"/>
      <c r="W716" s="692" t="n"/>
      <c r="Y716" s="415" t="n"/>
      <c r="Z716" s="692" t="n"/>
    </row>
    <row r="717">
      <c r="D717" s="692" t="n"/>
      <c r="E717" s="415" t="n"/>
      <c r="F717" s="692" t="n"/>
      <c r="L717" s="692" t="n"/>
      <c r="Q717" s="415" t="n"/>
      <c r="R717" s="692" t="n"/>
      <c r="T717" s="692" t="n"/>
      <c r="W717" s="692" t="n"/>
      <c r="Y717" s="415" t="n"/>
      <c r="Z717" s="692" t="n"/>
    </row>
    <row r="718">
      <c r="D718" s="692" t="n"/>
      <c r="E718" s="415" t="n"/>
      <c r="F718" s="692" t="n"/>
      <c r="L718" s="692" t="n"/>
      <c r="Q718" s="415" t="n"/>
      <c r="R718" s="692" t="n"/>
      <c r="T718" s="692" t="n"/>
      <c r="W718" s="692" t="n"/>
      <c r="Y718" s="415" t="n"/>
      <c r="Z718" s="692" t="n"/>
    </row>
    <row r="719">
      <c r="D719" s="692" t="n"/>
      <c r="E719" s="415" t="n"/>
      <c r="F719" s="692" t="n"/>
      <c r="L719" s="692" t="n"/>
      <c r="Q719" s="415" t="n"/>
      <c r="R719" s="692" t="n"/>
      <c r="T719" s="692" t="n"/>
      <c r="W719" s="692" t="n"/>
      <c r="Y719" s="415" t="n"/>
      <c r="Z719" s="692" t="n"/>
    </row>
    <row r="720">
      <c r="D720" s="692" t="n"/>
      <c r="E720" s="415" t="n"/>
      <c r="F720" s="692" t="n"/>
      <c r="L720" s="692" t="n"/>
      <c r="Q720" s="415" t="n"/>
      <c r="R720" s="692" t="n"/>
      <c r="T720" s="692" t="n"/>
      <c r="W720" s="692" t="n"/>
      <c r="Y720" s="415" t="n"/>
      <c r="Z720" s="692" t="n"/>
    </row>
    <row r="721">
      <c r="D721" s="692" t="n"/>
      <c r="E721" s="415" t="n"/>
      <c r="F721" s="692" t="n"/>
      <c r="L721" s="692" t="n"/>
      <c r="Q721" s="415" t="n"/>
      <c r="R721" s="692" t="n"/>
      <c r="T721" s="692" t="n"/>
      <c r="W721" s="692" t="n"/>
      <c r="Y721" s="415" t="n"/>
      <c r="Z721" s="692" t="n"/>
    </row>
    <row r="722">
      <c r="D722" s="692" t="n"/>
      <c r="E722" s="415" t="n"/>
      <c r="F722" s="692" t="n"/>
      <c r="L722" s="692" t="n"/>
      <c r="Q722" s="415" t="n"/>
      <c r="R722" s="692" t="n"/>
      <c r="T722" s="692" t="n"/>
      <c r="W722" s="692" t="n"/>
      <c r="Y722" s="415" t="n"/>
      <c r="Z722" s="692" t="n"/>
    </row>
    <row r="723">
      <c r="D723" s="692" t="n"/>
      <c r="E723" s="415" t="n"/>
      <c r="F723" s="692" t="n"/>
      <c r="L723" s="692" t="n"/>
      <c r="Q723" s="415" t="n"/>
      <c r="R723" s="692" t="n"/>
      <c r="T723" s="692" t="n"/>
      <c r="W723" s="692" t="n"/>
      <c r="Y723" s="415" t="n"/>
      <c r="Z723" s="692" t="n"/>
    </row>
    <row r="724">
      <c r="D724" s="692" t="n"/>
      <c r="E724" s="415" t="n"/>
      <c r="F724" s="692" t="n"/>
      <c r="L724" s="692" t="n"/>
      <c r="Q724" s="415" t="n"/>
      <c r="R724" s="692" t="n"/>
      <c r="T724" s="692" t="n"/>
      <c r="W724" s="692" t="n"/>
      <c r="Y724" s="415" t="n"/>
      <c r="Z724" s="692" t="n"/>
    </row>
    <row r="725">
      <c r="D725" s="692" t="n"/>
      <c r="E725" s="415" t="n"/>
      <c r="F725" s="692" t="n"/>
      <c r="L725" s="692" t="n"/>
      <c r="Q725" s="415" t="n"/>
      <c r="R725" s="692" t="n"/>
      <c r="T725" s="692" t="n"/>
      <c r="W725" s="692" t="n"/>
      <c r="Y725" s="415" t="n"/>
      <c r="Z725" s="692" t="n"/>
    </row>
    <row r="726">
      <c r="D726" s="692" t="n"/>
      <c r="E726" s="415" t="n"/>
      <c r="F726" s="692" t="n"/>
      <c r="L726" s="692" t="n"/>
      <c r="Q726" s="415" t="n"/>
      <c r="R726" s="692" t="n"/>
      <c r="T726" s="692" t="n"/>
      <c r="W726" s="692" t="n"/>
      <c r="Y726" s="415" t="n"/>
      <c r="Z726" s="692" t="n"/>
    </row>
    <row r="727">
      <c r="D727" s="692" t="n"/>
      <c r="E727" s="415" t="n"/>
      <c r="F727" s="692" t="n"/>
      <c r="L727" s="692" t="n"/>
      <c r="Q727" s="415" t="n"/>
      <c r="R727" s="692" t="n"/>
      <c r="T727" s="692" t="n"/>
      <c r="W727" s="692" t="n"/>
      <c r="Y727" s="415" t="n"/>
      <c r="Z727" s="692" t="n"/>
    </row>
    <row r="728">
      <c r="D728" s="692" t="n"/>
      <c r="E728" s="415" t="n"/>
      <c r="F728" s="692" t="n"/>
      <c r="L728" s="692" t="n"/>
      <c r="Q728" s="415" t="n"/>
      <c r="R728" s="692" t="n"/>
      <c r="T728" s="692" t="n"/>
      <c r="W728" s="692" t="n"/>
      <c r="Y728" s="415" t="n"/>
      <c r="Z728" s="692" t="n"/>
    </row>
    <row r="729">
      <c r="D729" s="692" t="n"/>
      <c r="E729" s="415" t="n"/>
      <c r="F729" s="692" t="n"/>
      <c r="L729" s="692" t="n"/>
      <c r="Q729" s="415" t="n"/>
      <c r="R729" s="692" t="n"/>
      <c r="T729" s="692" t="n"/>
      <c r="W729" s="692" t="n"/>
      <c r="Y729" s="415" t="n"/>
      <c r="Z729" s="692" t="n"/>
    </row>
    <row r="730">
      <c r="D730" s="692" t="n"/>
      <c r="E730" s="415" t="n"/>
      <c r="F730" s="692" t="n"/>
      <c r="L730" s="692" t="n"/>
      <c r="Q730" s="415" t="n"/>
      <c r="R730" s="692" t="n"/>
      <c r="T730" s="692" t="n"/>
      <c r="W730" s="692" t="n"/>
      <c r="Y730" s="415" t="n"/>
      <c r="Z730" s="692" t="n"/>
    </row>
    <row r="731">
      <c r="D731" s="692" t="n"/>
      <c r="E731" s="415" t="n"/>
      <c r="F731" s="692" t="n"/>
      <c r="L731" s="692" t="n"/>
      <c r="Q731" s="415" t="n"/>
      <c r="R731" s="692" t="n"/>
      <c r="T731" s="692" t="n"/>
      <c r="W731" s="692" t="n"/>
      <c r="Y731" s="415" t="n"/>
      <c r="Z731" s="692" t="n"/>
    </row>
    <row r="732">
      <c r="D732" s="692" t="n"/>
      <c r="E732" s="415" t="n"/>
      <c r="F732" s="692" t="n"/>
      <c r="L732" s="692" t="n"/>
      <c r="Q732" s="415" t="n"/>
      <c r="R732" s="692" t="n"/>
      <c r="T732" s="692" t="n"/>
      <c r="W732" s="692" t="n"/>
      <c r="Y732" s="415" t="n"/>
      <c r="Z732" s="692" t="n"/>
    </row>
    <row r="733">
      <c r="D733" s="692" t="n"/>
      <c r="E733" s="415" t="n"/>
      <c r="F733" s="692" t="n"/>
      <c r="L733" s="692" t="n"/>
      <c r="Q733" s="415" t="n"/>
      <c r="R733" s="692" t="n"/>
      <c r="T733" s="692" t="n"/>
      <c r="W733" s="692" t="n"/>
      <c r="Y733" s="415" t="n"/>
      <c r="Z733" s="692" t="n"/>
    </row>
    <row r="734">
      <c r="D734" s="692" t="n"/>
      <c r="E734" s="415" t="n"/>
      <c r="F734" s="692" t="n"/>
      <c r="L734" s="692" t="n"/>
      <c r="Q734" s="415" t="n"/>
      <c r="R734" s="692" t="n"/>
      <c r="T734" s="692" t="n"/>
      <c r="W734" s="692" t="n"/>
      <c r="Y734" s="415" t="n"/>
      <c r="Z734" s="692" t="n"/>
    </row>
    <row r="735">
      <c r="D735" s="692" t="n"/>
      <c r="E735" s="415" t="n"/>
      <c r="F735" s="692" t="n"/>
      <c r="L735" s="692" t="n"/>
      <c r="Q735" s="415" t="n"/>
      <c r="R735" s="692" t="n"/>
      <c r="T735" s="692" t="n"/>
      <c r="W735" s="692" t="n"/>
      <c r="Y735" s="415" t="n"/>
      <c r="Z735" s="692" t="n"/>
    </row>
    <row r="736">
      <c r="D736" s="692" t="n"/>
      <c r="E736" s="415" t="n"/>
      <c r="F736" s="692" t="n"/>
      <c r="L736" s="692" t="n"/>
      <c r="Q736" s="415" t="n"/>
      <c r="R736" s="692" t="n"/>
      <c r="T736" s="692" t="n"/>
      <c r="W736" s="692" t="n"/>
      <c r="Y736" s="415" t="n"/>
      <c r="Z736" s="692" t="n"/>
    </row>
    <row r="737">
      <c r="D737" s="692" t="n"/>
      <c r="E737" s="415" t="n"/>
      <c r="F737" s="692" t="n"/>
      <c r="L737" s="692" t="n"/>
      <c r="Q737" s="415" t="n"/>
      <c r="R737" s="692" t="n"/>
      <c r="T737" s="692" t="n"/>
      <c r="W737" s="692" t="n"/>
      <c r="Y737" s="415" t="n"/>
      <c r="Z737" s="692" t="n"/>
    </row>
    <row r="738">
      <c r="D738" s="692" t="n"/>
      <c r="E738" s="415" t="n"/>
      <c r="F738" s="692" t="n"/>
      <c r="L738" s="692" t="n"/>
      <c r="Q738" s="415" t="n"/>
      <c r="R738" s="692" t="n"/>
      <c r="T738" s="692" t="n"/>
      <c r="W738" s="692" t="n"/>
      <c r="Y738" s="415" t="n"/>
      <c r="Z738" s="692" t="n"/>
    </row>
    <row r="739">
      <c r="D739" s="692" t="n"/>
      <c r="E739" s="415" t="n"/>
      <c r="F739" s="692" t="n"/>
      <c r="L739" s="692" t="n"/>
      <c r="Q739" s="415" t="n"/>
      <c r="R739" s="692" t="n"/>
      <c r="T739" s="692" t="n"/>
      <c r="W739" s="692" t="n"/>
      <c r="Y739" s="415" t="n"/>
      <c r="Z739" s="692" t="n"/>
    </row>
    <row r="740">
      <c r="D740" s="692" t="n"/>
      <c r="E740" s="415" t="n"/>
      <c r="F740" s="692" t="n"/>
      <c r="L740" s="692" t="n"/>
      <c r="Q740" s="415" t="n"/>
      <c r="R740" s="692" t="n"/>
      <c r="T740" s="692" t="n"/>
      <c r="W740" s="692" t="n"/>
      <c r="Y740" s="415" t="n"/>
      <c r="Z740" s="692" t="n"/>
    </row>
    <row r="741">
      <c r="D741" s="692" t="n"/>
      <c r="E741" s="415" t="n"/>
      <c r="F741" s="692" t="n"/>
      <c r="L741" s="692" t="n"/>
      <c r="Q741" s="415" t="n"/>
      <c r="R741" s="692" t="n"/>
      <c r="T741" s="692" t="n"/>
      <c r="W741" s="692" t="n"/>
      <c r="Y741" s="415" t="n"/>
      <c r="Z741" s="692" t="n"/>
    </row>
    <row r="742">
      <c r="D742" s="692" t="n"/>
      <c r="E742" s="415" t="n"/>
      <c r="F742" s="692" t="n"/>
      <c r="L742" s="692" t="n"/>
      <c r="Q742" s="415" t="n"/>
      <c r="R742" s="692" t="n"/>
      <c r="T742" s="692" t="n"/>
      <c r="W742" s="692" t="n"/>
      <c r="Y742" s="415" t="n"/>
      <c r="Z742" s="692" t="n"/>
    </row>
    <row r="743">
      <c r="D743" s="692" t="n"/>
      <c r="E743" s="415" t="n"/>
      <c r="F743" s="692" t="n"/>
      <c r="L743" s="692" t="n"/>
      <c r="Q743" s="415" t="n"/>
      <c r="R743" s="692" t="n"/>
      <c r="T743" s="692" t="n"/>
      <c r="W743" s="692" t="n"/>
      <c r="Y743" s="415" t="n"/>
      <c r="Z743" s="692" t="n"/>
    </row>
    <row r="744">
      <c r="D744" s="692" t="n"/>
      <c r="E744" s="415" t="n"/>
      <c r="F744" s="692" t="n"/>
      <c r="L744" s="692" t="n"/>
      <c r="Q744" s="415" t="n"/>
      <c r="R744" s="692" t="n"/>
      <c r="T744" s="692" t="n"/>
      <c r="W744" s="692" t="n"/>
      <c r="Y744" s="415" t="n"/>
      <c r="Z744" s="692" t="n"/>
    </row>
    <row r="745">
      <c r="D745" s="692" t="n"/>
      <c r="E745" s="415" t="n"/>
      <c r="F745" s="692" t="n"/>
      <c r="L745" s="692" t="n"/>
      <c r="Q745" s="415" t="n"/>
      <c r="R745" s="692" t="n"/>
      <c r="T745" s="692" t="n"/>
      <c r="W745" s="692" t="n"/>
      <c r="Y745" s="415" t="n"/>
      <c r="Z745" s="692" t="n"/>
    </row>
    <row r="746">
      <c r="D746" s="692" t="n"/>
      <c r="E746" s="415" t="n"/>
      <c r="F746" s="692" t="n"/>
      <c r="L746" s="692" t="n"/>
      <c r="Q746" s="415" t="n"/>
      <c r="R746" s="692" t="n"/>
      <c r="T746" s="692" t="n"/>
      <c r="W746" s="692" t="n"/>
      <c r="Y746" s="415" t="n"/>
      <c r="Z746" s="692" t="n"/>
    </row>
    <row r="747">
      <c r="D747" s="692" t="n"/>
      <c r="E747" s="415" t="n"/>
      <c r="F747" s="692" t="n"/>
      <c r="L747" s="692" t="n"/>
      <c r="Q747" s="415" t="n"/>
      <c r="R747" s="692" t="n"/>
      <c r="T747" s="692" t="n"/>
      <c r="W747" s="692" t="n"/>
      <c r="Y747" s="415" t="n"/>
      <c r="Z747" s="692" t="n"/>
    </row>
    <row r="748">
      <c r="D748" s="692" t="n"/>
      <c r="E748" s="415" t="n"/>
      <c r="F748" s="692" t="n"/>
      <c r="L748" s="692" t="n"/>
      <c r="Q748" s="415" t="n"/>
      <c r="R748" s="692" t="n"/>
      <c r="T748" s="692" t="n"/>
      <c r="W748" s="692" t="n"/>
      <c r="Y748" s="415" t="n"/>
      <c r="Z748" s="692" t="n"/>
    </row>
    <row r="749">
      <c r="D749" s="692" t="n"/>
      <c r="E749" s="415" t="n"/>
      <c r="F749" s="692" t="n"/>
      <c r="L749" s="692" t="n"/>
      <c r="Q749" s="415" t="n"/>
      <c r="R749" s="692" t="n"/>
      <c r="T749" s="692" t="n"/>
      <c r="W749" s="692" t="n"/>
      <c r="Y749" s="415" t="n"/>
      <c r="Z749" s="692" t="n"/>
    </row>
    <row r="750">
      <c r="D750" s="692" t="n"/>
      <c r="E750" s="415" t="n"/>
      <c r="F750" s="692" t="n"/>
      <c r="L750" s="692" t="n"/>
      <c r="Q750" s="415" t="n"/>
      <c r="R750" s="692" t="n"/>
      <c r="T750" s="692" t="n"/>
      <c r="W750" s="692" t="n"/>
      <c r="Y750" s="415" t="n"/>
      <c r="Z750" s="692" t="n"/>
    </row>
    <row r="751">
      <c r="D751" s="692" t="n"/>
      <c r="E751" s="415" t="n"/>
      <c r="F751" s="692" t="n"/>
      <c r="L751" s="692" t="n"/>
      <c r="Q751" s="415" t="n"/>
      <c r="R751" s="692" t="n"/>
      <c r="T751" s="692" t="n"/>
      <c r="W751" s="692" t="n"/>
      <c r="Y751" s="415" t="n"/>
      <c r="Z751" s="692" t="n"/>
    </row>
    <row r="752">
      <c r="D752" s="692" t="n"/>
      <c r="E752" s="415" t="n"/>
      <c r="F752" s="692" t="n"/>
      <c r="L752" s="692" t="n"/>
      <c r="Q752" s="415" t="n"/>
      <c r="R752" s="692" t="n"/>
      <c r="T752" s="692" t="n"/>
      <c r="W752" s="692" t="n"/>
      <c r="Y752" s="415" t="n"/>
      <c r="Z752" s="692" t="n"/>
    </row>
    <row r="753">
      <c r="D753" s="692" t="n"/>
      <c r="E753" s="415" t="n"/>
      <c r="F753" s="692" t="n"/>
      <c r="L753" s="692" t="n"/>
      <c r="Q753" s="415" t="n"/>
      <c r="R753" s="692" t="n"/>
      <c r="T753" s="692" t="n"/>
      <c r="W753" s="692" t="n"/>
      <c r="Y753" s="415" t="n"/>
      <c r="Z753" s="692" t="n"/>
    </row>
    <row r="754">
      <c r="D754" s="692" t="n"/>
      <c r="E754" s="415" t="n"/>
      <c r="F754" s="692" t="n"/>
      <c r="L754" s="692" t="n"/>
      <c r="Q754" s="415" t="n"/>
      <c r="R754" s="692" t="n"/>
      <c r="T754" s="692" t="n"/>
      <c r="W754" s="692" t="n"/>
      <c r="Y754" s="415" t="n"/>
      <c r="Z754" s="692" t="n"/>
    </row>
    <row r="755">
      <c r="D755" s="692" t="n"/>
      <c r="E755" s="415" t="n"/>
      <c r="F755" s="692" t="n"/>
      <c r="L755" s="692" t="n"/>
      <c r="Q755" s="415" t="n"/>
      <c r="R755" s="692" t="n"/>
      <c r="T755" s="692" t="n"/>
      <c r="W755" s="692" t="n"/>
      <c r="Y755" s="415" t="n"/>
      <c r="Z755" s="692" t="n"/>
    </row>
    <row r="756">
      <c r="D756" s="692" t="n"/>
      <c r="E756" s="415" t="n"/>
      <c r="F756" s="692" t="n"/>
      <c r="L756" s="692" t="n"/>
      <c r="Q756" s="415" t="n"/>
      <c r="R756" s="692" t="n"/>
      <c r="T756" s="692" t="n"/>
      <c r="W756" s="692" t="n"/>
      <c r="Y756" s="415" t="n"/>
      <c r="Z756" s="692" t="n"/>
    </row>
    <row r="757">
      <c r="D757" s="692" t="n"/>
      <c r="E757" s="415" t="n"/>
      <c r="F757" s="692" t="n"/>
      <c r="L757" s="692" t="n"/>
      <c r="Q757" s="415" t="n"/>
      <c r="R757" s="692" t="n"/>
      <c r="T757" s="692" t="n"/>
      <c r="W757" s="692" t="n"/>
      <c r="Y757" s="415" t="n"/>
      <c r="Z757" s="692" t="n"/>
    </row>
    <row r="758">
      <c r="D758" s="692" t="n"/>
      <c r="E758" s="415" t="n"/>
      <c r="F758" s="692" t="n"/>
      <c r="L758" s="692" t="n"/>
      <c r="Q758" s="415" t="n"/>
      <c r="R758" s="692" t="n"/>
      <c r="T758" s="692" t="n"/>
      <c r="W758" s="692" t="n"/>
      <c r="Y758" s="415" t="n"/>
      <c r="Z758" s="692" t="n"/>
    </row>
    <row r="759">
      <c r="D759" s="692" t="n"/>
      <c r="E759" s="415" t="n"/>
      <c r="F759" s="692" t="n"/>
      <c r="L759" s="692" t="n"/>
      <c r="Q759" s="415" t="n"/>
      <c r="R759" s="692" t="n"/>
      <c r="T759" s="692" t="n"/>
      <c r="W759" s="692" t="n"/>
      <c r="Y759" s="415" t="n"/>
      <c r="Z759" s="692" t="n"/>
    </row>
    <row r="760">
      <c r="D760" s="692" t="n"/>
      <c r="E760" s="415" t="n"/>
      <c r="F760" s="692" t="n"/>
      <c r="L760" s="692" t="n"/>
      <c r="Q760" s="415" t="n"/>
      <c r="R760" s="692" t="n"/>
      <c r="T760" s="692" t="n"/>
      <c r="W760" s="692" t="n"/>
      <c r="Y760" s="415" t="n"/>
      <c r="Z760" s="692" t="n"/>
    </row>
    <row r="761">
      <c r="D761" s="692" t="n"/>
      <c r="E761" s="415" t="n"/>
      <c r="F761" s="692" t="n"/>
      <c r="L761" s="692" t="n"/>
      <c r="Q761" s="415" t="n"/>
      <c r="R761" s="692" t="n"/>
      <c r="T761" s="692" t="n"/>
      <c r="W761" s="692" t="n"/>
      <c r="Y761" s="415" t="n"/>
      <c r="Z761" s="692" t="n"/>
    </row>
    <row r="762">
      <c r="D762" s="692" t="n"/>
      <c r="E762" s="415" t="n"/>
      <c r="F762" s="692" t="n"/>
      <c r="L762" s="692" t="n"/>
      <c r="Q762" s="415" t="n"/>
      <c r="R762" s="692" t="n"/>
      <c r="T762" s="692" t="n"/>
      <c r="W762" s="692" t="n"/>
      <c r="Y762" s="415" t="n"/>
      <c r="Z762" s="692" t="n"/>
    </row>
    <row r="763">
      <c r="D763" s="692" t="n"/>
      <c r="E763" s="415" t="n"/>
      <c r="F763" s="692" t="n"/>
      <c r="L763" s="692" t="n"/>
      <c r="Q763" s="415" t="n"/>
      <c r="R763" s="692" t="n"/>
      <c r="T763" s="692" t="n"/>
      <c r="W763" s="692" t="n"/>
      <c r="Y763" s="415" t="n"/>
      <c r="Z763" s="692" t="n"/>
    </row>
    <row r="764">
      <c r="D764" s="692" t="n"/>
      <c r="E764" s="415" t="n"/>
      <c r="F764" s="692" t="n"/>
      <c r="L764" s="692" t="n"/>
      <c r="Q764" s="415" t="n"/>
      <c r="R764" s="692" t="n"/>
      <c r="T764" s="692" t="n"/>
      <c r="W764" s="692" t="n"/>
      <c r="Y764" s="415" t="n"/>
      <c r="Z764" s="692" t="n"/>
    </row>
    <row r="765">
      <c r="D765" s="692" t="n"/>
      <c r="E765" s="415" t="n"/>
      <c r="F765" s="692" t="n"/>
      <c r="L765" s="692" t="n"/>
      <c r="Q765" s="415" t="n"/>
      <c r="R765" s="692" t="n"/>
      <c r="T765" s="692" t="n"/>
      <c r="W765" s="692" t="n"/>
      <c r="Y765" s="415" t="n"/>
      <c r="Z765" s="692" t="n"/>
    </row>
    <row r="766">
      <c r="D766" s="692" t="n"/>
      <c r="E766" s="415" t="n"/>
      <c r="F766" s="692" t="n"/>
      <c r="L766" s="692" t="n"/>
      <c r="Q766" s="415" t="n"/>
      <c r="R766" s="692" t="n"/>
      <c r="T766" s="692" t="n"/>
      <c r="W766" s="692" t="n"/>
      <c r="Y766" s="415" t="n"/>
      <c r="Z766" s="692" t="n"/>
    </row>
    <row r="767">
      <c r="D767" s="692" t="n"/>
      <c r="E767" s="415" t="n"/>
      <c r="F767" s="692" t="n"/>
      <c r="L767" s="692" t="n"/>
      <c r="Q767" s="415" t="n"/>
      <c r="R767" s="692" t="n"/>
      <c r="T767" s="692" t="n"/>
      <c r="W767" s="692" t="n"/>
      <c r="Y767" s="415" t="n"/>
      <c r="Z767" s="692" t="n"/>
    </row>
    <row r="768">
      <c r="D768" s="692" t="n"/>
      <c r="E768" s="415" t="n"/>
      <c r="F768" s="692" t="n"/>
      <c r="L768" s="692" t="n"/>
      <c r="Q768" s="415" t="n"/>
      <c r="R768" s="692" t="n"/>
      <c r="T768" s="692" t="n"/>
      <c r="W768" s="692" t="n"/>
      <c r="Y768" s="415" t="n"/>
      <c r="Z768" s="692" t="n"/>
    </row>
    <row r="769">
      <c r="D769" s="692" t="n"/>
      <c r="E769" s="415" t="n"/>
      <c r="F769" s="692" t="n"/>
      <c r="L769" s="692" t="n"/>
      <c r="Q769" s="415" t="n"/>
      <c r="R769" s="692" t="n"/>
      <c r="T769" s="692" t="n"/>
      <c r="W769" s="692" t="n"/>
      <c r="Y769" s="415" t="n"/>
      <c r="Z769" s="692" t="n"/>
    </row>
    <row r="770">
      <c r="D770" s="692" t="n"/>
      <c r="E770" s="415" t="n"/>
      <c r="F770" s="692" t="n"/>
      <c r="L770" s="692" t="n"/>
      <c r="Q770" s="415" t="n"/>
      <c r="R770" s="692" t="n"/>
      <c r="T770" s="692" t="n"/>
      <c r="W770" s="692" t="n"/>
      <c r="Y770" s="415" t="n"/>
      <c r="Z770" s="692" t="n"/>
    </row>
    <row r="771">
      <c r="D771" s="692" t="n"/>
      <c r="E771" s="415" t="n"/>
      <c r="F771" s="692" t="n"/>
      <c r="L771" s="692" t="n"/>
      <c r="Q771" s="415" t="n"/>
      <c r="R771" s="692" t="n"/>
      <c r="T771" s="692" t="n"/>
      <c r="W771" s="692" t="n"/>
      <c r="Y771" s="415" t="n"/>
      <c r="Z771" s="692" t="n"/>
    </row>
    <row r="772">
      <c r="D772" s="692" t="n"/>
      <c r="E772" s="415" t="n"/>
      <c r="F772" s="692" t="n"/>
      <c r="L772" s="692" t="n"/>
      <c r="Q772" s="415" t="n"/>
      <c r="R772" s="692" t="n"/>
      <c r="T772" s="692" t="n"/>
      <c r="W772" s="692" t="n"/>
      <c r="Y772" s="415" t="n"/>
      <c r="Z772" s="692" t="n"/>
    </row>
    <row r="773">
      <c r="D773" s="692" t="n"/>
      <c r="E773" s="415" t="n"/>
      <c r="F773" s="692" t="n"/>
      <c r="L773" s="692" t="n"/>
      <c r="Q773" s="415" t="n"/>
      <c r="R773" s="692" t="n"/>
      <c r="T773" s="692" t="n"/>
      <c r="W773" s="692" t="n"/>
      <c r="Y773" s="415" t="n"/>
      <c r="Z773" s="692" t="n"/>
    </row>
    <row r="774">
      <c r="D774" s="692" t="n"/>
      <c r="E774" s="415" t="n"/>
      <c r="F774" s="692" t="n"/>
      <c r="L774" s="692" t="n"/>
      <c r="Q774" s="415" t="n"/>
      <c r="R774" s="692" t="n"/>
      <c r="T774" s="692" t="n"/>
      <c r="W774" s="692" t="n"/>
      <c r="Y774" s="415" t="n"/>
      <c r="Z774" s="692" t="n"/>
    </row>
    <row r="775">
      <c r="D775" s="692" t="n"/>
      <c r="E775" s="415" t="n"/>
      <c r="F775" s="692" t="n"/>
      <c r="L775" s="692" t="n"/>
      <c r="Q775" s="415" t="n"/>
      <c r="R775" s="692" t="n"/>
      <c r="T775" s="692" t="n"/>
      <c r="W775" s="692" t="n"/>
      <c r="Y775" s="415" t="n"/>
      <c r="Z775" s="692" t="n"/>
    </row>
    <row r="776">
      <c r="D776" s="692" t="n"/>
      <c r="E776" s="415" t="n"/>
      <c r="F776" s="692" t="n"/>
      <c r="L776" s="692" t="n"/>
      <c r="Q776" s="415" t="n"/>
      <c r="R776" s="692" t="n"/>
      <c r="T776" s="692" t="n"/>
      <c r="W776" s="692" t="n"/>
      <c r="Y776" s="415" t="n"/>
      <c r="Z776" s="692" t="n"/>
    </row>
    <row r="777">
      <c r="D777" s="692" t="n"/>
      <c r="E777" s="415" t="n"/>
      <c r="F777" s="692" t="n"/>
      <c r="L777" s="692" t="n"/>
      <c r="Q777" s="415" t="n"/>
      <c r="R777" s="692" t="n"/>
      <c r="T777" s="692" t="n"/>
      <c r="W777" s="692" t="n"/>
      <c r="Y777" s="415" t="n"/>
      <c r="Z777" s="692" t="n"/>
    </row>
    <row r="778">
      <c r="D778" s="692" t="n"/>
      <c r="E778" s="415" t="n"/>
      <c r="F778" s="692" t="n"/>
      <c r="L778" s="692" t="n"/>
      <c r="Q778" s="415" t="n"/>
      <c r="R778" s="692" t="n"/>
      <c r="T778" s="692" t="n"/>
      <c r="W778" s="692" t="n"/>
      <c r="Y778" s="415" t="n"/>
      <c r="Z778" s="692" t="n"/>
    </row>
    <row r="779">
      <c r="D779" s="692" t="n"/>
      <c r="E779" s="415" t="n"/>
      <c r="F779" s="692" t="n"/>
      <c r="L779" s="692" t="n"/>
      <c r="Q779" s="415" t="n"/>
      <c r="R779" s="692" t="n"/>
      <c r="T779" s="692" t="n"/>
      <c r="W779" s="692" t="n"/>
      <c r="Y779" s="415" t="n"/>
      <c r="Z779" s="692" t="n"/>
    </row>
    <row r="780">
      <c r="D780" s="692" t="n"/>
      <c r="E780" s="415" t="n"/>
      <c r="F780" s="692" t="n"/>
      <c r="L780" s="692" t="n"/>
      <c r="Q780" s="415" t="n"/>
      <c r="R780" s="692" t="n"/>
      <c r="T780" s="692" t="n"/>
      <c r="W780" s="692" t="n"/>
      <c r="Y780" s="415" t="n"/>
      <c r="Z780" s="692" t="n"/>
    </row>
    <row r="781">
      <c r="D781" s="692" t="n"/>
      <c r="E781" s="415" t="n"/>
      <c r="F781" s="692" t="n"/>
      <c r="L781" s="692" t="n"/>
      <c r="Q781" s="415" t="n"/>
      <c r="R781" s="692" t="n"/>
      <c r="T781" s="692" t="n"/>
      <c r="W781" s="692" t="n"/>
      <c r="Y781" s="415" t="n"/>
      <c r="Z781" s="692" t="n"/>
    </row>
    <row r="782">
      <c r="D782" s="692" t="n"/>
      <c r="E782" s="415" t="n"/>
      <c r="F782" s="692" t="n"/>
      <c r="L782" s="692" t="n"/>
      <c r="Q782" s="415" t="n"/>
      <c r="R782" s="692" t="n"/>
      <c r="T782" s="692" t="n"/>
      <c r="W782" s="692" t="n"/>
      <c r="Y782" s="415" t="n"/>
      <c r="Z782" s="692" t="n"/>
    </row>
    <row r="783">
      <c r="D783" s="692" t="n"/>
      <c r="E783" s="415" t="n"/>
      <c r="F783" s="692" t="n"/>
      <c r="L783" s="692" t="n"/>
      <c r="Q783" s="415" t="n"/>
      <c r="R783" s="692" t="n"/>
      <c r="T783" s="692" t="n"/>
      <c r="W783" s="692" t="n"/>
      <c r="Y783" s="415" t="n"/>
      <c r="Z783" s="692" t="n"/>
    </row>
    <row r="784">
      <c r="D784" s="692" t="n"/>
      <c r="E784" s="415" t="n"/>
      <c r="F784" s="692" t="n"/>
      <c r="L784" s="692" t="n"/>
      <c r="Q784" s="415" t="n"/>
      <c r="R784" s="692" t="n"/>
      <c r="T784" s="692" t="n"/>
      <c r="W784" s="692" t="n"/>
      <c r="Y784" s="415" t="n"/>
      <c r="Z784" s="692" t="n"/>
    </row>
    <row r="785">
      <c r="D785" s="692" t="n"/>
      <c r="E785" s="415" t="n"/>
      <c r="F785" s="692" t="n"/>
      <c r="L785" s="692" t="n"/>
      <c r="Q785" s="415" t="n"/>
      <c r="R785" s="692" t="n"/>
      <c r="T785" s="692" t="n"/>
      <c r="W785" s="692" t="n"/>
      <c r="Y785" s="415" t="n"/>
      <c r="Z785" s="692" t="n"/>
    </row>
    <row r="786">
      <c r="D786" s="692" t="n"/>
      <c r="E786" s="415" t="n"/>
      <c r="F786" s="692" t="n"/>
      <c r="L786" s="692" t="n"/>
      <c r="Q786" s="415" t="n"/>
      <c r="R786" s="692" t="n"/>
      <c r="T786" s="692" t="n"/>
      <c r="W786" s="692" t="n"/>
      <c r="Y786" s="415" t="n"/>
      <c r="Z786" s="692" t="n"/>
    </row>
    <row r="787">
      <c r="D787" s="692" t="n"/>
      <c r="E787" s="415" t="n"/>
      <c r="F787" s="692" t="n"/>
      <c r="L787" s="692" t="n"/>
      <c r="Q787" s="415" t="n"/>
      <c r="R787" s="692" t="n"/>
      <c r="T787" s="692" t="n"/>
      <c r="W787" s="692" t="n"/>
      <c r="Y787" s="415" t="n"/>
      <c r="Z787" s="692" t="n"/>
    </row>
    <row r="788">
      <c r="D788" s="692" t="n"/>
      <c r="E788" s="415" t="n"/>
      <c r="F788" s="692" t="n"/>
      <c r="L788" s="692" t="n"/>
      <c r="Q788" s="415" t="n"/>
      <c r="R788" s="692" t="n"/>
      <c r="T788" s="692" t="n"/>
      <c r="W788" s="692" t="n"/>
      <c r="Y788" s="415" t="n"/>
      <c r="Z788" s="692" t="n"/>
    </row>
    <row r="789">
      <c r="D789" s="692" t="n"/>
      <c r="E789" s="415" t="n"/>
      <c r="F789" s="692" t="n"/>
      <c r="L789" s="692" t="n"/>
      <c r="Q789" s="415" t="n"/>
      <c r="R789" s="692" t="n"/>
      <c r="T789" s="692" t="n"/>
      <c r="W789" s="692" t="n"/>
      <c r="Y789" s="415" t="n"/>
      <c r="Z789" s="692" t="n"/>
    </row>
    <row r="790">
      <c r="D790" s="692" t="n"/>
      <c r="E790" s="415" t="n"/>
      <c r="F790" s="692" t="n"/>
      <c r="L790" s="692" t="n"/>
      <c r="Q790" s="415" t="n"/>
      <c r="R790" s="692" t="n"/>
      <c r="T790" s="692" t="n"/>
      <c r="W790" s="692" t="n"/>
      <c r="Y790" s="415" t="n"/>
      <c r="Z790" s="692" t="n"/>
    </row>
    <row r="791">
      <c r="D791" s="692" t="n"/>
      <c r="E791" s="415" t="n"/>
      <c r="F791" s="692" t="n"/>
      <c r="L791" s="692" t="n"/>
      <c r="Q791" s="415" t="n"/>
      <c r="R791" s="692" t="n"/>
      <c r="T791" s="692" t="n"/>
      <c r="W791" s="692" t="n"/>
      <c r="Y791" s="415" t="n"/>
      <c r="Z791" s="692" t="n"/>
    </row>
    <row r="792">
      <c r="D792" s="692" t="n"/>
      <c r="E792" s="415" t="n"/>
      <c r="F792" s="692" t="n"/>
      <c r="L792" s="692" t="n"/>
      <c r="Q792" s="415" t="n"/>
      <c r="R792" s="692" t="n"/>
      <c r="T792" s="692" t="n"/>
      <c r="W792" s="692" t="n"/>
      <c r="Y792" s="415" t="n"/>
      <c r="Z792" s="692" t="n"/>
    </row>
    <row r="793">
      <c r="D793" s="692" t="n"/>
      <c r="E793" s="415" t="n"/>
      <c r="F793" s="692" t="n"/>
      <c r="L793" s="692" t="n"/>
      <c r="Q793" s="415" t="n"/>
      <c r="R793" s="692" t="n"/>
      <c r="T793" s="692" t="n"/>
      <c r="W793" s="692" t="n"/>
      <c r="Y793" s="415" t="n"/>
      <c r="Z793" s="692" t="n"/>
    </row>
    <row r="794">
      <c r="D794" s="692" t="n"/>
      <c r="E794" s="415" t="n"/>
      <c r="F794" s="692" t="n"/>
      <c r="L794" s="692" t="n"/>
      <c r="Q794" s="415" t="n"/>
      <c r="R794" s="692" t="n"/>
      <c r="T794" s="692" t="n"/>
      <c r="W794" s="692" t="n"/>
      <c r="Y794" s="415" t="n"/>
      <c r="Z794" s="692" t="n"/>
    </row>
    <row r="795">
      <c r="D795" s="692" t="n"/>
      <c r="E795" s="415" t="n"/>
      <c r="F795" s="692" t="n"/>
      <c r="L795" s="692" t="n"/>
      <c r="Q795" s="415" t="n"/>
      <c r="R795" s="692" t="n"/>
      <c r="T795" s="692" t="n"/>
      <c r="W795" s="692" t="n"/>
      <c r="Y795" s="415" t="n"/>
      <c r="Z795" s="692" t="n"/>
    </row>
    <row r="796">
      <c r="D796" s="692" t="n"/>
      <c r="E796" s="415" t="n"/>
      <c r="F796" s="692" t="n"/>
      <c r="L796" s="692" t="n"/>
      <c r="Q796" s="415" t="n"/>
      <c r="R796" s="692" t="n"/>
      <c r="T796" s="692" t="n"/>
      <c r="W796" s="692" t="n"/>
      <c r="Y796" s="415" t="n"/>
      <c r="Z796" s="692" t="n"/>
    </row>
    <row r="797">
      <c r="D797" s="692" t="n"/>
      <c r="E797" s="415" t="n"/>
      <c r="F797" s="692" t="n"/>
      <c r="L797" s="692" t="n"/>
      <c r="Q797" s="415" t="n"/>
      <c r="R797" s="692" t="n"/>
      <c r="T797" s="692" t="n"/>
      <c r="W797" s="692" t="n"/>
      <c r="Y797" s="415" t="n"/>
      <c r="Z797" s="692" t="n"/>
    </row>
    <row r="798">
      <c r="D798" s="692" t="n"/>
      <c r="E798" s="415" t="n"/>
      <c r="F798" s="692" t="n"/>
      <c r="L798" s="692" t="n"/>
      <c r="Q798" s="415" t="n"/>
      <c r="R798" s="692" t="n"/>
      <c r="T798" s="692" t="n"/>
      <c r="W798" s="692" t="n"/>
      <c r="Y798" s="415" t="n"/>
      <c r="Z798" s="692" t="n"/>
    </row>
    <row r="799">
      <c r="D799" s="692" t="n"/>
      <c r="E799" s="415" t="n"/>
      <c r="F799" s="692" t="n"/>
      <c r="L799" s="692" t="n"/>
      <c r="Q799" s="415" t="n"/>
      <c r="R799" s="692" t="n"/>
      <c r="T799" s="692" t="n"/>
      <c r="W799" s="692" t="n"/>
      <c r="Y799" s="415" t="n"/>
      <c r="Z799" s="692" t="n"/>
    </row>
    <row r="800">
      <c r="D800" s="692" t="n"/>
      <c r="E800" s="415" t="n"/>
      <c r="F800" s="692" t="n"/>
      <c r="L800" s="692" t="n"/>
      <c r="Q800" s="415" t="n"/>
      <c r="R800" s="692" t="n"/>
      <c r="T800" s="692" t="n"/>
      <c r="W800" s="692" t="n"/>
      <c r="Y800" s="415" t="n"/>
      <c r="Z800" s="692" t="n"/>
    </row>
    <row r="801">
      <c r="D801" s="692" t="n"/>
      <c r="E801" s="415" t="n"/>
      <c r="F801" s="692" t="n"/>
      <c r="L801" s="692" t="n"/>
      <c r="Q801" s="415" t="n"/>
      <c r="R801" s="692" t="n"/>
      <c r="T801" s="692" t="n"/>
      <c r="W801" s="692" t="n"/>
      <c r="Y801" s="415" t="n"/>
      <c r="Z801" s="692" t="n"/>
    </row>
    <row r="802">
      <c r="D802" s="692" t="n"/>
      <c r="E802" s="415" t="n"/>
      <c r="F802" s="692" t="n"/>
      <c r="L802" s="692" t="n"/>
      <c r="Q802" s="415" t="n"/>
      <c r="R802" s="692" t="n"/>
      <c r="T802" s="692" t="n"/>
      <c r="W802" s="692" t="n"/>
      <c r="Y802" s="415" t="n"/>
      <c r="Z802" s="692" t="n"/>
    </row>
    <row r="803">
      <c r="D803" s="692" t="n"/>
      <c r="E803" s="415" t="n"/>
      <c r="F803" s="692" t="n"/>
      <c r="L803" s="692" t="n"/>
      <c r="Q803" s="415" t="n"/>
      <c r="R803" s="692" t="n"/>
      <c r="T803" s="692" t="n"/>
      <c r="W803" s="692" t="n"/>
      <c r="Y803" s="415" t="n"/>
      <c r="Z803" s="692" t="n"/>
    </row>
    <row r="804">
      <c r="D804" s="692" t="n"/>
      <c r="E804" s="415" t="n"/>
      <c r="F804" s="692" t="n"/>
      <c r="L804" s="692" t="n"/>
      <c r="Q804" s="415" t="n"/>
      <c r="R804" s="692" t="n"/>
      <c r="T804" s="692" t="n"/>
      <c r="W804" s="692" t="n"/>
      <c r="Y804" s="415" t="n"/>
      <c r="Z804" s="692" t="n"/>
    </row>
    <row r="805">
      <c r="D805" s="692" t="n"/>
      <c r="E805" s="415" t="n"/>
      <c r="F805" s="692" t="n"/>
      <c r="L805" s="692" t="n"/>
      <c r="Q805" s="415" t="n"/>
      <c r="R805" s="692" t="n"/>
      <c r="T805" s="692" t="n"/>
      <c r="W805" s="692" t="n"/>
      <c r="Y805" s="415" t="n"/>
      <c r="Z805" s="692" t="n"/>
    </row>
    <row r="806">
      <c r="D806" s="692" t="n"/>
      <c r="E806" s="415" t="n"/>
      <c r="F806" s="692" t="n"/>
      <c r="L806" s="692" t="n"/>
      <c r="Q806" s="415" t="n"/>
      <c r="R806" s="692" t="n"/>
      <c r="T806" s="692" t="n"/>
      <c r="W806" s="692" t="n"/>
      <c r="Y806" s="415" t="n"/>
      <c r="Z806" s="692" t="n"/>
    </row>
    <row r="807">
      <c r="D807" s="692" t="n"/>
      <c r="E807" s="415" t="n"/>
      <c r="F807" s="692" t="n"/>
      <c r="L807" s="692" t="n"/>
      <c r="Q807" s="415" t="n"/>
      <c r="R807" s="692" t="n"/>
      <c r="T807" s="692" t="n"/>
      <c r="W807" s="692" t="n"/>
      <c r="Y807" s="415" t="n"/>
      <c r="Z807" s="692" t="n"/>
    </row>
    <row r="808">
      <c r="D808" s="692" t="n"/>
      <c r="E808" s="415" t="n"/>
      <c r="F808" s="692" t="n"/>
      <c r="L808" s="692" t="n"/>
      <c r="Q808" s="415" t="n"/>
      <c r="R808" s="692" t="n"/>
      <c r="T808" s="692" t="n"/>
      <c r="W808" s="692" t="n"/>
      <c r="Y808" s="415" t="n"/>
      <c r="Z808" s="692" t="n"/>
    </row>
    <row r="809">
      <c r="D809" s="692" t="n"/>
      <c r="E809" s="415" t="n"/>
      <c r="F809" s="692" t="n"/>
      <c r="L809" s="692" t="n"/>
      <c r="Q809" s="415" t="n"/>
      <c r="R809" s="692" t="n"/>
      <c r="T809" s="692" t="n"/>
      <c r="W809" s="692" t="n"/>
      <c r="Y809" s="415" t="n"/>
      <c r="Z809" s="692" t="n"/>
    </row>
    <row r="810">
      <c r="D810" s="692" t="n"/>
      <c r="E810" s="415" t="n"/>
      <c r="F810" s="692" t="n"/>
      <c r="L810" s="692" t="n"/>
      <c r="Q810" s="415" t="n"/>
      <c r="R810" s="692" t="n"/>
      <c r="T810" s="692" t="n"/>
      <c r="W810" s="692" t="n"/>
      <c r="Y810" s="415" t="n"/>
      <c r="Z810" s="692" t="n"/>
    </row>
    <row r="811">
      <c r="D811" s="692" t="n"/>
      <c r="E811" s="415" t="n"/>
      <c r="F811" s="692" t="n"/>
      <c r="L811" s="692" t="n"/>
      <c r="Q811" s="415" t="n"/>
      <c r="R811" s="692" t="n"/>
      <c r="T811" s="692" t="n"/>
      <c r="W811" s="692" t="n"/>
      <c r="Y811" s="415" t="n"/>
      <c r="Z811" s="692" t="n"/>
    </row>
    <row r="812">
      <c r="D812" s="692" t="n"/>
      <c r="E812" s="415" t="n"/>
      <c r="F812" s="692" t="n"/>
      <c r="L812" s="692" t="n"/>
      <c r="Q812" s="415" t="n"/>
      <c r="R812" s="692" t="n"/>
      <c r="T812" s="692" t="n"/>
      <c r="W812" s="692" t="n"/>
      <c r="Y812" s="415" t="n"/>
      <c r="Z812" s="692" t="n"/>
    </row>
    <row r="813">
      <c r="D813" s="692" t="n"/>
      <c r="E813" s="415" t="n"/>
      <c r="F813" s="692" t="n"/>
      <c r="L813" s="692" t="n"/>
      <c r="Q813" s="415" t="n"/>
      <c r="R813" s="692" t="n"/>
      <c r="T813" s="692" t="n"/>
      <c r="W813" s="692" t="n"/>
      <c r="Y813" s="415" t="n"/>
      <c r="Z813" s="692" t="n"/>
    </row>
    <row r="814">
      <c r="D814" s="692" t="n"/>
      <c r="E814" s="415" t="n"/>
      <c r="F814" s="692" t="n"/>
      <c r="L814" s="692" t="n"/>
      <c r="Q814" s="415" t="n"/>
      <c r="R814" s="692" t="n"/>
      <c r="T814" s="692" t="n"/>
      <c r="W814" s="692" t="n"/>
      <c r="Y814" s="415" t="n"/>
      <c r="Z814" s="692" t="n"/>
    </row>
    <row r="815">
      <c r="D815" s="692" t="n"/>
      <c r="E815" s="415" t="n"/>
      <c r="F815" s="692" t="n"/>
      <c r="L815" s="692" t="n"/>
      <c r="Q815" s="415" t="n"/>
      <c r="R815" s="692" t="n"/>
      <c r="T815" s="692" t="n"/>
      <c r="W815" s="692" t="n"/>
      <c r="Y815" s="415" t="n"/>
      <c r="Z815" s="692" t="n"/>
    </row>
    <row r="816">
      <c r="D816" s="692" t="n"/>
      <c r="E816" s="415" t="n"/>
      <c r="F816" s="692" t="n"/>
      <c r="L816" s="692" t="n"/>
      <c r="Q816" s="415" t="n"/>
      <c r="R816" s="692" t="n"/>
      <c r="T816" s="692" t="n"/>
      <c r="W816" s="692" t="n"/>
      <c r="Y816" s="415" t="n"/>
      <c r="Z816" s="692" t="n"/>
    </row>
    <row r="817">
      <c r="D817" s="692" t="n"/>
      <c r="E817" s="415" t="n"/>
      <c r="F817" s="692" t="n"/>
      <c r="L817" s="692" t="n"/>
      <c r="Q817" s="415" t="n"/>
      <c r="R817" s="692" t="n"/>
      <c r="T817" s="692" t="n"/>
      <c r="W817" s="692" t="n"/>
      <c r="Y817" s="415" t="n"/>
      <c r="Z817" s="692" t="n"/>
    </row>
    <row r="818">
      <c r="D818" s="692" t="n"/>
      <c r="E818" s="415" t="n"/>
      <c r="F818" s="692" t="n"/>
      <c r="L818" s="692" t="n"/>
      <c r="Q818" s="415" t="n"/>
      <c r="R818" s="692" t="n"/>
      <c r="T818" s="692" t="n"/>
      <c r="W818" s="692" t="n"/>
      <c r="Y818" s="415" t="n"/>
      <c r="Z818" s="692" t="n"/>
    </row>
    <row r="819">
      <c r="D819" s="692" t="n"/>
      <c r="E819" s="415" t="n"/>
      <c r="F819" s="692" t="n"/>
      <c r="L819" s="692" t="n"/>
      <c r="Q819" s="415" t="n"/>
      <c r="R819" s="692" t="n"/>
      <c r="T819" s="692" t="n"/>
      <c r="W819" s="692" t="n"/>
      <c r="Y819" s="415" t="n"/>
      <c r="Z819" s="692" t="n"/>
    </row>
    <row r="820">
      <c r="D820" s="692" t="n"/>
      <c r="E820" s="415" t="n"/>
      <c r="F820" s="692" t="n"/>
      <c r="L820" s="692" t="n"/>
      <c r="Q820" s="415" t="n"/>
      <c r="R820" s="692" t="n"/>
      <c r="T820" s="692" t="n"/>
      <c r="W820" s="692" t="n"/>
      <c r="Y820" s="415" t="n"/>
      <c r="Z820" s="692" t="n"/>
    </row>
    <row r="821">
      <c r="D821" s="692" t="n"/>
      <c r="E821" s="415" t="n"/>
      <c r="F821" s="692" t="n"/>
      <c r="L821" s="692" t="n"/>
      <c r="Q821" s="415" t="n"/>
      <c r="R821" s="692" t="n"/>
      <c r="T821" s="692" t="n"/>
      <c r="W821" s="692" t="n"/>
      <c r="Y821" s="415" t="n"/>
      <c r="Z821" s="692" t="n"/>
    </row>
    <row r="822">
      <c r="D822" s="692" t="n"/>
      <c r="E822" s="415" t="n"/>
      <c r="F822" s="692" t="n"/>
      <c r="L822" s="692" t="n"/>
      <c r="Q822" s="415" t="n"/>
      <c r="R822" s="692" t="n"/>
      <c r="T822" s="692" t="n"/>
      <c r="W822" s="692" t="n"/>
      <c r="Y822" s="415" t="n"/>
      <c r="Z822" s="692" t="n"/>
    </row>
    <row r="823">
      <c r="D823" s="692" t="n"/>
      <c r="E823" s="415" t="n"/>
      <c r="F823" s="692" t="n"/>
      <c r="L823" s="692" t="n"/>
      <c r="Q823" s="415" t="n"/>
      <c r="R823" s="692" t="n"/>
      <c r="T823" s="692" t="n"/>
      <c r="W823" s="692" t="n"/>
      <c r="Y823" s="415" t="n"/>
      <c r="Z823" s="692" t="n"/>
    </row>
    <row r="824">
      <c r="D824" s="692" t="n"/>
      <c r="E824" s="415" t="n"/>
      <c r="F824" s="692" t="n"/>
      <c r="L824" s="692" t="n"/>
      <c r="Q824" s="415" t="n"/>
      <c r="R824" s="692" t="n"/>
      <c r="T824" s="692" t="n"/>
      <c r="W824" s="692" t="n"/>
      <c r="Y824" s="415" t="n"/>
      <c r="Z824" s="692" t="n"/>
    </row>
    <row r="825">
      <c r="D825" s="692" t="n"/>
      <c r="E825" s="415" t="n"/>
      <c r="F825" s="692" t="n"/>
      <c r="L825" s="692" t="n"/>
      <c r="Q825" s="415" t="n"/>
      <c r="R825" s="692" t="n"/>
      <c r="T825" s="692" t="n"/>
      <c r="W825" s="692" t="n"/>
      <c r="Y825" s="415" t="n"/>
      <c r="Z825" s="692" t="n"/>
    </row>
    <row r="826">
      <c r="D826" s="692" t="n"/>
      <c r="E826" s="415" t="n"/>
      <c r="F826" s="692" t="n"/>
      <c r="L826" s="692" t="n"/>
      <c r="Q826" s="415" t="n"/>
      <c r="R826" s="692" t="n"/>
      <c r="T826" s="692" t="n"/>
      <c r="W826" s="692" t="n"/>
      <c r="Y826" s="415" t="n"/>
      <c r="Z826" s="692" t="n"/>
    </row>
    <row r="827">
      <c r="D827" s="692" t="n"/>
      <c r="E827" s="415" t="n"/>
      <c r="F827" s="692" t="n"/>
      <c r="L827" s="692" t="n"/>
      <c r="Q827" s="415" t="n"/>
      <c r="R827" s="692" t="n"/>
      <c r="T827" s="692" t="n"/>
      <c r="W827" s="692" t="n"/>
      <c r="Y827" s="415" t="n"/>
      <c r="Z827" s="692" t="n"/>
    </row>
    <row r="828">
      <c r="D828" s="692" t="n"/>
      <c r="E828" s="415" t="n"/>
      <c r="F828" s="692" t="n"/>
      <c r="L828" s="692" t="n"/>
      <c r="Q828" s="415" t="n"/>
      <c r="R828" s="692" t="n"/>
      <c r="T828" s="692" t="n"/>
      <c r="W828" s="692" t="n"/>
      <c r="Y828" s="415" t="n"/>
      <c r="Z828" s="692" t="n"/>
    </row>
    <row r="829">
      <c r="D829" s="692" t="n"/>
      <c r="E829" s="415" t="n"/>
      <c r="F829" s="692" t="n"/>
      <c r="L829" s="692" t="n"/>
      <c r="Q829" s="415" t="n"/>
      <c r="R829" s="692" t="n"/>
      <c r="T829" s="692" t="n"/>
      <c r="W829" s="692" t="n"/>
      <c r="Y829" s="415" t="n"/>
      <c r="Z829" s="692" t="n"/>
    </row>
    <row r="830">
      <c r="D830" s="692" t="n"/>
      <c r="E830" s="415" t="n"/>
      <c r="F830" s="692" t="n"/>
      <c r="L830" s="692" t="n"/>
      <c r="Q830" s="415" t="n"/>
      <c r="R830" s="692" t="n"/>
      <c r="T830" s="692" t="n"/>
      <c r="W830" s="692" t="n"/>
      <c r="Y830" s="415" t="n"/>
      <c r="Z830" s="692" t="n"/>
    </row>
    <row r="831">
      <c r="D831" s="692" t="n"/>
      <c r="E831" s="415" t="n"/>
      <c r="F831" s="692" t="n"/>
      <c r="L831" s="692" t="n"/>
      <c r="Q831" s="415" t="n"/>
      <c r="R831" s="692" t="n"/>
      <c r="T831" s="692" t="n"/>
      <c r="W831" s="692" t="n"/>
      <c r="Y831" s="415" t="n"/>
      <c r="Z831" s="692" t="n"/>
    </row>
    <row r="832">
      <c r="D832" s="692" t="n"/>
      <c r="E832" s="415" t="n"/>
      <c r="F832" s="692" t="n"/>
      <c r="L832" s="692" t="n"/>
      <c r="Q832" s="415" t="n"/>
      <c r="R832" s="692" t="n"/>
      <c r="T832" s="692" t="n"/>
      <c r="W832" s="692" t="n"/>
      <c r="Y832" s="415" t="n"/>
      <c r="Z832" s="692" t="n"/>
    </row>
    <row r="833">
      <c r="D833" s="692" t="n"/>
      <c r="E833" s="415" t="n"/>
      <c r="F833" s="692" t="n"/>
      <c r="L833" s="692" t="n"/>
      <c r="Q833" s="415" t="n"/>
      <c r="R833" s="692" t="n"/>
      <c r="T833" s="692" t="n"/>
      <c r="W833" s="692" t="n"/>
      <c r="Y833" s="415" t="n"/>
      <c r="Z833" s="692" t="n"/>
    </row>
    <row r="834">
      <c r="D834" s="692" t="n"/>
      <c r="E834" s="415" t="n"/>
      <c r="F834" s="692" t="n"/>
      <c r="L834" s="692" t="n"/>
      <c r="Q834" s="415" t="n"/>
      <c r="R834" s="692" t="n"/>
      <c r="T834" s="692" t="n"/>
      <c r="W834" s="692" t="n"/>
      <c r="Y834" s="415" t="n"/>
      <c r="Z834" s="692" t="n"/>
    </row>
    <row r="835">
      <c r="D835" s="692" t="n"/>
      <c r="E835" s="415" t="n"/>
      <c r="F835" s="692" t="n"/>
      <c r="L835" s="692" t="n"/>
      <c r="Q835" s="415" t="n"/>
      <c r="R835" s="692" t="n"/>
      <c r="T835" s="692" t="n"/>
      <c r="W835" s="692" t="n"/>
      <c r="Y835" s="415" t="n"/>
      <c r="Z835" s="692" t="n"/>
    </row>
    <row r="836">
      <c r="D836" s="692" t="n"/>
      <c r="E836" s="415" t="n"/>
      <c r="F836" s="692" t="n"/>
      <c r="L836" s="692" t="n"/>
      <c r="Q836" s="415" t="n"/>
      <c r="R836" s="692" t="n"/>
      <c r="T836" s="692" t="n"/>
      <c r="W836" s="692" t="n"/>
      <c r="Y836" s="415" t="n"/>
      <c r="Z836" s="692" t="n"/>
    </row>
    <row r="837">
      <c r="D837" s="692" t="n"/>
      <c r="E837" s="415" t="n"/>
      <c r="F837" s="692" t="n"/>
      <c r="L837" s="692" t="n"/>
      <c r="Q837" s="415" t="n"/>
      <c r="R837" s="692" t="n"/>
      <c r="T837" s="692" t="n"/>
      <c r="W837" s="692" t="n"/>
      <c r="Y837" s="415" t="n"/>
      <c r="Z837" s="692" t="n"/>
    </row>
    <row r="838">
      <c r="D838" s="692" t="n"/>
      <c r="E838" s="415" t="n"/>
      <c r="F838" s="692" t="n"/>
      <c r="L838" s="692" t="n"/>
      <c r="Q838" s="415" t="n"/>
      <c r="R838" s="692" t="n"/>
      <c r="T838" s="692" t="n"/>
      <c r="W838" s="692" t="n"/>
      <c r="Y838" s="415" t="n"/>
      <c r="Z838" s="692" t="n"/>
    </row>
    <row r="839">
      <c r="D839" s="692" t="n"/>
      <c r="E839" s="415" t="n"/>
      <c r="F839" s="692" t="n"/>
      <c r="L839" s="692" t="n"/>
      <c r="Q839" s="415" t="n"/>
      <c r="R839" s="692" t="n"/>
      <c r="T839" s="692" t="n"/>
      <c r="W839" s="692" t="n"/>
      <c r="Y839" s="415" t="n"/>
      <c r="Z839" s="692" t="n"/>
    </row>
    <row r="840">
      <c r="D840" s="692" t="n"/>
      <c r="E840" s="415" t="n"/>
      <c r="F840" s="692" t="n"/>
      <c r="L840" s="692" t="n"/>
      <c r="Q840" s="415" t="n"/>
      <c r="R840" s="692" t="n"/>
      <c r="T840" s="692" t="n"/>
      <c r="W840" s="692" t="n"/>
      <c r="Y840" s="415" t="n"/>
      <c r="Z840" s="692" t="n"/>
    </row>
    <row r="841">
      <c r="D841" s="692" t="n"/>
      <c r="E841" s="415" t="n"/>
      <c r="F841" s="692" t="n"/>
      <c r="L841" s="692" t="n"/>
      <c r="Q841" s="415" t="n"/>
      <c r="R841" s="692" t="n"/>
      <c r="T841" s="692" t="n"/>
      <c r="W841" s="692" t="n"/>
      <c r="Y841" s="415" t="n"/>
      <c r="Z841" s="692" t="n"/>
    </row>
    <row r="842">
      <c r="D842" s="692" t="n"/>
      <c r="E842" s="415" t="n"/>
      <c r="F842" s="692" t="n"/>
      <c r="L842" s="692" t="n"/>
      <c r="Q842" s="415" t="n"/>
      <c r="R842" s="692" t="n"/>
      <c r="T842" s="692" t="n"/>
      <c r="W842" s="692" t="n"/>
      <c r="Y842" s="415" t="n"/>
      <c r="Z842" s="692" t="n"/>
    </row>
    <row r="843">
      <c r="D843" s="692" t="n"/>
      <c r="E843" s="415" t="n"/>
      <c r="F843" s="692" t="n"/>
      <c r="L843" s="692" t="n"/>
      <c r="Q843" s="415" t="n"/>
      <c r="R843" s="692" t="n"/>
      <c r="T843" s="692" t="n"/>
      <c r="W843" s="692" t="n"/>
      <c r="Y843" s="415" t="n"/>
      <c r="Z843" s="692" t="n"/>
    </row>
    <row r="844">
      <c r="D844" s="692" t="n"/>
      <c r="E844" s="415" t="n"/>
      <c r="F844" s="692" t="n"/>
      <c r="L844" s="692" t="n"/>
      <c r="Q844" s="415" t="n"/>
      <c r="R844" s="692" t="n"/>
      <c r="T844" s="692" t="n"/>
      <c r="W844" s="692" t="n"/>
      <c r="Y844" s="415" t="n"/>
      <c r="Z844" s="692" t="n"/>
    </row>
    <row r="845">
      <c r="D845" s="692" t="n"/>
      <c r="E845" s="415" t="n"/>
      <c r="F845" s="692" t="n"/>
      <c r="L845" s="692" t="n"/>
      <c r="Q845" s="415" t="n"/>
      <c r="R845" s="692" t="n"/>
      <c r="T845" s="692" t="n"/>
      <c r="W845" s="692" t="n"/>
      <c r="Y845" s="415" t="n"/>
      <c r="Z845" s="692" t="n"/>
    </row>
    <row r="846">
      <c r="D846" s="692" t="n"/>
      <c r="E846" s="415" t="n"/>
      <c r="F846" s="692" t="n"/>
      <c r="L846" s="692" t="n"/>
      <c r="Q846" s="415" t="n"/>
      <c r="R846" s="692" t="n"/>
      <c r="T846" s="692" t="n"/>
      <c r="W846" s="692" t="n"/>
      <c r="Y846" s="415" t="n"/>
      <c r="Z846" s="692" t="n"/>
    </row>
    <row r="847">
      <c r="D847" s="692" t="n"/>
      <c r="E847" s="415" t="n"/>
      <c r="F847" s="692" t="n"/>
      <c r="L847" s="692" t="n"/>
      <c r="Q847" s="415" t="n"/>
      <c r="R847" s="692" t="n"/>
      <c r="T847" s="692" t="n"/>
      <c r="W847" s="692" t="n"/>
      <c r="Y847" s="415" t="n"/>
      <c r="Z847" s="692" t="n"/>
    </row>
    <row r="848">
      <c r="D848" s="692" t="n"/>
      <c r="E848" s="415" t="n"/>
      <c r="F848" s="692" t="n"/>
      <c r="L848" s="692" t="n"/>
      <c r="Q848" s="415" t="n"/>
      <c r="R848" s="692" t="n"/>
      <c r="T848" s="692" t="n"/>
      <c r="W848" s="692" t="n"/>
      <c r="Y848" s="415" t="n"/>
      <c r="Z848" s="692" t="n"/>
    </row>
    <row r="849">
      <c r="D849" s="692" t="n"/>
      <c r="E849" s="415" t="n"/>
      <c r="F849" s="692" t="n"/>
      <c r="L849" s="692" t="n"/>
      <c r="Q849" s="415" t="n"/>
      <c r="R849" s="692" t="n"/>
      <c r="T849" s="692" t="n"/>
      <c r="W849" s="692" t="n"/>
      <c r="Y849" s="415" t="n"/>
      <c r="Z849" s="692" t="n"/>
    </row>
    <row r="850">
      <c r="D850" s="692" t="n"/>
      <c r="E850" s="415" t="n"/>
      <c r="F850" s="692" t="n"/>
      <c r="L850" s="692" t="n"/>
      <c r="Q850" s="415" t="n"/>
      <c r="R850" s="692" t="n"/>
      <c r="T850" s="692" t="n"/>
      <c r="W850" s="692" t="n"/>
      <c r="Y850" s="415" t="n"/>
      <c r="Z850" s="692" t="n"/>
    </row>
    <row r="851">
      <c r="D851" s="692" t="n"/>
      <c r="E851" s="415" t="n"/>
      <c r="F851" s="692" t="n"/>
      <c r="L851" s="692" t="n"/>
      <c r="Q851" s="415" t="n"/>
      <c r="R851" s="692" t="n"/>
      <c r="T851" s="692" t="n"/>
      <c r="W851" s="692" t="n"/>
      <c r="Y851" s="415" t="n"/>
      <c r="Z851" s="692" t="n"/>
    </row>
    <row r="852">
      <c r="D852" s="692" t="n"/>
      <c r="E852" s="415" t="n"/>
      <c r="F852" s="692" t="n"/>
      <c r="L852" s="692" t="n"/>
      <c r="Q852" s="415" t="n"/>
      <c r="R852" s="692" t="n"/>
      <c r="T852" s="692" t="n"/>
      <c r="W852" s="692" t="n"/>
      <c r="Y852" s="415" t="n"/>
      <c r="Z852" s="692" t="n"/>
    </row>
    <row r="853">
      <c r="D853" s="692" t="n"/>
      <c r="E853" s="415" t="n"/>
      <c r="F853" s="692" t="n"/>
      <c r="L853" s="692" t="n"/>
      <c r="Q853" s="415" t="n"/>
      <c r="R853" s="692" t="n"/>
      <c r="T853" s="692" t="n"/>
      <c r="W853" s="692" t="n"/>
      <c r="Y853" s="415" t="n"/>
      <c r="Z853" s="692" t="n"/>
    </row>
    <row r="854">
      <c r="D854" s="692" t="n"/>
      <c r="E854" s="415" t="n"/>
      <c r="F854" s="692" t="n"/>
      <c r="L854" s="692" t="n"/>
      <c r="Q854" s="415" t="n"/>
      <c r="R854" s="692" t="n"/>
      <c r="T854" s="692" t="n"/>
      <c r="W854" s="692" t="n"/>
      <c r="Y854" s="415" t="n"/>
      <c r="Z854" s="692" t="n"/>
    </row>
    <row r="855">
      <c r="D855" s="692" t="n"/>
      <c r="E855" s="415" t="n"/>
      <c r="F855" s="692" t="n"/>
      <c r="L855" s="692" t="n"/>
      <c r="Q855" s="415" t="n"/>
      <c r="R855" s="692" t="n"/>
      <c r="T855" s="692" t="n"/>
      <c r="W855" s="692" t="n"/>
      <c r="Y855" s="415" t="n"/>
      <c r="Z855" s="692" t="n"/>
    </row>
    <row r="856">
      <c r="D856" s="692" t="n"/>
      <c r="E856" s="415" t="n"/>
      <c r="F856" s="692" t="n"/>
      <c r="L856" s="692" t="n"/>
      <c r="Q856" s="415" t="n"/>
      <c r="R856" s="692" t="n"/>
      <c r="T856" s="692" t="n"/>
      <c r="W856" s="692" t="n"/>
      <c r="Y856" s="415" t="n"/>
      <c r="Z856" s="692" t="n"/>
    </row>
    <row r="857">
      <c r="D857" s="692" t="n"/>
      <c r="E857" s="415" t="n"/>
      <c r="F857" s="692" t="n"/>
      <c r="L857" s="692" t="n"/>
      <c r="Q857" s="415" t="n"/>
      <c r="R857" s="692" t="n"/>
      <c r="T857" s="692" t="n"/>
      <c r="W857" s="692" t="n"/>
      <c r="Y857" s="415" t="n"/>
      <c r="Z857" s="692" t="n"/>
    </row>
    <row r="858">
      <c r="D858" s="692" t="n"/>
      <c r="E858" s="415" t="n"/>
      <c r="F858" s="692" t="n"/>
      <c r="L858" s="692" t="n"/>
      <c r="Q858" s="415" t="n"/>
      <c r="R858" s="692" t="n"/>
      <c r="T858" s="692" t="n"/>
      <c r="W858" s="692" t="n"/>
      <c r="Y858" s="415" t="n"/>
      <c r="Z858" s="692" t="n"/>
    </row>
    <row r="859">
      <c r="D859" s="692" t="n"/>
      <c r="E859" s="415" t="n"/>
      <c r="F859" s="692" t="n"/>
      <c r="L859" s="692" t="n"/>
      <c r="Q859" s="415" t="n"/>
      <c r="R859" s="692" t="n"/>
      <c r="T859" s="692" t="n"/>
      <c r="W859" s="692" t="n"/>
      <c r="Y859" s="415" t="n"/>
      <c r="Z859" s="692" t="n"/>
    </row>
    <row r="860">
      <c r="D860" s="692" t="n"/>
      <c r="E860" s="415" t="n"/>
      <c r="F860" s="692" t="n"/>
      <c r="L860" s="692" t="n"/>
      <c r="Q860" s="415" t="n"/>
      <c r="R860" s="692" t="n"/>
      <c r="T860" s="692" t="n"/>
      <c r="W860" s="692" t="n"/>
      <c r="Y860" s="415" t="n"/>
      <c r="Z860" s="692" t="n"/>
    </row>
    <row r="861">
      <c r="D861" s="692" t="n"/>
      <c r="E861" s="415" t="n"/>
      <c r="F861" s="692" t="n"/>
      <c r="L861" s="692" t="n"/>
      <c r="Q861" s="415" t="n"/>
      <c r="R861" s="692" t="n"/>
      <c r="T861" s="692" t="n"/>
      <c r="W861" s="692" t="n"/>
      <c r="Y861" s="415" t="n"/>
      <c r="Z861" s="692" t="n"/>
    </row>
    <row r="862">
      <c r="D862" s="692" t="n"/>
      <c r="E862" s="415" t="n"/>
      <c r="F862" s="692" t="n"/>
      <c r="L862" s="692" t="n"/>
      <c r="Q862" s="415" t="n"/>
      <c r="R862" s="692" t="n"/>
      <c r="T862" s="692" t="n"/>
      <c r="W862" s="692" t="n"/>
      <c r="Y862" s="415" t="n"/>
      <c r="Z862" s="692" t="n"/>
    </row>
    <row r="863">
      <c r="D863" s="692" t="n"/>
      <c r="E863" s="415" t="n"/>
      <c r="F863" s="692" t="n"/>
      <c r="L863" s="692" t="n"/>
      <c r="Q863" s="415" t="n"/>
      <c r="R863" s="692" t="n"/>
      <c r="T863" s="692" t="n"/>
      <c r="W863" s="692" t="n"/>
      <c r="Y863" s="415" t="n"/>
      <c r="Z863" s="692" t="n"/>
    </row>
    <row r="864">
      <c r="D864" s="692" t="n"/>
      <c r="E864" s="415" t="n"/>
      <c r="F864" s="692" t="n"/>
      <c r="L864" s="692" t="n"/>
      <c r="Q864" s="415" t="n"/>
      <c r="R864" s="692" t="n"/>
      <c r="T864" s="692" t="n"/>
      <c r="W864" s="692" t="n"/>
      <c r="Y864" s="415" t="n"/>
      <c r="Z864" s="692" t="n"/>
    </row>
    <row r="865">
      <c r="D865" s="692" t="n"/>
      <c r="E865" s="415" t="n"/>
      <c r="F865" s="692" t="n"/>
      <c r="L865" s="692" t="n"/>
      <c r="Q865" s="415" t="n"/>
      <c r="R865" s="692" t="n"/>
      <c r="T865" s="692" t="n"/>
      <c r="W865" s="692" t="n"/>
      <c r="Y865" s="415" t="n"/>
      <c r="Z865" s="692" t="n"/>
    </row>
    <row r="866">
      <c r="D866" s="692" t="n"/>
      <c r="E866" s="415" t="n"/>
      <c r="F866" s="692" t="n"/>
      <c r="L866" s="692" t="n"/>
      <c r="Q866" s="415" t="n"/>
      <c r="R866" s="692" t="n"/>
      <c r="T866" s="692" t="n"/>
      <c r="W866" s="692" t="n"/>
      <c r="Y866" s="415" t="n"/>
      <c r="Z866" s="692" t="n"/>
    </row>
    <row r="867">
      <c r="D867" s="692" t="n"/>
      <c r="E867" s="415" t="n"/>
      <c r="F867" s="692" t="n"/>
      <c r="L867" s="692" t="n"/>
      <c r="Q867" s="415" t="n"/>
      <c r="R867" s="692" t="n"/>
      <c r="T867" s="692" t="n"/>
      <c r="W867" s="692" t="n"/>
      <c r="Y867" s="415" t="n"/>
      <c r="Z867" s="692" t="n"/>
    </row>
    <row r="868">
      <c r="D868" s="692" t="n"/>
      <c r="E868" s="415" t="n"/>
      <c r="F868" s="692" t="n"/>
      <c r="L868" s="692" t="n"/>
      <c r="Q868" s="415" t="n"/>
      <c r="R868" s="692" t="n"/>
      <c r="T868" s="692" t="n"/>
      <c r="W868" s="692" t="n"/>
      <c r="Y868" s="415" t="n"/>
      <c r="Z868" s="692" t="n"/>
    </row>
    <row r="869">
      <c r="D869" s="692" t="n"/>
      <c r="E869" s="415" t="n"/>
      <c r="F869" s="692" t="n"/>
      <c r="L869" s="692" t="n"/>
      <c r="Q869" s="415" t="n"/>
      <c r="R869" s="692" t="n"/>
      <c r="T869" s="692" t="n"/>
      <c r="W869" s="692" t="n"/>
      <c r="Y869" s="415" t="n"/>
      <c r="Z869" s="692" t="n"/>
    </row>
    <row r="870">
      <c r="D870" s="692" t="n"/>
      <c r="E870" s="415" t="n"/>
      <c r="F870" s="692" t="n"/>
      <c r="L870" s="692" t="n"/>
      <c r="Q870" s="415" t="n"/>
      <c r="R870" s="692" t="n"/>
      <c r="T870" s="692" t="n"/>
      <c r="W870" s="692" t="n"/>
      <c r="Y870" s="415" t="n"/>
      <c r="Z870" s="692" t="n"/>
    </row>
    <row r="871">
      <c r="D871" s="692" t="n"/>
      <c r="E871" s="415" t="n"/>
      <c r="F871" s="692" t="n"/>
      <c r="L871" s="692" t="n"/>
      <c r="Q871" s="415" t="n"/>
      <c r="R871" s="692" t="n"/>
      <c r="T871" s="692" t="n"/>
      <c r="W871" s="692" t="n"/>
      <c r="Y871" s="415" t="n"/>
      <c r="Z871" s="692" t="n"/>
    </row>
    <row r="872">
      <c r="D872" s="692" t="n"/>
      <c r="E872" s="415" t="n"/>
      <c r="F872" s="692" t="n"/>
      <c r="L872" s="692" t="n"/>
      <c r="Q872" s="415" t="n"/>
      <c r="R872" s="692" t="n"/>
      <c r="T872" s="692" t="n"/>
      <c r="W872" s="692" t="n"/>
      <c r="Y872" s="415" t="n"/>
      <c r="Z872" s="692" t="n"/>
    </row>
    <row r="873">
      <c r="D873" s="692" t="n"/>
      <c r="E873" s="415" t="n"/>
      <c r="F873" s="692" t="n"/>
      <c r="L873" s="692" t="n"/>
      <c r="Q873" s="415" t="n"/>
      <c r="R873" s="692" t="n"/>
      <c r="T873" s="692" t="n"/>
      <c r="W873" s="692" t="n"/>
      <c r="Y873" s="415" t="n"/>
      <c r="Z873" s="692" t="n"/>
    </row>
    <row r="874">
      <c r="D874" s="692" t="n"/>
      <c r="E874" s="415" t="n"/>
      <c r="F874" s="692" t="n"/>
      <c r="L874" s="692" t="n"/>
      <c r="Q874" s="415" t="n"/>
      <c r="R874" s="692" t="n"/>
      <c r="T874" s="692" t="n"/>
      <c r="W874" s="692" t="n"/>
      <c r="Y874" s="415" t="n"/>
      <c r="Z874" s="692" t="n"/>
    </row>
    <row r="875">
      <c r="D875" s="692" t="n"/>
      <c r="E875" s="415" t="n"/>
      <c r="F875" s="692" t="n"/>
      <c r="L875" s="692" t="n"/>
      <c r="Q875" s="415" t="n"/>
      <c r="R875" s="692" t="n"/>
      <c r="T875" s="692" t="n"/>
      <c r="W875" s="692" t="n"/>
      <c r="Y875" s="415" t="n"/>
      <c r="Z875" s="692" t="n"/>
    </row>
    <row r="876">
      <c r="D876" s="692" t="n"/>
      <c r="E876" s="415" t="n"/>
      <c r="F876" s="692" t="n"/>
      <c r="L876" s="692" t="n"/>
      <c r="Q876" s="415" t="n"/>
      <c r="R876" s="692" t="n"/>
      <c r="T876" s="692" t="n"/>
      <c r="W876" s="692" t="n"/>
      <c r="Y876" s="415" t="n"/>
      <c r="Z876" s="692" t="n"/>
    </row>
    <row r="877">
      <c r="D877" s="692" t="n"/>
      <c r="E877" s="415" t="n"/>
      <c r="F877" s="692" t="n"/>
      <c r="L877" s="692" t="n"/>
      <c r="Q877" s="415" t="n"/>
      <c r="R877" s="692" t="n"/>
      <c r="T877" s="692" t="n"/>
      <c r="W877" s="692" t="n"/>
      <c r="Y877" s="415" t="n"/>
      <c r="Z877" s="692" t="n"/>
    </row>
    <row r="878">
      <c r="D878" s="692" t="n"/>
      <c r="E878" s="415" t="n"/>
      <c r="F878" s="692" t="n"/>
      <c r="L878" s="692" t="n"/>
      <c r="Q878" s="415" t="n"/>
      <c r="R878" s="692" t="n"/>
      <c r="T878" s="692" t="n"/>
      <c r="W878" s="692" t="n"/>
      <c r="Y878" s="415" t="n"/>
      <c r="Z878" s="692" t="n"/>
    </row>
    <row r="879">
      <c r="D879" s="692" t="n"/>
      <c r="E879" s="415" t="n"/>
      <c r="F879" s="692" t="n"/>
      <c r="L879" s="692" t="n"/>
      <c r="Q879" s="415" t="n"/>
      <c r="R879" s="692" t="n"/>
      <c r="T879" s="692" t="n"/>
      <c r="W879" s="692" t="n"/>
      <c r="Y879" s="415" t="n"/>
      <c r="Z879" s="692" t="n"/>
    </row>
    <row r="880">
      <c r="D880" s="692" t="n"/>
      <c r="E880" s="415" t="n"/>
      <c r="F880" s="692" t="n"/>
      <c r="L880" s="692" t="n"/>
      <c r="Q880" s="415" t="n"/>
      <c r="R880" s="692" t="n"/>
      <c r="T880" s="692" t="n"/>
      <c r="W880" s="692" t="n"/>
      <c r="Y880" s="415" t="n"/>
      <c r="Z880" s="692" t="n"/>
    </row>
    <row r="881">
      <c r="D881" s="692" t="n"/>
      <c r="E881" s="415" t="n"/>
      <c r="F881" s="692" t="n"/>
      <c r="L881" s="692" t="n"/>
      <c r="Q881" s="415" t="n"/>
      <c r="R881" s="692" t="n"/>
      <c r="T881" s="692" t="n"/>
      <c r="W881" s="692" t="n"/>
      <c r="Y881" s="415" t="n"/>
      <c r="Z881" s="692" t="n"/>
    </row>
    <row r="882">
      <c r="D882" s="692" t="n"/>
      <c r="E882" s="415" t="n"/>
      <c r="F882" s="692" t="n"/>
      <c r="L882" s="692" t="n"/>
      <c r="Q882" s="415" t="n"/>
      <c r="R882" s="692" t="n"/>
      <c r="T882" s="692" t="n"/>
      <c r="W882" s="692" t="n"/>
      <c r="Y882" s="415" t="n"/>
      <c r="Z882" s="692" t="n"/>
    </row>
    <row r="883">
      <c r="D883" s="692" t="n"/>
      <c r="E883" s="415" t="n"/>
      <c r="F883" s="692" t="n"/>
      <c r="L883" s="692" t="n"/>
      <c r="Q883" s="415" t="n"/>
      <c r="R883" s="692" t="n"/>
      <c r="T883" s="692" t="n"/>
      <c r="W883" s="692" t="n"/>
      <c r="Y883" s="415" t="n"/>
      <c r="Z883" s="692" t="n"/>
    </row>
    <row r="884">
      <c r="D884" s="692" t="n"/>
      <c r="E884" s="415" t="n"/>
      <c r="F884" s="692" t="n"/>
      <c r="L884" s="692" t="n"/>
      <c r="Q884" s="415" t="n"/>
      <c r="R884" s="692" t="n"/>
      <c r="T884" s="692" t="n"/>
      <c r="W884" s="692" t="n"/>
      <c r="Y884" s="415" t="n"/>
      <c r="Z884" s="692" t="n"/>
    </row>
    <row r="885">
      <c r="D885" s="692" t="n"/>
      <c r="E885" s="415" t="n"/>
      <c r="F885" s="692" t="n"/>
      <c r="L885" s="692" t="n"/>
      <c r="Q885" s="415" t="n"/>
      <c r="R885" s="692" t="n"/>
      <c r="T885" s="692" t="n"/>
      <c r="W885" s="692" t="n"/>
      <c r="Y885" s="415" t="n"/>
      <c r="Z885" s="692" t="n"/>
    </row>
    <row r="886">
      <c r="D886" s="692" t="n"/>
      <c r="E886" s="415" t="n"/>
      <c r="F886" s="692" t="n"/>
      <c r="L886" s="692" t="n"/>
      <c r="Q886" s="415" t="n"/>
      <c r="R886" s="692" t="n"/>
      <c r="T886" s="692" t="n"/>
      <c r="W886" s="692" t="n"/>
      <c r="Y886" s="415" t="n"/>
      <c r="Z886" s="692" t="n"/>
    </row>
    <row r="887">
      <c r="D887" s="692" t="n"/>
      <c r="E887" s="415" t="n"/>
      <c r="F887" s="692" t="n"/>
      <c r="L887" s="692" t="n"/>
      <c r="Q887" s="415" t="n"/>
      <c r="R887" s="692" t="n"/>
      <c r="T887" s="692" t="n"/>
      <c r="W887" s="692" t="n"/>
      <c r="Y887" s="415" t="n"/>
      <c r="Z887" s="692" t="n"/>
    </row>
    <row r="888">
      <c r="D888" s="692" t="n"/>
      <c r="E888" s="415" t="n"/>
      <c r="F888" s="692" t="n"/>
      <c r="L888" s="692" t="n"/>
      <c r="Q888" s="415" t="n"/>
      <c r="R888" s="692" t="n"/>
      <c r="T888" s="692" t="n"/>
      <c r="W888" s="692" t="n"/>
      <c r="Y888" s="415" t="n"/>
      <c r="Z888" s="692" t="n"/>
    </row>
    <row r="889">
      <c r="D889" s="692" t="n"/>
      <c r="E889" s="415" t="n"/>
      <c r="F889" s="692" t="n"/>
      <c r="L889" s="692" t="n"/>
      <c r="Q889" s="415" t="n"/>
      <c r="R889" s="692" t="n"/>
      <c r="T889" s="692" t="n"/>
      <c r="W889" s="692" t="n"/>
      <c r="Y889" s="415" t="n"/>
      <c r="Z889" s="692" t="n"/>
    </row>
    <row r="890">
      <c r="D890" s="692" t="n"/>
      <c r="E890" s="415" t="n"/>
      <c r="F890" s="692" t="n"/>
      <c r="L890" s="692" t="n"/>
      <c r="Q890" s="415" t="n"/>
      <c r="R890" s="692" t="n"/>
      <c r="T890" s="692" t="n"/>
      <c r="W890" s="692" t="n"/>
      <c r="Y890" s="415" t="n"/>
      <c r="Z890" s="692" t="n"/>
    </row>
    <row r="891">
      <c r="D891" s="692" t="n"/>
      <c r="E891" s="415" t="n"/>
      <c r="F891" s="692" t="n"/>
      <c r="L891" s="692" t="n"/>
      <c r="Q891" s="415" t="n"/>
      <c r="R891" s="692" t="n"/>
      <c r="T891" s="692" t="n"/>
      <c r="W891" s="692" t="n"/>
      <c r="Y891" s="415" t="n"/>
      <c r="Z891" s="692" t="n"/>
    </row>
    <row r="892">
      <c r="D892" s="692" t="n"/>
      <c r="E892" s="415" t="n"/>
      <c r="F892" s="692" t="n"/>
      <c r="L892" s="692" t="n"/>
      <c r="Q892" s="415" t="n"/>
      <c r="R892" s="692" t="n"/>
      <c r="T892" s="692" t="n"/>
      <c r="W892" s="692" t="n"/>
      <c r="Y892" s="415" t="n"/>
      <c r="Z892" s="692" t="n"/>
    </row>
    <row r="893">
      <c r="D893" s="692" t="n"/>
      <c r="E893" s="415" t="n"/>
      <c r="F893" s="692" t="n"/>
      <c r="L893" s="692" t="n"/>
      <c r="Q893" s="415" t="n"/>
      <c r="R893" s="692" t="n"/>
      <c r="T893" s="692" t="n"/>
      <c r="W893" s="692" t="n"/>
      <c r="Y893" s="415" t="n"/>
      <c r="Z893" s="692" t="n"/>
    </row>
    <row r="894">
      <c r="D894" s="692" t="n"/>
      <c r="E894" s="415" t="n"/>
      <c r="F894" s="692" t="n"/>
      <c r="L894" s="692" t="n"/>
      <c r="Q894" s="415" t="n"/>
      <c r="R894" s="692" t="n"/>
      <c r="T894" s="692" t="n"/>
      <c r="W894" s="692" t="n"/>
      <c r="Y894" s="415" t="n"/>
      <c r="Z894" s="692" t="n"/>
    </row>
    <row r="895">
      <c r="D895" s="692" t="n"/>
      <c r="E895" s="415" t="n"/>
      <c r="F895" s="692" t="n"/>
      <c r="L895" s="692" t="n"/>
      <c r="Q895" s="415" t="n"/>
      <c r="R895" s="692" t="n"/>
      <c r="T895" s="692" t="n"/>
      <c r="W895" s="692" t="n"/>
      <c r="Y895" s="415" t="n"/>
      <c r="Z895" s="692" t="n"/>
    </row>
    <row r="896">
      <c r="D896" s="692" t="n"/>
      <c r="E896" s="415" t="n"/>
      <c r="F896" s="692" t="n"/>
      <c r="L896" s="692" t="n"/>
      <c r="Q896" s="415" t="n"/>
      <c r="R896" s="692" t="n"/>
      <c r="T896" s="692" t="n"/>
      <c r="W896" s="692" t="n"/>
      <c r="Y896" s="415" t="n"/>
      <c r="Z896" s="692" t="n"/>
    </row>
    <row r="897">
      <c r="D897" s="692" t="n"/>
      <c r="E897" s="415" t="n"/>
      <c r="F897" s="692" t="n"/>
      <c r="L897" s="692" t="n"/>
      <c r="Q897" s="415" t="n"/>
      <c r="R897" s="692" t="n"/>
      <c r="T897" s="692" t="n"/>
      <c r="W897" s="692" t="n"/>
      <c r="Y897" s="415" t="n"/>
      <c r="Z897" s="692" t="n"/>
    </row>
    <row r="898">
      <c r="D898" s="692" t="n"/>
      <c r="E898" s="415" t="n"/>
      <c r="F898" s="692" t="n"/>
      <c r="L898" s="692" t="n"/>
      <c r="Q898" s="415" t="n"/>
      <c r="R898" s="692" t="n"/>
      <c r="T898" s="692" t="n"/>
      <c r="W898" s="692" t="n"/>
      <c r="Y898" s="415" t="n"/>
      <c r="Z898" s="692" t="n"/>
    </row>
    <row r="899">
      <c r="D899" s="692" t="n"/>
      <c r="E899" s="415" t="n"/>
      <c r="F899" s="692" t="n"/>
      <c r="L899" s="692" t="n"/>
      <c r="Q899" s="415" t="n"/>
      <c r="R899" s="692" t="n"/>
      <c r="T899" s="692" t="n"/>
      <c r="W899" s="692" t="n"/>
      <c r="Y899" s="415" t="n"/>
      <c r="Z899" s="692" t="n"/>
    </row>
    <row r="900">
      <c r="D900" s="692" t="n"/>
      <c r="E900" s="415" t="n"/>
      <c r="F900" s="692" t="n"/>
      <c r="L900" s="692" t="n"/>
      <c r="Q900" s="415" t="n"/>
      <c r="R900" s="692" t="n"/>
      <c r="T900" s="692" t="n"/>
      <c r="W900" s="692" t="n"/>
      <c r="Y900" s="415" t="n"/>
      <c r="Z900" s="692" t="n"/>
    </row>
    <row r="901">
      <c r="D901" s="692" t="n"/>
      <c r="E901" s="415" t="n"/>
      <c r="F901" s="692" t="n"/>
      <c r="L901" s="692" t="n"/>
      <c r="Q901" s="415" t="n"/>
      <c r="R901" s="692" t="n"/>
      <c r="T901" s="692" t="n"/>
      <c r="W901" s="692" t="n"/>
      <c r="Y901" s="415" t="n"/>
      <c r="Z901" s="692" t="n"/>
    </row>
    <row r="902">
      <c r="D902" s="692" t="n"/>
      <c r="E902" s="415" t="n"/>
      <c r="F902" s="692" t="n"/>
      <c r="L902" s="692" t="n"/>
      <c r="Q902" s="415" t="n"/>
      <c r="R902" s="692" t="n"/>
      <c r="T902" s="692" t="n"/>
      <c r="W902" s="692" t="n"/>
      <c r="Y902" s="415" t="n"/>
      <c r="Z902" s="692" t="n"/>
    </row>
    <row r="903">
      <c r="D903" s="692" t="n"/>
      <c r="E903" s="415" t="n"/>
      <c r="F903" s="692" t="n"/>
      <c r="L903" s="692" t="n"/>
      <c r="Q903" s="415" t="n"/>
      <c r="R903" s="692" t="n"/>
      <c r="T903" s="692" t="n"/>
      <c r="W903" s="692" t="n"/>
      <c r="Y903" s="415" t="n"/>
      <c r="Z903" s="692" t="n"/>
    </row>
    <row r="904">
      <c r="D904" s="692" t="n"/>
      <c r="E904" s="415" t="n"/>
      <c r="F904" s="692" t="n"/>
      <c r="L904" s="692" t="n"/>
      <c r="Q904" s="415" t="n"/>
      <c r="R904" s="692" t="n"/>
      <c r="T904" s="692" t="n"/>
      <c r="W904" s="692" t="n"/>
      <c r="Y904" s="415" t="n"/>
      <c r="Z904" s="692" t="n"/>
    </row>
    <row r="905">
      <c r="D905" s="692" t="n"/>
      <c r="E905" s="415" t="n"/>
      <c r="F905" s="692" t="n"/>
      <c r="L905" s="692" t="n"/>
      <c r="Q905" s="415" t="n"/>
      <c r="R905" s="692" t="n"/>
      <c r="T905" s="692" t="n"/>
      <c r="W905" s="692" t="n"/>
      <c r="Y905" s="415" t="n"/>
      <c r="Z905" s="692" t="n"/>
    </row>
    <row r="906">
      <c r="D906" s="692" t="n"/>
      <c r="E906" s="415" t="n"/>
      <c r="F906" s="692" t="n"/>
      <c r="L906" s="692" t="n"/>
      <c r="Q906" s="415" t="n"/>
      <c r="R906" s="692" t="n"/>
      <c r="T906" s="692" t="n"/>
      <c r="W906" s="692" t="n"/>
      <c r="Y906" s="415" t="n"/>
      <c r="Z906" s="692" t="n"/>
    </row>
    <row r="907">
      <c r="D907" s="692" t="n"/>
      <c r="E907" s="415" t="n"/>
      <c r="F907" s="692" t="n"/>
      <c r="L907" s="692" t="n"/>
      <c r="Q907" s="415" t="n"/>
      <c r="R907" s="692" t="n"/>
      <c r="T907" s="692" t="n"/>
      <c r="W907" s="692" t="n"/>
      <c r="Y907" s="415" t="n"/>
      <c r="Z907" s="692" t="n"/>
    </row>
    <row r="908">
      <c r="D908" s="692" t="n"/>
      <c r="E908" s="415" t="n"/>
      <c r="F908" s="692" t="n"/>
      <c r="L908" s="692" t="n"/>
      <c r="Q908" s="415" t="n"/>
      <c r="R908" s="692" t="n"/>
      <c r="T908" s="692" t="n"/>
      <c r="W908" s="692" t="n"/>
      <c r="Y908" s="415" t="n"/>
      <c r="Z908" s="692" t="n"/>
    </row>
  </sheetData>
  <mergeCells count="2">
    <mergeCell ref="T1:Z1"/>
    <mergeCell ref="L1:R1"/>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11.xml><?xml version="1.0" encoding="utf-8"?>
<worksheet xmlns="http://schemas.openxmlformats.org/spreadsheetml/2006/main">
  <sheetPr>
    <outlinePr summaryBelow="0" summaryRight="0"/>
    <pageSetUpPr/>
  </sheetPr>
  <dimension ref="A1:AK1000"/>
  <sheetViews>
    <sheetView workbookViewId="0">
      <selection activeCell="A1" sqref="A1"/>
    </sheetView>
  </sheetViews>
  <sheetFormatPr baseColWidth="8" defaultColWidth="12.63" defaultRowHeight="15.75" customHeight="1"/>
  <cols>
    <col width="9.880000000000001" customWidth="1" style="763" min="1" max="1"/>
    <col width="10.63" customWidth="1" style="763" min="3" max="3"/>
    <col width="15.13" customWidth="1" style="763" min="4" max="4"/>
    <col width="19.63" customWidth="1" style="763" min="5" max="5"/>
    <col width="15.13" customWidth="1" style="763" min="6" max="6"/>
    <col width="15.25" customWidth="1" style="763" min="7" max="7"/>
    <col width="14.88" customWidth="1" style="763" min="8" max="8"/>
    <col width="13.25" customWidth="1" style="763" min="10" max="10"/>
    <col width="14.88" customWidth="1" style="763" min="11" max="11"/>
    <col width="13.5" customWidth="1" style="763" min="12" max="15"/>
    <col width="26.75" customWidth="1" style="763" min="19" max="19"/>
    <col width="14.5" customWidth="1" style="763" min="20" max="20"/>
  </cols>
  <sheetData>
    <row r="1">
      <c r="A1" s="416" t="inlineStr">
        <is>
          <t>Gender</t>
        </is>
      </c>
      <c r="B1" s="417" t="inlineStr">
        <is>
          <t>Event</t>
        </is>
      </c>
      <c r="C1" s="366" t="inlineStr">
        <is>
          <t>Birth Date</t>
        </is>
      </c>
      <c r="D1" s="368" t="inlineStr">
        <is>
          <t>Rank</t>
        </is>
      </c>
      <c r="E1" s="368" t="inlineStr">
        <is>
          <t>Timeline</t>
        </is>
      </c>
      <c r="F1" s="368" t="inlineStr">
        <is>
          <t>Competition</t>
        </is>
      </c>
      <c r="G1" s="366" t="inlineStr">
        <is>
          <t>Date</t>
        </is>
      </c>
      <c r="H1" s="368" t="inlineStr">
        <is>
          <t>Age</t>
        </is>
      </c>
      <c r="I1" s="367" t="inlineStr">
        <is>
          <t>Time</t>
        </is>
      </c>
      <c r="J1" s="417" t="inlineStr">
        <is>
          <t>AQUA</t>
        </is>
      </c>
      <c r="K1" s="368" t="inlineStr">
        <is>
          <t>Competition Age</t>
        </is>
      </c>
      <c r="L1" s="418" t="inlineStr">
        <is>
          <t>Target Time</t>
        </is>
      </c>
      <c r="M1" s="418" t="inlineStr">
        <is>
          <t>Target Aqua</t>
        </is>
      </c>
      <c r="N1" s="418" t="inlineStr">
        <is>
          <t>Difference</t>
        </is>
      </c>
      <c r="O1" s="419" t="inlineStr">
        <is>
          <t>Qualifying Trigger</t>
        </is>
      </c>
      <c r="P1" s="697" t="n"/>
      <c r="Q1" s="697" t="n"/>
      <c r="R1" s="697" t="n"/>
      <c r="S1" s="697" t="inlineStr">
        <is>
          <t>2023 Pelapis Qualifying Event(s):</t>
        </is>
      </c>
      <c r="T1" s="697" t="inlineStr">
        <is>
          <t>100 Free</t>
        </is>
      </c>
      <c r="U1" s="697" t="n"/>
      <c r="V1" s="697" t="n"/>
      <c r="W1" s="697" t="n"/>
      <c r="X1" s="697" t="n"/>
      <c r="Y1" s="697" t="n"/>
      <c r="Z1" s="697" t="n"/>
      <c r="AA1" s="697" t="n"/>
      <c r="AB1" s="697" t="n"/>
      <c r="AC1" s="697" t="n"/>
      <c r="AD1" s="697" t="n"/>
      <c r="AE1" s="697" t="n"/>
      <c r="AF1" s="697" t="n"/>
      <c r="AG1" s="697" t="n"/>
      <c r="AH1" s="697" t="n"/>
      <c r="AI1" s="697" t="n"/>
      <c r="AJ1" s="697" t="n"/>
      <c r="AK1" s="697" t="n"/>
    </row>
    <row r="2">
      <c r="A2" s="420" t="inlineStr">
        <is>
          <t>F</t>
        </is>
      </c>
      <c r="B2" s="590" t="inlineStr">
        <is>
          <t>100 Free</t>
        </is>
      </c>
      <c r="C2" s="421" t="n">
        <v>39610</v>
      </c>
      <c r="D2" s="590">
        <f>IF(ISBLANK(J2), "", COUNTIFS(B:B, B2, J:J, "&gt;"&amp;J2)+1)</f>
        <v/>
      </c>
      <c r="E2" s="593">
        <f>IF(NOT(ISBLANK(J2)), COUNTIFS(B$2:B2, B2, J$2:J2, "&lt;&gt;"), "")</f>
        <v/>
      </c>
      <c r="F2" s="590" t="inlineStr">
        <is>
          <t>SEA Age 2023</t>
        </is>
      </c>
      <c r="G2" s="422" t="n">
        <v>45162</v>
      </c>
      <c r="H2" s="423">
        <f>(G2-C2)/365.25</f>
        <v/>
      </c>
      <c r="I2" s="661" t="n">
        <v>59.84</v>
      </c>
      <c r="J2" s="590">
        <f>IFERROR(__xludf.DUMMYFUNCTION("LET(
  gen,$A2, ev,$B2, t,$I2,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)"),645.0)</f>
        <v/>
      </c>
      <c r="K2" s="593">
        <f>year(G2)-year(C2)</f>
        <v/>
      </c>
      <c r="L2" s="593">
        <f t="array" ref="L2">INDEX('MOT Tables 25'!$M:$M, MATCH(A2&amp;"_"&amp;B2&amp;"_"&amp;K2, 'MOT Tables 25'!$A:$A&amp;"_"&amp;'MOT Tables 25'!$B:$B&amp;"_"&amp;'MOT Tables 25'!$C:$C, 0))</f>
        <v/>
      </c>
      <c r="M2" s="593">
        <f t="array" ref="M2">INDEX('MOT Tables 25'!$N:$N, MATCH(A2&amp;"_"&amp;B2&amp;"_"&amp;K2, 'MOT Tables 25'!$A:$A&amp;"_"&amp;'MOT Tables 25'!$B:$B&amp;"_"&amp;'MOT Tables 25'!$C:$C, 0))</f>
        <v/>
      </c>
      <c r="N2" s="593">
        <f>J2-M2</f>
        <v/>
      </c>
      <c r="O2" s="426" t="inlineStr">
        <is>
          <t>Y</t>
        </is>
      </c>
      <c r="S2" s="689" t="inlineStr">
        <is>
          <t>Reasoning:</t>
        </is>
      </c>
      <c r="T2" s="689" t="inlineStr">
        <is>
          <t>SEA Age Bronze</t>
        </is>
      </c>
    </row>
    <row r="3">
      <c r="A3" s="427" t="inlineStr">
        <is>
          <t>F</t>
        </is>
      </c>
      <c r="B3" s="613" t="inlineStr">
        <is>
          <t>100 Free</t>
        </is>
      </c>
      <c r="C3" s="428" t="n">
        <v>39610</v>
      </c>
      <c r="D3" s="613">
        <f>IF(ISBLANK(J3), "", COUNTIFS(B:B, B3, J:J, "&gt;"&amp;J3)+1)</f>
        <v/>
      </c>
      <c r="E3" s="616">
        <f>IF(NOT(ISBLANK(J3)), COUNTIFS(B$2:B3, B3, J$2:J3, "&lt;&gt;"), "")</f>
        <v/>
      </c>
      <c r="F3" s="613" t="inlineStr">
        <is>
          <t>SUKMA</t>
        </is>
      </c>
      <c r="G3" s="429" t="n">
        <v>45524</v>
      </c>
      <c r="H3" s="430">
        <f>(G3-C3)/365.25</f>
        <v/>
      </c>
      <c r="I3" s="665" t="n">
        <v>58.36</v>
      </c>
      <c r="J3" s="613">
        <f>IFERROR(__xludf.DUMMYFUNCTION("LET(
  gen,$A3, ev,$B3, t,$I3,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)"),695.0)</f>
        <v/>
      </c>
      <c r="K3" s="616">
        <f>year(G3)-year(C3)</f>
        <v/>
      </c>
      <c r="L3" s="616">
        <f t="array" ref="L3">INDEX('MOT Tables 25'!$M:$M, MATCH(A3&amp;"_"&amp;B3&amp;"_"&amp;K3, 'MOT Tables 25'!$A:$A&amp;"_"&amp;'MOT Tables 25'!$B:$B&amp;"_"&amp;'MOT Tables 25'!$C:$C, 0))</f>
        <v/>
      </c>
      <c r="M3" s="616">
        <f t="array" ref="M3">INDEX('MOT Tables 25'!$N:$N, MATCH(A3&amp;"_"&amp;B3&amp;"_"&amp;K3, 'MOT Tables 25'!$A:$A&amp;"_"&amp;'MOT Tables 25'!$B:$B&amp;"_"&amp;'MOT Tables 25'!$C:$C, 0))</f>
        <v/>
      </c>
      <c r="N3" s="616">
        <f>J3-M3</f>
        <v/>
      </c>
      <c r="O3" s="433" t="inlineStr">
        <is>
          <t>N</t>
        </is>
      </c>
    </row>
    <row r="4">
      <c r="A4" s="420" t="inlineStr">
        <is>
          <t>F</t>
        </is>
      </c>
      <c r="B4" s="590" t="inlineStr">
        <is>
          <t>100 Free</t>
        </is>
      </c>
      <c r="C4" s="421" t="n">
        <v>39610</v>
      </c>
      <c r="D4" s="590">
        <f>IF(ISBLANK(J4), "", COUNTIFS(B:B, B4, J:J, "&gt;"&amp;J4)+1)</f>
        <v/>
      </c>
      <c r="E4" s="593">
        <f>IF(NOT(ISBLANK(J4)), COUNTIFS(B$2:B4, B4, J$2:J4, "&lt;&gt;"), "")</f>
        <v/>
      </c>
      <c r="F4" s="590" t="inlineStr">
        <is>
          <t>SEA Age 2024</t>
        </is>
      </c>
      <c r="G4" s="422" t="n">
        <v>45632</v>
      </c>
      <c r="H4" s="423">
        <f>(G4-C4)/365.25</f>
        <v/>
      </c>
      <c r="I4" s="661" t="inlineStr">
        <is>
          <t>1:00.05</t>
        </is>
      </c>
      <c r="J4" s="590">
        <f>IFERROR(__xludf.DUMMYFUNCTION("LET(
  gen,$A4, ev,$B4, t,$I4,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)"),638.0)</f>
        <v/>
      </c>
      <c r="K4" s="593">
        <f>year(G4)-year(C4)</f>
        <v/>
      </c>
      <c r="L4" s="593">
        <f t="array" ref="L4">INDEX('MOT Tables 25'!$M:$M, MATCH(A4&amp;"_"&amp;B4&amp;"_"&amp;K4, 'MOT Tables 25'!$A:$A&amp;"_"&amp;'MOT Tables 25'!$B:$B&amp;"_"&amp;'MOT Tables 25'!$C:$C, 0))</f>
        <v/>
      </c>
      <c r="M4" s="593">
        <f t="array" ref="M4">INDEX('MOT Tables 25'!$N:$N, MATCH(A4&amp;"_"&amp;B4&amp;"_"&amp;K4, 'MOT Tables 25'!$A:$A&amp;"_"&amp;'MOT Tables 25'!$B:$B&amp;"_"&amp;'MOT Tables 25'!$C:$C, 0))</f>
        <v/>
      </c>
      <c r="N4" s="593">
        <f>J4-M4</f>
        <v/>
      </c>
      <c r="O4" s="426" t="inlineStr">
        <is>
          <t>N</t>
        </is>
      </c>
    </row>
    <row r="5">
      <c r="A5" s="427" t="inlineStr">
        <is>
          <t>F</t>
        </is>
      </c>
      <c r="B5" s="613" t="inlineStr">
        <is>
          <t>100 Free</t>
        </is>
      </c>
      <c r="C5" s="428" t="n">
        <v>39610</v>
      </c>
      <c r="D5" s="613">
        <f>IF(ISBLANK(J5), "", COUNTIFS(B:B, B5, J:J, "&gt;"&amp;J5)+1)</f>
        <v/>
      </c>
      <c r="E5" s="616">
        <f>IF(NOT(ISBLANK(J5)), COUNTIFS(B$2:B5, B5, J$2:J5, "&lt;&gt;"), "")</f>
        <v/>
      </c>
      <c r="F5" s="613" t="inlineStr">
        <is>
          <t>MIAG 2025</t>
        </is>
      </c>
      <c r="G5" s="429" t="n">
        <v>45708</v>
      </c>
      <c r="H5" s="430">
        <f>(G5-C5)/365.25</f>
        <v/>
      </c>
      <c r="I5" s="665" t="inlineStr">
        <is>
          <t>1:00.21</t>
        </is>
      </c>
      <c r="J5" s="613">
        <f>IFERROR(__xludf.DUMMYFUNCTION("LET(
  gen,$A5, ev,$B5, t,$I5,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)"),633.0)</f>
        <v/>
      </c>
      <c r="K5" s="616">
        <f>year(G5)-year(C5)</f>
        <v/>
      </c>
      <c r="L5" s="616">
        <f t="array" ref="L5">INDEX('MOT Tables 25'!$M:$M, MATCH(A5&amp;"_"&amp;B5&amp;"_"&amp;K5, 'MOT Tables 25'!$A:$A&amp;"_"&amp;'MOT Tables 25'!$B:$B&amp;"_"&amp;'MOT Tables 25'!$C:$C, 0))</f>
        <v/>
      </c>
      <c r="M5" s="616">
        <f t="array" ref="M5">INDEX('MOT Tables 25'!$N:$N, MATCH(A5&amp;"_"&amp;B5&amp;"_"&amp;K5, 'MOT Tables 25'!$A:$A&amp;"_"&amp;'MOT Tables 25'!$B:$B&amp;"_"&amp;'MOT Tables 25'!$C:$C, 0))</f>
        <v/>
      </c>
      <c r="N5" s="616">
        <f>J5-M5</f>
        <v/>
      </c>
      <c r="O5" s="433" t="inlineStr">
        <is>
          <t>N</t>
        </is>
      </c>
    </row>
    <row r="6">
      <c r="A6" s="420" t="inlineStr">
        <is>
          <t>F</t>
        </is>
      </c>
      <c r="B6" s="590" t="inlineStr">
        <is>
          <t>100 Free</t>
        </is>
      </c>
      <c r="C6" s="421" t="n">
        <v>39610</v>
      </c>
      <c r="D6" s="590">
        <f>IF(ISBLANK(J6), "", COUNTIFS(B:B, B6, J:J, "&gt;"&amp;J6)+1)</f>
        <v/>
      </c>
      <c r="E6" s="593">
        <f>IF(NOT(ISBLANK(J6)), COUNTIFS(B$2:B6, B6, J$2:J6, "&lt;&gt;"), "")</f>
        <v/>
      </c>
      <c r="F6" s="590" t="inlineStr">
        <is>
          <t>MO 2025</t>
        </is>
      </c>
      <c r="G6" s="422" t="n">
        <v>45771</v>
      </c>
      <c r="H6" s="423">
        <f>(G6-C6)/365.25</f>
        <v/>
      </c>
      <c r="I6" s="661" t="n">
        <v>59.44</v>
      </c>
      <c r="J6" s="590">
        <f>IFERROR(__xludf.DUMMYFUNCTION("LET(
  gen,$A6, ev,$B6, t,$I6,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)"),658.0)</f>
        <v/>
      </c>
      <c r="K6" s="593">
        <f>year(G6)-year(C6)</f>
        <v/>
      </c>
      <c r="L6" s="593">
        <f t="array" ref="L6">INDEX('MOT Tables 25'!$M:$M, MATCH(A6&amp;"_"&amp;B6&amp;"_"&amp;K6, 'MOT Tables 25'!$A:$A&amp;"_"&amp;'MOT Tables 25'!$B:$B&amp;"_"&amp;'MOT Tables 25'!$C:$C, 0))</f>
        <v/>
      </c>
      <c r="M6" s="593">
        <f t="array" ref="M6">INDEX('MOT Tables 25'!$N:$N, MATCH(A6&amp;"_"&amp;B6&amp;"_"&amp;K6, 'MOT Tables 25'!$A:$A&amp;"_"&amp;'MOT Tables 25'!$B:$B&amp;"_"&amp;'MOT Tables 25'!$C:$C, 0))</f>
        <v/>
      </c>
      <c r="N6" s="593">
        <f>J6-M6</f>
        <v/>
      </c>
      <c r="O6" s="426" t="inlineStr">
        <is>
          <t>N</t>
        </is>
      </c>
    </row>
    <row r="7">
      <c r="A7" s="427" t="inlineStr">
        <is>
          <t>F</t>
        </is>
      </c>
      <c r="B7" s="613" t="inlineStr">
        <is>
          <t>100 Free</t>
        </is>
      </c>
      <c r="C7" s="428" t="n">
        <v>39610</v>
      </c>
      <c r="D7" s="613">
        <f>IF(ISBLANK(J7), "", COUNTIFS(B:B, B7, J:J, "&gt;"&amp;J7)+1)</f>
        <v/>
      </c>
      <c r="E7" s="616">
        <f>IF(NOT(ISBLANK(J7)), COUNTIFS(B$2:B7, B7, J$2:J7, "&lt;&gt;"), "")</f>
        <v/>
      </c>
      <c r="F7" s="613" t="inlineStr">
        <is>
          <t>MO 2024</t>
        </is>
      </c>
      <c r="G7" s="429" t="n">
        <v>45800</v>
      </c>
      <c r="H7" s="430">
        <f>(G7-C7)/365.25</f>
        <v/>
      </c>
      <c r="I7" s="665" t="n"/>
      <c r="J7" s="613" t="n"/>
      <c r="K7" s="616" t="n"/>
      <c r="L7" s="616" t="n"/>
      <c r="M7" s="616" t="n"/>
      <c r="N7" s="616" t="n"/>
      <c r="O7" s="433" t="n"/>
    </row>
    <row r="8">
      <c r="A8" s="420" t="inlineStr">
        <is>
          <t>F</t>
        </is>
      </c>
      <c r="B8" s="590" t="inlineStr">
        <is>
          <t>100 Free</t>
        </is>
      </c>
      <c r="C8" s="421" t="n">
        <v>39610</v>
      </c>
      <c r="D8" s="590">
        <f>IF(ISBLANK(J8), "", COUNTIFS(B:B, B8, J:J, "&gt;"&amp;J8)+1)</f>
        <v/>
      </c>
      <c r="E8" s="593">
        <f>IF(NOT(ISBLANK(J8)), COUNTIFS(B$2:B8, B8, J$2:J8, "&lt;&gt;"), "")</f>
        <v/>
      </c>
      <c r="F8" s="590" t="inlineStr">
        <is>
          <t>SEA Age 2025</t>
        </is>
      </c>
      <c r="G8" s="422" t="n">
        <v>45833</v>
      </c>
      <c r="H8" s="423">
        <f>(G8-C8)/365.25</f>
        <v/>
      </c>
      <c r="I8" s="661" t="n"/>
      <c r="J8" s="590" t="n"/>
      <c r="K8" s="593" t="n"/>
      <c r="L8" s="593" t="n"/>
      <c r="M8" s="593" t="n"/>
      <c r="N8" s="593" t="n"/>
      <c r="O8" s="426" t="n"/>
    </row>
    <row r="9">
      <c r="A9" s="427" t="inlineStr">
        <is>
          <t>F</t>
        </is>
      </c>
      <c r="B9" s="613" t="inlineStr">
        <is>
          <t>200 Free</t>
        </is>
      </c>
      <c r="C9" s="428" t="n">
        <v>39610</v>
      </c>
      <c r="D9" s="613">
        <f>IF(ISBLANK(J9), "", COUNTIFS(B:B, B9, J:J, "&gt;"&amp;J9)+1)</f>
        <v/>
      </c>
      <c r="E9" s="616">
        <f>IF(NOT(ISBLANK(J9)), COUNTIFS(B$2:B9, B9, J$2:J9, "&lt;&gt;"), "")</f>
        <v/>
      </c>
      <c r="F9" s="613" t="inlineStr">
        <is>
          <t>MIAG 2023</t>
        </is>
      </c>
      <c r="G9" s="429" t="n">
        <v>45028</v>
      </c>
      <c r="H9" s="430">
        <f>(G9-C9)/365.25</f>
        <v/>
      </c>
      <c r="I9" s="665" t="inlineStr">
        <is>
          <t>2:11.70</t>
        </is>
      </c>
      <c r="J9" s="613">
        <f>IFERROR(__xludf.DUMMYFUNCTION("LET(
  gen,$A9, ev,$B9, t,$I9,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)"),618.0)</f>
        <v/>
      </c>
      <c r="K9" s="616">
        <f>year(G9)-year(C9)</f>
        <v/>
      </c>
      <c r="L9" s="616">
        <f t="array" ref="L9">INDEX('MOT Tables 25'!$M:$M, MATCH(A9&amp;"_"&amp;B9&amp;"_"&amp;K9, 'MOT Tables 25'!$A:$A&amp;"_"&amp;'MOT Tables 25'!$B:$B&amp;"_"&amp;'MOT Tables 25'!$C:$C, 0))</f>
        <v/>
      </c>
      <c r="M9" s="616">
        <f t="array" ref="M9">INDEX('MOT Tables 25'!$N:$N, MATCH(A9&amp;"_"&amp;B9&amp;"_"&amp;K9, 'MOT Tables 25'!$A:$A&amp;"_"&amp;'MOT Tables 25'!$B:$B&amp;"_"&amp;'MOT Tables 25'!$C:$C, 0))</f>
        <v/>
      </c>
      <c r="N9" s="434">
        <f>J9-M9</f>
        <v/>
      </c>
      <c r="O9" s="433" t="inlineStr">
        <is>
          <t>N</t>
        </is>
      </c>
    </row>
    <row r="10">
      <c r="A10" s="420" t="inlineStr">
        <is>
          <t>F</t>
        </is>
      </c>
      <c r="B10" s="590" t="inlineStr">
        <is>
          <t>200 Free</t>
        </is>
      </c>
      <c r="C10" s="421" t="n">
        <v>39610</v>
      </c>
      <c r="D10" s="590">
        <f>IF(ISBLANK(J10), "", COUNTIFS(B:B, B10, J:J, "&gt;"&amp;J10)+1)</f>
        <v/>
      </c>
      <c r="E10" s="593">
        <f>IF(NOT(ISBLANK(J10)), COUNTIFS(B$2:B10, B10, J$2:J10, "&lt;&gt;"), "")</f>
        <v/>
      </c>
      <c r="F10" s="590" t="inlineStr">
        <is>
          <t>SEA Age 2023</t>
        </is>
      </c>
      <c r="G10" s="422" t="n">
        <v>45162</v>
      </c>
      <c r="H10" s="423">
        <f>(G10-C10)/365.25</f>
        <v/>
      </c>
      <c r="I10" s="661" t="inlineStr">
        <is>
          <t>2:11.44</t>
        </is>
      </c>
      <c r="J10" s="590">
        <f>IFERROR(__xludf.DUMMYFUNCTION("LET(
  gen,$A10, ev,$B10, t,$I10,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)"),622.0)</f>
        <v/>
      </c>
      <c r="K10" s="593">
        <f>year(G10)-year(C10)</f>
        <v/>
      </c>
      <c r="L10" s="593">
        <f t="array" ref="L10">INDEX('MOT Tables 25'!$M:$M, MATCH(A10&amp;"_"&amp;B10&amp;"_"&amp;K10, 'MOT Tables 25'!$A:$A&amp;"_"&amp;'MOT Tables 25'!$B:$B&amp;"_"&amp;'MOT Tables 25'!$C:$C, 0))</f>
        <v/>
      </c>
      <c r="M10" s="593">
        <f t="array" ref="M10">INDEX('MOT Tables 25'!$N:$N, MATCH(A10&amp;"_"&amp;B10&amp;"_"&amp;K10, 'MOT Tables 25'!$A:$A&amp;"_"&amp;'MOT Tables 25'!$B:$B&amp;"_"&amp;'MOT Tables 25'!$C:$C, 0))</f>
        <v/>
      </c>
      <c r="N10" s="435">
        <f>J10-M10</f>
        <v/>
      </c>
      <c r="O10" s="426" t="inlineStr">
        <is>
          <t>N</t>
        </is>
      </c>
    </row>
    <row r="11">
      <c r="A11" s="427" t="inlineStr">
        <is>
          <t>F</t>
        </is>
      </c>
      <c r="B11" s="613" t="inlineStr">
        <is>
          <t>200 Free</t>
        </is>
      </c>
      <c r="C11" s="428" t="n">
        <v>39610</v>
      </c>
      <c r="D11" s="613">
        <f>IF(ISBLANK(J11), "", COUNTIFS(B:B, B11, J:J, "&gt;"&amp;J11)+1)</f>
        <v/>
      </c>
      <c r="E11" s="616">
        <f>IF(NOT(ISBLANK(J11)), COUNTIFS(B$2:B11, B11, J$2:J11, "&lt;&gt;"), "")</f>
        <v/>
      </c>
      <c r="F11" s="613" t="inlineStr">
        <is>
          <t>SUKMA</t>
        </is>
      </c>
      <c r="G11" s="429" t="n">
        <v>45524</v>
      </c>
      <c r="H11" s="430">
        <f>(G11-C11)/365.25</f>
        <v/>
      </c>
      <c r="I11" s="665" t="inlineStr">
        <is>
          <t>2:07.13</t>
        </is>
      </c>
      <c r="J11" s="613">
        <f>IFERROR(__xludf.DUMMYFUNCTION("LET(
  gen,$A11, ev,$B11, t,$I11,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)"),687.0)</f>
        <v/>
      </c>
      <c r="K11" s="616">
        <f>year(G11)-year(C11)</f>
        <v/>
      </c>
      <c r="L11" s="616">
        <f t="array" ref="L11">INDEX('MOT Tables 25'!$M:$M, MATCH(A11&amp;"_"&amp;B11&amp;"_"&amp;K11, 'MOT Tables 25'!$A:$A&amp;"_"&amp;'MOT Tables 25'!$B:$B&amp;"_"&amp;'MOT Tables 25'!$C:$C, 0))</f>
        <v/>
      </c>
      <c r="M11" s="616">
        <f t="array" ref="M11">INDEX('MOT Tables 25'!$N:$N, MATCH(A11&amp;"_"&amp;B11&amp;"_"&amp;K11, 'MOT Tables 25'!$A:$A&amp;"_"&amp;'MOT Tables 25'!$B:$B&amp;"_"&amp;'MOT Tables 25'!$C:$C, 0))</f>
        <v/>
      </c>
      <c r="N11" s="436">
        <f>J11-M11</f>
        <v/>
      </c>
      <c r="O11" s="433" t="inlineStr">
        <is>
          <t>N</t>
        </is>
      </c>
    </row>
    <row r="12">
      <c r="A12" s="420" t="inlineStr">
        <is>
          <t>F</t>
        </is>
      </c>
      <c r="B12" s="590" t="inlineStr">
        <is>
          <t>200 Free</t>
        </is>
      </c>
      <c r="C12" s="421" t="n">
        <v>39610</v>
      </c>
      <c r="D12" s="590">
        <f>IF(ISBLANK(J12), "", COUNTIFS(B:B, B12, J:J, "&gt;"&amp;J12)+1)</f>
        <v/>
      </c>
      <c r="E12" s="593">
        <f>IF(NOT(ISBLANK(J12)), COUNTIFS(B$2:B12, B12, J$2:J12, "&lt;&gt;"), "")</f>
        <v/>
      </c>
      <c r="F12" s="590" t="inlineStr">
        <is>
          <t>SEA Age 2024</t>
        </is>
      </c>
      <c r="G12" s="422" t="n">
        <v>45632</v>
      </c>
      <c r="H12" s="423">
        <f>(G12-C12)/365.25</f>
        <v/>
      </c>
      <c r="I12" s="661" t="inlineStr">
        <is>
          <t>2:10.95</t>
        </is>
      </c>
      <c r="J12" s="590">
        <f>IFERROR(__xludf.DUMMYFUNCTION("LET(
  gen,$A12, ev,$B12, t,$I12,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)"),629.0)</f>
        <v/>
      </c>
      <c r="K12" s="593">
        <f>year(G12)-year(C12)</f>
        <v/>
      </c>
      <c r="L12" s="593">
        <f t="array" ref="L12">INDEX('MOT Tables 25'!$M:$M, MATCH(A12&amp;"_"&amp;B12&amp;"_"&amp;K12, 'MOT Tables 25'!$A:$A&amp;"_"&amp;'MOT Tables 25'!$B:$B&amp;"_"&amp;'MOT Tables 25'!$C:$C, 0))</f>
        <v/>
      </c>
      <c r="M12" s="593">
        <f t="array" ref="M12">INDEX('MOT Tables 25'!$N:$N, MATCH(A12&amp;"_"&amp;B12&amp;"_"&amp;K12, 'MOT Tables 25'!$A:$A&amp;"_"&amp;'MOT Tables 25'!$B:$B&amp;"_"&amp;'MOT Tables 25'!$C:$C, 0))</f>
        <v/>
      </c>
      <c r="N12" s="435">
        <f>J12-M12</f>
        <v/>
      </c>
      <c r="O12" s="426" t="inlineStr">
        <is>
          <t>N</t>
        </is>
      </c>
      <c r="S12" s="689" t="inlineStr">
        <is>
          <t>Any SXL times that are worth mention, missing any favorable datapoints?</t>
        </is>
      </c>
    </row>
    <row r="13">
      <c r="A13" s="427" t="inlineStr">
        <is>
          <t>F</t>
        </is>
      </c>
      <c r="B13" s="613" t="inlineStr">
        <is>
          <t>200 Free</t>
        </is>
      </c>
      <c r="C13" s="428" t="n">
        <v>39610</v>
      </c>
      <c r="D13" s="613">
        <f>IF(ISBLANK(J13), "", COUNTIFS(B:B, B13, J:J, "&gt;"&amp;J13)+1)</f>
        <v/>
      </c>
      <c r="E13" s="616">
        <f>IF(NOT(ISBLANK(J13)), COUNTIFS(B$2:B13, B13, J$2:J13, "&lt;&gt;"), "")</f>
        <v/>
      </c>
      <c r="F13" s="613" t="inlineStr">
        <is>
          <t>MIAG 2025</t>
        </is>
      </c>
      <c r="G13" s="429" t="n">
        <v>45708</v>
      </c>
      <c r="H13" s="430">
        <f>(G13-C13)/365.25</f>
        <v/>
      </c>
      <c r="I13" s="665" t="inlineStr">
        <is>
          <t>2:12.60</t>
        </is>
      </c>
      <c r="J13" s="613">
        <f>IFERROR(__xludf.DUMMYFUNCTION("LET(
  gen,$A13, ev,$B13, t,$I13,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)"),606.0)</f>
        <v/>
      </c>
      <c r="K13" s="616">
        <f>year(G13)-year(C13)</f>
        <v/>
      </c>
      <c r="L13" s="616">
        <f t="array" ref="L13">INDEX('MOT Tables 25'!$M:$M, MATCH(A13&amp;"_"&amp;B13&amp;"_"&amp;K13, 'MOT Tables 25'!$A:$A&amp;"_"&amp;'MOT Tables 25'!$B:$B&amp;"_"&amp;'MOT Tables 25'!$C:$C, 0))</f>
        <v/>
      </c>
      <c r="M13" s="616">
        <f t="array" ref="M13">INDEX('MOT Tables 25'!$N:$N, MATCH(A13&amp;"_"&amp;B13&amp;"_"&amp;K13, 'MOT Tables 25'!$A:$A&amp;"_"&amp;'MOT Tables 25'!$B:$B&amp;"_"&amp;'MOT Tables 25'!$C:$C, 0))</f>
        <v/>
      </c>
      <c r="N13" s="436">
        <f>J13-M13</f>
        <v/>
      </c>
      <c r="O13" s="433" t="inlineStr">
        <is>
          <t>N</t>
        </is>
      </c>
      <c r="S13" s="437" t="inlineStr">
        <is>
          <t>Note she didnt' even qualify in the 100 Free event</t>
        </is>
      </c>
    </row>
    <row r="14">
      <c r="A14" s="420" t="inlineStr">
        <is>
          <t>F</t>
        </is>
      </c>
      <c r="B14" s="590" t="inlineStr">
        <is>
          <t>200 Free</t>
        </is>
      </c>
      <c r="C14" s="421" t="n">
        <v>39610</v>
      </c>
      <c r="D14" s="590">
        <f>IF(ISBLANK(J14), "", COUNTIFS(B:B, B14, J:J, "&gt;"&amp;J14)+1)</f>
        <v/>
      </c>
      <c r="E14" s="593">
        <f>IF(NOT(ISBLANK(J14)), COUNTIFS(B$2:B14, B14, J$2:J14, "&lt;&gt;"), "")</f>
        <v/>
      </c>
      <c r="F14" s="590" t="inlineStr">
        <is>
          <t>MO 2025</t>
        </is>
      </c>
      <c r="G14" s="422" t="n">
        <v>45771</v>
      </c>
      <c r="H14" s="423">
        <f>(G14-C14)/365.25</f>
        <v/>
      </c>
      <c r="I14" s="661" t="inlineStr">
        <is>
          <t>2:10.24</t>
        </is>
      </c>
      <c r="J14" s="590">
        <f>IFERROR(__xludf.DUMMYFUNCTION("LET(
  gen,$A14, ev,$B14, t,$I14,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)"),639.0)</f>
        <v/>
      </c>
      <c r="K14" s="593">
        <f>year(G14)-year(C14)</f>
        <v/>
      </c>
      <c r="L14" s="593">
        <f t="array" ref="L14">INDEX('MOT Tables 25'!$M:$M, MATCH(A14&amp;"_"&amp;B14&amp;"_"&amp;K14, 'MOT Tables 25'!$A:$A&amp;"_"&amp;'MOT Tables 25'!$B:$B&amp;"_"&amp;'MOT Tables 25'!$C:$C, 0))</f>
        <v/>
      </c>
      <c r="M14" s="593">
        <f t="array" ref="M14">INDEX('MOT Tables 25'!$N:$N, MATCH(A14&amp;"_"&amp;B14&amp;"_"&amp;K14, 'MOT Tables 25'!$A:$A&amp;"_"&amp;'MOT Tables 25'!$B:$B&amp;"_"&amp;'MOT Tables 25'!$C:$C, 0))</f>
        <v/>
      </c>
      <c r="N14" s="434">
        <f>J14-M14</f>
        <v/>
      </c>
      <c r="O14" s="426" t="inlineStr">
        <is>
          <t>N</t>
        </is>
      </c>
    </row>
    <row r="15">
      <c r="A15" s="427" t="inlineStr">
        <is>
          <t>F</t>
        </is>
      </c>
      <c r="B15" s="613" t="inlineStr">
        <is>
          <t>200 Free</t>
        </is>
      </c>
      <c r="C15" s="428" t="n">
        <v>39610</v>
      </c>
      <c r="D15" s="613">
        <f>IF(ISBLANK(J15), "", COUNTIFS(B:B, B15, J:J, "&gt;"&amp;J15)+1)</f>
        <v/>
      </c>
      <c r="E15" s="616">
        <f>IF(NOT(ISBLANK(J15)), COUNTIFS(B$2:B15, B15, J$2:J15, "&lt;&gt;"), "")</f>
        <v/>
      </c>
      <c r="F15" s="613" t="inlineStr">
        <is>
          <t>MO 2024</t>
        </is>
      </c>
      <c r="G15" s="429" t="n">
        <v>45800</v>
      </c>
      <c r="H15" s="430">
        <f>(G15-C15)/365.25</f>
        <v/>
      </c>
      <c r="I15" s="665" t="inlineStr">
        <is>
          <t>2:10.37</t>
        </is>
      </c>
      <c r="J15" s="613">
        <f>IFERROR(__xludf.DUMMYFUNCTION("LET(
  gen,$A15, ev,$B15, t,$I15,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)"),637.0)</f>
        <v/>
      </c>
      <c r="K15" s="616">
        <f>year(G15)-year(C15)</f>
        <v/>
      </c>
      <c r="L15" s="616">
        <f t="array" ref="L15">INDEX('MOT Tables 25'!$M:$M, MATCH(A15&amp;"_"&amp;B15&amp;"_"&amp;K15, 'MOT Tables 25'!$A:$A&amp;"_"&amp;'MOT Tables 25'!$B:$B&amp;"_"&amp;'MOT Tables 25'!$C:$C, 0))</f>
        <v/>
      </c>
      <c r="M15" s="616">
        <f t="array" ref="M15">INDEX('MOT Tables 25'!$N:$N, MATCH(A15&amp;"_"&amp;B15&amp;"_"&amp;K15, 'MOT Tables 25'!$A:$A&amp;"_"&amp;'MOT Tables 25'!$B:$B&amp;"_"&amp;'MOT Tables 25'!$C:$C, 0))</f>
        <v/>
      </c>
      <c r="N15" s="435">
        <f>J15-M15</f>
        <v/>
      </c>
      <c r="O15" s="433" t="inlineStr">
        <is>
          <t>N</t>
        </is>
      </c>
    </row>
    <row r="16">
      <c r="A16" s="438" t="inlineStr">
        <is>
          <t>F</t>
        </is>
      </c>
      <c r="B16" s="725" t="inlineStr">
        <is>
          <t>200 Free</t>
        </is>
      </c>
      <c r="C16" s="440" t="n">
        <v>39610</v>
      </c>
      <c r="D16" s="725">
        <f>IF(ISBLANK(J16), "", COUNTIFS(B:B, B16, J:J, "&gt;"&amp;J16)+1)</f>
        <v/>
      </c>
      <c r="E16" s="728">
        <f>IF(NOT(ISBLANK(J16)), COUNTIFS(B$2:B16, B16, J$2:J16, "&lt;&gt;"), "")</f>
        <v/>
      </c>
      <c r="F16" s="725" t="inlineStr">
        <is>
          <t>SEA Age 2025</t>
        </is>
      </c>
      <c r="G16" s="442" t="n">
        <v>45833</v>
      </c>
      <c r="H16" s="443">
        <f>(G16-C16)/365.25</f>
        <v/>
      </c>
      <c r="I16" s="444" t="inlineStr">
        <is>
          <t>2:12.26</t>
        </is>
      </c>
      <c r="J16" s="725">
        <f>IFERROR(__xludf.DUMMYFUNCTION("LET(
  gen,$A16, ev,$B16, t,$I16,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)"),611.0)</f>
        <v/>
      </c>
      <c r="K16" s="728">
        <f>year(G16)-year(C16)</f>
        <v/>
      </c>
      <c r="L16" s="728">
        <f t="array" ref="L16">INDEX('MOT Tables 25'!$M:$M, MATCH(A16&amp;"_"&amp;B16&amp;"_"&amp;K16, 'MOT Tables 25'!$A:$A&amp;"_"&amp;'MOT Tables 25'!$B:$B&amp;"_"&amp;'MOT Tables 25'!$C:$C, 0))</f>
        <v/>
      </c>
      <c r="M16" s="728">
        <f t="array" ref="M16">INDEX('MOT Tables 25'!$N:$N, MATCH(A16&amp;"_"&amp;B16&amp;"_"&amp;K16, 'MOT Tables 25'!$A:$A&amp;"_"&amp;'MOT Tables 25'!$B:$B&amp;"_"&amp;'MOT Tables 25'!$C:$C, 0))</f>
        <v/>
      </c>
      <c r="N16" s="436">
        <f>J16-M16</f>
        <v/>
      </c>
      <c r="O16" s="446" t="inlineStr">
        <is>
          <t>N</t>
        </is>
      </c>
    </row>
    <row r="17">
      <c r="A17" s="692" t="n"/>
      <c r="C17" s="692" t="n"/>
      <c r="E17" s="692" t="n"/>
      <c r="H17" s="447" t="n"/>
      <c r="I17" s="415" t="n"/>
      <c r="K17" s="692" t="n"/>
    </row>
    <row r="18">
      <c r="A18" s="692" t="n"/>
      <c r="C18" s="692" t="n"/>
      <c r="E18" s="692" t="n"/>
      <c r="H18" s="447" t="n"/>
      <c r="I18" s="415" t="n"/>
      <c r="K18" s="692" t="n"/>
    </row>
    <row r="19">
      <c r="A19" s="692" t="inlineStr">
        <is>
          <t>Feed in this workbook xls</t>
        </is>
      </c>
      <c r="C19" s="692" t="n"/>
      <c r="E19" s="692" t="n"/>
      <c r="H19" s="447" t="n"/>
      <c r="I19" s="415" t="n"/>
      <c r="K19" s="692" t="n"/>
    </row>
    <row r="20">
      <c r="A20" s="692" t="inlineStr">
        <is>
          <t>Prompt:</t>
        </is>
      </c>
      <c r="B20" s="689" t="inlineStr">
        <is>
          <t xml:space="preserve">
 Create a graph comparing Pelapis athlete AQUA points versus age against the Malaysia On Track AQUA curve.
Use data from the workbook **Malaysia On Track Times Spreadsheet Workbook (1).xlsx**:
 From the **Pelapis Athlete Evaluation** sheet, filter rows for `Event = 100 Free` and `Gender = F`.
Plot the **Competition Age** on the x-axis and **AQUA** on the y-axis.
Exclude any rows without a valid race time.
From the **Malaysia On Track Tables** sheet, extract rows for `Event = 100 Free` and `Gender = F`, using **Age** (x-axis) and **Malaysia Track AQUA** (y-axis).
Overlay both datasets on one graph:
Scatter plot for Pelapis athletes (blue points)
 Smooth red line for Malaysia Track AQUA curve
 Label the axes and title as:
 X-axis: Age (years)
Y-axis: AQUA Points
Title: *Female 100 Free – AQUA Progression vs Malaysia Track Benchmark*
* Change the event or gender:
  “...for `Event = 200 Fly` and `Gender = M`.”
* Add both genders in different colors.
* Include trendlines or polynomial smoothing.
* Export the chart as PDF.
---
Would you like me to make this reusable as a **Google Sheets script or Python template** so you can generate this graph automatically for any event with a dropdown selection?
</t>
        </is>
      </c>
      <c r="C20" s="692" t="n"/>
      <c r="E20" s="692" t="n"/>
      <c r="H20" s="447" t="n"/>
      <c r="I20" s="415" t="n"/>
      <c r="K20" s="692" t="n"/>
    </row>
    <row r="21">
      <c r="A21" s="692" t="n"/>
      <c r="B21" s="689" t="inlineStr">
        <is>
          <t>Create a graph comparing Pelapis athlete AQUA points versus age to the Malaysia On Track AQUA curve using Malaysia On Track Times Spreadsheet Workbook (1).xlsx.
Pelapis Athlete Evaluation
Filter: Event = 100 Free, Gender = F
X = Age; Y = AQUA
Exclude rows without a valid time
MOT Tables 25
Filter: Event = 100 Free, Gender = F
Plot Age (x) vs Malaysia Track AQUA (y)
Styling
Plot Pelapis points as vertical black lines from the lower visible y-limit up to each AQUA value, start the lines at the X-axis.  If Qualifying Trigger contains “Y”, make that vertical line orange
Plot the benchmark as an orange line
X-axis limits: 14.8 to 21
Y-axis: set to the competitive range (min of all plotted AQUA values minus 10; max plus 20 
Include legend, grid, tight layout
Title: Zi Xian Khew 100 Free: Progression vs Malaysia On Track</t>
        </is>
      </c>
      <c r="C21" s="692" t="n"/>
      <c r="E21" s="692" t="n"/>
      <c r="H21" s="447" t="n"/>
      <c r="I21" s="415" t="n"/>
      <c r="K21" s="692" t="n"/>
    </row>
    <row r="22">
      <c r="A22" s="692" t="n"/>
      <c r="C22" s="692" t="n"/>
      <c r="E22" s="692" t="n"/>
      <c r="H22" s="447" t="n"/>
      <c r="I22" s="415" t="n"/>
      <c r="K22" s="692" t="n"/>
    </row>
    <row r="23">
      <c r="A23" s="692" t="n"/>
      <c r="C23" s="692" t="n"/>
      <c r="E23" s="692" t="n"/>
      <c r="H23" s="447" t="n"/>
      <c r="I23" s="415" t="n"/>
      <c r="K23" s="692" t="n"/>
    </row>
    <row r="24">
      <c r="A24" s="692" t="n"/>
      <c r="C24" s="692" t="n"/>
      <c r="E24" s="692" t="n"/>
      <c r="H24" s="447" t="n"/>
      <c r="I24" s="415" t="n"/>
      <c r="K24" s="692" t="n"/>
    </row>
    <row r="25">
      <c r="A25" s="692" t="n"/>
      <c r="C25" s="692" t="n"/>
      <c r="E25" s="692" t="n"/>
      <c r="H25" s="447" t="n"/>
      <c r="I25" s="415" t="n"/>
      <c r="K25" s="692" t="n"/>
    </row>
    <row r="26">
      <c r="A26" s="692" t="n"/>
      <c r="C26" s="692" t="n"/>
      <c r="E26" s="692" t="n"/>
      <c r="H26" s="447" t="n"/>
      <c r="I26" s="415" t="n"/>
      <c r="K26" s="692" t="n"/>
    </row>
    <row r="27">
      <c r="A27" s="692" t="n"/>
      <c r="C27" s="692" t="n"/>
      <c r="E27" s="692" t="n"/>
      <c r="H27" s="447" t="n"/>
      <c r="I27" s="415" t="n"/>
      <c r="K27" s="692" t="n"/>
    </row>
    <row r="28">
      <c r="A28" s="692" t="n"/>
      <c r="C28" s="692" t="n"/>
      <c r="E28" s="692" t="n"/>
      <c r="H28" s="447" t="n"/>
      <c r="I28" s="415" t="n"/>
      <c r="K28" s="692" t="n"/>
    </row>
    <row r="29">
      <c r="A29" s="692" t="n"/>
      <c r="C29" s="692" t="n"/>
      <c r="E29" s="692" t="n"/>
      <c r="H29" s="447" t="n"/>
      <c r="I29" s="415" t="n"/>
      <c r="K29" s="692" t="n"/>
    </row>
    <row r="30">
      <c r="A30" s="692" t="n"/>
      <c r="C30" s="692" t="n"/>
      <c r="E30" s="692" t="n"/>
      <c r="H30" s="447" t="n"/>
      <c r="I30" s="415" t="n"/>
      <c r="K30" s="692" t="n"/>
    </row>
    <row r="31">
      <c r="A31" s="692" t="n"/>
      <c r="C31" s="692" t="n"/>
      <c r="E31" s="692" t="n"/>
      <c r="H31" s="447" t="n"/>
      <c r="I31" s="415" t="n"/>
      <c r="K31" s="692" t="n"/>
    </row>
    <row r="32">
      <c r="A32" s="692" t="n"/>
      <c r="C32" s="692" t="n"/>
      <c r="E32" s="692" t="n"/>
      <c r="H32" s="447" t="n"/>
      <c r="I32" s="415" t="n"/>
      <c r="K32" s="692" t="n"/>
    </row>
    <row r="33">
      <c r="A33" s="692" t="n"/>
      <c r="C33" s="692" t="n"/>
      <c r="E33" s="692" t="n"/>
      <c r="H33" s="447" t="n"/>
      <c r="I33" s="415" t="n"/>
      <c r="K33" s="692" t="n"/>
    </row>
    <row r="34">
      <c r="A34" s="692" t="n"/>
      <c r="C34" s="692" t="n"/>
      <c r="E34" s="692" t="n"/>
      <c r="H34" s="447" t="n"/>
      <c r="I34" s="415" t="n"/>
      <c r="K34" s="692" t="n"/>
    </row>
    <row r="35">
      <c r="A35" s="692" t="n"/>
      <c r="C35" s="692" t="n"/>
      <c r="E35" s="692" t="n"/>
      <c r="H35" s="447" t="n"/>
      <c r="I35" s="415" t="n"/>
      <c r="K35" s="692" t="n"/>
    </row>
    <row r="36">
      <c r="A36" s="692" t="n"/>
      <c r="C36" s="692" t="n"/>
      <c r="E36" s="692" t="n"/>
      <c r="H36" s="447" t="n"/>
      <c r="I36" s="415" t="n"/>
      <c r="K36" s="692" t="n"/>
    </row>
    <row r="37">
      <c r="A37" s="692" t="n"/>
      <c r="C37" s="692" t="n"/>
      <c r="E37" s="692" t="n"/>
      <c r="H37" s="447" t="n"/>
      <c r="I37" s="415" t="n"/>
      <c r="K37" s="692" t="n"/>
    </row>
    <row r="38">
      <c r="A38" s="692" t="n"/>
      <c r="C38" s="692" t="n"/>
      <c r="E38" s="692" t="n"/>
      <c r="H38" s="447" t="n"/>
      <c r="I38" s="415" t="n"/>
      <c r="K38" s="692" t="n"/>
    </row>
    <row r="39">
      <c r="A39" s="692" t="n"/>
      <c r="C39" s="692" t="n"/>
      <c r="E39" s="692" t="n"/>
      <c r="H39" s="447" t="n"/>
      <c r="I39" s="415" t="n"/>
      <c r="K39" s="692" t="n"/>
    </row>
    <row r="40">
      <c r="A40" s="692" t="n"/>
      <c r="C40" s="692" t="n"/>
      <c r="E40" s="692" t="n"/>
      <c r="H40" s="447" t="n"/>
      <c r="I40" s="415" t="n"/>
      <c r="K40" s="692" t="n"/>
    </row>
    <row r="41">
      <c r="A41" s="692" t="n"/>
      <c r="C41" s="692" t="n"/>
      <c r="E41" s="692" t="n"/>
      <c r="H41" s="447" t="n"/>
      <c r="I41" s="415" t="n"/>
      <c r="K41" s="692" t="n"/>
    </row>
    <row r="42">
      <c r="A42" s="692" t="n"/>
      <c r="C42" s="692" t="n"/>
      <c r="E42" s="692" t="n"/>
      <c r="H42" s="447" t="n"/>
      <c r="I42" s="415" t="n"/>
      <c r="K42" s="692" t="n"/>
    </row>
    <row r="43">
      <c r="A43" s="692" t="n"/>
      <c r="C43" s="692" t="n"/>
      <c r="E43" s="692" t="n"/>
      <c r="H43" s="447" t="n"/>
      <c r="I43" s="415" t="n"/>
      <c r="K43" s="692" t="n"/>
    </row>
    <row r="44">
      <c r="A44" s="692" t="n"/>
      <c r="C44" s="692" t="n"/>
      <c r="E44" s="692" t="n"/>
      <c r="H44" s="447" t="n"/>
      <c r="I44" s="415" t="n"/>
      <c r="K44" s="692" t="n"/>
    </row>
    <row r="45">
      <c r="A45" s="692" t="n"/>
      <c r="C45" s="692" t="n"/>
      <c r="E45" s="692" t="n"/>
      <c r="H45" s="447" t="n"/>
      <c r="I45" s="415" t="n"/>
      <c r="K45" s="692" t="n"/>
    </row>
    <row r="46">
      <c r="A46" s="692" t="n"/>
      <c r="C46" s="692" t="n"/>
      <c r="E46" s="692" t="n"/>
      <c r="H46" s="447" t="n"/>
      <c r="I46" s="415" t="n"/>
      <c r="K46" s="692" t="n"/>
    </row>
    <row r="47">
      <c r="A47" s="692" t="n"/>
      <c r="C47" s="692" t="n"/>
      <c r="E47" s="692" t="n"/>
      <c r="H47" s="447" t="n"/>
      <c r="I47" s="415" t="n"/>
      <c r="K47" s="692" t="n"/>
    </row>
    <row r="48">
      <c r="A48" s="692" t="n"/>
      <c r="C48" s="692" t="n"/>
      <c r="E48" s="692" t="n"/>
      <c r="H48" s="447" t="n"/>
      <c r="I48" s="415" t="n"/>
      <c r="K48" s="692" t="n"/>
    </row>
    <row r="49">
      <c r="A49" s="692" t="n"/>
      <c r="C49" s="692" t="n"/>
      <c r="E49" s="692" t="n"/>
      <c r="H49" s="447" t="n"/>
      <c r="I49" s="415" t="n"/>
      <c r="K49" s="692" t="n"/>
    </row>
    <row r="50">
      <c r="A50" s="692" t="n"/>
      <c r="C50" s="692" t="n"/>
      <c r="E50" s="692" t="n"/>
      <c r="H50" s="447" t="n"/>
      <c r="I50" s="415" t="n"/>
      <c r="K50" s="692" t="n"/>
    </row>
    <row r="51">
      <c r="A51" s="692" t="n"/>
      <c r="C51" s="692" t="n"/>
      <c r="E51" s="692" t="n"/>
      <c r="H51" s="447" t="n"/>
      <c r="I51" s="415" t="n"/>
      <c r="K51" s="692" t="n"/>
    </row>
    <row r="52">
      <c r="A52" s="692" t="n"/>
      <c r="C52" s="692" t="n"/>
      <c r="E52" s="692" t="n"/>
      <c r="H52" s="447" t="n"/>
      <c r="I52" s="415" t="n"/>
      <c r="K52" s="692" t="n"/>
    </row>
    <row r="53">
      <c r="A53" s="692" t="n"/>
      <c r="C53" s="692" t="n"/>
      <c r="E53" s="692" t="n"/>
      <c r="H53" s="447" t="n"/>
      <c r="I53" s="415" t="n"/>
      <c r="K53" s="692" t="n"/>
    </row>
    <row r="54">
      <c r="A54" s="692" t="n"/>
      <c r="C54" s="692" t="n"/>
      <c r="E54" s="692" t="n"/>
      <c r="H54" s="447" t="n"/>
      <c r="I54" s="415" t="n"/>
      <c r="K54" s="692" t="n"/>
    </row>
    <row r="55">
      <c r="A55" s="692" t="n"/>
      <c r="C55" s="692" t="n"/>
      <c r="E55" s="692" t="n"/>
      <c r="H55" s="447" t="n"/>
      <c r="I55" s="415" t="n"/>
      <c r="K55" s="692" t="n"/>
    </row>
    <row r="56">
      <c r="A56" s="692" t="n"/>
      <c r="C56" s="692" t="n"/>
      <c r="E56" s="692" t="n"/>
      <c r="H56" s="447" t="n"/>
      <c r="I56" s="415" t="n"/>
      <c r="K56" s="692" t="n"/>
    </row>
    <row r="57">
      <c r="A57" s="692" t="n"/>
      <c r="C57" s="692" t="n"/>
      <c r="E57" s="692" t="n"/>
      <c r="H57" s="447" t="n"/>
      <c r="I57" s="415" t="n"/>
      <c r="K57" s="692" t="n"/>
    </row>
    <row r="58">
      <c r="A58" s="692" t="n"/>
      <c r="C58" s="692" t="n"/>
      <c r="E58" s="692" t="n"/>
      <c r="H58" s="447" t="n"/>
      <c r="I58" s="415" t="n"/>
      <c r="K58" s="692" t="n"/>
    </row>
    <row r="59">
      <c r="A59" s="692" t="n"/>
      <c r="C59" s="692" t="n"/>
      <c r="E59" s="692" t="n"/>
      <c r="H59" s="447" t="n"/>
      <c r="I59" s="415" t="n"/>
      <c r="K59" s="692" t="n"/>
    </row>
    <row r="60">
      <c r="A60" s="692" t="n"/>
      <c r="C60" s="692" t="n"/>
      <c r="E60" s="692" t="n"/>
      <c r="H60" s="447" t="n"/>
      <c r="I60" s="415" t="n"/>
      <c r="K60" s="692" t="n"/>
    </row>
    <row r="61">
      <c r="A61" s="692" t="n"/>
      <c r="C61" s="692" t="n"/>
      <c r="E61" s="692" t="n"/>
      <c r="H61" s="447" t="n"/>
      <c r="I61" s="415" t="n"/>
      <c r="K61" s="692" t="n"/>
    </row>
    <row r="62">
      <c r="A62" s="692" t="n"/>
      <c r="C62" s="692" t="n"/>
      <c r="E62" s="692" t="n"/>
      <c r="H62" s="447" t="n"/>
      <c r="I62" s="415" t="n"/>
      <c r="K62" s="692" t="n"/>
    </row>
    <row r="63">
      <c r="A63" s="692" t="n"/>
      <c r="C63" s="692" t="n"/>
      <c r="E63" s="692" t="n"/>
      <c r="H63" s="447" t="n"/>
      <c r="I63" s="415" t="n"/>
      <c r="K63" s="692" t="n"/>
    </row>
    <row r="64">
      <c r="A64" s="692" t="n"/>
      <c r="C64" s="692" t="n"/>
      <c r="E64" s="692" t="n"/>
      <c r="H64" s="447" t="n"/>
      <c r="I64" s="415" t="n"/>
      <c r="K64" s="692" t="n"/>
    </row>
    <row r="65">
      <c r="A65" s="692" t="n"/>
      <c r="C65" s="692" t="n"/>
      <c r="E65" s="692" t="n"/>
      <c r="H65" s="447" t="n"/>
      <c r="I65" s="415" t="n"/>
      <c r="K65" s="692" t="n"/>
    </row>
    <row r="66">
      <c r="A66" s="692" t="n"/>
      <c r="C66" s="692" t="n"/>
      <c r="E66" s="692" t="n"/>
      <c r="H66" s="447" t="n"/>
      <c r="I66" s="415" t="n"/>
      <c r="K66" s="692" t="n"/>
    </row>
    <row r="67">
      <c r="A67" s="692" t="n"/>
      <c r="C67" s="692" t="n"/>
      <c r="E67" s="692" t="n"/>
      <c r="H67" s="447" t="n"/>
      <c r="I67" s="415" t="n"/>
      <c r="K67" s="692" t="n"/>
    </row>
    <row r="68">
      <c r="A68" s="692" t="n"/>
      <c r="C68" s="692" t="n"/>
      <c r="E68" s="692" t="n"/>
      <c r="H68" s="447" t="n"/>
      <c r="I68" s="415" t="n"/>
      <c r="K68" s="692" t="n"/>
    </row>
    <row r="69">
      <c r="A69" s="692" t="n"/>
      <c r="C69" s="692" t="n"/>
      <c r="E69" s="692" t="n"/>
      <c r="H69" s="447" t="n"/>
      <c r="I69" s="415" t="n"/>
      <c r="K69" s="692" t="n"/>
    </row>
    <row r="70">
      <c r="A70" s="692" t="n"/>
      <c r="C70" s="692" t="n"/>
      <c r="E70" s="692" t="n"/>
      <c r="H70" s="447" t="n"/>
      <c r="I70" s="415" t="n"/>
      <c r="K70" s="692" t="n"/>
    </row>
    <row r="71">
      <c r="A71" s="692" t="n"/>
      <c r="C71" s="692" t="n"/>
      <c r="E71" s="692" t="n"/>
      <c r="H71" s="447" t="n"/>
      <c r="I71" s="415" t="n"/>
      <c r="K71" s="692" t="n"/>
    </row>
    <row r="72">
      <c r="A72" s="692" t="n"/>
      <c r="C72" s="692" t="n"/>
      <c r="E72" s="692" t="n"/>
      <c r="H72" s="447" t="n"/>
      <c r="I72" s="415" t="n"/>
      <c r="K72" s="692" t="n"/>
    </row>
    <row r="73">
      <c r="A73" s="692" t="n"/>
      <c r="C73" s="692" t="n"/>
      <c r="E73" s="692" t="n"/>
      <c r="H73" s="447" t="n"/>
      <c r="I73" s="415" t="n"/>
      <c r="K73" s="692" t="n"/>
    </row>
    <row r="74">
      <c r="A74" s="692" t="n"/>
      <c r="C74" s="692" t="n"/>
      <c r="E74" s="692" t="n"/>
      <c r="H74" s="447" t="n"/>
      <c r="I74" s="415" t="n"/>
      <c r="K74" s="692" t="n"/>
    </row>
    <row r="75">
      <c r="A75" s="692" t="n"/>
      <c r="C75" s="692" t="n"/>
      <c r="E75" s="692" t="n"/>
      <c r="H75" s="447" t="n"/>
      <c r="I75" s="415" t="n"/>
      <c r="K75" s="692" t="n"/>
    </row>
    <row r="76">
      <c r="A76" s="692" t="n"/>
      <c r="C76" s="692" t="n"/>
      <c r="E76" s="692" t="n"/>
      <c r="H76" s="447" t="n"/>
      <c r="I76" s="415" t="n"/>
      <c r="K76" s="692" t="n"/>
    </row>
    <row r="77">
      <c r="A77" s="692" t="n"/>
      <c r="C77" s="692" t="n"/>
      <c r="E77" s="692" t="n"/>
      <c r="H77" s="447" t="n"/>
      <c r="I77" s="415" t="n"/>
      <c r="K77" s="692" t="n"/>
    </row>
    <row r="78">
      <c r="A78" s="692" t="n"/>
      <c r="C78" s="692" t="n"/>
      <c r="E78" s="692" t="n"/>
      <c r="H78" s="447" t="n"/>
      <c r="I78" s="415" t="n"/>
      <c r="K78" s="692" t="n"/>
    </row>
    <row r="79">
      <c r="A79" s="692" t="n"/>
      <c r="C79" s="692" t="n"/>
      <c r="E79" s="692" t="n"/>
      <c r="H79" s="447" t="n"/>
      <c r="I79" s="415" t="n"/>
      <c r="K79" s="692" t="n"/>
    </row>
    <row r="80">
      <c r="A80" s="692" t="n"/>
      <c r="C80" s="692" t="n"/>
      <c r="E80" s="692" t="n"/>
      <c r="H80" s="447" t="n"/>
      <c r="I80" s="415" t="n"/>
      <c r="K80" s="692" t="n"/>
    </row>
    <row r="81">
      <c r="A81" s="692" t="n"/>
      <c r="C81" s="692" t="n"/>
      <c r="E81" s="692" t="n"/>
      <c r="H81" s="447" t="n"/>
      <c r="I81" s="415" t="n"/>
      <c r="K81" s="692" t="n"/>
    </row>
    <row r="82">
      <c r="A82" s="692" t="n"/>
      <c r="C82" s="692" t="n"/>
      <c r="E82" s="692" t="n"/>
      <c r="H82" s="447" t="n"/>
      <c r="I82" s="415" t="n"/>
      <c r="K82" s="692" t="n"/>
    </row>
    <row r="83">
      <c r="A83" s="692" t="n"/>
      <c r="C83" s="692" t="n"/>
      <c r="E83" s="692" t="n"/>
      <c r="H83" s="447" t="n"/>
      <c r="I83" s="415" t="n"/>
      <c r="K83" s="692" t="n"/>
    </row>
    <row r="84">
      <c r="A84" s="692" t="n"/>
      <c r="C84" s="692" t="n"/>
      <c r="E84" s="692" t="n"/>
      <c r="H84" s="447" t="n"/>
      <c r="I84" s="415" t="n"/>
      <c r="K84" s="692" t="n"/>
    </row>
    <row r="85">
      <c r="A85" s="692" t="n"/>
      <c r="C85" s="692" t="n"/>
      <c r="E85" s="692" t="n"/>
      <c r="H85" s="447" t="n"/>
      <c r="I85" s="415" t="n"/>
      <c r="K85" s="692" t="n"/>
    </row>
    <row r="86">
      <c r="A86" s="692" t="n"/>
      <c r="C86" s="692" t="n"/>
      <c r="E86" s="692" t="n"/>
      <c r="H86" s="447" t="n"/>
      <c r="I86" s="415" t="n"/>
      <c r="K86" s="692" t="n"/>
    </row>
    <row r="87">
      <c r="A87" s="692" t="n"/>
      <c r="C87" s="692" t="n"/>
      <c r="E87" s="692" t="n"/>
      <c r="H87" s="447" t="n"/>
      <c r="I87" s="415" t="n"/>
      <c r="K87" s="692" t="n"/>
    </row>
    <row r="88">
      <c r="A88" s="692" t="n"/>
      <c r="C88" s="692" t="n"/>
      <c r="E88" s="692" t="n"/>
      <c r="H88" s="447" t="n"/>
      <c r="I88" s="415" t="n"/>
      <c r="K88" s="692" t="n"/>
    </row>
    <row r="89">
      <c r="A89" s="692" t="n"/>
      <c r="C89" s="692" t="n"/>
      <c r="E89" s="692" t="n"/>
      <c r="H89" s="447" t="n"/>
      <c r="I89" s="415" t="n"/>
      <c r="K89" s="692" t="n"/>
    </row>
    <row r="90">
      <c r="A90" s="692" t="n"/>
      <c r="C90" s="692" t="n"/>
      <c r="E90" s="692" t="n"/>
      <c r="H90" s="447" t="n"/>
      <c r="I90" s="415" t="n"/>
      <c r="K90" s="692" t="n"/>
    </row>
    <row r="91">
      <c r="A91" s="692" t="n"/>
      <c r="C91" s="692" t="n"/>
      <c r="E91" s="692" t="n"/>
      <c r="H91" s="447" t="n"/>
      <c r="I91" s="415" t="n"/>
      <c r="K91" s="692" t="n"/>
    </row>
    <row r="92">
      <c r="A92" s="692" t="n"/>
      <c r="C92" s="692" t="n"/>
      <c r="E92" s="692" t="n"/>
      <c r="H92" s="447" t="n"/>
      <c r="I92" s="415" t="n"/>
      <c r="K92" s="692" t="n"/>
    </row>
    <row r="93">
      <c r="A93" s="692" t="n"/>
      <c r="C93" s="692" t="n"/>
      <c r="E93" s="692" t="n"/>
      <c r="H93" s="447" t="n"/>
      <c r="I93" s="415" t="n"/>
      <c r="K93" s="692" t="n"/>
    </row>
    <row r="94">
      <c r="A94" s="692" t="n"/>
      <c r="C94" s="692" t="n"/>
      <c r="E94" s="692" t="n"/>
      <c r="H94" s="447" t="n"/>
      <c r="I94" s="415" t="n"/>
      <c r="K94" s="692" t="n"/>
    </row>
    <row r="95">
      <c r="A95" s="692" t="n"/>
      <c r="C95" s="692" t="n"/>
      <c r="E95" s="692" t="n"/>
      <c r="H95" s="447" t="n"/>
      <c r="I95" s="415" t="n"/>
      <c r="K95" s="692" t="n"/>
    </row>
    <row r="96">
      <c r="A96" s="692" t="n"/>
      <c r="C96" s="692" t="n"/>
      <c r="E96" s="692" t="n"/>
      <c r="H96" s="447" t="n"/>
      <c r="I96" s="415" t="n"/>
      <c r="K96" s="692" t="n"/>
    </row>
    <row r="97">
      <c r="A97" s="692" t="n"/>
      <c r="C97" s="692" t="n"/>
      <c r="E97" s="692" t="n"/>
      <c r="H97" s="447" t="n"/>
      <c r="I97" s="415" t="n"/>
      <c r="K97" s="692" t="n"/>
    </row>
    <row r="98">
      <c r="A98" s="692" t="n"/>
      <c r="C98" s="692" t="n"/>
      <c r="E98" s="692" t="n"/>
      <c r="H98" s="447" t="n"/>
      <c r="I98" s="415" t="n"/>
      <c r="K98" s="692" t="n"/>
    </row>
    <row r="99">
      <c r="A99" s="692" t="n"/>
      <c r="C99" s="692" t="n"/>
      <c r="E99" s="692" t="n"/>
      <c r="H99" s="447" t="n"/>
      <c r="I99" s="415" t="n"/>
      <c r="K99" s="692" t="n"/>
    </row>
    <row r="100">
      <c r="A100" s="692" t="n"/>
      <c r="C100" s="692" t="n"/>
      <c r="E100" s="692" t="n"/>
      <c r="H100" s="447" t="n"/>
      <c r="I100" s="415" t="n"/>
      <c r="K100" s="692" t="n"/>
    </row>
    <row r="101">
      <c r="A101" s="692" t="n"/>
      <c r="C101" s="692" t="n"/>
      <c r="E101" s="692" t="n"/>
      <c r="H101" s="447" t="n"/>
      <c r="I101" s="415" t="n"/>
      <c r="K101" s="692" t="n"/>
    </row>
    <row r="102">
      <c r="A102" s="692" t="n"/>
      <c r="C102" s="692" t="n"/>
      <c r="E102" s="692" t="n"/>
      <c r="H102" s="447" t="n"/>
      <c r="I102" s="415" t="n"/>
      <c r="K102" s="692" t="n"/>
    </row>
    <row r="103">
      <c r="A103" s="692" t="n"/>
      <c r="C103" s="692" t="n"/>
      <c r="E103" s="692" t="n"/>
      <c r="H103" s="447" t="n"/>
      <c r="I103" s="415" t="n"/>
      <c r="K103" s="692" t="n"/>
    </row>
    <row r="104">
      <c r="A104" s="692" t="n"/>
      <c r="C104" s="692" t="n"/>
      <c r="E104" s="692" t="n"/>
      <c r="H104" s="447" t="n"/>
      <c r="I104" s="415" t="n"/>
      <c r="K104" s="692" t="n"/>
    </row>
    <row r="105">
      <c r="A105" s="692" t="n"/>
      <c r="C105" s="692" t="n"/>
      <c r="E105" s="692" t="n"/>
      <c r="H105" s="447" t="n"/>
      <c r="I105" s="415" t="n"/>
      <c r="K105" s="692" t="n"/>
    </row>
    <row r="106">
      <c r="A106" s="692" t="n"/>
      <c r="C106" s="692" t="n"/>
      <c r="E106" s="692" t="n"/>
      <c r="H106" s="447" t="n"/>
      <c r="I106" s="415" t="n"/>
      <c r="K106" s="692" t="n"/>
    </row>
    <row r="107">
      <c r="A107" s="692" t="n"/>
      <c r="C107" s="692" t="n"/>
      <c r="E107" s="692" t="n"/>
      <c r="H107" s="447" t="n"/>
      <c r="I107" s="415" t="n"/>
      <c r="K107" s="692" t="n"/>
    </row>
    <row r="108">
      <c r="A108" s="692" t="n"/>
      <c r="C108" s="692" t="n"/>
      <c r="E108" s="692" t="n"/>
      <c r="H108" s="447" t="n"/>
      <c r="I108" s="415" t="n"/>
      <c r="K108" s="692" t="n"/>
    </row>
    <row r="109">
      <c r="A109" s="692" t="n"/>
      <c r="C109" s="692" t="n"/>
      <c r="E109" s="692" t="n"/>
      <c r="H109" s="447" t="n"/>
      <c r="I109" s="415" t="n"/>
      <c r="K109" s="692" t="n"/>
    </row>
    <row r="110">
      <c r="A110" s="692" t="n"/>
      <c r="C110" s="692" t="n"/>
      <c r="E110" s="692" t="n"/>
      <c r="H110" s="447" t="n"/>
      <c r="I110" s="415" t="n"/>
      <c r="K110" s="692" t="n"/>
    </row>
    <row r="111">
      <c r="A111" s="692" t="n"/>
      <c r="C111" s="692" t="n"/>
      <c r="E111" s="692" t="n"/>
      <c r="H111" s="447" t="n"/>
      <c r="I111" s="415" t="n"/>
      <c r="K111" s="692" t="n"/>
    </row>
    <row r="112">
      <c r="A112" s="692" t="n"/>
      <c r="C112" s="692" t="n"/>
      <c r="E112" s="692" t="n"/>
      <c r="H112" s="447" t="n"/>
      <c r="I112" s="415" t="n"/>
      <c r="K112" s="692" t="n"/>
    </row>
    <row r="113">
      <c r="A113" s="692" t="n"/>
      <c r="C113" s="692" t="n"/>
      <c r="E113" s="692" t="n"/>
      <c r="H113" s="447" t="n"/>
      <c r="I113" s="415" t="n"/>
      <c r="K113" s="692" t="n"/>
    </row>
    <row r="114">
      <c r="A114" s="692" t="n"/>
      <c r="C114" s="692" t="n"/>
      <c r="E114" s="692" t="n"/>
      <c r="H114" s="447" t="n"/>
      <c r="I114" s="415" t="n"/>
      <c r="K114" s="692" t="n"/>
    </row>
    <row r="115">
      <c r="A115" s="692" t="n"/>
      <c r="C115" s="692" t="n"/>
      <c r="E115" s="692" t="n"/>
      <c r="H115" s="447" t="n"/>
      <c r="I115" s="415" t="n"/>
      <c r="K115" s="692" t="n"/>
    </row>
    <row r="116">
      <c r="A116" s="692" t="n"/>
      <c r="C116" s="692" t="n"/>
      <c r="E116" s="692" t="n"/>
      <c r="H116" s="447" t="n"/>
      <c r="I116" s="415" t="n"/>
      <c r="K116" s="692" t="n"/>
    </row>
    <row r="117">
      <c r="A117" s="692" t="n"/>
      <c r="C117" s="692" t="n"/>
      <c r="E117" s="692" t="n"/>
      <c r="H117" s="447" t="n"/>
      <c r="I117" s="415" t="n"/>
      <c r="K117" s="692" t="n"/>
    </row>
    <row r="118">
      <c r="A118" s="692" t="n"/>
      <c r="C118" s="692" t="n"/>
      <c r="E118" s="692" t="n"/>
      <c r="H118" s="447" t="n"/>
      <c r="I118" s="415" t="n"/>
      <c r="K118" s="692" t="n"/>
    </row>
    <row r="119">
      <c r="A119" s="692" t="n"/>
      <c r="C119" s="692" t="n"/>
      <c r="E119" s="692" t="n"/>
      <c r="H119" s="447" t="n"/>
      <c r="I119" s="415" t="n"/>
      <c r="K119" s="692" t="n"/>
    </row>
    <row r="120">
      <c r="A120" s="692" t="n"/>
      <c r="C120" s="692" t="n"/>
      <c r="E120" s="692" t="n"/>
      <c r="H120" s="447" t="n"/>
      <c r="I120" s="415" t="n"/>
      <c r="K120" s="692" t="n"/>
    </row>
    <row r="121">
      <c r="A121" s="692" t="n"/>
      <c r="C121" s="692" t="n"/>
      <c r="E121" s="692" t="n"/>
      <c r="H121" s="447" t="n"/>
      <c r="I121" s="415" t="n"/>
      <c r="K121" s="692" t="n"/>
    </row>
    <row r="122">
      <c r="A122" s="692" t="n"/>
      <c r="C122" s="692" t="n"/>
      <c r="E122" s="692" t="n"/>
      <c r="H122" s="447" t="n"/>
      <c r="I122" s="415" t="n"/>
      <c r="K122" s="692" t="n"/>
    </row>
    <row r="123">
      <c r="A123" s="692" t="n"/>
      <c r="C123" s="692" t="n"/>
      <c r="E123" s="692" t="n"/>
      <c r="H123" s="447" t="n"/>
      <c r="I123" s="415" t="n"/>
      <c r="K123" s="692" t="n"/>
    </row>
    <row r="124">
      <c r="A124" s="692" t="n"/>
      <c r="C124" s="692" t="n"/>
      <c r="E124" s="692" t="n"/>
      <c r="H124" s="447" t="n"/>
      <c r="I124" s="415" t="n"/>
      <c r="K124" s="692" t="n"/>
    </row>
    <row r="125">
      <c r="A125" s="692" t="n"/>
      <c r="C125" s="692" t="n"/>
      <c r="E125" s="692" t="n"/>
      <c r="H125" s="447" t="n"/>
      <c r="I125" s="415" t="n"/>
      <c r="K125" s="692" t="n"/>
    </row>
    <row r="126">
      <c r="A126" s="692" t="n"/>
      <c r="C126" s="692" t="n"/>
      <c r="E126" s="692" t="n"/>
      <c r="H126" s="447" t="n"/>
      <c r="I126" s="415" t="n"/>
      <c r="K126" s="692" t="n"/>
    </row>
    <row r="127">
      <c r="A127" s="692" t="n"/>
      <c r="C127" s="692" t="n"/>
      <c r="E127" s="692" t="n"/>
      <c r="H127" s="447" t="n"/>
      <c r="I127" s="415" t="n"/>
      <c r="K127" s="692" t="n"/>
    </row>
    <row r="128">
      <c r="A128" s="692" t="n"/>
      <c r="C128" s="692" t="n"/>
      <c r="E128" s="692" t="n"/>
      <c r="H128" s="447" t="n"/>
      <c r="I128" s="415" t="n"/>
      <c r="K128" s="692" t="n"/>
    </row>
    <row r="129">
      <c r="A129" s="692" t="n"/>
      <c r="C129" s="692" t="n"/>
      <c r="E129" s="692" t="n"/>
      <c r="H129" s="447" t="n"/>
      <c r="I129" s="415" t="n"/>
      <c r="K129" s="692" t="n"/>
    </row>
    <row r="130">
      <c r="A130" s="692" t="n"/>
      <c r="C130" s="692" t="n"/>
      <c r="E130" s="692" t="n"/>
      <c r="H130" s="447" t="n"/>
      <c r="I130" s="415" t="n"/>
      <c r="K130" s="692" t="n"/>
    </row>
    <row r="131">
      <c r="A131" s="692" t="n"/>
      <c r="C131" s="692" t="n"/>
      <c r="E131" s="692" t="n"/>
      <c r="H131" s="447" t="n"/>
      <c r="I131" s="415" t="n"/>
      <c r="K131" s="692" t="n"/>
    </row>
    <row r="132">
      <c r="A132" s="692" t="n"/>
      <c r="C132" s="692" t="n"/>
      <c r="E132" s="692" t="n"/>
      <c r="H132" s="447" t="n"/>
      <c r="I132" s="415" t="n"/>
      <c r="K132" s="692" t="n"/>
    </row>
    <row r="133">
      <c r="A133" s="692" t="n"/>
      <c r="C133" s="692" t="n"/>
      <c r="E133" s="692" t="n"/>
      <c r="H133" s="447" t="n"/>
      <c r="I133" s="415" t="n"/>
      <c r="K133" s="692" t="n"/>
    </row>
    <row r="134">
      <c r="A134" s="692" t="n"/>
      <c r="C134" s="692" t="n"/>
      <c r="E134" s="692" t="n"/>
      <c r="H134" s="447" t="n"/>
      <c r="I134" s="415" t="n"/>
      <c r="K134" s="692" t="n"/>
    </row>
    <row r="135">
      <c r="A135" s="692" t="n"/>
      <c r="C135" s="692" t="n"/>
      <c r="E135" s="692" t="n"/>
      <c r="H135" s="447" t="n"/>
      <c r="I135" s="415" t="n"/>
      <c r="K135" s="692" t="n"/>
    </row>
    <row r="136">
      <c r="A136" s="692" t="n"/>
      <c r="C136" s="692" t="n"/>
      <c r="E136" s="692" t="n"/>
      <c r="H136" s="447" t="n"/>
      <c r="I136" s="415" t="n"/>
      <c r="K136" s="692" t="n"/>
    </row>
    <row r="137">
      <c r="A137" s="692" t="n"/>
      <c r="C137" s="692" t="n"/>
      <c r="E137" s="692" t="n"/>
      <c r="H137" s="447" t="n"/>
      <c r="I137" s="415" t="n"/>
      <c r="K137" s="692" t="n"/>
    </row>
    <row r="138">
      <c r="A138" s="692" t="n"/>
      <c r="C138" s="692" t="n"/>
      <c r="E138" s="692" t="n"/>
      <c r="H138" s="447" t="n"/>
      <c r="I138" s="415" t="n"/>
      <c r="K138" s="692" t="n"/>
    </row>
    <row r="139">
      <c r="A139" s="692" t="n"/>
      <c r="C139" s="692" t="n"/>
      <c r="E139" s="692" t="n"/>
      <c r="H139" s="447" t="n"/>
      <c r="I139" s="415" t="n"/>
      <c r="K139" s="692" t="n"/>
    </row>
    <row r="140">
      <c r="A140" s="692" t="n"/>
      <c r="C140" s="692" t="n"/>
      <c r="E140" s="692" t="n"/>
      <c r="H140" s="447" t="n"/>
      <c r="I140" s="415" t="n"/>
      <c r="K140" s="692" t="n"/>
    </row>
    <row r="141">
      <c r="A141" s="692" t="n"/>
      <c r="C141" s="692" t="n"/>
      <c r="E141" s="692" t="n"/>
      <c r="H141" s="447" t="n"/>
      <c r="I141" s="415" t="n"/>
      <c r="K141" s="692" t="n"/>
    </row>
    <row r="142">
      <c r="A142" s="692" t="n"/>
      <c r="C142" s="692" t="n"/>
      <c r="E142" s="692" t="n"/>
      <c r="H142" s="447" t="n"/>
      <c r="I142" s="415" t="n"/>
      <c r="K142" s="692" t="n"/>
    </row>
    <row r="143">
      <c r="A143" s="692" t="n"/>
      <c r="C143" s="692" t="n"/>
      <c r="E143" s="692" t="n"/>
      <c r="H143" s="447" t="n"/>
      <c r="I143" s="415" t="n"/>
      <c r="K143" s="692" t="n"/>
    </row>
    <row r="144">
      <c r="A144" s="692" t="n"/>
      <c r="C144" s="692" t="n"/>
      <c r="E144" s="692" t="n"/>
      <c r="H144" s="447" t="n"/>
      <c r="I144" s="415" t="n"/>
      <c r="K144" s="692" t="n"/>
    </row>
    <row r="145">
      <c r="A145" s="692" t="n"/>
      <c r="C145" s="692" t="n"/>
      <c r="E145" s="692" t="n"/>
      <c r="H145" s="447" t="n"/>
      <c r="I145" s="415" t="n"/>
      <c r="K145" s="692" t="n"/>
    </row>
    <row r="146">
      <c r="A146" s="692" t="n"/>
      <c r="C146" s="692" t="n"/>
      <c r="E146" s="692" t="n"/>
      <c r="H146" s="447" t="n"/>
      <c r="I146" s="415" t="n"/>
      <c r="K146" s="692" t="n"/>
    </row>
    <row r="147">
      <c r="A147" s="692" t="n"/>
      <c r="C147" s="692" t="n"/>
      <c r="E147" s="692" t="n"/>
      <c r="H147" s="447" t="n"/>
      <c r="I147" s="415" t="n"/>
      <c r="K147" s="692" t="n"/>
    </row>
    <row r="148">
      <c r="A148" s="692" t="n"/>
      <c r="C148" s="692" t="n"/>
      <c r="E148" s="692" t="n"/>
      <c r="H148" s="447" t="n"/>
      <c r="I148" s="415" t="n"/>
      <c r="K148" s="692" t="n"/>
    </row>
    <row r="149">
      <c r="A149" s="692" t="n"/>
      <c r="C149" s="692" t="n"/>
      <c r="E149" s="692" t="n"/>
      <c r="H149" s="447" t="n"/>
      <c r="I149" s="415" t="n"/>
      <c r="K149" s="692" t="n"/>
    </row>
    <row r="150">
      <c r="A150" s="692" t="n"/>
      <c r="C150" s="692" t="n"/>
      <c r="E150" s="692" t="n"/>
      <c r="H150" s="447" t="n"/>
      <c r="I150" s="415" t="n"/>
      <c r="K150" s="692" t="n"/>
    </row>
    <row r="151">
      <c r="A151" s="692" t="n"/>
      <c r="C151" s="692" t="n"/>
      <c r="E151" s="692" t="n"/>
      <c r="H151" s="447" t="n"/>
      <c r="I151" s="415" t="n"/>
      <c r="K151" s="692" t="n"/>
    </row>
    <row r="152">
      <c r="A152" s="692" t="n"/>
      <c r="C152" s="692" t="n"/>
      <c r="E152" s="692" t="n"/>
      <c r="H152" s="447" t="n"/>
      <c r="I152" s="415" t="n"/>
      <c r="K152" s="692" t="n"/>
    </row>
    <row r="153">
      <c r="A153" s="692" t="n"/>
      <c r="C153" s="692" t="n"/>
      <c r="E153" s="692" t="n"/>
      <c r="H153" s="447" t="n"/>
      <c r="I153" s="415" t="n"/>
      <c r="K153" s="692" t="n"/>
    </row>
    <row r="154">
      <c r="A154" s="692" t="n"/>
      <c r="C154" s="692" t="n"/>
      <c r="E154" s="692" t="n"/>
      <c r="H154" s="447" t="n"/>
      <c r="I154" s="415" t="n"/>
      <c r="K154" s="692" t="n"/>
    </row>
    <row r="155">
      <c r="A155" s="692" t="n"/>
      <c r="C155" s="692" t="n"/>
      <c r="E155" s="692" t="n"/>
      <c r="H155" s="447" t="n"/>
      <c r="I155" s="415" t="n"/>
      <c r="K155" s="692" t="n"/>
    </row>
    <row r="156">
      <c r="A156" s="692" t="n"/>
      <c r="C156" s="692" t="n"/>
      <c r="E156" s="692" t="n"/>
      <c r="H156" s="447" t="n"/>
      <c r="I156" s="415" t="n"/>
      <c r="K156" s="692" t="n"/>
    </row>
    <row r="157">
      <c r="A157" s="692" t="n"/>
      <c r="C157" s="692" t="n"/>
      <c r="E157" s="692" t="n"/>
      <c r="H157" s="447" t="n"/>
      <c r="I157" s="415" t="n"/>
      <c r="K157" s="692" t="n"/>
    </row>
    <row r="158">
      <c r="A158" s="692" t="n"/>
      <c r="C158" s="692" t="n"/>
      <c r="E158" s="692" t="n"/>
      <c r="H158" s="447" t="n"/>
      <c r="I158" s="415" t="n"/>
      <c r="K158" s="692" t="n"/>
    </row>
    <row r="159">
      <c r="A159" s="692" t="n"/>
      <c r="C159" s="692" t="n"/>
      <c r="E159" s="692" t="n"/>
      <c r="H159" s="447" t="n"/>
      <c r="I159" s="415" t="n"/>
      <c r="K159" s="692" t="n"/>
    </row>
    <row r="160">
      <c r="A160" s="692" t="n"/>
      <c r="C160" s="692" t="n"/>
      <c r="E160" s="692" t="n"/>
      <c r="H160" s="447" t="n"/>
      <c r="I160" s="415" t="n"/>
      <c r="K160" s="692" t="n"/>
    </row>
    <row r="161">
      <c r="A161" s="692" t="n"/>
      <c r="C161" s="692" t="n"/>
      <c r="E161" s="692" t="n"/>
      <c r="H161" s="447" t="n"/>
      <c r="I161" s="415" t="n"/>
      <c r="K161" s="692" t="n"/>
    </row>
    <row r="162">
      <c r="A162" s="692" t="n"/>
      <c r="C162" s="692" t="n"/>
      <c r="E162" s="692" t="n"/>
      <c r="H162" s="447" t="n"/>
      <c r="I162" s="415" t="n"/>
      <c r="K162" s="692" t="n"/>
    </row>
    <row r="163">
      <c r="A163" s="692" t="n"/>
      <c r="C163" s="692" t="n"/>
      <c r="E163" s="692" t="n"/>
      <c r="H163" s="447" t="n"/>
      <c r="I163" s="415" t="n"/>
      <c r="K163" s="692" t="n"/>
    </row>
    <row r="164">
      <c r="A164" s="692" t="n"/>
      <c r="C164" s="692" t="n"/>
      <c r="E164" s="692" t="n"/>
      <c r="H164" s="447" t="n"/>
      <c r="I164" s="415" t="n"/>
      <c r="K164" s="692" t="n"/>
    </row>
    <row r="165">
      <c r="A165" s="692" t="n"/>
      <c r="C165" s="692" t="n"/>
      <c r="E165" s="692" t="n"/>
      <c r="H165" s="447" t="n"/>
      <c r="I165" s="415" t="n"/>
      <c r="K165" s="692" t="n"/>
    </row>
    <row r="166">
      <c r="A166" s="692" t="n"/>
      <c r="C166" s="692" t="n"/>
      <c r="E166" s="692" t="n"/>
      <c r="H166" s="447" t="n"/>
      <c r="I166" s="415" t="n"/>
      <c r="K166" s="692" t="n"/>
    </row>
    <row r="167">
      <c r="A167" s="692" t="n"/>
      <c r="C167" s="692" t="n"/>
      <c r="E167" s="692" t="n"/>
      <c r="H167" s="447" t="n"/>
      <c r="I167" s="415" t="n"/>
      <c r="K167" s="692" t="n"/>
    </row>
    <row r="168">
      <c r="A168" s="692" t="n"/>
      <c r="C168" s="692" t="n"/>
      <c r="E168" s="692" t="n"/>
      <c r="H168" s="447" t="n"/>
      <c r="I168" s="415" t="n"/>
      <c r="K168" s="692" t="n"/>
    </row>
    <row r="169">
      <c r="A169" s="692" t="n"/>
      <c r="C169" s="692" t="n"/>
      <c r="E169" s="692" t="n"/>
      <c r="H169" s="447" t="n"/>
      <c r="I169" s="415" t="n"/>
      <c r="K169" s="692" t="n"/>
    </row>
    <row r="170">
      <c r="A170" s="692" t="n"/>
      <c r="C170" s="692" t="n"/>
      <c r="E170" s="692" t="n"/>
      <c r="H170" s="447" t="n"/>
      <c r="I170" s="415" t="n"/>
      <c r="K170" s="692" t="n"/>
    </row>
    <row r="171">
      <c r="A171" s="692" t="n"/>
      <c r="C171" s="692" t="n"/>
      <c r="E171" s="692" t="n"/>
      <c r="H171" s="447" t="n"/>
      <c r="I171" s="415" t="n"/>
      <c r="K171" s="692" t="n"/>
    </row>
    <row r="172">
      <c r="A172" s="692" t="n"/>
      <c r="C172" s="692" t="n"/>
      <c r="E172" s="692" t="n"/>
      <c r="H172" s="447" t="n"/>
      <c r="I172" s="415" t="n"/>
      <c r="K172" s="692" t="n"/>
    </row>
    <row r="173">
      <c r="A173" s="692" t="n"/>
      <c r="C173" s="692" t="n"/>
      <c r="E173" s="692" t="n"/>
      <c r="H173" s="447" t="n"/>
      <c r="I173" s="415" t="n"/>
      <c r="K173" s="692" t="n"/>
    </row>
    <row r="174">
      <c r="A174" s="692" t="n"/>
      <c r="C174" s="692" t="n"/>
      <c r="E174" s="692" t="n"/>
      <c r="H174" s="447" t="n"/>
      <c r="I174" s="415" t="n"/>
      <c r="K174" s="692" t="n"/>
    </row>
    <row r="175">
      <c r="A175" s="692" t="n"/>
      <c r="C175" s="692" t="n"/>
      <c r="E175" s="692" t="n"/>
      <c r="H175" s="447" t="n"/>
      <c r="I175" s="415" t="n"/>
      <c r="K175" s="692" t="n"/>
    </row>
    <row r="176">
      <c r="A176" s="692" t="n"/>
      <c r="C176" s="692" t="n"/>
      <c r="E176" s="692" t="n"/>
      <c r="H176" s="447" t="n"/>
      <c r="I176" s="415" t="n"/>
      <c r="K176" s="692" t="n"/>
    </row>
    <row r="177">
      <c r="A177" s="692" t="n"/>
      <c r="C177" s="692" t="n"/>
      <c r="E177" s="692" t="n"/>
      <c r="H177" s="447" t="n"/>
      <c r="I177" s="415" t="n"/>
      <c r="K177" s="692" t="n"/>
    </row>
    <row r="178">
      <c r="A178" s="692" t="n"/>
      <c r="C178" s="692" t="n"/>
      <c r="E178" s="692" t="n"/>
      <c r="H178" s="447" t="n"/>
      <c r="I178" s="415" t="n"/>
      <c r="K178" s="692" t="n"/>
    </row>
    <row r="179">
      <c r="A179" s="692" t="n"/>
      <c r="C179" s="692" t="n"/>
      <c r="E179" s="692" t="n"/>
      <c r="H179" s="447" t="n"/>
      <c r="I179" s="415" t="n"/>
      <c r="K179" s="692" t="n"/>
    </row>
    <row r="180">
      <c r="A180" s="692" t="n"/>
      <c r="C180" s="692" t="n"/>
      <c r="E180" s="692" t="n"/>
      <c r="H180" s="447" t="n"/>
      <c r="I180" s="415" t="n"/>
      <c r="K180" s="692" t="n"/>
    </row>
    <row r="181">
      <c r="A181" s="692" t="n"/>
      <c r="C181" s="692" t="n"/>
      <c r="E181" s="692" t="n"/>
      <c r="H181" s="447" t="n"/>
      <c r="I181" s="415" t="n"/>
      <c r="K181" s="692" t="n"/>
    </row>
    <row r="182">
      <c r="A182" s="692" t="n"/>
      <c r="C182" s="692" t="n"/>
      <c r="E182" s="692" t="n"/>
      <c r="H182" s="447" t="n"/>
      <c r="I182" s="415" t="n"/>
      <c r="K182" s="692" t="n"/>
    </row>
    <row r="183">
      <c r="A183" s="692" t="n"/>
      <c r="C183" s="692" t="n"/>
      <c r="E183" s="692" t="n"/>
      <c r="H183" s="447" t="n"/>
      <c r="I183" s="415" t="n"/>
      <c r="K183" s="692" t="n"/>
    </row>
    <row r="184">
      <c r="A184" s="692" t="n"/>
      <c r="C184" s="692" t="n"/>
      <c r="E184" s="692" t="n"/>
      <c r="H184" s="447" t="n"/>
      <c r="I184" s="415" t="n"/>
      <c r="K184" s="692" t="n"/>
    </row>
    <row r="185">
      <c r="A185" s="692" t="n"/>
      <c r="C185" s="692" t="n"/>
      <c r="E185" s="692" t="n"/>
      <c r="H185" s="447" t="n"/>
      <c r="I185" s="415" t="n"/>
      <c r="K185" s="692" t="n"/>
    </row>
    <row r="186">
      <c r="A186" s="692" t="n"/>
      <c r="C186" s="692" t="n"/>
      <c r="E186" s="692" t="n"/>
      <c r="H186" s="447" t="n"/>
      <c r="I186" s="415" t="n"/>
      <c r="K186" s="692" t="n"/>
    </row>
    <row r="187">
      <c r="A187" s="692" t="n"/>
      <c r="C187" s="692" t="n"/>
      <c r="E187" s="692" t="n"/>
      <c r="H187" s="447" t="n"/>
      <c r="I187" s="415" t="n"/>
      <c r="K187" s="692" t="n"/>
    </row>
    <row r="188">
      <c r="A188" s="692" t="n"/>
      <c r="C188" s="692" t="n"/>
      <c r="E188" s="692" t="n"/>
      <c r="H188" s="447" t="n"/>
      <c r="I188" s="415" t="n"/>
      <c r="K188" s="692" t="n"/>
    </row>
    <row r="189">
      <c r="A189" s="692" t="n"/>
      <c r="C189" s="692" t="n"/>
      <c r="E189" s="692" t="n"/>
      <c r="H189" s="447" t="n"/>
      <c r="I189" s="415" t="n"/>
      <c r="K189" s="692" t="n"/>
    </row>
    <row r="190">
      <c r="A190" s="692" t="n"/>
      <c r="C190" s="692" t="n"/>
      <c r="E190" s="692" t="n"/>
      <c r="H190" s="447" t="n"/>
      <c r="I190" s="415" t="n"/>
      <c r="K190" s="692" t="n"/>
    </row>
    <row r="191">
      <c r="A191" s="692" t="n"/>
      <c r="C191" s="692" t="n"/>
      <c r="E191" s="692" t="n"/>
      <c r="H191" s="447" t="n"/>
      <c r="I191" s="415" t="n"/>
      <c r="K191" s="692" t="n"/>
    </row>
    <row r="192">
      <c r="A192" s="692" t="n"/>
      <c r="C192" s="692" t="n"/>
      <c r="E192" s="692" t="n"/>
      <c r="H192" s="447" t="n"/>
      <c r="I192" s="415" t="n"/>
      <c r="K192" s="692" t="n"/>
    </row>
    <row r="193">
      <c r="A193" s="692" t="n"/>
      <c r="C193" s="692" t="n"/>
      <c r="E193" s="692" t="n"/>
      <c r="H193" s="447" t="n"/>
      <c r="I193" s="415" t="n"/>
      <c r="K193" s="692" t="n"/>
    </row>
    <row r="194">
      <c r="A194" s="692" t="n"/>
      <c r="C194" s="692" t="n"/>
      <c r="E194" s="692" t="n"/>
      <c r="H194" s="447" t="n"/>
      <c r="I194" s="415" t="n"/>
      <c r="K194" s="692" t="n"/>
    </row>
    <row r="195">
      <c r="A195" s="692" t="n"/>
      <c r="C195" s="692" t="n"/>
      <c r="E195" s="692" t="n"/>
      <c r="H195" s="447" t="n"/>
      <c r="I195" s="415" t="n"/>
      <c r="K195" s="692" t="n"/>
    </row>
    <row r="196">
      <c r="A196" s="692" t="n"/>
      <c r="C196" s="692" t="n"/>
      <c r="E196" s="692" t="n"/>
      <c r="H196" s="447" t="n"/>
      <c r="I196" s="415" t="n"/>
      <c r="K196" s="692" t="n"/>
    </row>
    <row r="197">
      <c r="A197" s="692" t="n"/>
      <c r="C197" s="692" t="n"/>
      <c r="E197" s="692" t="n"/>
      <c r="H197" s="447" t="n"/>
      <c r="I197" s="415" t="n"/>
      <c r="K197" s="692" t="n"/>
    </row>
    <row r="198">
      <c r="A198" s="692" t="n"/>
      <c r="C198" s="692" t="n"/>
      <c r="E198" s="692" t="n"/>
      <c r="H198" s="447" t="n"/>
      <c r="I198" s="415" t="n"/>
      <c r="K198" s="692" t="n"/>
    </row>
    <row r="199">
      <c r="A199" s="692" t="n"/>
      <c r="C199" s="692" t="n"/>
      <c r="E199" s="692" t="n"/>
      <c r="H199" s="447" t="n"/>
      <c r="I199" s="415" t="n"/>
      <c r="K199" s="692" t="n"/>
    </row>
    <row r="200">
      <c r="A200" s="692" t="n"/>
      <c r="C200" s="692" t="n"/>
      <c r="E200" s="692" t="n"/>
      <c r="H200" s="447" t="n"/>
      <c r="I200" s="415" t="n"/>
      <c r="K200" s="692" t="n"/>
    </row>
    <row r="201">
      <c r="A201" s="692" t="n"/>
      <c r="C201" s="692" t="n"/>
      <c r="E201" s="692" t="n"/>
      <c r="H201" s="447" t="n"/>
      <c r="I201" s="415" t="n"/>
      <c r="K201" s="692" t="n"/>
    </row>
    <row r="202">
      <c r="A202" s="692" t="n"/>
      <c r="C202" s="692" t="n"/>
      <c r="E202" s="692" t="n"/>
      <c r="H202" s="447" t="n"/>
      <c r="I202" s="415" t="n"/>
      <c r="K202" s="692" t="n"/>
    </row>
    <row r="203">
      <c r="A203" s="692" t="n"/>
      <c r="C203" s="692" t="n"/>
      <c r="E203" s="692" t="n"/>
      <c r="H203" s="447" t="n"/>
      <c r="I203" s="415" t="n"/>
      <c r="K203" s="692" t="n"/>
    </row>
    <row r="204">
      <c r="A204" s="692" t="n"/>
      <c r="C204" s="692" t="n"/>
      <c r="E204" s="692" t="n"/>
      <c r="H204" s="447" t="n"/>
      <c r="I204" s="415" t="n"/>
      <c r="K204" s="692" t="n"/>
    </row>
    <row r="205">
      <c r="A205" s="692" t="n"/>
      <c r="C205" s="692" t="n"/>
      <c r="E205" s="692" t="n"/>
      <c r="H205" s="447" t="n"/>
      <c r="I205" s="415" t="n"/>
      <c r="K205" s="692" t="n"/>
    </row>
    <row r="206">
      <c r="A206" s="692" t="n"/>
      <c r="C206" s="692" t="n"/>
      <c r="E206" s="692" t="n"/>
      <c r="H206" s="447" t="n"/>
      <c r="I206" s="415" t="n"/>
      <c r="K206" s="692" t="n"/>
    </row>
    <row r="207">
      <c r="A207" s="692" t="n"/>
      <c r="C207" s="692" t="n"/>
      <c r="E207" s="692" t="n"/>
      <c r="H207" s="447" t="n"/>
      <c r="I207" s="415" t="n"/>
      <c r="K207" s="692" t="n"/>
    </row>
    <row r="208">
      <c r="A208" s="692" t="n"/>
      <c r="C208" s="692" t="n"/>
      <c r="E208" s="692" t="n"/>
      <c r="H208" s="447" t="n"/>
      <c r="I208" s="415" t="n"/>
      <c r="K208" s="692" t="n"/>
    </row>
    <row r="209">
      <c r="A209" s="692" t="n"/>
      <c r="C209" s="692" t="n"/>
      <c r="E209" s="692" t="n"/>
      <c r="H209" s="447" t="n"/>
      <c r="I209" s="415" t="n"/>
      <c r="K209" s="692" t="n"/>
    </row>
    <row r="210">
      <c r="A210" s="692" t="n"/>
      <c r="C210" s="692" t="n"/>
      <c r="E210" s="692" t="n"/>
      <c r="H210" s="447" t="n"/>
      <c r="I210" s="415" t="n"/>
      <c r="K210" s="692" t="n"/>
    </row>
    <row r="211">
      <c r="A211" s="692" t="n"/>
      <c r="C211" s="692" t="n"/>
      <c r="E211" s="692" t="n"/>
      <c r="H211" s="447" t="n"/>
      <c r="I211" s="415" t="n"/>
      <c r="K211" s="692" t="n"/>
    </row>
    <row r="212">
      <c r="A212" s="692" t="n"/>
      <c r="C212" s="692" t="n"/>
      <c r="E212" s="692" t="n"/>
      <c r="H212" s="447" t="n"/>
      <c r="I212" s="415" t="n"/>
      <c r="K212" s="692" t="n"/>
    </row>
    <row r="213">
      <c r="A213" s="692" t="n"/>
      <c r="C213" s="692" t="n"/>
      <c r="E213" s="692" t="n"/>
      <c r="H213" s="447" t="n"/>
      <c r="I213" s="415" t="n"/>
      <c r="K213" s="692" t="n"/>
    </row>
    <row r="214">
      <c r="A214" s="692" t="n"/>
      <c r="C214" s="692" t="n"/>
      <c r="E214" s="692" t="n"/>
      <c r="H214" s="447" t="n"/>
      <c r="I214" s="415" t="n"/>
      <c r="K214" s="692" t="n"/>
    </row>
    <row r="215">
      <c r="A215" s="692" t="n"/>
      <c r="C215" s="692" t="n"/>
      <c r="E215" s="692" t="n"/>
      <c r="H215" s="447" t="n"/>
      <c r="I215" s="415" t="n"/>
      <c r="K215" s="692" t="n"/>
    </row>
    <row r="216">
      <c r="A216" s="692" t="n"/>
      <c r="C216" s="692" t="n"/>
      <c r="E216" s="692" t="n"/>
      <c r="H216" s="447" t="n"/>
      <c r="I216" s="415" t="n"/>
      <c r="K216" s="692" t="n"/>
    </row>
    <row r="217">
      <c r="A217" s="692" t="n"/>
      <c r="C217" s="692" t="n"/>
      <c r="E217" s="692" t="n"/>
      <c r="H217" s="447" t="n"/>
      <c r="I217" s="415" t="n"/>
      <c r="K217" s="692" t="n"/>
    </row>
    <row r="218">
      <c r="A218" s="692" t="n"/>
      <c r="C218" s="692" t="n"/>
      <c r="E218" s="692" t="n"/>
      <c r="H218" s="447" t="n"/>
      <c r="I218" s="415" t="n"/>
      <c r="K218" s="692" t="n"/>
    </row>
    <row r="219">
      <c r="A219" s="692" t="n"/>
      <c r="C219" s="692" t="n"/>
      <c r="E219" s="692" t="n"/>
      <c r="H219" s="447" t="n"/>
      <c r="I219" s="415" t="n"/>
      <c r="K219" s="692" t="n"/>
    </row>
    <row r="220">
      <c r="A220" s="692" t="n"/>
      <c r="C220" s="692" t="n"/>
      <c r="E220" s="692" t="n"/>
      <c r="H220" s="447" t="n"/>
      <c r="I220" s="415" t="n"/>
      <c r="K220" s="692" t="n"/>
    </row>
    <row r="221">
      <c r="A221" s="692" t="n"/>
      <c r="C221" s="692" t="n"/>
      <c r="E221" s="692" t="n"/>
      <c r="H221" s="447" t="n"/>
      <c r="I221" s="415" t="n"/>
      <c r="K221" s="692" t="n"/>
    </row>
    <row r="222">
      <c r="A222" s="692" t="n"/>
      <c r="C222" s="692" t="n"/>
      <c r="E222" s="692" t="n"/>
      <c r="H222" s="447" t="n"/>
      <c r="I222" s="415" t="n"/>
      <c r="K222" s="692" t="n"/>
    </row>
    <row r="223">
      <c r="A223" s="692" t="n"/>
      <c r="C223" s="692" t="n"/>
      <c r="E223" s="692" t="n"/>
      <c r="H223" s="447" t="n"/>
      <c r="I223" s="415" t="n"/>
      <c r="K223" s="692" t="n"/>
    </row>
    <row r="224">
      <c r="A224" s="692" t="n"/>
      <c r="C224" s="692" t="n"/>
      <c r="E224" s="692" t="n"/>
      <c r="H224" s="447" t="n"/>
      <c r="I224" s="415" t="n"/>
      <c r="K224" s="692" t="n"/>
    </row>
    <row r="225">
      <c r="A225" s="692" t="n"/>
      <c r="C225" s="692" t="n"/>
      <c r="E225" s="692" t="n"/>
      <c r="H225" s="447" t="n"/>
      <c r="I225" s="415" t="n"/>
      <c r="K225" s="692" t="n"/>
    </row>
    <row r="226">
      <c r="A226" s="692" t="n"/>
      <c r="C226" s="692" t="n"/>
      <c r="E226" s="692" t="n"/>
      <c r="H226" s="447" t="n"/>
      <c r="I226" s="415" t="n"/>
      <c r="K226" s="692" t="n"/>
    </row>
    <row r="227">
      <c r="A227" s="692" t="n"/>
      <c r="C227" s="692" t="n"/>
      <c r="E227" s="692" t="n"/>
      <c r="H227" s="447" t="n"/>
      <c r="I227" s="415" t="n"/>
      <c r="K227" s="692" t="n"/>
    </row>
    <row r="228">
      <c r="A228" s="692" t="n"/>
      <c r="C228" s="692" t="n"/>
      <c r="E228" s="692" t="n"/>
      <c r="H228" s="447" t="n"/>
      <c r="I228" s="415" t="n"/>
      <c r="K228" s="692" t="n"/>
    </row>
    <row r="229">
      <c r="A229" s="692" t="n"/>
      <c r="C229" s="692" t="n"/>
      <c r="E229" s="692" t="n"/>
      <c r="H229" s="447" t="n"/>
      <c r="I229" s="415" t="n"/>
      <c r="K229" s="692" t="n"/>
    </row>
    <row r="230">
      <c r="A230" s="692" t="n"/>
      <c r="C230" s="692" t="n"/>
      <c r="E230" s="692" t="n"/>
      <c r="H230" s="447" t="n"/>
      <c r="I230" s="415" t="n"/>
      <c r="K230" s="692" t="n"/>
    </row>
    <row r="231">
      <c r="A231" s="692" t="n"/>
      <c r="C231" s="692" t="n"/>
      <c r="E231" s="692" t="n"/>
      <c r="H231" s="447" t="n"/>
      <c r="I231" s="415" t="n"/>
      <c r="K231" s="692" t="n"/>
    </row>
    <row r="232">
      <c r="A232" s="692" t="n"/>
      <c r="C232" s="692" t="n"/>
      <c r="E232" s="692" t="n"/>
      <c r="H232" s="447" t="n"/>
      <c r="I232" s="415" t="n"/>
      <c r="K232" s="692" t="n"/>
    </row>
    <row r="233">
      <c r="A233" s="692" t="n"/>
      <c r="C233" s="692" t="n"/>
      <c r="E233" s="692" t="n"/>
      <c r="H233" s="447" t="n"/>
      <c r="I233" s="415" t="n"/>
      <c r="K233" s="692" t="n"/>
    </row>
    <row r="234">
      <c r="A234" s="692" t="n"/>
      <c r="C234" s="692" t="n"/>
      <c r="E234" s="692" t="n"/>
      <c r="H234" s="447" t="n"/>
      <c r="I234" s="415" t="n"/>
      <c r="K234" s="692" t="n"/>
    </row>
    <row r="235">
      <c r="A235" s="692" t="n"/>
      <c r="C235" s="692" t="n"/>
      <c r="E235" s="692" t="n"/>
      <c r="H235" s="447" t="n"/>
      <c r="I235" s="415" t="n"/>
      <c r="K235" s="692" t="n"/>
    </row>
    <row r="236">
      <c r="A236" s="692" t="n"/>
      <c r="C236" s="692" t="n"/>
      <c r="E236" s="692" t="n"/>
      <c r="H236" s="447" t="n"/>
      <c r="I236" s="415" t="n"/>
      <c r="K236" s="692" t="n"/>
    </row>
    <row r="237">
      <c r="A237" s="692" t="n"/>
      <c r="C237" s="692" t="n"/>
      <c r="E237" s="692" t="n"/>
      <c r="H237" s="447" t="n"/>
      <c r="I237" s="415" t="n"/>
      <c r="K237" s="692" t="n"/>
    </row>
    <row r="238">
      <c r="A238" s="692" t="n"/>
      <c r="C238" s="692" t="n"/>
      <c r="E238" s="692" t="n"/>
      <c r="H238" s="447" t="n"/>
      <c r="I238" s="415" t="n"/>
      <c r="K238" s="692" t="n"/>
    </row>
    <row r="239">
      <c r="A239" s="692" t="n"/>
      <c r="C239" s="692" t="n"/>
      <c r="E239" s="692" t="n"/>
      <c r="H239" s="447" t="n"/>
      <c r="I239" s="415" t="n"/>
      <c r="K239" s="692" t="n"/>
    </row>
    <row r="240">
      <c r="A240" s="692" t="n"/>
      <c r="C240" s="692" t="n"/>
      <c r="E240" s="692" t="n"/>
      <c r="H240" s="447" t="n"/>
      <c r="I240" s="415" t="n"/>
      <c r="K240" s="692" t="n"/>
    </row>
    <row r="241">
      <c r="A241" s="692" t="n"/>
      <c r="C241" s="692" t="n"/>
      <c r="E241" s="692" t="n"/>
      <c r="H241" s="447" t="n"/>
      <c r="I241" s="415" t="n"/>
      <c r="K241" s="692" t="n"/>
    </row>
    <row r="242">
      <c r="A242" s="692" t="n"/>
      <c r="C242" s="692" t="n"/>
      <c r="E242" s="692" t="n"/>
      <c r="H242" s="447" t="n"/>
      <c r="I242" s="415" t="n"/>
      <c r="K242" s="692" t="n"/>
    </row>
    <row r="243">
      <c r="A243" s="692" t="n"/>
      <c r="C243" s="692" t="n"/>
      <c r="E243" s="692" t="n"/>
      <c r="H243" s="447" t="n"/>
      <c r="I243" s="415" t="n"/>
      <c r="K243" s="692" t="n"/>
    </row>
    <row r="244">
      <c r="A244" s="692" t="n"/>
      <c r="C244" s="692" t="n"/>
      <c r="E244" s="692" t="n"/>
      <c r="H244" s="447" t="n"/>
      <c r="I244" s="415" t="n"/>
      <c r="K244" s="692" t="n"/>
    </row>
    <row r="245">
      <c r="A245" s="692" t="n"/>
      <c r="C245" s="692" t="n"/>
      <c r="E245" s="692" t="n"/>
      <c r="H245" s="447" t="n"/>
      <c r="I245" s="415" t="n"/>
      <c r="K245" s="692" t="n"/>
    </row>
    <row r="246">
      <c r="A246" s="692" t="n"/>
      <c r="C246" s="692" t="n"/>
      <c r="E246" s="692" t="n"/>
      <c r="H246" s="447" t="n"/>
      <c r="I246" s="415" t="n"/>
      <c r="K246" s="692" t="n"/>
    </row>
    <row r="247">
      <c r="A247" s="692" t="n"/>
      <c r="C247" s="692" t="n"/>
      <c r="E247" s="692" t="n"/>
      <c r="H247" s="447" t="n"/>
      <c r="I247" s="415" t="n"/>
      <c r="K247" s="692" t="n"/>
    </row>
    <row r="248">
      <c r="A248" s="692" t="n"/>
      <c r="C248" s="692" t="n"/>
      <c r="E248" s="692" t="n"/>
      <c r="H248" s="447" t="n"/>
      <c r="I248" s="415" t="n"/>
      <c r="K248" s="692" t="n"/>
    </row>
    <row r="249">
      <c r="A249" s="692" t="n"/>
      <c r="C249" s="692" t="n"/>
      <c r="E249" s="692" t="n"/>
      <c r="H249" s="447" t="n"/>
      <c r="I249" s="415" t="n"/>
      <c r="K249" s="692" t="n"/>
    </row>
    <row r="250">
      <c r="A250" s="692" t="n"/>
      <c r="C250" s="692" t="n"/>
      <c r="E250" s="692" t="n"/>
      <c r="H250" s="447" t="n"/>
      <c r="I250" s="415" t="n"/>
      <c r="K250" s="692" t="n"/>
    </row>
    <row r="251">
      <c r="A251" s="692" t="n"/>
      <c r="C251" s="692" t="n"/>
      <c r="E251" s="692" t="n"/>
      <c r="H251" s="447" t="n"/>
      <c r="I251" s="415" t="n"/>
      <c r="K251" s="692" t="n"/>
    </row>
    <row r="252">
      <c r="A252" s="692" t="n"/>
      <c r="C252" s="692" t="n"/>
      <c r="E252" s="692" t="n"/>
      <c r="H252" s="447" t="n"/>
      <c r="I252" s="415" t="n"/>
      <c r="K252" s="692" t="n"/>
    </row>
    <row r="253">
      <c r="A253" s="692" t="n"/>
      <c r="C253" s="692" t="n"/>
      <c r="E253" s="692" t="n"/>
      <c r="H253" s="447" t="n"/>
      <c r="I253" s="415" t="n"/>
      <c r="K253" s="692" t="n"/>
    </row>
    <row r="254">
      <c r="A254" s="692" t="n"/>
      <c r="C254" s="692" t="n"/>
      <c r="E254" s="692" t="n"/>
      <c r="H254" s="447" t="n"/>
      <c r="I254" s="415" t="n"/>
      <c r="K254" s="692" t="n"/>
    </row>
    <row r="255">
      <c r="A255" s="692" t="n"/>
      <c r="C255" s="692" t="n"/>
      <c r="E255" s="692" t="n"/>
      <c r="H255" s="447" t="n"/>
      <c r="I255" s="415" t="n"/>
      <c r="K255" s="692" t="n"/>
    </row>
    <row r="256">
      <c r="A256" s="692" t="n"/>
      <c r="C256" s="692" t="n"/>
      <c r="E256" s="692" t="n"/>
      <c r="H256" s="447" t="n"/>
      <c r="I256" s="415" t="n"/>
      <c r="K256" s="692" t="n"/>
    </row>
    <row r="257">
      <c r="A257" s="692" t="n"/>
      <c r="C257" s="692" t="n"/>
      <c r="E257" s="692" t="n"/>
      <c r="H257" s="447" t="n"/>
      <c r="I257" s="415" t="n"/>
      <c r="K257" s="692" t="n"/>
    </row>
    <row r="258">
      <c r="A258" s="692" t="n"/>
      <c r="C258" s="692" t="n"/>
      <c r="E258" s="692" t="n"/>
      <c r="H258" s="447" t="n"/>
      <c r="I258" s="415" t="n"/>
      <c r="K258" s="692" t="n"/>
    </row>
    <row r="259">
      <c r="A259" s="692" t="n"/>
      <c r="C259" s="692" t="n"/>
      <c r="E259" s="692" t="n"/>
      <c r="H259" s="447" t="n"/>
      <c r="I259" s="415" t="n"/>
      <c r="K259" s="692" t="n"/>
    </row>
    <row r="260">
      <c r="A260" s="692" t="n"/>
      <c r="C260" s="692" t="n"/>
      <c r="E260" s="692" t="n"/>
      <c r="H260" s="447" t="n"/>
      <c r="I260" s="415" t="n"/>
      <c r="K260" s="692" t="n"/>
    </row>
    <row r="261">
      <c r="A261" s="692" t="n"/>
      <c r="C261" s="692" t="n"/>
      <c r="E261" s="692" t="n"/>
      <c r="H261" s="447" t="n"/>
      <c r="I261" s="415" t="n"/>
      <c r="K261" s="692" t="n"/>
    </row>
    <row r="262">
      <c r="A262" s="692" t="n"/>
      <c r="C262" s="692" t="n"/>
      <c r="E262" s="692" t="n"/>
      <c r="H262" s="447" t="n"/>
      <c r="I262" s="415" t="n"/>
      <c r="K262" s="692" t="n"/>
    </row>
    <row r="263">
      <c r="A263" s="692" t="n"/>
      <c r="C263" s="692" t="n"/>
      <c r="E263" s="692" t="n"/>
      <c r="H263" s="447" t="n"/>
      <c r="I263" s="415" t="n"/>
      <c r="K263" s="692" t="n"/>
    </row>
    <row r="264">
      <c r="A264" s="692" t="n"/>
      <c r="C264" s="692" t="n"/>
      <c r="E264" s="692" t="n"/>
      <c r="H264" s="447" t="n"/>
      <c r="I264" s="415" t="n"/>
      <c r="K264" s="692" t="n"/>
    </row>
    <row r="265">
      <c r="A265" s="692" t="n"/>
      <c r="C265" s="692" t="n"/>
      <c r="E265" s="692" t="n"/>
      <c r="H265" s="447" t="n"/>
      <c r="I265" s="415" t="n"/>
      <c r="K265" s="692" t="n"/>
    </row>
    <row r="266">
      <c r="A266" s="692" t="n"/>
      <c r="C266" s="692" t="n"/>
      <c r="E266" s="692" t="n"/>
      <c r="H266" s="447" t="n"/>
      <c r="I266" s="415" t="n"/>
      <c r="K266" s="692" t="n"/>
    </row>
    <row r="267">
      <c r="A267" s="692" t="n"/>
      <c r="C267" s="692" t="n"/>
      <c r="E267" s="692" t="n"/>
      <c r="H267" s="447" t="n"/>
      <c r="I267" s="415" t="n"/>
      <c r="K267" s="692" t="n"/>
    </row>
    <row r="268">
      <c r="A268" s="692" t="n"/>
      <c r="C268" s="692" t="n"/>
      <c r="E268" s="692" t="n"/>
      <c r="H268" s="447" t="n"/>
      <c r="I268" s="415" t="n"/>
      <c r="K268" s="692" t="n"/>
    </row>
    <row r="269">
      <c r="A269" s="692" t="n"/>
      <c r="C269" s="692" t="n"/>
      <c r="E269" s="692" t="n"/>
      <c r="H269" s="447" t="n"/>
      <c r="I269" s="415" t="n"/>
      <c r="K269" s="692" t="n"/>
    </row>
    <row r="270">
      <c r="A270" s="692" t="n"/>
      <c r="C270" s="692" t="n"/>
      <c r="E270" s="692" t="n"/>
      <c r="H270" s="447" t="n"/>
      <c r="I270" s="415" t="n"/>
      <c r="K270" s="692" t="n"/>
    </row>
    <row r="271">
      <c r="A271" s="692" t="n"/>
      <c r="C271" s="692" t="n"/>
      <c r="E271" s="692" t="n"/>
      <c r="H271" s="447" t="n"/>
      <c r="I271" s="415" t="n"/>
      <c r="K271" s="692" t="n"/>
    </row>
    <row r="272">
      <c r="A272" s="692" t="n"/>
      <c r="C272" s="692" t="n"/>
      <c r="E272" s="692" t="n"/>
      <c r="H272" s="447" t="n"/>
      <c r="I272" s="415" t="n"/>
      <c r="K272" s="692" t="n"/>
    </row>
    <row r="273">
      <c r="A273" s="692" t="n"/>
      <c r="C273" s="692" t="n"/>
      <c r="E273" s="692" t="n"/>
      <c r="H273" s="447" t="n"/>
      <c r="I273" s="415" t="n"/>
      <c r="K273" s="692" t="n"/>
    </row>
    <row r="274">
      <c r="A274" s="692" t="n"/>
      <c r="C274" s="692" t="n"/>
      <c r="E274" s="692" t="n"/>
      <c r="H274" s="447" t="n"/>
      <c r="I274" s="415" t="n"/>
      <c r="K274" s="692" t="n"/>
    </row>
    <row r="275">
      <c r="A275" s="692" t="n"/>
      <c r="C275" s="692" t="n"/>
      <c r="E275" s="692" t="n"/>
      <c r="H275" s="447" t="n"/>
      <c r="I275" s="415" t="n"/>
      <c r="K275" s="692" t="n"/>
    </row>
    <row r="276">
      <c r="A276" s="692" t="n"/>
      <c r="C276" s="692" t="n"/>
      <c r="E276" s="692" t="n"/>
      <c r="H276" s="447" t="n"/>
      <c r="I276" s="415" t="n"/>
      <c r="K276" s="692" t="n"/>
    </row>
    <row r="277">
      <c r="A277" s="692" t="n"/>
      <c r="C277" s="692" t="n"/>
      <c r="E277" s="692" t="n"/>
      <c r="H277" s="447" t="n"/>
      <c r="I277" s="415" t="n"/>
      <c r="K277" s="692" t="n"/>
    </row>
    <row r="278">
      <c r="A278" s="692" t="n"/>
      <c r="C278" s="692" t="n"/>
      <c r="E278" s="692" t="n"/>
      <c r="H278" s="447" t="n"/>
      <c r="I278" s="415" t="n"/>
      <c r="K278" s="692" t="n"/>
    </row>
    <row r="279">
      <c r="A279" s="692" t="n"/>
      <c r="C279" s="692" t="n"/>
      <c r="E279" s="692" t="n"/>
      <c r="H279" s="447" t="n"/>
      <c r="I279" s="415" t="n"/>
      <c r="K279" s="692" t="n"/>
    </row>
    <row r="280">
      <c r="A280" s="692" t="n"/>
      <c r="C280" s="692" t="n"/>
      <c r="E280" s="692" t="n"/>
      <c r="H280" s="447" t="n"/>
      <c r="I280" s="415" t="n"/>
      <c r="K280" s="692" t="n"/>
    </row>
    <row r="281">
      <c r="A281" s="692" t="n"/>
      <c r="C281" s="692" t="n"/>
      <c r="E281" s="692" t="n"/>
      <c r="H281" s="447" t="n"/>
      <c r="I281" s="415" t="n"/>
      <c r="K281" s="692" t="n"/>
    </row>
    <row r="282">
      <c r="A282" s="692" t="n"/>
      <c r="C282" s="692" t="n"/>
      <c r="E282" s="692" t="n"/>
      <c r="H282" s="447" t="n"/>
      <c r="I282" s="415" t="n"/>
      <c r="K282" s="692" t="n"/>
    </row>
    <row r="283">
      <c r="A283" s="692" t="n"/>
      <c r="C283" s="692" t="n"/>
      <c r="E283" s="692" t="n"/>
      <c r="H283" s="447" t="n"/>
      <c r="I283" s="415" t="n"/>
      <c r="K283" s="692" t="n"/>
    </row>
    <row r="284">
      <c r="A284" s="692" t="n"/>
      <c r="C284" s="692" t="n"/>
      <c r="E284" s="692" t="n"/>
      <c r="H284" s="447" t="n"/>
      <c r="I284" s="415" t="n"/>
      <c r="K284" s="692" t="n"/>
    </row>
    <row r="285">
      <c r="A285" s="692" t="n"/>
      <c r="C285" s="692" t="n"/>
      <c r="E285" s="692" t="n"/>
      <c r="H285" s="447" t="n"/>
      <c r="I285" s="415" t="n"/>
      <c r="K285" s="692" t="n"/>
    </row>
    <row r="286">
      <c r="A286" s="692" t="n"/>
      <c r="C286" s="692" t="n"/>
      <c r="E286" s="692" t="n"/>
      <c r="H286" s="447" t="n"/>
      <c r="I286" s="415" t="n"/>
      <c r="K286" s="692" t="n"/>
    </row>
    <row r="287">
      <c r="A287" s="692" t="n"/>
      <c r="C287" s="692" t="n"/>
      <c r="E287" s="692" t="n"/>
      <c r="H287" s="447" t="n"/>
      <c r="I287" s="415" t="n"/>
      <c r="K287" s="692" t="n"/>
    </row>
    <row r="288">
      <c r="A288" s="692" t="n"/>
      <c r="C288" s="692" t="n"/>
      <c r="E288" s="692" t="n"/>
      <c r="H288" s="447" t="n"/>
      <c r="I288" s="415" t="n"/>
      <c r="K288" s="692" t="n"/>
    </row>
    <row r="289">
      <c r="A289" s="692" t="n"/>
      <c r="C289" s="692" t="n"/>
      <c r="E289" s="692" t="n"/>
      <c r="H289" s="447" t="n"/>
      <c r="I289" s="415" t="n"/>
      <c r="K289" s="692" t="n"/>
    </row>
    <row r="290">
      <c r="A290" s="692" t="n"/>
      <c r="C290" s="692" t="n"/>
      <c r="E290" s="692" t="n"/>
      <c r="H290" s="447" t="n"/>
      <c r="I290" s="415" t="n"/>
      <c r="K290" s="692" t="n"/>
    </row>
    <row r="291">
      <c r="A291" s="692" t="n"/>
      <c r="C291" s="692" t="n"/>
      <c r="E291" s="692" t="n"/>
      <c r="H291" s="447" t="n"/>
      <c r="I291" s="415" t="n"/>
      <c r="K291" s="692" t="n"/>
    </row>
    <row r="292">
      <c r="A292" s="692" t="n"/>
      <c r="C292" s="692" t="n"/>
      <c r="E292" s="692" t="n"/>
      <c r="H292" s="447" t="n"/>
      <c r="I292" s="415" t="n"/>
      <c r="K292" s="692" t="n"/>
    </row>
    <row r="293">
      <c r="A293" s="692" t="n"/>
      <c r="C293" s="692" t="n"/>
      <c r="E293" s="692" t="n"/>
      <c r="H293" s="447" t="n"/>
      <c r="I293" s="415" t="n"/>
      <c r="K293" s="692" t="n"/>
    </row>
    <row r="294">
      <c r="A294" s="692" t="n"/>
      <c r="C294" s="692" t="n"/>
      <c r="E294" s="692" t="n"/>
      <c r="H294" s="447" t="n"/>
      <c r="I294" s="415" t="n"/>
      <c r="K294" s="692" t="n"/>
    </row>
    <row r="295">
      <c r="A295" s="692" t="n"/>
      <c r="C295" s="692" t="n"/>
      <c r="E295" s="692" t="n"/>
      <c r="H295" s="447" t="n"/>
      <c r="I295" s="415" t="n"/>
      <c r="K295" s="692" t="n"/>
    </row>
    <row r="296">
      <c r="A296" s="692" t="n"/>
      <c r="C296" s="692" t="n"/>
      <c r="E296" s="692" t="n"/>
      <c r="H296" s="447" t="n"/>
      <c r="I296" s="415" t="n"/>
      <c r="K296" s="692" t="n"/>
    </row>
    <row r="297">
      <c r="A297" s="692" t="n"/>
      <c r="C297" s="692" t="n"/>
      <c r="E297" s="692" t="n"/>
      <c r="H297" s="447" t="n"/>
      <c r="I297" s="415" t="n"/>
      <c r="K297" s="692" t="n"/>
    </row>
    <row r="298">
      <c r="A298" s="692" t="n"/>
      <c r="C298" s="692" t="n"/>
      <c r="E298" s="692" t="n"/>
      <c r="H298" s="447" t="n"/>
      <c r="I298" s="415" t="n"/>
      <c r="K298" s="692" t="n"/>
    </row>
    <row r="299">
      <c r="A299" s="692" t="n"/>
      <c r="C299" s="692" t="n"/>
      <c r="E299" s="692" t="n"/>
      <c r="H299" s="447" t="n"/>
      <c r="I299" s="415" t="n"/>
      <c r="K299" s="692" t="n"/>
    </row>
    <row r="300">
      <c r="A300" s="692" t="n"/>
      <c r="C300" s="692" t="n"/>
      <c r="E300" s="692" t="n"/>
      <c r="H300" s="447" t="n"/>
      <c r="I300" s="415" t="n"/>
      <c r="K300" s="692" t="n"/>
    </row>
    <row r="301">
      <c r="A301" s="692" t="n"/>
      <c r="C301" s="692" t="n"/>
      <c r="E301" s="692" t="n"/>
      <c r="H301" s="447" t="n"/>
      <c r="I301" s="415" t="n"/>
      <c r="K301" s="692" t="n"/>
    </row>
    <row r="302">
      <c r="A302" s="692" t="n"/>
      <c r="C302" s="692" t="n"/>
      <c r="E302" s="692" t="n"/>
      <c r="H302" s="447" t="n"/>
      <c r="I302" s="415" t="n"/>
      <c r="K302" s="692" t="n"/>
    </row>
    <row r="303">
      <c r="A303" s="692" t="n"/>
      <c r="C303" s="692" t="n"/>
      <c r="E303" s="692" t="n"/>
      <c r="H303" s="447" t="n"/>
      <c r="I303" s="415" t="n"/>
      <c r="K303" s="692" t="n"/>
    </row>
    <row r="304">
      <c r="A304" s="692" t="n"/>
      <c r="C304" s="692" t="n"/>
      <c r="E304" s="692" t="n"/>
      <c r="H304" s="447" t="n"/>
      <c r="I304" s="415" t="n"/>
      <c r="K304" s="692" t="n"/>
    </row>
    <row r="305">
      <c r="A305" s="692" t="n"/>
      <c r="C305" s="692" t="n"/>
      <c r="E305" s="692" t="n"/>
      <c r="H305" s="447" t="n"/>
      <c r="I305" s="415" t="n"/>
      <c r="K305" s="692" t="n"/>
    </row>
    <row r="306">
      <c r="A306" s="692" t="n"/>
      <c r="C306" s="692" t="n"/>
      <c r="E306" s="692" t="n"/>
      <c r="H306" s="447" t="n"/>
      <c r="I306" s="415" t="n"/>
      <c r="K306" s="692" t="n"/>
    </row>
    <row r="307">
      <c r="A307" s="692" t="n"/>
      <c r="C307" s="692" t="n"/>
      <c r="E307" s="692" t="n"/>
      <c r="H307" s="447" t="n"/>
      <c r="I307" s="415" t="n"/>
      <c r="K307" s="692" t="n"/>
    </row>
    <row r="308">
      <c r="A308" s="692" t="n"/>
      <c r="C308" s="692" t="n"/>
      <c r="E308" s="692" t="n"/>
      <c r="H308" s="447" t="n"/>
      <c r="I308" s="415" t="n"/>
      <c r="K308" s="692" t="n"/>
    </row>
    <row r="309">
      <c r="A309" s="692" t="n"/>
      <c r="C309" s="692" t="n"/>
      <c r="E309" s="692" t="n"/>
      <c r="H309" s="447" t="n"/>
      <c r="I309" s="415" t="n"/>
      <c r="K309" s="692" t="n"/>
    </row>
    <row r="310">
      <c r="A310" s="692" t="n"/>
      <c r="C310" s="692" t="n"/>
      <c r="E310" s="692" t="n"/>
      <c r="H310" s="447" t="n"/>
      <c r="I310" s="415" t="n"/>
      <c r="K310" s="692" t="n"/>
    </row>
    <row r="311">
      <c r="A311" s="692" t="n"/>
      <c r="C311" s="692" t="n"/>
      <c r="E311" s="692" t="n"/>
      <c r="H311" s="447" t="n"/>
      <c r="I311" s="415" t="n"/>
      <c r="K311" s="692" t="n"/>
    </row>
    <row r="312">
      <c r="A312" s="692" t="n"/>
      <c r="C312" s="692" t="n"/>
      <c r="E312" s="692" t="n"/>
      <c r="H312" s="447" t="n"/>
      <c r="I312" s="415" t="n"/>
      <c r="K312" s="692" t="n"/>
    </row>
    <row r="313">
      <c r="A313" s="692" t="n"/>
      <c r="C313" s="692" t="n"/>
      <c r="E313" s="692" t="n"/>
      <c r="H313" s="447" t="n"/>
      <c r="I313" s="415" t="n"/>
      <c r="K313" s="692" t="n"/>
    </row>
    <row r="314">
      <c r="A314" s="692" t="n"/>
      <c r="C314" s="692" t="n"/>
      <c r="E314" s="692" t="n"/>
      <c r="H314" s="447" t="n"/>
      <c r="I314" s="415" t="n"/>
      <c r="K314" s="692" t="n"/>
    </row>
    <row r="315">
      <c r="A315" s="692" t="n"/>
      <c r="C315" s="692" t="n"/>
      <c r="E315" s="692" t="n"/>
      <c r="H315" s="447" t="n"/>
      <c r="I315" s="415" t="n"/>
      <c r="K315" s="692" t="n"/>
    </row>
    <row r="316">
      <c r="A316" s="692" t="n"/>
      <c r="C316" s="692" t="n"/>
      <c r="E316" s="692" t="n"/>
      <c r="H316" s="447" t="n"/>
      <c r="I316" s="415" t="n"/>
      <c r="K316" s="692" t="n"/>
    </row>
    <row r="317">
      <c r="A317" s="692" t="n"/>
      <c r="C317" s="692" t="n"/>
      <c r="E317" s="692" t="n"/>
      <c r="H317" s="447" t="n"/>
      <c r="I317" s="415" t="n"/>
      <c r="K317" s="692" t="n"/>
    </row>
    <row r="318">
      <c r="A318" s="692" t="n"/>
      <c r="C318" s="692" t="n"/>
      <c r="E318" s="692" t="n"/>
      <c r="H318" s="447" t="n"/>
      <c r="I318" s="415" t="n"/>
      <c r="K318" s="692" t="n"/>
    </row>
    <row r="319">
      <c r="A319" s="692" t="n"/>
      <c r="C319" s="692" t="n"/>
      <c r="E319" s="692" t="n"/>
      <c r="H319" s="447" t="n"/>
      <c r="I319" s="415" t="n"/>
      <c r="K319" s="692" t="n"/>
    </row>
    <row r="320">
      <c r="A320" s="692" t="n"/>
      <c r="C320" s="692" t="n"/>
      <c r="E320" s="692" t="n"/>
      <c r="H320" s="447" t="n"/>
      <c r="I320" s="415" t="n"/>
      <c r="K320" s="692" t="n"/>
    </row>
    <row r="321">
      <c r="A321" s="692" t="n"/>
      <c r="C321" s="692" t="n"/>
      <c r="E321" s="692" t="n"/>
      <c r="H321" s="447" t="n"/>
      <c r="I321" s="415" t="n"/>
      <c r="K321" s="692" t="n"/>
    </row>
    <row r="322">
      <c r="A322" s="692" t="n"/>
      <c r="C322" s="692" t="n"/>
      <c r="E322" s="692" t="n"/>
      <c r="H322" s="447" t="n"/>
      <c r="I322" s="415" t="n"/>
      <c r="K322" s="692" t="n"/>
    </row>
    <row r="323">
      <c r="A323" s="692" t="n"/>
      <c r="C323" s="692" t="n"/>
      <c r="E323" s="692" t="n"/>
      <c r="H323" s="447" t="n"/>
      <c r="I323" s="415" t="n"/>
      <c r="K323" s="692" t="n"/>
    </row>
    <row r="324">
      <c r="A324" s="692" t="n"/>
      <c r="C324" s="692" t="n"/>
      <c r="E324" s="692" t="n"/>
      <c r="H324" s="447" t="n"/>
      <c r="I324" s="415" t="n"/>
      <c r="K324" s="692" t="n"/>
    </row>
    <row r="325">
      <c r="A325" s="692" t="n"/>
      <c r="C325" s="692" t="n"/>
      <c r="E325" s="692" t="n"/>
      <c r="H325" s="447" t="n"/>
      <c r="I325" s="415" t="n"/>
      <c r="K325" s="692" t="n"/>
    </row>
    <row r="326">
      <c r="A326" s="692" t="n"/>
      <c r="C326" s="692" t="n"/>
      <c r="E326" s="692" t="n"/>
      <c r="H326" s="447" t="n"/>
      <c r="I326" s="415" t="n"/>
      <c r="K326" s="692" t="n"/>
    </row>
    <row r="327">
      <c r="A327" s="692" t="n"/>
      <c r="C327" s="692" t="n"/>
      <c r="E327" s="692" t="n"/>
      <c r="H327" s="447" t="n"/>
      <c r="I327" s="415" t="n"/>
      <c r="K327" s="692" t="n"/>
    </row>
    <row r="328">
      <c r="A328" s="692" t="n"/>
      <c r="C328" s="692" t="n"/>
      <c r="E328" s="692" t="n"/>
      <c r="H328" s="447" t="n"/>
      <c r="I328" s="415" t="n"/>
      <c r="K328" s="692" t="n"/>
    </row>
    <row r="329">
      <c r="A329" s="692" t="n"/>
      <c r="C329" s="692" t="n"/>
      <c r="E329" s="692" t="n"/>
      <c r="H329" s="447" t="n"/>
      <c r="I329" s="415" t="n"/>
      <c r="K329" s="692" t="n"/>
    </row>
    <row r="330">
      <c r="A330" s="692" t="n"/>
      <c r="C330" s="692" t="n"/>
      <c r="E330" s="692" t="n"/>
      <c r="H330" s="447" t="n"/>
      <c r="I330" s="415" t="n"/>
      <c r="K330" s="692" t="n"/>
    </row>
    <row r="331">
      <c r="A331" s="692" t="n"/>
      <c r="C331" s="692" t="n"/>
      <c r="E331" s="692" t="n"/>
      <c r="H331" s="447" t="n"/>
      <c r="I331" s="415" t="n"/>
      <c r="K331" s="692" t="n"/>
    </row>
    <row r="332">
      <c r="A332" s="692" t="n"/>
      <c r="C332" s="692" t="n"/>
      <c r="E332" s="692" t="n"/>
      <c r="H332" s="447" t="n"/>
      <c r="I332" s="415" t="n"/>
      <c r="K332" s="692" t="n"/>
    </row>
    <row r="333">
      <c r="A333" s="692" t="n"/>
      <c r="C333" s="692" t="n"/>
      <c r="E333" s="692" t="n"/>
      <c r="H333" s="447" t="n"/>
      <c r="I333" s="415" t="n"/>
      <c r="K333" s="692" t="n"/>
    </row>
    <row r="334">
      <c r="A334" s="692" t="n"/>
      <c r="C334" s="692" t="n"/>
      <c r="E334" s="692" t="n"/>
      <c r="H334" s="447" t="n"/>
      <c r="I334" s="415" t="n"/>
      <c r="K334" s="692" t="n"/>
    </row>
    <row r="335">
      <c r="A335" s="692" t="n"/>
      <c r="C335" s="692" t="n"/>
      <c r="E335" s="692" t="n"/>
      <c r="H335" s="447" t="n"/>
      <c r="I335" s="415" t="n"/>
      <c r="K335" s="692" t="n"/>
    </row>
    <row r="336">
      <c r="A336" s="692" t="n"/>
      <c r="C336" s="692" t="n"/>
      <c r="E336" s="692" t="n"/>
      <c r="H336" s="447" t="n"/>
      <c r="I336" s="415" t="n"/>
      <c r="K336" s="692" t="n"/>
    </row>
    <row r="337">
      <c r="A337" s="692" t="n"/>
      <c r="C337" s="692" t="n"/>
      <c r="E337" s="692" t="n"/>
      <c r="H337" s="447" t="n"/>
      <c r="I337" s="415" t="n"/>
      <c r="K337" s="692" t="n"/>
    </row>
    <row r="338">
      <c r="A338" s="692" t="n"/>
      <c r="C338" s="692" t="n"/>
      <c r="E338" s="692" t="n"/>
      <c r="H338" s="447" t="n"/>
      <c r="I338" s="415" t="n"/>
      <c r="K338" s="692" t="n"/>
    </row>
    <row r="339">
      <c r="A339" s="692" t="n"/>
      <c r="C339" s="692" t="n"/>
      <c r="E339" s="692" t="n"/>
      <c r="H339" s="447" t="n"/>
      <c r="I339" s="415" t="n"/>
      <c r="K339" s="692" t="n"/>
    </row>
    <row r="340">
      <c r="A340" s="692" t="n"/>
      <c r="C340" s="692" t="n"/>
      <c r="E340" s="692" t="n"/>
      <c r="H340" s="447" t="n"/>
      <c r="I340" s="415" t="n"/>
      <c r="K340" s="692" t="n"/>
    </row>
    <row r="341">
      <c r="A341" s="692" t="n"/>
      <c r="C341" s="692" t="n"/>
      <c r="E341" s="692" t="n"/>
      <c r="H341" s="447" t="n"/>
      <c r="I341" s="415" t="n"/>
      <c r="K341" s="692" t="n"/>
    </row>
    <row r="342">
      <c r="A342" s="692" t="n"/>
      <c r="C342" s="692" t="n"/>
      <c r="E342" s="692" t="n"/>
      <c r="H342" s="447" t="n"/>
      <c r="I342" s="415" t="n"/>
      <c r="K342" s="692" t="n"/>
    </row>
    <row r="343">
      <c r="A343" s="692" t="n"/>
      <c r="C343" s="692" t="n"/>
      <c r="E343" s="692" t="n"/>
      <c r="H343" s="447" t="n"/>
      <c r="I343" s="415" t="n"/>
      <c r="K343" s="692" t="n"/>
    </row>
    <row r="344">
      <c r="A344" s="692" t="n"/>
      <c r="C344" s="692" t="n"/>
      <c r="E344" s="692" t="n"/>
      <c r="H344" s="447" t="n"/>
      <c r="I344" s="415" t="n"/>
      <c r="K344" s="692" t="n"/>
    </row>
    <row r="345">
      <c r="A345" s="692" t="n"/>
      <c r="C345" s="692" t="n"/>
      <c r="E345" s="692" t="n"/>
      <c r="H345" s="447" t="n"/>
      <c r="I345" s="415" t="n"/>
      <c r="K345" s="692" t="n"/>
    </row>
    <row r="346">
      <c r="A346" s="692" t="n"/>
      <c r="C346" s="692" t="n"/>
      <c r="E346" s="692" t="n"/>
      <c r="H346" s="447" t="n"/>
      <c r="I346" s="415" t="n"/>
      <c r="K346" s="692" t="n"/>
    </row>
    <row r="347">
      <c r="A347" s="692" t="n"/>
      <c r="C347" s="692" t="n"/>
      <c r="E347" s="692" t="n"/>
      <c r="H347" s="447" t="n"/>
      <c r="I347" s="415" t="n"/>
      <c r="K347" s="692" t="n"/>
    </row>
    <row r="348">
      <c r="A348" s="692" t="n"/>
      <c r="C348" s="692" t="n"/>
      <c r="E348" s="692" t="n"/>
      <c r="H348" s="447" t="n"/>
      <c r="I348" s="415" t="n"/>
      <c r="K348" s="692" t="n"/>
    </row>
    <row r="349">
      <c r="A349" s="692" t="n"/>
      <c r="C349" s="692" t="n"/>
      <c r="E349" s="692" t="n"/>
      <c r="H349" s="447" t="n"/>
      <c r="I349" s="415" t="n"/>
      <c r="K349" s="692" t="n"/>
    </row>
    <row r="350">
      <c r="A350" s="692" t="n"/>
      <c r="C350" s="692" t="n"/>
      <c r="E350" s="692" t="n"/>
      <c r="H350" s="447" t="n"/>
      <c r="I350" s="415" t="n"/>
      <c r="K350" s="692" t="n"/>
    </row>
    <row r="351">
      <c r="A351" s="692" t="n"/>
      <c r="C351" s="692" t="n"/>
      <c r="E351" s="692" t="n"/>
      <c r="H351" s="447" t="n"/>
      <c r="I351" s="415" t="n"/>
      <c r="K351" s="692" t="n"/>
    </row>
    <row r="352">
      <c r="A352" s="692" t="n"/>
      <c r="C352" s="692" t="n"/>
      <c r="E352" s="692" t="n"/>
      <c r="H352" s="447" t="n"/>
      <c r="I352" s="415" t="n"/>
      <c r="K352" s="692" t="n"/>
    </row>
    <row r="353">
      <c r="A353" s="692" t="n"/>
      <c r="C353" s="692" t="n"/>
      <c r="E353" s="692" t="n"/>
      <c r="H353" s="447" t="n"/>
      <c r="I353" s="415" t="n"/>
      <c r="K353" s="692" t="n"/>
    </row>
    <row r="354">
      <c r="A354" s="692" t="n"/>
      <c r="C354" s="692" t="n"/>
      <c r="E354" s="692" t="n"/>
      <c r="H354" s="447" t="n"/>
      <c r="I354" s="415" t="n"/>
      <c r="K354" s="692" t="n"/>
    </row>
    <row r="355">
      <c r="A355" s="692" t="n"/>
      <c r="C355" s="692" t="n"/>
      <c r="E355" s="692" t="n"/>
      <c r="H355" s="447" t="n"/>
      <c r="I355" s="415" t="n"/>
      <c r="K355" s="692" t="n"/>
    </row>
    <row r="356">
      <c r="A356" s="692" t="n"/>
      <c r="C356" s="692" t="n"/>
      <c r="E356" s="692" t="n"/>
      <c r="H356" s="447" t="n"/>
      <c r="I356" s="415" t="n"/>
      <c r="K356" s="692" t="n"/>
    </row>
    <row r="357">
      <c r="A357" s="692" t="n"/>
      <c r="C357" s="692" t="n"/>
      <c r="E357" s="692" t="n"/>
      <c r="H357" s="447" t="n"/>
      <c r="I357" s="415" t="n"/>
      <c r="K357" s="692" t="n"/>
    </row>
    <row r="358">
      <c r="A358" s="692" t="n"/>
      <c r="C358" s="692" t="n"/>
      <c r="E358" s="692" t="n"/>
      <c r="H358" s="447" t="n"/>
      <c r="I358" s="415" t="n"/>
      <c r="K358" s="692" t="n"/>
    </row>
    <row r="359">
      <c r="A359" s="692" t="n"/>
      <c r="C359" s="692" t="n"/>
      <c r="E359" s="692" t="n"/>
      <c r="H359" s="447" t="n"/>
      <c r="I359" s="415" t="n"/>
      <c r="K359" s="692" t="n"/>
    </row>
    <row r="360">
      <c r="A360" s="692" t="n"/>
      <c r="C360" s="692" t="n"/>
      <c r="E360" s="692" t="n"/>
      <c r="H360" s="447" t="n"/>
      <c r="I360" s="415" t="n"/>
      <c r="K360" s="692" t="n"/>
    </row>
    <row r="361">
      <c r="A361" s="692" t="n"/>
      <c r="C361" s="692" t="n"/>
      <c r="E361" s="692" t="n"/>
      <c r="H361" s="447" t="n"/>
      <c r="I361" s="415" t="n"/>
      <c r="K361" s="692" t="n"/>
    </row>
    <row r="362">
      <c r="A362" s="692" t="n"/>
      <c r="C362" s="692" t="n"/>
      <c r="E362" s="692" t="n"/>
      <c r="H362" s="447" t="n"/>
      <c r="I362" s="415" t="n"/>
      <c r="K362" s="692" t="n"/>
    </row>
    <row r="363">
      <c r="A363" s="692" t="n"/>
      <c r="C363" s="692" t="n"/>
      <c r="E363" s="692" t="n"/>
      <c r="H363" s="447" t="n"/>
      <c r="I363" s="415" t="n"/>
      <c r="K363" s="692" t="n"/>
    </row>
    <row r="364">
      <c r="A364" s="692" t="n"/>
      <c r="C364" s="692" t="n"/>
      <c r="E364" s="692" t="n"/>
      <c r="H364" s="447" t="n"/>
      <c r="I364" s="415" t="n"/>
      <c r="K364" s="692" t="n"/>
    </row>
    <row r="365">
      <c r="A365" s="692" t="n"/>
      <c r="C365" s="692" t="n"/>
      <c r="E365" s="692" t="n"/>
      <c r="H365" s="447" t="n"/>
      <c r="I365" s="415" t="n"/>
      <c r="K365" s="692" t="n"/>
    </row>
    <row r="366">
      <c r="A366" s="692" t="n"/>
      <c r="C366" s="692" t="n"/>
      <c r="E366" s="692" t="n"/>
      <c r="H366" s="447" t="n"/>
      <c r="I366" s="415" t="n"/>
      <c r="K366" s="692" t="n"/>
    </row>
    <row r="367">
      <c r="A367" s="692" t="n"/>
      <c r="C367" s="692" t="n"/>
      <c r="E367" s="692" t="n"/>
      <c r="H367" s="447" t="n"/>
      <c r="I367" s="415" t="n"/>
      <c r="K367" s="692" t="n"/>
    </row>
    <row r="368">
      <c r="A368" s="692" t="n"/>
      <c r="C368" s="692" t="n"/>
      <c r="E368" s="692" t="n"/>
      <c r="H368" s="447" t="n"/>
      <c r="I368" s="415" t="n"/>
      <c r="K368" s="692" t="n"/>
    </row>
    <row r="369">
      <c r="A369" s="692" t="n"/>
      <c r="C369" s="692" t="n"/>
      <c r="E369" s="692" t="n"/>
      <c r="H369" s="447" t="n"/>
      <c r="I369" s="415" t="n"/>
      <c r="K369" s="692" t="n"/>
    </row>
    <row r="370">
      <c r="A370" s="692" t="n"/>
      <c r="C370" s="692" t="n"/>
      <c r="E370" s="692" t="n"/>
      <c r="H370" s="447" t="n"/>
      <c r="I370" s="415" t="n"/>
      <c r="K370" s="692" t="n"/>
    </row>
    <row r="371">
      <c r="A371" s="692" t="n"/>
      <c r="C371" s="692" t="n"/>
      <c r="E371" s="692" t="n"/>
      <c r="H371" s="447" t="n"/>
      <c r="I371" s="415" t="n"/>
      <c r="K371" s="692" t="n"/>
    </row>
    <row r="372">
      <c r="A372" s="692" t="n"/>
      <c r="C372" s="692" t="n"/>
      <c r="E372" s="692" t="n"/>
      <c r="H372" s="447" t="n"/>
      <c r="I372" s="415" t="n"/>
      <c r="K372" s="692" t="n"/>
    </row>
    <row r="373">
      <c r="A373" s="692" t="n"/>
      <c r="C373" s="692" t="n"/>
      <c r="E373" s="692" t="n"/>
      <c r="H373" s="447" t="n"/>
      <c r="I373" s="415" t="n"/>
      <c r="K373" s="692" t="n"/>
    </row>
    <row r="374">
      <c r="A374" s="692" t="n"/>
      <c r="C374" s="692" t="n"/>
      <c r="E374" s="692" t="n"/>
      <c r="H374" s="447" t="n"/>
      <c r="I374" s="415" t="n"/>
      <c r="K374" s="692" t="n"/>
    </row>
    <row r="375">
      <c r="A375" s="692" t="n"/>
      <c r="C375" s="692" t="n"/>
      <c r="E375" s="692" t="n"/>
      <c r="H375" s="447" t="n"/>
      <c r="I375" s="415" t="n"/>
      <c r="K375" s="692" t="n"/>
    </row>
    <row r="376">
      <c r="A376" s="692" t="n"/>
      <c r="C376" s="692" t="n"/>
      <c r="E376" s="692" t="n"/>
      <c r="H376" s="447" t="n"/>
      <c r="I376" s="415" t="n"/>
      <c r="K376" s="692" t="n"/>
    </row>
    <row r="377">
      <c r="A377" s="692" t="n"/>
      <c r="C377" s="692" t="n"/>
      <c r="E377" s="692" t="n"/>
      <c r="H377" s="447" t="n"/>
      <c r="I377" s="415" t="n"/>
      <c r="K377" s="692" t="n"/>
    </row>
    <row r="378">
      <c r="A378" s="692" t="n"/>
      <c r="C378" s="692" t="n"/>
      <c r="E378" s="692" t="n"/>
      <c r="H378" s="447" t="n"/>
      <c r="I378" s="415" t="n"/>
      <c r="K378" s="692" t="n"/>
    </row>
    <row r="379">
      <c r="A379" s="692" t="n"/>
      <c r="C379" s="692" t="n"/>
      <c r="E379" s="692" t="n"/>
      <c r="H379" s="447" t="n"/>
      <c r="I379" s="415" t="n"/>
      <c r="K379" s="692" t="n"/>
    </row>
    <row r="380">
      <c r="A380" s="692" t="n"/>
      <c r="C380" s="692" t="n"/>
      <c r="E380" s="692" t="n"/>
      <c r="H380" s="447" t="n"/>
      <c r="I380" s="415" t="n"/>
      <c r="K380" s="692" t="n"/>
    </row>
    <row r="381">
      <c r="A381" s="692" t="n"/>
      <c r="C381" s="692" t="n"/>
      <c r="E381" s="692" t="n"/>
      <c r="H381" s="447" t="n"/>
      <c r="I381" s="415" t="n"/>
      <c r="K381" s="692" t="n"/>
    </row>
    <row r="382">
      <c r="A382" s="692" t="n"/>
      <c r="C382" s="692" t="n"/>
      <c r="E382" s="692" t="n"/>
      <c r="H382" s="447" t="n"/>
      <c r="I382" s="415" t="n"/>
      <c r="K382" s="692" t="n"/>
    </row>
    <row r="383">
      <c r="A383" s="692" t="n"/>
      <c r="C383" s="692" t="n"/>
      <c r="E383" s="692" t="n"/>
      <c r="H383" s="447" t="n"/>
      <c r="I383" s="415" t="n"/>
      <c r="K383" s="692" t="n"/>
    </row>
    <row r="384">
      <c r="A384" s="692" t="n"/>
      <c r="C384" s="692" t="n"/>
      <c r="E384" s="692" t="n"/>
      <c r="H384" s="447" t="n"/>
      <c r="I384" s="415" t="n"/>
      <c r="K384" s="692" t="n"/>
    </row>
    <row r="385">
      <c r="A385" s="692" t="n"/>
      <c r="C385" s="692" t="n"/>
      <c r="E385" s="692" t="n"/>
      <c r="H385" s="447" t="n"/>
      <c r="I385" s="415" t="n"/>
      <c r="K385" s="692" t="n"/>
    </row>
    <row r="386">
      <c r="A386" s="692" t="n"/>
      <c r="C386" s="692" t="n"/>
      <c r="E386" s="692" t="n"/>
      <c r="H386" s="447" t="n"/>
      <c r="I386" s="415" t="n"/>
      <c r="K386" s="692" t="n"/>
    </row>
    <row r="387">
      <c r="A387" s="692" t="n"/>
      <c r="C387" s="692" t="n"/>
      <c r="E387" s="692" t="n"/>
      <c r="H387" s="447" t="n"/>
      <c r="I387" s="415" t="n"/>
      <c r="K387" s="692" t="n"/>
    </row>
    <row r="388">
      <c r="A388" s="692" t="n"/>
      <c r="C388" s="692" t="n"/>
      <c r="E388" s="692" t="n"/>
      <c r="H388" s="447" t="n"/>
      <c r="I388" s="415" t="n"/>
      <c r="K388" s="692" t="n"/>
    </row>
    <row r="389">
      <c r="A389" s="692" t="n"/>
      <c r="C389" s="692" t="n"/>
      <c r="E389" s="692" t="n"/>
      <c r="H389" s="447" t="n"/>
      <c r="I389" s="415" t="n"/>
      <c r="K389" s="692" t="n"/>
    </row>
    <row r="390">
      <c r="A390" s="692" t="n"/>
      <c r="C390" s="692" t="n"/>
      <c r="E390" s="692" t="n"/>
      <c r="H390" s="447" t="n"/>
      <c r="I390" s="415" t="n"/>
      <c r="K390" s="692" t="n"/>
    </row>
    <row r="391">
      <c r="A391" s="692" t="n"/>
      <c r="C391" s="692" t="n"/>
      <c r="E391" s="692" t="n"/>
      <c r="H391" s="447" t="n"/>
      <c r="I391" s="415" t="n"/>
      <c r="K391" s="692" t="n"/>
    </row>
    <row r="392">
      <c r="A392" s="692" t="n"/>
      <c r="C392" s="692" t="n"/>
      <c r="E392" s="692" t="n"/>
      <c r="H392" s="447" t="n"/>
      <c r="I392" s="415" t="n"/>
      <c r="K392" s="692" t="n"/>
    </row>
    <row r="393">
      <c r="A393" s="692" t="n"/>
      <c r="C393" s="692" t="n"/>
      <c r="E393" s="692" t="n"/>
      <c r="H393" s="447" t="n"/>
      <c r="I393" s="415" t="n"/>
      <c r="K393" s="692" t="n"/>
    </row>
    <row r="394">
      <c r="A394" s="692" t="n"/>
      <c r="C394" s="692" t="n"/>
      <c r="E394" s="692" t="n"/>
      <c r="H394" s="447" t="n"/>
      <c r="I394" s="415" t="n"/>
      <c r="K394" s="692" t="n"/>
    </row>
    <row r="395">
      <c r="A395" s="692" t="n"/>
      <c r="C395" s="692" t="n"/>
      <c r="E395" s="692" t="n"/>
      <c r="H395" s="447" t="n"/>
      <c r="I395" s="415" t="n"/>
      <c r="K395" s="692" t="n"/>
    </row>
    <row r="396">
      <c r="A396" s="692" t="n"/>
      <c r="C396" s="692" t="n"/>
      <c r="E396" s="692" t="n"/>
      <c r="H396" s="447" t="n"/>
      <c r="I396" s="415" t="n"/>
      <c r="K396" s="692" t="n"/>
    </row>
    <row r="397">
      <c r="A397" s="692" t="n"/>
      <c r="C397" s="692" t="n"/>
      <c r="E397" s="692" t="n"/>
      <c r="H397" s="447" t="n"/>
      <c r="I397" s="415" t="n"/>
      <c r="K397" s="692" t="n"/>
    </row>
    <row r="398">
      <c r="A398" s="692" t="n"/>
      <c r="C398" s="692" t="n"/>
      <c r="E398" s="692" t="n"/>
      <c r="H398" s="447" t="n"/>
      <c r="I398" s="415" t="n"/>
      <c r="K398" s="692" t="n"/>
    </row>
    <row r="399">
      <c r="A399" s="692" t="n"/>
      <c r="C399" s="692" t="n"/>
      <c r="E399" s="692" t="n"/>
      <c r="H399" s="447" t="n"/>
      <c r="I399" s="415" t="n"/>
      <c r="K399" s="692" t="n"/>
    </row>
    <row r="400">
      <c r="A400" s="692" t="n"/>
      <c r="C400" s="692" t="n"/>
      <c r="E400" s="692" t="n"/>
      <c r="H400" s="447" t="n"/>
      <c r="I400" s="415" t="n"/>
      <c r="K400" s="692" t="n"/>
    </row>
    <row r="401">
      <c r="A401" s="692" t="n"/>
      <c r="C401" s="692" t="n"/>
      <c r="E401" s="692" t="n"/>
      <c r="H401" s="447" t="n"/>
      <c r="I401" s="415" t="n"/>
      <c r="K401" s="692" t="n"/>
    </row>
    <row r="402">
      <c r="A402" s="692" t="n"/>
      <c r="C402" s="692" t="n"/>
      <c r="E402" s="692" t="n"/>
      <c r="H402" s="447" t="n"/>
      <c r="I402" s="415" t="n"/>
      <c r="K402" s="692" t="n"/>
    </row>
    <row r="403">
      <c r="A403" s="692" t="n"/>
      <c r="C403" s="692" t="n"/>
      <c r="E403" s="692" t="n"/>
      <c r="H403" s="447" t="n"/>
      <c r="I403" s="415" t="n"/>
      <c r="K403" s="692" t="n"/>
    </row>
    <row r="404">
      <c r="A404" s="692" t="n"/>
      <c r="C404" s="692" t="n"/>
      <c r="E404" s="692" t="n"/>
      <c r="H404" s="447" t="n"/>
      <c r="I404" s="415" t="n"/>
      <c r="K404" s="692" t="n"/>
    </row>
    <row r="405">
      <c r="A405" s="692" t="n"/>
      <c r="C405" s="692" t="n"/>
      <c r="E405" s="692" t="n"/>
      <c r="H405" s="447" t="n"/>
      <c r="I405" s="415" t="n"/>
      <c r="K405" s="692" t="n"/>
    </row>
    <row r="406">
      <c r="A406" s="692" t="n"/>
      <c r="C406" s="692" t="n"/>
      <c r="E406" s="692" t="n"/>
      <c r="H406" s="447" t="n"/>
      <c r="I406" s="415" t="n"/>
      <c r="K406" s="692" t="n"/>
    </row>
    <row r="407">
      <c r="A407" s="692" t="n"/>
      <c r="C407" s="692" t="n"/>
      <c r="E407" s="692" t="n"/>
      <c r="H407" s="447" t="n"/>
      <c r="I407" s="415" t="n"/>
      <c r="K407" s="692" t="n"/>
    </row>
    <row r="408">
      <c r="A408" s="692" t="n"/>
      <c r="C408" s="692" t="n"/>
      <c r="E408" s="692" t="n"/>
      <c r="H408" s="447" t="n"/>
      <c r="I408" s="415" t="n"/>
      <c r="K408" s="692" t="n"/>
    </row>
    <row r="409">
      <c r="A409" s="692" t="n"/>
      <c r="C409" s="692" t="n"/>
      <c r="E409" s="692" t="n"/>
      <c r="H409" s="447" t="n"/>
      <c r="I409" s="415" t="n"/>
      <c r="K409" s="692" t="n"/>
    </row>
    <row r="410">
      <c r="A410" s="692" t="n"/>
      <c r="C410" s="692" t="n"/>
      <c r="E410" s="692" t="n"/>
      <c r="H410" s="447" t="n"/>
      <c r="I410" s="415" t="n"/>
      <c r="K410" s="692" t="n"/>
    </row>
    <row r="411">
      <c r="A411" s="692" t="n"/>
      <c r="C411" s="692" t="n"/>
      <c r="E411" s="692" t="n"/>
      <c r="H411" s="447" t="n"/>
      <c r="I411" s="415" t="n"/>
      <c r="K411" s="692" t="n"/>
    </row>
    <row r="412">
      <c r="A412" s="692" t="n"/>
      <c r="C412" s="692" t="n"/>
      <c r="E412" s="692" t="n"/>
      <c r="H412" s="447" t="n"/>
      <c r="I412" s="415" t="n"/>
      <c r="K412" s="692" t="n"/>
    </row>
    <row r="413">
      <c r="A413" s="692" t="n"/>
      <c r="C413" s="692" t="n"/>
      <c r="E413" s="692" t="n"/>
      <c r="H413" s="447" t="n"/>
      <c r="I413" s="415" t="n"/>
      <c r="K413" s="692" t="n"/>
    </row>
    <row r="414">
      <c r="A414" s="692" t="n"/>
      <c r="C414" s="692" t="n"/>
      <c r="E414" s="692" t="n"/>
      <c r="H414" s="447" t="n"/>
      <c r="I414" s="415" t="n"/>
      <c r="K414" s="692" t="n"/>
    </row>
    <row r="415">
      <c r="A415" s="692" t="n"/>
      <c r="C415" s="692" t="n"/>
      <c r="E415" s="692" t="n"/>
      <c r="H415" s="447" t="n"/>
      <c r="I415" s="415" t="n"/>
      <c r="K415" s="692" t="n"/>
    </row>
    <row r="416">
      <c r="A416" s="692" t="n"/>
      <c r="C416" s="692" t="n"/>
      <c r="E416" s="692" t="n"/>
      <c r="H416" s="447" t="n"/>
      <c r="I416" s="415" t="n"/>
      <c r="K416" s="692" t="n"/>
    </row>
    <row r="417">
      <c r="A417" s="692" t="n"/>
      <c r="C417" s="692" t="n"/>
      <c r="E417" s="692" t="n"/>
      <c r="H417" s="447" t="n"/>
      <c r="I417" s="415" t="n"/>
      <c r="K417" s="692" t="n"/>
    </row>
    <row r="418">
      <c r="A418" s="692" t="n"/>
      <c r="C418" s="692" t="n"/>
      <c r="E418" s="692" t="n"/>
      <c r="H418" s="447" t="n"/>
      <c r="I418" s="415" t="n"/>
      <c r="K418" s="692" t="n"/>
    </row>
    <row r="419">
      <c r="A419" s="692" t="n"/>
      <c r="C419" s="692" t="n"/>
      <c r="E419" s="692" t="n"/>
      <c r="H419" s="447" t="n"/>
      <c r="I419" s="415" t="n"/>
      <c r="K419" s="692" t="n"/>
    </row>
    <row r="420">
      <c r="A420" s="692" t="n"/>
      <c r="C420" s="692" t="n"/>
      <c r="E420" s="692" t="n"/>
      <c r="H420" s="447" t="n"/>
      <c r="I420" s="415" t="n"/>
      <c r="K420" s="692" t="n"/>
    </row>
    <row r="421">
      <c r="A421" s="692" t="n"/>
      <c r="C421" s="692" t="n"/>
      <c r="E421" s="692" t="n"/>
      <c r="H421" s="447" t="n"/>
      <c r="I421" s="415" t="n"/>
      <c r="K421" s="692" t="n"/>
    </row>
    <row r="422">
      <c r="A422" s="692" t="n"/>
      <c r="C422" s="692" t="n"/>
      <c r="E422" s="692" t="n"/>
      <c r="H422" s="447" t="n"/>
      <c r="I422" s="415" t="n"/>
      <c r="K422" s="692" t="n"/>
    </row>
    <row r="423">
      <c r="A423" s="692" t="n"/>
      <c r="C423" s="692" t="n"/>
      <c r="E423" s="692" t="n"/>
      <c r="H423" s="447" t="n"/>
      <c r="I423" s="415" t="n"/>
      <c r="K423" s="692" t="n"/>
    </row>
    <row r="424">
      <c r="A424" s="692" t="n"/>
      <c r="C424" s="692" t="n"/>
      <c r="E424" s="692" t="n"/>
      <c r="H424" s="447" t="n"/>
      <c r="I424" s="415" t="n"/>
      <c r="K424" s="692" t="n"/>
    </row>
    <row r="425">
      <c r="A425" s="692" t="n"/>
      <c r="C425" s="692" t="n"/>
      <c r="E425" s="692" t="n"/>
      <c r="H425" s="447" t="n"/>
      <c r="I425" s="415" t="n"/>
      <c r="K425" s="692" t="n"/>
    </row>
    <row r="426">
      <c r="A426" s="692" t="n"/>
      <c r="C426" s="692" t="n"/>
      <c r="E426" s="692" t="n"/>
      <c r="H426" s="447" t="n"/>
      <c r="I426" s="415" t="n"/>
      <c r="K426" s="692" t="n"/>
    </row>
    <row r="427">
      <c r="A427" s="692" t="n"/>
      <c r="C427" s="692" t="n"/>
      <c r="E427" s="692" t="n"/>
      <c r="H427" s="447" t="n"/>
      <c r="I427" s="415" t="n"/>
      <c r="K427" s="692" t="n"/>
    </row>
    <row r="428">
      <c r="A428" s="692" t="n"/>
      <c r="C428" s="692" t="n"/>
      <c r="E428" s="692" t="n"/>
      <c r="H428" s="447" t="n"/>
      <c r="I428" s="415" t="n"/>
      <c r="K428" s="692" t="n"/>
    </row>
    <row r="429">
      <c r="A429" s="692" t="n"/>
      <c r="C429" s="692" t="n"/>
      <c r="E429" s="692" t="n"/>
      <c r="H429" s="447" t="n"/>
      <c r="I429" s="415" t="n"/>
      <c r="K429" s="692" t="n"/>
    </row>
    <row r="430">
      <c r="A430" s="692" t="n"/>
      <c r="C430" s="692" t="n"/>
      <c r="E430" s="692" t="n"/>
      <c r="H430" s="447" t="n"/>
      <c r="I430" s="415" t="n"/>
      <c r="K430" s="692" t="n"/>
    </row>
    <row r="431">
      <c r="A431" s="692" t="n"/>
      <c r="C431" s="692" t="n"/>
      <c r="E431" s="692" t="n"/>
      <c r="H431" s="447" t="n"/>
      <c r="I431" s="415" t="n"/>
      <c r="K431" s="692" t="n"/>
    </row>
    <row r="432">
      <c r="A432" s="692" t="n"/>
      <c r="C432" s="692" t="n"/>
      <c r="E432" s="692" t="n"/>
      <c r="H432" s="447" t="n"/>
      <c r="I432" s="415" t="n"/>
      <c r="K432" s="692" t="n"/>
    </row>
    <row r="433">
      <c r="A433" s="692" t="n"/>
      <c r="C433" s="692" t="n"/>
      <c r="E433" s="692" t="n"/>
      <c r="H433" s="447" t="n"/>
      <c r="I433" s="415" t="n"/>
      <c r="K433" s="692" t="n"/>
    </row>
    <row r="434">
      <c r="A434" s="692" t="n"/>
      <c r="C434" s="692" t="n"/>
      <c r="E434" s="692" t="n"/>
      <c r="H434" s="447" t="n"/>
      <c r="I434" s="415" t="n"/>
      <c r="K434" s="692" t="n"/>
    </row>
    <row r="435">
      <c r="A435" s="692" t="n"/>
      <c r="C435" s="692" t="n"/>
      <c r="E435" s="692" t="n"/>
      <c r="H435" s="447" t="n"/>
      <c r="I435" s="415" t="n"/>
      <c r="K435" s="692" t="n"/>
    </row>
    <row r="436">
      <c r="A436" s="692" t="n"/>
      <c r="C436" s="692" t="n"/>
      <c r="E436" s="692" t="n"/>
      <c r="H436" s="447" t="n"/>
      <c r="I436" s="415" t="n"/>
      <c r="K436" s="692" t="n"/>
    </row>
    <row r="437">
      <c r="A437" s="692" t="n"/>
      <c r="C437" s="692" t="n"/>
      <c r="E437" s="692" t="n"/>
      <c r="H437" s="447" t="n"/>
      <c r="I437" s="415" t="n"/>
      <c r="K437" s="692" t="n"/>
    </row>
    <row r="438">
      <c r="A438" s="692" t="n"/>
      <c r="C438" s="692" t="n"/>
      <c r="E438" s="692" t="n"/>
      <c r="H438" s="447" t="n"/>
      <c r="I438" s="415" t="n"/>
      <c r="K438" s="692" t="n"/>
    </row>
    <row r="439">
      <c r="A439" s="692" t="n"/>
      <c r="C439" s="692" t="n"/>
      <c r="E439" s="692" t="n"/>
      <c r="H439" s="447" t="n"/>
      <c r="I439" s="415" t="n"/>
      <c r="K439" s="692" t="n"/>
    </row>
    <row r="440">
      <c r="A440" s="692" t="n"/>
      <c r="C440" s="692" t="n"/>
      <c r="E440" s="692" t="n"/>
      <c r="H440" s="447" t="n"/>
      <c r="I440" s="415" t="n"/>
      <c r="K440" s="692" t="n"/>
    </row>
    <row r="441">
      <c r="A441" s="692" t="n"/>
      <c r="C441" s="692" t="n"/>
      <c r="E441" s="692" t="n"/>
      <c r="H441" s="447" t="n"/>
      <c r="I441" s="415" t="n"/>
      <c r="K441" s="692" t="n"/>
    </row>
    <row r="442">
      <c r="A442" s="692" t="n"/>
      <c r="C442" s="692" t="n"/>
      <c r="E442" s="692" t="n"/>
      <c r="H442" s="447" t="n"/>
      <c r="I442" s="415" t="n"/>
      <c r="K442" s="692" t="n"/>
    </row>
    <row r="443">
      <c r="A443" s="692" t="n"/>
      <c r="C443" s="692" t="n"/>
      <c r="E443" s="692" t="n"/>
      <c r="H443" s="447" t="n"/>
      <c r="I443" s="415" t="n"/>
      <c r="K443" s="692" t="n"/>
    </row>
    <row r="444">
      <c r="A444" s="692" t="n"/>
      <c r="C444" s="692" t="n"/>
      <c r="E444" s="692" t="n"/>
      <c r="H444" s="447" t="n"/>
      <c r="I444" s="415" t="n"/>
      <c r="K444" s="692" t="n"/>
    </row>
    <row r="445">
      <c r="A445" s="692" t="n"/>
      <c r="C445" s="692" t="n"/>
      <c r="E445" s="692" t="n"/>
      <c r="H445" s="447" t="n"/>
      <c r="I445" s="415" t="n"/>
      <c r="K445" s="692" t="n"/>
    </row>
    <row r="446">
      <c r="A446" s="692" t="n"/>
      <c r="C446" s="692" t="n"/>
      <c r="E446" s="692" t="n"/>
      <c r="H446" s="447" t="n"/>
      <c r="I446" s="415" t="n"/>
      <c r="K446" s="692" t="n"/>
    </row>
    <row r="447">
      <c r="A447" s="692" t="n"/>
      <c r="C447" s="692" t="n"/>
      <c r="E447" s="692" t="n"/>
      <c r="H447" s="447" t="n"/>
      <c r="I447" s="415" t="n"/>
      <c r="K447" s="692" t="n"/>
    </row>
    <row r="448">
      <c r="A448" s="692" t="n"/>
      <c r="C448" s="692" t="n"/>
      <c r="E448" s="692" t="n"/>
      <c r="H448" s="447" t="n"/>
      <c r="I448" s="415" t="n"/>
      <c r="K448" s="692" t="n"/>
    </row>
    <row r="449">
      <c r="A449" s="692" t="n"/>
      <c r="C449" s="692" t="n"/>
      <c r="E449" s="692" t="n"/>
      <c r="H449" s="447" t="n"/>
      <c r="I449" s="415" t="n"/>
      <c r="K449" s="692" t="n"/>
    </row>
    <row r="450">
      <c r="A450" s="692" t="n"/>
      <c r="C450" s="692" t="n"/>
      <c r="E450" s="692" t="n"/>
      <c r="H450" s="447" t="n"/>
      <c r="I450" s="415" t="n"/>
      <c r="K450" s="692" t="n"/>
    </row>
    <row r="451">
      <c r="A451" s="692" t="n"/>
      <c r="C451" s="692" t="n"/>
      <c r="E451" s="692" t="n"/>
      <c r="H451" s="447" t="n"/>
      <c r="I451" s="415" t="n"/>
      <c r="K451" s="692" t="n"/>
    </row>
    <row r="452">
      <c r="A452" s="692" t="n"/>
      <c r="C452" s="692" t="n"/>
      <c r="E452" s="692" t="n"/>
      <c r="H452" s="447" t="n"/>
      <c r="I452" s="415" t="n"/>
      <c r="K452" s="692" t="n"/>
    </row>
    <row r="453">
      <c r="A453" s="692" t="n"/>
      <c r="C453" s="692" t="n"/>
      <c r="E453" s="692" t="n"/>
      <c r="H453" s="447" t="n"/>
      <c r="I453" s="415" t="n"/>
      <c r="K453" s="692" t="n"/>
    </row>
    <row r="454">
      <c r="A454" s="692" t="n"/>
      <c r="C454" s="692" t="n"/>
      <c r="E454" s="692" t="n"/>
      <c r="H454" s="447" t="n"/>
      <c r="I454" s="415" t="n"/>
      <c r="K454" s="692" t="n"/>
    </row>
    <row r="455">
      <c r="A455" s="692" t="n"/>
      <c r="C455" s="692" t="n"/>
      <c r="E455" s="692" t="n"/>
      <c r="H455" s="447" t="n"/>
      <c r="I455" s="415" t="n"/>
      <c r="K455" s="692" t="n"/>
    </row>
    <row r="456">
      <c r="A456" s="692" t="n"/>
      <c r="C456" s="692" t="n"/>
      <c r="E456" s="692" t="n"/>
      <c r="H456" s="447" t="n"/>
      <c r="I456" s="415" t="n"/>
      <c r="K456" s="692" t="n"/>
    </row>
    <row r="457">
      <c r="A457" s="692" t="n"/>
      <c r="C457" s="692" t="n"/>
      <c r="E457" s="692" t="n"/>
      <c r="H457" s="447" t="n"/>
      <c r="I457" s="415" t="n"/>
      <c r="K457" s="692" t="n"/>
    </row>
    <row r="458">
      <c r="A458" s="692" t="n"/>
      <c r="C458" s="692" t="n"/>
      <c r="E458" s="692" t="n"/>
      <c r="H458" s="447" t="n"/>
      <c r="I458" s="415" t="n"/>
      <c r="K458" s="692" t="n"/>
    </row>
    <row r="459">
      <c r="A459" s="692" t="n"/>
      <c r="C459" s="692" t="n"/>
      <c r="E459" s="692" t="n"/>
      <c r="H459" s="447" t="n"/>
      <c r="I459" s="415" t="n"/>
      <c r="K459" s="692" t="n"/>
    </row>
    <row r="460">
      <c r="A460" s="692" t="n"/>
      <c r="C460" s="692" t="n"/>
      <c r="E460" s="692" t="n"/>
      <c r="H460" s="447" t="n"/>
      <c r="I460" s="415" t="n"/>
      <c r="K460" s="692" t="n"/>
    </row>
    <row r="461">
      <c r="A461" s="692" t="n"/>
      <c r="C461" s="692" t="n"/>
      <c r="E461" s="692" t="n"/>
      <c r="H461" s="447" t="n"/>
      <c r="I461" s="415" t="n"/>
      <c r="K461" s="692" t="n"/>
    </row>
    <row r="462">
      <c r="A462" s="692" t="n"/>
      <c r="C462" s="692" t="n"/>
      <c r="E462" s="692" t="n"/>
      <c r="H462" s="447" t="n"/>
      <c r="I462" s="415" t="n"/>
      <c r="K462" s="692" t="n"/>
    </row>
    <row r="463">
      <c r="A463" s="692" t="n"/>
      <c r="C463" s="692" t="n"/>
      <c r="E463" s="692" t="n"/>
      <c r="H463" s="447" t="n"/>
      <c r="I463" s="415" t="n"/>
      <c r="K463" s="692" t="n"/>
    </row>
    <row r="464">
      <c r="A464" s="692" t="n"/>
      <c r="C464" s="692" t="n"/>
      <c r="E464" s="692" t="n"/>
      <c r="H464" s="447" t="n"/>
      <c r="I464" s="415" t="n"/>
      <c r="K464" s="692" t="n"/>
    </row>
    <row r="465">
      <c r="A465" s="692" t="n"/>
      <c r="C465" s="692" t="n"/>
      <c r="E465" s="692" t="n"/>
      <c r="H465" s="447" t="n"/>
      <c r="I465" s="415" t="n"/>
      <c r="K465" s="692" t="n"/>
    </row>
    <row r="466">
      <c r="A466" s="692" t="n"/>
      <c r="C466" s="692" t="n"/>
      <c r="E466" s="692" t="n"/>
      <c r="H466" s="447" t="n"/>
      <c r="I466" s="415" t="n"/>
      <c r="K466" s="692" t="n"/>
    </row>
    <row r="467">
      <c r="A467" s="692" t="n"/>
      <c r="C467" s="692" t="n"/>
      <c r="E467" s="692" t="n"/>
      <c r="H467" s="447" t="n"/>
      <c r="I467" s="415" t="n"/>
      <c r="K467" s="692" t="n"/>
    </row>
    <row r="468">
      <c r="A468" s="692" t="n"/>
      <c r="C468" s="692" t="n"/>
      <c r="E468" s="692" t="n"/>
      <c r="H468" s="447" t="n"/>
      <c r="I468" s="415" t="n"/>
      <c r="K468" s="692" t="n"/>
    </row>
    <row r="469">
      <c r="A469" s="692" t="n"/>
      <c r="C469" s="692" t="n"/>
      <c r="E469" s="692" t="n"/>
      <c r="H469" s="447" t="n"/>
      <c r="I469" s="415" t="n"/>
      <c r="K469" s="692" t="n"/>
    </row>
    <row r="470">
      <c r="A470" s="692" t="n"/>
      <c r="C470" s="692" t="n"/>
      <c r="E470" s="692" t="n"/>
      <c r="H470" s="447" t="n"/>
      <c r="I470" s="415" t="n"/>
      <c r="K470" s="692" t="n"/>
    </row>
    <row r="471">
      <c r="A471" s="692" t="n"/>
      <c r="C471" s="692" t="n"/>
      <c r="E471" s="692" t="n"/>
      <c r="H471" s="447" t="n"/>
      <c r="I471" s="415" t="n"/>
      <c r="K471" s="692" t="n"/>
    </row>
    <row r="472">
      <c r="A472" s="692" t="n"/>
      <c r="C472" s="692" t="n"/>
      <c r="E472" s="692" t="n"/>
      <c r="H472" s="447" t="n"/>
      <c r="I472" s="415" t="n"/>
      <c r="K472" s="692" t="n"/>
    </row>
    <row r="473">
      <c r="A473" s="692" t="n"/>
      <c r="C473" s="692" t="n"/>
      <c r="E473" s="692" t="n"/>
      <c r="H473" s="447" t="n"/>
      <c r="I473" s="415" t="n"/>
      <c r="K473" s="692" t="n"/>
    </row>
    <row r="474">
      <c r="A474" s="692" t="n"/>
      <c r="C474" s="692" t="n"/>
      <c r="E474" s="692" t="n"/>
      <c r="H474" s="447" t="n"/>
      <c r="I474" s="415" t="n"/>
      <c r="K474" s="692" t="n"/>
    </row>
    <row r="475">
      <c r="A475" s="692" t="n"/>
      <c r="C475" s="692" t="n"/>
      <c r="E475" s="692" t="n"/>
      <c r="H475" s="447" t="n"/>
      <c r="I475" s="415" t="n"/>
      <c r="K475" s="692" t="n"/>
    </row>
    <row r="476">
      <c r="A476" s="692" t="n"/>
      <c r="C476" s="692" t="n"/>
      <c r="E476" s="692" t="n"/>
      <c r="H476" s="447" t="n"/>
      <c r="I476" s="415" t="n"/>
      <c r="K476" s="692" t="n"/>
    </row>
    <row r="477">
      <c r="A477" s="692" t="n"/>
      <c r="C477" s="692" t="n"/>
      <c r="E477" s="692" t="n"/>
      <c r="H477" s="447" t="n"/>
      <c r="I477" s="415" t="n"/>
      <c r="K477" s="692" t="n"/>
    </row>
    <row r="478">
      <c r="A478" s="692" t="n"/>
      <c r="C478" s="692" t="n"/>
      <c r="E478" s="692" t="n"/>
      <c r="H478" s="447" t="n"/>
      <c r="I478" s="415" t="n"/>
      <c r="K478" s="692" t="n"/>
    </row>
    <row r="479">
      <c r="A479" s="692" t="n"/>
      <c r="C479" s="692" t="n"/>
      <c r="E479" s="692" t="n"/>
      <c r="H479" s="447" t="n"/>
      <c r="I479" s="415" t="n"/>
      <c r="K479" s="692" t="n"/>
    </row>
    <row r="480">
      <c r="A480" s="692" t="n"/>
      <c r="C480" s="692" t="n"/>
      <c r="E480" s="692" t="n"/>
      <c r="H480" s="447" t="n"/>
      <c r="I480" s="415" t="n"/>
      <c r="K480" s="692" t="n"/>
    </row>
    <row r="481">
      <c r="A481" s="692" t="n"/>
      <c r="C481" s="692" t="n"/>
      <c r="E481" s="692" t="n"/>
      <c r="H481" s="447" t="n"/>
      <c r="I481" s="415" t="n"/>
      <c r="K481" s="692" t="n"/>
    </row>
    <row r="482">
      <c r="A482" s="692" t="n"/>
      <c r="C482" s="692" t="n"/>
      <c r="E482" s="692" t="n"/>
      <c r="H482" s="447" t="n"/>
      <c r="I482" s="415" t="n"/>
      <c r="K482" s="692" t="n"/>
    </row>
    <row r="483">
      <c r="A483" s="692" t="n"/>
      <c r="C483" s="692" t="n"/>
      <c r="E483" s="692" t="n"/>
      <c r="H483" s="447" t="n"/>
      <c r="I483" s="415" t="n"/>
      <c r="K483" s="692" t="n"/>
    </row>
    <row r="484">
      <c r="A484" s="692" t="n"/>
      <c r="C484" s="692" t="n"/>
      <c r="E484" s="692" t="n"/>
      <c r="H484" s="447" t="n"/>
      <c r="I484" s="415" t="n"/>
      <c r="K484" s="692" t="n"/>
    </row>
    <row r="485">
      <c r="A485" s="692" t="n"/>
      <c r="C485" s="692" t="n"/>
      <c r="E485" s="692" t="n"/>
      <c r="H485" s="447" t="n"/>
      <c r="I485" s="415" t="n"/>
      <c r="K485" s="692" t="n"/>
    </row>
    <row r="486">
      <c r="A486" s="692" t="n"/>
      <c r="C486" s="692" t="n"/>
      <c r="E486" s="692" t="n"/>
      <c r="H486" s="447" t="n"/>
      <c r="I486" s="415" t="n"/>
      <c r="K486" s="692" t="n"/>
    </row>
    <row r="487">
      <c r="A487" s="692" t="n"/>
      <c r="C487" s="692" t="n"/>
      <c r="E487" s="692" t="n"/>
      <c r="H487" s="447" t="n"/>
      <c r="I487" s="415" t="n"/>
      <c r="K487" s="692" t="n"/>
    </row>
    <row r="488">
      <c r="A488" s="692" t="n"/>
      <c r="C488" s="692" t="n"/>
      <c r="E488" s="692" t="n"/>
      <c r="H488" s="447" t="n"/>
      <c r="I488" s="415" t="n"/>
      <c r="K488" s="692" t="n"/>
    </row>
    <row r="489">
      <c r="A489" s="692" t="n"/>
      <c r="C489" s="692" t="n"/>
      <c r="E489" s="692" t="n"/>
      <c r="H489" s="447" t="n"/>
      <c r="I489" s="415" t="n"/>
      <c r="K489" s="692" t="n"/>
    </row>
    <row r="490">
      <c r="A490" s="692" t="n"/>
      <c r="C490" s="692" t="n"/>
      <c r="E490" s="692" t="n"/>
      <c r="H490" s="447" t="n"/>
      <c r="I490" s="415" t="n"/>
      <c r="K490" s="692" t="n"/>
    </row>
    <row r="491">
      <c r="A491" s="692" t="n"/>
      <c r="C491" s="692" t="n"/>
      <c r="E491" s="692" t="n"/>
      <c r="H491" s="447" t="n"/>
      <c r="I491" s="415" t="n"/>
      <c r="K491" s="692" t="n"/>
    </row>
    <row r="492">
      <c r="A492" s="692" t="n"/>
      <c r="C492" s="692" t="n"/>
      <c r="E492" s="692" t="n"/>
      <c r="H492" s="447" t="n"/>
      <c r="I492" s="415" t="n"/>
      <c r="K492" s="692" t="n"/>
    </row>
    <row r="493">
      <c r="A493" s="692" t="n"/>
      <c r="C493" s="692" t="n"/>
      <c r="E493" s="692" t="n"/>
      <c r="H493" s="447" t="n"/>
      <c r="I493" s="415" t="n"/>
      <c r="K493" s="692" t="n"/>
    </row>
    <row r="494">
      <c r="A494" s="692" t="n"/>
      <c r="C494" s="692" t="n"/>
      <c r="E494" s="692" t="n"/>
      <c r="H494" s="447" t="n"/>
      <c r="I494" s="415" t="n"/>
      <c r="K494" s="692" t="n"/>
    </row>
    <row r="495">
      <c r="A495" s="692" t="n"/>
      <c r="C495" s="692" t="n"/>
      <c r="E495" s="692" t="n"/>
      <c r="H495" s="447" t="n"/>
      <c r="I495" s="415" t="n"/>
      <c r="K495" s="692" t="n"/>
    </row>
    <row r="496">
      <c r="A496" s="692" t="n"/>
      <c r="C496" s="692" t="n"/>
      <c r="E496" s="692" t="n"/>
      <c r="H496" s="447" t="n"/>
      <c r="I496" s="415" t="n"/>
      <c r="K496" s="692" t="n"/>
    </row>
    <row r="497">
      <c r="A497" s="692" t="n"/>
      <c r="C497" s="692" t="n"/>
      <c r="E497" s="692" t="n"/>
      <c r="H497" s="447" t="n"/>
      <c r="I497" s="415" t="n"/>
      <c r="K497" s="692" t="n"/>
    </row>
    <row r="498">
      <c r="A498" s="692" t="n"/>
      <c r="C498" s="692" t="n"/>
      <c r="E498" s="692" t="n"/>
      <c r="H498" s="447" t="n"/>
      <c r="I498" s="415" t="n"/>
      <c r="K498" s="692" t="n"/>
    </row>
    <row r="499">
      <c r="A499" s="692" t="n"/>
      <c r="C499" s="692" t="n"/>
      <c r="E499" s="692" t="n"/>
      <c r="H499" s="447" t="n"/>
      <c r="I499" s="415" t="n"/>
      <c r="K499" s="692" t="n"/>
    </row>
    <row r="500">
      <c r="A500" s="692" t="n"/>
      <c r="C500" s="692" t="n"/>
      <c r="E500" s="692" t="n"/>
      <c r="H500" s="447" t="n"/>
      <c r="I500" s="415" t="n"/>
      <c r="K500" s="692" t="n"/>
    </row>
    <row r="501">
      <c r="A501" s="692" t="n"/>
      <c r="C501" s="692" t="n"/>
      <c r="E501" s="692" t="n"/>
      <c r="H501" s="447" t="n"/>
      <c r="I501" s="415" t="n"/>
      <c r="K501" s="692" t="n"/>
    </row>
    <row r="502">
      <c r="A502" s="692" t="n"/>
      <c r="C502" s="692" t="n"/>
      <c r="E502" s="692" t="n"/>
      <c r="H502" s="447" t="n"/>
      <c r="I502" s="415" t="n"/>
      <c r="K502" s="692" t="n"/>
    </row>
    <row r="503">
      <c r="A503" s="692" t="n"/>
      <c r="C503" s="692" t="n"/>
      <c r="E503" s="692" t="n"/>
      <c r="H503" s="447" t="n"/>
      <c r="I503" s="415" t="n"/>
      <c r="K503" s="692" t="n"/>
    </row>
    <row r="504">
      <c r="A504" s="692" t="n"/>
      <c r="C504" s="692" t="n"/>
      <c r="E504" s="692" t="n"/>
      <c r="H504" s="447" t="n"/>
      <c r="I504" s="415" t="n"/>
      <c r="K504" s="692" t="n"/>
    </row>
    <row r="505">
      <c r="A505" s="692" t="n"/>
      <c r="C505" s="692" t="n"/>
      <c r="E505" s="692" t="n"/>
      <c r="H505" s="447" t="n"/>
      <c r="I505" s="415" t="n"/>
      <c r="K505" s="692" t="n"/>
    </row>
    <row r="506">
      <c r="A506" s="692" t="n"/>
      <c r="C506" s="692" t="n"/>
      <c r="E506" s="692" t="n"/>
      <c r="H506" s="447" t="n"/>
      <c r="I506" s="415" t="n"/>
      <c r="K506" s="692" t="n"/>
    </row>
    <row r="507">
      <c r="A507" s="692" t="n"/>
      <c r="C507" s="692" t="n"/>
      <c r="E507" s="692" t="n"/>
      <c r="H507" s="447" t="n"/>
      <c r="I507" s="415" t="n"/>
      <c r="K507" s="692" t="n"/>
    </row>
    <row r="508">
      <c r="A508" s="692" t="n"/>
      <c r="C508" s="692" t="n"/>
      <c r="E508" s="692" t="n"/>
      <c r="H508" s="447" t="n"/>
      <c r="I508" s="415" t="n"/>
      <c r="K508" s="692" t="n"/>
    </row>
    <row r="509">
      <c r="A509" s="692" t="n"/>
      <c r="C509" s="692" t="n"/>
      <c r="E509" s="692" t="n"/>
      <c r="H509" s="447" t="n"/>
      <c r="I509" s="415" t="n"/>
      <c r="K509" s="692" t="n"/>
    </row>
    <row r="510">
      <c r="A510" s="692" t="n"/>
      <c r="C510" s="692" t="n"/>
      <c r="E510" s="692" t="n"/>
      <c r="H510" s="447" t="n"/>
      <c r="I510" s="415" t="n"/>
      <c r="K510" s="692" t="n"/>
    </row>
    <row r="511">
      <c r="A511" s="692" t="n"/>
      <c r="C511" s="692" t="n"/>
      <c r="E511" s="692" t="n"/>
      <c r="H511" s="447" t="n"/>
      <c r="I511" s="415" t="n"/>
      <c r="K511" s="692" t="n"/>
    </row>
    <row r="512">
      <c r="A512" s="692" t="n"/>
      <c r="C512" s="692" t="n"/>
      <c r="E512" s="692" t="n"/>
      <c r="H512" s="447" t="n"/>
      <c r="I512" s="415" t="n"/>
      <c r="K512" s="692" t="n"/>
    </row>
    <row r="513">
      <c r="A513" s="692" t="n"/>
      <c r="C513" s="692" t="n"/>
      <c r="E513" s="692" t="n"/>
      <c r="H513" s="447" t="n"/>
      <c r="I513" s="415" t="n"/>
      <c r="K513" s="692" t="n"/>
    </row>
    <row r="514">
      <c r="A514" s="692" t="n"/>
      <c r="C514" s="692" t="n"/>
      <c r="E514" s="692" t="n"/>
      <c r="H514" s="447" t="n"/>
      <c r="I514" s="415" t="n"/>
      <c r="K514" s="692" t="n"/>
    </row>
    <row r="515">
      <c r="A515" s="692" t="n"/>
      <c r="C515" s="692" t="n"/>
      <c r="E515" s="692" t="n"/>
      <c r="H515" s="447" t="n"/>
      <c r="I515" s="415" t="n"/>
      <c r="K515" s="692" t="n"/>
    </row>
    <row r="516">
      <c r="A516" s="692" t="n"/>
      <c r="C516" s="692" t="n"/>
      <c r="E516" s="692" t="n"/>
      <c r="H516" s="447" t="n"/>
      <c r="I516" s="415" t="n"/>
      <c r="K516" s="692" t="n"/>
    </row>
    <row r="517">
      <c r="A517" s="692" t="n"/>
      <c r="C517" s="692" t="n"/>
      <c r="E517" s="692" t="n"/>
      <c r="H517" s="447" t="n"/>
      <c r="I517" s="415" t="n"/>
      <c r="K517" s="692" t="n"/>
    </row>
    <row r="518">
      <c r="A518" s="692" t="n"/>
      <c r="C518" s="692" t="n"/>
      <c r="E518" s="692" t="n"/>
      <c r="H518" s="447" t="n"/>
      <c r="I518" s="415" t="n"/>
      <c r="K518" s="692" t="n"/>
    </row>
    <row r="519">
      <c r="A519" s="692" t="n"/>
      <c r="C519" s="692" t="n"/>
      <c r="E519" s="692" t="n"/>
      <c r="H519" s="447" t="n"/>
      <c r="I519" s="415" t="n"/>
      <c r="K519" s="692" t="n"/>
    </row>
    <row r="520">
      <c r="A520" s="692" t="n"/>
      <c r="C520" s="692" t="n"/>
      <c r="E520" s="692" t="n"/>
      <c r="H520" s="447" t="n"/>
      <c r="I520" s="415" t="n"/>
      <c r="K520" s="692" t="n"/>
    </row>
    <row r="521">
      <c r="A521" s="692" t="n"/>
      <c r="C521" s="692" t="n"/>
      <c r="E521" s="692" t="n"/>
      <c r="H521" s="447" t="n"/>
      <c r="I521" s="415" t="n"/>
      <c r="K521" s="692" t="n"/>
    </row>
    <row r="522">
      <c r="A522" s="692" t="n"/>
      <c r="C522" s="692" t="n"/>
      <c r="E522" s="692" t="n"/>
      <c r="H522" s="447" t="n"/>
      <c r="I522" s="415" t="n"/>
      <c r="K522" s="692" t="n"/>
    </row>
    <row r="523">
      <c r="A523" s="692" t="n"/>
      <c r="C523" s="692" t="n"/>
      <c r="E523" s="692" t="n"/>
      <c r="H523" s="447" t="n"/>
      <c r="I523" s="415" t="n"/>
      <c r="K523" s="692" t="n"/>
    </row>
    <row r="524">
      <c r="A524" s="692" t="n"/>
      <c r="C524" s="692" t="n"/>
      <c r="E524" s="692" t="n"/>
      <c r="H524" s="447" t="n"/>
      <c r="I524" s="415" t="n"/>
      <c r="K524" s="692" t="n"/>
    </row>
    <row r="525">
      <c r="A525" s="692" t="n"/>
      <c r="C525" s="692" t="n"/>
      <c r="E525" s="692" t="n"/>
      <c r="H525" s="447" t="n"/>
      <c r="I525" s="415" t="n"/>
      <c r="K525" s="692" t="n"/>
    </row>
    <row r="526">
      <c r="A526" s="692" t="n"/>
      <c r="C526" s="692" t="n"/>
      <c r="E526" s="692" t="n"/>
      <c r="H526" s="447" t="n"/>
      <c r="I526" s="415" t="n"/>
      <c r="K526" s="692" t="n"/>
    </row>
    <row r="527">
      <c r="A527" s="692" t="n"/>
      <c r="C527" s="692" t="n"/>
      <c r="E527" s="692" t="n"/>
      <c r="H527" s="447" t="n"/>
      <c r="I527" s="415" t="n"/>
      <c r="K527" s="692" t="n"/>
    </row>
    <row r="528">
      <c r="A528" s="692" t="n"/>
      <c r="C528" s="692" t="n"/>
      <c r="E528" s="692" t="n"/>
      <c r="H528" s="447" t="n"/>
      <c r="I528" s="415" t="n"/>
      <c r="K528" s="692" t="n"/>
    </row>
    <row r="529">
      <c r="A529" s="692" t="n"/>
      <c r="C529" s="692" t="n"/>
      <c r="E529" s="692" t="n"/>
      <c r="H529" s="447" t="n"/>
      <c r="I529" s="415" t="n"/>
      <c r="K529" s="692" t="n"/>
    </row>
    <row r="530">
      <c r="A530" s="692" t="n"/>
      <c r="C530" s="692" t="n"/>
      <c r="E530" s="692" t="n"/>
      <c r="H530" s="447" t="n"/>
      <c r="I530" s="415" t="n"/>
      <c r="K530" s="692" t="n"/>
    </row>
    <row r="531">
      <c r="A531" s="692" t="n"/>
      <c r="C531" s="692" t="n"/>
      <c r="E531" s="692" t="n"/>
      <c r="H531" s="447" t="n"/>
      <c r="I531" s="415" t="n"/>
      <c r="K531" s="692" t="n"/>
    </row>
    <row r="532">
      <c r="A532" s="692" t="n"/>
      <c r="C532" s="692" t="n"/>
      <c r="E532" s="692" t="n"/>
      <c r="H532" s="447" t="n"/>
      <c r="I532" s="415" t="n"/>
      <c r="K532" s="692" t="n"/>
    </row>
    <row r="533">
      <c r="A533" s="692" t="n"/>
      <c r="C533" s="692" t="n"/>
      <c r="E533" s="692" t="n"/>
      <c r="H533" s="447" t="n"/>
      <c r="I533" s="415" t="n"/>
      <c r="K533" s="692" t="n"/>
    </row>
    <row r="534">
      <c r="A534" s="692" t="n"/>
      <c r="C534" s="692" t="n"/>
      <c r="E534" s="692" t="n"/>
      <c r="H534" s="447" t="n"/>
      <c r="I534" s="415" t="n"/>
      <c r="K534" s="692" t="n"/>
    </row>
    <row r="535">
      <c r="A535" s="692" t="n"/>
      <c r="C535" s="692" t="n"/>
      <c r="E535" s="692" t="n"/>
      <c r="H535" s="447" t="n"/>
      <c r="I535" s="415" t="n"/>
      <c r="K535" s="692" t="n"/>
    </row>
    <row r="536">
      <c r="A536" s="692" t="n"/>
      <c r="C536" s="692" t="n"/>
      <c r="E536" s="692" t="n"/>
      <c r="H536" s="447" t="n"/>
      <c r="I536" s="415" t="n"/>
      <c r="K536" s="692" t="n"/>
    </row>
    <row r="537">
      <c r="A537" s="692" t="n"/>
      <c r="C537" s="692" t="n"/>
      <c r="E537" s="692" t="n"/>
      <c r="H537" s="447" t="n"/>
      <c r="I537" s="415" t="n"/>
      <c r="K537" s="692" t="n"/>
    </row>
    <row r="538">
      <c r="A538" s="692" t="n"/>
      <c r="C538" s="692" t="n"/>
      <c r="E538" s="692" t="n"/>
      <c r="H538" s="447" t="n"/>
      <c r="I538" s="415" t="n"/>
      <c r="K538" s="692" t="n"/>
    </row>
    <row r="539">
      <c r="A539" s="692" t="n"/>
      <c r="C539" s="692" t="n"/>
      <c r="E539" s="692" t="n"/>
      <c r="H539" s="447" t="n"/>
      <c r="I539" s="415" t="n"/>
      <c r="K539" s="692" t="n"/>
    </row>
    <row r="540">
      <c r="A540" s="692" t="n"/>
      <c r="C540" s="692" t="n"/>
      <c r="E540" s="692" t="n"/>
      <c r="H540" s="447" t="n"/>
      <c r="I540" s="415" t="n"/>
      <c r="K540" s="692" t="n"/>
    </row>
    <row r="541">
      <c r="A541" s="692" t="n"/>
      <c r="C541" s="692" t="n"/>
      <c r="E541" s="692" t="n"/>
      <c r="H541" s="447" t="n"/>
      <c r="I541" s="415" t="n"/>
      <c r="K541" s="692" t="n"/>
    </row>
    <row r="542">
      <c r="A542" s="692" t="n"/>
      <c r="C542" s="692" t="n"/>
      <c r="E542" s="692" t="n"/>
      <c r="H542" s="447" t="n"/>
      <c r="I542" s="415" t="n"/>
      <c r="K542" s="692" t="n"/>
    </row>
    <row r="543">
      <c r="A543" s="692" t="n"/>
      <c r="C543" s="692" t="n"/>
      <c r="E543" s="692" t="n"/>
      <c r="H543" s="447" t="n"/>
      <c r="I543" s="415" t="n"/>
      <c r="K543" s="692" t="n"/>
    </row>
    <row r="544">
      <c r="A544" s="692" t="n"/>
      <c r="C544" s="692" t="n"/>
      <c r="E544" s="692" t="n"/>
      <c r="H544" s="447" t="n"/>
      <c r="I544" s="415" t="n"/>
      <c r="K544" s="692" t="n"/>
    </row>
    <row r="545">
      <c r="A545" s="692" t="n"/>
      <c r="C545" s="692" t="n"/>
      <c r="E545" s="692" t="n"/>
      <c r="H545" s="447" t="n"/>
      <c r="I545" s="415" t="n"/>
      <c r="K545" s="692" t="n"/>
    </row>
    <row r="546">
      <c r="A546" s="692" t="n"/>
      <c r="C546" s="692" t="n"/>
      <c r="E546" s="692" t="n"/>
      <c r="H546" s="447" t="n"/>
      <c r="I546" s="415" t="n"/>
      <c r="K546" s="692" t="n"/>
    </row>
    <row r="547">
      <c r="A547" s="692" t="n"/>
      <c r="C547" s="692" t="n"/>
      <c r="E547" s="692" t="n"/>
      <c r="H547" s="447" t="n"/>
      <c r="I547" s="415" t="n"/>
      <c r="K547" s="692" t="n"/>
    </row>
    <row r="548">
      <c r="A548" s="692" t="n"/>
      <c r="C548" s="692" t="n"/>
      <c r="E548" s="692" t="n"/>
      <c r="H548" s="447" t="n"/>
      <c r="I548" s="415" t="n"/>
      <c r="K548" s="692" t="n"/>
    </row>
    <row r="549">
      <c r="A549" s="692" t="n"/>
      <c r="C549" s="692" t="n"/>
      <c r="E549" s="692" t="n"/>
      <c r="H549" s="447" t="n"/>
      <c r="I549" s="415" t="n"/>
      <c r="K549" s="692" t="n"/>
    </row>
    <row r="550">
      <c r="A550" s="692" t="n"/>
      <c r="C550" s="692" t="n"/>
      <c r="E550" s="692" t="n"/>
      <c r="H550" s="447" t="n"/>
      <c r="I550" s="415" t="n"/>
      <c r="K550" s="692" t="n"/>
    </row>
    <row r="551">
      <c r="A551" s="692" t="n"/>
      <c r="C551" s="692" t="n"/>
      <c r="E551" s="692" t="n"/>
      <c r="H551" s="447" t="n"/>
      <c r="I551" s="415" t="n"/>
      <c r="K551" s="692" t="n"/>
    </row>
    <row r="552">
      <c r="A552" s="692" t="n"/>
      <c r="C552" s="692" t="n"/>
      <c r="E552" s="692" t="n"/>
      <c r="H552" s="447" t="n"/>
      <c r="I552" s="415" t="n"/>
      <c r="K552" s="692" t="n"/>
    </row>
    <row r="553">
      <c r="A553" s="692" t="n"/>
      <c r="C553" s="692" t="n"/>
      <c r="E553" s="692" t="n"/>
      <c r="H553" s="447" t="n"/>
      <c r="I553" s="415" t="n"/>
      <c r="K553" s="692" t="n"/>
    </row>
    <row r="554">
      <c r="A554" s="692" t="n"/>
      <c r="C554" s="692" t="n"/>
      <c r="E554" s="692" t="n"/>
      <c r="H554" s="447" t="n"/>
      <c r="I554" s="415" t="n"/>
      <c r="K554" s="692" t="n"/>
    </row>
    <row r="555">
      <c r="A555" s="692" t="n"/>
      <c r="C555" s="692" t="n"/>
      <c r="E555" s="692" t="n"/>
      <c r="H555" s="447" t="n"/>
      <c r="I555" s="415" t="n"/>
      <c r="K555" s="692" t="n"/>
    </row>
    <row r="556">
      <c r="A556" s="692" t="n"/>
      <c r="C556" s="692" t="n"/>
      <c r="E556" s="692" t="n"/>
      <c r="H556" s="447" t="n"/>
      <c r="I556" s="415" t="n"/>
      <c r="K556" s="692" t="n"/>
    </row>
    <row r="557">
      <c r="A557" s="692" t="n"/>
      <c r="C557" s="692" t="n"/>
      <c r="E557" s="692" t="n"/>
      <c r="H557" s="447" t="n"/>
      <c r="I557" s="415" t="n"/>
      <c r="K557" s="692" t="n"/>
    </row>
    <row r="558">
      <c r="A558" s="692" t="n"/>
      <c r="C558" s="692" t="n"/>
      <c r="E558" s="692" t="n"/>
      <c r="H558" s="447" t="n"/>
      <c r="I558" s="415" t="n"/>
      <c r="K558" s="692" t="n"/>
    </row>
    <row r="559">
      <c r="A559" s="692" t="n"/>
      <c r="C559" s="692" t="n"/>
      <c r="E559" s="692" t="n"/>
      <c r="H559" s="447" t="n"/>
      <c r="I559" s="415" t="n"/>
      <c r="K559" s="692" t="n"/>
    </row>
    <row r="560">
      <c r="A560" s="692" t="n"/>
      <c r="C560" s="692" t="n"/>
      <c r="E560" s="692" t="n"/>
      <c r="H560" s="447" t="n"/>
      <c r="I560" s="415" t="n"/>
      <c r="K560" s="692" t="n"/>
    </row>
    <row r="561">
      <c r="A561" s="692" t="n"/>
      <c r="C561" s="692" t="n"/>
      <c r="E561" s="692" t="n"/>
      <c r="H561" s="447" t="n"/>
      <c r="I561" s="415" t="n"/>
      <c r="K561" s="692" t="n"/>
    </row>
    <row r="562">
      <c r="A562" s="692" t="n"/>
      <c r="C562" s="692" t="n"/>
      <c r="E562" s="692" t="n"/>
      <c r="H562" s="447" t="n"/>
      <c r="I562" s="415" t="n"/>
      <c r="K562" s="692" t="n"/>
    </row>
    <row r="563">
      <c r="A563" s="692" t="n"/>
      <c r="C563" s="692" t="n"/>
      <c r="E563" s="692" t="n"/>
      <c r="H563" s="447" t="n"/>
      <c r="I563" s="415" t="n"/>
      <c r="K563" s="692" t="n"/>
    </row>
    <row r="564">
      <c r="A564" s="692" t="n"/>
      <c r="C564" s="692" t="n"/>
      <c r="E564" s="692" t="n"/>
      <c r="H564" s="447" t="n"/>
      <c r="I564" s="415" t="n"/>
      <c r="K564" s="692" t="n"/>
    </row>
    <row r="565">
      <c r="A565" s="692" t="n"/>
      <c r="C565" s="692" t="n"/>
      <c r="E565" s="692" t="n"/>
      <c r="H565" s="447" t="n"/>
      <c r="I565" s="415" t="n"/>
      <c r="K565" s="692" t="n"/>
    </row>
    <row r="566">
      <c r="A566" s="692" t="n"/>
      <c r="C566" s="692" t="n"/>
      <c r="E566" s="692" t="n"/>
      <c r="H566" s="447" t="n"/>
      <c r="I566" s="415" t="n"/>
      <c r="K566" s="692" t="n"/>
    </row>
    <row r="567">
      <c r="A567" s="692" t="n"/>
      <c r="C567" s="692" t="n"/>
      <c r="E567" s="692" t="n"/>
      <c r="H567" s="447" t="n"/>
      <c r="I567" s="415" t="n"/>
      <c r="K567" s="692" t="n"/>
    </row>
    <row r="568">
      <c r="A568" s="692" t="n"/>
      <c r="C568" s="692" t="n"/>
      <c r="E568" s="692" t="n"/>
      <c r="H568" s="447" t="n"/>
      <c r="I568" s="415" t="n"/>
      <c r="K568" s="692" t="n"/>
    </row>
    <row r="569">
      <c r="A569" s="692" t="n"/>
      <c r="C569" s="692" t="n"/>
      <c r="E569" s="692" t="n"/>
      <c r="H569" s="447" t="n"/>
      <c r="I569" s="415" t="n"/>
      <c r="K569" s="692" t="n"/>
    </row>
    <row r="570">
      <c r="A570" s="692" t="n"/>
      <c r="C570" s="692" t="n"/>
      <c r="E570" s="692" t="n"/>
      <c r="H570" s="447" t="n"/>
      <c r="I570" s="415" t="n"/>
      <c r="K570" s="692" t="n"/>
    </row>
    <row r="571">
      <c r="A571" s="692" t="n"/>
      <c r="C571" s="692" t="n"/>
      <c r="E571" s="692" t="n"/>
      <c r="H571" s="447" t="n"/>
      <c r="I571" s="415" t="n"/>
      <c r="K571" s="692" t="n"/>
    </row>
    <row r="572">
      <c r="A572" s="692" t="n"/>
      <c r="C572" s="692" t="n"/>
      <c r="E572" s="692" t="n"/>
      <c r="H572" s="447" t="n"/>
      <c r="I572" s="415" t="n"/>
      <c r="K572" s="692" t="n"/>
    </row>
    <row r="573">
      <c r="A573" s="692" t="n"/>
      <c r="C573" s="692" t="n"/>
      <c r="E573" s="692" t="n"/>
      <c r="H573" s="447" t="n"/>
      <c r="I573" s="415" t="n"/>
      <c r="K573" s="692" t="n"/>
    </row>
    <row r="574">
      <c r="A574" s="692" t="n"/>
      <c r="C574" s="692" t="n"/>
      <c r="E574" s="692" t="n"/>
      <c r="H574" s="447" t="n"/>
      <c r="I574" s="415" t="n"/>
      <c r="K574" s="692" t="n"/>
    </row>
    <row r="575">
      <c r="A575" s="692" t="n"/>
      <c r="C575" s="692" t="n"/>
      <c r="E575" s="692" t="n"/>
      <c r="H575" s="447" t="n"/>
      <c r="I575" s="415" t="n"/>
      <c r="K575" s="692" t="n"/>
    </row>
    <row r="576">
      <c r="A576" s="692" t="n"/>
      <c r="C576" s="692" t="n"/>
      <c r="E576" s="692" t="n"/>
      <c r="H576" s="447" t="n"/>
      <c r="I576" s="415" t="n"/>
      <c r="K576" s="692" t="n"/>
    </row>
    <row r="577">
      <c r="A577" s="692" t="n"/>
      <c r="C577" s="692" t="n"/>
      <c r="E577" s="692" t="n"/>
      <c r="H577" s="447" t="n"/>
      <c r="I577" s="415" t="n"/>
      <c r="K577" s="692" t="n"/>
    </row>
    <row r="578">
      <c r="A578" s="692" t="n"/>
      <c r="C578" s="692" t="n"/>
      <c r="E578" s="692" t="n"/>
      <c r="H578" s="447" t="n"/>
      <c r="I578" s="415" t="n"/>
      <c r="K578" s="692" t="n"/>
    </row>
    <row r="579">
      <c r="A579" s="692" t="n"/>
      <c r="C579" s="692" t="n"/>
      <c r="E579" s="692" t="n"/>
      <c r="H579" s="447" t="n"/>
      <c r="I579" s="415" t="n"/>
      <c r="K579" s="692" t="n"/>
    </row>
    <row r="580">
      <c r="A580" s="692" t="n"/>
      <c r="C580" s="692" t="n"/>
      <c r="E580" s="692" t="n"/>
      <c r="H580" s="447" t="n"/>
      <c r="I580" s="415" t="n"/>
      <c r="K580" s="692" t="n"/>
    </row>
    <row r="581">
      <c r="A581" s="692" t="n"/>
      <c r="C581" s="692" t="n"/>
      <c r="E581" s="692" t="n"/>
      <c r="H581" s="447" t="n"/>
      <c r="I581" s="415" t="n"/>
      <c r="K581" s="692" t="n"/>
    </row>
    <row r="582">
      <c r="A582" s="692" t="n"/>
      <c r="C582" s="692" t="n"/>
      <c r="E582" s="692" t="n"/>
      <c r="H582" s="447" t="n"/>
      <c r="I582" s="415" t="n"/>
      <c r="K582" s="692" t="n"/>
    </row>
    <row r="583">
      <c r="A583" s="692" t="n"/>
      <c r="C583" s="692" t="n"/>
      <c r="E583" s="692" t="n"/>
      <c r="H583" s="447" t="n"/>
      <c r="I583" s="415" t="n"/>
      <c r="K583" s="692" t="n"/>
    </row>
    <row r="584">
      <c r="A584" s="692" t="n"/>
      <c r="C584" s="692" t="n"/>
      <c r="E584" s="692" t="n"/>
      <c r="H584" s="447" t="n"/>
      <c r="I584" s="415" t="n"/>
      <c r="K584" s="692" t="n"/>
    </row>
    <row r="585">
      <c r="A585" s="692" t="n"/>
      <c r="C585" s="692" t="n"/>
      <c r="E585" s="692" t="n"/>
      <c r="H585" s="447" t="n"/>
      <c r="I585" s="415" t="n"/>
      <c r="K585" s="692" t="n"/>
    </row>
    <row r="586">
      <c r="A586" s="692" t="n"/>
      <c r="C586" s="692" t="n"/>
      <c r="E586" s="692" t="n"/>
      <c r="H586" s="447" t="n"/>
      <c r="I586" s="415" t="n"/>
      <c r="K586" s="692" t="n"/>
    </row>
    <row r="587">
      <c r="A587" s="692" t="n"/>
      <c r="C587" s="692" t="n"/>
      <c r="E587" s="692" t="n"/>
      <c r="H587" s="447" t="n"/>
      <c r="I587" s="415" t="n"/>
      <c r="K587" s="692" t="n"/>
    </row>
    <row r="588">
      <c r="A588" s="692" t="n"/>
      <c r="C588" s="692" t="n"/>
      <c r="E588" s="692" t="n"/>
      <c r="H588" s="447" t="n"/>
      <c r="I588" s="415" t="n"/>
      <c r="K588" s="692" t="n"/>
    </row>
    <row r="589">
      <c r="A589" s="692" t="n"/>
      <c r="C589" s="692" t="n"/>
      <c r="E589" s="692" t="n"/>
      <c r="H589" s="447" t="n"/>
      <c r="I589" s="415" t="n"/>
      <c r="K589" s="692" t="n"/>
    </row>
    <row r="590">
      <c r="A590" s="692" t="n"/>
      <c r="C590" s="692" t="n"/>
      <c r="E590" s="692" t="n"/>
      <c r="H590" s="447" t="n"/>
      <c r="I590" s="415" t="n"/>
      <c r="K590" s="692" t="n"/>
    </row>
    <row r="591">
      <c r="A591" s="692" t="n"/>
      <c r="C591" s="692" t="n"/>
      <c r="E591" s="692" t="n"/>
      <c r="H591" s="447" t="n"/>
      <c r="I591" s="415" t="n"/>
      <c r="K591" s="692" t="n"/>
    </row>
    <row r="592">
      <c r="A592" s="692" t="n"/>
      <c r="C592" s="692" t="n"/>
      <c r="E592" s="692" t="n"/>
      <c r="H592" s="447" t="n"/>
      <c r="I592" s="415" t="n"/>
      <c r="K592" s="692" t="n"/>
    </row>
    <row r="593">
      <c r="A593" s="692" t="n"/>
      <c r="C593" s="692" t="n"/>
      <c r="E593" s="692" t="n"/>
      <c r="H593" s="447" t="n"/>
      <c r="I593" s="415" t="n"/>
      <c r="K593" s="692" t="n"/>
    </row>
    <row r="594">
      <c r="A594" s="692" t="n"/>
      <c r="C594" s="692" t="n"/>
      <c r="E594" s="692" t="n"/>
      <c r="H594" s="447" t="n"/>
      <c r="I594" s="415" t="n"/>
      <c r="K594" s="692" t="n"/>
    </row>
    <row r="595">
      <c r="A595" s="692" t="n"/>
      <c r="C595" s="692" t="n"/>
      <c r="E595" s="692" t="n"/>
      <c r="H595" s="447" t="n"/>
      <c r="I595" s="415" t="n"/>
      <c r="K595" s="692" t="n"/>
    </row>
    <row r="596">
      <c r="A596" s="692" t="n"/>
      <c r="C596" s="692" t="n"/>
      <c r="E596" s="692" t="n"/>
      <c r="H596" s="447" t="n"/>
      <c r="I596" s="415" t="n"/>
      <c r="K596" s="692" t="n"/>
    </row>
    <row r="597">
      <c r="A597" s="692" t="n"/>
      <c r="C597" s="692" t="n"/>
      <c r="E597" s="692" t="n"/>
      <c r="H597" s="447" t="n"/>
      <c r="I597" s="415" t="n"/>
      <c r="K597" s="692" t="n"/>
    </row>
    <row r="598">
      <c r="A598" s="692" t="n"/>
      <c r="C598" s="692" t="n"/>
      <c r="E598" s="692" t="n"/>
      <c r="H598" s="447" t="n"/>
      <c r="I598" s="415" t="n"/>
      <c r="K598" s="692" t="n"/>
    </row>
    <row r="599">
      <c r="A599" s="692" t="n"/>
      <c r="C599" s="692" t="n"/>
      <c r="E599" s="692" t="n"/>
      <c r="H599" s="447" t="n"/>
      <c r="I599" s="415" t="n"/>
      <c r="K599" s="692" t="n"/>
    </row>
    <row r="600">
      <c r="A600" s="692" t="n"/>
      <c r="C600" s="692" t="n"/>
      <c r="E600" s="692" t="n"/>
      <c r="H600" s="447" t="n"/>
      <c r="I600" s="415" t="n"/>
      <c r="K600" s="692" t="n"/>
    </row>
    <row r="601">
      <c r="A601" s="692" t="n"/>
      <c r="C601" s="692" t="n"/>
      <c r="E601" s="692" t="n"/>
      <c r="H601" s="447" t="n"/>
      <c r="I601" s="415" t="n"/>
      <c r="K601" s="692" t="n"/>
    </row>
    <row r="602">
      <c r="A602" s="692" t="n"/>
      <c r="C602" s="692" t="n"/>
      <c r="E602" s="692" t="n"/>
      <c r="H602" s="447" t="n"/>
      <c r="I602" s="415" t="n"/>
      <c r="K602" s="692" t="n"/>
    </row>
    <row r="603">
      <c r="A603" s="692" t="n"/>
      <c r="C603" s="692" t="n"/>
      <c r="E603" s="692" t="n"/>
      <c r="H603" s="447" t="n"/>
      <c r="I603" s="415" t="n"/>
      <c r="K603" s="692" t="n"/>
    </row>
    <row r="604">
      <c r="A604" s="692" t="n"/>
      <c r="C604" s="692" t="n"/>
      <c r="E604" s="692" t="n"/>
      <c r="H604" s="447" t="n"/>
      <c r="I604" s="415" t="n"/>
      <c r="K604" s="692" t="n"/>
    </row>
    <row r="605">
      <c r="A605" s="692" t="n"/>
      <c r="C605" s="692" t="n"/>
      <c r="E605" s="692" t="n"/>
      <c r="H605" s="447" t="n"/>
      <c r="I605" s="415" t="n"/>
      <c r="K605" s="692" t="n"/>
    </row>
    <row r="606">
      <c r="A606" s="692" t="n"/>
      <c r="C606" s="692" t="n"/>
      <c r="E606" s="692" t="n"/>
      <c r="H606" s="447" t="n"/>
      <c r="I606" s="415" t="n"/>
      <c r="K606" s="692" t="n"/>
    </row>
    <row r="607">
      <c r="A607" s="692" t="n"/>
      <c r="C607" s="692" t="n"/>
      <c r="E607" s="692" t="n"/>
      <c r="H607" s="447" t="n"/>
      <c r="I607" s="415" t="n"/>
      <c r="K607" s="692" t="n"/>
    </row>
    <row r="608">
      <c r="A608" s="692" t="n"/>
      <c r="C608" s="692" t="n"/>
      <c r="E608" s="692" t="n"/>
      <c r="H608" s="447" t="n"/>
      <c r="I608" s="415" t="n"/>
      <c r="K608" s="692" t="n"/>
    </row>
    <row r="609">
      <c r="A609" s="692" t="n"/>
      <c r="C609" s="692" t="n"/>
      <c r="E609" s="692" t="n"/>
      <c r="H609" s="447" t="n"/>
      <c r="I609" s="415" t="n"/>
      <c r="K609" s="692" t="n"/>
    </row>
    <row r="610">
      <c r="A610" s="692" t="n"/>
      <c r="C610" s="692" t="n"/>
      <c r="E610" s="692" t="n"/>
      <c r="H610" s="447" t="n"/>
      <c r="I610" s="415" t="n"/>
      <c r="K610" s="692" t="n"/>
    </row>
    <row r="611">
      <c r="A611" s="692" t="n"/>
      <c r="C611" s="692" t="n"/>
      <c r="E611" s="692" t="n"/>
      <c r="H611" s="447" t="n"/>
      <c r="I611" s="415" t="n"/>
      <c r="K611" s="692" t="n"/>
    </row>
    <row r="612">
      <c r="A612" s="692" t="n"/>
      <c r="C612" s="692" t="n"/>
      <c r="E612" s="692" t="n"/>
      <c r="H612" s="447" t="n"/>
      <c r="I612" s="415" t="n"/>
      <c r="K612" s="692" t="n"/>
    </row>
    <row r="613">
      <c r="A613" s="692" t="n"/>
      <c r="C613" s="692" t="n"/>
      <c r="E613" s="692" t="n"/>
      <c r="H613" s="447" t="n"/>
      <c r="I613" s="415" t="n"/>
      <c r="K613" s="692" t="n"/>
    </row>
    <row r="614">
      <c r="A614" s="692" t="n"/>
      <c r="C614" s="692" t="n"/>
      <c r="E614" s="692" t="n"/>
      <c r="H614" s="447" t="n"/>
      <c r="I614" s="415" t="n"/>
      <c r="K614" s="692" t="n"/>
    </row>
    <row r="615">
      <c r="A615" s="692" t="n"/>
      <c r="C615" s="692" t="n"/>
      <c r="E615" s="692" t="n"/>
      <c r="H615" s="447" t="n"/>
      <c r="I615" s="415" t="n"/>
      <c r="K615" s="692" t="n"/>
    </row>
    <row r="616">
      <c r="A616" s="692" t="n"/>
      <c r="C616" s="692" t="n"/>
      <c r="E616" s="692" t="n"/>
      <c r="H616" s="447" t="n"/>
      <c r="I616" s="415" t="n"/>
      <c r="K616" s="692" t="n"/>
    </row>
    <row r="617">
      <c r="A617" s="692" t="n"/>
      <c r="C617" s="692" t="n"/>
      <c r="E617" s="692" t="n"/>
      <c r="H617" s="447" t="n"/>
      <c r="I617" s="415" t="n"/>
      <c r="K617" s="692" t="n"/>
    </row>
    <row r="618">
      <c r="A618" s="692" t="n"/>
      <c r="C618" s="692" t="n"/>
      <c r="E618" s="692" t="n"/>
      <c r="H618" s="447" t="n"/>
      <c r="I618" s="415" t="n"/>
      <c r="K618" s="692" t="n"/>
    </row>
    <row r="619">
      <c r="A619" s="692" t="n"/>
      <c r="C619" s="692" t="n"/>
      <c r="E619" s="692" t="n"/>
      <c r="H619" s="447" t="n"/>
      <c r="I619" s="415" t="n"/>
      <c r="K619" s="692" t="n"/>
    </row>
    <row r="620">
      <c r="A620" s="692" t="n"/>
      <c r="C620" s="692" t="n"/>
      <c r="E620" s="692" t="n"/>
      <c r="H620" s="447" t="n"/>
      <c r="I620" s="415" t="n"/>
      <c r="K620" s="692" t="n"/>
    </row>
    <row r="621">
      <c r="A621" s="692" t="n"/>
      <c r="C621" s="692" t="n"/>
      <c r="E621" s="692" t="n"/>
      <c r="H621" s="447" t="n"/>
      <c r="I621" s="415" t="n"/>
      <c r="K621" s="692" t="n"/>
    </row>
    <row r="622">
      <c r="A622" s="692" t="n"/>
      <c r="C622" s="692" t="n"/>
      <c r="E622" s="692" t="n"/>
      <c r="H622" s="447" t="n"/>
      <c r="I622" s="415" t="n"/>
      <c r="K622" s="692" t="n"/>
    </row>
    <row r="623">
      <c r="A623" s="692" t="n"/>
      <c r="C623" s="692" t="n"/>
      <c r="E623" s="692" t="n"/>
      <c r="H623" s="447" t="n"/>
      <c r="I623" s="415" t="n"/>
      <c r="K623" s="692" t="n"/>
    </row>
    <row r="624">
      <c r="A624" s="692" t="n"/>
      <c r="C624" s="692" t="n"/>
      <c r="E624" s="692" t="n"/>
      <c r="H624" s="447" t="n"/>
      <c r="I624" s="415" t="n"/>
      <c r="K624" s="692" t="n"/>
    </row>
    <row r="625">
      <c r="A625" s="692" t="n"/>
      <c r="C625" s="692" t="n"/>
      <c r="E625" s="692" t="n"/>
      <c r="H625" s="447" t="n"/>
      <c r="I625" s="415" t="n"/>
      <c r="K625" s="692" t="n"/>
    </row>
    <row r="626">
      <c r="A626" s="692" t="n"/>
      <c r="C626" s="692" t="n"/>
      <c r="E626" s="692" t="n"/>
      <c r="H626" s="447" t="n"/>
      <c r="I626" s="415" t="n"/>
      <c r="K626" s="692" t="n"/>
    </row>
    <row r="627">
      <c r="A627" s="692" t="n"/>
      <c r="C627" s="692" t="n"/>
      <c r="E627" s="692" t="n"/>
      <c r="H627" s="447" t="n"/>
      <c r="I627" s="415" t="n"/>
      <c r="K627" s="692" t="n"/>
    </row>
    <row r="628">
      <c r="A628" s="692" t="n"/>
      <c r="C628" s="692" t="n"/>
      <c r="E628" s="692" t="n"/>
      <c r="H628" s="447" t="n"/>
      <c r="I628" s="415" t="n"/>
      <c r="K628" s="692" t="n"/>
    </row>
    <row r="629">
      <c r="A629" s="692" t="n"/>
      <c r="C629" s="692" t="n"/>
      <c r="E629" s="692" t="n"/>
      <c r="H629" s="447" t="n"/>
      <c r="I629" s="415" t="n"/>
      <c r="K629" s="692" t="n"/>
    </row>
    <row r="630">
      <c r="A630" s="692" t="n"/>
      <c r="C630" s="692" t="n"/>
      <c r="E630" s="692" t="n"/>
      <c r="H630" s="447" t="n"/>
      <c r="I630" s="415" t="n"/>
      <c r="K630" s="692" t="n"/>
    </row>
    <row r="631">
      <c r="A631" s="692" t="n"/>
      <c r="C631" s="692" t="n"/>
      <c r="E631" s="692" t="n"/>
      <c r="H631" s="447" t="n"/>
      <c r="I631" s="415" t="n"/>
      <c r="K631" s="692" t="n"/>
    </row>
    <row r="632">
      <c r="A632" s="692" t="n"/>
      <c r="C632" s="692" t="n"/>
      <c r="E632" s="692" t="n"/>
      <c r="H632" s="447" t="n"/>
      <c r="I632" s="415" t="n"/>
      <c r="K632" s="692" t="n"/>
    </row>
    <row r="633">
      <c r="A633" s="692" t="n"/>
      <c r="C633" s="692" t="n"/>
      <c r="E633" s="692" t="n"/>
      <c r="H633" s="447" t="n"/>
      <c r="I633" s="415" t="n"/>
      <c r="K633" s="692" t="n"/>
    </row>
    <row r="634">
      <c r="A634" s="692" t="n"/>
      <c r="C634" s="692" t="n"/>
      <c r="E634" s="692" t="n"/>
      <c r="H634" s="447" t="n"/>
      <c r="I634" s="415" t="n"/>
      <c r="K634" s="692" t="n"/>
    </row>
    <row r="635">
      <c r="A635" s="692" t="n"/>
      <c r="C635" s="692" t="n"/>
      <c r="E635" s="692" t="n"/>
      <c r="H635" s="447" t="n"/>
      <c r="I635" s="415" t="n"/>
      <c r="K635" s="692" t="n"/>
    </row>
    <row r="636">
      <c r="A636" s="692" t="n"/>
      <c r="C636" s="692" t="n"/>
      <c r="E636" s="692" t="n"/>
      <c r="H636" s="447" t="n"/>
      <c r="I636" s="415" t="n"/>
      <c r="K636" s="692" t="n"/>
    </row>
    <row r="637">
      <c r="A637" s="692" t="n"/>
      <c r="C637" s="692" t="n"/>
      <c r="E637" s="692" t="n"/>
      <c r="H637" s="447" t="n"/>
      <c r="I637" s="415" t="n"/>
      <c r="K637" s="692" t="n"/>
    </row>
    <row r="638">
      <c r="A638" s="692" t="n"/>
      <c r="C638" s="692" t="n"/>
      <c r="E638" s="692" t="n"/>
      <c r="H638" s="447" t="n"/>
      <c r="I638" s="415" t="n"/>
      <c r="K638" s="692" t="n"/>
    </row>
    <row r="639">
      <c r="A639" s="692" t="n"/>
      <c r="C639" s="692" t="n"/>
      <c r="E639" s="692" t="n"/>
      <c r="H639" s="447" t="n"/>
      <c r="I639" s="415" t="n"/>
      <c r="K639" s="692" t="n"/>
    </row>
    <row r="640">
      <c r="A640" s="692" t="n"/>
      <c r="C640" s="692" t="n"/>
      <c r="E640" s="692" t="n"/>
      <c r="H640" s="447" t="n"/>
      <c r="I640" s="415" t="n"/>
      <c r="K640" s="692" t="n"/>
    </row>
    <row r="641">
      <c r="A641" s="692" t="n"/>
      <c r="C641" s="692" t="n"/>
      <c r="E641" s="692" t="n"/>
      <c r="H641" s="447" t="n"/>
      <c r="I641" s="415" t="n"/>
      <c r="K641" s="692" t="n"/>
    </row>
    <row r="642">
      <c r="A642" s="692" t="n"/>
      <c r="C642" s="692" t="n"/>
      <c r="E642" s="692" t="n"/>
      <c r="H642" s="447" t="n"/>
      <c r="I642" s="415" t="n"/>
      <c r="K642" s="692" t="n"/>
    </row>
    <row r="643">
      <c r="A643" s="692" t="n"/>
      <c r="C643" s="692" t="n"/>
      <c r="E643" s="692" t="n"/>
      <c r="H643" s="447" t="n"/>
      <c r="I643" s="415" t="n"/>
      <c r="K643" s="692" t="n"/>
    </row>
    <row r="644">
      <c r="A644" s="692" t="n"/>
      <c r="C644" s="692" t="n"/>
      <c r="E644" s="692" t="n"/>
      <c r="H644" s="447" t="n"/>
      <c r="I644" s="415" t="n"/>
      <c r="K644" s="692" t="n"/>
    </row>
    <row r="645">
      <c r="A645" s="692" t="n"/>
      <c r="C645" s="692" t="n"/>
      <c r="E645" s="692" t="n"/>
      <c r="H645" s="447" t="n"/>
      <c r="I645" s="415" t="n"/>
      <c r="K645" s="692" t="n"/>
    </row>
    <row r="646">
      <c r="A646" s="692" t="n"/>
      <c r="C646" s="692" t="n"/>
      <c r="E646" s="692" t="n"/>
      <c r="H646" s="447" t="n"/>
      <c r="I646" s="415" t="n"/>
      <c r="K646" s="692" t="n"/>
    </row>
    <row r="647">
      <c r="A647" s="692" t="n"/>
      <c r="C647" s="692" t="n"/>
      <c r="E647" s="692" t="n"/>
      <c r="H647" s="447" t="n"/>
      <c r="I647" s="415" t="n"/>
      <c r="K647" s="692" t="n"/>
    </row>
    <row r="648">
      <c r="A648" s="692" t="n"/>
      <c r="C648" s="692" t="n"/>
      <c r="E648" s="692" t="n"/>
      <c r="H648" s="447" t="n"/>
      <c r="I648" s="415" t="n"/>
      <c r="K648" s="692" t="n"/>
    </row>
    <row r="649">
      <c r="A649" s="692" t="n"/>
      <c r="C649" s="692" t="n"/>
      <c r="E649" s="692" t="n"/>
      <c r="H649" s="447" t="n"/>
      <c r="I649" s="415" t="n"/>
      <c r="K649" s="692" t="n"/>
    </row>
    <row r="650">
      <c r="A650" s="692" t="n"/>
      <c r="C650" s="692" t="n"/>
      <c r="E650" s="692" t="n"/>
      <c r="H650" s="447" t="n"/>
      <c r="I650" s="415" t="n"/>
      <c r="K650" s="692" t="n"/>
    </row>
    <row r="651">
      <c r="A651" s="692" t="n"/>
      <c r="C651" s="692" t="n"/>
      <c r="E651" s="692" t="n"/>
      <c r="H651" s="447" t="n"/>
      <c r="I651" s="415" t="n"/>
      <c r="K651" s="692" t="n"/>
    </row>
    <row r="652">
      <c r="A652" s="692" t="n"/>
      <c r="C652" s="692" t="n"/>
      <c r="E652" s="692" t="n"/>
      <c r="H652" s="447" t="n"/>
      <c r="I652" s="415" t="n"/>
      <c r="K652" s="692" t="n"/>
    </row>
    <row r="653">
      <c r="A653" s="692" t="n"/>
      <c r="C653" s="692" t="n"/>
      <c r="E653" s="692" t="n"/>
      <c r="H653" s="447" t="n"/>
      <c r="I653" s="415" t="n"/>
      <c r="K653" s="692" t="n"/>
    </row>
    <row r="654">
      <c r="A654" s="692" t="n"/>
      <c r="C654" s="692" t="n"/>
      <c r="E654" s="692" t="n"/>
      <c r="H654" s="447" t="n"/>
      <c r="I654" s="415" t="n"/>
      <c r="K654" s="692" t="n"/>
    </row>
    <row r="655">
      <c r="A655" s="692" t="n"/>
      <c r="C655" s="692" t="n"/>
      <c r="E655" s="692" t="n"/>
      <c r="H655" s="447" t="n"/>
      <c r="I655" s="415" t="n"/>
      <c r="K655" s="692" t="n"/>
    </row>
    <row r="656">
      <c r="A656" s="692" t="n"/>
      <c r="C656" s="692" t="n"/>
      <c r="E656" s="692" t="n"/>
      <c r="H656" s="447" t="n"/>
      <c r="I656" s="415" t="n"/>
      <c r="K656" s="692" t="n"/>
    </row>
    <row r="657">
      <c r="A657" s="692" t="n"/>
      <c r="C657" s="692" t="n"/>
      <c r="E657" s="692" t="n"/>
      <c r="H657" s="447" t="n"/>
      <c r="I657" s="415" t="n"/>
      <c r="K657" s="692" t="n"/>
    </row>
    <row r="658">
      <c r="A658" s="692" t="n"/>
      <c r="C658" s="692" t="n"/>
      <c r="E658" s="692" t="n"/>
      <c r="H658" s="447" t="n"/>
      <c r="I658" s="415" t="n"/>
      <c r="K658" s="692" t="n"/>
    </row>
    <row r="659">
      <c r="A659" s="692" t="n"/>
      <c r="C659" s="692" t="n"/>
      <c r="E659" s="692" t="n"/>
      <c r="H659" s="447" t="n"/>
      <c r="I659" s="415" t="n"/>
      <c r="K659" s="692" t="n"/>
    </row>
    <row r="660">
      <c r="A660" s="692" t="n"/>
      <c r="C660" s="692" t="n"/>
      <c r="E660" s="692" t="n"/>
      <c r="H660" s="447" t="n"/>
      <c r="I660" s="415" t="n"/>
      <c r="K660" s="692" t="n"/>
    </row>
    <row r="661">
      <c r="A661" s="692" t="n"/>
      <c r="C661" s="692" t="n"/>
      <c r="E661" s="692" t="n"/>
      <c r="H661" s="447" t="n"/>
      <c r="I661" s="415" t="n"/>
      <c r="K661" s="692" t="n"/>
    </row>
    <row r="662">
      <c r="A662" s="692" t="n"/>
      <c r="C662" s="692" t="n"/>
      <c r="E662" s="692" t="n"/>
      <c r="H662" s="447" t="n"/>
      <c r="I662" s="415" t="n"/>
      <c r="K662" s="692" t="n"/>
    </row>
    <row r="663">
      <c r="A663" s="692" t="n"/>
      <c r="C663" s="692" t="n"/>
      <c r="E663" s="692" t="n"/>
      <c r="H663" s="447" t="n"/>
      <c r="I663" s="415" t="n"/>
      <c r="K663" s="692" t="n"/>
    </row>
    <row r="664">
      <c r="A664" s="692" t="n"/>
      <c r="C664" s="692" t="n"/>
      <c r="E664" s="692" t="n"/>
      <c r="H664" s="447" t="n"/>
      <c r="I664" s="415" t="n"/>
      <c r="K664" s="692" t="n"/>
    </row>
    <row r="665">
      <c r="A665" s="692" t="n"/>
      <c r="C665" s="692" t="n"/>
      <c r="E665" s="692" t="n"/>
      <c r="H665" s="447" t="n"/>
      <c r="I665" s="415" t="n"/>
      <c r="K665" s="692" t="n"/>
    </row>
    <row r="666">
      <c r="A666" s="692" t="n"/>
      <c r="C666" s="692" t="n"/>
      <c r="E666" s="692" t="n"/>
      <c r="H666" s="447" t="n"/>
      <c r="I666" s="415" t="n"/>
      <c r="K666" s="692" t="n"/>
    </row>
    <row r="667">
      <c r="A667" s="692" t="n"/>
      <c r="C667" s="692" t="n"/>
      <c r="E667" s="692" t="n"/>
      <c r="H667" s="447" t="n"/>
      <c r="I667" s="415" t="n"/>
      <c r="K667" s="692" t="n"/>
    </row>
    <row r="668">
      <c r="A668" s="692" t="n"/>
      <c r="C668" s="692" t="n"/>
      <c r="E668" s="692" t="n"/>
      <c r="H668" s="447" t="n"/>
      <c r="I668" s="415" t="n"/>
      <c r="K668" s="692" t="n"/>
    </row>
    <row r="669">
      <c r="A669" s="692" t="n"/>
      <c r="C669" s="692" t="n"/>
      <c r="E669" s="692" t="n"/>
      <c r="H669" s="447" t="n"/>
      <c r="I669" s="415" t="n"/>
      <c r="K669" s="692" t="n"/>
    </row>
    <row r="670">
      <c r="A670" s="692" t="n"/>
      <c r="C670" s="692" t="n"/>
      <c r="E670" s="692" t="n"/>
      <c r="H670" s="447" t="n"/>
      <c r="I670" s="415" t="n"/>
      <c r="K670" s="692" t="n"/>
    </row>
    <row r="671">
      <c r="A671" s="692" t="n"/>
      <c r="C671" s="692" t="n"/>
      <c r="E671" s="692" t="n"/>
      <c r="H671" s="447" t="n"/>
      <c r="I671" s="415" t="n"/>
      <c r="K671" s="692" t="n"/>
    </row>
    <row r="672">
      <c r="A672" s="692" t="n"/>
      <c r="C672" s="692" t="n"/>
      <c r="E672" s="692" t="n"/>
      <c r="H672" s="447" t="n"/>
      <c r="I672" s="415" t="n"/>
      <c r="K672" s="692" t="n"/>
    </row>
    <row r="673">
      <c r="A673" s="692" t="n"/>
      <c r="C673" s="692" t="n"/>
      <c r="E673" s="692" t="n"/>
      <c r="H673" s="447" t="n"/>
      <c r="I673" s="415" t="n"/>
      <c r="K673" s="692" t="n"/>
    </row>
    <row r="674">
      <c r="A674" s="692" t="n"/>
      <c r="C674" s="692" t="n"/>
      <c r="E674" s="692" t="n"/>
      <c r="H674" s="447" t="n"/>
      <c r="I674" s="415" t="n"/>
      <c r="K674" s="692" t="n"/>
    </row>
    <row r="675">
      <c r="A675" s="692" t="n"/>
      <c r="C675" s="692" t="n"/>
      <c r="E675" s="692" t="n"/>
      <c r="H675" s="447" t="n"/>
      <c r="I675" s="415" t="n"/>
      <c r="K675" s="692" t="n"/>
    </row>
    <row r="676">
      <c r="A676" s="692" t="n"/>
      <c r="C676" s="692" t="n"/>
      <c r="E676" s="692" t="n"/>
      <c r="H676" s="447" t="n"/>
      <c r="I676" s="415" t="n"/>
      <c r="K676" s="692" t="n"/>
    </row>
    <row r="677">
      <c r="A677" s="692" t="n"/>
      <c r="C677" s="692" t="n"/>
      <c r="E677" s="692" t="n"/>
      <c r="H677" s="447" t="n"/>
      <c r="I677" s="415" t="n"/>
      <c r="K677" s="692" t="n"/>
    </row>
    <row r="678">
      <c r="A678" s="692" t="n"/>
      <c r="C678" s="692" t="n"/>
      <c r="E678" s="692" t="n"/>
      <c r="H678" s="447" t="n"/>
      <c r="I678" s="415" t="n"/>
      <c r="K678" s="692" t="n"/>
    </row>
    <row r="679">
      <c r="A679" s="692" t="n"/>
      <c r="C679" s="692" t="n"/>
      <c r="E679" s="692" t="n"/>
      <c r="H679" s="447" t="n"/>
      <c r="I679" s="415" t="n"/>
      <c r="K679" s="692" t="n"/>
    </row>
    <row r="680">
      <c r="A680" s="692" t="n"/>
      <c r="C680" s="692" t="n"/>
      <c r="E680" s="692" t="n"/>
      <c r="H680" s="447" t="n"/>
      <c r="I680" s="415" t="n"/>
      <c r="K680" s="692" t="n"/>
    </row>
    <row r="681">
      <c r="A681" s="692" t="n"/>
      <c r="C681" s="692" t="n"/>
      <c r="E681" s="692" t="n"/>
      <c r="H681" s="447" t="n"/>
      <c r="I681" s="415" t="n"/>
      <c r="K681" s="692" t="n"/>
    </row>
    <row r="682">
      <c r="A682" s="692" t="n"/>
      <c r="C682" s="692" t="n"/>
      <c r="E682" s="692" t="n"/>
      <c r="H682" s="447" t="n"/>
      <c r="I682" s="415" t="n"/>
      <c r="K682" s="692" t="n"/>
    </row>
    <row r="683">
      <c r="A683" s="692" t="n"/>
      <c r="C683" s="692" t="n"/>
      <c r="E683" s="692" t="n"/>
      <c r="H683" s="447" t="n"/>
      <c r="I683" s="415" t="n"/>
      <c r="K683" s="692" t="n"/>
    </row>
    <row r="684">
      <c r="A684" s="692" t="n"/>
      <c r="C684" s="692" t="n"/>
      <c r="E684" s="692" t="n"/>
      <c r="H684" s="447" t="n"/>
      <c r="I684" s="415" t="n"/>
      <c r="K684" s="692" t="n"/>
    </row>
    <row r="685">
      <c r="A685" s="692" t="n"/>
      <c r="C685" s="692" t="n"/>
      <c r="E685" s="692" t="n"/>
      <c r="H685" s="447" t="n"/>
      <c r="I685" s="415" t="n"/>
      <c r="K685" s="692" t="n"/>
    </row>
    <row r="686">
      <c r="A686" s="692" t="n"/>
      <c r="C686" s="692" t="n"/>
      <c r="E686" s="692" t="n"/>
      <c r="H686" s="447" t="n"/>
      <c r="I686" s="415" t="n"/>
      <c r="K686" s="692" t="n"/>
    </row>
    <row r="687">
      <c r="A687" s="692" t="n"/>
      <c r="C687" s="692" t="n"/>
      <c r="E687" s="692" t="n"/>
      <c r="H687" s="447" t="n"/>
      <c r="I687" s="415" t="n"/>
      <c r="K687" s="692" t="n"/>
    </row>
    <row r="688">
      <c r="A688" s="692" t="n"/>
      <c r="C688" s="692" t="n"/>
      <c r="E688" s="692" t="n"/>
      <c r="H688" s="447" t="n"/>
      <c r="I688" s="415" t="n"/>
      <c r="K688" s="692" t="n"/>
    </row>
    <row r="689">
      <c r="A689" s="692" t="n"/>
      <c r="C689" s="692" t="n"/>
      <c r="E689" s="692" t="n"/>
      <c r="H689" s="447" t="n"/>
      <c r="I689" s="415" t="n"/>
      <c r="K689" s="692" t="n"/>
    </row>
    <row r="690">
      <c r="A690" s="692" t="n"/>
      <c r="C690" s="692" t="n"/>
      <c r="E690" s="692" t="n"/>
      <c r="H690" s="447" t="n"/>
      <c r="I690" s="415" t="n"/>
      <c r="K690" s="692" t="n"/>
    </row>
    <row r="691">
      <c r="A691" s="692" t="n"/>
      <c r="C691" s="692" t="n"/>
      <c r="E691" s="692" t="n"/>
      <c r="H691" s="447" t="n"/>
      <c r="I691" s="415" t="n"/>
      <c r="K691" s="692" t="n"/>
    </row>
    <row r="692">
      <c r="A692" s="692" t="n"/>
      <c r="C692" s="692" t="n"/>
      <c r="E692" s="692" t="n"/>
      <c r="H692" s="447" t="n"/>
      <c r="I692" s="415" t="n"/>
      <c r="K692" s="692" t="n"/>
    </row>
    <row r="693">
      <c r="A693" s="692" t="n"/>
      <c r="C693" s="692" t="n"/>
      <c r="E693" s="692" t="n"/>
      <c r="H693" s="447" t="n"/>
      <c r="I693" s="415" t="n"/>
      <c r="K693" s="692" t="n"/>
    </row>
    <row r="694">
      <c r="A694" s="692" t="n"/>
      <c r="C694" s="692" t="n"/>
      <c r="E694" s="692" t="n"/>
      <c r="H694" s="447" t="n"/>
      <c r="I694" s="415" t="n"/>
      <c r="K694" s="692" t="n"/>
    </row>
    <row r="695">
      <c r="A695" s="692" t="n"/>
      <c r="C695" s="692" t="n"/>
      <c r="E695" s="692" t="n"/>
      <c r="H695" s="447" t="n"/>
      <c r="I695" s="415" t="n"/>
      <c r="K695" s="692" t="n"/>
    </row>
    <row r="696">
      <c r="A696" s="692" t="n"/>
      <c r="C696" s="692" t="n"/>
      <c r="E696" s="692" t="n"/>
      <c r="H696" s="447" t="n"/>
      <c r="I696" s="415" t="n"/>
      <c r="K696" s="692" t="n"/>
    </row>
    <row r="697">
      <c r="A697" s="692" t="n"/>
      <c r="C697" s="692" t="n"/>
      <c r="E697" s="692" t="n"/>
      <c r="H697" s="447" t="n"/>
      <c r="I697" s="415" t="n"/>
      <c r="K697" s="692" t="n"/>
    </row>
    <row r="698">
      <c r="A698" s="692" t="n"/>
      <c r="C698" s="692" t="n"/>
      <c r="E698" s="692" t="n"/>
      <c r="H698" s="447" t="n"/>
      <c r="I698" s="415" t="n"/>
      <c r="K698" s="692" t="n"/>
    </row>
    <row r="699">
      <c r="A699" s="692" t="n"/>
      <c r="C699" s="692" t="n"/>
      <c r="E699" s="692" t="n"/>
      <c r="H699" s="447" t="n"/>
      <c r="I699" s="415" t="n"/>
      <c r="K699" s="692" t="n"/>
    </row>
    <row r="700">
      <c r="A700" s="692" t="n"/>
      <c r="C700" s="692" t="n"/>
      <c r="E700" s="692" t="n"/>
      <c r="H700" s="447" t="n"/>
      <c r="I700" s="415" t="n"/>
      <c r="K700" s="692" t="n"/>
    </row>
    <row r="701">
      <c r="A701" s="692" t="n"/>
      <c r="C701" s="692" t="n"/>
      <c r="E701" s="692" t="n"/>
      <c r="H701" s="447" t="n"/>
      <c r="I701" s="415" t="n"/>
      <c r="K701" s="692" t="n"/>
    </row>
    <row r="702">
      <c r="A702" s="692" t="n"/>
      <c r="C702" s="692" t="n"/>
      <c r="E702" s="692" t="n"/>
      <c r="H702" s="447" t="n"/>
      <c r="I702" s="415" t="n"/>
      <c r="K702" s="692" t="n"/>
    </row>
    <row r="703">
      <c r="A703" s="692" t="n"/>
      <c r="C703" s="692" t="n"/>
      <c r="E703" s="692" t="n"/>
      <c r="H703" s="447" t="n"/>
      <c r="I703" s="415" t="n"/>
      <c r="K703" s="692" t="n"/>
    </row>
    <row r="704">
      <c r="A704" s="692" t="n"/>
      <c r="C704" s="692" t="n"/>
      <c r="E704" s="692" t="n"/>
      <c r="H704" s="447" t="n"/>
      <c r="I704" s="415" t="n"/>
      <c r="K704" s="692" t="n"/>
    </row>
    <row r="705">
      <c r="A705" s="692" t="n"/>
      <c r="C705" s="692" t="n"/>
      <c r="E705" s="692" t="n"/>
      <c r="H705" s="447" t="n"/>
      <c r="I705" s="415" t="n"/>
      <c r="K705" s="692" t="n"/>
    </row>
    <row r="706">
      <c r="A706" s="692" t="n"/>
      <c r="C706" s="692" t="n"/>
      <c r="E706" s="692" t="n"/>
      <c r="H706" s="447" t="n"/>
      <c r="I706" s="415" t="n"/>
      <c r="K706" s="692" t="n"/>
    </row>
    <row r="707">
      <c r="A707" s="692" t="n"/>
      <c r="C707" s="692" t="n"/>
      <c r="E707" s="692" t="n"/>
      <c r="H707" s="447" t="n"/>
      <c r="I707" s="415" t="n"/>
      <c r="K707" s="692" t="n"/>
    </row>
    <row r="708">
      <c r="A708" s="692" t="n"/>
      <c r="C708" s="692" t="n"/>
      <c r="E708" s="692" t="n"/>
      <c r="H708" s="447" t="n"/>
      <c r="I708" s="415" t="n"/>
      <c r="K708" s="692" t="n"/>
    </row>
    <row r="709">
      <c r="A709" s="692" t="n"/>
      <c r="C709" s="692" t="n"/>
      <c r="E709" s="692" t="n"/>
      <c r="H709" s="447" t="n"/>
      <c r="I709" s="415" t="n"/>
      <c r="K709" s="692" t="n"/>
    </row>
    <row r="710">
      <c r="A710" s="692" t="n"/>
      <c r="C710" s="692" t="n"/>
      <c r="E710" s="692" t="n"/>
      <c r="H710" s="447" t="n"/>
      <c r="I710" s="415" t="n"/>
      <c r="K710" s="692" t="n"/>
    </row>
    <row r="711">
      <c r="A711" s="692" t="n"/>
      <c r="C711" s="692" t="n"/>
      <c r="E711" s="692" t="n"/>
      <c r="H711" s="447" t="n"/>
      <c r="I711" s="415" t="n"/>
      <c r="K711" s="692" t="n"/>
    </row>
    <row r="712">
      <c r="A712" s="692" t="n"/>
      <c r="C712" s="692" t="n"/>
      <c r="E712" s="692" t="n"/>
      <c r="H712" s="447" t="n"/>
      <c r="I712" s="415" t="n"/>
      <c r="K712" s="692" t="n"/>
    </row>
    <row r="713">
      <c r="A713" s="692" t="n"/>
      <c r="C713" s="692" t="n"/>
      <c r="E713" s="692" t="n"/>
      <c r="H713" s="447" t="n"/>
      <c r="I713" s="415" t="n"/>
      <c r="K713" s="692" t="n"/>
    </row>
    <row r="714">
      <c r="A714" s="692" t="n"/>
      <c r="C714" s="692" t="n"/>
      <c r="E714" s="692" t="n"/>
      <c r="H714" s="447" t="n"/>
      <c r="I714" s="415" t="n"/>
      <c r="K714" s="692" t="n"/>
    </row>
    <row r="715">
      <c r="A715" s="692" t="n"/>
      <c r="C715" s="692" t="n"/>
      <c r="E715" s="692" t="n"/>
      <c r="H715" s="447" t="n"/>
      <c r="I715" s="415" t="n"/>
      <c r="K715" s="692" t="n"/>
    </row>
    <row r="716">
      <c r="A716" s="692" t="n"/>
      <c r="C716" s="692" t="n"/>
      <c r="E716" s="692" t="n"/>
      <c r="H716" s="447" t="n"/>
      <c r="I716" s="415" t="n"/>
      <c r="K716" s="692" t="n"/>
    </row>
    <row r="717">
      <c r="A717" s="692" t="n"/>
      <c r="C717" s="692" t="n"/>
      <c r="E717" s="692" t="n"/>
      <c r="H717" s="447" t="n"/>
      <c r="I717" s="415" t="n"/>
      <c r="K717" s="692" t="n"/>
    </row>
    <row r="718">
      <c r="A718" s="692" t="n"/>
      <c r="C718" s="692" t="n"/>
      <c r="E718" s="692" t="n"/>
      <c r="H718" s="447" t="n"/>
      <c r="I718" s="415" t="n"/>
      <c r="K718" s="692" t="n"/>
    </row>
    <row r="719">
      <c r="A719" s="692" t="n"/>
      <c r="C719" s="692" t="n"/>
      <c r="E719" s="692" t="n"/>
      <c r="H719" s="447" t="n"/>
      <c r="I719" s="415" t="n"/>
      <c r="K719" s="692" t="n"/>
    </row>
    <row r="720">
      <c r="A720" s="692" t="n"/>
      <c r="C720" s="692" t="n"/>
      <c r="E720" s="692" t="n"/>
      <c r="H720" s="447" t="n"/>
      <c r="I720" s="415" t="n"/>
      <c r="K720" s="692" t="n"/>
    </row>
    <row r="721">
      <c r="A721" s="692" t="n"/>
      <c r="C721" s="692" t="n"/>
      <c r="E721" s="692" t="n"/>
      <c r="H721" s="447" t="n"/>
      <c r="I721" s="415" t="n"/>
      <c r="K721" s="692" t="n"/>
    </row>
    <row r="722">
      <c r="A722" s="692" t="n"/>
      <c r="C722" s="692" t="n"/>
      <c r="E722" s="692" t="n"/>
      <c r="H722" s="447" t="n"/>
      <c r="I722" s="415" t="n"/>
      <c r="K722" s="692" t="n"/>
    </row>
    <row r="723">
      <c r="A723" s="692" t="n"/>
      <c r="C723" s="692" t="n"/>
      <c r="E723" s="692" t="n"/>
      <c r="H723" s="447" t="n"/>
      <c r="I723" s="415" t="n"/>
      <c r="K723" s="692" t="n"/>
    </row>
    <row r="724">
      <c r="A724" s="692" t="n"/>
      <c r="C724" s="692" t="n"/>
      <c r="E724" s="692" t="n"/>
      <c r="H724" s="447" t="n"/>
      <c r="I724" s="415" t="n"/>
      <c r="K724" s="692" t="n"/>
    </row>
    <row r="725">
      <c r="A725" s="692" t="n"/>
      <c r="C725" s="692" t="n"/>
      <c r="E725" s="692" t="n"/>
      <c r="H725" s="447" t="n"/>
      <c r="I725" s="415" t="n"/>
      <c r="K725" s="692" t="n"/>
    </row>
    <row r="726">
      <c r="A726" s="692" t="n"/>
      <c r="C726" s="692" t="n"/>
      <c r="E726" s="692" t="n"/>
      <c r="H726" s="447" t="n"/>
      <c r="I726" s="415" t="n"/>
      <c r="K726" s="692" t="n"/>
    </row>
    <row r="727">
      <c r="A727" s="692" t="n"/>
      <c r="C727" s="692" t="n"/>
      <c r="E727" s="692" t="n"/>
      <c r="H727" s="447" t="n"/>
      <c r="I727" s="415" t="n"/>
      <c r="K727" s="692" t="n"/>
    </row>
    <row r="728">
      <c r="A728" s="692" t="n"/>
      <c r="C728" s="692" t="n"/>
      <c r="E728" s="692" t="n"/>
      <c r="H728" s="447" t="n"/>
      <c r="I728" s="415" t="n"/>
      <c r="K728" s="692" t="n"/>
    </row>
    <row r="729">
      <c r="A729" s="692" t="n"/>
      <c r="C729" s="692" t="n"/>
      <c r="E729" s="692" t="n"/>
      <c r="H729" s="447" t="n"/>
      <c r="I729" s="415" t="n"/>
      <c r="K729" s="692" t="n"/>
    </row>
    <row r="730">
      <c r="A730" s="692" t="n"/>
      <c r="C730" s="692" t="n"/>
      <c r="E730" s="692" t="n"/>
      <c r="H730" s="447" t="n"/>
      <c r="I730" s="415" t="n"/>
      <c r="K730" s="692" t="n"/>
    </row>
    <row r="731">
      <c r="A731" s="692" t="n"/>
      <c r="C731" s="692" t="n"/>
      <c r="E731" s="692" t="n"/>
      <c r="H731" s="447" t="n"/>
      <c r="I731" s="415" t="n"/>
      <c r="K731" s="692" t="n"/>
    </row>
    <row r="732">
      <c r="A732" s="692" t="n"/>
      <c r="C732" s="692" t="n"/>
      <c r="E732" s="692" t="n"/>
      <c r="H732" s="447" t="n"/>
      <c r="I732" s="415" t="n"/>
      <c r="K732" s="692" t="n"/>
    </row>
    <row r="733">
      <c r="A733" s="692" t="n"/>
      <c r="C733" s="692" t="n"/>
      <c r="E733" s="692" t="n"/>
      <c r="H733" s="447" t="n"/>
      <c r="I733" s="415" t="n"/>
      <c r="K733" s="692" t="n"/>
    </row>
    <row r="734">
      <c r="A734" s="692" t="n"/>
      <c r="C734" s="692" t="n"/>
      <c r="E734" s="692" t="n"/>
      <c r="H734" s="447" t="n"/>
      <c r="I734" s="415" t="n"/>
      <c r="K734" s="692" t="n"/>
    </row>
    <row r="735">
      <c r="A735" s="692" t="n"/>
      <c r="C735" s="692" t="n"/>
      <c r="E735" s="692" t="n"/>
      <c r="H735" s="447" t="n"/>
      <c r="I735" s="415" t="n"/>
      <c r="K735" s="692" t="n"/>
    </row>
    <row r="736">
      <c r="A736" s="692" t="n"/>
      <c r="C736" s="692" t="n"/>
      <c r="E736" s="692" t="n"/>
      <c r="H736" s="447" t="n"/>
      <c r="I736" s="415" t="n"/>
      <c r="K736" s="692" t="n"/>
    </row>
    <row r="737">
      <c r="A737" s="692" t="n"/>
      <c r="C737" s="692" t="n"/>
      <c r="E737" s="692" t="n"/>
      <c r="H737" s="447" t="n"/>
      <c r="I737" s="415" t="n"/>
      <c r="K737" s="692" t="n"/>
    </row>
    <row r="738">
      <c r="A738" s="692" t="n"/>
      <c r="C738" s="692" t="n"/>
      <c r="E738" s="692" t="n"/>
      <c r="H738" s="447" t="n"/>
      <c r="I738" s="415" t="n"/>
      <c r="K738" s="692" t="n"/>
    </row>
    <row r="739">
      <c r="A739" s="692" t="n"/>
      <c r="C739" s="692" t="n"/>
      <c r="E739" s="692" t="n"/>
      <c r="H739" s="447" t="n"/>
      <c r="I739" s="415" t="n"/>
      <c r="K739" s="692" t="n"/>
    </row>
    <row r="740">
      <c r="A740" s="692" t="n"/>
      <c r="C740" s="692" t="n"/>
      <c r="E740" s="692" t="n"/>
      <c r="H740" s="447" t="n"/>
      <c r="I740" s="415" t="n"/>
      <c r="K740" s="692" t="n"/>
    </row>
    <row r="741">
      <c r="A741" s="692" t="n"/>
      <c r="C741" s="692" t="n"/>
      <c r="E741" s="692" t="n"/>
      <c r="H741" s="447" t="n"/>
      <c r="I741" s="415" t="n"/>
      <c r="K741" s="692" t="n"/>
    </row>
    <row r="742">
      <c r="A742" s="692" t="n"/>
      <c r="C742" s="692" t="n"/>
      <c r="E742" s="692" t="n"/>
      <c r="H742" s="447" t="n"/>
      <c r="I742" s="415" t="n"/>
      <c r="K742" s="692" t="n"/>
    </row>
    <row r="743">
      <c r="A743" s="692" t="n"/>
      <c r="C743" s="692" t="n"/>
      <c r="E743" s="692" t="n"/>
      <c r="H743" s="447" t="n"/>
      <c r="I743" s="415" t="n"/>
      <c r="K743" s="692" t="n"/>
    </row>
    <row r="744">
      <c r="A744" s="692" t="n"/>
      <c r="C744" s="692" t="n"/>
      <c r="E744" s="692" t="n"/>
      <c r="H744" s="447" t="n"/>
      <c r="I744" s="415" t="n"/>
      <c r="K744" s="692" t="n"/>
    </row>
    <row r="745">
      <c r="A745" s="692" t="n"/>
      <c r="C745" s="692" t="n"/>
      <c r="E745" s="692" t="n"/>
      <c r="H745" s="447" t="n"/>
      <c r="I745" s="415" t="n"/>
      <c r="K745" s="692" t="n"/>
    </row>
    <row r="746">
      <c r="A746" s="692" t="n"/>
      <c r="C746" s="692" t="n"/>
      <c r="E746" s="692" t="n"/>
      <c r="H746" s="447" t="n"/>
      <c r="I746" s="415" t="n"/>
      <c r="K746" s="692" t="n"/>
    </row>
    <row r="747">
      <c r="A747" s="692" t="n"/>
      <c r="C747" s="692" t="n"/>
      <c r="E747" s="692" t="n"/>
      <c r="H747" s="447" t="n"/>
      <c r="I747" s="415" t="n"/>
      <c r="K747" s="692" t="n"/>
    </row>
    <row r="748">
      <c r="A748" s="692" t="n"/>
      <c r="C748" s="692" t="n"/>
      <c r="E748" s="692" t="n"/>
      <c r="H748" s="447" t="n"/>
      <c r="I748" s="415" t="n"/>
      <c r="K748" s="692" t="n"/>
    </row>
    <row r="749">
      <c r="A749" s="692" t="n"/>
      <c r="C749" s="692" t="n"/>
      <c r="E749" s="692" t="n"/>
      <c r="H749" s="447" t="n"/>
      <c r="I749" s="415" t="n"/>
      <c r="K749" s="692" t="n"/>
    </row>
    <row r="750">
      <c r="A750" s="692" t="n"/>
      <c r="C750" s="692" t="n"/>
      <c r="E750" s="692" t="n"/>
      <c r="H750" s="447" t="n"/>
      <c r="I750" s="415" t="n"/>
      <c r="K750" s="692" t="n"/>
    </row>
    <row r="751">
      <c r="A751" s="692" t="n"/>
      <c r="C751" s="692" t="n"/>
      <c r="E751" s="692" t="n"/>
      <c r="H751" s="447" t="n"/>
      <c r="I751" s="415" t="n"/>
      <c r="K751" s="692" t="n"/>
    </row>
    <row r="752">
      <c r="A752" s="692" t="n"/>
      <c r="C752" s="692" t="n"/>
      <c r="E752" s="692" t="n"/>
      <c r="H752" s="447" t="n"/>
      <c r="I752" s="415" t="n"/>
      <c r="K752" s="692" t="n"/>
    </row>
    <row r="753">
      <c r="A753" s="692" t="n"/>
      <c r="C753" s="692" t="n"/>
      <c r="E753" s="692" t="n"/>
      <c r="H753" s="447" t="n"/>
      <c r="I753" s="415" t="n"/>
      <c r="K753" s="692" t="n"/>
    </row>
    <row r="754">
      <c r="A754" s="692" t="n"/>
      <c r="C754" s="692" t="n"/>
      <c r="E754" s="692" t="n"/>
      <c r="H754" s="447" t="n"/>
      <c r="I754" s="415" t="n"/>
      <c r="K754" s="692" t="n"/>
    </row>
    <row r="755">
      <c r="A755" s="692" t="n"/>
      <c r="C755" s="692" t="n"/>
      <c r="E755" s="692" t="n"/>
      <c r="H755" s="447" t="n"/>
      <c r="I755" s="415" t="n"/>
      <c r="K755" s="692" t="n"/>
    </row>
    <row r="756">
      <c r="A756" s="692" t="n"/>
      <c r="C756" s="692" t="n"/>
      <c r="E756" s="692" t="n"/>
      <c r="H756" s="447" t="n"/>
      <c r="I756" s="415" t="n"/>
      <c r="K756" s="692" t="n"/>
    </row>
    <row r="757">
      <c r="A757" s="692" t="n"/>
      <c r="C757" s="692" t="n"/>
      <c r="E757" s="692" t="n"/>
      <c r="H757" s="447" t="n"/>
      <c r="I757" s="415" t="n"/>
      <c r="K757" s="692" t="n"/>
    </row>
    <row r="758">
      <c r="A758" s="692" t="n"/>
      <c r="C758" s="692" t="n"/>
      <c r="E758" s="692" t="n"/>
      <c r="H758" s="447" t="n"/>
      <c r="I758" s="415" t="n"/>
      <c r="K758" s="692" t="n"/>
    </row>
    <row r="759">
      <c r="A759" s="692" t="n"/>
      <c r="C759" s="692" t="n"/>
      <c r="E759" s="692" t="n"/>
      <c r="H759" s="447" t="n"/>
      <c r="I759" s="415" t="n"/>
      <c r="K759" s="692" t="n"/>
    </row>
    <row r="760">
      <c r="A760" s="692" t="n"/>
      <c r="C760" s="692" t="n"/>
      <c r="E760" s="692" t="n"/>
      <c r="H760" s="447" t="n"/>
      <c r="I760" s="415" t="n"/>
      <c r="K760" s="692" t="n"/>
    </row>
    <row r="761">
      <c r="A761" s="692" t="n"/>
      <c r="C761" s="692" t="n"/>
      <c r="E761" s="692" t="n"/>
      <c r="H761" s="447" t="n"/>
      <c r="I761" s="415" t="n"/>
      <c r="K761" s="692" t="n"/>
    </row>
    <row r="762">
      <c r="A762" s="692" t="n"/>
      <c r="C762" s="692" t="n"/>
      <c r="E762" s="692" t="n"/>
      <c r="H762" s="447" t="n"/>
      <c r="I762" s="415" t="n"/>
      <c r="K762" s="692" t="n"/>
    </row>
    <row r="763">
      <c r="A763" s="692" t="n"/>
      <c r="C763" s="692" t="n"/>
      <c r="E763" s="692" t="n"/>
      <c r="H763" s="447" t="n"/>
      <c r="I763" s="415" t="n"/>
      <c r="K763" s="692" t="n"/>
    </row>
    <row r="764">
      <c r="A764" s="692" t="n"/>
      <c r="C764" s="692" t="n"/>
      <c r="E764" s="692" t="n"/>
      <c r="H764" s="447" t="n"/>
      <c r="I764" s="415" t="n"/>
      <c r="K764" s="692" t="n"/>
    </row>
    <row r="765">
      <c r="A765" s="692" t="n"/>
      <c r="C765" s="692" t="n"/>
      <c r="E765" s="692" t="n"/>
      <c r="H765" s="447" t="n"/>
      <c r="I765" s="415" t="n"/>
      <c r="K765" s="692" t="n"/>
    </row>
    <row r="766">
      <c r="A766" s="692" t="n"/>
      <c r="C766" s="692" t="n"/>
      <c r="E766" s="692" t="n"/>
      <c r="H766" s="447" t="n"/>
      <c r="I766" s="415" t="n"/>
      <c r="K766" s="692" t="n"/>
    </row>
    <row r="767">
      <c r="A767" s="692" t="n"/>
      <c r="C767" s="692" t="n"/>
      <c r="E767" s="692" t="n"/>
      <c r="H767" s="447" t="n"/>
      <c r="I767" s="415" t="n"/>
      <c r="K767" s="692" t="n"/>
    </row>
    <row r="768">
      <c r="A768" s="692" t="n"/>
      <c r="C768" s="692" t="n"/>
      <c r="E768" s="692" t="n"/>
      <c r="H768" s="447" t="n"/>
      <c r="I768" s="415" t="n"/>
      <c r="K768" s="692" t="n"/>
    </row>
    <row r="769">
      <c r="A769" s="692" t="n"/>
      <c r="C769" s="692" t="n"/>
      <c r="E769" s="692" t="n"/>
      <c r="H769" s="447" t="n"/>
      <c r="I769" s="415" t="n"/>
      <c r="K769" s="692" t="n"/>
    </row>
    <row r="770">
      <c r="A770" s="692" t="n"/>
      <c r="C770" s="692" t="n"/>
      <c r="E770" s="692" t="n"/>
      <c r="H770" s="447" t="n"/>
      <c r="I770" s="415" t="n"/>
      <c r="K770" s="692" t="n"/>
    </row>
    <row r="771">
      <c r="A771" s="692" t="n"/>
      <c r="C771" s="692" t="n"/>
      <c r="E771" s="692" t="n"/>
      <c r="H771" s="447" t="n"/>
      <c r="I771" s="415" t="n"/>
      <c r="K771" s="692" t="n"/>
    </row>
    <row r="772">
      <c r="A772" s="692" t="n"/>
      <c r="C772" s="692" t="n"/>
      <c r="E772" s="692" t="n"/>
      <c r="H772" s="447" t="n"/>
      <c r="I772" s="415" t="n"/>
      <c r="K772" s="692" t="n"/>
    </row>
    <row r="773">
      <c r="A773" s="692" t="n"/>
      <c r="C773" s="692" t="n"/>
      <c r="E773" s="692" t="n"/>
      <c r="H773" s="447" t="n"/>
      <c r="I773" s="415" t="n"/>
      <c r="K773" s="692" t="n"/>
    </row>
    <row r="774">
      <c r="A774" s="692" t="n"/>
      <c r="C774" s="692" t="n"/>
      <c r="E774" s="692" t="n"/>
      <c r="H774" s="447" t="n"/>
      <c r="I774" s="415" t="n"/>
      <c r="K774" s="692" t="n"/>
    </row>
    <row r="775">
      <c r="A775" s="692" t="n"/>
      <c r="C775" s="692" t="n"/>
      <c r="E775" s="692" t="n"/>
      <c r="H775" s="447" t="n"/>
      <c r="I775" s="415" t="n"/>
      <c r="K775" s="692" t="n"/>
    </row>
    <row r="776">
      <c r="A776" s="692" t="n"/>
      <c r="C776" s="692" t="n"/>
      <c r="E776" s="692" t="n"/>
      <c r="H776" s="447" t="n"/>
      <c r="I776" s="415" t="n"/>
      <c r="K776" s="692" t="n"/>
    </row>
    <row r="777">
      <c r="A777" s="692" t="n"/>
      <c r="C777" s="692" t="n"/>
      <c r="E777" s="692" t="n"/>
      <c r="H777" s="447" t="n"/>
      <c r="I777" s="415" t="n"/>
      <c r="K777" s="692" t="n"/>
    </row>
    <row r="778">
      <c r="A778" s="692" t="n"/>
      <c r="C778" s="692" t="n"/>
      <c r="E778" s="692" t="n"/>
      <c r="H778" s="447" t="n"/>
      <c r="I778" s="415" t="n"/>
      <c r="K778" s="692" t="n"/>
    </row>
    <row r="779">
      <c r="A779" s="692" t="n"/>
      <c r="C779" s="692" t="n"/>
      <c r="E779" s="692" t="n"/>
      <c r="H779" s="447" t="n"/>
      <c r="I779" s="415" t="n"/>
      <c r="K779" s="692" t="n"/>
    </row>
    <row r="780">
      <c r="A780" s="692" t="n"/>
      <c r="C780" s="692" t="n"/>
      <c r="E780" s="692" t="n"/>
      <c r="H780" s="447" t="n"/>
      <c r="I780" s="415" t="n"/>
      <c r="K780" s="692" t="n"/>
    </row>
    <row r="781">
      <c r="A781" s="692" t="n"/>
      <c r="C781" s="692" t="n"/>
      <c r="E781" s="692" t="n"/>
      <c r="H781" s="447" t="n"/>
      <c r="I781" s="415" t="n"/>
      <c r="K781" s="692" t="n"/>
    </row>
    <row r="782">
      <c r="A782" s="692" t="n"/>
      <c r="C782" s="692" t="n"/>
      <c r="E782" s="692" t="n"/>
      <c r="H782" s="447" t="n"/>
      <c r="I782" s="415" t="n"/>
      <c r="K782" s="692" t="n"/>
    </row>
    <row r="783">
      <c r="A783" s="692" t="n"/>
      <c r="C783" s="692" t="n"/>
      <c r="E783" s="692" t="n"/>
      <c r="H783" s="447" t="n"/>
      <c r="I783" s="415" t="n"/>
      <c r="K783" s="692" t="n"/>
    </row>
    <row r="784">
      <c r="A784" s="692" t="n"/>
      <c r="C784" s="692" t="n"/>
      <c r="E784" s="692" t="n"/>
      <c r="H784" s="447" t="n"/>
      <c r="I784" s="415" t="n"/>
      <c r="K784" s="692" t="n"/>
    </row>
    <row r="785">
      <c r="A785" s="692" t="n"/>
      <c r="C785" s="692" t="n"/>
      <c r="E785" s="692" t="n"/>
      <c r="H785" s="447" t="n"/>
      <c r="I785" s="415" t="n"/>
      <c r="K785" s="692" t="n"/>
    </row>
    <row r="786">
      <c r="A786" s="692" t="n"/>
      <c r="C786" s="692" t="n"/>
      <c r="E786" s="692" t="n"/>
      <c r="H786" s="447" t="n"/>
      <c r="I786" s="415" t="n"/>
      <c r="K786" s="692" t="n"/>
    </row>
    <row r="787">
      <c r="A787" s="692" t="n"/>
      <c r="C787" s="692" t="n"/>
      <c r="E787" s="692" t="n"/>
      <c r="H787" s="447" t="n"/>
      <c r="I787" s="415" t="n"/>
      <c r="K787" s="692" t="n"/>
    </row>
    <row r="788">
      <c r="A788" s="692" t="n"/>
      <c r="C788" s="692" t="n"/>
      <c r="E788" s="692" t="n"/>
      <c r="H788" s="447" t="n"/>
      <c r="I788" s="415" t="n"/>
      <c r="K788" s="692" t="n"/>
    </row>
    <row r="789">
      <c r="A789" s="692" t="n"/>
      <c r="C789" s="692" t="n"/>
      <c r="E789" s="692" t="n"/>
      <c r="H789" s="447" t="n"/>
      <c r="I789" s="415" t="n"/>
      <c r="K789" s="692" t="n"/>
    </row>
    <row r="790">
      <c r="A790" s="692" t="n"/>
      <c r="C790" s="692" t="n"/>
      <c r="E790" s="692" t="n"/>
      <c r="H790" s="447" t="n"/>
      <c r="I790" s="415" t="n"/>
      <c r="K790" s="692" t="n"/>
    </row>
    <row r="791">
      <c r="A791" s="692" t="n"/>
      <c r="C791" s="692" t="n"/>
      <c r="E791" s="692" t="n"/>
      <c r="H791" s="447" t="n"/>
      <c r="I791" s="415" t="n"/>
      <c r="K791" s="692" t="n"/>
    </row>
    <row r="792">
      <c r="A792" s="692" t="n"/>
      <c r="C792" s="692" t="n"/>
      <c r="E792" s="692" t="n"/>
      <c r="H792" s="447" t="n"/>
      <c r="I792" s="415" t="n"/>
      <c r="K792" s="692" t="n"/>
    </row>
    <row r="793">
      <c r="A793" s="692" t="n"/>
      <c r="C793" s="692" t="n"/>
      <c r="E793" s="692" t="n"/>
      <c r="H793" s="447" t="n"/>
      <c r="I793" s="415" t="n"/>
      <c r="K793" s="692" t="n"/>
    </row>
    <row r="794">
      <c r="A794" s="692" t="n"/>
      <c r="C794" s="692" t="n"/>
      <c r="E794" s="692" t="n"/>
      <c r="H794" s="447" t="n"/>
      <c r="I794" s="415" t="n"/>
      <c r="K794" s="692" t="n"/>
    </row>
    <row r="795">
      <c r="A795" s="692" t="n"/>
      <c r="C795" s="692" t="n"/>
      <c r="E795" s="692" t="n"/>
      <c r="H795" s="447" t="n"/>
      <c r="I795" s="415" t="n"/>
      <c r="K795" s="692" t="n"/>
    </row>
    <row r="796">
      <c r="A796" s="692" t="n"/>
      <c r="C796" s="692" t="n"/>
      <c r="E796" s="692" t="n"/>
      <c r="H796" s="447" t="n"/>
      <c r="I796" s="415" t="n"/>
      <c r="K796" s="692" t="n"/>
    </row>
    <row r="797">
      <c r="A797" s="692" t="n"/>
      <c r="C797" s="692" t="n"/>
      <c r="E797" s="692" t="n"/>
      <c r="H797" s="447" t="n"/>
      <c r="I797" s="415" t="n"/>
      <c r="K797" s="692" t="n"/>
    </row>
    <row r="798">
      <c r="A798" s="692" t="n"/>
      <c r="C798" s="692" t="n"/>
      <c r="E798" s="692" t="n"/>
      <c r="H798" s="447" t="n"/>
      <c r="I798" s="415" t="n"/>
      <c r="K798" s="692" t="n"/>
    </row>
    <row r="799">
      <c r="A799" s="692" t="n"/>
      <c r="C799" s="692" t="n"/>
      <c r="E799" s="692" t="n"/>
      <c r="H799" s="447" t="n"/>
      <c r="I799" s="415" t="n"/>
      <c r="K799" s="692" t="n"/>
    </row>
    <row r="800">
      <c r="A800" s="692" t="n"/>
      <c r="C800" s="692" t="n"/>
      <c r="E800" s="692" t="n"/>
      <c r="H800" s="447" t="n"/>
      <c r="I800" s="415" t="n"/>
      <c r="K800" s="692" t="n"/>
    </row>
    <row r="801">
      <c r="A801" s="692" t="n"/>
      <c r="C801" s="692" t="n"/>
      <c r="E801" s="692" t="n"/>
      <c r="H801" s="447" t="n"/>
      <c r="I801" s="415" t="n"/>
      <c r="K801" s="692" t="n"/>
    </row>
    <row r="802">
      <c r="A802" s="692" t="n"/>
      <c r="C802" s="692" t="n"/>
      <c r="E802" s="692" t="n"/>
      <c r="H802" s="447" t="n"/>
      <c r="I802" s="415" t="n"/>
      <c r="K802" s="692" t="n"/>
    </row>
    <row r="803">
      <c r="A803" s="692" t="n"/>
      <c r="C803" s="692" t="n"/>
      <c r="E803" s="692" t="n"/>
      <c r="H803" s="447" t="n"/>
      <c r="I803" s="415" t="n"/>
      <c r="K803" s="692" t="n"/>
    </row>
    <row r="804">
      <c r="A804" s="692" t="n"/>
      <c r="C804" s="692" t="n"/>
      <c r="E804" s="692" t="n"/>
      <c r="H804" s="447" t="n"/>
      <c r="I804" s="415" t="n"/>
      <c r="K804" s="692" t="n"/>
    </row>
    <row r="805">
      <c r="A805" s="692" t="n"/>
      <c r="C805" s="692" t="n"/>
      <c r="E805" s="692" t="n"/>
      <c r="H805" s="447" t="n"/>
      <c r="I805" s="415" t="n"/>
      <c r="K805" s="692" t="n"/>
    </row>
    <row r="806">
      <c r="A806" s="692" t="n"/>
      <c r="C806" s="692" t="n"/>
      <c r="E806" s="692" t="n"/>
      <c r="H806" s="447" t="n"/>
      <c r="I806" s="415" t="n"/>
      <c r="K806" s="692" t="n"/>
    </row>
    <row r="807">
      <c r="A807" s="692" t="n"/>
      <c r="C807" s="692" t="n"/>
      <c r="E807" s="692" t="n"/>
      <c r="H807" s="447" t="n"/>
      <c r="I807" s="415" t="n"/>
      <c r="K807" s="692" t="n"/>
    </row>
    <row r="808">
      <c r="A808" s="692" t="n"/>
      <c r="C808" s="692" t="n"/>
      <c r="E808" s="692" t="n"/>
      <c r="H808" s="447" t="n"/>
      <c r="I808" s="415" t="n"/>
      <c r="K808" s="692" t="n"/>
    </row>
    <row r="809">
      <c r="A809" s="692" t="n"/>
      <c r="C809" s="692" t="n"/>
      <c r="E809" s="692" t="n"/>
      <c r="H809" s="447" t="n"/>
      <c r="I809" s="415" t="n"/>
      <c r="K809" s="692" t="n"/>
    </row>
    <row r="810">
      <c r="A810" s="692" t="n"/>
      <c r="C810" s="692" t="n"/>
      <c r="E810" s="692" t="n"/>
      <c r="H810" s="447" t="n"/>
      <c r="I810" s="415" t="n"/>
      <c r="K810" s="692" t="n"/>
    </row>
    <row r="811">
      <c r="A811" s="692" t="n"/>
      <c r="C811" s="692" t="n"/>
      <c r="E811" s="692" t="n"/>
      <c r="H811" s="447" t="n"/>
      <c r="I811" s="415" t="n"/>
      <c r="K811" s="692" t="n"/>
    </row>
    <row r="812">
      <c r="A812" s="692" t="n"/>
      <c r="C812" s="692" t="n"/>
      <c r="E812" s="692" t="n"/>
      <c r="H812" s="447" t="n"/>
      <c r="I812" s="415" t="n"/>
      <c r="K812" s="692" t="n"/>
    </row>
    <row r="813">
      <c r="A813" s="692" t="n"/>
      <c r="C813" s="692" t="n"/>
      <c r="E813" s="692" t="n"/>
      <c r="H813" s="447" t="n"/>
      <c r="I813" s="415" t="n"/>
      <c r="K813" s="692" t="n"/>
    </row>
    <row r="814">
      <c r="A814" s="692" t="n"/>
      <c r="C814" s="692" t="n"/>
      <c r="E814" s="692" t="n"/>
      <c r="H814" s="447" t="n"/>
      <c r="I814" s="415" t="n"/>
      <c r="K814" s="692" t="n"/>
    </row>
    <row r="815">
      <c r="A815" s="692" t="n"/>
      <c r="C815" s="692" t="n"/>
      <c r="E815" s="692" t="n"/>
      <c r="H815" s="447" t="n"/>
      <c r="I815" s="415" t="n"/>
      <c r="K815" s="692" t="n"/>
    </row>
    <row r="816">
      <c r="A816" s="692" t="n"/>
      <c r="C816" s="692" t="n"/>
      <c r="E816" s="692" t="n"/>
      <c r="H816" s="447" t="n"/>
      <c r="I816" s="415" t="n"/>
      <c r="K816" s="692" t="n"/>
    </row>
    <row r="817">
      <c r="A817" s="692" t="n"/>
      <c r="C817" s="692" t="n"/>
      <c r="E817" s="692" t="n"/>
      <c r="H817" s="447" t="n"/>
      <c r="I817" s="415" t="n"/>
      <c r="K817" s="692" t="n"/>
    </row>
    <row r="818">
      <c r="A818" s="692" t="n"/>
      <c r="C818" s="692" t="n"/>
      <c r="E818" s="692" t="n"/>
      <c r="H818" s="447" t="n"/>
      <c r="I818" s="415" t="n"/>
      <c r="K818" s="692" t="n"/>
    </row>
    <row r="819">
      <c r="A819" s="692" t="n"/>
      <c r="C819" s="692" t="n"/>
      <c r="E819" s="692" t="n"/>
      <c r="H819" s="447" t="n"/>
      <c r="I819" s="415" t="n"/>
      <c r="K819" s="692" t="n"/>
    </row>
    <row r="820">
      <c r="A820" s="692" t="n"/>
      <c r="C820" s="692" t="n"/>
      <c r="E820" s="692" t="n"/>
      <c r="H820" s="447" t="n"/>
      <c r="I820" s="415" t="n"/>
      <c r="K820" s="692" t="n"/>
    </row>
    <row r="821">
      <c r="A821" s="692" t="n"/>
      <c r="C821" s="692" t="n"/>
      <c r="E821" s="692" t="n"/>
      <c r="H821" s="447" t="n"/>
      <c r="I821" s="415" t="n"/>
      <c r="K821" s="692" t="n"/>
    </row>
    <row r="822">
      <c r="A822" s="692" t="n"/>
      <c r="C822" s="692" t="n"/>
      <c r="E822" s="692" t="n"/>
      <c r="H822" s="447" t="n"/>
      <c r="I822" s="415" t="n"/>
      <c r="K822" s="692" t="n"/>
    </row>
    <row r="823">
      <c r="A823" s="692" t="n"/>
      <c r="C823" s="692" t="n"/>
      <c r="E823" s="692" t="n"/>
      <c r="H823" s="447" t="n"/>
      <c r="I823" s="415" t="n"/>
      <c r="K823" s="692" t="n"/>
    </row>
    <row r="824">
      <c r="A824" s="692" t="n"/>
      <c r="C824" s="692" t="n"/>
      <c r="E824" s="692" t="n"/>
      <c r="H824" s="447" t="n"/>
      <c r="I824" s="415" t="n"/>
      <c r="K824" s="692" t="n"/>
    </row>
    <row r="825">
      <c r="A825" s="692" t="n"/>
      <c r="C825" s="692" t="n"/>
      <c r="E825" s="692" t="n"/>
      <c r="H825" s="447" t="n"/>
      <c r="I825" s="415" t="n"/>
      <c r="K825" s="692" t="n"/>
    </row>
    <row r="826">
      <c r="A826" s="692" t="n"/>
      <c r="C826" s="692" t="n"/>
      <c r="E826" s="692" t="n"/>
      <c r="H826" s="447" t="n"/>
      <c r="I826" s="415" t="n"/>
      <c r="K826" s="692" t="n"/>
    </row>
    <row r="827">
      <c r="A827" s="692" t="n"/>
      <c r="C827" s="692" t="n"/>
      <c r="E827" s="692" t="n"/>
      <c r="H827" s="447" t="n"/>
      <c r="I827" s="415" t="n"/>
      <c r="K827" s="692" t="n"/>
    </row>
    <row r="828">
      <c r="A828" s="692" t="n"/>
      <c r="C828" s="692" t="n"/>
      <c r="E828" s="692" t="n"/>
      <c r="H828" s="447" t="n"/>
      <c r="I828" s="415" t="n"/>
      <c r="K828" s="692" t="n"/>
    </row>
    <row r="829">
      <c r="A829" s="692" t="n"/>
      <c r="C829" s="692" t="n"/>
      <c r="E829" s="692" t="n"/>
      <c r="H829" s="447" t="n"/>
      <c r="I829" s="415" t="n"/>
      <c r="K829" s="692" t="n"/>
    </row>
    <row r="830">
      <c r="A830" s="692" t="n"/>
      <c r="C830" s="692" t="n"/>
      <c r="E830" s="692" t="n"/>
      <c r="H830" s="447" t="n"/>
      <c r="I830" s="415" t="n"/>
      <c r="K830" s="692" t="n"/>
    </row>
    <row r="831">
      <c r="A831" s="692" t="n"/>
      <c r="C831" s="692" t="n"/>
      <c r="E831" s="692" t="n"/>
      <c r="H831" s="447" t="n"/>
      <c r="I831" s="415" t="n"/>
      <c r="K831" s="692" t="n"/>
    </row>
    <row r="832">
      <c r="A832" s="692" t="n"/>
      <c r="C832" s="692" t="n"/>
      <c r="E832" s="692" t="n"/>
      <c r="H832" s="447" t="n"/>
      <c r="I832" s="415" t="n"/>
      <c r="K832" s="692" t="n"/>
    </row>
    <row r="833">
      <c r="A833" s="692" t="n"/>
      <c r="C833" s="692" t="n"/>
      <c r="E833" s="692" t="n"/>
      <c r="H833" s="447" t="n"/>
      <c r="I833" s="415" t="n"/>
      <c r="K833" s="692" t="n"/>
    </row>
    <row r="834">
      <c r="A834" s="692" t="n"/>
      <c r="C834" s="692" t="n"/>
      <c r="E834" s="692" t="n"/>
      <c r="H834" s="447" t="n"/>
      <c r="I834" s="415" t="n"/>
      <c r="K834" s="692" t="n"/>
    </row>
    <row r="835">
      <c r="A835" s="692" t="n"/>
      <c r="C835" s="692" t="n"/>
      <c r="E835" s="692" t="n"/>
      <c r="H835" s="447" t="n"/>
      <c r="I835" s="415" t="n"/>
      <c r="K835" s="692" t="n"/>
    </row>
    <row r="836">
      <c r="A836" s="692" t="n"/>
      <c r="C836" s="692" t="n"/>
      <c r="E836" s="692" t="n"/>
      <c r="H836" s="447" t="n"/>
      <c r="I836" s="415" t="n"/>
      <c r="K836" s="692" t="n"/>
    </row>
    <row r="837">
      <c r="A837" s="692" t="n"/>
      <c r="C837" s="692" t="n"/>
      <c r="E837" s="692" t="n"/>
      <c r="H837" s="447" t="n"/>
      <c r="I837" s="415" t="n"/>
      <c r="K837" s="692" t="n"/>
    </row>
    <row r="838">
      <c r="A838" s="692" t="n"/>
      <c r="C838" s="692" t="n"/>
      <c r="E838" s="692" t="n"/>
      <c r="H838" s="447" t="n"/>
      <c r="I838" s="415" t="n"/>
      <c r="K838" s="692" t="n"/>
    </row>
    <row r="839">
      <c r="A839" s="692" t="n"/>
      <c r="C839" s="692" t="n"/>
      <c r="E839" s="692" t="n"/>
      <c r="H839" s="447" t="n"/>
      <c r="I839" s="415" t="n"/>
      <c r="K839" s="692" t="n"/>
    </row>
    <row r="840">
      <c r="A840" s="692" t="n"/>
      <c r="C840" s="692" t="n"/>
      <c r="E840" s="692" t="n"/>
      <c r="H840" s="447" t="n"/>
      <c r="I840" s="415" t="n"/>
      <c r="K840" s="692" t="n"/>
    </row>
    <row r="841">
      <c r="A841" s="692" t="n"/>
      <c r="C841" s="692" t="n"/>
      <c r="E841" s="692" t="n"/>
      <c r="H841" s="447" t="n"/>
      <c r="I841" s="415" t="n"/>
      <c r="K841" s="692" t="n"/>
    </row>
    <row r="842">
      <c r="A842" s="692" t="n"/>
      <c r="C842" s="692" t="n"/>
      <c r="E842" s="692" t="n"/>
      <c r="H842" s="447" t="n"/>
      <c r="I842" s="415" t="n"/>
      <c r="K842" s="692" t="n"/>
    </row>
    <row r="843">
      <c r="A843" s="692" t="n"/>
      <c r="C843" s="692" t="n"/>
      <c r="E843" s="692" t="n"/>
      <c r="H843" s="447" t="n"/>
      <c r="I843" s="415" t="n"/>
      <c r="K843" s="692" t="n"/>
    </row>
    <row r="844">
      <c r="A844" s="692" t="n"/>
      <c r="C844" s="692" t="n"/>
      <c r="E844" s="692" t="n"/>
      <c r="H844" s="447" t="n"/>
      <c r="I844" s="415" t="n"/>
      <c r="K844" s="692" t="n"/>
    </row>
    <row r="845">
      <c r="A845" s="692" t="n"/>
      <c r="C845" s="692" t="n"/>
      <c r="E845" s="692" t="n"/>
      <c r="H845" s="447" t="n"/>
      <c r="I845" s="415" t="n"/>
      <c r="K845" s="692" t="n"/>
    </row>
    <row r="846">
      <c r="A846" s="692" t="n"/>
      <c r="C846" s="692" t="n"/>
      <c r="E846" s="692" t="n"/>
      <c r="H846" s="447" t="n"/>
      <c r="I846" s="415" t="n"/>
      <c r="K846" s="692" t="n"/>
    </row>
    <row r="847">
      <c r="A847" s="692" t="n"/>
      <c r="C847" s="692" t="n"/>
      <c r="E847" s="692" t="n"/>
      <c r="H847" s="447" t="n"/>
      <c r="I847" s="415" t="n"/>
      <c r="K847" s="692" t="n"/>
    </row>
    <row r="848">
      <c r="A848" s="692" t="n"/>
      <c r="C848" s="692" t="n"/>
      <c r="E848" s="692" t="n"/>
      <c r="H848" s="447" t="n"/>
      <c r="I848" s="415" t="n"/>
      <c r="K848" s="692" t="n"/>
    </row>
    <row r="849">
      <c r="A849" s="692" t="n"/>
      <c r="C849" s="692" t="n"/>
      <c r="E849" s="692" t="n"/>
      <c r="H849" s="447" t="n"/>
      <c r="I849" s="415" t="n"/>
      <c r="K849" s="692" t="n"/>
    </row>
    <row r="850">
      <c r="A850" s="692" t="n"/>
      <c r="C850" s="692" t="n"/>
      <c r="E850" s="692" t="n"/>
      <c r="H850" s="447" t="n"/>
      <c r="I850" s="415" t="n"/>
      <c r="K850" s="692" t="n"/>
    </row>
    <row r="851">
      <c r="A851" s="692" t="n"/>
      <c r="C851" s="692" t="n"/>
      <c r="E851" s="692" t="n"/>
      <c r="H851" s="447" t="n"/>
      <c r="I851" s="415" t="n"/>
      <c r="K851" s="692" t="n"/>
    </row>
    <row r="852">
      <c r="A852" s="692" t="n"/>
      <c r="C852" s="692" t="n"/>
      <c r="E852" s="692" t="n"/>
      <c r="H852" s="447" t="n"/>
      <c r="I852" s="415" t="n"/>
      <c r="K852" s="692" t="n"/>
    </row>
    <row r="853">
      <c r="A853" s="692" t="n"/>
      <c r="C853" s="692" t="n"/>
      <c r="E853" s="692" t="n"/>
      <c r="H853" s="447" t="n"/>
      <c r="I853" s="415" t="n"/>
      <c r="K853" s="692" t="n"/>
    </row>
    <row r="854">
      <c r="A854" s="692" t="n"/>
      <c r="C854" s="692" t="n"/>
      <c r="E854" s="692" t="n"/>
      <c r="H854" s="447" t="n"/>
      <c r="I854" s="415" t="n"/>
      <c r="K854" s="692" t="n"/>
    </row>
    <row r="855">
      <c r="A855" s="692" t="n"/>
      <c r="C855" s="692" t="n"/>
      <c r="E855" s="692" t="n"/>
      <c r="H855" s="447" t="n"/>
      <c r="I855" s="415" t="n"/>
      <c r="K855" s="692" t="n"/>
    </row>
    <row r="856">
      <c r="A856" s="692" t="n"/>
      <c r="C856" s="692" t="n"/>
      <c r="E856" s="692" t="n"/>
      <c r="H856" s="447" t="n"/>
      <c r="I856" s="415" t="n"/>
      <c r="K856" s="692" t="n"/>
    </row>
    <row r="857">
      <c r="A857" s="692" t="n"/>
      <c r="C857" s="692" t="n"/>
      <c r="E857" s="692" t="n"/>
      <c r="H857" s="447" t="n"/>
      <c r="I857" s="415" t="n"/>
      <c r="K857" s="692" t="n"/>
    </row>
    <row r="858">
      <c r="A858" s="692" t="n"/>
      <c r="C858" s="692" t="n"/>
      <c r="E858" s="692" t="n"/>
      <c r="H858" s="447" t="n"/>
      <c r="I858" s="415" t="n"/>
      <c r="K858" s="692" t="n"/>
    </row>
    <row r="859">
      <c r="A859" s="692" t="n"/>
      <c r="C859" s="692" t="n"/>
      <c r="E859" s="692" t="n"/>
      <c r="H859" s="447" t="n"/>
      <c r="I859" s="415" t="n"/>
      <c r="K859" s="692" t="n"/>
    </row>
    <row r="860">
      <c r="A860" s="692" t="n"/>
      <c r="C860" s="692" t="n"/>
      <c r="E860" s="692" t="n"/>
      <c r="H860" s="447" t="n"/>
      <c r="I860" s="415" t="n"/>
      <c r="K860" s="692" t="n"/>
    </row>
    <row r="861">
      <c r="A861" s="692" t="n"/>
      <c r="C861" s="692" t="n"/>
      <c r="E861" s="692" t="n"/>
      <c r="H861" s="447" t="n"/>
      <c r="I861" s="415" t="n"/>
      <c r="K861" s="692" t="n"/>
    </row>
    <row r="862">
      <c r="A862" s="692" t="n"/>
      <c r="C862" s="692" t="n"/>
      <c r="E862" s="692" t="n"/>
      <c r="H862" s="447" t="n"/>
      <c r="I862" s="415" t="n"/>
      <c r="K862" s="692" t="n"/>
    </row>
    <row r="863">
      <c r="A863" s="692" t="n"/>
      <c r="C863" s="692" t="n"/>
      <c r="E863" s="692" t="n"/>
      <c r="H863" s="447" t="n"/>
      <c r="I863" s="415" t="n"/>
      <c r="K863" s="692" t="n"/>
    </row>
    <row r="864">
      <c r="A864" s="692" t="n"/>
      <c r="C864" s="692" t="n"/>
      <c r="E864" s="692" t="n"/>
      <c r="H864" s="447" t="n"/>
      <c r="I864" s="415" t="n"/>
      <c r="K864" s="692" t="n"/>
    </row>
    <row r="865">
      <c r="A865" s="692" t="n"/>
      <c r="C865" s="692" t="n"/>
      <c r="E865" s="692" t="n"/>
      <c r="H865" s="447" t="n"/>
      <c r="I865" s="415" t="n"/>
      <c r="K865" s="692" t="n"/>
    </row>
    <row r="866">
      <c r="A866" s="692" t="n"/>
      <c r="C866" s="692" t="n"/>
      <c r="E866" s="692" t="n"/>
      <c r="H866" s="447" t="n"/>
      <c r="I866" s="415" t="n"/>
      <c r="K866" s="692" t="n"/>
    </row>
    <row r="867">
      <c r="A867" s="692" t="n"/>
      <c r="C867" s="692" t="n"/>
      <c r="E867" s="692" t="n"/>
      <c r="H867" s="447" t="n"/>
      <c r="I867" s="415" t="n"/>
      <c r="K867" s="692" t="n"/>
    </row>
    <row r="868">
      <c r="A868" s="692" t="n"/>
      <c r="C868" s="692" t="n"/>
      <c r="E868" s="692" t="n"/>
      <c r="H868" s="447" t="n"/>
      <c r="I868" s="415" t="n"/>
      <c r="K868" s="692" t="n"/>
    </row>
    <row r="869">
      <c r="A869" s="692" t="n"/>
      <c r="C869" s="692" t="n"/>
      <c r="E869" s="692" t="n"/>
      <c r="H869" s="447" t="n"/>
      <c r="I869" s="415" t="n"/>
      <c r="K869" s="692" t="n"/>
    </row>
    <row r="870">
      <c r="A870" s="692" t="n"/>
      <c r="C870" s="692" t="n"/>
      <c r="E870" s="692" t="n"/>
      <c r="H870" s="447" t="n"/>
      <c r="I870" s="415" t="n"/>
      <c r="K870" s="692" t="n"/>
    </row>
    <row r="871">
      <c r="A871" s="692" t="n"/>
      <c r="C871" s="692" t="n"/>
      <c r="E871" s="692" t="n"/>
      <c r="H871" s="447" t="n"/>
      <c r="I871" s="415" t="n"/>
      <c r="K871" s="692" t="n"/>
    </row>
    <row r="872">
      <c r="A872" s="692" t="n"/>
      <c r="C872" s="692" t="n"/>
      <c r="E872" s="692" t="n"/>
      <c r="H872" s="447" t="n"/>
      <c r="I872" s="415" t="n"/>
      <c r="K872" s="692" t="n"/>
    </row>
    <row r="873">
      <c r="A873" s="692" t="n"/>
      <c r="C873" s="692" t="n"/>
      <c r="E873" s="692" t="n"/>
      <c r="H873" s="447" t="n"/>
      <c r="I873" s="415" t="n"/>
      <c r="K873" s="692" t="n"/>
    </row>
    <row r="874">
      <c r="A874" s="692" t="n"/>
      <c r="C874" s="692" t="n"/>
      <c r="E874" s="692" t="n"/>
      <c r="H874" s="447" t="n"/>
      <c r="I874" s="415" t="n"/>
      <c r="K874" s="692" t="n"/>
    </row>
    <row r="875">
      <c r="A875" s="692" t="n"/>
      <c r="C875" s="692" t="n"/>
      <c r="E875" s="692" t="n"/>
      <c r="H875" s="447" t="n"/>
      <c r="I875" s="415" t="n"/>
      <c r="K875" s="692" t="n"/>
    </row>
    <row r="876">
      <c r="A876" s="692" t="n"/>
      <c r="C876" s="692" t="n"/>
      <c r="E876" s="692" t="n"/>
      <c r="H876" s="447" t="n"/>
      <c r="I876" s="415" t="n"/>
      <c r="K876" s="692" t="n"/>
    </row>
    <row r="877">
      <c r="A877" s="692" t="n"/>
      <c r="C877" s="692" t="n"/>
      <c r="E877" s="692" t="n"/>
      <c r="H877" s="447" t="n"/>
      <c r="I877" s="415" t="n"/>
      <c r="K877" s="692" t="n"/>
    </row>
    <row r="878">
      <c r="A878" s="692" t="n"/>
      <c r="C878" s="692" t="n"/>
      <c r="E878" s="692" t="n"/>
      <c r="H878" s="447" t="n"/>
      <c r="I878" s="415" t="n"/>
      <c r="K878" s="692" t="n"/>
    </row>
    <row r="879">
      <c r="A879" s="692" t="n"/>
      <c r="C879" s="692" t="n"/>
      <c r="E879" s="692" t="n"/>
      <c r="H879" s="447" t="n"/>
      <c r="I879" s="415" t="n"/>
      <c r="K879" s="692" t="n"/>
    </row>
    <row r="880">
      <c r="A880" s="692" t="n"/>
      <c r="C880" s="692" t="n"/>
      <c r="E880" s="692" t="n"/>
      <c r="H880" s="447" t="n"/>
      <c r="I880" s="415" t="n"/>
      <c r="K880" s="692" t="n"/>
    </row>
    <row r="881">
      <c r="A881" s="692" t="n"/>
      <c r="C881" s="692" t="n"/>
      <c r="E881" s="692" t="n"/>
      <c r="H881" s="447" t="n"/>
      <c r="I881" s="415" t="n"/>
      <c r="K881" s="692" t="n"/>
    </row>
    <row r="882">
      <c r="A882" s="692" t="n"/>
      <c r="C882" s="692" t="n"/>
      <c r="E882" s="692" t="n"/>
      <c r="H882" s="447" t="n"/>
      <c r="I882" s="415" t="n"/>
      <c r="K882" s="692" t="n"/>
    </row>
    <row r="883">
      <c r="A883" s="692" t="n"/>
      <c r="C883" s="692" t="n"/>
      <c r="E883" s="692" t="n"/>
      <c r="H883" s="447" t="n"/>
      <c r="I883" s="415" t="n"/>
      <c r="K883" s="692" t="n"/>
    </row>
    <row r="884">
      <c r="A884" s="692" t="n"/>
      <c r="C884" s="692" t="n"/>
      <c r="E884" s="692" t="n"/>
      <c r="H884" s="447" t="n"/>
      <c r="I884" s="415" t="n"/>
      <c r="K884" s="692" t="n"/>
    </row>
    <row r="885">
      <c r="A885" s="692" t="n"/>
      <c r="C885" s="692" t="n"/>
      <c r="E885" s="692" t="n"/>
      <c r="H885" s="447" t="n"/>
      <c r="I885" s="415" t="n"/>
      <c r="K885" s="692" t="n"/>
    </row>
    <row r="886">
      <c r="A886" s="692" t="n"/>
      <c r="C886" s="692" t="n"/>
      <c r="E886" s="692" t="n"/>
      <c r="H886" s="447" t="n"/>
      <c r="I886" s="415" t="n"/>
      <c r="K886" s="692" t="n"/>
    </row>
    <row r="887">
      <c r="A887" s="692" t="n"/>
      <c r="C887" s="692" t="n"/>
      <c r="E887" s="692" t="n"/>
      <c r="H887" s="447" t="n"/>
      <c r="I887" s="415" t="n"/>
      <c r="K887" s="692" t="n"/>
    </row>
    <row r="888">
      <c r="A888" s="692" t="n"/>
      <c r="C888" s="692" t="n"/>
      <c r="E888" s="692" t="n"/>
      <c r="H888" s="447" t="n"/>
      <c r="I888" s="415" t="n"/>
      <c r="K888" s="692" t="n"/>
    </row>
    <row r="889">
      <c r="A889" s="692" t="n"/>
      <c r="C889" s="692" t="n"/>
      <c r="E889" s="692" t="n"/>
      <c r="H889" s="447" t="n"/>
      <c r="I889" s="415" t="n"/>
      <c r="K889" s="692" t="n"/>
    </row>
    <row r="890">
      <c r="A890" s="692" t="n"/>
      <c r="C890" s="692" t="n"/>
      <c r="E890" s="692" t="n"/>
      <c r="H890" s="447" t="n"/>
      <c r="I890" s="415" t="n"/>
      <c r="K890" s="692" t="n"/>
    </row>
    <row r="891">
      <c r="A891" s="692" t="n"/>
      <c r="C891" s="692" t="n"/>
      <c r="E891" s="692" t="n"/>
      <c r="H891" s="447" t="n"/>
      <c r="I891" s="415" t="n"/>
      <c r="K891" s="692" t="n"/>
    </row>
    <row r="892">
      <c r="A892" s="692" t="n"/>
      <c r="C892" s="692" t="n"/>
      <c r="E892" s="692" t="n"/>
      <c r="H892" s="447" t="n"/>
      <c r="I892" s="415" t="n"/>
      <c r="K892" s="692" t="n"/>
    </row>
    <row r="893">
      <c r="A893" s="692" t="n"/>
      <c r="C893" s="692" t="n"/>
      <c r="E893" s="692" t="n"/>
      <c r="H893" s="447" t="n"/>
      <c r="I893" s="415" t="n"/>
      <c r="K893" s="692" t="n"/>
    </row>
    <row r="894">
      <c r="A894" s="692" t="n"/>
      <c r="C894" s="692" t="n"/>
      <c r="E894" s="692" t="n"/>
      <c r="H894" s="447" t="n"/>
      <c r="I894" s="415" t="n"/>
      <c r="K894" s="692" t="n"/>
    </row>
    <row r="895">
      <c r="A895" s="692" t="n"/>
      <c r="C895" s="692" t="n"/>
      <c r="E895" s="692" t="n"/>
      <c r="H895" s="447" t="n"/>
      <c r="I895" s="415" t="n"/>
      <c r="K895" s="692" t="n"/>
    </row>
    <row r="896">
      <c r="A896" s="692" t="n"/>
      <c r="C896" s="692" t="n"/>
      <c r="E896" s="692" t="n"/>
      <c r="H896" s="447" t="n"/>
      <c r="I896" s="415" t="n"/>
      <c r="K896" s="692" t="n"/>
    </row>
    <row r="897">
      <c r="A897" s="692" t="n"/>
      <c r="C897" s="692" t="n"/>
      <c r="E897" s="692" t="n"/>
      <c r="H897" s="447" t="n"/>
      <c r="I897" s="415" t="n"/>
      <c r="K897" s="692" t="n"/>
    </row>
    <row r="898">
      <c r="A898" s="692" t="n"/>
      <c r="C898" s="692" t="n"/>
      <c r="E898" s="692" t="n"/>
      <c r="H898" s="447" t="n"/>
      <c r="I898" s="415" t="n"/>
      <c r="K898" s="692" t="n"/>
    </row>
    <row r="899">
      <c r="A899" s="692" t="n"/>
      <c r="C899" s="692" t="n"/>
      <c r="E899" s="692" t="n"/>
      <c r="H899" s="447" t="n"/>
      <c r="I899" s="415" t="n"/>
      <c r="K899" s="692" t="n"/>
    </row>
    <row r="900">
      <c r="A900" s="692" t="n"/>
      <c r="C900" s="692" t="n"/>
      <c r="E900" s="692" t="n"/>
      <c r="H900" s="447" t="n"/>
      <c r="I900" s="415" t="n"/>
      <c r="K900" s="692" t="n"/>
    </row>
    <row r="901">
      <c r="A901" s="692" t="n"/>
      <c r="C901" s="692" t="n"/>
      <c r="E901" s="692" t="n"/>
      <c r="H901" s="447" t="n"/>
      <c r="I901" s="415" t="n"/>
      <c r="K901" s="692" t="n"/>
    </row>
    <row r="902">
      <c r="A902" s="692" t="n"/>
      <c r="C902" s="692" t="n"/>
      <c r="E902" s="692" t="n"/>
      <c r="H902" s="447" t="n"/>
      <c r="I902" s="415" t="n"/>
      <c r="K902" s="692" t="n"/>
    </row>
    <row r="903">
      <c r="A903" s="692" t="n"/>
      <c r="C903" s="692" t="n"/>
      <c r="E903" s="692" t="n"/>
      <c r="H903" s="447" t="n"/>
      <c r="I903" s="415" t="n"/>
      <c r="K903" s="692" t="n"/>
    </row>
    <row r="904">
      <c r="A904" s="692" t="n"/>
      <c r="C904" s="692" t="n"/>
      <c r="E904" s="692" t="n"/>
      <c r="H904" s="447" t="n"/>
      <c r="I904" s="415" t="n"/>
      <c r="K904" s="692" t="n"/>
    </row>
    <row r="905">
      <c r="A905" s="692" t="n"/>
      <c r="C905" s="692" t="n"/>
      <c r="E905" s="692" t="n"/>
      <c r="H905" s="447" t="n"/>
      <c r="I905" s="415" t="n"/>
      <c r="K905" s="692" t="n"/>
    </row>
    <row r="906">
      <c r="A906" s="692" t="n"/>
      <c r="C906" s="692" t="n"/>
      <c r="E906" s="692" t="n"/>
      <c r="H906" s="447" t="n"/>
      <c r="I906" s="415" t="n"/>
      <c r="K906" s="692" t="n"/>
    </row>
    <row r="907">
      <c r="A907" s="692" t="n"/>
      <c r="C907" s="692" t="n"/>
      <c r="E907" s="692" t="n"/>
      <c r="H907" s="447" t="n"/>
      <c r="I907" s="415" t="n"/>
      <c r="K907" s="692" t="n"/>
    </row>
    <row r="908">
      <c r="A908" s="692" t="n"/>
      <c r="C908" s="692" t="n"/>
      <c r="E908" s="692" t="n"/>
      <c r="H908" s="447" t="n"/>
      <c r="I908" s="415" t="n"/>
      <c r="K908" s="692" t="n"/>
    </row>
    <row r="909">
      <c r="A909" s="692" t="n"/>
      <c r="C909" s="692" t="n"/>
      <c r="E909" s="692" t="n"/>
      <c r="H909" s="447" t="n"/>
      <c r="I909" s="415" t="n"/>
      <c r="K909" s="692" t="n"/>
    </row>
    <row r="910">
      <c r="A910" s="692" t="n"/>
      <c r="C910" s="692" t="n"/>
      <c r="E910" s="692" t="n"/>
      <c r="H910" s="447" t="n"/>
      <c r="I910" s="415" t="n"/>
      <c r="K910" s="692" t="n"/>
    </row>
    <row r="911">
      <c r="A911" s="692" t="n"/>
      <c r="C911" s="692" t="n"/>
      <c r="E911" s="692" t="n"/>
      <c r="H911" s="447" t="n"/>
      <c r="I911" s="415" t="n"/>
      <c r="K911" s="692" t="n"/>
    </row>
    <row r="912">
      <c r="A912" s="692" t="n"/>
      <c r="C912" s="692" t="n"/>
      <c r="E912" s="692" t="n"/>
      <c r="H912" s="447" t="n"/>
      <c r="I912" s="415" t="n"/>
      <c r="K912" s="692" t="n"/>
    </row>
    <row r="913">
      <c r="A913" s="692" t="n"/>
      <c r="C913" s="692" t="n"/>
      <c r="E913" s="692" t="n"/>
      <c r="H913" s="447" t="n"/>
      <c r="I913" s="415" t="n"/>
      <c r="K913" s="692" t="n"/>
    </row>
    <row r="914">
      <c r="A914" s="692" t="n"/>
      <c r="C914" s="692" t="n"/>
      <c r="E914" s="692" t="n"/>
      <c r="H914" s="447" t="n"/>
      <c r="I914" s="415" t="n"/>
      <c r="K914" s="692" t="n"/>
    </row>
    <row r="915">
      <c r="A915" s="692" t="n"/>
      <c r="C915" s="692" t="n"/>
      <c r="E915" s="692" t="n"/>
      <c r="H915" s="447" t="n"/>
      <c r="I915" s="415" t="n"/>
      <c r="K915" s="692" t="n"/>
    </row>
    <row r="916">
      <c r="A916" s="692" t="n"/>
      <c r="C916" s="692" t="n"/>
      <c r="E916" s="692" t="n"/>
      <c r="H916" s="447" t="n"/>
      <c r="I916" s="415" t="n"/>
      <c r="K916" s="692" t="n"/>
    </row>
    <row r="917">
      <c r="A917" s="692" t="n"/>
      <c r="C917" s="692" t="n"/>
      <c r="E917" s="692" t="n"/>
      <c r="H917" s="447" t="n"/>
      <c r="I917" s="415" t="n"/>
      <c r="K917" s="692" t="n"/>
    </row>
    <row r="918">
      <c r="A918" s="692" t="n"/>
      <c r="C918" s="692" t="n"/>
      <c r="E918" s="692" t="n"/>
      <c r="H918" s="447" t="n"/>
      <c r="I918" s="415" t="n"/>
      <c r="K918" s="692" t="n"/>
    </row>
    <row r="919">
      <c r="A919" s="692" t="n"/>
      <c r="C919" s="692" t="n"/>
      <c r="E919" s="692" t="n"/>
      <c r="H919" s="447" t="n"/>
      <c r="I919" s="415" t="n"/>
      <c r="K919" s="692" t="n"/>
    </row>
    <row r="920">
      <c r="A920" s="692" t="n"/>
      <c r="C920" s="692" t="n"/>
      <c r="E920" s="692" t="n"/>
      <c r="H920" s="447" t="n"/>
      <c r="I920" s="415" t="n"/>
      <c r="K920" s="692" t="n"/>
    </row>
    <row r="921">
      <c r="A921" s="692" t="n"/>
      <c r="C921" s="692" t="n"/>
      <c r="E921" s="692" t="n"/>
      <c r="H921" s="447" t="n"/>
      <c r="I921" s="415" t="n"/>
      <c r="K921" s="692" t="n"/>
    </row>
    <row r="922">
      <c r="A922" s="692" t="n"/>
      <c r="C922" s="692" t="n"/>
      <c r="E922" s="692" t="n"/>
      <c r="H922" s="447" t="n"/>
      <c r="I922" s="415" t="n"/>
      <c r="K922" s="692" t="n"/>
    </row>
    <row r="923">
      <c r="A923" s="692" t="n"/>
      <c r="C923" s="692" t="n"/>
      <c r="E923" s="692" t="n"/>
      <c r="H923" s="447" t="n"/>
      <c r="I923" s="415" t="n"/>
      <c r="K923" s="692" t="n"/>
    </row>
    <row r="924">
      <c r="A924" s="692" t="n"/>
      <c r="C924" s="692" t="n"/>
      <c r="E924" s="692" t="n"/>
      <c r="H924" s="447" t="n"/>
      <c r="I924" s="415" t="n"/>
      <c r="K924" s="692" t="n"/>
    </row>
    <row r="925">
      <c r="A925" s="692" t="n"/>
      <c r="C925" s="692" t="n"/>
      <c r="E925" s="692" t="n"/>
      <c r="H925" s="447" t="n"/>
      <c r="I925" s="415" t="n"/>
      <c r="K925" s="692" t="n"/>
    </row>
    <row r="926">
      <c r="A926" s="692" t="n"/>
      <c r="C926" s="692" t="n"/>
      <c r="E926" s="692" t="n"/>
      <c r="H926" s="447" t="n"/>
      <c r="I926" s="415" t="n"/>
      <c r="K926" s="692" t="n"/>
    </row>
    <row r="927">
      <c r="A927" s="692" t="n"/>
      <c r="C927" s="692" t="n"/>
      <c r="E927" s="692" t="n"/>
      <c r="H927" s="447" t="n"/>
      <c r="I927" s="415" t="n"/>
      <c r="K927" s="692" t="n"/>
    </row>
    <row r="928">
      <c r="A928" s="692" t="n"/>
      <c r="C928" s="692" t="n"/>
      <c r="E928" s="692" t="n"/>
      <c r="H928" s="447" t="n"/>
      <c r="I928" s="415" t="n"/>
      <c r="K928" s="692" t="n"/>
    </row>
    <row r="929">
      <c r="A929" s="692" t="n"/>
      <c r="C929" s="692" t="n"/>
      <c r="E929" s="692" t="n"/>
      <c r="H929" s="447" t="n"/>
      <c r="I929" s="415" t="n"/>
      <c r="K929" s="692" t="n"/>
    </row>
    <row r="930">
      <c r="A930" s="692" t="n"/>
      <c r="C930" s="692" t="n"/>
      <c r="E930" s="692" t="n"/>
      <c r="H930" s="447" t="n"/>
      <c r="I930" s="415" t="n"/>
      <c r="K930" s="692" t="n"/>
    </row>
    <row r="931">
      <c r="A931" s="692" t="n"/>
      <c r="C931" s="692" t="n"/>
      <c r="E931" s="692" t="n"/>
      <c r="H931" s="447" t="n"/>
      <c r="I931" s="415" t="n"/>
      <c r="K931" s="692" t="n"/>
    </row>
    <row r="932">
      <c r="A932" s="692" t="n"/>
      <c r="C932" s="692" t="n"/>
      <c r="E932" s="692" t="n"/>
      <c r="H932" s="447" t="n"/>
      <c r="I932" s="415" t="n"/>
      <c r="K932" s="692" t="n"/>
    </row>
    <row r="933">
      <c r="A933" s="692" t="n"/>
      <c r="C933" s="692" t="n"/>
      <c r="E933" s="692" t="n"/>
      <c r="H933" s="447" t="n"/>
      <c r="I933" s="415" t="n"/>
      <c r="K933" s="692" t="n"/>
    </row>
    <row r="934">
      <c r="A934" s="692" t="n"/>
      <c r="C934" s="692" t="n"/>
      <c r="E934" s="692" t="n"/>
      <c r="H934" s="447" t="n"/>
      <c r="I934" s="415" t="n"/>
      <c r="K934" s="692" t="n"/>
    </row>
    <row r="935">
      <c r="A935" s="692" t="n"/>
      <c r="C935" s="692" t="n"/>
      <c r="E935" s="692" t="n"/>
      <c r="H935" s="447" t="n"/>
      <c r="I935" s="415" t="n"/>
      <c r="K935" s="692" t="n"/>
    </row>
    <row r="936">
      <c r="A936" s="692" t="n"/>
      <c r="C936" s="692" t="n"/>
      <c r="E936" s="692" t="n"/>
      <c r="H936" s="447" t="n"/>
      <c r="I936" s="415" t="n"/>
      <c r="K936" s="692" t="n"/>
    </row>
    <row r="937">
      <c r="A937" s="692" t="n"/>
      <c r="C937" s="692" t="n"/>
      <c r="E937" s="692" t="n"/>
      <c r="H937" s="447" t="n"/>
      <c r="I937" s="415" t="n"/>
      <c r="K937" s="692" t="n"/>
    </row>
    <row r="938">
      <c r="A938" s="692" t="n"/>
      <c r="C938" s="692" t="n"/>
      <c r="E938" s="692" t="n"/>
      <c r="H938" s="447" t="n"/>
      <c r="I938" s="415" t="n"/>
      <c r="K938" s="692" t="n"/>
    </row>
    <row r="939">
      <c r="A939" s="692" t="n"/>
      <c r="C939" s="692" t="n"/>
      <c r="E939" s="692" t="n"/>
      <c r="H939" s="447" t="n"/>
      <c r="I939" s="415" t="n"/>
      <c r="K939" s="692" t="n"/>
    </row>
    <row r="940">
      <c r="A940" s="692" t="n"/>
      <c r="C940" s="692" t="n"/>
      <c r="E940" s="692" t="n"/>
      <c r="H940" s="447" t="n"/>
      <c r="I940" s="415" t="n"/>
      <c r="K940" s="692" t="n"/>
    </row>
    <row r="941">
      <c r="A941" s="692" t="n"/>
      <c r="C941" s="692" t="n"/>
      <c r="E941" s="692" t="n"/>
      <c r="H941" s="447" t="n"/>
      <c r="I941" s="415" t="n"/>
      <c r="K941" s="692" t="n"/>
    </row>
    <row r="942">
      <c r="A942" s="692" t="n"/>
      <c r="C942" s="692" t="n"/>
      <c r="E942" s="692" t="n"/>
      <c r="H942" s="447" t="n"/>
      <c r="I942" s="415" t="n"/>
      <c r="K942" s="692" t="n"/>
    </row>
    <row r="943">
      <c r="A943" s="692" t="n"/>
      <c r="C943" s="692" t="n"/>
      <c r="E943" s="692" t="n"/>
      <c r="H943" s="447" t="n"/>
      <c r="I943" s="415" t="n"/>
      <c r="K943" s="692" t="n"/>
    </row>
    <row r="944">
      <c r="A944" s="692" t="n"/>
      <c r="C944" s="692" t="n"/>
      <c r="E944" s="692" t="n"/>
      <c r="H944" s="447" t="n"/>
      <c r="I944" s="415" t="n"/>
      <c r="K944" s="692" t="n"/>
    </row>
    <row r="945">
      <c r="A945" s="692" t="n"/>
      <c r="C945" s="692" t="n"/>
      <c r="E945" s="692" t="n"/>
      <c r="H945" s="447" t="n"/>
      <c r="I945" s="415" t="n"/>
      <c r="K945" s="692" t="n"/>
    </row>
    <row r="946">
      <c r="A946" s="692" t="n"/>
      <c r="C946" s="692" t="n"/>
      <c r="E946" s="692" t="n"/>
      <c r="H946" s="447" t="n"/>
      <c r="I946" s="415" t="n"/>
      <c r="K946" s="692" t="n"/>
    </row>
    <row r="947">
      <c r="A947" s="692" t="n"/>
      <c r="C947" s="692" t="n"/>
      <c r="E947" s="692" t="n"/>
      <c r="H947" s="447" t="n"/>
      <c r="I947" s="415" t="n"/>
      <c r="K947" s="692" t="n"/>
    </row>
    <row r="948">
      <c r="A948" s="692" t="n"/>
      <c r="C948" s="692" t="n"/>
      <c r="E948" s="692" t="n"/>
      <c r="H948" s="447" t="n"/>
      <c r="I948" s="415" t="n"/>
      <c r="K948" s="692" t="n"/>
    </row>
    <row r="949">
      <c r="A949" s="692" t="n"/>
      <c r="C949" s="692" t="n"/>
      <c r="E949" s="692" t="n"/>
      <c r="H949" s="447" t="n"/>
      <c r="I949" s="415" t="n"/>
      <c r="K949" s="692" t="n"/>
    </row>
    <row r="950">
      <c r="A950" s="692" t="n"/>
      <c r="C950" s="692" t="n"/>
      <c r="E950" s="692" t="n"/>
      <c r="H950" s="447" t="n"/>
      <c r="I950" s="415" t="n"/>
      <c r="K950" s="692" t="n"/>
    </row>
    <row r="951">
      <c r="A951" s="692" t="n"/>
      <c r="C951" s="692" t="n"/>
      <c r="E951" s="692" t="n"/>
      <c r="H951" s="447" t="n"/>
      <c r="I951" s="415" t="n"/>
      <c r="K951" s="692" t="n"/>
    </row>
    <row r="952">
      <c r="A952" s="692" t="n"/>
      <c r="C952" s="692" t="n"/>
      <c r="E952" s="692" t="n"/>
      <c r="H952" s="447" t="n"/>
      <c r="I952" s="415" t="n"/>
      <c r="K952" s="692" t="n"/>
    </row>
    <row r="953">
      <c r="A953" s="692" t="n"/>
      <c r="C953" s="692" t="n"/>
      <c r="E953" s="692" t="n"/>
      <c r="H953" s="447" t="n"/>
      <c r="I953" s="415" t="n"/>
      <c r="K953" s="692" t="n"/>
    </row>
    <row r="954">
      <c r="A954" s="692" t="n"/>
      <c r="C954" s="692" t="n"/>
      <c r="E954" s="692" t="n"/>
      <c r="H954" s="447" t="n"/>
      <c r="I954" s="415" t="n"/>
      <c r="K954" s="692" t="n"/>
    </row>
    <row r="955">
      <c r="A955" s="692" t="n"/>
      <c r="C955" s="692" t="n"/>
      <c r="E955" s="692" t="n"/>
      <c r="H955" s="447" t="n"/>
      <c r="I955" s="415" t="n"/>
      <c r="K955" s="692" t="n"/>
    </row>
    <row r="956">
      <c r="A956" s="692" t="n"/>
      <c r="C956" s="692" t="n"/>
      <c r="E956" s="692" t="n"/>
      <c r="H956" s="447" t="n"/>
      <c r="I956" s="415" t="n"/>
      <c r="K956" s="692" t="n"/>
    </row>
    <row r="957">
      <c r="A957" s="692" t="n"/>
      <c r="C957" s="692" t="n"/>
      <c r="E957" s="692" t="n"/>
      <c r="H957" s="447" t="n"/>
      <c r="I957" s="415" t="n"/>
      <c r="K957" s="692" t="n"/>
    </row>
    <row r="958">
      <c r="A958" s="692" t="n"/>
      <c r="C958" s="692" t="n"/>
      <c r="E958" s="692" t="n"/>
      <c r="H958" s="447" t="n"/>
      <c r="I958" s="415" t="n"/>
      <c r="K958" s="692" t="n"/>
    </row>
    <row r="959">
      <c r="A959" s="692" t="n"/>
      <c r="C959" s="692" t="n"/>
      <c r="E959" s="692" t="n"/>
      <c r="H959" s="447" t="n"/>
      <c r="I959" s="415" t="n"/>
      <c r="K959" s="692" t="n"/>
    </row>
    <row r="960">
      <c r="A960" s="692" t="n"/>
      <c r="C960" s="692" t="n"/>
      <c r="E960" s="692" t="n"/>
      <c r="H960" s="447" t="n"/>
      <c r="I960" s="415" t="n"/>
      <c r="K960" s="692" t="n"/>
    </row>
    <row r="961">
      <c r="A961" s="692" t="n"/>
      <c r="C961" s="692" t="n"/>
      <c r="E961" s="692" t="n"/>
      <c r="H961" s="447" t="n"/>
      <c r="I961" s="415" t="n"/>
      <c r="K961" s="692" t="n"/>
    </row>
    <row r="962">
      <c r="A962" s="692" t="n"/>
      <c r="C962" s="692" t="n"/>
      <c r="E962" s="692" t="n"/>
      <c r="H962" s="447" t="n"/>
      <c r="I962" s="415" t="n"/>
      <c r="K962" s="692" t="n"/>
    </row>
    <row r="963">
      <c r="A963" s="692" t="n"/>
      <c r="C963" s="692" t="n"/>
      <c r="E963" s="692" t="n"/>
      <c r="H963" s="447" t="n"/>
      <c r="I963" s="415" t="n"/>
      <c r="K963" s="692" t="n"/>
    </row>
    <row r="964">
      <c r="A964" s="692" t="n"/>
      <c r="C964" s="692" t="n"/>
      <c r="E964" s="692" t="n"/>
      <c r="H964" s="447" t="n"/>
      <c r="I964" s="415" t="n"/>
      <c r="K964" s="692" t="n"/>
    </row>
    <row r="965">
      <c r="A965" s="692" t="n"/>
      <c r="C965" s="692" t="n"/>
      <c r="E965" s="692" t="n"/>
      <c r="H965" s="447" t="n"/>
      <c r="I965" s="415" t="n"/>
      <c r="K965" s="692" t="n"/>
    </row>
    <row r="966">
      <c r="A966" s="692" t="n"/>
      <c r="C966" s="692" t="n"/>
      <c r="E966" s="692" t="n"/>
      <c r="H966" s="447" t="n"/>
      <c r="I966" s="415" t="n"/>
      <c r="K966" s="692" t="n"/>
    </row>
    <row r="967">
      <c r="A967" s="692" t="n"/>
      <c r="C967" s="692" t="n"/>
      <c r="E967" s="692" t="n"/>
      <c r="H967" s="447" t="n"/>
      <c r="I967" s="415" t="n"/>
      <c r="K967" s="692" t="n"/>
    </row>
    <row r="968">
      <c r="A968" s="692" t="n"/>
      <c r="C968" s="692" t="n"/>
      <c r="E968" s="692" t="n"/>
      <c r="H968" s="447" t="n"/>
      <c r="I968" s="415" t="n"/>
      <c r="K968" s="692" t="n"/>
    </row>
    <row r="969">
      <c r="A969" s="692" t="n"/>
      <c r="C969" s="692" t="n"/>
      <c r="E969" s="692" t="n"/>
      <c r="H969" s="447" t="n"/>
      <c r="I969" s="415" t="n"/>
      <c r="K969" s="692" t="n"/>
    </row>
    <row r="970">
      <c r="A970" s="692" t="n"/>
      <c r="C970" s="692" t="n"/>
      <c r="E970" s="692" t="n"/>
      <c r="H970" s="447" t="n"/>
      <c r="I970" s="415" t="n"/>
      <c r="K970" s="692" t="n"/>
    </row>
    <row r="971">
      <c r="A971" s="692" t="n"/>
      <c r="C971" s="692" t="n"/>
      <c r="E971" s="692" t="n"/>
      <c r="H971" s="447" t="n"/>
      <c r="I971" s="415" t="n"/>
      <c r="K971" s="692" t="n"/>
    </row>
    <row r="972">
      <c r="A972" s="692" t="n"/>
      <c r="C972" s="692" t="n"/>
      <c r="E972" s="692" t="n"/>
      <c r="H972" s="447" t="n"/>
      <c r="I972" s="415" t="n"/>
      <c r="K972" s="692" t="n"/>
    </row>
    <row r="973">
      <c r="A973" s="692" t="n"/>
      <c r="C973" s="692" t="n"/>
      <c r="E973" s="692" t="n"/>
      <c r="H973" s="447" t="n"/>
      <c r="I973" s="415" t="n"/>
      <c r="K973" s="692" t="n"/>
    </row>
    <row r="974">
      <c r="A974" s="692" t="n"/>
      <c r="C974" s="692" t="n"/>
      <c r="E974" s="692" t="n"/>
      <c r="H974" s="447" t="n"/>
      <c r="I974" s="415" t="n"/>
      <c r="K974" s="692" t="n"/>
    </row>
    <row r="975">
      <c r="A975" s="692" t="n"/>
      <c r="C975" s="692" t="n"/>
      <c r="E975" s="692" t="n"/>
      <c r="H975" s="447" t="n"/>
      <c r="I975" s="415" t="n"/>
      <c r="K975" s="692" t="n"/>
    </row>
    <row r="976">
      <c r="A976" s="692" t="n"/>
      <c r="C976" s="692" t="n"/>
      <c r="E976" s="692" t="n"/>
      <c r="H976" s="447" t="n"/>
      <c r="I976" s="415" t="n"/>
      <c r="K976" s="692" t="n"/>
    </row>
    <row r="977">
      <c r="A977" s="692" t="n"/>
      <c r="C977" s="692" t="n"/>
      <c r="E977" s="692" t="n"/>
      <c r="H977" s="447" t="n"/>
      <c r="I977" s="415" t="n"/>
      <c r="K977" s="692" t="n"/>
    </row>
    <row r="978">
      <c r="A978" s="692" t="n"/>
      <c r="C978" s="692" t="n"/>
      <c r="E978" s="692" t="n"/>
      <c r="H978" s="447" t="n"/>
      <c r="I978" s="415" t="n"/>
      <c r="K978" s="692" t="n"/>
    </row>
    <row r="979">
      <c r="A979" s="692" t="n"/>
      <c r="C979" s="692" t="n"/>
      <c r="E979" s="692" t="n"/>
      <c r="H979" s="447" t="n"/>
      <c r="I979" s="415" t="n"/>
      <c r="K979" s="692" t="n"/>
    </row>
    <row r="980">
      <c r="A980" s="692" t="n"/>
      <c r="C980" s="692" t="n"/>
      <c r="E980" s="692" t="n"/>
      <c r="H980" s="447" t="n"/>
      <c r="I980" s="415" t="n"/>
      <c r="K980" s="692" t="n"/>
    </row>
    <row r="981">
      <c r="A981" s="692" t="n"/>
      <c r="C981" s="692" t="n"/>
      <c r="E981" s="692" t="n"/>
      <c r="H981" s="447" t="n"/>
      <c r="I981" s="415" t="n"/>
      <c r="K981" s="692" t="n"/>
    </row>
    <row r="982">
      <c r="A982" s="692" t="n"/>
      <c r="C982" s="692" t="n"/>
      <c r="E982" s="692" t="n"/>
      <c r="H982" s="447" t="n"/>
      <c r="I982" s="415" t="n"/>
      <c r="K982" s="692" t="n"/>
    </row>
    <row r="983">
      <c r="A983" s="692" t="n"/>
      <c r="C983" s="692" t="n"/>
      <c r="E983" s="692" t="n"/>
      <c r="H983" s="447" t="n"/>
      <c r="I983" s="415" t="n"/>
      <c r="K983" s="692" t="n"/>
    </row>
    <row r="984">
      <c r="A984" s="692" t="n"/>
      <c r="C984" s="692" t="n"/>
      <c r="E984" s="692" t="n"/>
      <c r="H984" s="447" t="n"/>
      <c r="I984" s="415" t="n"/>
      <c r="K984" s="692" t="n"/>
    </row>
    <row r="985">
      <c r="A985" s="692" t="n"/>
      <c r="C985" s="692" t="n"/>
      <c r="E985" s="692" t="n"/>
      <c r="H985" s="447" t="n"/>
      <c r="I985" s="415" t="n"/>
      <c r="K985" s="692" t="n"/>
    </row>
    <row r="986">
      <c r="A986" s="692" t="n"/>
      <c r="C986" s="692" t="n"/>
      <c r="E986" s="692" t="n"/>
      <c r="H986" s="447" t="n"/>
      <c r="I986" s="415" t="n"/>
      <c r="K986" s="692" t="n"/>
    </row>
    <row r="987">
      <c r="A987" s="692" t="n"/>
      <c r="C987" s="692" t="n"/>
      <c r="E987" s="692" t="n"/>
      <c r="H987" s="447" t="n"/>
      <c r="I987" s="415" t="n"/>
      <c r="K987" s="692" t="n"/>
    </row>
    <row r="988">
      <c r="A988" s="692" t="n"/>
      <c r="C988" s="692" t="n"/>
      <c r="E988" s="692" t="n"/>
      <c r="H988" s="447" t="n"/>
      <c r="I988" s="415" t="n"/>
      <c r="K988" s="692" t="n"/>
    </row>
    <row r="989">
      <c r="A989" s="692" t="n"/>
      <c r="C989" s="692" t="n"/>
      <c r="E989" s="692" t="n"/>
      <c r="H989" s="447" t="n"/>
      <c r="I989" s="415" t="n"/>
      <c r="K989" s="692" t="n"/>
    </row>
    <row r="990">
      <c r="A990" s="692" t="n"/>
      <c r="C990" s="692" t="n"/>
      <c r="E990" s="692" t="n"/>
      <c r="H990" s="447" t="n"/>
      <c r="I990" s="415" t="n"/>
      <c r="K990" s="692" t="n"/>
    </row>
    <row r="991">
      <c r="A991" s="692" t="n"/>
      <c r="C991" s="692" t="n"/>
      <c r="E991" s="692" t="n"/>
      <c r="H991" s="447" t="n"/>
      <c r="I991" s="415" t="n"/>
      <c r="K991" s="692" t="n"/>
    </row>
    <row r="992">
      <c r="A992" s="692" t="n"/>
      <c r="C992" s="692" t="n"/>
      <c r="E992" s="692" t="n"/>
      <c r="H992" s="447" t="n"/>
      <c r="I992" s="415" t="n"/>
      <c r="K992" s="692" t="n"/>
    </row>
    <row r="993">
      <c r="A993" s="692" t="n"/>
      <c r="C993" s="692" t="n"/>
      <c r="E993" s="692" t="n"/>
      <c r="H993" s="447" t="n"/>
      <c r="I993" s="415" t="n"/>
      <c r="K993" s="692" t="n"/>
    </row>
    <row r="994">
      <c r="A994" s="692" t="n"/>
      <c r="C994" s="692" t="n"/>
      <c r="E994" s="692" t="n"/>
      <c r="H994" s="447" t="n"/>
      <c r="I994" s="415" t="n"/>
      <c r="K994" s="692" t="n"/>
    </row>
    <row r="995">
      <c r="A995" s="692" t="n"/>
      <c r="C995" s="692" t="n"/>
      <c r="E995" s="692" t="n"/>
      <c r="H995" s="447" t="n"/>
      <c r="I995" s="415" t="n"/>
      <c r="K995" s="692" t="n"/>
    </row>
    <row r="996">
      <c r="A996" s="692" t="n"/>
      <c r="C996" s="692" t="n"/>
      <c r="E996" s="692" t="n"/>
      <c r="H996" s="447" t="n"/>
      <c r="I996" s="415" t="n"/>
      <c r="K996" s="692" t="n"/>
    </row>
    <row r="997">
      <c r="A997" s="692" t="n"/>
      <c r="C997" s="692" t="n"/>
      <c r="E997" s="692" t="n"/>
      <c r="H997" s="447" t="n"/>
      <c r="I997" s="415" t="n"/>
      <c r="K997" s="692" t="n"/>
    </row>
    <row r="998">
      <c r="A998" s="692" t="n"/>
      <c r="C998" s="692" t="n"/>
      <c r="E998" s="692" t="n"/>
      <c r="H998" s="447" t="n"/>
      <c r="I998" s="415" t="n"/>
      <c r="K998" s="692" t="n"/>
    </row>
    <row r="999">
      <c r="A999" s="692" t="n"/>
      <c r="C999" s="692" t="n"/>
      <c r="E999" s="692" t="n"/>
      <c r="H999" s="447" t="n"/>
      <c r="I999" s="415" t="n"/>
      <c r="K999" s="692" t="n"/>
    </row>
    <row r="1000">
      <c r="E1000" s="692" t="n"/>
      <c r="K1000" s="692" t="n"/>
    </row>
  </sheetData>
  <dataValidations count="2">
    <dataValidation sqref="G2:G16" showDropDown="1" showInputMessage="0" showErrorMessage="0" allowBlank="1" type="custom">
      <formula1>OR(NOT(ISERROR(DATEVALUE(G2))), AND(ISNUMBER(G2), LEFT(CELL("format", G2))="D"))</formula1>
    </dataValidation>
    <dataValidation sqref="H2:H16 J2:J16" showDropDown="1" showInputMessage="0" showErrorMessage="0" allowBlank="1" type="custom">
      <formula1>AND(ISNUMBER(H2),(NOT(OR(NOT(ISERROR(DATEVALUE(H2))), AND(ISNUMBER(H2), LEFT(CELL("format", H2))="D")))))</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0" summaryRight="0"/>
    <pageSetUpPr/>
  </sheetPr>
  <dimension ref="A1:AJ1115"/>
  <sheetViews>
    <sheetView workbookViewId="0">
      <pane ySplit="1" topLeftCell="A2" activePane="bottomLeft" state="frozen"/>
      <selection pane="bottomLeft" activeCell="B3" sqref="B3"/>
    </sheetView>
  </sheetViews>
  <sheetFormatPr baseColWidth="8" defaultColWidth="12.63" defaultRowHeight="15.75" customHeight="1"/>
  <cols>
    <col width="10.38" customWidth="1" style="763" min="1" max="1"/>
    <col width="17" customWidth="1" style="763" min="2" max="2"/>
    <col width="9.75" customWidth="1" style="763" min="3" max="3"/>
    <col width="11.5" customWidth="1" style="763" min="4" max="4"/>
    <col width="10.25" customWidth="1" style="763" min="5" max="5"/>
    <col width="9.25" customWidth="1" style="763" min="6" max="6"/>
    <col width="9" customWidth="1" style="763" min="7" max="7"/>
    <col width="10.25" customWidth="1" style="763" min="8" max="8"/>
    <col width="9.880000000000001" customWidth="1" style="763" min="9" max="9"/>
    <col width="9.5" customWidth="1" style="763" min="10" max="10"/>
    <col width="10" customWidth="1" style="763" min="11" max="12"/>
    <col width="9.380000000000001" customWidth="1" style="763" min="13" max="13"/>
    <col width="14.13" customWidth="1" style="763" min="14" max="14"/>
    <col width="10.63" customWidth="1" style="763" min="15" max="15"/>
    <col width="13.13" customWidth="1" style="763" min="16" max="16"/>
    <col width="9.5" customWidth="1" style="763" min="17" max="17"/>
    <col width="13.13" customWidth="1" style="763" min="18" max="18"/>
    <col width="9.630000000000001" customWidth="1" style="763" min="20" max="22"/>
    <col width="10.25" customWidth="1" style="763" min="23" max="23"/>
  </cols>
  <sheetData>
    <row r="1">
      <c r="A1" s="448" t="inlineStr">
        <is>
          <t>AthleteID</t>
        </is>
      </c>
      <c r="B1" s="480" t="inlineStr">
        <is>
          <t>Name</t>
        </is>
      </c>
      <c r="C1" s="480" t="inlineStr">
        <is>
          <t>Birth Year</t>
        </is>
      </c>
      <c r="D1" s="480" t="inlineStr">
        <is>
          <t>Gender</t>
        </is>
      </c>
      <c r="E1" s="480" t="inlineStr">
        <is>
          <t>Event</t>
        </is>
      </c>
      <c r="F1" s="480" t="inlineStr">
        <is>
          <t>Year</t>
        </is>
      </c>
      <c r="G1" s="480" t="inlineStr">
        <is>
          <t>Age</t>
        </is>
      </c>
      <c r="H1" s="480" t="inlineStr">
        <is>
          <t>Time</t>
        </is>
      </c>
      <c r="I1" s="569" t="inlineStr">
        <is>
          <t>AQUA Pts</t>
        </is>
      </c>
      <c r="J1" s="480" t="inlineStr">
        <is>
          <t>PB Time</t>
        </is>
      </c>
      <c r="K1" s="569" t="inlineStr">
        <is>
          <t>PB Points</t>
        </is>
      </c>
      <c r="L1" s="480" t="inlineStr">
        <is>
          <t>PB Year</t>
        </is>
      </c>
      <c r="M1" s="569" t="inlineStr">
        <is>
          <t>PB Age</t>
        </is>
      </c>
      <c r="N1" s="451" t="inlineStr">
        <is>
          <t>Smoothed AQUA</t>
        </is>
      </c>
      <c r="O1" s="452" t="inlineStr">
        <is>
          <t>%ofPBPts</t>
        </is>
      </c>
      <c r="P1" s="569" t="inlineStr">
        <is>
          <t>InPeak?</t>
        </is>
      </c>
      <c r="Q1" s="569" t="inlineStr">
        <is>
          <t>Episode</t>
        </is>
      </c>
      <c r="R1" s="480" t="inlineStr">
        <is>
          <t>Peak Start Age</t>
        </is>
      </c>
      <c r="S1" s="480" t="inlineStr">
        <is>
          <t>Peak End Age</t>
        </is>
      </c>
      <c r="T1" s="569" t="inlineStr">
        <is>
          <t>First Swim Year</t>
        </is>
      </c>
      <c r="U1" s="569" t="inlineStr">
        <is>
          <t>Last Swim Year</t>
        </is>
      </c>
      <c r="V1" s="480" t="inlineStr">
        <is>
          <t>First Swim Age</t>
        </is>
      </c>
      <c r="W1" s="453" t="inlineStr">
        <is>
          <t>Years to Peak</t>
        </is>
      </c>
      <c r="X1" s="697" t="n"/>
      <c r="Y1" s="697" t="inlineStr">
        <is>
          <t>how many distinct swimmers in an event, avg start age, avg peak age, avg duration of peak</t>
        </is>
      </c>
      <c r="AC1" s="697" t="n"/>
      <c r="AD1" s="697" t="n"/>
      <c r="AE1" s="697" t="n"/>
      <c r="AF1" s="697" t="n"/>
      <c r="AG1" s="697" t="n"/>
      <c r="AH1" s="697" t="n"/>
      <c r="AI1" s="697" t="n"/>
      <c r="AJ1" s="697" t="n"/>
    </row>
    <row r="2">
      <c r="A2" s="454">
        <f>LEFT(B2,1)&amp;UPPER(LEFT(MID(B2,FIND(" ",B2)+1,LEN(B2)),3))&amp;C2</f>
        <v/>
      </c>
      <c r="B2" s="590" t="inlineStr">
        <is>
          <t>Abbey Weitzel</t>
        </is>
      </c>
      <c r="C2" s="590" t="n">
        <v>1996</v>
      </c>
      <c r="D2" s="590" t="inlineStr">
        <is>
          <t>F</t>
        </is>
      </c>
      <c r="E2" s="590" t="inlineStr">
        <is>
          <t>50 Free</t>
        </is>
      </c>
      <c r="F2" s="590" t="n">
        <v>2013</v>
      </c>
      <c r="G2" s="590">
        <f>F2-C2</f>
        <v/>
      </c>
      <c r="H2" s="517" t="n">
        <v>25.27</v>
      </c>
      <c r="I2" s="457">
        <f>IFERROR(__xludf.DUMMYFUNCTION("LET(
  gen,$D2, ev,$E2, t,$H2,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)"),815.0)</f>
        <v/>
      </c>
      <c r="J2" s="458">
        <f>IFERROR(__xludf.DUMMYFUNCTION("MIN(FILTER($H$2:$H1115,$A$2:$A1115=A2,$E$2:$E1115=E2))"),25.27)</f>
        <v/>
      </c>
      <c r="K2" s="457">
        <f>IFERROR(__xludf.DUMMYFUNCTION("MAX(FILTER($I$2:$I1115,$A$2:$A1115=A2,$E$2:$E1115=E2))"),815.0)</f>
        <v/>
      </c>
      <c r="L2" s="457">
        <f>IFERROR(INDEX(F:F,MATCH(J2&amp;A2&amp;E2,H:H&amp;A:A&amp;E:E,0)),"")</f>
        <v/>
      </c>
      <c r="M2" s="457">
        <f>IF(AND(L2&lt;&gt;"",C2&lt;&gt;""), L2-C2, "")</f>
        <v/>
      </c>
      <c r="N2" s="709">
        <f>IFERROR(__xludf.DUMMYFUNCTION("IFERROR(
  MAX(
    FILTER(
      $I$2:$I1115,
      $A$2:$A1115=A2,
      $E$2:$E1115=E2,
      $G$2:$G1115 &gt;= G2-1,
      $G$2:$G1115 &lt;= G2+1
    )
  ),
  """"
)"),815.0)</f>
        <v/>
      </c>
      <c r="O2" s="460">
        <f>1-N2/K2</f>
        <v/>
      </c>
      <c r="P2" s="590">
        <f>AND(
    O2 &lt;= 0.06,
    (
        COUNTIFS($A$2:$A1115, A2, $E$2:$E1115, E2, $G$2:$G1115, G2, $O$2:$O1115, "&lt;=0.05") +
        COUNTIFS($A$2:$A1115, A2, $E$2:$E1115, E2, $G$2:$G1115, G2-1, $O$2:$O1115, "&lt;=0.05") +
        COUNTIFS($A$2:$A1115, A2, $E$2:$E1115, E2, $G$2:$G1115, G2+1, $O$2:$O1115, "&lt;=0.05")
    ) &gt;= 2
)</f>
        <v/>
      </c>
      <c r="Q2" s="457">
        <f>(U2-T2)</f>
        <v/>
      </c>
      <c r="R2" s="457">
        <f>IFERROR(__xludf.DUMMYFUNCTION("IFERROR(MIN(FILTER($G$2:$G1115, $A$2:$A1115=A2, $E$2:$E1115=E2, $P$2:$P1115=TRUE)), """")"),"")</f>
        <v/>
      </c>
      <c r="S2" s="457">
        <f>IFERROR(__xludf.DUMMYFUNCTION("IFERROR(MAX(FILTER($G$2:$G1115, $A$2:$A1115=A2, $E$2:$E1115=E2, $P$2:$P1115=TRUE)), """")"),"")</f>
        <v/>
      </c>
      <c r="T2" s="590">
        <f>IFERROR(__xludf.DUMMYFUNCTION("MIN(FILTER($F$2:$F1115,$A$2:$A1115=A2,$E$2:$E1115=E2))"),2013.0)</f>
        <v/>
      </c>
      <c r="U2" s="590">
        <f>IFERROR(__xludf.DUMMYFUNCTION("MAX(FILTER($F$2:$F1115,$A$2:$A1115=A2,$E$2:$E1115=E2))"),2013.0)</f>
        <v/>
      </c>
      <c r="V2" s="590">
        <f>IFERROR(__xludf.DUMMYFUNCTION("MIN(FILTER($G$2:$G1115,$A$2:$A1115=A2,$E$2:$E1115=E2))"),17.0)</f>
        <v/>
      </c>
      <c r="Y2" s="697" t="inlineStr">
        <is>
          <t>how often do swimmers have a year without going a best time, how many years after start does this genearlly ahppen or at what age, average improvement amount or % or aqua pt average for each year to year age</t>
        </is>
      </c>
    </row>
    <row r="3">
      <c r="A3" s="454">
        <f>LEFT(B3,1)&amp;UPPER(LEFT(MID(B3,FIND(" ",B3)+1,LEN(B3)),3))&amp;C3</f>
        <v/>
      </c>
      <c r="B3" s="613" t="inlineStr">
        <is>
          <t>Amanda Weir</t>
        </is>
      </c>
      <c r="C3" s="613" t="n">
        <v>1986</v>
      </c>
      <c r="D3" s="613" t="inlineStr">
        <is>
          <t>F</t>
        </is>
      </c>
      <c r="E3" s="613" t="inlineStr">
        <is>
          <t>50 Free</t>
        </is>
      </c>
      <c r="F3" s="613" t="n">
        <v>2013</v>
      </c>
      <c r="G3" s="613">
        <f>F3-C3</f>
        <v/>
      </c>
      <c r="H3" s="505" t="n">
        <v>25.18</v>
      </c>
      <c r="I3" s="457">
        <f>IFERROR(__xludf.DUMMYFUNCTION("LET(
  gen,$D3, ev,$E3, t,$H3,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)"),824.0)</f>
        <v/>
      </c>
      <c r="J3" s="458">
        <f>IFERROR(__xludf.DUMMYFUNCTION("MIN(FILTER($H$2:$H1115,$A$2:$A1115=A3,$E$2:$E1115=E3))"),25.18)</f>
        <v/>
      </c>
      <c r="K3" s="457">
        <f>IFERROR(__xludf.DUMMYFUNCTION("MAX(FILTER($I$2:$I1115,$A$2:$A1115=A3,$E$2:$E1115=E3))"),824.0)</f>
        <v/>
      </c>
      <c r="L3" s="457">
        <f>IFERROR(INDEX(F:F,MATCH(J3&amp;A3&amp;E3,H:H&amp;A:A&amp;E:E,0)),"")</f>
        <v/>
      </c>
      <c r="M3" s="457">
        <f>IF(AND(L3&lt;&gt;"",C3&lt;&gt;""), L3-C3, "")</f>
        <v/>
      </c>
      <c r="N3" s="704">
        <f>IFERROR(__xludf.DUMMYFUNCTION("IFERROR(
  MAX(
    FILTER(
      $I$2:$I1115,
      $A$2:$A1115=A3,
      $E$2:$E1115=E3,
      $G$2:$G1115 &gt;= G3-1,
      $G$2:$G1115 &lt;= G3+1
    )
  ),
  """"
)"),824.0)</f>
        <v/>
      </c>
      <c r="O3" s="464">
        <f>1-N3/K3</f>
        <v/>
      </c>
      <c r="P3" s="613">
        <f>AND(
    O3 &lt;= 0.05,
    (
        COUNTIFS($A$2:$A1115, A3, $E$2:$E1115, E3, $G$2:$G1115, G3, $O$2:$O1115, "&lt;=0.05") +
        COUNTIFS($A$2:$A1115, A3, $E$2:$E1115, E3, $G$2:$G1115, G3-1, $O$2:$O1115, "&lt;=0.05") +
        COUNTIFS($A$2:$A1115, A3, $E$2:$E1115, E3, $G$2:$G1115, G3+1, $O$2:$O1115, "&lt;=0.05")
    ) &gt;= 2
)</f>
        <v/>
      </c>
      <c r="Q3" s="457" t="n"/>
      <c r="R3" s="457">
        <f>IFERROR(__xludf.DUMMYFUNCTION("IFERROR(MIN(FILTER($G$2:$G1115, $A$2:$A1115=A3, $E$2:$E1115=E3, $P$2:$P1115=TRUE)), """")"),"")</f>
        <v/>
      </c>
      <c r="S3" s="457">
        <f>IFERROR(__xludf.DUMMYFUNCTION("IFERROR(MAX(FILTER($G$2:$G1115, $A$2:$A1115=A3, $E$2:$E1115=E3, $P$2:$P1115=TRUE)), """")"),"")</f>
        <v/>
      </c>
      <c r="T3" s="613" t="n"/>
      <c r="U3" s="613" t="n"/>
      <c r="V3" s="613">
        <f>IFERROR(__xludf.DUMMYFUNCTION("MIN(FILTER($G$2:$G1115,$A$2:$A1115=A3,$E$2:$E1115=E3))"),27.0)</f>
        <v/>
      </c>
    </row>
    <row r="4">
      <c r="A4" s="454">
        <f>LEFT(B4,1)&amp;UPPER(LEFT(MID(B4,FIND(" ",B4)+1,LEN(B4)),3))&amp;C4</f>
        <v/>
      </c>
      <c r="B4" s="590" t="inlineStr">
        <is>
          <t>Amy Fulmer</t>
        </is>
      </c>
      <c r="C4" s="590" t="n">
        <v>2000</v>
      </c>
      <c r="D4" s="590" t="inlineStr">
        <is>
          <t>F</t>
        </is>
      </c>
      <c r="E4" s="590" t="inlineStr">
        <is>
          <t>50 Free</t>
        </is>
      </c>
      <c r="G4" s="590">
        <f>F4-C4</f>
        <v/>
      </c>
      <c r="H4" s="517" t="n"/>
      <c r="I4" s="457">
        <f>IFERROR(__xludf.DUMMYFUNCTION("LET(
  gen,$D4, ev,$E4, t,$H4,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)"),"#DIV/0!")</f>
        <v/>
      </c>
      <c r="J4" s="458">
        <f>IFERROR(__xludf.DUMMYFUNCTION("MIN(FILTER($H$2:$H1115,$A$2:$A1115=A4,$E$2:$E1115=E4))"),0.0)</f>
        <v/>
      </c>
      <c r="K4" s="457">
        <f>IFERROR(__xludf.DUMMYFUNCTION("MAX(FILTER($I$2:$I1115,$A$2:$A1115=A4,$E$2:$E1115=E4))"),"#DIV/0!")</f>
        <v/>
      </c>
      <c r="L4" s="457">
        <f>IFERROR(INDEX(F:F,MATCH(J4&amp;A4&amp;E4,H:H&amp;A:A&amp;E:E,0)),"")</f>
        <v/>
      </c>
      <c r="M4" s="457">
        <f>IF(AND(L4&lt;&gt;"",C4&lt;&gt;""), L4-C4, "")</f>
        <v/>
      </c>
      <c r="N4" s="709">
        <f>IFERROR(__xludf.DUMMYFUNCTION("IFERROR(
  MAX(
    FILTER(
      $I$2:$I1115,
      $A$2:$A1115=A4,
      $E$2:$E1115=E4,
      $G$2:$G1115 &gt;= G4-1,
      $G$2:$G1115 &lt;= G4+1
    )
  ),
  """"
)"),"")</f>
        <v/>
      </c>
      <c r="O4" s="460">
        <f>1-N4/K4</f>
        <v/>
      </c>
      <c r="P4" s="590">
        <f>AND(
O4 &lt;= 0.05,
(
COUNTIFS($A$2:$A1116, A4, $E$2:$E1116, E4, $G$2:$G1116, G4, $O$2:$O1116, "&lt;=0.05") +
COUNTIFS($A$2:$A1116, A4, $E$2:$E1116, E4, $G$2:$G1116, G4-1, $O$2:$O1116, "&lt;=0.05") +
COUNTIFS($A$2:$A1116, A4, $E$2:$E1116, E4, $G$2:$G1116, G4+1, $O$2:$O1116, "&lt;=0.05")
) &gt;= 
2)</f>
        <v/>
      </c>
      <c r="Q4" s="457" t="n"/>
      <c r="R4" s="457">
        <f>IFERROR(__xludf.DUMMYFUNCTION("IFERROR(MIN(FILTER($G$2:$G1115, $A$2:$A1115=A4, $E$2:$E1115=E4, $P$2:$P1115=TRUE)), """")"),"")</f>
        <v/>
      </c>
      <c r="S4" s="457">
        <f>IFERROR(__xludf.DUMMYFUNCTION("IFERROR(MAX(FILTER($G$2:$G1115, $A$2:$A1115=A4, $E$2:$E1115=E4, $P$2:$P1115=TRUE)), """")"),"")</f>
        <v/>
      </c>
      <c r="T4" s="590" t="n"/>
      <c r="U4" s="590" t="n"/>
      <c r="V4" s="590">
        <f>IFERROR(__xludf.DUMMYFUNCTION("MIN(FILTER($G$2:$G1115,$A$2:$A1115=A4,$E$2:$E1115=E4))"),-2000.0)</f>
        <v/>
      </c>
    </row>
    <row r="5">
      <c r="A5" s="454">
        <f>LEFT(B5,1)&amp;UPPER(LEFT(MID(B5,FIND(" ",B5)+1,LEN(B5)),3))&amp;C5</f>
        <v/>
      </c>
      <c r="B5" s="613" t="inlineStr">
        <is>
          <t>Ashley Turak</t>
        </is>
      </c>
      <c r="C5" s="613" t="n">
        <v>2001</v>
      </c>
      <c r="D5" s="613" t="inlineStr">
        <is>
          <t>F</t>
        </is>
      </c>
      <c r="E5" s="613" t="inlineStr">
        <is>
          <t>50 Free</t>
        </is>
      </c>
      <c r="G5" s="613">
        <f>F5-C5</f>
        <v/>
      </c>
      <c r="H5" s="505" t="n"/>
      <c r="I5" s="457">
        <f>IFERROR(__xludf.DUMMYFUNCTION("LET(
  gen,$D5, ev,$E5, t,$H5,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)"),"#DIV/0!")</f>
        <v/>
      </c>
      <c r="J5" s="458">
        <f>IFERROR(__xludf.DUMMYFUNCTION("MIN(FILTER($H$2:$H1115,$A$2:$A1115=A5,$E$2:$E1115=E5))"),0.0)</f>
        <v/>
      </c>
      <c r="K5" s="457">
        <f>IFERROR(__xludf.DUMMYFUNCTION("MAX(FILTER($I$2:$I1115,$A$2:$A1115=A5,$E$2:$E1115=E5))"),"#DIV/0!")</f>
        <v/>
      </c>
      <c r="L5" s="457">
        <f>IFERROR(INDEX(F:F,MATCH(J5&amp;A5&amp;E5,H:H&amp;A:A&amp;E:E,0)),"")</f>
        <v/>
      </c>
      <c r="M5" s="457">
        <f>IF(AND(L5&lt;&gt;"",C5&lt;&gt;""), L5-C5, "")</f>
        <v/>
      </c>
      <c r="N5" s="704">
        <f>IFERROR(__xludf.DUMMYFUNCTION("IFERROR(
  MAX(
    FILTER(
      $I$2:$I1115,
      $A$2:$A1115=A5,
      $E$2:$E1115=E5,
      $G$2:$G1115 &gt;= G5-1,
      $G$2:$G1115 &lt;= G5+1
    )
  ),
  """"
)"),"")</f>
        <v/>
      </c>
      <c r="O5" s="464">
        <f>1-N5/K5</f>
        <v/>
      </c>
      <c r="P5" s="613">
        <f>AND(
O5 &lt;= 0.05,
(
COUNTIFS($A$2:$A1117, A5, $E$2:$E1117, E5, $G$2:$G1117, G5, $O$2:$O1117, "&lt;=0.05") +
COUNTIFS($A$2:$A1117, A5, $E$2:$E1117, E5, $G$2:$G1117, G5-1, $O$2:$O1117, "&lt;=0.05") +
COUNTIFS($A$2:$A1117, A5, $E$2:$E1117, E5, $G$2:$G1117, G5+1, $O$2:$O1117, "&lt;=0.05")
) &gt;= 
2)</f>
        <v/>
      </c>
      <c r="Q5" s="457" t="n"/>
      <c r="R5" s="457">
        <f>IFERROR(__xludf.DUMMYFUNCTION("IFERROR(MIN(FILTER($G$2:$G1115, $A$2:$A1115=A5, $E$2:$E1115=E5, $P$2:$P1115=TRUE)), """")"),"")</f>
        <v/>
      </c>
      <c r="S5" s="457">
        <f>IFERROR(__xludf.DUMMYFUNCTION("IFERROR(MAX(FILTER($G$2:$G1115, $A$2:$A1115=A5, $E$2:$E1115=E5, $P$2:$P1115=TRUE)), """")"),"")</f>
        <v/>
      </c>
      <c r="T5" s="613" t="n"/>
      <c r="U5" s="613" t="n"/>
      <c r="V5" s="613">
        <f>IFERROR(__xludf.DUMMYFUNCTION("MIN(FILTER($G$2:$G1115,$A$2:$A1115=A5,$E$2:$E1115=E5))"),-2001.0)</f>
        <v/>
      </c>
      <c r="Y5" s="697" t="n"/>
      <c r="Z5" s="697" t="n"/>
      <c r="AA5" s="697" t="n"/>
      <c r="AB5" s="697" t="n"/>
    </row>
    <row r="6">
      <c r="A6" s="454">
        <f>LEFT(B6,1)&amp;UPPER(LEFT(MID(B6,FIND(" ",B6)+1,LEN(B6)),3))&amp;C6</f>
        <v/>
      </c>
      <c r="B6" s="590" t="inlineStr">
        <is>
          <t>Beata Nelson</t>
        </is>
      </c>
      <c r="C6" s="590" t="n">
        <v>1998</v>
      </c>
      <c r="D6" s="590" t="inlineStr">
        <is>
          <t>F</t>
        </is>
      </c>
      <c r="E6" s="590" t="inlineStr">
        <is>
          <t>50 Free</t>
        </is>
      </c>
      <c r="G6" s="590">
        <f>F6-C6</f>
        <v/>
      </c>
      <c r="H6" s="517" t="n"/>
      <c r="I6" s="457">
        <f>IFERROR(__xludf.DUMMYFUNCTION("LET(
  gen,$D6, ev,$E6, t,$H6,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)"),"#DIV/0!")</f>
        <v/>
      </c>
      <c r="J6" s="458">
        <f>IFERROR(__xludf.DUMMYFUNCTION("MIN(FILTER($H$2:$H1115,$A$2:$A1115=A6,$E$2:$E1115=E6))"),0.0)</f>
        <v/>
      </c>
      <c r="K6" s="457">
        <f>IFERROR(__xludf.DUMMYFUNCTION("MAX(FILTER($I$2:$I1115,$A$2:$A1115=A6,$E$2:$E1115=E6))"),"#DIV/0!")</f>
        <v/>
      </c>
      <c r="L6" s="457">
        <f>IFERROR(INDEX(F:F,MATCH(J6&amp;A6&amp;E6,H:H&amp;A:A&amp;E:E,0)),"")</f>
        <v/>
      </c>
      <c r="M6" s="457">
        <f>IF(AND(L6&lt;&gt;"",C6&lt;&gt;""), L6-C6, "")</f>
        <v/>
      </c>
      <c r="N6" s="709">
        <f>IFERROR(__xludf.DUMMYFUNCTION("IFERROR(
  MAX(
    FILTER(
      $I$2:$I1115,
      $A$2:$A1115=A6,
      $E$2:$E1115=E6,
      $G$2:$G1115 &gt;= G6-1,
      $G$2:$G1115 &lt;= G6+1
    )
  ),
  """"
)"),"")</f>
        <v/>
      </c>
      <c r="O6" s="460">
        <f>1-N6/K6</f>
        <v/>
      </c>
      <c r="P6" s="590">
        <f>AND(
O6 &lt;= 0.05,
(
COUNTIFS($A$2:$A1118, A6, $E$2:$E1118, E6, $G$2:$G1118, G6, $O$2:$O1118, "&lt;=0.05") +
COUNTIFS($A$2:$A1118, A6, $E$2:$E1118, E6, $G$2:$G1118, G6-1, $O$2:$O1118, "&lt;=0.05") +
COUNTIFS($A$2:$A1118, A6, $E$2:$E1118, E6, $G$2:$G1118, G6+1, $O$2:$O1118, "&lt;=0.05")
) &gt;= 
2)</f>
        <v/>
      </c>
      <c r="Q6" s="457" t="n"/>
      <c r="R6" s="457">
        <f>IFERROR(__xludf.DUMMYFUNCTION("IFERROR(MIN(FILTER($G$2:$G1115, $A$2:$A1115=A6, $E$2:$E1115=E6, $P$2:$P1115=TRUE)), """")"),"")</f>
        <v/>
      </c>
      <c r="S6" s="457">
        <f>IFERROR(__xludf.DUMMYFUNCTION("IFERROR(MAX(FILTER($G$2:$G1115, $A$2:$A1115=A6, $E$2:$E1115=E6, $P$2:$P1115=TRUE)), """")"),"")</f>
        <v/>
      </c>
      <c r="T6" s="590" t="n"/>
      <c r="U6" s="590" t="n"/>
      <c r="V6" s="590">
        <f>IFERROR(__xludf.DUMMYFUNCTION("MIN(FILTER($G$2:$G1115,$A$2:$A1115=A6,$E$2:$E1115=E6))"),-1998.0)</f>
        <v/>
      </c>
    </row>
    <row r="7">
      <c r="A7" s="454">
        <f>LEFT(B7,1)&amp;UPPER(LEFT(MID(B7,FIND(" ",B7)+1,LEN(B7)),3))&amp;C7</f>
        <v/>
      </c>
      <c r="B7" s="613" t="inlineStr">
        <is>
          <t>Breeja Larsen</t>
        </is>
      </c>
      <c r="C7" s="613" t="n">
        <v>1992</v>
      </c>
      <c r="D7" s="613" t="inlineStr">
        <is>
          <t>F</t>
        </is>
      </c>
      <c r="E7" s="613" t="inlineStr">
        <is>
          <t>50 Free</t>
        </is>
      </c>
      <c r="G7" s="613">
        <f>F7-C7</f>
        <v/>
      </c>
      <c r="H7" s="505" t="n"/>
      <c r="I7" s="457">
        <f>IFERROR(__xludf.DUMMYFUNCTION("LET(
  gen,$D7, ev,$E7, t,$H7,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)"),"#DIV/0!")</f>
        <v/>
      </c>
      <c r="J7" s="458">
        <f>IFERROR(__xludf.DUMMYFUNCTION("MIN(FILTER($H$2:$H1115,$A$2:$A1115=A7,$E$2:$E1115=E7))"),0.0)</f>
        <v/>
      </c>
      <c r="K7" s="457">
        <f>IFERROR(__xludf.DUMMYFUNCTION("MAX(FILTER($I$2:$I1115,$A$2:$A1115=A7,$E$2:$E1115=E7))"),"#DIV/0!")</f>
        <v/>
      </c>
      <c r="L7" s="457">
        <f>IFERROR(INDEX(F:F,MATCH(J7&amp;A7&amp;E7,H:H&amp;A:A&amp;E:E,0)),"")</f>
        <v/>
      </c>
      <c r="M7" s="457">
        <f>IF(AND(L7&lt;&gt;"",C7&lt;&gt;""), L7-C7, "")</f>
        <v/>
      </c>
      <c r="N7" s="704">
        <f>IFERROR(__xludf.DUMMYFUNCTION("IFERROR(
  MAX(
    FILTER(
      $I$2:$I1115,
      $A$2:$A1115=A7,
      $E$2:$E1115=E7,
      $G$2:$G1115 &gt;= G7-1,
      $G$2:$G1115 &lt;= G7+1
    )
  ),
  """"
)"),"")</f>
        <v/>
      </c>
      <c r="O7" s="464">
        <f>1-N7/K7</f>
        <v/>
      </c>
      <c r="P7" s="613">
        <f>AND(
O7 &lt;= 0.05,
(
COUNTIFS($A$2:$A1119, A7, $E$2:$E1119, E7, $G$2:$G1119, G7, $O$2:$O1119, "&lt;=0.05") +
COUNTIFS($A$2:$A1119, A7, $E$2:$E1119, E7, $G$2:$G1119, G7-1, $O$2:$O1119, "&lt;=0.05") +
COUNTIFS($A$2:$A1119, A7, $E$2:$E1119, E7, $G$2:$G1119, G7+1, $O$2:$O1119, "&lt;=0.05")
) &gt;= 
2)</f>
        <v/>
      </c>
      <c r="Q7" s="457" t="n"/>
      <c r="R7" s="457">
        <f>IFERROR(__xludf.DUMMYFUNCTION("IFERROR(MIN(FILTER($G$2:$G1115, $A$2:$A1115=A7, $E$2:$E1115=E7, $P$2:$P1115=TRUE)), """")"),"")</f>
        <v/>
      </c>
      <c r="S7" s="457">
        <f>IFERROR(__xludf.DUMMYFUNCTION("IFERROR(MAX(FILTER($G$2:$G1115, $A$2:$A1115=A7, $E$2:$E1115=E7, $P$2:$P1115=TRUE)), """")"),"")</f>
        <v/>
      </c>
      <c r="T7" s="613" t="n"/>
      <c r="U7" s="613" t="n"/>
      <c r="V7" s="613">
        <f>IFERROR(__xludf.DUMMYFUNCTION("MIN(FILTER($G$2:$G1115,$A$2:$A1115=A7,$E$2:$E1115=E7))"),-1992.0)</f>
        <v/>
      </c>
    </row>
    <row r="8">
      <c r="A8" s="454">
        <f>LEFT(B8,1)&amp;UPPER(LEFT(MID(B8,FIND(" ",B8)+1,LEN(B8)),3))&amp;C8</f>
        <v/>
      </c>
      <c r="B8" s="590" t="inlineStr">
        <is>
          <t>Caite DeLoof</t>
        </is>
      </c>
      <c r="C8" s="590" t="n">
        <v>1994</v>
      </c>
      <c r="D8" s="590" t="inlineStr">
        <is>
          <t>F</t>
        </is>
      </c>
      <c r="E8" s="590" t="inlineStr">
        <is>
          <t>50 Free</t>
        </is>
      </c>
      <c r="G8" s="590">
        <f>F8-C8</f>
        <v/>
      </c>
      <c r="H8" s="517" t="n"/>
      <c r="I8" s="457">
        <f>IFERROR(__xludf.DUMMYFUNCTION("LET(
  gen,$D8, ev,$E8, t,$H8,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)"),"#DIV/0!")</f>
        <v/>
      </c>
      <c r="J8" s="458">
        <f>IFERROR(__xludf.DUMMYFUNCTION("MIN(FILTER($H$2:$H1115,$A$2:$A1115=A8,$E$2:$E1115=E8))"),0.0)</f>
        <v/>
      </c>
      <c r="K8" s="457">
        <f>IFERROR(__xludf.DUMMYFUNCTION("MAX(FILTER($I$2:$I1115,$A$2:$A1115=A8,$E$2:$E1115=E8))"),"#DIV/0!")</f>
        <v/>
      </c>
      <c r="L8" s="457">
        <f>IFERROR(INDEX(F:F,MATCH(J8&amp;A8&amp;E8,H:H&amp;A:A&amp;E:E,0)),"")</f>
        <v/>
      </c>
      <c r="M8" s="457">
        <f>IF(AND(L8&lt;&gt;"",C8&lt;&gt;""), L8-C8, "")</f>
        <v/>
      </c>
      <c r="N8" s="709">
        <f>IFERROR(__xludf.DUMMYFUNCTION("IFERROR(
  MAX(
    FILTER(
      $I$2:$I1115,
      $A$2:$A1115=A8,
      $E$2:$E1115=E8,
      $G$2:$G1115 &gt;= G8-1,
      $G$2:$G1115 &lt;= G8+1
    )
  ),
  """"
)"),"")</f>
        <v/>
      </c>
      <c r="O8" s="460">
        <f>1-N8/K8</f>
        <v/>
      </c>
      <c r="P8" s="590">
        <f>AND(
O8 &lt;= 0.05,
(
COUNTIFS($A$2:$A1120, A8, $E$2:$E1120, E8, $G$2:$G1120, G8, $O$2:$O1120, "&lt;=0.05") +
COUNTIFS($A$2:$A1120, A8, $E$2:$E1120, E8, $G$2:$G1120, G8-1, $O$2:$O1120, "&lt;=0.05") +
COUNTIFS($A$2:$A1120, A8, $E$2:$E1120, E8, $G$2:$G1120, G8+1, $O$2:$O1120, "&lt;=0.05")
) &gt;= 
2)</f>
        <v/>
      </c>
      <c r="Q8" s="457" t="n"/>
      <c r="R8" s="457">
        <f>IFERROR(__xludf.DUMMYFUNCTION("IFERROR(MIN(FILTER($G$2:$G1115, $A$2:$A1115=A8, $E$2:$E1115=E8, $P$2:$P1115=TRUE)), """")"),"")</f>
        <v/>
      </c>
      <c r="S8" s="457">
        <f>IFERROR(__xludf.DUMMYFUNCTION("IFERROR(MAX(FILTER($G$2:$G1115, $A$2:$A1115=A8, $E$2:$E1115=E8, $P$2:$P1115=TRUE)), """")"),"")</f>
        <v/>
      </c>
      <c r="T8" s="590" t="n"/>
      <c r="U8" s="590" t="n"/>
      <c r="V8" s="590">
        <f>IFERROR(__xludf.DUMMYFUNCTION("MIN(FILTER($G$2:$G1115,$A$2:$A1115=A8,$E$2:$E1115=E8))"),-1994.0)</f>
        <v/>
      </c>
    </row>
    <row r="9">
      <c r="A9" s="454">
        <f>LEFT(B9,1)&amp;UPPER(LEFT(MID(B9,FIND(" ",B9)+1,LEN(B9)),3))&amp;C9</f>
        <v/>
      </c>
      <c r="B9" s="613" t="inlineStr">
        <is>
          <t>Christine Magnussen</t>
        </is>
      </c>
      <c r="C9" s="613" t="n">
        <v>1987</v>
      </c>
      <c r="D9" s="613" t="inlineStr">
        <is>
          <t>F</t>
        </is>
      </c>
      <c r="E9" s="613" t="inlineStr">
        <is>
          <t>50 Free</t>
        </is>
      </c>
      <c r="F9" s="613" t="n">
        <v>2013</v>
      </c>
      <c r="G9" s="613">
        <f>F9-C9</f>
        <v/>
      </c>
      <c r="H9" s="505" t="n">
        <v>25.05</v>
      </c>
      <c r="I9" s="457">
        <f>IFERROR(__xludf.DUMMYFUNCTION("LET(
  gen,$D9, ev,$E9, t,$H9,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)"),837.0)</f>
        <v/>
      </c>
      <c r="J9" s="458">
        <f>IFERROR(__xludf.DUMMYFUNCTION("MIN(FILTER($H$2:$H1115,$A$2:$A1115=A9,$E$2:$E1115=E9))"),25.05)</f>
        <v/>
      </c>
      <c r="K9" s="457">
        <f>IFERROR(__xludf.DUMMYFUNCTION("MAX(FILTER($I$2:$I1115,$A$2:$A1115=A9,$E$2:$E1115=E9))"),837.0)</f>
        <v/>
      </c>
      <c r="L9" s="457">
        <f>IFERROR(INDEX(F:F,MATCH(J9&amp;A9&amp;E9,H:H&amp;A:A&amp;E:E,0)),"")</f>
        <v/>
      </c>
      <c r="M9" s="457">
        <f>IF(AND(L9&lt;&gt;"",C9&lt;&gt;""), L9-C9, "")</f>
        <v/>
      </c>
      <c r="N9" s="704">
        <f>IFERROR(__xludf.DUMMYFUNCTION("IFERROR(
  MAX(
    FILTER(
      $I$2:$I1115,
      $A$2:$A1115=A9,
      $E$2:$E1115=E9,
      $G$2:$G1115 &gt;= G9-1,
      $G$2:$G1115 &lt;= G9+1
    )
  ),
  """"
)"),837.0)</f>
        <v/>
      </c>
      <c r="O9" s="464">
        <f>1-N9/K9</f>
        <v/>
      </c>
      <c r="P9" s="613">
        <f>AND(
O9 &lt;= 0.05,
(
COUNTIFS($A$2:$A1121, A9, $E$2:$E1121, E9, $G$2:$G1121, G9, $O$2:$O1121, "&lt;=0.05") +
COUNTIFS($A$2:$A1121, A9, $E$2:$E1121, E9, $G$2:$G1121, G9-1, $O$2:$O1121, "&lt;=0.05") +
COUNTIFS($A$2:$A1121, A9, $E$2:$E1121, E9, $G$2:$G1121, G9+1, $O$2:$O1121, "&lt;=0.05")
) &gt;= 
2)</f>
        <v/>
      </c>
      <c r="Q9" s="457" t="n"/>
      <c r="R9" s="457">
        <f>IFERROR(__xludf.DUMMYFUNCTION("IFERROR(MIN(FILTER($G$2:$G1115, $A$2:$A1115=A9, $E$2:$E1115=E9, $P$2:$P1115=TRUE)), """")"),"")</f>
        <v/>
      </c>
      <c r="S9" s="457">
        <f>IFERROR(__xludf.DUMMYFUNCTION("IFERROR(MAX(FILTER($G$2:$G1115, $A$2:$A1115=A9, $E$2:$E1115=E9, $P$2:$P1115=TRUE)), """")"),"")</f>
        <v/>
      </c>
      <c r="T9" s="613" t="n"/>
      <c r="U9" s="613" t="n"/>
      <c r="V9" s="613">
        <f>IFERROR(__xludf.DUMMYFUNCTION("MIN(FILTER($G$2:$G1115,$A$2:$A1115=A9,$E$2:$E1115=E9))"),26.0)</f>
        <v/>
      </c>
    </row>
    <row r="10">
      <c r="A10" s="454">
        <f>LEFT(B10,1)&amp;UPPER(LEFT(MID(B10,FIND(" ",B10)+1,LEN(B10)),3))&amp;C10</f>
        <v/>
      </c>
      <c r="B10" s="590" t="inlineStr">
        <is>
          <t>Dana Vollmer</t>
        </is>
      </c>
      <c r="C10" s="590" t="n">
        <v>1987</v>
      </c>
      <c r="D10" s="590" t="inlineStr">
        <is>
          <t>F</t>
        </is>
      </c>
      <c r="E10" s="590" t="inlineStr">
        <is>
          <t>50 Free</t>
        </is>
      </c>
      <c r="F10" s="590" t="n">
        <v>2013</v>
      </c>
      <c r="G10" s="590">
        <f>F10-C10</f>
        <v/>
      </c>
      <c r="H10" s="517" t="n">
        <v>25.8</v>
      </c>
      <c r="I10" s="457">
        <f>IFERROR(__xludf.DUMMYFUNCTION("LET(
  gen,$D10, ev,$E10, t,$H10,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)"),766.0)</f>
        <v/>
      </c>
      <c r="J10" s="458">
        <f>IFERROR(__xludf.DUMMYFUNCTION("MIN(FILTER($H$2:$H1115,$A$2:$A1115=A10,$E$2:$E1115=E10))"),25.09)</f>
        <v/>
      </c>
      <c r="K10" s="457">
        <f>IFERROR(__xludf.DUMMYFUNCTION("MAX(FILTER($I$2:$I1115,$A$2:$A1115=A10,$E$2:$E1115=E10))"),"#DIV/0!")</f>
        <v/>
      </c>
      <c r="L10" s="457">
        <f>IFERROR(INDEX(F:F,MATCH(J10&amp;A10&amp;E10,H:H&amp;A:A&amp;E:E,0)),"")</f>
        <v/>
      </c>
      <c r="M10" s="457">
        <f>IF(AND(L10&lt;&gt;"",C10&lt;&gt;""), L10-C10, "")</f>
        <v/>
      </c>
      <c r="N10" s="709">
        <f>IFERROR(__xludf.DUMMYFUNCTION("IFERROR(
  MAX(
    FILTER(
      $I$2:$I1115,
      $A$2:$A1115=A10,
      $E$2:$E1115=E10,
      $G$2:$G1115 &gt;= G10-1,
      $G$2:$G1115 &lt;= G10+1
    )
  ),
  """"
)"),766.0)</f>
        <v/>
      </c>
      <c r="O10" s="460">
        <f>1-N10/K10</f>
        <v/>
      </c>
      <c r="P10" s="590">
        <f>AND(
O10 &lt;= 0.05,
(
COUNTIFS($A$2:$A1122, A10, $E$2:$E1122, E10, $G$2:$G1122, G10, $O$2:$O1122, "&lt;=0.05") +
COUNTIFS($A$2:$A1122, A10, $E$2:$E1122, E10, $G$2:$G1122, G10-1, $O$2:$O1122, "&lt;=0.05") +
COUNTIFS($A$2:$A1122, A10, $E$2:$E1122, E10, $G$2:$G1122, G10+1, $O$2:$O1122, "&lt;=0.05")
) &gt;= 
2)</f>
        <v/>
      </c>
      <c r="Q10" s="457" t="n"/>
      <c r="R10" s="457">
        <f>IFERROR(__xludf.DUMMYFUNCTION("IFERROR(MIN(FILTER($G$2:$G1115, $A$2:$A1115=A10, $E$2:$E1115=E10, $P$2:$P1115=TRUE)), """")"),"")</f>
        <v/>
      </c>
      <c r="S10" s="457">
        <f>IFERROR(__xludf.DUMMYFUNCTION("IFERROR(MAX(FILTER($G$2:$G1115, $A$2:$A1115=A10, $E$2:$E1115=E10, $P$2:$P1115=TRUE)), """")"),"")</f>
        <v/>
      </c>
      <c r="T10" s="590" t="n"/>
      <c r="U10" s="590" t="n"/>
      <c r="V10" s="590">
        <f>IFERROR(__xludf.DUMMYFUNCTION("MIN(FILTER($G$2:$G1115,$A$2:$A1115=A10,$E$2:$E1115=E10))"),13.0)</f>
        <v/>
      </c>
    </row>
    <row r="11">
      <c r="A11" s="454">
        <f>LEFT(B11,1)&amp;UPPER(LEFT(MID(B11,FIND(" ",B11)+1,LEN(B11)),3))&amp;C11</f>
        <v/>
      </c>
      <c r="B11" s="613" t="inlineStr">
        <is>
          <t>Dana Vollmer</t>
        </is>
      </c>
      <c r="C11" s="613" t="n">
        <v>1987</v>
      </c>
      <c r="D11" s="613" t="inlineStr">
        <is>
          <t>F</t>
        </is>
      </c>
      <c r="E11" s="613" t="inlineStr">
        <is>
          <t>50 Free</t>
        </is>
      </c>
      <c r="F11" s="613" t="n">
        <v>2011</v>
      </c>
      <c r="G11" s="613">
        <f>F11-C11</f>
        <v/>
      </c>
      <c r="H11" s="505" t="n">
        <v>25.09</v>
      </c>
      <c r="I11" s="457">
        <f>IFERROR(__xludf.DUMMYFUNCTION("LET(
  gen,$D11, ev,$E11, t,$H11,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)"),833.0)</f>
        <v/>
      </c>
      <c r="J11" s="458">
        <f>IFERROR(__xludf.DUMMYFUNCTION("MIN(FILTER($H$2:$H1115,$A$2:$A1115=A11,$E$2:$E1115=E11))"),25.09)</f>
        <v/>
      </c>
      <c r="K11" s="457">
        <f>IFERROR(__xludf.DUMMYFUNCTION("MAX(FILTER($I$2:$I1115,$A$2:$A1115=A11,$E$2:$E1115=E11))"),"#DIV/0!")</f>
        <v/>
      </c>
      <c r="L11" s="457">
        <f>IFERROR(INDEX(F:F,MATCH(J11&amp;A11&amp;E11,H:H&amp;A:A&amp;E:E,0)),"")</f>
        <v/>
      </c>
      <c r="M11" s="457">
        <f>IF(AND(L11&lt;&gt;"",C11&lt;&gt;""), L11-C11, "")</f>
        <v/>
      </c>
      <c r="N11" s="704">
        <f>IFERROR(__xludf.DUMMYFUNCTION("IFERROR(
  MAX(
    FILTER(
      $I$2:$I1115,
      $A$2:$A1115=A11,
      $E$2:$E1115=E11,
      $G$2:$G1115 &gt;= G11-1,
      $G$2:$G1115 &lt;= G11+1
    )
  ),
  """"
)"),833.0)</f>
        <v/>
      </c>
      <c r="O11" s="464">
        <f>1-N11/K11</f>
        <v/>
      </c>
      <c r="P11" s="613">
        <f>AND(
O11 &lt;= 0.05,
(
COUNTIFS($A$2:$A1123, A11, $E$2:$E1123, E11, $G$2:$G1123, G11, $O$2:$O1123, "&lt;=0.05") +
COUNTIFS($A$2:$A1123, A11, $E$2:$E1123, E11, $G$2:$G1123, G11-1, $O$2:$O1123, "&lt;=0.05") +
COUNTIFS($A$2:$A1123, A11, $E$2:$E1123, E11, $G$2:$G1123, G11+1, $O$2:$O1123, "&lt;=0.05")
) &gt;= 
2)</f>
        <v/>
      </c>
      <c r="Q11" s="457" t="n"/>
      <c r="R11" s="457">
        <f>IFERROR(__xludf.DUMMYFUNCTION("IFERROR(MIN(FILTER($G$2:$G1115, $A$2:$A1115=A11, $E$2:$E1115=E11, $P$2:$P1115=TRUE)), """")"),"")</f>
        <v/>
      </c>
      <c r="S11" s="457">
        <f>IFERROR(__xludf.DUMMYFUNCTION("IFERROR(MAX(FILTER($G$2:$G1115, $A$2:$A1115=A11, $E$2:$E1115=E11, $P$2:$P1115=TRUE)), """")"),"")</f>
        <v/>
      </c>
      <c r="T11" s="613" t="n"/>
      <c r="U11" s="613" t="n"/>
      <c r="V11" s="613">
        <f>IFERROR(__xludf.DUMMYFUNCTION("MIN(FILTER($G$2:$G1115,$A$2:$A1115=A11,$E$2:$E1115=E11))"),13.0)</f>
        <v/>
      </c>
    </row>
    <row r="12">
      <c r="A12" s="454">
        <f>LEFT(B12,1)&amp;UPPER(LEFT(MID(B12,FIND(" ",B12)+1,LEN(B12)),3))&amp;C12</f>
        <v/>
      </c>
      <c r="B12" s="590" t="inlineStr">
        <is>
          <t>Dana Vollmer</t>
        </is>
      </c>
      <c r="C12" s="590" t="n">
        <v>1987</v>
      </c>
      <c r="D12" s="590" t="inlineStr">
        <is>
          <t>F</t>
        </is>
      </c>
      <c r="E12" s="590" t="inlineStr">
        <is>
          <t>50 Free</t>
        </is>
      </c>
      <c r="F12" s="590" t="n">
        <v>2010</v>
      </c>
      <c r="G12" s="590">
        <f>F12-C12</f>
        <v/>
      </c>
      <c r="H12" s="517" t="n">
        <v>25.2</v>
      </c>
      <c r="I12" s="457">
        <f>IFERROR(__xludf.DUMMYFUNCTION("LET(
  gen,$D12, ev,$E12, t,$H12,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)"),822.0)</f>
        <v/>
      </c>
      <c r="J12" s="458">
        <f>IFERROR(__xludf.DUMMYFUNCTION("MIN(FILTER($H$2:$H1115,$A$2:$A1115=A12,$E$2:$E1115=E12))"),25.09)</f>
        <v/>
      </c>
      <c r="K12" s="457">
        <f>IFERROR(__xludf.DUMMYFUNCTION("MAX(FILTER($I$2:$I1115,$A$2:$A1115=A12,$E$2:$E1115=E12))"),"#DIV/0!")</f>
        <v/>
      </c>
      <c r="L12" s="457">
        <f>IFERROR(INDEX(F:F,MATCH(J12&amp;A12&amp;E12,H:H&amp;A:A&amp;E:E,0)),"")</f>
        <v/>
      </c>
      <c r="M12" s="457">
        <f>IF(AND(L12&lt;&gt;"",C12&lt;&gt;""), L12-C12, "")</f>
        <v/>
      </c>
      <c r="N12" s="709">
        <f>IFERROR(__xludf.DUMMYFUNCTION("IFERROR(
  MAX(
    FILTER(
      $I$2:$I1115,
      $A$2:$A1115=A12,
      $E$2:$E1115=E12,
      $G$2:$G1115 &gt;= G12-1,
      $G$2:$G1115 &lt;= G12+1
    )
  ),
  """"
)"),833.0)</f>
        <v/>
      </c>
      <c r="O12" s="460">
        <f>1-N12/K12</f>
        <v/>
      </c>
      <c r="P12" s="590">
        <f>AND(
O12 &lt;= 0.05,
(
COUNTIFS($A$2:$A1124, A12, $E$2:$E1124, E12, $G$2:$G1124, G12, $O$2:$O1124, "&lt;=0.05") +
COUNTIFS($A$2:$A1124, A12, $E$2:$E1124, E12, $G$2:$G1124, G12-1, $O$2:$O1124, "&lt;=0.05") +
COUNTIFS($A$2:$A1124, A12, $E$2:$E1124, E12, $G$2:$G1124, G12+1, $O$2:$O1124, "&lt;=0.05")
) &gt;= 
2)</f>
        <v/>
      </c>
      <c r="Q12" s="457" t="n"/>
      <c r="R12" s="457">
        <f>IFERROR(__xludf.DUMMYFUNCTION("IFERROR(MIN(FILTER($G$2:$G1115, $A$2:$A1115=A12, $E$2:$E1115=E12, $P$2:$P1115=TRUE)), """")"),"")</f>
        <v/>
      </c>
      <c r="S12" s="457">
        <f>IFERROR(__xludf.DUMMYFUNCTION("IFERROR(MAX(FILTER($G$2:$G1115, $A$2:$A1115=A12, $E$2:$E1115=E12, $P$2:$P1115=TRUE)), """")"),"")</f>
        <v/>
      </c>
      <c r="T12" s="590" t="n"/>
      <c r="U12" s="590" t="n"/>
      <c r="V12" s="590">
        <f>IFERROR(__xludf.DUMMYFUNCTION("MIN(FILTER($G$2:$G1115,$A$2:$A1115=A12,$E$2:$E1115=E12))"),13.0)</f>
        <v/>
      </c>
    </row>
    <row r="13">
      <c r="A13" s="454">
        <f>LEFT(B13,1)&amp;UPPER(LEFT(MID(B13,FIND(" ",B13)+1,LEN(B13)),3))&amp;C13</f>
        <v/>
      </c>
      <c r="B13" s="613" t="inlineStr">
        <is>
          <t>Dana Vollmer</t>
        </is>
      </c>
      <c r="C13" s="613" t="n">
        <v>1987</v>
      </c>
      <c r="D13" s="613" t="inlineStr">
        <is>
          <t>F</t>
        </is>
      </c>
      <c r="E13" s="613" t="inlineStr">
        <is>
          <t>50 Free</t>
        </is>
      </c>
      <c r="F13" s="613" t="n">
        <v>2009</v>
      </c>
      <c r="G13" s="613">
        <f>F13-C13</f>
        <v/>
      </c>
      <c r="H13" s="505" t="n">
        <v>25.12</v>
      </c>
      <c r="I13" s="457">
        <f>IFERROR(__xludf.DUMMYFUNCTION("LET(
  gen,$D13, ev,$E13, t,$H13,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)"),830.0)</f>
        <v/>
      </c>
      <c r="J13" s="458">
        <f>IFERROR(__xludf.DUMMYFUNCTION("MIN(FILTER($H$2:$H1115,$A$2:$A1115=A13,$E$2:$E1115=E13))"),25.09)</f>
        <v/>
      </c>
      <c r="K13" s="457">
        <f>IFERROR(__xludf.DUMMYFUNCTION("MAX(FILTER($I$2:$I1115,$A$2:$A1115=A13,$E$2:$E1115=E13))"),"#DIV/0!")</f>
        <v/>
      </c>
      <c r="L13" s="457">
        <f>IFERROR(INDEX(F:F,MATCH(J13&amp;A13&amp;E13,H:H&amp;A:A&amp;E:E,0)),"")</f>
        <v/>
      </c>
      <c r="M13" s="457">
        <f>IF(AND(L13&lt;&gt;"",C13&lt;&gt;""), L13-C13, "")</f>
        <v/>
      </c>
      <c r="N13" s="704">
        <f>IFERROR(__xludf.DUMMYFUNCTION("IFERROR(
  MAX(
    FILTER(
      $I$2:$I1115,
      $A$2:$A1115=A13,
      $E$2:$E1115=E13,
      $G$2:$G1115 &gt;= G13-1,
      $G$2:$G1115 &lt;= G13+1
    )
  ),
  """"
)"),830.0)</f>
        <v/>
      </c>
      <c r="O13" s="464">
        <f>1-N13/K13</f>
        <v/>
      </c>
      <c r="P13" s="613">
        <f>AND(
O13 &lt;= 0.05,
(
COUNTIFS($A$2:$A1125, A13, $E$2:$E1125, E13, $G$2:$G1125, G13, $O$2:$O1125, "&lt;=0.05") +
COUNTIFS($A$2:$A1125, A13, $E$2:$E1125, E13, $G$2:$G1125, G13-1, $O$2:$O1125, "&lt;=0.05") +
COUNTIFS($A$2:$A1125, A13, $E$2:$E1125, E13, $G$2:$G1125, G13+1, $O$2:$O1125, "&lt;=0.05")
) &gt;= 
2)</f>
        <v/>
      </c>
      <c r="Q13" s="457" t="n"/>
      <c r="R13" s="457">
        <f>IFERROR(__xludf.DUMMYFUNCTION("IFERROR(MIN(FILTER($G$2:$G1115, $A$2:$A1115=A13, $E$2:$E1115=E13, $P$2:$P1115=TRUE)), """")"),"")</f>
        <v/>
      </c>
      <c r="S13" s="457">
        <f>IFERROR(__xludf.DUMMYFUNCTION("IFERROR(MAX(FILTER($G$2:$G1115, $A$2:$A1115=A13, $E$2:$E1115=E13, $P$2:$P1115=TRUE)), """")"),"")</f>
        <v/>
      </c>
      <c r="T13" s="613" t="n"/>
      <c r="U13" s="613" t="n"/>
      <c r="V13" s="613">
        <f>IFERROR(__xludf.DUMMYFUNCTION("MIN(FILTER($G$2:$G1115,$A$2:$A1115=A13,$E$2:$E1115=E13))"),13.0)</f>
        <v/>
      </c>
    </row>
    <row r="14">
      <c r="A14" s="454">
        <f>LEFT(B14,1)&amp;UPPER(LEFT(MID(B14,FIND(" ",B14)+1,LEN(B14)),3))&amp;C14</f>
        <v/>
      </c>
      <c r="B14" s="590" t="inlineStr">
        <is>
          <t>Dana Vollmer</t>
        </is>
      </c>
      <c r="C14" s="590" t="n">
        <v>1987</v>
      </c>
      <c r="D14" s="590" t="inlineStr">
        <is>
          <t>F</t>
        </is>
      </c>
      <c r="E14" s="590" t="inlineStr">
        <is>
          <t>50 Free</t>
        </is>
      </c>
      <c r="F14" s="590" t="n">
        <v>2008</v>
      </c>
      <c r="G14" s="590">
        <f>F14-C14</f>
        <v/>
      </c>
      <c r="H14" s="517" t="n">
        <v>25.83</v>
      </c>
      <c r="I14" s="457">
        <f>IFERROR(__xludf.DUMMYFUNCTION("LET(
  gen,$D14, ev,$E14, t,$H14,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
      </c>
      <c r="J14" s="458">
        <f>IFERROR(__xludf.DUMMYFUNCTION("MIN(FILTER($H$2:$H1115,$A$2:$A1115=A14,$E$2:$E1115=E14))"),25.09)</f>
        <v/>
      </c>
      <c r="K14" s="457">
        <f>IFERROR(__xludf.DUMMYFUNCTION("MAX(FILTER($I$2:$I1115,$A$2:$A1115=A14,$E$2:$E1115=E14))"),"#DIV/0!")</f>
        <v/>
      </c>
      <c r="L14" s="457">
        <f>IFERROR(INDEX(F:F,MATCH(J14&amp;A14&amp;E14,H:H&amp;A:A&amp;E:E,0)),"")</f>
        <v/>
      </c>
      <c r="M14" s="457">
        <f>IF(AND(L14&lt;&gt;"",C14&lt;&gt;""), L14-C14, "")</f>
        <v/>
      </c>
      <c r="N14" s="709">
        <f>IFERROR(__xludf.DUMMYFUNCTION("IFERROR(
  MAX(
    FILTER(
      $I$2:$I1115,
      $A$2:$A1115=A14,
      $E$2:$E1115=E14,
      $G$2:$G1115 &gt;= G14-1,
      $G$2:$G1115 &lt;= G14+1
    )
  ),
  """"
)"),830.0)</f>
        <v/>
      </c>
      <c r="O14" s="460">
        <f>1-N14/K14</f>
        <v/>
      </c>
      <c r="P14" s="590">
        <f>AND(
O14 &lt;= 0.05,
(
COUNTIFS($A$2:$A1126, A14, $E$2:$E1126, E14, $G$2:$G1126, G14, $O$2:$O1126, "&lt;=0.05") +
COUNTIFS($A$2:$A1126, A14, $E$2:$E1126, E14, $G$2:$G1126, G14-1, $O$2:$O1126, "&lt;=0.05") +
COUNTIFS($A$2:$A1126, A14, $E$2:$E1126, E14, $G$2:$G1126, G14+1, $O$2:$O1126, "&lt;=0.05")
) &gt;= 
2)</f>
        <v/>
      </c>
      <c r="Q14" s="457" t="n"/>
      <c r="R14" s="457">
        <f>IFERROR(__xludf.DUMMYFUNCTION("IFERROR(MIN(FILTER($G$2:$G1115, $A$2:$A1115=A14, $E$2:$E1115=E14, $P$2:$P1115=TRUE)), """")"),"")</f>
        <v/>
      </c>
      <c r="S14" s="457">
        <f>IFERROR(__xludf.DUMMYFUNCTION("IFERROR(MAX(FILTER($G$2:$G1115, $A$2:$A1115=A14, $E$2:$E1115=E14, $P$2:$P1115=TRUE)), """")"),"")</f>
        <v/>
      </c>
      <c r="T14" s="590" t="n"/>
      <c r="U14" s="590" t="n"/>
      <c r="V14" s="590">
        <f>IFERROR(__xludf.DUMMYFUNCTION("MIN(FILTER($G$2:$G1115,$A$2:$A1115=A14,$E$2:$E1115=E14))"),13.0)</f>
        <v/>
      </c>
    </row>
    <row r="15">
      <c r="A15" s="454">
        <f>LEFT(B15,1)&amp;UPPER(LEFT(MID(B15,FIND(" ",B15)+1,LEN(B15)),3))&amp;C15</f>
        <v/>
      </c>
      <c r="B15" s="613" t="inlineStr">
        <is>
          <t>Dana Vollmer</t>
        </is>
      </c>
      <c r="C15" s="613" t="n">
        <v>1987</v>
      </c>
      <c r="D15" s="613" t="inlineStr">
        <is>
          <t>F</t>
        </is>
      </c>
      <c r="E15" s="613" t="inlineStr">
        <is>
          <t>50 Free</t>
        </is>
      </c>
      <c r="F15" s="613" t="n">
        <v>2007</v>
      </c>
      <c r="G15" s="613">
        <f>F15-C15</f>
        <v/>
      </c>
      <c r="H15" s="505" t="n">
        <v>25.6</v>
      </c>
      <c r="I15" s="457">
        <f>IFERROR(__xludf.DUMMYFUNCTION("LET(
  gen,$D15, ev,$E15, t,$H15,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)"),784.0)</f>
        <v/>
      </c>
      <c r="J15" s="458">
        <f>IFERROR(__xludf.DUMMYFUNCTION("MIN(FILTER($H$2:$H1115,$A$2:$A1115=A15,$E$2:$E1115=E15))"),25.09)</f>
        <v/>
      </c>
      <c r="K15" s="457">
        <f>IFERROR(__xludf.DUMMYFUNCTION("MAX(FILTER($I$2:$I1115,$A$2:$A1115=A15,$E$2:$E1115=E15))"),"#DIV/0!")</f>
        <v/>
      </c>
      <c r="L15" s="457">
        <f>IFERROR(INDEX(F:F,MATCH(J15&amp;A15&amp;E15,H:H&amp;A:A&amp;E:E,0)),"")</f>
        <v/>
      </c>
      <c r="M15" s="457">
        <f>IF(AND(L15&lt;&gt;"",C15&lt;&gt;""), L15-C15, "")</f>
        <v/>
      </c>
      <c r="N15" s="704">
        <f>IFERROR(__xludf.DUMMYFUNCTION("IFERROR(
  MAX(
    FILTER(
      $I$2:$I1115,
      $A$2:$A1115=A15,
      $E$2:$E1115=E15,
      $G$2:$G1115 &gt;= G15-1,
      $G$2:$G1115 &lt;= G15+1
    )
  ),
  """"
)"),784.0)</f>
        <v/>
      </c>
      <c r="O15" s="464">
        <f>1-N15/K15</f>
        <v/>
      </c>
      <c r="P15" s="613">
        <f>AND(
O15 &lt;= 0.05,
(
COUNTIFS($A$2:$A1127, A15, $E$2:$E1127, E15, $G$2:$G1127, G15, $O$2:$O1127, "&lt;=0.05") +
COUNTIFS($A$2:$A1127, A15, $E$2:$E1127, E15, $G$2:$G1127, G15-1, $O$2:$O1127, "&lt;=0.05") +
COUNTIFS($A$2:$A1127, A15, $E$2:$E1127, E15, $G$2:$G1127, G15+1, $O$2:$O1127, "&lt;=0.05")
) &gt;= 
2)</f>
        <v/>
      </c>
      <c r="Q15" s="457" t="n"/>
      <c r="R15" s="457">
        <f>IFERROR(__xludf.DUMMYFUNCTION("IFERROR(MIN(FILTER($G$2:$G1115, $A$2:$A1115=A15, $E$2:$E1115=E15, $P$2:$P1115=TRUE)), """")"),"")</f>
        <v/>
      </c>
      <c r="S15" s="457">
        <f>IFERROR(__xludf.DUMMYFUNCTION("IFERROR(MAX(FILTER($G$2:$G1115, $A$2:$A1115=A15, $E$2:$E1115=E15, $P$2:$P1115=TRUE)), """")"),"")</f>
        <v/>
      </c>
      <c r="T15" s="613" t="n"/>
      <c r="U15" s="613" t="n"/>
      <c r="V15" s="613">
        <f>IFERROR(__xludf.DUMMYFUNCTION("MIN(FILTER($G$2:$G1115,$A$2:$A1115=A15,$E$2:$E1115=E15))"),13.0)</f>
        <v/>
      </c>
    </row>
    <row r="16">
      <c r="A16" s="454">
        <f>LEFT(B16,1)&amp;UPPER(LEFT(MID(B16,FIND(" ",B16)+1,LEN(B16)),3))&amp;C16</f>
        <v/>
      </c>
      <c r="B16" s="590" t="inlineStr">
        <is>
          <t>Dana Vollmer</t>
        </is>
      </c>
      <c r="C16" s="590" t="n">
        <v>1987</v>
      </c>
      <c r="D16" s="590" t="inlineStr">
        <is>
          <t>F</t>
        </is>
      </c>
      <c r="E16" s="590" t="inlineStr">
        <is>
          <t>50 Free</t>
        </is>
      </c>
      <c r="F16" s="590" t="n">
        <v>2006</v>
      </c>
      <c r="G16" s="590">
        <f>F16-C16</f>
        <v/>
      </c>
      <c r="H16" s="517" t="n">
        <v>25.78</v>
      </c>
      <c r="I16" s="457">
        <f>IFERROR(__xludf.DUMMYFUNCTION("LET(
  gen,$D16, ev,$E16, t,$H16,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)"),768.0)</f>
        <v/>
      </c>
      <c r="J16" s="458">
        <f>IFERROR(__xludf.DUMMYFUNCTION("MIN(FILTER($H$2:$H1115,$A$2:$A1115=A16,$E$2:$E1115=E16))"),25.09)</f>
        <v/>
      </c>
      <c r="K16" s="457">
        <f>IFERROR(__xludf.DUMMYFUNCTION("MAX(FILTER($I$2:$I1115,$A$2:$A1115=A16,$E$2:$E1115=E16))"),"#DIV/0!")</f>
        <v/>
      </c>
      <c r="L16" s="457">
        <f>IFERROR(INDEX(F:F,MATCH(J16&amp;A16&amp;E16,H:H&amp;A:A&amp;E:E,0)),"")</f>
        <v/>
      </c>
      <c r="M16" s="457">
        <f>IF(AND(L16&lt;&gt;"",C16&lt;&gt;""), L16-C16, "")</f>
        <v/>
      </c>
      <c r="N16" s="709">
        <f>IFERROR(__xludf.DUMMYFUNCTION("IFERROR(
  MAX(
    FILTER(
      $I$2:$I1115,
      $A$2:$A1115=A16,
      $E$2:$E1115=E16,
      $G$2:$G1115 &gt;= G16-1,
      $G$2:$G1115 &lt;= G16+1
    )
  ),
  """"
)"),784.0)</f>
        <v/>
      </c>
      <c r="O16" s="460">
        <f>1-N16/K16</f>
        <v/>
      </c>
      <c r="P16" s="590">
        <f>AND(
O16 &lt;= 0.05,
(
COUNTIFS($A$2:$A1128, A16, $E$2:$E1128, E16, $G$2:$G1128, G16, $O$2:$O1128, "&lt;=0.05") +
COUNTIFS($A$2:$A1128, A16, $E$2:$E1128, E16, $G$2:$G1128, G16-1, $O$2:$O1128, "&lt;=0.05") +
COUNTIFS($A$2:$A1128, A16, $E$2:$E1128, E16, $G$2:$G1128, G16+1, $O$2:$O1128, "&lt;=0.05")
) &gt;= 
2)</f>
        <v/>
      </c>
      <c r="Q16" s="457" t="n"/>
      <c r="R16" s="457">
        <f>IFERROR(__xludf.DUMMYFUNCTION("IFERROR(MIN(FILTER($G$2:$G1115, $A$2:$A1115=A16, $E$2:$E1115=E16, $P$2:$P1115=TRUE)), """")"),"")</f>
        <v/>
      </c>
      <c r="S16" s="457">
        <f>IFERROR(__xludf.DUMMYFUNCTION("IFERROR(MAX(FILTER($G$2:$G1115, $A$2:$A1115=A16, $E$2:$E1115=E16, $P$2:$P1115=TRUE)), """")"),"")</f>
        <v/>
      </c>
      <c r="T16" s="590" t="n"/>
      <c r="U16" s="590" t="n"/>
      <c r="V16" s="590">
        <f>IFERROR(__xludf.DUMMYFUNCTION("MIN(FILTER($G$2:$G1115,$A$2:$A1115=A16,$E$2:$E1115=E16))"),13.0)</f>
        <v/>
      </c>
    </row>
    <row r="17">
      <c r="A17" s="454">
        <f>LEFT(B17,1)&amp;UPPER(LEFT(MID(B17,FIND(" ",B17)+1,LEN(B17)),3))&amp;C17</f>
        <v/>
      </c>
      <c r="B17" s="613" t="inlineStr">
        <is>
          <t>Dana Vollmer</t>
        </is>
      </c>
      <c r="C17" s="613" t="n">
        <v>1987</v>
      </c>
      <c r="D17" s="613" t="inlineStr">
        <is>
          <t>F</t>
        </is>
      </c>
      <c r="E17" s="613" t="inlineStr">
        <is>
          <t>50 Free</t>
        </is>
      </c>
      <c r="F17" s="613" t="n">
        <v>2005</v>
      </c>
      <c r="G17" s="613">
        <f>F17-C17</f>
        <v/>
      </c>
      <c r="H17" s="505" t="n">
        <v>26.19</v>
      </c>
      <c r="I17" s="457">
        <f>IFERROR(__xludf.DUMMYFUNCTION("LET(
  gen,$D17, ev,$E17, t,$H17,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)"),732.0)</f>
        <v/>
      </c>
      <c r="J17" s="458">
        <f>IFERROR(__xludf.DUMMYFUNCTION("MIN(FILTER($H$2:$H1115,$A$2:$A1115=A17,$E$2:$E1115=E17))"),25.09)</f>
        <v/>
      </c>
      <c r="K17" s="457">
        <f>IFERROR(__xludf.DUMMYFUNCTION("MAX(FILTER($I$2:$I1115,$A$2:$A1115=A17,$E$2:$E1115=E17))"),"#DIV/0!")</f>
        <v/>
      </c>
      <c r="L17" s="457">
        <f>IFERROR(INDEX(F:F,MATCH(J17&amp;A17&amp;E17,H:H&amp;A:A&amp;E:E,0)),"")</f>
        <v/>
      </c>
      <c r="M17" s="457">
        <f>IF(AND(L17&lt;&gt;"",C17&lt;&gt;""), L17-C17, "")</f>
        <v/>
      </c>
      <c r="N17" s="704">
        <f>IFERROR(__xludf.DUMMYFUNCTION("IFERROR(
  MAX(
    FILTER(
      $I$2:$I1115,
      $A$2:$A1115=A17,
      $E$2:$E1115=E17,
      $G$2:$G1115 &gt;= G17-1,
      $G$2:$G1115 &lt;= G17+1
    )
  ),
  """"
)"),768.0)</f>
        <v/>
      </c>
      <c r="O17" s="464">
        <f>1-N17/K17</f>
        <v/>
      </c>
      <c r="P17" s="613">
        <f>AND(
O17 &lt;= 0.05,
(
COUNTIFS($A$2:$A1129, A17, $E$2:$E1129, E17, $G$2:$G1129, G17, $O$2:$O1129, "&lt;=0.05") +
COUNTIFS($A$2:$A1129, A17, $E$2:$E1129, E17, $G$2:$G1129, G17-1, $O$2:$O1129, "&lt;=0.05") +
COUNTIFS($A$2:$A1129, A17, $E$2:$E1129, E17, $G$2:$G1129, G17+1, $O$2:$O1129, "&lt;=0.05")
) &gt;= 
2)</f>
        <v/>
      </c>
      <c r="Q17" s="457" t="n"/>
      <c r="R17" s="457">
        <f>IFERROR(__xludf.DUMMYFUNCTION("IFERROR(MIN(FILTER($G$2:$G1115, $A$2:$A1115=A17, $E$2:$E1115=E17, $P$2:$P1115=TRUE)), """")"),"")</f>
        <v/>
      </c>
      <c r="S17" s="457">
        <f>IFERROR(__xludf.DUMMYFUNCTION("IFERROR(MAX(FILTER($G$2:$G1115, $A$2:$A1115=A17, $E$2:$E1115=E17, $P$2:$P1115=TRUE)), """")"),"")</f>
        <v/>
      </c>
      <c r="T17" s="613" t="n"/>
      <c r="U17" s="613" t="n"/>
      <c r="V17" s="613">
        <f>IFERROR(__xludf.DUMMYFUNCTION("MIN(FILTER($G$2:$G1115,$A$2:$A1115=A17,$E$2:$E1115=E17))"),13.0)</f>
        <v/>
      </c>
    </row>
    <row r="18">
      <c r="A18" s="454">
        <f>LEFT(B18,1)&amp;UPPER(LEFT(MID(B18,FIND(" ",B18)+1,LEN(B18)),3))&amp;C18</f>
        <v/>
      </c>
      <c r="B18" s="590" t="inlineStr">
        <is>
          <t>Dana Vollmer</t>
        </is>
      </c>
      <c r="C18" s="590" t="n">
        <v>1987</v>
      </c>
      <c r="D18" s="590" t="inlineStr">
        <is>
          <t>F</t>
        </is>
      </c>
      <c r="E18" s="590" t="inlineStr">
        <is>
          <t>50 Free</t>
        </is>
      </c>
      <c r="F18" s="590" t="n">
        <v>2004</v>
      </c>
      <c r="G18" s="590">
        <f>F18-C18</f>
        <v/>
      </c>
      <c r="H18" s="517" t="n">
        <v>25.89</v>
      </c>
      <c r="I18" s="457">
        <f>IFERROR(__xludf.DUMMYFUNCTION("LET(
  gen,$D18, ev,$E18, t,$H18,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)"),758.0)</f>
        <v/>
      </c>
      <c r="J18" s="458">
        <f>IFERROR(__xludf.DUMMYFUNCTION("MIN(FILTER($H$2:$H1115,$A$2:$A1115=A18,$E$2:$E1115=E18))"),25.09)</f>
        <v/>
      </c>
      <c r="K18" s="457">
        <f>IFERROR(__xludf.DUMMYFUNCTION("MAX(FILTER($I$2:$I1115,$A$2:$A1115=A18,$E$2:$E1115=E18))"),"#DIV/0!")</f>
        <v/>
      </c>
      <c r="L18" s="457">
        <f>IFERROR(INDEX(F:F,MATCH(J18&amp;A18&amp;E18,H:H&amp;A:A&amp;E:E,0)),"")</f>
        <v/>
      </c>
      <c r="M18" s="457">
        <f>IF(AND(L18&lt;&gt;"",C18&lt;&gt;""), L18-C18, "")</f>
        <v/>
      </c>
      <c r="N18" s="709">
        <f>IFERROR(__xludf.DUMMYFUNCTION("IFERROR(
  MAX(
    FILTER(
      $I$2:$I1115,
      $A$2:$A1115=A18,
      $E$2:$E1115=E18,
      $G$2:$G1115 &gt;= G18-1,
      $G$2:$G1115 &lt;= G18+1
    )
  ),
  """"
)"),758.0)</f>
        <v/>
      </c>
      <c r="O18" s="460">
        <f>1-N18/K18</f>
        <v/>
      </c>
      <c r="P18" s="590">
        <f>AND(
O18 &lt;= 0.05,
(
COUNTIFS($A$2:$A1130, A18, $E$2:$E1130, E18, $G$2:$G1130, G18, $O$2:$O1130, "&lt;=0.05") +
COUNTIFS($A$2:$A1130, A18, $E$2:$E1130, E18, $G$2:$G1130, G18-1, $O$2:$O1130, "&lt;=0.05") +
COUNTIFS($A$2:$A1130, A18, $E$2:$E1130, E18, $G$2:$G1130, G18+1, $O$2:$O1130, "&lt;=0.05")
) &gt;= 
2)</f>
        <v/>
      </c>
      <c r="Q18" s="457" t="n"/>
      <c r="R18" s="457">
        <f>IFERROR(__xludf.DUMMYFUNCTION("IFERROR(MIN(FILTER($G$2:$G1115, $A$2:$A1115=A18, $E$2:$E1115=E18, $P$2:$P1115=TRUE)), """")"),"")</f>
        <v/>
      </c>
      <c r="S18" s="457">
        <f>IFERROR(__xludf.DUMMYFUNCTION("IFERROR(MAX(FILTER($G$2:$G1115, $A$2:$A1115=A18, $E$2:$E1115=E18, $P$2:$P1115=TRUE)), """")"),"")</f>
        <v/>
      </c>
      <c r="T18" s="590" t="n"/>
      <c r="U18" s="590" t="n"/>
      <c r="V18" s="590">
        <f>IFERROR(__xludf.DUMMYFUNCTION("MIN(FILTER($G$2:$G1115,$A$2:$A1115=A18,$E$2:$E1115=E18))"),13.0)</f>
        <v/>
      </c>
    </row>
    <row r="19">
      <c r="A19" s="454">
        <f>LEFT(B19,1)&amp;UPPER(LEFT(MID(B19,FIND(" ",B19)+1,LEN(B19)),3))&amp;C19</f>
        <v/>
      </c>
      <c r="B19" s="613" t="inlineStr">
        <is>
          <t>Dana Vollmer</t>
        </is>
      </c>
      <c r="C19" s="613" t="n">
        <v>1987</v>
      </c>
      <c r="D19" s="613" t="inlineStr">
        <is>
          <t>F</t>
        </is>
      </c>
      <c r="E19" s="613" t="inlineStr">
        <is>
          <t>50 Free</t>
        </is>
      </c>
      <c r="F19" s="613" t="n">
        <v>2003</v>
      </c>
      <c r="G19" s="613">
        <f>F19-C19</f>
        <v/>
      </c>
      <c r="H19" s="505" t="n">
        <v>25.9</v>
      </c>
      <c r="I19" s="457">
        <f>IFERROR(__xludf.DUMMYFUNCTION("LET(
  gen,$D19, ev,$E19, t,$H19,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)"),757.0)</f>
        <v/>
      </c>
      <c r="J19" s="458">
        <f>IFERROR(__xludf.DUMMYFUNCTION("MIN(FILTER($H$2:$H1115,$A$2:$A1115=A19,$E$2:$E1115=E19))"),25.09)</f>
        <v/>
      </c>
      <c r="K19" s="457">
        <f>IFERROR(__xludf.DUMMYFUNCTION("MAX(FILTER($I$2:$I1115,$A$2:$A1115=A19,$E$2:$E1115=E19))"),"#DIV/0!")</f>
        <v/>
      </c>
      <c r="L19" s="457">
        <f>IFERROR(INDEX(F:F,MATCH(J19&amp;A19&amp;E19,H:H&amp;A:A&amp;E:E,0)),"")</f>
        <v/>
      </c>
      <c r="M19" s="457">
        <f>IF(AND(L19&lt;&gt;"",C19&lt;&gt;""), L19-C19, "")</f>
        <v/>
      </c>
      <c r="N19" s="704">
        <f>IFERROR(__xludf.DUMMYFUNCTION("IFERROR(
  MAX(
    FILTER(
      $I$2:$I1115,
      $A$2:$A1115=A19,
      $E$2:$E1115=E19,
      $G$2:$G1115 &gt;= G19-1,
      $G$2:$G1115 &lt;= G19+1
    )
  ),
  """"
)"),758.0)</f>
        <v/>
      </c>
      <c r="O19" s="464">
        <f>1-N19/K19</f>
        <v/>
      </c>
      <c r="P19" s="613">
        <f>AND(
O19 &lt;= 0.05,
(
COUNTIFS($A$2:$A1131, A19, $E$2:$E1131, E19, $G$2:$G1131, G19, $O$2:$O1131, "&lt;=0.05") +
COUNTIFS($A$2:$A1131, A19, $E$2:$E1131, E19, $G$2:$G1131, G19-1, $O$2:$O1131, "&lt;=0.05") +
COUNTIFS($A$2:$A1131, A19, $E$2:$E1131, E19, $G$2:$G1131, G19+1, $O$2:$O1131, "&lt;=0.05")
) &gt;= 
2)</f>
        <v/>
      </c>
      <c r="Q19" s="457" t="n"/>
      <c r="R19" s="457">
        <f>IFERROR(__xludf.DUMMYFUNCTION("IFERROR(MIN(FILTER($G$2:$G1115, $A$2:$A1115=A19, $E$2:$E1115=E19, $P$2:$P1115=TRUE)), """")"),"")</f>
        <v/>
      </c>
      <c r="S19" s="457">
        <f>IFERROR(__xludf.DUMMYFUNCTION("IFERROR(MAX(FILTER($G$2:$G1115, $A$2:$A1115=A19, $E$2:$E1115=E19, $P$2:$P1115=TRUE)), """")"),"")</f>
        <v/>
      </c>
      <c r="T19" s="613" t="n"/>
      <c r="U19" s="613" t="n"/>
      <c r="V19" s="613">
        <f>IFERROR(__xludf.DUMMYFUNCTION("MIN(FILTER($G$2:$G1115,$A$2:$A1115=A19,$E$2:$E1115=E19))"),13.0)</f>
        <v/>
      </c>
    </row>
    <row r="20">
      <c r="A20" s="454">
        <f>LEFT(B20,1)&amp;UPPER(LEFT(MID(B20,FIND(" ",B20)+1,LEN(B20)),3))&amp;C20</f>
        <v/>
      </c>
      <c r="B20" s="590" t="inlineStr">
        <is>
          <t>Dana Vollmer</t>
        </is>
      </c>
      <c r="C20" s="590" t="n">
        <v>1987</v>
      </c>
      <c r="D20" s="590" t="inlineStr">
        <is>
          <t>F</t>
        </is>
      </c>
      <c r="E20" s="590" t="inlineStr">
        <is>
          <t>50 Free</t>
        </is>
      </c>
      <c r="F20" s="590" t="n">
        <v>2002</v>
      </c>
      <c r="G20" s="590">
        <f>F20-C20</f>
        <v/>
      </c>
      <c r="H20" s="517" t="n">
        <v>26.29</v>
      </c>
      <c r="I20" s="457">
        <f>IFERROR(__xludf.DUMMYFUNCTION("LET(
  gen,$D20, ev,$E20, t,$H20,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
      </c>
      <c r="J20" s="458">
        <f>IFERROR(__xludf.DUMMYFUNCTION("MIN(FILTER($H$2:$H1115,$A$2:$A1115=A20,$E$2:$E1115=E20))"),25.09)</f>
        <v/>
      </c>
      <c r="K20" s="457">
        <f>IFERROR(__xludf.DUMMYFUNCTION("MAX(FILTER($I$2:$I1115,$A$2:$A1115=A20,$E$2:$E1115=E20))"),"#DIV/0!")</f>
        <v/>
      </c>
      <c r="L20" s="457">
        <f>IFERROR(INDEX(F:F,MATCH(J20&amp;A20&amp;E20,H:H&amp;A:A&amp;E:E,0)),"")</f>
        <v/>
      </c>
      <c r="M20" s="457">
        <f>IF(AND(L20&lt;&gt;"",C20&lt;&gt;""), L20-C20, "")</f>
        <v/>
      </c>
      <c r="N20" s="709">
        <f>IFERROR(__xludf.DUMMYFUNCTION("IFERROR(
  MAX(
    FILTER(
      $I$2:$I1115,
      $A$2:$A1115=A20,
      $E$2:$E1115=E20,
      $G$2:$G1115 &gt;= G20-1,
      $G$2:$G1115 &lt;= G20+1
    )
  ),
  """"
)"),"")</f>
        <v/>
      </c>
      <c r="O20" s="460">
        <f>1-N20/K20</f>
        <v/>
      </c>
      <c r="P20" s="590">
        <f>AND(
O20 &lt;= 0.05,
(
COUNTIFS($A$2:$A1132, A20, $E$2:$E1132, E20, $G$2:$G1132, G20, $O$2:$O1132, "&lt;=0.05") +
COUNTIFS($A$2:$A1132, A20, $E$2:$E1132, E20, $G$2:$G1132, G20-1, $O$2:$O1132, "&lt;=0.05") +
COUNTIFS($A$2:$A1132, A20, $E$2:$E1132, E20, $G$2:$G1132, G20+1, $O$2:$O1132, "&lt;=0.05")
) &gt;= 
2)</f>
        <v/>
      </c>
      <c r="Q20" s="457" t="n"/>
      <c r="R20" s="457">
        <f>IFERROR(__xludf.DUMMYFUNCTION("IFERROR(MIN(FILTER($G$2:$G1115, $A$2:$A1115=A20, $E$2:$E1115=E20, $P$2:$P1115=TRUE)), """")"),"")</f>
        <v/>
      </c>
      <c r="S20" s="457">
        <f>IFERROR(__xludf.DUMMYFUNCTION("IFERROR(MAX(FILTER($G$2:$G1115, $A$2:$A1115=A20, $E$2:$E1115=E20, $P$2:$P1115=TRUE)), """")"),"")</f>
        <v/>
      </c>
      <c r="T20" s="590" t="n"/>
      <c r="U20" s="590" t="n"/>
      <c r="V20" s="590">
        <f>IFERROR(__xludf.DUMMYFUNCTION("MIN(FILTER($G$2:$G1115,$A$2:$A1115=A20,$E$2:$E1115=E20))"),13.0)</f>
        <v/>
      </c>
    </row>
    <row r="21">
      <c r="A21" s="454">
        <f>LEFT(B21,1)&amp;UPPER(LEFT(MID(B21,FIND(" ",B21)+1,LEN(B21)),3))&amp;C21</f>
        <v/>
      </c>
      <c r="B21" s="613" t="inlineStr">
        <is>
          <t>Dana Vollmer</t>
        </is>
      </c>
      <c r="C21" s="613" t="n">
        <v>1987</v>
      </c>
      <c r="D21" s="613" t="inlineStr">
        <is>
          <t>F</t>
        </is>
      </c>
      <c r="E21" s="613" t="inlineStr">
        <is>
          <t>50 Free</t>
        </is>
      </c>
      <c r="F21" s="613" t="n">
        <v>2001</v>
      </c>
      <c r="G21" s="613">
        <f>F21-C21</f>
        <v/>
      </c>
      <c r="H21" s="505" t="n"/>
      <c r="I21" s="457">
        <f>IFERROR(__xludf.DUMMYFUNCTION("LET(
  gen,$D21, ev,$E21, t,$H21,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21" s="458">
        <f>IFERROR(__xludf.DUMMYFUNCTION("MIN(FILTER($H$2:$H1115,$A$2:$A1115=A21,$E$2:$E1115=E21))"),25.09)</f>
        <v/>
      </c>
      <c r="K21" s="457">
        <f>IFERROR(__xludf.DUMMYFUNCTION("MAX(FILTER($I$2:$I1115,$A$2:$A1115=A21,$E$2:$E1115=E21))"),"#DIV/0!")</f>
        <v/>
      </c>
      <c r="L21" s="457">
        <f>IFERROR(INDEX(F:F,MATCH(J21&amp;A21&amp;E21,H:H&amp;A:A&amp;E:E,0)),"")</f>
        <v/>
      </c>
      <c r="M21" s="457">
        <f>IF(AND(L21&lt;&gt;"",C21&lt;&gt;""), L21-C21, "")</f>
        <v/>
      </c>
      <c r="N21" s="704">
        <f>IFERROR(__xludf.DUMMYFUNCTION("IFERROR(
  MAX(
    FILTER(
      $I$2:$I1115,
      $A$2:$A1115=A21,
      $E$2:$E1115=E21,
      $G$2:$G1115 &gt;= G21-1,
      $G$2:$G1115 &lt;= G21+1
    )
  ),
  """"
)"),"")</f>
        <v/>
      </c>
      <c r="O21" s="464">
        <f>1-N21/K21</f>
        <v/>
      </c>
      <c r="P21" s="613">
        <f>AND(
O21 &lt;= 0.05,
(
COUNTIFS($A$2:$A1133, A21, $E$2:$E1133, E21, $G$2:$G1133, G21, $O$2:$O1133, "&lt;=0.05") +
COUNTIFS($A$2:$A1133, A21, $E$2:$E1133, E21, $G$2:$G1133, G21-1, $O$2:$O1133, "&lt;=0.05") +
COUNTIFS($A$2:$A1133, A21, $E$2:$E1133, E21, $G$2:$G1133, G21+1, $O$2:$O1133, "&lt;=0.05")
) &gt;= 
2)</f>
        <v/>
      </c>
      <c r="Q21" s="457" t="n"/>
      <c r="R21" s="457">
        <f>IFERROR(__xludf.DUMMYFUNCTION("IFERROR(MIN(FILTER($G$2:$G1115, $A$2:$A1115=A21, $E$2:$E1115=E21, $P$2:$P1115=TRUE)), """")"),"")</f>
        <v/>
      </c>
      <c r="S21" s="457">
        <f>IFERROR(__xludf.DUMMYFUNCTION("IFERROR(MAX(FILTER($G$2:$G1115, $A$2:$A1115=A21, $E$2:$E1115=E21, $P$2:$P1115=TRUE)), """")"),"")</f>
        <v/>
      </c>
      <c r="T21" s="613" t="n"/>
      <c r="U21" s="613" t="n"/>
      <c r="V21" s="613">
        <f>IFERROR(__xludf.DUMMYFUNCTION("MIN(FILTER($G$2:$G1115,$A$2:$A1115=A21,$E$2:$E1115=E21))"),13.0)</f>
        <v/>
      </c>
    </row>
    <row r="22">
      <c r="A22" s="454">
        <f>LEFT(B22,1)&amp;UPPER(LEFT(MID(B22,FIND(" ",B22)+1,LEN(B22)),3))&amp;C22</f>
        <v/>
      </c>
      <c r="B22" s="590" t="inlineStr">
        <is>
          <t>Dana Vollmer</t>
        </is>
      </c>
      <c r="C22" s="590" t="n">
        <v>1987</v>
      </c>
      <c r="D22" s="590" t="inlineStr">
        <is>
          <t>F</t>
        </is>
      </c>
      <c r="E22" s="590" t="inlineStr">
        <is>
          <t>50 Free</t>
        </is>
      </c>
      <c r="F22" s="590" t="n">
        <v>2000</v>
      </c>
      <c r="G22" s="590">
        <f>F22-C22</f>
        <v/>
      </c>
      <c r="H22" s="517" t="n">
        <v>28.09</v>
      </c>
      <c r="I22" s="457">
        <f>IFERROR(__xludf.DUMMYFUNCTION("LET(
  gen,$D22, ev,$E22, t,$H22,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)"),593.0)</f>
        <v/>
      </c>
      <c r="J22" s="458">
        <f>IFERROR(__xludf.DUMMYFUNCTION("MIN(FILTER($H$2:$H1115,$A$2:$A1115=A22,$E$2:$E1115=E22))"),25.09)</f>
        <v/>
      </c>
      <c r="K22" s="457">
        <f>IFERROR(__xludf.DUMMYFUNCTION("MAX(FILTER($I$2:$I1115,$A$2:$A1115=A22,$E$2:$E1115=E22))"),"#DIV/0!")</f>
        <v/>
      </c>
      <c r="L22" s="457">
        <f>IFERROR(INDEX(F:F,MATCH(J22&amp;A22&amp;E22,H:H&amp;A:A&amp;E:E,0)),"")</f>
        <v/>
      </c>
      <c r="M22" s="457">
        <f>IF(AND(L22&lt;&gt;"",C22&lt;&gt;""), L22-C22, "")</f>
        <v/>
      </c>
      <c r="N22" s="709">
        <f>IFERROR(__xludf.DUMMYFUNCTION("IFERROR(
  MAX(
    FILTER(
      $I$2:$I1115,
      $A$2:$A1115=A22,
      $E$2:$E1115=E22,
      $G$2:$G1115 &gt;= G22-1,
      $G$2:$G1115 &lt;= G22+1
    )
  ),
  """"
)"),"")</f>
        <v/>
      </c>
      <c r="O22" s="460">
        <f>1-N22/K22</f>
        <v/>
      </c>
      <c r="P22" s="590">
        <f>AND(
O22 &lt;= 0.05,
(
COUNTIFS($A$2:$A1134, A22, $E$2:$E1134, E22, $G$2:$G1134, G22, $O$2:$O1134, "&lt;=0.05") +
COUNTIFS($A$2:$A1134, A22, $E$2:$E1134, E22, $G$2:$G1134, G22-1, $O$2:$O1134, "&lt;=0.05") +
COUNTIFS($A$2:$A1134, A22, $E$2:$E1134, E22, $G$2:$G1134, G22+1, $O$2:$O1134, "&lt;=0.05")
) &gt;= 
2)</f>
        <v/>
      </c>
      <c r="Q22" s="457" t="n"/>
      <c r="R22" s="457">
        <f>IFERROR(__xludf.DUMMYFUNCTION("IFERROR(MIN(FILTER($G$2:$G1115, $A$2:$A1115=A22, $E$2:$E1115=E22, $P$2:$P1115=TRUE)), """")"),"")</f>
        <v/>
      </c>
      <c r="S22" s="457">
        <f>IFERROR(__xludf.DUMMYFUNCTION("IFERROR(MAX(FILTER($G$2:$G1115, $A$2:$A1115=A22, $E$2:$E1115=E22, $P$2:$P1115=TRUE)), """")"),"")</f>
        <v/>
      </c>
      <c r="T22" s="590" t="n"/>
      <c r="U22" s="590" t="n"/>
      <c r="V22" s="590">
        <f>IFERROR(__xludf.DUMMYFUNCTION("MIN(FILTER($G$2:$G1115,$A$2:$A1115=A22,$E$2:$E1115=E22))"),13.0)</f>
        <v/>
      </c>
    </row>
    <row r="23">
      <c r="A23" s="454">
        <f>LEFT(B23,1)&amp;UPPER(LEFT(MID(B23,FIND(" ",B23)+1,LEN(B23)),3))&amp;C23</f>
        <v/>
      </c>
      <c r="B23" s="613" t="inlineStr">
        <is>
          <t>Erika Brown</t>
        </is>
      </c>
      <c r="C23" s="613" t="n">
        <v>1998</v>
      </c>
      <c r="D23" s="613" t="inlineStr">
        <is>
          <t>F</t>
        </is>
      </c>
      <c r="E23" s="613" t="inlineStr">
        <is>
          <t>50 Free</t>
        </is>
      </c>
      <c r="G23" s="613">
        <f>F23-C23</f>
        <v/>
      </c>
      <c r="H23" s="505" t="n"/>
      <c r="I23" s="457">
        <f>IFERROR(__xludf.DUMMYFUNCTION("LET(
  gen,$D23, ev,$E23, t,$H23,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23" s="458">
        <f>IFERROR(__xludf.DUMMYFUNCTION("MIN(FILTER($H$2:$H1115,$A$2:$A1115=A23,$E$2:$E1115=E23))"),0.0)</f>
        <v/>
      </c>
      <c r="K23" s="457">
        <f>IFERROR(__xludf.DUMMYFUNCTION("MAX(FILTER($I$2:$I1115,$A$2:$A1115=A23,$E$2:$E1115=E23))"),"#DIV/0!")</f>
        <v/>
      </c>
      <c r="L23" s="457">
        <f>IFERROR(INDEX(F:F,MATCH(J23&amp;A23&amp;E23,H:H&amp;A:A&amp;E:E,0)),"")</f>
        <v/>
      </c>
      <c r="M23" s="457">
        <f>IF(AND(L23&lt;&gt;"",C23&lt;&gt;""), L23-C23, "")</f>
        <v/>
      </c>
      <c r="N23" s="704">
        <f>IFERROR(__xludf.DUMMYFUNCTION("IFERROR(
  MAX(
    FILTER(
      $I$2:$I1115,
      $A$2:$A1115=A23,
      $E$2:$E1115=E23,
      $G$2:$G1115 &gt;= G23-1,
      $G$2:$G1115 &lt;= G23+1
    )
  ),
  """"
)"),"")</f>
        <v/>
      </c>
      <c r="O23" s="464">
        <f>1-N23/K23</f>
        <v/>
      </c>
      <c r="P23" s="613">
        <f>AND(
O23 &lt;= 0.05,
(
COUNTIFS($A$2:$A1135, A23, $E$2:$E1135, E23, $G$2:$G1135, G23, $O$2:$O1135, "&lt;=0.05") +
COUNTIFS($A$2:$A1135, A23, $E$2:$E1135, E23, $G$2:$G1135, G23-1, $O$2:$O1135, "&lt;=0.05") +
COUNTIFS($A$2:$A1135, A23, $E$2:$E1135, E23, $G$2:$G1135, G23+1, $O$2:$O1135, "&lt;=0.05")
) &gt;= 
2)</f>
        <v/>
      </c>
      <c r="Q23" s="457" t="n"/>
      <c r="R23" s="457">
        <f>IFERROR(__xludf.DUMMYFUNCTION("IFERROR(MIN(FILTER($G$2:$G1115, $A$2:$A1115=A23, $E$2:$E1115=E23, $P$2:$P1115=TRUE)), """")"),"")</f>
        <v/>
      </c>
      <c r="S23" s="457">
        <f>IFERROR(__xludf.DUMMYFUNCTION("IFERROR(MAX(FILTER($G$2:$G1115, $A$2:$A1115=A23, $E$2:$E1115=E23, $P$2:$P1115=TRUE)), """")"),"")</f>
        <v/>
      </c>
      <c r="T23" s="613" t="n"/>
      <c r="U23" s="613" t="n"/>
      <c r="V23" s="613">
        <f>IFERROR(__xludf.DUMMYFUNCTION("MIN(FILTER($G$2:$G1115,$A$2:$A1115=A23,$E$2:$E1115=E23))"),-1998.0)</f>
        <v/>
      </c>
    </row>
    <row r="24">
      <c r="A24" s="454">
        <f>LEFT(B24,1)&amp;UPPER(LEFT(MID(B24,FIND(" ",B24)+1,LEN(B24)),3))&amp;C24</f>
        <v/>
      </c>
      <c r="B24" s="590" t="inlineStr">
        <is>
          <t>Erika Erndel Acuff</t>
        </is>
      </c>
      <c r="C24" s="590" t="n">
        <v>1978</v>
      </c>
      <c r="D24" s="590" t="inlineStr">
        <is>
          <t>F</t>
        </is>
      </c>
      <c r="E24" s="590" t="inlineStr">
        <is>
          <t>50 Free</t>
        </is>
      </c>
      <c r="F24" s="590" t="n">
        <v>2016</v>
      </c>
      <c r="G24" s="590">
        <f>F24-C24</f>
        <v/>
      </c>
      <c r="H24" s="517" t="n">
        <v>26.38</v>
      </c>
      <c r="I24" s="457">
        <f>IFERROR(__xludf.DUMMYFUNCTION("LET(
  gen,$D24, ev,$E24, t,$H24,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
      </c>
      <c r="J24" s="458">
        <f>IFERROR(__xludf.DUMMYFUNCTION("MIN(FILTER($H$2:$H1115,$A$2:$A1115=A24,$E$2:$E1115=E24))"),25.37)</f>
        <v/>
      </c>
      <c r="K24" s="457">
        <f>IFERROR(__xludf.DUMMYFUNCTION("MAX(FILTER($I$2:$I1115,$A$2:$A1115=A24,$E$2:$E1115=E24))"),"#DIV/0!")</f>
        <v/>
      </c>
      <c r="L24" s="457">
        <f>IFERROR(INDEX(F:F,MATCH(J24&amp;A24&amp;E24,H:H&amp;A:A&amp;E:E,0)),"")</f>
        <v/>
      </c>
      <c r="M24" s="457">
        <f>IF(AND(L24&lt;&gt;"",C24&lt;&gt;""), L24-C24, "")</f>
        <v/>
      </c>
      <c r="N24" s="709">
        <f>IFERROR(__xludf.DUMMYFUNCTION("IFERROR(
  MAX(
    FILTER(
      $I$2:$I1115,
      $A$2:$A1115=A24,
      $E$2:$E1115=E24,
      $G$2:$G1115 &gt;= G24-1,
      $G$2:$G1115 &lt;= G24+1
    )
  ),
  """"
)"),723.0)</f>
        <v/>
      </c>
      <c r="O24" s="460">
        <f>1-N24/K24</f>
        <v/>
      </c>
      <c r="P24" s="590">
        <f>AND(
O24 &lt;= 0.05,
(
COUNTIFS($A$2:$A1136, A24, $E$2:$E1136, E24, $G$2:$G1136, G24, $O$2:$O1136, "&lt;=0.05") +
COUNTIFS($A$2:$A1136, A24, $E$2:$E1136, E24, $G$2:$G1136, G24-1, $O$2:$O1136, "&lt;=0.05") +
COUNTIFS($A$2:$A1136, A24, $E$2:$E1136, E24, $G$2:$G1136, G24+1, $O$2:$O1136, "&lt;=0.05")
) &gt;= 
2)</f>
        <v/>
      </c>
      <c r="Q24" s="457" t="n"/>
      <c r="R24" s="457">
        <f>IFERROR(__xludf.DUMMYFUNCTION("IFERROR(MIN(FILTER($G$2:$G1115, $A$2:$A1115=A24, $E$2:$E1115=E24, $P$2:$P1115=TRUE)), """")"),"")</f>
        <v/>
      </c>
      <c r="S24" s="457">
        <f>IFERROR(__xludf.DUMMYFUNCTION("IFERROR(MAX(FILTER($G$2:$G1115, $A$2:$A1115=A24, $E$2:$E1115=E24, $P$2:$P1115=TRUE)), """")"),"")</f>
        <v/>
      </c>
      <c r="T24" s="590" t="n"/>
      <c r="U24" s="590" t="n"/>
      <c r="V24" s="590">
        <f>IFERROR(__xludf.DUMMYFUNCTION("MIN(FILTER($G$2:$G1115,$A$2:$A1115=A24,$E$2:$E1115=E24))"),22.0)</f>
        <v/>
      </c>
    </row>
    <row r="25">
      <c r="A25" s="454">
        <f>LEFT(B25,1)&amp;UPPER(LEFT(MID(B25,FIND(" ",B25)+1,LEN(B25)),3))&amp;C25</f>
        <v/>
      </c>
      <c r="B25" s="613" t="inlineStr">
        <is>
          <t>Erika Erndel Acuff</t>
        </is>
      </c>
      <c r="C25" s="613" t="n">
        <v>1978</v>
      </c>
      <c r="D25" s="613" t="inlineStr">
        <is>
          <t>F</t>
        </is>
      </c>
      <c r="E25" s="613" t="inlineStr">
        <is>
          <t>50 Free</t>
        </is>
      </c>
      <c r="F25" s="613" t="n">
        <v>2015</v>
      </c>
      <c r="G25" s="613">
        <f>F25-C25</f>
        <v/>
      </c>
      <c r="H25" s="505" t="n">
        <v>26.3</v>
      </c>
      <c r="I25" s="457">
        <f>IFERROR(__xludf.DUMMYFUNCTION("LET(
  gen,$D25, ev,$E25, t,$H25,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)"),723.0)</f>
        <v/>
      </c>
      <c r="J25" s="458">
        <f>IFERROR(__xludf.DUMMYFUNCTION("MIN(FILTER($H$2:$H1115,$A$2:$A1115=A25,$E$2:$E1115=E25))"),25.37)</f>
        <v/>
      </c>
      <c r="K25" s="457">
        <f>IFERROR(__xludf.DUMMYFUNCTION("MAX(FILTER($I$2:$I1115,$A$2:$A1115=A25,$E$2:$E1115=E25))"),"#DIV/0!")</f>
        <v/>
      </c>
      <c r="L25" s="457">
        <f>IFERROR(INDEX(F:F,MATCH(J25&amp;A25&amp;E25,H:H&amp;A:A&amp;E:E,0)),"")</f>
        <v/>
      </c>
      <c r="M25" s="457">
        <f>IF(AND(L25&lt;&gt;"",C25&lt;&gt;""), L25-C25, "")</f>
        <v/>
      </c>
      <c r="N25" s="704">
        <f>IFERROR(__xludf.DUMMYFUNCTION("IFERROR(
  MAX(
    FILTER(
      $I$2:$I1115,
      $A$2:$A1115=A25,
      $E$2:$E1115=E25,
      $G$2:$G1115 &gt;= G25-1,
      $G$2:$G1115 &lt;= G25+1
    )
  ),
  """"
)"),723.0)</f>
        <v/>
      </c>
      <c r="O25" s="464">
        <f>1-N25/K25</f>
        <v/>
      </c>
      <c r="P25" s="613">
        <f>AND(
O25 &lt;= 0.05,
(
COUNTIFS($A$2:$A1137, A25, $E$2:$E1137, E25, $G$2:$G1137, G25, $O$2:$O1137, "&lt;=0.05") +
COUNTIFS($A$2:$A1137, A25, $E$2:$E1137, E25, $G$2:$G1137, G25-1, $O$2:$O1137, "&lt;=0.05") +
COUNTIFS($A$2:$A1137, A25, $E$2:$E1137, E25, $G$2:$G1137, G25+1, $O$2:$O1137, "&lt;=0.05")
) &gt;= 
2)</f>
        <v/>
      </c>
      <c r="Q25" s="457" t="n"/>
      <c r="R25" s="457">
        <f>IFERROR(__xludf.DUMMYFUNCTION("IFERROR(MIN(FILTER($G$2:$G1115, $A$2:$A1115=A25, $E$2:$E1115=E25, $P$2:$P1115=TRUE)), """")"),"")</f>
        <v/>
      </c>
      <c r="S25" s="457">
        <f>IFERROR(__xludf.DUMMYFUNCTION("IFERROR(MAX(FILTER($G$2:$G1115, $A$2:$A1115=A25, $E$2:$E1115=E25, $P$2:$P1115=TRUE)), """")"),"")</f>
        <v/>
      </c>
      <c r="T25" s="613" t="n"/>
      <c r="U25" s="613" t="n"/>
      <c r="V25" s="613">
        <f>IFERROR(__xludf.DUMMYFUNCTION("MIN(FILTER($G$2:$G1115,$A$2:$A1115=A25,$E$2:$E1115=E25))"),22.0)</f>
        <v/>
      </c>
    </row>
    <row r="26">
      <c r="A26" s="454">
        <f>LEFT(B26,1)&amp;UPPER(LEFT(MID(B26,FIND(" ",B26)+1,LEN(B26)),3))&amp;C26</f>
        <v/>
      </c>
      <c r="B26" s="590" t="inlineStr">
        <is>
          <t>Erika Erndel Acuff</t>
        </is>
      </c>
      <c r="C26" s="590" t="n">
        <v>1978</v>
      </c>
      <c r="D26" s="590" t="inlineStr">
        <is>
          <t>F</t>
        </is>
      </c>
      <c r="E26" s="590" t="inlineStr">
        <is>
          <t>50 Free</t>
        </is>
      </c>
      <c r="F26" s="590" t="n">
        <v>2013</v>
      </c>
      <c r="G26" s="590">
        <f>F26-C26</f>
        <v/>
      </c>
      <c r="H26" s="517" t="n">
        <v>25.42</v>
      </c>
      <c r="I26" s="457">
        <f>IFERROR(__xludf.DUMMYFUNCTION("LET(
  gen,$D26, ev,$E26, t,$H26,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)"),801.0)</f>
        <v/>
      </c>
      <c r="J26" s="458">
        <f>IFERROR(__xludf.DUMMYFUNCTION("MIN(FILTER($H$2:$H1115,$A$2:$A1115=A26,$E$2:$E1115=E26))"),25.37)</f>
        <v/>
      </c>
      <c r="K26" s="457">
        <f>IFERROR(__xludf.DUMMYFUNCTION("MAX(FILTER($I$2:$I1115,$A$2:$A1115=A26,$E$2:$E1115=E26))"),"#DIV/0!")</f>
        <v/>
      </c>
      <c r="L26" s="457">
        <f>IFERROR(INDEX(F:F,MATCH(J26&amp;A26&amp;E26,H:H&amp;A:A&amp;E:E,0)),"")</f>
        <v/>
      </c>
      <c r="M26" s="457">
        <f>IF(AND(L26&lt;&gt;"",C26&lt;&gt;""), L26-C26, "")</f>
        <v/>
      </c>
      <c r="N26" s="709">
        <f>IFERROR(__xludf.DUMMYFUNCTION("IFERROR(
  MAX(
    FILTER(
      $I$2:$I1115,
      $A$2:$A1115=A26,
      $E$2:$E1115=E26,
      $G$2:$G1115 &gt;= G26-1,
      $G$2:$G1115 &lt;= G26+1
    )
  ),
  """"
)"),805.0)</f>
        <v/>
      </c>
      <c r="O26" s="460">
        <f>1-N26/K26</f>
        <v/>
      </c>
      <c r="P26" s="590">
        <f>AND(
O26 &lt;= 0.05,
(
COUNTIFS($A$2:$A1138, A26, $E$2:$E1138, E26, $G$2:$G1138, G26, $O$2:$O1138, "&lt;=0.05") +
COUNTIFS($A$2:$A1138, A26, $E$2:$E1138, E26, $G$2:$G1138, G26-1, $O$2:$O1138, "&lt;=0.05") +
COUNTIFS($A$2:$A1138, A26, $E$2:$E1138, E26, $G$2:$G1138, G26+1, $O$2:$O1138, "&lt;=0.05")
) &gt;= 
2)</f>
        <v/>
      </c>
      <c r="Q26" s="457" t="n"/>
      <c r="R26" s="457">
        <f>IFERROR(__xludf.DUMMYFUNCTION("IFERROR(MIN(FILTER($G$2:$G1115, $A$2:$A1115=A26, $E$2:$E1115=E26, $P$2:$P1115=TRUE)), """")"),"")</f>
        <v/>
      </c>
      <c r="S26" s="457">
        <f>IFERROR(__xludf.DUMMYFUNCTION("IFERROR(MAX(FILTER($G$2:$G1115, $A$2:$A1115=A26, $E$2:$E1115=E26, $P$2:$P1115=TRUE)), """")"),"")</f>
        <v/>
      </c>
      <c r="T26" s="590" t="n"/>
      <c r="U26" s="590" t="n"/>
      <c r="V26" s="590">
        <f>IFERROR(__xludf.DUMMYFUNCTION("MIN(FILTER($G$2:$G1115,$A$2:$A1115=A26,$E$2:$E1115=E26))"),22.0)</f>
        <v/>
      </c>
    </row>
    <row r="27">
      <c r="A27" s="454">
        <f>LEFT(B27,1)&amp;UPPER(LEFT(MID(B27,FIND(" ",B27)+1,LEN(B27)),3))&amp;C27</f>
        <v/>
      </c>
      <c r="B27" s="613" t="inlineStr">
        <is>
          <t>Erika Erndel Acuff</t>
        </is>
      </c>
      <c r="C27" s="613" t="n">
        <v>1978</v>
      </c>
      <c r="D27" s="613" t="inlineStr">
        <is>
          <t>F</t>
        </is>
      </c>
      <c r="E27" s="613" t="inlineStr">
        <is>
          <t>50 Free</t>
        </is>
      </c>
      <c r="F27" s="613" t="n">
        <v>2012</v>
      </c>
      <c r="G27" s="613">
        <f>F27-C27</f>
        <v/>
      </c>
      <c r="H27" s="505" t="n">
        <v>25.37</v>
      </c>
      <c r="I27" s="457">
        <f>IFERROR(__xludf.DUMMYFUNCTION("LET(
  gen,$D27, ev,$E27, t,$H27,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)"),805.0)</f>
        <v/>
      </c>
      <c r="J27" s="458">
        <f>IFERROR(__xludf.DUMMYFUNCTION("MIN(FILTER($H$2:$H1115,$A$2:$A1115=A27,$E$2:$E1115=E27))"),25.37)</f>
        <v/>
      </c>
      <c r="K27" s="457">
        <f>IFERROR(__xludf.DUMMYFUNCTION("MAX(FILTER($I$2:$I1115,$A$2:$A1115=A27,$E$2:$E1115=E27))"),"#DIV/0!")</f>
        <v/>
      </c>
      <c r="L27" s="457">
        <f>IFERROR(INDEX(F:F,MATCH(J27&amp;A27&amp;E27,H:H&amp;A:A&amp;E:E,0)),"")</f>
        <v/>
      </c>
      <c r="M27" s="457">
        <f>IF(AND(L27&lt;&gt;"",C27&lt;&gt;""), L27-C27, "")</f>
        <v/>
      </c>
      <c r="N27" s="704">
        <f>IFERROR(__xludf.DUMMYFUNCTION("IFERROR(
  MAX(
    FILTER(
      $I$2:$I1115,
      $A$2:$A1115=A27,
      $E$2:$E1115=E27,
      $G$2:$G1115 &gt;= G27-1,
      $G$2:$G1115 &lt;= G27+1
    )
  ),
  """"
)"),805.0)</f>
        <v/>
      </c>
      <c r="O27" s="464">
        <f>1-N27/K27</f>
        <v/>
      </c>
      <c r="P27" s="613">
        <f>AND(
O27 &lt;= 0.05,
(
COUNTIFS($A$2:$A1139, A27, $E$2:$E1139, E27, $G$2:$G1139, G27, $O$2:$O1139, "&lt;=0.05") +
COUNTIFS($A$2:$A1139, A27, $E$2:$E1139, E27, $G$2:$G1139, G27-1, $O$2:$O1139, "&lt;=0.05") +
COUNTIFS($A$2:$A1139, A27, $E$2:$E1139, E27, $G$2:$G1139, G27+1, $O$2:$O1139, "&lt;=0.05")
) &gt;= 
2)</f>
        <v/>
      </c>
      <c r="Q27" s="457" t="n"/>
      <c r="R27" s="457">
        <f>IFERROR(__xludf.DUMMYFUNCTION("IFERROR(MIN(FILTER($G$2:$G1115, $A$2:$A1115=A27, $E$2:$E1115=E27, $P$2:$P1115=TRUE)), """")"),"")</f>
        <v/>
      </c>
      <c r="S27" s="457">
        <f>IFERROR(__xludf.DUMMYFUNCTION("IFERROR(MAX(FILTER($G$2:$G1115, $A$2:$A1115=A27, $E$2:$E1115=E27, $P$2:$P1115=TRUE)), """")"),"")</f>
        <v/>
      </c>
      <c r="T27" s="613" t="n"/>
      <c r="U27" s="613" t="n"/>
      <c r="V27" s="613">
        <f>IFERROR(__xludf.DUMMYFUNCTION("MIN(FILTER($G$2:$G1115,$A$2:$A1115=A27,$E$2:$E1115=E27))"),22.0)</f>
        <v/>
      </c>
    </row>
    <row r="28">
      <c r="A28" s="454">
        <f>LEFT(B28,1)&amp;UPPER(LEFT(MID(B28,FIND(" ",B28)+1,LEN(B28)),3))&amp;C28</f>
        <v/>
      </c>
      <c r="B28" s="590" t="inlineStr">
        <is>
          <t>Erika Erndel Acuff</t>
        </is>
      </c>
      <c r="C28" s="590" t="n">
        <v>1978</v>
      </c>
      <c r="D28" s="590" t="inlineStr">
        <is>
          <t>F</t>
        </is>
      </c>
      <c r="E28" s="590" t="inlineStr">
        <is>
          <t>50 Free</t>
        </is>
      </c>
      <c r="F28" s="590" t="n">
        <v>2011</v>
      </c>
      <c r="G28" s="590">
        <f>F28-C28</f>
        <v/>
      </c>
      <c r="H28" s="517" t="n">
        <v>25.88</v>
      </c>
      <c r="I28" s="457">
        <f>IFERROR(__xludf.DUMMYFUNCTION("LET(
  gen,$D28, ev,$E28, t,$H28,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)"),759.0)</f>
        <v/>
      </c>
      <c r="J28" s="458">
        <f>IFERROR(__xludf.DUMMYFUNCTION("MIN(FILTER($H$2:$H1115,$A$2:$A1115=A28,$E$2:$E1115=E28))"),25.37)</f>
        <v/>
      </c>
      <c r="K28" s="457">
        <f>IFERROR(__xludf.DUMMYFUNCTION("MAX(FILTER($I$2:$I1115,$A$2:$A1115=A28,$E$2:$E1115=E28))"),"#DIV/0!")</f>
        <v/>
      </c>
      <c r="L28" s="457">
        <f>IFERROR(INDEX(F:F,MATCH(J28&amp;A28&amp;E28,H:H&amp;A:A&amp;E:E,0)),"")</f>
        <v/>
      </c>
      <c r="M28" s="457">
        <f>IF(AND(L28&lt;&gt;"",C28&lt;&gt;""), L28-C28, "")</f>
        <v/>
      </c>
      <c r="N28" s="709">
        <f>IFERROR(__xludf.DUMMYFUNCTION("IFERROR(
  MAX(
    FILTER(
      $I$2:$I1115,
      $A$2:$A1115=A28,
      $E$2:$E1115=E28,
      $G$2:$G1115 &gt;= G28-1,
      $G$2:$G1115 &lt;= G28+1
    )
  ),
  """"
)"),805.0)</f>
        <v/>
      </c>
      <c r="O28" s="460">
        <f>1-N28/K28</f>
        <v/>
      </c>
      <c r="P28" s="590">
        <f>AND(
O28 &lt;= 0.05,
(
COUNTIFS($A$2:$A1140, A28, $E$2:$E1140, E28, $G$2:$G1140, G28, $O$2:$O1140, "&lt;=0.05") +
COUNTIFS($A$2:$A1140, A28, $E$2:$E1140, E28, $G$2:$G1140, G28-1, $O$2:$O1140, "&lt;=0.05") +
COUNTIFS($A$2:$A1140, A28, $E$2:$E1140, E28, $G$2:$G1140, G28+1, $O$2:$O1140, "&lt;=0.05")
) &gt;= 
2)</f>
        <v/>
      </c>
      <c r="Q28" s="457" t="n"/>
      <c r="R28" s="457">
        <f>IFERROR(__xludf.DUMMYFUNCTION("IFERROR(MIN(FILTER($G$2:$G1115, $A$2:$A1115=A28, $E$2:$E1115=E28, $P$2:$P1115=TRUE)), """")"),"")</f>
        <v/>
      </c>
      <c r="S28" s="457">
        <f>IFERROR(__xludf.DUMMYFUNCTION("IFERROR(MAX(FILTER($G$2:$G1115, $A$2:$A1115=A28, $E$2:$E1115=E28, $P$2:$P1115=TRUE)), """")"),"")</f>
        <v/>
      </c>
      <c r="T28" s="590" t="n"/>
      <c r="U28" s="590" t="n"/>
      <c r="V28" s="590">
        <f>IFERROR(__xludf.DUMMYFUNCTION("MIN(FILTER($G$2:$G1115,$A$2:$A1115=A28,$E$2:$E1115=E28))"),22.0)</f>
        <v/>
      </c>
    </row>
    <row r="29">
      <c r="A29" s="454">
        <f>LEFT(B29,1)&amp;UPPER(LEFT(MID(B29,FIND(" ",B29)+1,LEN(B29)),3))&amp;C29</f>
        <v/>
      </c>
      <c r="B29" s="613" t="inlineStr">
        <is>
          <t>Erika Erndel Acuff</t>
        </is>
      </c>
      <c r="C29" s="613" t="n">
        <v>1978</v>
      </c>
      <c r="D29" s="613" t="inlineStr">
        <is>
          <t>F</t>
        </is>
      </c>
      <c r="E29" s="613" t="inlineStr">
        <is>
          <t>50 Free</t>
        </is>
      </c>
      <c r="F29" s="613" t="n">
        <v>2010</v>
      </c>
      <c r="G29" s="613">
        <f>F29-C29</f>
        <v/>
      </c>
      <c r="H29" s="505" t="n">
        <v>25.82</v>
      </c>
      <c r="I29" s="457">
        <f>IFERROR(__xludf.DUMMYFUNCTION("LET(
  gen,$D29, ev,$E29, t,$H29,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)"),764.0)</f>
        <v/>
      </c>
      <c r="J29" s="458">
        <f>IFERROR(__xludf.DUMMYFUNCTION("MIN(FILTER($H$2:$H1115,$A$2:$A1115=A29,$E$2:$E1115=E29))"),25.37)</f>
        <v/>
      </c>
      <c r="K29" s="457">
        <f>IFERROR(__xludf.DUMMYFUNCTION("MAX(FILTER($I$2:$I1115,$A$2:$A1115=A29,$E$2:$E1115=E29))"),"#DIV/0!")</f>
        <v/>
      </c>
      <c r="L29" s="457">
        <f>IFERROR(INDEX(F:F,MATCH(J29&amp;A29&amp;E29,H:H&amp;A:A&amp;E:E,0)),"")</f>
        <v/>
      </c>
      <c r="M29" s="457">
        <f>IF(AND(L29&lt;&gt;"",C29&lt;&gt;""), L29-C29, "")</f>
        <v/>
      </c>
      <c r="N29" s="704">
        <f>IFERROR(__xludf.DUMMYFUNCTION("IFERROR(
  MAX(
    FILTER(
      $I$2:$I1115,
      $A$2:$A1115=A29,
      $E$2:$E1115=E29,
      $G$2:$G1115 &gt;= G29-1,
      $G$2:$G1115 &lt;= G29+1
    )
  ),
  """"
)"),787.0)</f>
        <v/>
      </c>
      <c r="O29" s="464">
        <f>1-N29/K29</f>
        <v/>
      </c>
      <c r="P29" s="613">
        <f>AND(
O29 &lt;= 0.05,
(
COUNTIFS($A$2:$A1141, A29, $E$2:$E1141, E29, $G$2:$G1141, G29, $O$2:$O1141, "&lt;=0.05") +
COUNTIFS($A$2:$A1141, A29, $E$2:$E1141, E29, $G$2:$G1141, G29-1, $O$2:$O1141, "&lt;=0.05") +
COUNTIFS($A$2:$A1141, A29, $E$2:$E1141, E29, $G$2:$G1141, G29+1, $O$2:$O1141, "&lt;=0.05")
) &gt;= 
2)</f>
        <v/>
      </c>
      <c r="Q29" s="457" t="n"/>
      <c r="R29" s="457">
        <f>IFERROR(__xludf.DUMMYFUNCTION("IFERROR(MIN(FILTER($G$2:$G1115, $A$2:$A1115=A29, $E$2:$E1115=E29, $P$2:$P1115=TRUE)), """")"),"")</f>
        <v/>
      </c>
      <c r="S29" s="457">
        <f>IFERROR(__xludf.DUMMYFUNCTION("IFERROR(MAX(FILTER($G$2:$G1115, $A$2:$A1115=A29, $E$2:$E1115=E29, $P$2:$P1115=TRUE)), """")"),"")</f>
        <v/>
      </c>
      <c r="T29" s="613" t="n"/>
      <c r="U29" s="613" t="n"/>
      <c r="V29" s="613">
        <f>IFERROR(__xludf.DUMMYFUNCTION("MIN(FILTER($G$2:$G1115,$A$2:$A1115=A29,$E$2:$E1115=E29))"),22.0)</f>
        <v/>
      </c>
    </row>
    <row r="30">
      <c r="A30" s="454">
        <f>LEFT(B30,1)&amp;UPPER(LEFT(MID(B30,FIND(" ",B30)+1,LEN(B30)),3))&amp;C30</f>
        <v/>
      </c>
      <c r="B30" s="590" t="inlineStr">
        <is>
          <t>Erika Erndel Acuff</t>
        </is>
      </c>
      <c r="C30" s="590" t="n">
        <v>1978</v>
      </c>
      <c r="D30" s="590" t="inlineStr">
        <is>
          <t>F</t>
        </is>
      </c>
      <c r="E30" s="590" t="inlineStr">
        <is>
          <t>50 Free</t>
        </is>
      </c>
      <c r="F30" s="590" t="n">
        <v>2009</v>
      </c>
      <c r="G30" s="590">
        <f>F30-C30</f>
        <v/>
      </c>
      <c r="H30" s="517" t="n">
        <v>25.57</v>
      </c>
      <c r="I30" s="457">
        <f>IFERROR(__xludf.DUMMYFUNCTION("LET(
  gen,$D30, ev,$E30, t,$H30,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)"),787.0)</f>
        <v/>
      </c>
      <c r="J30" s="458">
        <f>IFERROR(__xludf.DUMMYFUNCTION("MIN(FILTER($H$2:$H1115,$A$2:$A1115=A30,$E$2:$E1115=E30))"),25.37)</f>
        <v/>
      </c>
      <c r="K30" s="457">
        <f>IFERROR(__xludf.DUMMYFUNCTION("MAX(FILTER($I$2:$I1115,$A$2:$A1115=A30,$E$2:$E1115=E30))"),"#DIV/0!")</f>
        <v/>
      </c>
      <c r="L30" s="457">
        <f>IFERROR(INDEX(F:F,MATCH(J30&amp;A30&amp;E30,H:H&amp;A:A&amp;E:E,0)),"")</f>
        <v/>
      </c>
      <c r="M30" s="457">
        <f>IF(AND(L30&lt;&gt;"",C30&lt;&gt;""), L30-C30, "")</f>
        <v/>
      </c>
      <c r="N30" s="709">
        <f>IFERROR(__xludf.DUMMYFUNCTION("IFERROR(
  MAX(
    FILTER(
      $I$2:$I1115,
      $A$2:$A1115=A30,
      $E$2:$E1115=E30,
      $G$2:$G1115 &gt;= G30-1,
      $G$2:$G1115 &lt;= G30+1
    )
  ),
  """"
)"),787.0)</f>
        <v/>
      </c>
      <c r="O30" s="460">
        <f>1-N30/K30</f>
        <v/>
      </c>
      <c r="P30" s="590">
        <f>AND(
O30 &lt;= 0.05,
(
COUNTIFS($A$2:$A1142, A30, $E$2:$E1142, E30, $G$2:$G1142, G30, $O$2:$O1142, "&lt;=0.05") +
COUNTIFS($A$2:$A1142, A30, $E$2:$E1142, E30, $G$2:$G1142, G30-1, $O$2:$O1142, "&lt;=0.05") +
COUNTIFS($A$2:$A1142, A30, $E$2:$E1142, E30, $G$2:$G1142, G30+1, $O$2:$O1142, "&lt;=0.05")
) &gt;= 
2)</f>
        <v/>
      </c>
      <c r="Q30" s="457" t="n"/>
      <c r="R30" s="457">
        <f>IFERROR(__xludf.DUMMYFUNCTION("IFERROR(MIN(FILTER($G$2:$G1115, $A$2:$A1115=A30, $E$2:$E1115=E30, $P$2:$P1115=TRUE)), """")"),"")</f>
        <v/>
      </c>
      <c r="S30" s="457">
        <f>IFERROR(__xludf.DUMMYFUNCTION("IFERROR(MAX(FILTER($G$2:$G1115, $A$2:$A1115=A30, $E$2:$E1115=E30, $P$2:$P1115=TRUE)), """")"),"")</f>
        <v/>
      </c>
      <c r="T30" s="590" t="n"/>
      <c r="U30" s="590" t="n"/>
      <c r="V30" s="590">
        <f>IFERROR(__xludf.DUMMYFUNCTION("MIN(FILTER($G$2:$G1115,$A$2:$A1115=A30,$E$2:$E1115=E30))"),22.0)</f>
        <v/>
      </c>
    </row>
    <row r="31">
      <c r="A31" s="454">
        <f>LEFT(B31,1)&amp;UPPER(LEFT(MID(B31,FIND(" ",B31)+1,LEN(B31)),3))&amp;C31</f>
        <v/>
      </c>
      <c r="B31" s="613" t="inlineStr">
        <is>
          <t>Erika Erndel Acuff</t>
        </is>
      </c>
      <c r="C31" s="613" t="n">
        <v>1978</v>
      </c>
      <c r="D31" s="613" t="inlineStr">
        <is>
          <t>F</t>
        </is>
      </c>
      <c r="E31" s="613" t="inlineStr">
        <is>
          <t>50 Free</t>
        </is>
      </c>
      <c r="F31" s="613" t="n">
        <v>2008</v>
      </c>
      <c r="G31" s="613">
        <f>F31-C31</f>
        <v/>
      </c>
      <c r="H31" s="505" t="n">
        <v>26.39</v>
      </c>
      <c r="I31" s="457">
        <f>IFERROR(__xludf.DUMMYFUNCTION("LET(
  gen,$D31, ev,$E31, t,$H31,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)"),716.0)</f>
        <v/>
      </c>
      <c r="J31" s="458">
        <f>IFERROR(__xludf.DUMMYFUNCTION("MIN(FILTER($H$2:$H1115,$A$2:$A1115=A31,$E$2:$E1115=E31))"),25.37)</f>
        <v/>
      </c>
      <c r="K31" s="457">
        <f>IFERROR(__xludf.DUMMYFUNCTION("MAX(FILTER($I$2:$I1115,$A$2:$A1115=A31,$E$2:$E1115=E31))"),"#DIV/0!")</f>
        <v/>
      </c>
      <c r="L31" s="457">
        <f>IFERROR(INDEX(F:F,MATCH(J31&amp;A31&amp;E31,H:H&amp;A:A&amp;E:E,0)),"")</f>
        <v/>
      </c>
      <c r="M31" s="457">
        <f>IF(AND(L31&lt;&gt;"",C31&lt;&gt;""), L31-C31, "")</f>
        <v/>
      </c>
      <c r="N31" s="704">
        <f>IFERROR(__xludf.DUMMYFUNCTION("IFERROR(
  MAX(
    FILTER(
      $I$2:$I1115,
      $A$2:$A1115=A31,
      $E$2:$E1115=E31,
      $G$2:$G1115 &gt;= G31-1,
      $G$2:$G1115 &lt;= G31+1
    )
  ),
  """"
)"),787.0)</f>
        <v/>
      </c>
      <c r="O31" s="464">
        <f>1-N31/K31</f>
        <v/>
      </c>
      <c r="P31" s="613">
        <f>AND(
O31 &lt;= 0.05,
(
COUNTIFS($A$2:$A1143, A31, $E$2:$E1143, E31, $G$2:$G1143, G31, $O$2:$O1143, "&lt;=0.05") +
COUNTIFS($A$2:$A1143, A31, $E$2:$E1143, E31, $G$2:$G1143, G31-1, $O$2:$O1143, "&lt;=0.05") +
COUNTIFS($A$2:$A1143, A31, $E$2:$E1143, E31, $G$2:$G1143, G31+1, $O$2:$O1143, "&lt;=0.05")
) &gt;= 
2)</f>
        <v/>
      </c>
      <c r="Q31" s="457" t="n"/>
      <c r="R31" s="457">
        <f>IFERROR(__xludf.DUMMYFUNCTION("IFERROR(MIN(FILTER($G$2:$G1115, $A$2:$A1115=A31, $E$2:$E1115=E31, $P$2:$P1115=TRUE)), """")"),"")</f>
        <v/>
      </c>
      <c r="S31" s="457">
        <f>IFERROR(__xludf.DUMMYFUNCTION("IFERROR(MAX(FILTER($G$2:$G1115, $A$2:$A1115=A31, $E$2:$E1115=E31, $P$2:$P1115=TRUE)), """")"),"")</f>
        <v/>
      </c>
      <c r="T31" s="613" t="n"/>
      <c r="U31" s="613" t="n"/>
      <c r="V31" s="613">
        <f>IFERROR(__xludf.DUMMYFUNCTION("MIN(FILTER($G$2:$G1115,$A$2:$A1115=A31,$E$2:$E1115=E31))"),22.0)</f>
        <v/>
      </c>
    </row>
    <row r="32">
      <c r="A32" s="454">
        <f>LEFT(B32,1)&amp;UPPER(LEFT(MID(B32,FIND(" ",B32)+1,LEN(B32)),3))&amp;C32</f>
        <v/>
      </c>
      <c r="B32" s="590" t="inlineStr">
        <is>
          <t>Erika Erndel Acuff</t>
        </is>
      </c>
      <c r="C32" s="590" t="n">
        <v>1978</v>
      </c>
      <c r="D32" s="590" t="inlineStr">
        <is>
          <t>F</t>
        </is>
      </c>
      <c r="E32" s="590" t="inlineStr">
        <is>
          <t>50 Free</t>
        </is>
      </c>
      <c r="F32" s="590" t="n">
        <v>2007</v>
      </c>
      <c r="G32" s="590">
        <f>F32-C32</f>
        <v/>
      </c>
      <c r="H32" s="517" t="n">
        <v>28.29</v>
      </c>
      <c r="I32" s="457">
        <f>IFERROR(__xludf.DUMMYFUNCTION("LET(
  gen,$D32, ev,$E32, t,$H32,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)"),581.0)</f>
        <v/>
      </c>
      <c r="J32" s="458">
        <f>IFERROR(__xludf.DUMMYFUNCTION("MIN(FILTER($H$2:$H1115,$A$2:$A1115=A32,$E$2:$E1115=E32))"),25.37)</f>
        <v/>
      </c>
      <c r="K32" s="457">
        <f>IFERROR(__xludf.DUMMYFUNCTION("MAX(FILTER($I$2:$I1115,$A$2:$A1115=A32,$E$2:$E1115=E32))"),"#DIV/0!")</f>
        <v/>
      </c>
      <c r="L32" s="457">
        <f>IFERROR(INDEX(F:F,MATCH(J32&amp;A32&amp;E32,H:H&amp;A:A&amp;E:E,0)),"")</f>
        <v/>
      </c>
      <c r="M32" s="457">
        <f>IF(AND(L32&lt;&gt;"",C32&lt;&gt;""), L32-C32, "")</f>
        <v/>
      </c>
      <c r="N32" s="709">
        <f>IFERROR(__xludf.DUMMYFUNCTION("IFERROR(
  MAX(
    FILTER(
      $I$2:$I1115,
      $A$2:$A1115=A32,
      $E$2:$E1115=E32,
      $G$2:$G1115 &gt;= G32-1,
      $G$2:$G1115 &lt;= G32+1
    )
  ),
  """"
)"),716.0)</f>
        <v/>
      </c>
      <c r="O32" s="460">
        <f>1-N32/K32</f>
        <v/>
      </c>
      <c r="P32" s="590">
        <f>AND(
O32 &lt;= 0.05,
(
COUNTIFS($A$2:$A1144, A32, $E$2:$E1144, E32, $G$2:$G1144, G32, $O$2:$O1144, "&lt;=0.05") +
COUNTIFS($A$2:$A1144, A32, $E$2:$E1144, E32, $G$2:$G1144, G32-1, $O$2:$O1144, "&lt;=0.05") +
COUNTIFS($A$2:$A1144, A32, $E$2:$E1144, E32, $G$2:$G1144, G32+1, $O$2:$O1144, "&lt;=0.05")
) &gt;= 
2)</f>
        <v/>
      </c>
      <c r="Q32" s="457" t="n"/>
      <c r="R32" s="457">
        <f>IFERROR(__xludf.DUMMYFUNCTION("IFERROR(MIN(FILTER($G$2:$G1115, $A$2:$A1115=A32, $E$2:$E1115=E32, $P$2:$P1115=TRUE)), """")"),"")</f>
        <v/>
      </c>
      <c r="S32" s="457">
        <f>IFERROR(__xludf.DUMMYFUNCTION("IFERROR(MAX(FILTER($G$2:$G1115, $A$2:$A1115=A32, $E$2:$E1115=E32, $P$2:$P1115=TRUE)), """")"),"")</f>
        <v/>
      </c>
      <c r="T32" s="590" t="n"/>
      <c r="U32" s="590" t="n"/>
      <c r="V32" s="590">
        <f>IFERROR(__xludf.DUMMYFUNCTION("MIN(FILTER($G$2:$G1115,$A$2:$A1115=A32,$E$2:$E1115=E32))"),22.0)</f>
        <v/>
      </c>
    </row>
    <row r="33">
      <c r="A33" s="454">
        <f>LEFT(B33,1)&amp;UPPER(LEFT(MID(B33,FIND(" ",B33)+1,LEN(B33)),3))&amp;C33</f>
        <v/>
      </c>
      <c r="B33" s="613" t="inlineStr">
        <is>
          <t>Erika Erndel Acuff</t>
        </is>
      </c>
      <c r="C33" s="613" t="n">
        <v>1978</v>
      </c>
      <c r="D33" s="613" t="inlineStr">
        <is>
          <t>F</t>
        </is>
      </c>
      <c r="E33" s="613" t="inlineStr">
        <is>
          <t>50 Free</t>
        </is>
      </c>
      <c r="F33" s="613" t="n">
        <v>2006</v>
      </c>
      <c r="G33" s="613">
        <f>F33-C33</f>
        <v/>
      </c>
      <c r="H33" s="505" t="n">
        <v>28.44</v>
      </c>
      <c r="I33" s="457">
        <f>IFERROR(__xludf.DUMMYFUNCTION("LET(
  gen,$D33, ev,$E33, t,$H33,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)"),572.0)</f>
        <v/>
      </c>
      <c r="J33" s="458">
        <f>IFERROR(__xludf.DUMMYFUNCTION("MIN(FILTER($H$2:$H1115,$A$2:$A1115=A33,$E$2:$E1115=E33))"),25.37)</f>
        <v/>
      </c>
      <c r="K33" s="457">
        <f>IFERROR(__xludf.DUMMYFUNCTION("MAX(FILTER($I$2:$I1115,$A$2:$A1115=A33,$E$2:$E1115=E33))"),"#DIV/0!")</f>
        <v/>
      </c>
      <c r="L33" s="457">
        <f>IFERROR(INDEX(F:F,MATCH(J33&amp;A33&amp;E33,H:H&amp;A:A&amp;E:E,0)),"")</f>
        <v/>
      </c>
      <c r="M33" s="457">
        <f>IF(AND(L33&lt;&gt;"",C33&lt;&gt;""), L33-C33, "")</f>
        <v/>
      </c>
      <c r="N33" s="704">
        <f>IFERROR(__xludf.DUMMYFUNCTION("IFERROR(
  MAX(
    FILTER(
      $I$2:$I1115,
      $A$2:$A1115=A33,
      $E$2:$E1115=E33,
      $G$2:$G1115 &gt;= G33-1,
      $G$2:$G1115 &lt;= G33+1
    )
  ),
  """"
)"),"")</f>
        <v/>
      </c>
      <c r="O33" s="464">
        <f>1-N33/K33</f>
        <v/>
      </c>
      <c r="P33" s="613">
        <f>AND(
O33 &lt;= 0.05,
(
COUNTIFS($A$2:$A1145, A33, $E$2:$E1145, E33, $G$2:$G1145, G33, $O$2:$O1145, "&lt;=0.05") +
COUNTIFS($A$2:$A1145, A33, $E$2:$E1145, E33, $G$2:$G1145, G33-1, $O$2:$O1145, "&lt;=0.05") +
COUNTIFS($A$2:$A1145, A33, $E$2:$E1145, E33, $G$2:$G1145, G33+1, $O$2:$O1145, "&lt;=0.05")
) &gt;= 
2)</f>
        <v/>
      </c>
      <c r="Q33" s="457" t="n"/>
      <c r="R33" s="457">
        <f>IFERROR(__xludf.DUMMYFUNCTION("IFERROR(MIN(FILTER($G$2:$G1115, $A$2:$A1115=A33, $E$2:$E1115=E33, $P$2:$P1115=TRUE)), """")"),"")</f>
        <v/>
      </c>
      <c r="S33" s="457">
        <f>IFERROR(__xludf.DUMMYFUNCTION("IFERROR(MAX(FILTER($G$2:$G1115, $A$2:$A1115=A33, $E$2:$E1115=E33, $P$2:$P1115=TRUE)), """")"),"")</f>
        <v/>
      </c>
      <c r="T33" s="613" t="n"/>
      <c r="U33" s="613" t="n"/>
      <c r="V33" s="613">
        <f>IFERROR(__xludf.DUMMYFUNCTION("MIN(FILTER($G$2:$G1115,$A$2:$A1115=A33,$E$2:$E1115=E33))"),22.0)</f>
        <v/>
      </c>
    </row>
    <row r="34">
      <c r="A34" s="454">
        <f>LEFT(B34,1)&amp;UPPER(LEFT(MID(B34,FIND(" ",B34)+1,LEN(B34)),3))&amp;C34</f>
        <v/>
      </c>
      <c r="B34" s="590" t="inlineStr">
        <is>
          <t>Erika Erndel Acuff</t>
        </is>
      </c>
      <c r="C34" s="590" t="n">
        <v>1978</v>
      </c>
      <c r="D34" s="590" t="inlineStr">
        <is>
          <t>F</t>
        </is>
      </c>
      <c r="E34" s="590" t="inlineStr">
        <is>
          <t>50 Free</t>
        </is>
      </c>
      <c r="F34" s="590" t="n">
        <v>2005</v>
      </c>
      <c r="G34" s="590">
        <f>F34-C34</f>
        <v/>
      </c>
      <c r="H34" s="517" t="n"/>
      <c r="I34" s="457">
        <f>IFERROR(__xludf.DUMMYFUNCTION("LET(
  gen,$D34, ev,$E34, t,$H34,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34" s="458">
        <f>IFERROR(__xludf.DUMMYFUNCTION("MIN(FILTER($H$2:$H1115,$A$2:$A1115=A34,$E$2:$E1115=E34))"),25.37)</f>
        <v/>
      </c>
      <c r="K34" s="457">
        <f>IFERROR(__xludf.DUMMYFUNCTION("MAX(FILTER($I$2:$I1115,$A$2:$A1115=A34,$E$2:$E1115=E34))"),"#DIV/0!")</f>
        <v/>
      </c>
      <c r="L34" s="457">
        <f>IFERROR(INDEX(F:F,MATCH(J34&amp;A34&amp;E34,H:H&amp;A:A&amp;E:E,0)),"")</f>
        <v/>
      </c>
      <c r="M34" s="457">
        <f>IF(AND(L34&lt;&gt;"",C34&lt;&gt;""), L34-C34, "")</f>
        <v/>
      </c>
      <c r="N34" s="709">
        <f>IFERROR(__xludf.DUMMYFUNCTION("IFERROR(
  MAX(
    FILTER(
      $I$2:$I1115,
      $A$2:$A1115=A34,
      $E$2:$E1115=E34,
      $G$2:$G1115 &gt;= G34-1,
      $G$2:$G1115 &lt;= G34+1
    )
  ),
  """"
)"),"")</f>
        <v/>
      </c>
      <c r="O34" s="460">
        <f>1-N34/K34</f>
        <v/>
      </c>
      <c r="P34" s="590">
        <f>AND(
O34 &lt;= 0.05,
(
COUNTIFS($A$2:$A1146, A34, $E$2:$E1146, E34, $G$2:$G1146, G34, $O$2:$O1146, "&lt;=0.05") +
COUNTIFS($A$2:$A1146, A34, $E$2:$E1146, E34, $G$2:$G1146, G34-1, $O$2:$O1146, "&lt;=0.05") +
COUNTIFS($A$2:$A1146, A34, $E$2:$E1146, E34, $G$2:$G1146, G34+1, $O$2:$O1146, "&lt;=0.05")
) &gt;= 
2)</f>
        <v/>
      </c>
      <c r="Q34" s="457" t="n"/>
      <c r="R34" s="457">
        <f>IFERROR(__xludf.DUMMYFUNCTION("IFERROR(MIN(FILTER($G$2:$G1115, $A$2:$A1115=A34, $E$2:$E1115=E34, $P$2:$P1115=TRUE)), """")"),"")</f>
        <v/>
      </c>
      <c r="S34" s="457">
        <f>IFERROR(__xludf.DUMMYFUNCTION("IFERROR(MAX(FILTER($G$2:$G1115, $A$2:$A1115=A34, $E$2:$E1115=E34, $P$2:$P1115=TRUE)), """")"),"")</f>
        <v/>
      </c>
      <c r="T34" s="590" t="n"/>
      <c r="U34" s="590" t="n"/>
      <c r="V34" s="590">
        <f>IFERROR(__xludf.DUMMYFUNCTION("MIN(FILTER($G$2:$G1115,$A$2:$A1115=A34,$E$2:$E1115=E34))"),22.0)</f>
        <v/>
      </c>
    </row>
    <row r="35">
      <c r="A35" s="454">
        <f>LEFT(B35,1)&amp;UPPER(LEFT(MID(B35,FIND(" ",B35)+1,LEN(B35)),3))&amp;C35</f>
        <v/>
      </c>
      <c r="B35" s="613" t="inlineStr">
        <is>
          <t>Erika Erndel Acuff</t>
        </is>
      </c>
      <c r="C35" s="613" t="n">
        <v>1978</v>
      </c>
      <c r="D35" s="613" t="inlineStr">
        <is>
          <t>F</t>
        </is>
      </c>
      <c r="E35" s="613" t="inlineStr">
        <is>
          <t>50 Free</t>
        </is>
      </c>
      <c r="F35" s="613" t="n">
        <v>2004</v>
      </c>
      <c r="G35" s="613">
        <f>F35-C35</f>
        <v/>
      </c>
      <c r="H35" s="505" t="n"/>
      <c r="I35" s="457">
        <f>IFERROR(__xludf.DUMMYFUNCTION("LET(
  gen,$D35, ev,$E35, t,$H35,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35" s="458">
        <f>IFERROR(__xludf.DUMMYFUNCTION("MIN(FILTER($H$2:$H1115,$A$2:$A1115=A35,$E$2:$E1115=E35))"),25.37)</f>
        <v/>
      </c>
      <c r="K35" s="457">
        <f>IFERROR(__xludf.DUMMYFUNCTION("MAX(FILTER($I$2:$I1115,$A$2:$A1115=A35,$E$2:$E1115=E35))"),"#DIV/0!")</f>
        <v/>
      </c>
      <c r="L35" s="457">
        <f>IFERROR(INDEX(F:F,MATCH(J35&amp;A35&amp;E35,H:H&amp;A:A&amp;E:E,0)),"")</f>
        <v/>
      </c>
      <c r="M35" s="457">
        <f>IF(AND(L35&lt;&gt;"",C35&lt;&gt;""), L35-C35, "")</f>
        <v/>
      </c>
      <c r="N35" s="704">
        <f>IFERROR(__xludf.DUMMYFUNCTION("IFERROR(
  MAX(
    FILTER(
      $I$2:$I1115,
      $A$2:$A1115=A35,
      $E$2:$E1115=E35,
      $G$2:$G1115 &gt;= G35-1,
      $G$2:$G1115 &lt;= G35+1
    )
  ),
  """"
)"),"")</f>
        <v/>
      </c>
      <c r="O35" s="464">
        <f>1-N35/K35</f>
        <v/>
      </c>
      <c r="P35" s="613">
        <f>AND(
O35 &lt;= 0.05,
(
COUNTIFS($A$2:$A1147, A35, $E$2:$E1147, E35, $G$2:$G1147, G35, $O$2:$O1147, "&lt;=0.05") +
COUNTIFS($A$2:$A1147, A35, $E$2:$E1147, E35, $G$2:$G1147, G35-1, $O$2:$O1147, "&lt;=0.05") +
COUNTIFS($A$2:$A1147, A35, $E$2:$E1147, E35, $G$2:$G1147, G35+1, $O$2:$O1147, "&lt;=0.05")
) &gt;= 
2)</f>
        <v/>
      </c>
      <c r="Q35" s="457" t="n"/>
      <c r="R35" s="457">
        <f>IFERROR(__xludf.DUMMYFUNCTION("IFERROR(MIN(FILTER($G$2:$G1115, $A$2:$A1115=A35, $E$2:$E1115=E35, $P$2:$P1115=TRUE)), """")"),"")</f>
        <v/>
      </c>
      <c r="S35" s="457">
        <f>IFERROR(__xludf.DUMMYFUNCTION("IFERROR(MAX(FILTER($G$2:$G1115, $A$2:$A1115=A35, $E$2:$E1115=E35, $P$2:$P1115=TRUE)), """")"),"")</f>
        <v/>
      </c>
      <c r="T35" s="613" t="n"/>
      <c r="U35" s="613" t="n"/>
      <c r="V35" s="613">
        <f>IFERROR(__xludf.DUMMYFUNCTION("MIN(FILTER($G$2:$G1115,$A$2:$A1115=A35,$E$2:$E1115=E35))"),22.0)</f>
        <v/>
      </c>
    </row>
    <row r="36">
      <c r="A36" s="454">
        <f>LEFT(B36,1)&amp;UPPER(LEFT(MID(B36,FIND(" ",B36)+1,LEN(B36)),3))&amp;C36</f>
        <v/>
      </c>
      <c r="B36" s="590" t="inlineStr">
        <is>
          <t>Erika Erndel Acuff</t>
        </is>
      </c>
      <c r="C36" s="590" t="n">
        <v>1978</v>
      </c>
      <c r="D36" s="590" t="inlineStr">
        <is>
          <t>F</t>
        </is>
      </c>
      <c r="E36" s="590" t="inlineStr">
        <is>
          <t>50 Free</t>
        </is>
      </c>
      <c r="F36" s="590" t="n">
        <v>2003</v>
      </c>
      <c r="G36" s="590">
        <f>F36-C36</f>
        <v/>
      </c>
      <c r="H36" s="517" t="n"/>
      <c r="I36" s="457">
        <f>IFERROR(__xludf.DUMMYFUNCTION("LET(
  gen,$D36, ev,$E36, t,$H36,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36" s="458">
        <f>IFERROR(__xludf.DUMMYFUNCTION("MIN(FILTER($H$2:$H1115,$A$2:$A1115=A36,$E$2:$E1115=E36))"),25.37)</f>
        <v/>
      </c>
      <c r="K36" s="457">
        <f>IFERROR(__xludf.DUMMYFUNCTION("MAX(FILTER($I$2:$I1115,$A$2:$A1115=A36,$E$2:$E1115=E36))"),"#DIV/0!")</f>
        <v/>
      </c>
      <c r="L36" s="457">
        <f>IFERROR(INDEX(F:F,MATCH(J36&amp;A36&amp;E36,H:H&amp;A:A&amp;E:E,0)),"")</f>
        <v/>
      </c>
      <c r="M36" s="457">
        <f>IF(AND(L36&lt;&gt;"",C36&lt;&gt;""), L36-C36, "")</f>
        <v/>
      </c>
      <c r="N36" s="709">
        <f>IFERROR(__xludf.DUMMYFUNCTION("IFERROR(
  MAX(
    FILTER(
      $I$2:$I1115,
      $A$2:$A1115=A36,
      $E$2:$E1115=E36,
      $G$2:$G1115 &gt;= G36-1,
      $G$2:$G1115 &lt;= G36+1
    )
  ),
  """"
)"),"")</f>
        <v/>
      </c>
      <c r="O36" s="460">
        <f>1-N36/K36</f>
        <v/>
      </c>
      <c r="P36" s="590">
        <f>AND(
O36 &lt;= 0.05,
(
COUNTIFS($A$2:$A1148, A36, $E$2:$E1148, E36, $G$2:$G1148, G36, $O$2:$O1148, "&lt;=0.05") +
COUNTIFS($A$2:$A1148, A36, $E$2:$E1148, E36, $G$2:$G1148, G36-1, $O$2:$O1148, "&lt;=0.05") +
COUNTIFS($A$2:$A1148, A36, $E$2:$E1148, E36, $G$2:$G1148, G36+1, $O$2:$O1148, "&lt;=0.05")
) &gt;= 
2)</f>
        <v/>
      </c>
      <c r="Q36" s="457" t="n"/>
      <c r="R36" s="457">
        <f>IFERROR(__xludf.DUMMYFUNCTION("IFERROR(MIN(FILTER($G$2:$G1115, $A$2:$A1115=A36, $E$2:$E1115=E36, $P$2:$P1115=TRUE)), """")"),"")</f>
        <v/>
      </c>
      <c r="S36" s="457">
        <f>IFERROR(__xludf.DUMMYFUNCTION("IFERROR(MAX(FILTER($G$2:$G1115, $A$2:$A1115=A36, $E$2:$E1115=E36, $P$2:$P1115=TRUE)), """")"),"")</f>
        <v/>
      </c>
      <c r="T36" s="590" t="n"/>
      <c r="U36" s="590" t="n"/>
      <c r="V36" s="590">
        <f>IFERROR(__xludf.DUMMYFUNCTION("MIN(FILTER($G$2:$G1115,$A$2:$A1115=A36,$E$2:$E1115=E36))"),22.0)</f>
        <v/>
      </c>
    </row>
    <row r="37">
      <c r="A37" s="454">
        <f>LEFT(B37,1)&amp;UPPER(LEFT(MID(B37,FIND(" ",B37)+1,LEN(B37)),3))&amp;C37</f>
        <v/>
      </c>
      <c r="B37" s="613" t="inlineStr">
        <is>
          <t>Erika Erndel Acuff</t>
        </is>
      </c>
      <c r="C37" s="613" t="n">
        <v>1978</v>
      </c>
      <c r="D37" s="613" t="inlineStr">
        <is>
          <t>F</t>
        </is>
      </c>
      <c r="E37" s="613" t="inlineStr">
        <is>
          <t>50 Free</t>
        </is>
      </c>
      <c r="F37" s="613" t="n">
        <v>2002</v>
      </c>
      <c r="G37" s="613">
        <f>F37-C37</f>
        <v/>
      </c>
      <c r="H37" s="505" t="n"/>
      <c r="I37" s="457">
        <f>IFERROR(__xludf.DUMMYFUNCTION("LET(
  gen,$D37, ev,$E37, t,$H37,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37" s="458">
        <f>IFERROR(__xludf.DUMMYFUNCTION("MIN(FILTER($H$2:$H1115,$A$2:$A1115=A37,$E$2:$E1115=E37))"),25.37)</f>
        <v/>
      </c>
      <c r="K37" s="457">
        <f>IFERROR(__xludf.DUMMYFUNCTION("MAX(FILTER($I$2:$I1115,$A$2:$A1115=A37,$E$2:$E1115=E37))"),"#DIV/0!")</f>
        <v/>
      </c>
      <c r="L37" s="457">
        <f>IFERROR(INDEX(F:F,MATCH(J37&amp;A37&amp;E37,H:H&amp;A:A&amp;E:E,0)),"")</f>
        <v/>
      </c>
      <c r="M37" s="457">
        <f>IF(AND(L37&lt;&gt;"",C37&lt;&gt;""), L37-C37, "")</f>
        <v/>
      </c>
      <c r="N37" s="704">
        <f>IFERROR(__xludf.DUMMYFUNCTION("IFERROR(
  MAX(
    FILTER(
      $I$2:$I1115,
      $A$2:$A1115=A37,
      $E$2:$E1115=E37,
      $G$2:$G1115 &gt;= G37-1,
      $G$2:$G1115 &lt;= G37+1
    )
  ),
  """"
)"),"")</f>
        <v/>
      </c>
      <c r="O37" s="464">
        <f>1-N37/K37</f>
        <v/>
      </c>
      <c r="P37" s="613">
        <f>AND(
O37 &lt;= 0.05,
(
COUNTIFS($A$2:$A1149, A37, $E$2:$E1149, E37, $G$2:$G1149, G37, $O$2:$O1149, "&lt;=0.05") +
COUNTIFS($A$2:$A1149, A37, $E$2:$E1149, E37, $G$2:$G1149, G37-1, $O$2:$O1149, "&lt;=0.05") +
COUNTIFS($A$2:$A1149, A37, $E$2:$E1149, E37, $G$2:$G1149, G37+1, $O$2:$O1149, "&lt;=0.05")
) &gt;= 
2)</f>
        <v/>
      </c>
      <c r="Q37" s="457" t="n"/>
      <c r="R37" s="457">
        <f>IFERROR(__xludf.DUMMYFUNCTION("IFERROR(MIN(FILTER($G$2:$G1115, $A$2:$A1115=A37, $E$2:$E1115=E37, $P$2:$P1115=TRUE)), """")"),"")</f>
        <v/>
      </c>
      <c r="S37" s="457">
        <f>IFERROR(__xludf.DUMMYFUNCTION("IFERROR(MAX(FILTER($G$2:$G1115, $A$2:$A1115=A37, $E$2:$E1115=E37, $P$2:$P1115=TRUE)), """")"),"")</f>
        <v/>
      </c>
      <c r="T37" s="613" t="n"/>
      <c r="U37" s="613" t="n"/>
      <c r="V37" s="613">
        <f>IFERROR(__xludf.DUMMYFUNCTION("MIN(FILTER($G$2:$G1115,$A$2:$A1115=A37,$E$2:$E1115=E37))"),22.0)</f>
        <v/>
      </c>
    </row>
    <row r="38">
      <c r="A38" s="454">
        <f>LEFT(B38,1)&amp;UPPER(LEFT(MID(B38,FIND(" ",B38)+1,LEN(B38)),3))&amp;C38</f>
        <v/>
      </c>
      <c r="B38" s="590" t="inlineStr">
        <is>
          <t>Erika Erndel Acuff</t>
        </is>
      </c>
      <c r="C38" s="590" t="n">
        <v>1978</v>
      </c>
      <c r="D38" s="590" t="inlineStr">
        <is>
          <t>F</t>
        </is>
      </c>
      <c r="E38" s="590" t="inlineStr">
        <is>
          <t>50 Free</t>
        </is>
      </c>
      <c r="F38" s="590" t="n">
        <v>2001</v>
      </c>
      <c r="G38" s="590">
        <f>F38-C38</f>
        <v/>
      </c>
      <c r="H38" s="517" t="n"/>
      <c r="I38" s="457">
        <f>IFERROR(__xludf.DUMMYFUNCTION("LET(
  gen,$D38, ev,$E38, t,$H38,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38" s="458">
        <f>IFERROR(__xludf.DUMMYFUNCTION("MIN(FILTER($H$2:$H1115,$A$2:$A1115=A38,$E$2:$E1115=E38))"),25.37)</f>
        <v/>
      </c>
      <c r="K38" s="457">
        <f>IFERROR(__xludf.DUMMYFUNCTION("MAX(FILTER($I$2:$I1115,$A$2:$A1115=A38,$E$2:$E1115=E38))"),"#DIV/0!")</f>
        <v/>
      </c>
      <c r="L38" s="457">
        <f>IFERROR(INDEX(F:F,MATCH(J38&amp;A38&amp;E38,H:H&amp;A:A&amp;E:E,0)),"")</f>
        <v/>
      </c>
      <c r="M38" s="457">
        <f>IF(AND(L38&lt;&gt;"",C38&lt;&gt;""), L38-C38, "")</f>
        <v/>
      </c>
      <c r="N38" s="709">
        <f>IFERROR(__xludf.DUMMYFUNCTION("IFERROR(
  MAX(
    FILTER(
      $I$2:$I1115,
      $A$2:$A1115=A38,
      $E$2:$E1115=E38,
      $G$2:$G1115 &gt;= G38-1,
      $G$2:$G1115 &lt;= G38+1
    )
  ),
  """"
)"),"")</f>
        <v/>
      </c>
      <c r="O38" s="460">
        <f>1-N38/K38</f>
        <v/>
      </c>
      <c r="P38" s="590">
        <f>AND(
O38 &lt;= 0.05,
(
COUNTIFS($A$2:$A1150, A38, $E$2:$E1150, E38, $G$2:$G1150, G38, $O$2:$O1150, "&lt;=0.05") +
COUNTIFS($A$2:$A1150, A38, $E$2:$E1150, E38, $G$2:$G1150, G38-1, $O$2:$O1150, "&lt;=0.05") +
COUNTIFS($A$2:$A1150, A38, $E$2:$E1150, E38, $G$2:$G1150, G38+1, $O$2:$O1150, "&lt;=0.05")
) &gt;= 
2)</f>
        <v/>
      </c>
      <c r="Q38" s="457" t="n"/>
      <c r="R38" s="457">
        <f>IFERROR(__xludf.DUMMYFUNCTION("IFERROR(MIN(FILTER($G$2:$G1115, $A$2:$A1115=A38, $E$2:$E1115=E38, $P$2:$P1115=TRUE)), """")"),"")</f>
        <v/>
      </c>
      <c r="S38" s="457">
        <f>IFERROR(__xludf.DUMMYFUNCTION("IFERROR(MAX(FILTER($G$2:$G1115, $A$2:$A1115=A38, $E$2:$E1115=E38, $P$2:$P1115=TRUE)), """")"),"")</f>
        <v/>
      </c>
      <c r="T38" s="590" t="n"/>
      <c r="U38" s="590" t="n"/>
      <c r="V38" s="590">
        <f>IFERROR(__xludf.DUMMYFUNCTION("MIN(FILTER($G$2:$G1115,$A$2:$A1115=A38,$E$2:$E1115=E38))"),22.0)</f>
        <v/>
      </c>
    </row>
    <row r="39">
      <c r="A39" s="454">
        <f>LEFT(B39,1)&amp;UPPER(LEFT(MID(B39,FIND(" ",B39)+1,LEN(B39)),3))&amp;C39</f>
        <v/>
      </c>
      <c r="B39" s="613" t="inlineStr">
        <is>
          <t>Erika Erndel Acuff</t>
        </is>
      </c>
      <c r="C39" s="613" t="n">
        <v>1978</v>
      </c>
      <c r="D39" s="613" t="inlineStr">
        <is>
          <t>F</t>
        </is>
      </c>
      <c r="E39" s="613" t="inlineStr">
        <is>
          <t>50 Free</t>
        </is>
      </c>
      <c r="F39" s="613" t="n">
        <v>2000</v>
      </c>
      <c r="G39" s="613">
        <f>F39-C39</f>
        <v/>
      </c>
      <c r="H39" s="505" t="n"/>
      <c r="I39" s="457">
        <f>IFERROR(__xludf.DUMMYFUNCTION("LET(
  gen,$D39, ev,$E39, t,$H39,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39" s="458">
        <f>IFERROR(__xludf.DUMMYFUNCTION("MIN(FILTER($H$2:$H1115,$A$2:$A1115=A39,$E$2:$E1115=E39))"),25.37)</f>
        <v/>
      </c>
      <c r="K39" s="457">
        <f>IFERROR(__xludf.DUMMYFUNCTION("MAX(FILTER($I$2:$I1115,$A$2:$A1115=A39,$E$2:$E1115=E39))"),"#DIV/0!")</f>
        <v/>
      </c>
      <c r="L39" s="457">
        <f>IFERROR(INDEX(F:F,MATCH(J39&amp;A39&amp;E39,H:H&amp;A:A&amp;E:E,0)),"")</f>
        <v/>
      </c>
      <c r="M39" s="457">
        <f>IF(AND(L39&lt;&gt;"",C39&lt;&gt;""), L39-C39, "")</f>
        <v/>
      </c>
      <c r="N39" s="704">
        <f>IFERROR(__xludf.DUMMYFUNCTION("IFERROR(
  MAX(
    FILTER(
      $I$2:$I1115,
      $A$2:$A1115=A39,
      $E$2:$E1115=E39,
      $G$2:$G1115 &gt;= G39-1,
      $G$2:$G1115 &lt;= G39+1
    )
  ),
  """"
)"),"")</f>
        <v/>
      </c>
      <c r="O39" s="464">
        <f>1-N39/K39</f>
        <v/>
      </c>
      <c r="P39" s="613">
        <f>AND(
O39 &lt;= 0.05,
(
COUNTIFS($A$2:$A1151, A39, $E$2:$E1151, E39, $G$2:$G1151, G39, $O$2:$O1151, "&lt;=0.05") +
COUNTIFS($A$2:$A1151, A39, $E$2:$E1151, E39, $G$2:$G1151, G39-1, $O$2:$O1151, "&lt;=0.05") +
COUNTIFS($A$2:$A1151, A39, $E$2:$E1151, E39, $G$2:$G1151, G39+1, $O$2:$O1151, "&lt;=0.05")
) &gt;= 
2)</f>
        <v/>
      </c>
      <c r="Q39" s="457" t="n"/>
      <c r="R39" s="457">
        <f>IFERROR(__xludf.DUMMYFUNCTION("IFERROR(MIN(FILTER($G$2:$G1115, $A$2:$A1115=A39, $E$2:$E1115=E39, $P$2:$P1115=TRUE)), """")"),"")</f>
        <v/>
      </c>
      <c r="S39" s="457">
        <f>IFERROR(__xludf.DUMMYFUNCTION("IFERROR(MAX(FILTER($G$2:$G1115, $A$2:$A1115=A39, $E$2:$E1115=E39, $P$2:$P1115=TRUE)), """")"),"")</f>
        <v/>
      </c>
      <c r="T39" s="613" t="n"/>
      <c r="U39" s="613" t="n"/>
      <c r="V39" s="613">
        <f>IFERROR(__xludf.DUMMYFUNCTION("MIN(FILTER($G$2:$G1115,$A$2:$A1115=A39,$E$2:$E1115=E39))"),22.0)</f>
        <v/>
      </c>
    </row>
    <row r="40">
      <c r="A40" s="454">
        <f>LEFT(B40,1)&amp;UPPER(LEFT(MID(B40,FIND(" ",B40)+1,LEN(B40)),3))&amp;C40</f>
        <v/>
      </c>
      <c r="B40" s="590" t="inlineStr">
        <is>
          <t>Jessica Hardy</t>
        </is>
      </c>
      <c r="C40" s="590" t="n">
        <v>1987</v>
      </c>
      <c r="D40" s="590" t="inlineStr">
        <is>
          <t>F</t>
        </is>
      </c>
      <c r="E40" s="590" t="inlineStr">
        <is>
          <t>50 Free</t>
        </is>
      </c>
      <c r="F40" s="590" t="n">
        <v>2013</v>
      </c>
      <c r="G40" s="590">
        <f>F40-C40</f>
        <v/>
      </c>
      <c r="H40" s="517" t="n">
        <v>25.09</v>
      </c>
      <c r="I40" s="457">
        <f>IFERROR(__xludf.DUMMYFUNCTION("LET(
  gen,$D40, ev,$E40, t,$H40,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)"),833.0)</f>
        <v/>
      </c>
      <c r="J40" s="458">
        <f>IFERROR(__xludf.DUMMYFUNCTION("MIN(FILTER($H$2:$H1115,$A$2:$A1115=A40,$E$2:$E1115=E40))"),25.09)</f>
        <v/>
      </c>
      <c r="K40" s="457">
        <f>IFERROR(__xludf.DUMMYFUNCTION("MAX(FILTER($I$2:$I1115,$A$2:$A1115=A40,$E$2:$E1115=E40))"),833.0)</f>
        <v/>
      </c>
      <c r="L40" s="457">
        <f>IFERROR(INDEX(F:F,MATCH(J40&amp;A40&amp;E40,H:H&amp;A:A&amp;E:E,0)),"")</f>
        <v/>
      </c>
      <c r="M40" s="457">
        <f>IF(AND(L40&lt;&gt;"",C40&lt;&gt;""), L40-C40, "")</f>
        <v/>
      </c>
      <c r="N40" s="709">
        <f>IFERROR(__xludf.DUMMYFUNCTION("IFERROR(
  MAX(
    FILTER(
      $I$2:$I1115,
      $A$2:$A1115=A40,
      $E$2:$E1115=E40,
      $G$2:$G1115 &gt;= G40-1,
      $G$2:$G1115 &lt;= G40+1
    )
  ),
  """"
)"),833.0)</f>
        <v/>
      </c>
      <c r="O40" s="460">
        <f>1-N40/K40</f>
        <v/>
      </c>
      <c r="P40" s="590">
        <f>AND(
O40 &lt;= 0.05,
(
COUNTIFS($A$2:$A1152, A40, $E$2:$E1152, E40, $G$2:$G1152, G40, $O$2:$O1152, "&lt;=0.05") +
COUNTIFS($A$2:$A1152, A40, $E$2:$E1152, E40, $G$2:$G1152, G40-1, $O$2:$O1152, "&lt;=0.05") +
COUNTIFS($A$2:$A1152, A40, $E$2:$E1152, E40, $G$2:$G1152, G40+1, $O$2:$O1152, "&lt;=0.05")
) &gt;= 
2)</f>
        <v/>
      </c>
      <c r="Q40" s="457" t="n"/>
      <c r="R40" s="457">
        <f>IFERROR(__xludf.DUMMYFUNCTION("IFERROR(MIN(FILTER($G$2:$G1115, $A$2:$A1115=A40, $E$2:$E1115=E40, $P$2:$P1115=TRUE)), """")"),"")</f>
        <v/>
      </c>
      <c r="S40" s="457">
        <f>IFERROR(__xludf.DUMMYFUNCTION("IFERROR(MAX(FILTER($G$2:$G1115, $A$2:$A1115=A40, $E$2:$E1115=E40, $P$2:$P1115=TRUE)), """")"),"")</f>
        <v/>
      </c>
      <c r="T40" s="590" t="n"/>
      <c r="U40" s="590" t="n"/>
      <c r="V40" s="590">
        <f>IFERROR(__xludf.DUMMYFUNCTION("MIN(FILTER($G$2:$G1115,$A$2:$A1115=A40,$E$2:$E1115=E40))"),26.0)</f>
        <v/>
      </c>
    </row>
    <row r="41">
      <c r="A41" s="454">
        <f>LEFT(B41,1)&amp;UPPER(LEFT(MID(B41,FIND(" ",B41)+1,LEN(B41)),3))&amp;C41</f>
        <v/>
      </c>
      <c r="B41" s="613" t="inlineStr">
        <is>
          <t>Madison Kennedy</t>
        </is>
      </c>
      <c r="C41" s="613" t="n">
        <v>1987</v>
      </c>
      <c r="D41" s="613" t="inlineStr">
        <is>
          <t>F</t>
        </is>
      </c>
      <c r="E41" s="613" t="inlineStr">
        <is>
          <t>50 Free</t>
        </is>
      </c>
      <c r="F41" s="613" t="n">
        <v>2025</v>
      </c>
      <c r="G41" s="613">
        <f>F41-C41</f>
        <v/>
      </c>
      <c r="H41" s="505" t="n">
        <v>25.96</v>
      </c>
      <c r="I41" s="457">
        <f>IFERROR(__xludf.DUMMYFUNCTION("LET(
  gen,$D41, ev,$E41, t,$H41,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)"),752.0)</f>
        <v/>
      </c>
      <c r="J41" s="458">
        <f>IFERROR(__xludf.DUMMYFUNCTION("MIN(FILTER($H$2:$H1115,$A$2:$A1115=A41,$E$2:$E1115=E41))"),24.39)</f>
        <v/>
      </c>
      <c r="K41" s="457">
        <f>IFERROR(__xludf.DUMMYFUNCTION("MAX(FILTER($I$2:$I1115,$A$2:$A1115=A41,$E$2:$E1115=E41))"),907.0)</f>
        <v/>
      </c>
      <c r="L41" s="457">
        <f>IFERROR(INDEX(F:F,MATCH(J41&amp;A41&amp;E41,H:H&amp;A:A&amp;E:E,0)),"")</f>
        <v/>
      </c>
      <c r="M41" s="457">
        <f>IF(AND(L41&lt;&gt;"",C41&lt;&gt;""), L41-C41, "")</f>
        <v/>
      </c>
      <c r="N41" s="704">
        <f>IFERROR(__xludf.DUMMYFUNCTION("IFERROR(
  MAX(
    FILTER(
      $I$2:$I1115,
      $A$2:$A1115=A41,
      $E$2:$E1115=E41,
      $G$2:$G1115 &gt;= G41-1,
      $G$2:$G1115 &lt;= G41+1
    )
  ),
  """"
)"),752.0)</f>
        <v/>
      </c>
      <c r="O41" s="464">
        <f>1-N41/K41</f>
        <v/>
      </c>
      <c r="P41" s="613">
        <f>AND(
O41 &lt;= 0.05,
(
COUNTIFS($A$2:$A1153, A41, $E$2:$E1153, E41, $G$2:$G1153, G41, $O$2:$O1153, "&lt;=0.05") +
COUNTIFS($A$2:$A1153, A41, $E$2:$E1153, E41, $G$2:$G1153, G41-1, $O$2:$O1153, "&lt;=0.05") +
COUNTIFS($A$2:$A1153, A41, $E$2:$E1153, E41, $G$2:$G1153, G41+1, $O$2:$O1153, "&lt;=0.05")
) &gt;= 
2)</f>
        <v/>
      </c>
      <c r="Q41" s="457" t="n"/>
      <c r="R41" s="457">
        <f>IFERROR(__xludf.DUMMYFUNCTION("IFERROR(MIN(FILTER($G$2:$G1115, $A$2:$A1115=A41, $E$2:$E1115=E41, $P$2:$P1115=TRUE)), """")"),26.0)</f>
        <v/>
      </c>
      <c r="S41" s="457">
        <f>IFERROR(__xludf.DUMMYFUNCTION("IFERROR(MAX(FILTER($G$2:$G1115, $A$2:$A1115=A41, $E$2:$E1115=E41, $P$2:$P1115=TRUE)), """")"),30.0)</f>
        <v/>
      </c>
      <c r="T41" s="613" t="n"/>
      <c r="U41" s="613" t="n"/>
      <c r="V41" s="613">
        <f>IFERROR(__xludf.DUMMYFUNCTION("MIN(FILTER($G$2:$G1115,$A$2:$A1115=A41,$E$2:$E1115=E41))"),15.0)</f>
        <v/>
      </c>
    </row>
    <row r="42">
      <c r="A42" s="454">
        <f>LEFT(B42,1)&amp;UPPER(LEFT(MID(B42,FIND(" ",B42)+1,LEN(B42)),3))&amp;C42</f>
        <v/>
      </c>
      <c r="B42" s="590" t="inlineStr">
        <is>
          <t>Madison Kennedy</t>
        </is>
      </c>
      <c r="C42" s="590" t="n">
        <v>1987</v>
      </c>
      <c r="D42" s="590" t="inlineStr">
        <is>
          <t>F</t>
        </is>
      </c>
      <c r="E42" s="590" t="inlineStr">
        <is>
          <t>50 Free</t>
        </is>
      </c>
      <c r="F42" s="590" t="n">
        <v>2024</v>
      </c>
      <c r="G42" s="590">
        <f>F42-C42</f>
        <v/>
      </c>
      <c r="H42" s="517" t="n">
        <v>26.09</v>
      </c>
      <c r="I42" s="457">
        <f>IFERROR(__xludf.DUMMYFUNCTION("LET(
  gen,$D42, ev,$E42, t,$H42,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)"),741.0)</f>
        <v/>
      </c>
      <c r="J42" s="458">
        <f>IFERROR(__xludf.DUMMYFUNCTION("MIN(FILTER($H$2:$H1115,$A$2:$A1115=A42,$E$2:$E1115=E42))"),24.39)</f>
        <v/>
      </c>
      <c r="K42" s="457">
        <f>IFERROR(__xludf.DUMMYFUNCTION("MAX(FILTER($I$2:$I1115,$A$2:$A1115=A42,$E$2:$E1115=E42))"),907.0)</f>
        <v/>
      </c>
      <c r="L42" s="457">
        <f>IFERROR(INDEX(F:F,MATCH(J42&amp;A42&amp;E42,H:H&amp;A:A&amp;E:E,0)),"")</f>
        <v/>
      </c>
      <c r="M42" s="457">
        <f>IF(AND(L42&lt;&gt;"",C42&lt;&gt;""), L42-C42, "")</f>
        <v/>
      </c>
      <c r="N42" s="709">
        <f>IFERROR(__xludf.DUMMYFUNCTION("IFERROR(
  MAX(
    FILTER(
      $I$2:$I1115,
      $A$2:$A1115=A42,
      $E$2:$E1115=E42,
      $G$2:$G1115 &gt;= G42-1,
      $G$2:$G1115 &lt;= G42+1
    )
  ),
  """"
)"),752.0)</f>
        <v/>
      </c>
      <c r="O42" s="460">
        <f>1-N42/K42</f>
        <v/>
      </c>
      <c r="P42" s="590">
        <f>AND(
O42 &lt;= 0.05,
(
COUNTIFS($A$2:$A1154, A42, $E$2:$E1154, E42, $G$2:$G1154, G42, $O$2:$O1154, "&lt;=0.05") +
COUNTIFS($A$2:$A1154, A42, $E$2:$E1154, E42, $G$2:$G1154, G42-1, $O$2:$O1154, "&lt;=0.05") +
COUNTIFS($A$2:$A1154, A42, $E$2:$E1154, E42, $G$2:$G1154, G42+1, $O$2:$O1154, "&lt;=0.05")
) &gt;= 
2)</f>
        <v/>
      </c>
      <c r="Q42" s="457" t="n"/>
      <c r="R42" s="457">
        <f>IFERROR(__xludf.DUMMYFUNCTION("IFERROR(MIN(FILTER($G$2:$G1115, $A$2:$A1115=A42, $E$2:$E1115=E42, $P$2:$P1115=TRUE)), """")"),26.0)</f>
        <v/>
      </c>
      <c r="S42" s="457">
        <f>IFERROR(__xludf.DUMMYFUNCTION("IFERROR(MAX(FILTER($G$2:$G1115, $A$2:$A1115=A42, $E$2:$E1115=E42, $P$2:$P1115=TRUE)), """")"),30.0)</f>
        <v/>
      </c>
      <c r="T42" s="590" t="n"/>
      <c r="U42" s="590" t="n"/>
      <c r="V42" s="590">
        <f>IFERROR(__xludf.DUMMYFUNCTION("MIN(FILTER($G$2:$G1115,$A$2:$A1115=A42,$E$2:$E1115=E42))"),15.0)</f>
        <v/>
      </c>
    </row>
    <row r="43">
      <c r="A43" s="454">
        <f>LEFT(B43,1)&amp;UPPER(LEFT(MID(B43,FIND(" ",B43)+1,LEN(B43)),3))&amp;C43</f>
        <v/>
      </c>
      <c r="B43" s="613" t="inlineStr">
        <is>
          <t>Madison Kennedy</t>
        </is>
      </c>
      <c r="C43" s="613" t="n">
        <v>1987</v>
      </c>
      <c r="D43" s="613" t="inlineStr">
        <is>
          <t>F</t>
        </is>
      </c>
      <c r="E43" s="613" t="inlineStr">
        <is>
          <t>50 Free</t>
        </is>
      </c>
      <c r="F43" s="613" t="n">
        <v>2023</v>
      </c>
      <c r="G43" s="613">
        <f>F43-C43</f>
        <v/>
      </c>
      <c r="H43" s="505" t="n">
        <v>26.09</v>
      </c>
      <c r="I43" s="457">
        <f>IFERROR(__xludf.DUMMYFUNCTION("LET(
  gen,$D43, ev,$E43, t,$H43,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)"),741.0)</f>
        <v/>
      </c>
      <c r="J43" s="458">
        <f>IFERROR(__xludf.DUMMYFUNCTION("MIN(FILTER($H$2:$H1115,$A$2:$A1115=A43,$E$2:$E1115=E43))"),24.39)</f>
        <v/>
      </c>
      <c r="K43" s="457">
        <f>IFERROR(__xludf.DUMMYFUNCTION("MAX(FILTER($I$2:$I1115,$A$2:$A1115=A43,$E$2:$E1115=E43))"),907.0)</f>
        <v/>
      </c>
      <c r="L43" s="457">
        <f>IFERROR(INDEX(F:F,MATCH(J43&amp;A43&amp;E43,H:H&amp;A:A&amp;E:E,0)),"")</f>
        <v/>
      </c>
      <c r="M43" s="457">
        <f>IF(AND(L43&lt;&gt;"",C43&lt;&gt;""), L43-C43, "")</f>
        <v/>
      </c>
      <c r="N43" s="704">
        <f>IFERROR(__xludf.DUMMYFUNCTION("IFERROR(
  MAX(
    FILTER(
      $I$2:$I1115,
      $A$2:$A1115=A43,
      $E$2:$E1115=E43,
      $G$2:$G1115 &gt;= G43-1,
      $G$2:$G1115 &lt;= G43+1
    )
  ),
  """"
)"),778.0)</f>
        <v/>
      </c>
      <c r="O43" s="464">
        <f>1-N43/K43</f>
        <v/>
      </c>
      <c r="P43" s="613">
        <f>AND(
O43 &lt;= 0.05,
(
COUNTIFS($A$2:$A1155, A43, $E$2:$E1155, E43, $G$2:$G1155, G43, $O$2:$O1155, "&lt;=0.05") +
COUNTIFS($A$2:$A1155, A43, $E$2:$E1155, E43, $G$2:$G1155, G43-1, $O$2:$O1155, "&lt;=0.05") +
COUNTIFS($A$2:$A1155, A43, $E$2:$E1155, E43, $G$2:$G1155, G43+1, $O$2:$O1155, "&lt;=0.05")
) &gt;= 
2)</f>
        <v/>
      </c>
      <c r="Q43" s="457" t="n"/>
      <c r="R43" s="457">
        <f>IFERROR(__xludf.DUMMYFUNCTION("IFERROR(MIN(FILTER($G$2:$G1115, $A$2:$A1115=A43, $E$2:$E1115=E43, $P$2:$P1115=TRUE)), """")"),26.0)</f>
        <v/>
      </c>
      <c r="S43" s="457">
        <f>IFERROR(__xludf.DUMMYFUNCTION("IFERROR(MAX(FILTER($G$2:$G1115, $A$2:$A1115=A43, $E$2:$E1115=E43, $P$2:$P1115=TRUE)), """")"),30.0)</f>
        <v/>
      </c>
      <c r="T43" s="613" t="n"/>
      <c r="U43" s="613" t="n"/>
      <c r="V43" s="613">
        <f>IFERROR(__xludf.DUMMYFUNCTION("MIN(FILTER($G$2:$G1115,$A$2:$A1115=A43,$E$2:$E1115=E43))"),15.0)</f>
        <v/>
      </c>
    </row>
    <row r="44">
      <c r="A44" s="454">
        <f>LEFT(B44,1)&amp;UPPER(LEFT(MID(B44,FIND(" ",B44)+1,LEN(B44)),3))&amp;C44</f>
        <v/>
      </c>
      <c r="B44" s="590" t="inlineStr">
        <is>
          <t>Madison Kennedy</t>
        </is>
      </c>
      <c r="C44" s="590" t="n">
        <v>1987</v>
      </c>
      <c r="D44" s="590" t="inlineStr">
        <is>
          <t>F</t>
        </is>
      </c>
      <c r="E44" s="590" t="inlineStr">
        <is>
          <t>50 Free</t>
        </is>
      </c>
      <c r="F44" s="590" t="n">
        <v>2022</v>
      </c>
      <c r="G44" s="590">
        <f>F44-C44</f>
        <v/>
      </c>
      <c r="H44" s="517" t="n">
        <v>25.67</v>
      </c>
      <c r="I44" s="457">
        <f>IFERROR(__xludf.DUMMYFUNCTION("LET(
  gen,$D44, ev,$E44, t,$H44,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)"),778.0)</f>
        <v/>
      </c>
      <c r="J44" s="458">
        <f>IFERROR(__xludf.DUMMYFUNCTION("MIN(FILTER($H$2:$H1115,$A$2:$A1115=A44,$E$2:$E1115=E44))"),24.39)</f>
        <v/>
      </c>
      <c r="K44" s="457">
        <f>IFERROR(__xludf.DUMMYFUNCTION("MAX(FILTER($I$2:$I1115,$A$2:$A1115=A44,$E$2:$E1115=E44))"),907.0)</f>
        <v/>
      </c>
      <c r="L44" s="457">
        <f>IFERROR(INDEX(F:F,MATCH(J44&amp;A44&amp;E44,H:H&amp;A:A&amp;E:E,0)),"")</f>
        <v/>
      </c>
      <c r="M44" s="457">
        <f>IF(AND(L44&lt;&gt;"",C44&lt;&gt;""), L44-C44, "")</f>
        <v/>
      </c>
      <c r="N44" s="709">
        <f>IFERROR(__xludf.DUMMYFUNCTION("IFERROR(
  MAX(
    FILTER(
      $I$2:$I1115,
      $A$2:$A1115=A44,
      $E$2:$E1115=E44,
      $G$2:$G1115 &gt;= G44-1,
      $G$2:$G1115 &lt;= G44+1
    )
  ),
  """"
)"),817.0)</f>
        <v/>
      </c>
      <c r="O44" s="460">
        <f>1-N44/K44</f>
        <v/>
      </c>
      <c r="P44" s="590">
        <f>AND(
O44 &lt;= 0.05,
(
COUNTIFS($A$2:$A1156, A44, $E$2:$E1156, E44, $G$2:$G1156, G44, $O$2:$O1156, "&lt;=0.05") +
COUNTIFS($A$2:$A1156, A44, $E$2:$E1156, E44, $G$2:$G1156, G44-1, $O$2:$O1156, "&lt;=0.05") +
COUNTIFS($A$2:$A1156, A44, $E$2:$E1156, E44, $G$2:$G1156, G44+1, $O$2:$O1156, "&lt;=0.05")
) &gt;= 
2)</f>
        <v/>
      </c>
      <c r="Q44" s="457" t="n"/>
      <c r="R44" s="457">
        <f>IFERROR(__xludf.DUMMYFUNCTION("IFERROR(MIN(FILTER($G$2:$G1115, $A$2:$A1115=A44, $E$2:$E1115=E44, $P$2:$P1115=TRUE)), """")"),26.0)</f>
        <v/>
      </c>
      <c r="S44" s="457">
        <f>IFERROR(__xludf.DUMMYFUNCTION("IFERROR(MAX(FILTER($G$2:$G1115, $A$2:$A1115=A44, $E$2:$E1115=E44, $P$2:$P1115=TRUE)), """")"),30.0)</f>
        <v/>
      </c>
      <c r="T44" s="590" t="n"/>
      <c r="U44" s="590" t="n"/>
      <c r="V44" s="590">
        <f>IFERROR(__xludf.DUMMYFUNCTION("MIN(FILTER($G$2:$G1115,$A$2:$A1115=A44,$E$2:$E1115=E44))"),15.0)</f>
        <v/>
      </c>
    </row>
    <row r="45">
      <c r="A45" s="454">
        <f>LEFT(B45,1)&amp;UPPER(LEFT(MID(B45,FIND(" ",B45)+1,LEN(B45)),3))&amp;C45</f>
        <v/>
      </c>
      <c r="B45" s="613" t="inlineStr">
        <is>
          <t>Madison Kennedy</t>
        </is>
      </c>
      <c r="C45" s="613" t="n">
        <v>1987</v>
      </c>
      <c r="D45" s="613" t="inlineStr">
        <is>
          <t>F</t>
        </is>
      </c>
      <c r="E45" s="613" t="inlineStr">
        <is>
          <t>50 Free</t>
        </is>
      </c>
      <c r="F45" s="613" t="n">
        <v>2021</v>
      </c>
      <c r="G45" s="613">
        <f>F45-C45</f>
        <v/>
      </c>
      <c r="H45" s="505" t="n">
        <v>25.25</v>
      </c>
      <c r="I45" s="457">
        <f>IFERROR(__xludf.DUMMYFUNCTION("LET(
  gen,$D45, ev,$E45, t,$H45,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)"),817.0)</f>
        <v/>
      </c>
      <c r="J45" s="458">
        <f>IFERROR(__xludf.DUMMYFUNCTION("MIN(FILTER($H$2:$H1115,$A$2:$A1115=A45,$E$2:$E1115=E45))"),24.39)</f>
        <v/>
      </c>
      <c r="K45" s="457">
        <f>IFERROR(__xludf.DUMMYFUNCTION("MAX(FILTER($I$2:$I1115,$A$2:$A1115=A45,$E$2:$E1115=E45))"),907.0)</f>
        <v/>
      </c>
      <c r="L45" s="457">
        <f>IFERROR(INDEX(F:F,MATCH(J45&amp;A45&amp;E45,H:H&amp;A:A&amp;E:E,0)),"")</f>
        <v/>
      </c>
      <c r="M45" s="457">
        <f>IF(AND(L45&lt;&gt;"",C45&lt;&gt;""), L45-C45, "")</f>
        <v/>
      </c>
      <c r="N45" s="704">
        <f>IFERROR(__xludf.DUMMYFUNCTION("IFERROR(
  MAX(
    FILTER(
      $I$2:$I1115,
      $A$2:$A1115=A45,
      $E$2:$E1115=E45,
      $G$2:$G1115 &gt;= G45-1,
      $G$2:$G1115 &lt;= G45+1
    )
  ),
  """"
)"),817.0)</f>
        <v/>
      </c>
      <c r="O45" s="464">
        <f>1-N45/K45</f>
        <v/>
      </c>
      <c r="P45" s="613">
        <f>AND(
O45 &lt;= 0.05,
(
COUNTIFS($A$2:$A1157, A45, $E$2:$E1157, E45, $G$2:$G1157, G45, $O$2:$O1157, "&lt;=0.05") +
COUNTIFS($A$2:$A1157, A45, $E$2:$E1157, E45, $G$2:$G1157, G45-1, $O$2:$O1157, "&lt;=0.05") +
COUNTIFS($A$2:$A1157, A45, $E$2:$E1157, E45, $G$2:$G1157, G45+1, $O$2:$O1157, "&lt;=0.05")
) &gt;= 
2)</f>
        <v/>
      </c>
      <c r="Q45" s="457" t="n"/>
      <c r="R45" s="457">
        <f>IFERROR(__xludf.DUMMYFUNCTION("IFERROR(MIN(FILTER($G$2:$G1115, $A$2:$A1115=A45, $E$2:$E1115=E45, $P$2:$P1115=TRUE)), """")"),26.0)</f>
        <v/>
      </c>
      <c r="S45" s="457">
        <f>IFERROR(__xludf.DUMMYFUNCTION("IFERROR(MAX(FILTER($G$2:$G1115, $A$2:$A1115=A45, $E$2:$E1115=E45, $P$2:$P1115=TRUE)), """")"),30.0)</f>
        <v/>
      </c>
      <c r="T45" s="613" t="n"/>
      <c r="U45" s="613" t="n"/>
      <c r="V45" s="613">
        <f>IFERROR(__xludf.DUMMYFUNCTION("MIN(FILTER($G$2:$G1115,$A$2:$A1115=A45,$E$2:$E1115=E45))"),15.0)</f>
        <v/>
      </c>
    </row>
    <row r="46">
      <c r="A46" s="454">
        <f>LEFT(B46,1)&amp;UPPER(LEFT(MID(B46,FIND(" ",B46)+1,LEN(B46)),3))&amp;C46</f>
        <v/>
      </c>
      <c r="B46" s="590" t="inlineStr">
        <is>
          <t>Madison Kennedy</t>
        </is>
      </c>
      <c r="C46" s="590" t="n">
        <v>1987</v>
      </c>
      <c r="D46" s="590" t="inlineStr">
        <is>
          <t>F</t>
        </is>
      </c>
      <c r="E46" s="590" t="inlineStr">
        <is>
          <t>50 Free</t>
        </is>
      </c>
      <c r="F46" s="590" t="n">
        <v>2020</v>
      </c>
      <c r="G46" s="590">
        <f>F46-C46</f>
        <v/>
      </c>
      <c r="H46" s="517" t="n">
        <v>25.53</v>
      </c>
      <c r="I46" s="457">
        <f>IFERROR(__xludf.DUMMYFUNCTION("LET(
  gen,$D46, ev,$E46, t,$H46,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)"),790.0)</f>
        <v/>
      </c>
      <c r="J46" s="458">
        <f>IFERROR(__xludf.DUMMYFUNCTION("MIN(FILTER($H$2:$H1115,$A$2:$A1115=A46,$E$2:$E1115=E46))"),24.39)</f>
        <v/>
      </c>
      <c r="K46" s="457">
        <f>IFERROR(__xludf.DUMMYFUNCTION("MAX(FILTER($I$2:$I1115,$A$2:$A1115=A46,$E$2:$E1115=E46))"),907.0)</f>
        <v/>
      </c>
      <c r="L46" s="457">
        <f>IFERROR(INDEX(F:F,MATCH(J46&amp;A46&amp;E46,H:H&amp;A:A&amp;E:E,0)),"")</f>
        <v/>
      </c>
      <c r="M46" s="457">
        <f>IF(AND(L46&lt;&gt;"",C46&lt;&gt;""), L46-C46, "")</f>
        <v/>
      </c>
      <c r="N46" s="709">
        <f>IFERROR(__xludf.DUMMYFUNCTION("IFERROR(
  MAX(
    FILTER(
      $I$2:$I1115,
      $A$2:$A1115=A46,
      $E$2:$E1115=E46,
      $G$2:$G1115 &gt;= G46-1,
      $G$2:$G1115 &lt;= G46+1
    )
  ),
  """"
)"),817.0)</f>
        <v/>
      </c>
      <c r="O46" s="460">
        <f>1-N46/K46</f>
        <v/>
      </c>
      <c r="P46" s="590">
        <f>AND(
O46 &lt;= 0.05,
(
COUNTIFS($A$2:$A1158, A46, $E$2:$E1158, E46, $G$2:$G1158, G46, $O$2:$O1158, "&lt;=0.05") +
COUNTIFS($A$2:$A1158, A46, $E$2:$E1158, E46, $G$2:$G1158, G46-1, $O$2:$O1158, "&lt;=0.05") +
COUNTIFS($A$2:$A1158, A46, $E$2:$E1158, E46, $G$2:$G1158, G46+1, $O$2:$O1158, "&lt;=0.05")
) &gt;= 
2)</f>
        <v/>
      </c>
      <c r="Q46" s="457" t="n"/>
      <c r="R46" s="457">
        <f>IFERROR(__xludf.DUMMYFUNCTION("IFERROR(MIN(FILTER($G$2:$G1115, $A$2:$A1115=A46, $E$2:$E1115=E46, $P$2:$P1115=TRUE)), """")"),26.0)</f>
        <v/>
      </c>
      <c r="S46" s="457">
        <f>IFERROR(__xludf.DUMMYFUNCTION("IFERROR(MAX(FILTER($G$2:$G1115, $A$2:$A1115=A46, $E$2:$E1115=E46, $P$2:$P1115=TRUE)), """")"),30.0)</f>
        <v/>
      </c>
      <c r="T46" s="590" t="n"/>
      <c r="U46" s="590" t="n"/>
      <c r="V46" s="590">
        <f>IFERROR(__xludf.DUMMYFUNCTION("MIN(FILTER($G$2:$G1115,$A$2:$A1115=A46,$E$2:$E1115=E46))"),15.0)</f>
        <v/>
      </c>
    </row>
    <row r="47">
      <c r="A47" s="454">
        <f>LEFT(B47,1)&amp;UPPER(LEFT(MID(B47,FIND(" ",B47)+1,LEN(B47)),3))&amp;C47</f>
        <v/>
      </c>
      <c r="B47" s="613" t="inlineStr">
        <is>
          <t>Madison Kennedy</t>
        </is>
      </c>
      <c r="C47" s="613" t="n">
        <v>1987</v>
      </c>
      <c r="D47" s="613" t="inlineStr">
        <is>
          <t>F</t>
        </is>
      </c>
      <c r="E47" s="613" t="inlineStr">
        <is>
          <t>50 Free</t>
        </is>
      </c>
      <c r="F47" s="613" t="n">
        <v>2019</v>
      </c>
      <c r="G47" s="613">
        <f>F47-C47</f>
        <v/>
      </c>
      <c r="H47" s="505" t="n">
        <v>25.62</v>
      </c>
      <c r="I47" s="457">
        <f>IFERROR(__xludf.DUMMYFUNCTION("LET(
  gen,$D47, ev,$E47, t,$H47,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)"),782.0)</f>
        <v/>
      </c>
      <c r="J47" s="458">
        <f>IFERROR(__xludf.DUMMYFUNCTION("MIN(FILTER($H$2:$H1115,$A$2:$A1115=A47,$E$2:$E1115=E47))"),24.39)</f>
        <v/>
      </c>
      <c r="K47" s="457">
        <f>IFERROR(__xludf.DUMMYFUNCTION("MAX(FILTER($I$2:$I1115,$A$2:$A1115=A47,$E$2:$E1115=E47))"),907.0)</f>
        <v/>
      </c>
      <c r="L47" s="457">
        <f>IFERROR(INDEX(F:F,MATCH(J47&amp;A47&amp;E47,H:H&amp;A:A&amp;E:E,0)),"")</f>
        <v/>
      </c>
      <c r="M47" s="457">
        <f>IF(AND(L47&lt;&gt;"",C47&lt;&gt;""), L47-C47, "")</f>
        <v/>
      </c>
      <c r="N47" s="704">
        <f>IFERROR(__xludf.DUMMYFUNCTION("IFERROR(
  MAX(
    FILTER(
      $I$2:$I1115,
      $A$2:$A1115=A47,
      $E$2:$E1115=E47,
      $G$2:$G1115 &gt;= G47-1,
      $G$2:$G1115 &lt;= G47+1
    )
  ),
  """"
)"),854.0)</f>
        <v/>
      </c>
      <c r="O47" s="464">
        <f>1-N47/K47</f>
        <v/>
      </c>
      <c r="P47" s="613">
        <f>AND(
O47 &lt;= 0.05,
(
COUNTIFS($A$2:$A1159, A47, $E$2:$E1159, E47, $G$2:$G1159, G47, $O$2:$O1159, "&lt;=0.05") +
COUNTIFS($A$2:$A1159, A47, $E$2:$E1159, E47, $G$2:$G1159, G47-1, $O$2:$O1159, "&lt;=0.05") +
COUNTIFS($A$2:$A1159, A47, $E$2:$E1159, E47, $G$2:$G1159, G47+1, $O$2:$O1159, "&lt;=0.05")
) &gt;= 
2)</f>
        <v/>
      </c>
      <c r="Q47" s="457" t="n"/>
      <c r="R47" s="457">
        <f>IFERROR(__xludf.DUMMYFUNCTION("IFERROR(MIN(FILTER($G$2:$G1115, $A$2:$A1115=A47, $E$2:$E1115=E47, $P$2:$P1115=TRUE)), """")"),26.0)</f>
        <v/>
      </c>
      <c r="S47" s="457">
        <f>IFERROR(__xludf.DUMMYFUNCTION("IFERROR(MAX(FILTER($G$2:$G1115, $A$2:$A1115=A47, $E$2:$E1115=E47, $P$2:$P1115=TRUE)), """")"),30.0)</f>
        <v/>
      </c>
      <c r="T47" s="613" t="n"/>
      <c r="U47" s="613" t="n"/>
      <c r="V47" s="613">
        <f>IFERROR(__xludf.DUMMYFUNCTION("MIN(FILTER($G$2:$G1115,$A$2:$A1115=A47,$E$2:$E1115=E47))"),15.0)</f>
        <v/>
      </c>
    </row>
    <row r="48">
      <c r="A48" s="454">
        <f>LEFT(B48,1)&amp;UPPER(LEFT(MID(B48,FIND(" ",B48)+1,LEN(B48)),3))&amp;C48</f>
        <v/>
      </c>
      <c r="B48" s="590" t="inlineStr">
        <is>
          <t>Madison Kennedy</t>
        </is>
      </c>
      <c r="C48" s="590" t="n">
        <v>1987</v>
      </c>
      <c r="D48" s="590" t="inlineStr">
        <is>
          <t>F</t>
        </is>
      </c>
      <c r="E48" s="590" t="inlineStr">
        <is>
          <t>50 Free</t>
        </is>
      </c>
      <c r="F48" s="590" t="n">
        <v>2018</v>
      </c>
      <c r="G48" s="590">
        <f>F48-C48</f>
        <v/>
      </c>
      <c r="H48" s="517" t="n">
        <v>24.88</v>
      </c>
      <c r="I48" s="457">
        <f>IFERROR(__xludf.DUMMYFUNCTION("LET(
  gen,$D48, ev,$E48, t,$H48,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)"),854.0)</f>
        <v/>
      </c>
      <c r="J48" s="458">
        <f>IFERROR(__xludf.DUMMYFUNCTION("MIN(FILTER($H$2:$H1115,$A$2:$A1115=A48,$E$2:$E1115=E48))"),24.39)</f>
        <v/>
      </c>
      <c r="K48" s="457">
        <f>IFERROR(__xludf.DUMMYFUNCTION("MAX(FILTER($I$2:$I1115,$A$2:$A1115=A48,$E$2:$E1115=E48))"),907.0)</f>
        <v/>
      </c>
      <c r="L48" s="457">
        <f>IFERROR(INDEX(F:F,MATCH(J48&amp;A48&amp;E48,H:H&amp;A:A&amp;E:E,0)),"")</f>
        <v/>
      </c>
      <c r="M48" s="457">
        <f>IF(AND(L48&lt;&gt;"",C48&lt;&gt;""), L48-C48, "")</f>
        <v/>
      </c>
      <c r="N48" s="709">
        <f>IFERROR(__xludf.DUMMYFUNCTION("IFERROR(
  MAX(
    FILTER(
      $I$2:$I1115,
      $A$2:$A1115=A48,
      $E$2:$E1115=E48,
      $G$2:$G1115 &gt;= G48-1,
      $G$2:$G1115 &lt;= G48+1
    )
  ),
  """"
)"),856.0)</f>
        <v/>
      </c>
      <c r="O48" s="460">
        <f>1-N48/K48</f>
        <v/>
      </c>
      <c r="P48" s="590">
        <f>AND(
O48 &lt;= 0.05,
(
COUNTIFS($A$2:$A1160, A48, $E$2:$E1160, E48, $G$2:$G1160, G48, $O$2:$O1160, "&lt;=0.05") +
COUNTIFS($A$2:$A1160, A48, $E$2:$E1160, E48, $G$2:$G1160, G48-1, $O$2:$O1160, "&lt;=0.05") +
COUNTIFS($A$2:$A1160, A48, $E$2:$E1160, E48, $G$2:$G1160, G48+1, $O$2:$O1160, "&lt;=0.05")
) &gt;= 
2)</f>
        <v/>
      </c>
      <c r="Q48" s="457" t="n"/>
      <c r="R48" s="457">
        <f>IFERROR(__xludf.DUMMYFUNCTION("IFERROR(MIN(FILTER($G$2:$G1115, $A$2:$A1115=A48, $E$2:$E1115=E48, $P$2:$P1115=TRUE)), """")"),26.0)</f>
        <v/>
      </c>
      <c r="S48" s="457">
        <f>IFERROR(__xludf.DUMMYFUNCTION("IFERROR(MAX(FILTER($G$2:$G1115, $A$2:$A1115=A48, $E$2:$E1115=E48, $P$2:$P1115=TRUE)), """")"),30.0)</f>
        <v/>
      </c>
      <c r="T48" s="590" t="n"/>
      <c r="U48" s="590" t="n"/>
      <c r="V48" s="590">
        <f>IFERROR(__xludf.DUMMYFUNCTION("MIN(FILTER($G$2:$G1115,$A$2:$A1115=A48,$E$2:$E1115=E48))"),15.0)</f>
        <v/>
      </c>
    </row>
    <row r="49">
      <c r="A49" s="454">
        <f>LEFT(B49,1)&amp;UPPER(LEFT(MID(B49,FIND(" ",B49)+1,LEN(B49)),3))&amp;C49</f>
        <v/>
      </c>
      <c r="B49" s="613" t="inlineStr">
        <is>
          <t>Madison Kennedy</t>
        </is>
      </c>
      <c r="C49" s="613" t="n">
        <v>1987</v>
      </c>
      <c r="D49" s="613" t="inlineStr">
        <is>
          <t>F</t>
        </is>
      </c>
      <c r="E49" s="613" t="inlineStr">
        <is>
          <t>50 Free</t>
        </is>
      </c>
      <c r="F49" s="613" t="n">
        <v>2017</v>
      </c>
      <c r="G49" s="613">
        <f>F49-C49</f>
        <v/>
      </c>
      <c r="H49" s="505" t="n">
        <v>24.86</v>
      </c>
      <c r="I49" s="457">
        <f>IFERROR(__xludf.DUMMYFUNCTION("LET(
  gen,$D49, ev,$E49, t,$H49,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)"),856.0)</f>
        <v/>
      </c>
      <c r="J49" s="458">
        <f>IFERROR(__xludf.DUMMYFUNCTION("MIN(FILTER($H$2:$H1115,$A$2:$A1115=A49,$E$2:$E1115=E49))"),24.39)</f>
        <v/>
      </c>
      <c r="K49" s="457">
        <f>IFERROR(__xludf.DUMMYFUNCTION("MAX(FILTER($I$2:$I1115,$A$2:$A1115=A49,$E$2:$E1115=E49))"),907.0)</f>
        <v/>
      </c>
      <c r="L49" s="457">
        <f>IFERROR(INDEX(F:F,MATCH(J49&amp;A49&amp;E49,H:H&amp;A:A&amp;E:E,0)),"")</f>
        <v/>
      </c>
      <c r="M49" s="457">
        <f>IF(AND(L49&lt;&gt;"",C49&lt;&gt;""), L49-C49, "")</f>
        <v/>
      </c>
      <c r="N49" s="704">
        <f>IFERROR(__xludf.DUMMYFUNCTION("IFERROR(
  MAX(
    FILTER(
      $I$2:$I1115,
      $A$2:$A1115=A49,
      $E$2:$E1115=E49,
      $G$2:$G1115 &gt;= G49-1,
      $G$2:$G1115 &lt;= G49+1
    )
  ),
  """"
)"),907.0)</f>
        <v/>
      </c>
      <c r="O49" s="464">
        <f>1-N49/K49</f>
        <v/>
      </c>
      <c r="P49" s="613">
        <f>AND(
O49 &lt;= 0.05,
(
COUNTIFS($A$2:$A1161, A49, $E$2:$E1161, E49, $G$2:$G1161, G49, $O$2:$O1161, "&lt;=0.05") +
COUNTIFS($A$2:$A1161, A49, $E$2:$E1161, E49, $G$2:$G1161, G49-1, $O$2:$O1161, "&lt;=0.05") +
COUNTIFS($A$2:$A1161, A49, $E$2:$E1161, E49, $G$2:$G1161, G49+1, $O$2:$O1161, "&lt;=0.05")
) &gt;= 
2)</f>
        <v/>
      </c>
      <c r="Q49" s="457" t="n"/>
      <c r="R49" s="457">
        <f>IFERROR(__xludf.DUMMYFUNCTION("IFERROR(MIN(FILTER($G$2:$G1115, $A$2:$A1115=A49, $E$2:$E1115=E49, $P$2:$P1115=TRUE)), """")"),26.0)</f>
        <v/>
      </c>
      <c r="S49" s="457">
        <f>IFERROR(__xludf.DUMMYFUNCTION("IFERROR(MAX(FILTER($G$2:$G1115, $A$2:$A1115=A49, $E$2:$E1115=E49, $P$2:$P1115=TRUE)), """")"),30.0)</f>
        <v/>
      </c>
      <c r="T49" s="613" t="n"/>
      <c r="U49" s="613" t="n"/>
      <c r="V49" s="613">
        <f>IFERROR(__xludf.DUMMYFUNCTION("MIN(FILTER($G$2:$G1115,$A$2:$A1115=A49,$E$2:$E1115=E49))"),15.0)</f>
        <v/>
      </c>
    </row>
    <row r="50">
      <c r="A50" s="454">
        <f>LEFT(B50,1)&amp;UPPER(LEFT(MID(B50,FIND(" ",B50)+1,LEN(B50)),3))&amp;C50</f>
        <v/>
      </c>
      <c r="B50" s="590" t="inlineStr">
        <is>
          <t>Madison Kennedy</t>
        </is>
      </c>
      <c r="C50" s="590" t="n">
        <v>1987</v>
      </c>
      <c r="D50" s="590" t="inlineStr">
        <is>
          <t>F</t>
        </is>
      </c>
      <c r="E50" s="590" t="inlineStr">
        <is>
          <t>50 Free</t>
        </is>
      </c>
      <c r="F50" s="590" t="n">
        <v>2016</v>
      </c>
      <c r="G50" s="590">
        <f>F50-C50</f>
        <v/>
      </c>
      <c r="H50" s="517" t="n">
        <v>24.39</v>
      </c>
      <c r="I50" s="457">
        <f>IFERROR(__xludf.DUMMYFUNCTION("LET(
  gen,$D50, ev,$E50, t,$H50,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)"),907.0)</f>
        <v/>
      </c>
      <c r="J50" s="458">
        <f>IFERROR(__xludf.DUMMYFUNCTION("MIN(FILTER($H$2:$H1115,$A$2:$A1115=A50,$E$2:$E1115=E50))"),24.39)</f>
        <v/>
      </c>
      <c r="K50" s="457">
        <f>IFERROR(__xludf.DUMMYFUNCTION("MAX(FILTER($I$2:$I1115,$A$2:$A1115=A50,$E$2:$E1115=E50))"),907.0)</f>
        <v/>
      </c>
      <c r="L50" s="457">
        <f>IFERROR(INDEX(F:F,MATCH(J50&amp;A50&amp;E50,H:H&amp;A:A&amp;E:E,0)),"")</f>
        <v/>
      </c>
      <c r="M50" s="457">
        <f>IF(AND(L50&lt;&gt;"",C50&lt;&gt;""), L50-C50, "")</f>
        <v/>
      </c>
      <c r="N50" s="709">
        <f>IFERROR(__xludf.DUMMYFUNCTION("IFERROR(
  MAX(
    FILTER(
      $I$2:$I1115,
      $A$2:$A1115=A50,
      $E$2:$E1115=E50,
      $G$2:$G1115 &gt;= G50-1,
      $G$2:$G1115 &lt;= G50+1
    )
  ),
  """"
)"),907.0)</f>
        <v/>
      </c>
      <c r="O50" s="460">
        <f>1-N50/K50</f>
        <v/>
      </c>
      <c r="P50" s="590">
        <f>AND(
O50 &lt;= 0.05,
(
COUNTIFS($A$2:$A1162, A50, $E$2:$E1162, E50, $G$2:$G1162, G50, $O$2:$O1162, "&lt;=0.05") +
COUNTIFS($A$2:$A1162, A50, $E$2:$E1162, E50, $G$2:$G1162, G50-1, $O$2:$O1162, "&lt;=0.05") +
COUNTIFS($A$2:$A1162, A50, $E$2:$E1162, E50, $G$2:$G1162, G50+1, $O$2:$O1162, "&lt;=0.05")
) &gt;= 
2)</f>
        <v/>
      </c>
      <c r="Q50" s="457" t="n"/>
      <c r="R50" s="457">
        <f>IFERROR(__xludf.DUMMYFUNCTION("IFERROR(MIN(FILTER($G$2:$G1115, $A$2:$A1115=A50, $E$2:$E1115=E50, $P$2:$P1115=TRUE)), """")"),26.0)</f>
        <v/>
      </c>
      <c r="S50" s="457">
        <f>IFERROR(__xludf.DUMMYFUNCTION("IFERROR(MAX(FILTER($G$2:$G1115, $A$2:$A1115=A50, $E$2:$E1115=E50, $P$2:$P1115=TRUE)), """")"),30.0)</f>
        <v/>
      </c>
      <c r="T50" s="590" t="n"/>
      <c r="U50" s="590" t="n"/>
      <c r="V50" s="590">
        <f>IFERROR(__xludf.DUMMYFUNCTION("MIN(FILTER($G$2:$G1115,$A$2:$A1115=A50,$E$2:$E1115=E50))"),15.0)</f>
        <v/>
      </c>
    </row>
    <row r="51">
      <c r="A51" s="454">
        <f>LEFT(B51,1)&amp;UPPER(LEFT(MID(B51,FIND(" ",B51)+1,LEN(B51)),3))&amp;C51</f>
        <v/>
      </c>
      <c r="B51" s="613" t="inlineStr">
        <is>
          <t>Madison Kennedy</t>
        </is>
      </c>
      <c r="C51" s="613" t="n">
        <v>1987</v>
      </c>
      <c r="D51" s="613" t="inlineStr">
        <is>
          <t>F</t>
        </is>
      </c>
      <c r="E51" s="613" t="inlineStr">
        <is>
          <t>50 Free</t>
        </is>
      </c>
      <c r="F51" s="613" t="n">
        <v>2015</v>
      </c>
      <c r="G51" s="613">
        <f>F51-C51</f>
        <v/>
      </c>
      <c r="H51" s="505" t="n">
        <v>24.71</v>
      </c>
      <c r="I51" s="457">
        <f>IFERROR(__xludf.DUMMYFUNCTION("LET(
  gen,$D51, ev,$E51, t,$H51,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)"),872.0)</f>
        <v/>
      </c>
      <c r="J51" s="458">
        <f>IFERROR(__xludf.DUMMYFUNCTION("MIN(FILTER($H$2:$H1115,$A$2:$A1115=A51,$E$2:$E1115=E51))"),24.39)</f>
        <v/>
      </c>
      <c r="K51" s="457">
        <f>IFERROR(__xludf.DUMMYFUNCTION("MAX(FILTER($I$2:$I1115,$A$2:$A1115=A51,$E$2:$E1115=E51))"),907.0)</f>
        <v/>
      </c>
      <c r="L51" s="457">
        <f>IFERROR(INDEX(F:F,MATCH(J51&amp;A51&amp;E51,H:H&amp;A:A&amp;E:E,0)),"")</f>
        <v/>
      </c>
      <c r="M51" s="457">
        <f>IF(AND(L51&lt;&gt;"",C51&lt;&gt;""), L51-C51, "")</f>
        <v/>
      </c>
      <c r="N51" s="704">
        <f>IFERROR(__xludf.DUMMYFUNCTION("IFERROR(
  MAX(
    FILTER(
      $I$2:$I1115,
      $A$2:$A1115=A51,
      $E$2:$E1115=E51,
      $G$2:$G1115 &gt;= G51-1,
      $G$2:$G1115 &lt;= G51+1
    )
  ),
  """"
)"),907.0)</f>
        <v/>
      </c>
      <c r="O51" s="464">
        <f>1-N51/K51</f>
        <v/>
      </c>
      <c r="P51" s="613">
        <f>AND(
O51 &lt;= 0.05,
(
COUNTIFS($A$2:$A1163, A51, $E$2:$E1163, E51, $G$2:$G1163, G51, $O$2:$O1163, "&lt;=0.05") +
COUNTIFS($A$2:$A1163, A51, $E$2:$E1163, E51, $G$2:$G1163, G51-1, $O$2:$O1163, "&lt;=0.05") +
COUNTIFS($A$2:$A1163, A51, $E$2:$E1163, E51, $G$2:$G1163, G51+1, $O$2:$O1163, "&lt;=0.05")
) &gt;= 
2)</f>
        <v/>
      </c>
      <c r="Q51" s="457" t="n"/>
      <c r="R51" s="457">
        <f>IFERROR(__xludf.DUMMYFUNCTION("IFERROR(MIN(FILTER($G$2:$G1115, $A$2:$A1115=A51, $E$2:$E1115=E51, $P$2:$P1115=TRUE)), """")"),26.0)</f>
        <v/>
      </c>
      <c r="S51" s="457">
        <f>IFERROR(__xludf.DUMMYFUNCTION("IFERROR(MAX(FILTER($G$2:$G1115, $A$2:$A1115=A51, $E$2:$E1115=E51, $P$2:$P1115=TRUE)), """")"),30.0)</f>
        <v/>
      </c>
      <c r="T51" s="613" t="n"/>
      <c r="U51" s="613" t="n"/>
      <c r="V51" s="613">
        <f>IFERROR(__xludf.DUMMYFUNCTION("MIN(FILTER($G$2:$G1115,$A$2:$A1115=A51,$E$2:$E1115=E51))"),15.0)</f>
        <v/>
      </c>
    </row>
    <row r="52">
      <c r="A52" s="454">
        <f>LEFT(B52,1)&amp;UPPER(LEFT(MID(B52,FIND(" ",B52)+1,LEN(B52)),3))&amp;C52</f>
        <v/>
      </c>
      <c r="B52" s="590" t="inlineStr">
        <is>
          <t>Madison Kennedy</t>
        </is>
      </c>
      <c r="C52" s="590" t="n">
        <v>1987</v>
      </c>
      <c r="D52" s="590" t="inlineStr">
        <is>
          <t>F</t>
        </is>
      </c>
      <c r="E52" s="590" t="inlineStr">
        <is>
          <t>50 Free</t>
        </is>
      </c>
      <c r="F52" s="590" t="n">
        <v>2014</v>
      </c>
      <c r="G52" s="590">
        <f>F52-C52</f>
        <v/>
      </c>
      <c r="H52" s="517" t="n">
        <v>24.78</v>
      </c>
      <c r="I52" s="457">
        <f>IFERROR(__xludf.DUMMYFUNCTION("LET(
  gen,$D52, ev,$E52, t,$H52,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)"),864.0)</f>
        <v/>
      </c>
      <c r="J52" s="458">
        <f>IFERROR(__xludf.DUMMYFUNCTION("MIN(FILTER($H$2:$H1115,$A$2:$A1115=A52,$E$2:$E1115=E52))"),24.39)</f>
        <v/>
      </c>
      <c r="K52" s="457">
        <f>IFERROR(__xludf.DUMMYFUNCTION("MAX(FILTER($I$2:$I1115,$A$2:$A1115=A52,$E$2:$E1115=E52))"),907.0)</f>
        <v/>
      </c>
      <c r="L52" s="457">
        <f>IFERROR(INDEX(F:F,MATCH(J52&amp;A52&amp;E52,H:H&amp;A:A&amp;E:E,0)),"")</f>
        <v/>
      </c>
      <c r="M52" s="457">
        <f>IF(AND(L52&lt;&gt;"",C52&lt;&gt;""), L52-C52, "")</f>
        <v/>
      </c>
      <c r="N52" s="709">
        <f>IFERROR(__xludf.DUMMYFUNCTION("IFERROR(
  MAX(
    FILTER(
      $I$2:$I1115,
      $A$2:$A1115=A52,
      $E$2:$E1115=E52,
      $G$2:$G1115 &gt;= G52-1,
      $G$2:$G1115 &lt;= G52+1
    )
  ),
  """"
)"),872.0)</f>
        <v/>
      </c>
      <c r="O52" s="460">
        <f>1-N52/K52</f>
        <v/>
      </c>
      <c r="P52" s="590">
        <f>AND(
O52 &lt;= 0.05,
(
COUNTIFS($A$2:$A1164, A52, $E$2:$E1164, E52, $G$2:$G1164, G52, $O$2:$O1164, "&lt;=0.05") +
COUNTIFS($A$2:$A1164, A52, $E$2:$E1164, E52, $G$2:$G1164, G52-1, $O$2:$O1164, "&lt;=0.05") +
COUNTIFS($A$2:$A1164, A52, $E$2:$E1164, E52, $G$2:$G1164, G52+1, $O$2:$O1164, "&lt;=0.05")
) &gt;= 
2)</f>
        <v/>
      </c>
      <c r="Q52" s="457" t="n"/>
      <c r="R52" s="457">
        <f>IFERROR(__xludf.DUMMYFUNCTION("IFERROR(MIN(FILTER($G$2:$G1115, $A$2:$A1115=A52, $E$2:$E1115=E52, $P$2:$P1115=TRUE)), """")"),26.0)</f>
        <v/>
      </c>
      <c r="S52" s="457">
        <f>IFERROR(__xludf.DUMMYFUNCTION("IFERROR(MAX(FILTER($G$2:$G1115, $A$2:$A1115=A52, $E$2:$E1115=E52, $P$2:$P1115=TRUE)), """")"),30.0)</f>
        <v/>
      </c>
      <c r="T52" s="590" t="n"/>
      <c r="U52" s="590" t="n"/>
      <c r="V52" s="590">
        <f>IFERROR(__xludf.DUMMYFUNCTION("MIN(FILTER($G$2:$G1115,$A$2:$A1115=A52,$E$2:$E1115=E52))"),15.0)</f>
        <v/>
      </c>
    </row>
    <row r="53">
      <c r="A53" s="454">
        <f>LEFT(B53,1)&amp;UPPER(LEFT(MID(B53,FIND(" ",B53)+1,LEN(B53)),3))&amp;C53</f>
        <v/>
      </c>
      <c r="B53" s="613" t="inlineStr">
        <is>
          <t>Madison Kennedy</t>
        </is>
      </c>
      <c r="C53" s="613" t="n">
        <v>1987</v>
      </c>
      <c r="D53" s="613" t="inlineStr">
        <is>
          <t>F</t>
        </is>
      </c>
      <c r="E53" s="613" t="inlineStr">
        <is>
          <t>50 Free</t>
        </is>
      </c>
      <c r="F53" s="613" t="n">
        <v>2013</v>
      </c>
      <c r="G53" s="613">
        <f>F53-C53</f>
        <v/>
      </c>
      <c r="H53" s="505" t="n">
        <v>25.12</v>
      </c>
      <c r="I53" s="457">
        <f>IFERROR(__xludf.DUMMYFUNCTION("LET(
  gen,$D53, ev,$E53, t,$H53,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)"),830.0)</f>
        <v/>
      </c>
      <c r="J53" s="458">
        <f>IFERROR(__xludf.DUMMYFUNCTION("MIN(FILTER($H$2:$H1115,$A$2:$A1115=A53,$E$2:$E1115=E53))"),24.39)</f>
        <v/>
      </c>
      <c r="K53" s="457">
        <f>IFERROR(__xludf.DUMMYFUNCTION("MAX(FILTER($I$2:$I1115,$A$2:$A1115=A53,$E$2:$E1115=E53))"),907.0)</f>
        <v/>
      </c>
      <c r="L53" s="457">
        <f>IFERROR(INDEX(F:F,MATCH(J53&amp;A53&amp;E53,H:H&amp;A:A&amp;E:E,0)),"")</f>
        <v/>
      </c>
      <c r="M53" s="457">
        <f>IF(AND(L53&lt;&gt;"",C53&lt;&gt;""), L53-C53, "")</f>
        <v/>
      </c>
      <c r="N53" s="704">
        <f>IFERROR(__xludf.DUMMYFUNCTION("IFERROR(
  MAX(
    FILTER(
      $I$2:$I1115,
      $A$2:$A1115=A53,
      $E$2:$E1115=E53,
      $G$2:$G1115 &gt;= G53-1,
      $G$2:$G1115 &lt;= G53+1
    )
  ),
  """"
)"),864.0)</f>
        <v/>
      </c>
      <c r="O53" s="464">
        <f>1-N53/K53</f>
        <v/>
      </c>
      <c r="P53" s="613">
        <f>AND(
O53 &lt;= 0.05,
(
COUNTIFS($A$2:$A1165, A53, $E$2:$E1165, E53, $G$2:$G1165, G53, $O$2:$O1165, "&lt;=0.05") +
COUNTIFS($A$2:$A1165, A53, $E$2:$E1165, E53, $G$2:$G1165, G53-1, $O$2:$O1165, "&lt;=0.05") +
COUNTIFS($A$2:$A1165, A53, $E$2:$E1165, E53, $G$2:$G1165, G53+1, $O$2:$O1165, "&lt;=0.05")
) &gt;= 
2)</f>
        <v/>
      </c>
      <c r="Q53" s="457" t="n"/>
      <c r="R53" s="457">
        <f>IFERROR(__xludf.DUMMYFUNCTION("IFERROR(MIN(FILTER($G$2:$G1115, $A$2:$A1115=A53, $E$2:$E1115=E53, $P$2:$P1115=TRUE)), """")"),26.0)</f>
        <v/>
      </c>
      <c r="S53" s="457">
        <f>IFERROR(__xludf.DUMMYFUNCTION("IFERROR(MAX(FILTER($G$2:$G1115, $A$2:$A1115=A53, $E$2:$E1115=E53, $P$2:$P1115=TRUE)), """")"),30.0)</f>
        <v/>
      </c>
      <c r="T53" s="613" t="n"/>
      <c r="U53" s="613" t="n"/>
      <c r="V53" s="613">
        <f>IFERROR(__xludf.DUMMYFUNCTION("MIN(FILTER($G$2:$G1115,$A$2:$A1115=A53,$E$2:$E1115=E53))"),15.0)</f>
        <v/>
      </c>
    </row>
    <row r="54">
      <c r="A54" s="454">
        <f>LEFT(B54,1)&amp;UPPER(LEFT(MID(B54,FIND(" ",B54)+1,LEN(B54)),3))&amp;C54</f>
        <v/>
      </c>
      <c r="B54" s="590" t="inlineStr">
        <is>
          <t>Madison Kennedy</t>
        </is>
      </c>
      <c r="C54" s="590" t="n">
        <v>1987</v>
      </c>
      <c r="D54" s="590" t="inlineStr">
        <is>
          <t>F</t>
        </is>
      </c>
      <c r="E54" s="590" t="inlineStr">
        <is>
          <t>50 Free</t>
        </is>
      </c>
      <c r="F54" s="590" t="n">
        <v>2012</v>
      </c>
      <c r="G54" s="590">
        <f>F54-C54</f>
        <v/>
      </c>
      <c r="H54" s="517" t="n">
        <v>24.93</v>
      </c>
      <c r="I54" s="457">
        <f>IFERROR(__xludf.DUMMYFUNCTION("LET(
  gen,$D54, ev,$E54, t,$H54,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)"),849.0)</f>
        <v/>
      </c>
      <c r="J54" s="458">
        <f>IFERROR(__xludf.DUMMYFUNCTION("MIN(FILTER($H$2:$H1115,$A$2:$A1115=A54,$E$2:$E1115=E54))"),24.39)</f>
        <v/>
      </c>
      <c r="K54" s="457">
        <f>IFERROR(__xludf.DUMMYFUNCTION("MAX(FILTER($I$2:$I1115,$A$2:$A1115=A54,$E$2:$E1115=E54))"),907.0)</f>
        <v/>
      </c>
      <c r="L54" s="457">
        <f>IFERROR(INDEX(F:F,MATCH(J54&amp;A54&amp;E54,H:H&amp;A:A&amp;E:E,0)),"")</f>
        <v/>
      </c>
      <c r="M54" s="457">
        <f>IF(AND(L54&lt;&gt;"",C54&lt;&gt;""), L54-C54, "")</f>
        <v/>
      </c>
      <c r="N54" s="709">
        <f>IFERROR(__xludf.DUMMYFUNCTION("IFERROR(
  MAX(
    FILTER(
      $I$2:$I1115,
      $A$2:$A1115=A54,
      $E$2:$E1115=E54,
      $G$2:$G1115 &gt;= G54-1,
      $G$2:$G1115 &lt;= G54+1
    )
  ),
  """"
)"),849.0)</f>
        <v/>
      </c>
      <c r="O54" s="460">
        <f>1-N54/K54</f>
        <v/>
      </c>
      <c r="P54" s="590">
        <f>AND(
O54 &lt;= 0.05,
(
COUNTIFS($A$2:$A1166, A54, $E$2:$E1166, E54, $G$2:$G1166, G54, $O$2:$O1166, "&lt;=0.05") +
COUNTIFS($A$2:$A1166, A54, $E$2:$E1166, E54, $G$2:$G1166, G54-1, $O$2:$O1166, "&lt;=0.05") +
COUNTIFS($A$2:$A1166, A54, $E$2:$E1166, E54, $G$2:$G1166, G54+1, $O$2:$O1166, "&lt;=0.05")
) &gt;= 
2)</f>
        <v/>
      </c>
      <c r="Q54" s="457" t="n"/>
      <c r="R54" s="457">
        <f>IFERROR(__xludf.DUMMYFUNCTION("IFERROR(MIN(FILTER($G$2:$G1115, $A$2:$A1115=A54, $E$2:$E1115=E54, $P$2:$P1115=TRUE)), """")"),26.0)</f>
        <v/>
      </c>
      <c r="S54" s="457">
        <f>IFERROR(__xludf.DUMMYFUNCTION("IFERROR(MAX(FILTER($G$2:$G1115, $A$2:$A1115=A54, $E$2:$E1115=E54, $P$2:$P1115=TRUE)), """")"),30.0)</f>
        <v/>
      </c>
      <c r="T54" s="590" t="n"/>
      <c r="U54" s="590" t="n"/>
      <c r="V54" s="590">
        <f>IFERROR(__xludf.DUMMYFUNCTION("MIN(FILTER($G$2:$G1115,$A$2:$A1115=A54,$E$2:$E1115=E54))"),15.0)</f>
        <v/>
      </c>
    </row>
    <row r="55">
      <c r="A55" s="454">
        <f>LEFT(B55,1)&amp;UPPER(LEFT(MID(B55,FIND(" ",B55)+1,LEN(B55)),3))&amp;C55</f>
        <v/>
      </c>
      <c r="B55" s="613" t="inlineStr">
        <is>
          <t>Madison Kennedy</t>
        </is>
      </c>
      <c r="C55" s="613" t="n">
        <v>1987</v>
      </c>
      <c r="D55" s="613" t="inlineStr">
        <is>
          <t>F</t>
        </is>
      </c>
      <c r="E55" s="613" t="inlineStr">
        <is>
          <t>50 Free</t>
        </is>
      </c>
      <c r="F55" s="613" t="n">
        <v>2011</v>
      </c>
      <c r="G55" s="613">
        <f>F55-C55</f>
        <v/>
      </c>
      <c r="H55" s="505" t="n">
        <v>25.02</v>
      </c>
      <c r="I55" s="457">
        <f>IFERROR(__xludf.DUMMYFUNCTION("LET(
  gen,$D55, ev,$E55, t,$H55,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)"),840.0)</f>
        <v/>
      </c>
      <c r="J55" s="458">
        <f>IFERROR(__xludf.DUMMYFUNCTION("MIN(FILTER($H$2:$H1115,$A$2:$A1115=A55,$E$2:$E1115=E55))"),24.39)</f>
        <v/>
      </c>
      <c r="K55" s="457">
        <f>IFERROR(__xludf.DUMMYFUNCTION("MAX(FILTER($I$2:$I1115,$A$2:$A1115=A55,$E$2:$E1115=E55))"),907.0)</f>
        <v/>
      </c>
      <c r="L55" s="457">
        <f>IFERROR(INDEX(F:F,MATCH(J55&amp;A55&amp;E55,H:H&amp;A:A&amp;E:E,0)),"")</f>
        <v/>
      </c>
      <c r="M55" s="457">
        <f>IF(AND(L55&lt;&gt;"",C55&lt;&gt;""), L55-C55, "")</f>
        <v/>
      </c>
      <c r="N55" s="704">
        <f>IFERROR(__xludf.DUMMYFUNCTION("IFERROR(
  MAX(
    FILTER(
      $I$2:$I1115,
      $A$2:$A1115=A55,
      $E$2:$E1115=E55,
      $G$2:$G1115 &gt;= G55-1,
      $G$2:$G1115 &lt;= G55+1
    )
  ),
  """"
)"),849.0)</f>
        <v/>
      </c>
      <c r="O55" s="464">
        <f>1-N55/K55</f>
        <v/>
      </c>
      <c r="P55" s="613">
        <f>AND(
O55 &lt;= 0.05,
(
COUNTIFS($A$2:$A1167, A55, $E$2:$E1167, E55, $G$2:$G1167, G55, $O$2:$O1167, "&lt;=0.05") +
COUNTIFS($A$2:$A1167, A55, $E$2:$E1167, E55, $G$2:$G1167, G55-1, $O$2:$O1167, "&lt;=0.05") +
COUNTIFS($A$2:$A1167, A55, $E$2:$E1167, E55, $G$2:$G1167, G55+1, $O$2:$O1167, "&lt;=0.05")
) &gt;= 
2)</f>
        <v/>
      </c>
      <c r="Q55" s="457" t="n"/>
      <c r="R55" s="457">
        <f>IFERROR(__xludf.DUMMYFUNCTION("IFERROR(MIN(FILTER($G$2:$G1115, $A$2:$A1115=A55, $E$2:$E1115=E55, $P$2:$P1115=TRUE)), """")"),26.0)</f>
        <v/>
      </c>
      <c r="S55" s="457">
        <f>IFERROR(__xludf.DUMMYFUNCTION("IFERROR(MAX(FILTER($G$2:$G1115, $A$2:$A1115=A55, $E$2:$E1115=E55, $P$2:$P1115=TRUE)), """")"),30.0)</f>
        <v/>
      </c>
      <c r="T55" s="613" t="n"/>
      <c r="U55" s="613" t="n"/>
      <c r="V55" s="613">
        <f>IFERROR(__xludf.DUMMYFUNCTION("MIN(FILTER($G$2:$G1115,$A$2:$A1115=A55,$E$2:$E1115=E55))"),15.0)</f>
        <v/>
      </c>
    </row>
    <row r="56">
      <c r="A56" s="454">
        <f>LEFT(B56,1)&amp;UPPER(LEFT(MID(B56,FIND(" ",B56)+1,LEN(B56)),3))&amp;C56</f>
        <v/>
      </c>
      <c r="B56" s="590" t="inlineStr">
        <is>
          <t>Madison Kennedy</t>
        </is>
      </c>
      <c r="C56" s="590" t="n">
        <v>1987</v>
      </c>
      <c r="D56" s="590" t="inlineStr">
        <is>
          <t>F</t>
        </is>
      </c>
      <c r="E56" s="590" t="inlineStr">
        <is>
          <t>50 Free</t>
        </is>
      </c>
      <c r="F56" s="590" t="n">
        <v>2010</v>
      </c>
      <c r="G56" s="590">
        <f>F56-C56</f>
        <v/>
      </c>
      <c r="H56" s="517" t="n">
        <v>25.07</v>
      </c>
      <c r="I56" s="457">
        <f>IFERROR(__xludf.DUMMYFUNCTION("LET(
  gen,$D56, ev,$E56, t,$H56,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)"),835.0)</f>
        <v/>
      </c>
      <c r="J56" s="458">
        <f>IFERROR(__xludf.DUMMYFUNCTION("MIN(FILTER($H$2:$H1115,$A$2:$A1115=A56,$E$2:$E1115=E56))"),24.39)</f>
        <v/>
      </c>
      <c r="K56" s="457">
        <f>IFERROR(__xludf.DUMMYFUNCTION("MAX(FILTER($I$2:$I1115,$A$2:$A1115=A56,$E$2:$E1115=E56))"),907.0)</f>
        <v/>
      </c>
      <c r="L56" s="457">
        <f>IFERROR(INDEX(F:F,MATCH(J56&amp;A56&amp;E56,H:H&amp;A:A&amp;E:E,0)),"")</f>
        <v/>
      </c>
      <c r="M56" s="457">
        <f>IF(AND(L56&lt;&gt;"",C56&lt;&gt;""), L56-C56, "")</f>
        <v/>
      </c>
      <c r="N56" s="709">
        <f>IFERROR(__xludf.DUMMYFUNCTION("IFERROR(
  MAX(
    FILTER(
      $I$2:$I1115,
      $A$2:$A1115=A56,
      $E$2:$E1115=E56,
      $G$2:$G1115 &gt;= G56-1,
      $G$2:$G1115 &lt;= G56+1
    )
  ),
  """"
)"),840.0)</f>
        <v/>
      </c>
      <c r="O56" s="460">
        <f>1-N56/K56</f>
        <v/>
      </c>
      <c r="P56" s="590">
        <f>AND(
O56 &lt;= 0.05,
(
COUNTIFS($A$2:$A1168, A56, $E$2:$E1168, E56, $G$2:$G1168, G56, $O$2:$O1168, "&lt;=0.05") +
COUNTIFS($A$2:$A1168, A56, $E$2:$E1168, E56, $G$2:$G1168, G56-1, $O$2:$O1168, "&lt;=0.05") +
COUNTIFS($A$2:$A1168, A56, $E$2:$E1168, E56, $G$2:$G1168, G56+1, $O$2:$O1168, "&lt;=0.05")
) &gt;= 
2)</f>
        <v/>
      </c>
      <c r="Q56" s="457" t="n"/>
      <c r="R56" s="457">
        <f>IFERROR(__xludf.DUMMYFUNCTION("IFERROR(MIN(FILTER($G$2:$G1115, $A$2:$A1115=A56, $E$2:$E1115=E56, $P$2:$P1115=TRUE)), """")"),26.0)</f>
        <v/>
      </c>
      <c r="S56" s="457">
        <f>IFERROR(__xludf.DUMMYFUNCTION("IFERROR(MAX(FILTER($G$2:$G1115, $A$2:$A1115=A56, $E$2:$E1115=E56, $P$2:$P1115=TRUE)), """")"),30.0)</f>
        <v/>
      </c>
      <c r="T56" s="590" t="n"/>
      <c r="U56" s="590" t="n"/>
      <c r="V56" s="590">
        <f>IFERROR(__xludf.DUMMYFUNCTION("MIN(FILTER($G$2:$G1115,$A$2:$A1115=A56,$E$2:$E1115=E56))"),15.0)</f>
        <v/>
      </c>
    </row>
    <row r="57">
      <c r="A57" s="454">
        <f>LEFT(B57,1)&amp;UPPER(LEFT(MID(B57,FIND(" ",B57)+1,LEN(B57)),3))&amp;C57</f>
        <v/>
      </c>
      <c r="B57" s="613" t="inlineStr">
        <is>
          <t>Madison Kennedy</t>
        </is>
      </c>
      <c r="C57" s="613" t="n">
        <v>1987</v>
      </c>
      <c r="D57" s="613" t="inlineStr">
        <is>
          <t>F</t>
        </is>
      </c>
      <c r="E57" s="613" t="inlineStr">
        <is>
          <t>50 Free</t>
        </is>
      </c>
      <c r="F57" s="613" t="n">
        <v>2009</v>
      </c>
      <c r="G57" s="613">
        <f>F57-C57</f>
        <v/>
      </c>
      <c r="H57" s="505" t="n">
        <v>25.29</v>
      </c>
      <c r="I57" s="457">
        <f>IFERROR(__xludf.DUMMYFUNCTION("LET(
  gen,$D57, ev,$E57, t,$H57,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)"),813.0)</f>
        <v/>
      </c>
      <c r="J57" s="458">
        <f>IFERROR(__xludf.DUMMYFUNCTION("MIN(FILTER($H$2:$H1115,$A$2:$A1115=A57,$E$2:$E1115=E57))"),24.39)</f>
        <v/>
      </c>
      <c r="K57" s="457">
        <f>IFERROR(__xludf.DUMMYFUNCTION("MAX(FILTER($I$2:$I1115,$A$2:$A1115=A57,$E$2:$E1115=E57))"),907.0)</f>
        <v/>
      </c>
      <c r="L57" s="457">
        <f>IFERROR(INDEX(F:F,MATCH(J57&amp;A57&amp;E57,H:H&amp;A:A&amp;E:E,0)),"")</f>
        <v/>
      </c>
      <c r="M57" s="457">
        <f>IF(AND(L57&lt;&gt;"",C57&lt;&gt;""), L57-C57, "")</f>
        <v/>
      </c>
      <c r="N57" s="704">
        <f>IFERROR(__xludf.DUMMYFUNCTION("IFERROR(
  MAX(
    FILTER(
      $I$2:$I1115,
      $A$2:$A1115=A57,
      $E$2:$E1115=E57,
      $G$2:$G1115 &gt;= G57-1,
      $G$2:$G1115 &lt;= G57+1
    )
  ),
  """"
)"),835.0)</f>
        <v/>
      </c>
      <c r="O57" s="464">
        <f>1-N57/K57</f>
        <v/>
      </c>
      <c r="P57" s="613">
        <f>AND(
O57 &lt;= 0.05,
(
COUNTIFS($A$2:$A1169, A57, $E$2:$E1169, E57, $G$2:$G1169, G57, $O$2:$O1169, "&lt;=0.05") +
COUNTIFS($A$2:$A1169, A57, $E$2:$E1169, E57, $G$2:$G1169, G57-1, $O$2:$O1169, "&lt;=0.05") +
COUNTIFS($A$2:$A1169, A57, $E$2:$E1169, E57, $G$2:$G1169, G57+1, $O$2:$O1169, "&lt;=0.05")
) &gt;= 
2)</f>
        <v/>
      </c>
      <c r="Q57" s="457" t="n"/>
      <c r="R57" s="457">
        <f>IFERROR(__xludf.DUMMYFUNCTION("IFERROR(MIN(FILTER($G$2:$G1115, $A$2:$A1115=A57, $E$2:$E1115=E57, $P$2:$P1115=TRUE)), """")"),26.0)</f>
        <v/>
      </c>
      <c r="S57" s="457">
        <f>IFERROR(__xludf.DUMMYFUNCTION("IFERROR(MAX(FILTER($G$2:$G1115, $A$2:$A1115=A57, $E$2:$E1115=E57, $P$2:$P1115=TRUE)), """")"),30.0)</f>
        <v/>
      </c>
      <c r="T57" s="613" t="n"/>
      <c r="U57" s="613" t="n"/>
      <c r="V57" s="613">
        <f>IFERROR(__xludf.DUMMYFUNCTION("MIN(FILTER($G$2:$G1115,$A$2:$A1115=A57,$E$2:$E1115=E57))"),15.0)</f>
        <v/>
      </c>
    </row>
    <row r="58">
      <c r="A58" s="454">
        <f>LEFT(B58,1)&amp;UPPER(LEFT(MID(B58,FIND(" ",B58)+1,LEN(B58)),3))&amp;C58</f>
        <v/>
      </c>
      <c r="B58" s="590" t="inlineStr">
        <is>
          <t>Madison Kennedy</t>
        </is>
      </c>
      <c r="C58" s="590" t="n">
        <v>1987</v>
      </c>
      <c r="D58" s="590" t="inlineStr">
        <is>
          <t>F</t>
        </is>
      </c>
      <c r="E58" s="590" t="inlineStr">
        <is>
          <t>50 Free</t>
        </is>
      </c>
      <c r="F58" s="590" t="n">
        <v>2008</v>
      </c>
      <c r="G58" s="590">
        <f>F58-C58</f>
        <v/>
      </c>
      <c r="H58" s="517" t="n">
        <v>25.22</v>
      </c>
      <c r="I58" s="457">
        <f>IFERROR(__xludf.DUMMYFUNCTION("LET(
  gen,$D58, ev,$E58, t,$H58,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)"),820.0)</f>
        <v/>
      </c>
      <c r="J58" s="458">
        <f>IFERROR(__xludf.DUMMYFUNCTION("MIN(FILTER($H$2:$H1115,$A$2:$A1115=A58,$E$2:$E1115=E58))"),24.39)</f>
        <v/>
      </c>
      <c r="K58" s="457">
        <f>IFERROR(__xludf.DUMMYFUNCTION("MAX(FILTER($I$2:$I1115,$A$2:$A1115=A58,$E$2:$E1115=E58))"),907.0)</f>
        <v/>
      </c>
      <c r="L58" s="457">
        <f>IFERROR(INDEX(F:F,MATCH(J58&amp;A58&amp;E58,H:H&amp;A:A&amp;E:E,0)),"")</f>
        <v/>
      </c>
      <c r="M58" s="457">
        <f>IF(AND(L58&lt;&gt;"",C58&lt;&gt;""), L58-C58, "")</f>
        <v/>
      </c>
      <c r="N58" s="709">
        <f>IFERROR(__xludf.DUMMYFUNCTION("IFERROR(
  MAX(
    FILTER(
      $I$2:$I1115,
      $A$2:$A1115=A58,
      $E$2:$E1115=E58,
      $G$2:$G1115 &gt;= G58-1,
      $G$2:$G1115 &lt;= G58+1
    )
  ),
  """"
)"),820.0)</f>
        <v/>
      </c>
      <c r="O58" s="460">
        <f>1-N58/K58</f>
        <v/>
      </c>
      <c r="P58" s="590">
        <f>AND(
O58 &lt;= 0.05,
(
COUNTIFS($A$2:$A1170, A58, $E$2:$E1170, E58, $G$2:$G1170, G58, $O$2:$O1170, "&lt;=0.05") +
COUNTIFS($A$2:$A1170, A58, $E$2:$E1170, E58, $G$2:$G1170, G58-1, $O$2:$O1170, "&lt;=0.05") +
COUNTIFS($A$2:$A1170, A58, $E$2:$E1170, E58, $G$2:$G1170, G58+1, $O$2:$O1170, "&lt;=0.05")
) &gt;= 
2)</f>
        <v/>
      </c>
      <c r="Q58" s="457" t="n"/>
      <c r="R58" s="457">
        <f>IFERROR(__xludf.DUMMYFUNCTION("IFERROR(MIN(FILTER($G$2:$G1115, $A$2:$A1115=A58, $E$2:$E1115=E58, $P$2:$P1115=TRUE)), """")"),26.0)</f>
        <v/>
      </c>
      <c r="S58" s="457">
        <f>IFERROR(__xludf.DUMMYFUNCTION("IFERROR(MAX(FILTER($G$2:$G1115, $A$2:$A1115=A58, $E$2:$E1115=E58, $P$2:$P1115=TRUE)), """")"),30.0)</f>
        <v/>
      </c>
      <c r="T58" s="590" t="n"/>
      <c r="U58" s="590" t="n"/>
      <c r="V58" s="590">
        <f>IFERROR(__xludf.DUMMYFUNCTION("MIN(FILTER($G$2:$G1115,$A$2:$A1115=A58,$E$2:$E1115=E58))"),15.0)</f>
        <v/>
      </c>
    </row>
    <row r="59">
      <c r="A59" s="454">
        <f>LEFT(B59,1)&amp;UPPER(LEFT(MID(B59,FIND(" ",B59)+1,LEN(B59)),3))&amp;C59</f>
        <v/>
      </c>
      <c r="B59" s="613" t="inlineStr">
        <is>
          <t>Madison Kennedy</t>
        </is>
      </c>
      <c r="C59" s="613" t="n">
        <v>1987</v>
      </c>
      <c r="D59" s="613" t="inlineStr">
        <is>
          <t>F</t>
        </is>
      </c>
      <c r="E59" s="613" t="inlineStr">
        <is>
          <t>50 Free</t>
        </is>
      </c>
      <c r="F59" s="613" t="n">
        <v>2007</v>
      </c>
      <c r="G59" s="613">
        <f>F59-C59</f>
        <v/>
      </c>
      <c r="H59" s="505" t="n">
        <v>26.17</v>
      </c>
      <c r="I59" s="457">
        <f>IFERROR(__xludf.DUMMYFUNCTION("LET(
  gen,$D59, ev,$E59, t,$H59,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)"),734.0)</f>
        <v/>
      </c>
      <c r="J59" s="458">
        <f>IFERROR(__xludf.DUMMYFUNCTION("MIN(FILTER($H$2:$H1115,$A$2:$A1115=A59,$E$2:$E1115=E59))"),24.39)</f>
        <v/>
      </c>
      <c r="K59" s="457">
        <f>IFERROR(__xludf.DUMMYFUNCTION("MAX(FILTER($I$2:$I1115,$A$2:$A1115=A59,$E$2:$E1115=E59))"),907.0)</f>
        <v/>
      </c>
      <c r="L59" s="457">
        <f>IFERROR(INDEX(F:F,MATCH(J59&amp;A59&amp;E59,H:H&amp;A:A&amp;E:E,0)),"")</f>
        <v/>
      </c>
      <c r="M59" s="457">
        <f>IF(AND(L59&lt;&gt;"",C59&lt;&gt;""), L59-C59, "")</f>
        <v/>
      </c>
      <c r="N59" s="704">
        <f>IFERROR(__xludf.DUMMYFUNCTION("IFERROR(
  MAX(
    FILTER(
      $I$2:$I1115,
      $A$2:$A1115=A59,
      $E$2:$E1115=E59,
      $G$2:$G1115 &gt;= G59-1,
      $G$2:$G1115 &lt;= G59+1
    )
  ),
  """"
)"),820.0)</f>
        <v/>
      </c>
      <c r="O59" s="464">
        <f>1-N59/K59</f>
        <v/>
      </c>
      <c r="P59" s="613">
        <f>AND(
O59 &lt;= 0.05,
(
COUNTIFS($A$2:$A1171, A59, $E$2:$E1171, E59, $G$2:$G1171, G59, $O$2:$O1171, "&lt;=0.05") +
COUNTIFS($A$2:$A1171, A59, $E$2:$E1171, E59, $G$2:$G1171, G59-1, $O$2:$O1171, "&lt;=0.05") +
COUNTIFS($A$2:$A1171, A59, $E$2:$E1171, E59, $G$2:$G1171, G59+1, $O$2:$O1171, "&lt;=0.05")
) &gt;= 
2)</f>
        <v/>
      </c>
      <c r="Q59" s="457" t="n"/>
      <c r="R59" s="457">
        <f>IFERROR(__xludf.DUMMYFUNCTION("IFERROR(MIN(FILTER($G$2:$G1115, $A$2:$A1115=A59, $E$2:$E1115=E59, $P$2:$P1115=TRUE)), """")"),26.0)</f>
        <v/>
      </c>
      <c r="S59" s="457">
        <f>IFERROR(__xludf.DUMMYFUNCTION("IFERROR(MAX(FILTER($G$2:$G1115, $A$2:$A1115=A59, $E$2:$E1115=E59, $P$2:$P1115=TRUE)), """")"),30.0)</f>
        <v/>
      </c>
      <c r="T59" s="613" t="n"/>
      <c r="U59" s="613" t="n"/>
      <c r="V59" s="613">
        <f>IFERROR(__xludf.DUMMYFUNCTION("MIN(FILTER($G$2:$G1115,$A$2:$A1115=A59,$E$2:$E1115=E59))"),15.0)</f>
        <v/>
      </c>
    </row>
    <row r="60">
      <c r="A60" s="454">
        <f>LEFT(B60,1)&amp;UPPER(LEFT(MID(B60,FIND(" ",B60)+1,LEN(B60)),3))&amp;C60</f>
        <v/>
      </c>
      <c r="B60" s="590" t="inlineStr">
        <is>
          <t>Madison Kennedy</t>
        </is>
      </c>
      <c r="C60" s="590" t="n">
        <v>1987</v>
      </c>
      <c r="D60" s="590" t="inlineStr">
        <is>
          <t>F</t>
        </is>
      </c>
      <c r="E60" s="590" t="inlineStr">
        <is>
          <t>50 Free</t>
        </is>
      </c>
      <c r="F60" s="590" t="n">
        <v>2006</v>
      </c>
      <c r="G60" s="590">
        <f>F60-C60</f>
        <v/>
      </c>
      <c r="H60" s="517" t="n">
        <v>26.05</v>
      </c>
      <c r="I60" s="457">
        <f>IFERROR(__xludf.DUMMYFUNCTION("LET(
  gen,$D60, ev,$E60, t,$H60,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)"),744.0)</f>
        <v/>
      </c>
      <c r="J60" s="458">
        <f>IFERROR(__xludf.DUMMYFUNCTION("MIN(FILTER($H$2:$H1115,$A$2:$A1115=A60,$E$2:$E1115=E60))"),24.39)</f>
        <v/>
      </c>
      <c r="K60" s="457">
        <f>IFERROR(__xludf.DUMMYFUNCTION("MAX(FILTER($I$2:$I1115,$A$2:$A1115=A60,$E$2:$E1115=E60))"),907.0)</f>
        <v/>
      </c>
      <c r="L60" s="457">
        <f>IFERROR(INDEX(F:F,MATCH(J60&amp;A60&amp;E60,H:H&amp;A:A&amp;E:E,0)),"")</f>
        <v/>
      </c>
      <c r="M60" s="457">
        <f>IF(AND(L60&lt;&gt;"",C60&lt;&gt;""), L60-C60, "")</f>
        <v/>
      </c>
      <c r="N60" s="709">
        <f>IFERROR(__xludf.DUMMYFUNCTION("IFERROR(
  MAX(
    FILTER(
      $I$2:$I1115,
      $A$2:$A1115=A60,
      $E$2:$E1115=E60,
      $G$2:$G1115 &gt;= G60-1,
      $G$2:$G1115 &lt;= G60+1
    )
  ),
  """"
)"),744.0)</f>
        <v/>
      </c>
      <c r="O60" s="460">
        <f>1-N60/K60</f>
        <v/>
      </c>
      <c r="P60" s="590">
        <f>AND(
O60 &lt;= 0.05,
(
COUNTIFS($A$2:$A1172, A60, $E$2:$E1172, E60, $G$2:$G1172, G60, $O$2:$O1172, "&lt;=0.05") +
COUNTIFS($A$2:$A1172, A60, $E$2:$E1172, E60, $G$2:$G1172, G60-1, $O$2:$O1172, "&lt;=0.05") +
COUNTIFS($A$2:$A1172, A60, $E$2:$E1172, E60, $G$2:$G1172, G60+1, $O$2:$O1172, "&lt;=0.05")
) &gt;= 
2)</f>
        <v/>
      </c>
      <c r="Q60" s="457" t="n"/>
      <c r="R60" s="457">
        <f>IFERROR(__xludf.DUMMYFUNCTION("IFERROR(MIN(FILTER($G$2:$G1115, $A$2:$A1115=A60, $E$2:$E1115=E60, $P$2:$P1115=TRUE)), """")"),26.0)</f>
        <v/>
      </c>
      <c r="S60" s="457">
        <f>IFERROR(__xludf.DUMMYFUNCTION("IFERROR(MAX(FILTER($G$2:$G1115, $A$2:$A1115=A60, $E$2:$E1115=E60, $P$2:$P1115=TRUE)), """")"),30.0)</f>
        <v/>
      </c>
      <c r="T60" s="590" t="n"/>
      <c r="U60" s="590" t="n"/>
      <c r="V60" s="590">
        <f>IFERROR(__xludf.DUMMYFUNCTION("MIN(FILTER($G$2:$G1115,$A$2:$A1115=A60,$E$2:$E1115=E60))"),15.0)</f>
        <v/>
      </c>
    </row>
    <row r="61">
      <c r="A61" s="454">
        <f>LEFT(B61,1)&amp;UPPER(LEFT(MID(B61,FIND(" ",B61)+1,LEN(B61)),3))&amp;C61</f>
        <v/>
      </c>
      <c r="B61" s="613" t="inlineStr">
        <is>
          <t>Madison Kennedy</t>
        </is>
      </c>
      <c r="C61" s="613" t="n">
        <v>1987</v>
      </c>
      <c r="D61" s="613" t="inlineStr">
        <is>
          <t>F</t>
        </is>
      </c>
      <c r="E61" s="613" t="inlineStr">
        <is>
          <t>50 Free</t>
        </is>
      </c>
      <c r="F61" s="613" t="n">
        <v>2005</v>
      </c>
      <c r="G61" s="613">
        <f>F61-C61</f>
        <v/>
      </c>
      <c r="H61" s="505" t="n">
        <v>26.35</v>
      </c>
      <c r="I61" s="457">
        <f>IFERROR(__xludf.DUMMYFUNCTION("LET(
  gen,$D61, ev,$E61, t,$H61,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)"),719.0)</f>
        <v/>
      </c>
      <c r="J61" s="458">
        <f>IFERROR(__xludf.DUMMYFUNCTION("MIN(FILTER($H$2:$H1115,$A$2:$A1115=A61,$E$2:$E1115=E61))"),24.39)</f>
        <v/>
      </c>
      <c r="K61" s="457">
        <f>IFERROR(__xludf.DUMMYFUNCTION("MAX(FILTER($I$2:$I1115,$A$2:$A1115=A61,$E$2:$E1115=E61))"),907.0)</f>
        <v/>
      </c>
      <c r="L61" s="457">
        <f>IFERROR(INDEX(F:F,MATCH(J61&amp;A61&amp;E61,H:H&amp;A:A&amp;E:E,0)),"")</f>
        <v/>
      </c>
      <c r="M61" s="457">
        <f>IF(AND(L61&lt;&gt;"",C61&lt;&gt;""), L61-C61, "")</f>
        <v/>
      </c>
      <c r="N61" s="704">
        <f>IFERROR(__xludf.DUMMYFUNCTION("IFERROR(
  MAX(
    FILTER(
      $I$2:$I1115,
      $A$2:$A1115=A61,
      $E$2:$E1115=E61,
      $G$2:$G1115 &gt;= G61-1,
      $G$2:$G1115 &lt;= G61+1
    )
  ),
  """"
)"),744.0)</f>
        <v/>
      </c>
      <c r="O61" s="464">
        <f>1-N61/K61</f>
        <v/>
      </c>
      <c r="P61" s="613">
        <f>AND(
O61 &lt;= 0.05,
(
COUNTIFS($A$2:$A1173, A61, $E$2:$E1173, E61, $G$2:$G1173, G61, $O$2:$O1173, "&lt;=0.05") +
COUNTIFS($A$2:$A1173, A61, $E$2:$E1173, E61, $G$2:$G1173, G61-1, $O$2:$O1173, "&lt;=0.05") +
COUNTIFS($A$2:$A1173, A61, $E$2:$E1173, E61, $G$2:$G1173, G61+1, $O$2:$O1173, "&lt;=0.05")
) &gt;= 
2)</f>
        <v/>
      </c>
      <c r="Q61" s="457" t="n"/>
      <c r="R61" s="457">
        <f>IFERROR(__xludf.DUMMYFUNCTION("IFERROR(MIN(FILTER($G$2:$G1115, $A$2:$A1115=A61, $E$2:$E1115=E61, $P$2:$P1115=TRUE)), """")"),26.0)</f>
        <v/>
      </c>
      <c r="S61" s="457">
        <f>IFERROR(__xludf.DUMMYFUNCTION("IFERROR(MAX(FILTER($G$2:$G1115, $A$2:$A1115=A61, $E$2:$E1115=E61, $P$2:$P1115=TRUE)), """")"),30.0)</f>
        <v/>
      </c>
      <c r="T61" s="613" t="n"/>
      <c r="U61" s="613" t="n"/>
      <c r="V61" s="613">
        <f>IFERROR(__xludf.DUMMYFUNCTION("MIN(FILTER($G$2:$G1115,$A$2:$A1115=A61,$E$2:$E1115=E61))"),15.0)</f>
        <v/>
      </c>
    </row>
    <row r="62">
      <c r="A62" s="454">
        <f>LEFT(B62,1)&amp;UPPER(LEFT(MID(B62,FIND(" ",B62)+1,LEN(B62)),3))&amp;C62</f>
        <v/>
      </c>
      <c r="B62" s="590" t="inlineStr">
        <is>
          <t>Madison Kennedy</t>
        </is>
      </c>
      <c r="C62" s="590" t="n">
        <v>1987</v>
      </c>
      <c r="D62" s="590" t="inlineStr">
        <is>
          <t>F</t>
        </is>
      </c>
      <c r="E62" s="590" t="inlineStr">
        <is>
          <t>50 Free</t>
        </is>
      </c>
      <c r="F62" s="590" t="n">
        <v>2004</v>
      </c>
      <c r="G62" s="590">
        <f>F62-C62</f>
        <v/>
      </c>
      <c r="H62" s="517" t="n">
        <v>27.17</v>
      </c>
      <c r="I62" s="457">
        <f>IFERROR(__xludf.DUMMYFUNCTION("LET(
  gen,$D62, ev,$E62, t,$H62,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)"),656.0)</f>
        <v/>
      </c>
      <c r="J62" s="458">
        <f>IFERROR(__xludf.DUMMYFUNCTION("MIN(FILTER($H$2:$H1115,$A$2:$A1115=A62,$E$2:$E1115=E62))"),24.39)</f>
        <v/>
      </c>
      <c r="K62" s="457">
        <f>IFERROR(__xludf.DUMMYFUNCTION("MAX(FILTER($I$2:$I1115,$A$2:$A1115=A62,$E$2:$E1115=E62))"),907.0)</f>
        <v/>
      </c>
      <c r="L62" s="457">
        <f>IFERROR(INDEX(F:F,MATCH(J62&amp;A62&amp;E62,H:H&amp;A:A&amp;E:E,0)),"")</f>
        <v/>
      </c>
      <c r="M62" s="457">
        <f>IF(AND(L62&lt;&gt;"",C62&lt;&gt;""), L62-C62, "")</f>
        <v/>
      </c>
      <c r="N62" s="709">
        <f>IFERROR(__xludf.DUMMYFUNCTION("IFERROR(
  MAX(
    FILTER(
      $I$2:$I1115,
      $A$2:$A1115=A62,
      $E$2:$E1115=E62,
      $G$2:$G1115 &gt;= G62-1,
      $G$2:$G1115 &lt;= G62+1
    )
  ),
  """"
)"),719.0)</f>
        <v/>
      </c>
      <c r="O62" s="460">
        <f>1-N62/K62</f>
        <v/>
      </c>
      <c r="P62" s="590">
        <f>AND(
O62 &lt;= 0.05,
(
COUNTIFS($A$2:$A1174, A62, $E$2:$E1174, E62, $G$2:$G1174, G62, $O$2:$O1174, "&lt;=0.05") +
COUNTIFS($A$2:$A1174, A62, $E$2:$E1174, E62, $G$2:$G1174, G62-1, $O$2:$O1174, "&lt;=0.05") +
COUNTIFS($A$2:$A1174, A62, $E$2:$E1174, E62, $G$2:$G1174, G62+1, $O$2:$O1174, "&lt;=0.05")
) &gt;= 
2)</f>
        <v/>
      </c>
      <c r="Q62" s="457" t="n"/>
      <c r="R62" s="457">
        <f>IFERROR(__xludf.DUMMYFUNCTION("IFERROR(MIN(FILTER($G$2:$G1115, $A$2:$A1115=A62, $E$2:$E1115=E62, $P$2:$P1115=TRUE)), """")"),26.0)</f>
        <v/>
      </c>
      <c r="S62" s="457">
        <f>IFERROR(__xludf.DUMMYFUNCTION("IFERROR(MAX(FILTER($G$2:$G1115, $A$2:$A1115=A62, $E$2:$E1115=E62, $P$2:$P1115=TRUE)), """")"),30.0)</f>
        <v/>
      </c>
      <c r="T62" s="590" t="n"/>
      <c r="U62" s="590" t="n"/>
      <c r="V62" s="590">
        <f>IFERROR(__xludf.DUMMYFUNCTION("MIN(FILTER($G$2:$G1115,$A$2:$A1115=A62,$E$2:$E1115=E62))"),15.0)</f>
        <v/>
      </c>
    </row>
    <row r="63">
      <c r="A63" s="454">
        <f>LEFT(B63,1)&amp;UPPER(LEFT(MID(B63,FIND(" ",B63)+1,LEN(B63)),3))&amp;C63</f>
        <v/>
      </c>
      <c r="B63" s="613" t="inlineStr">
        <is>
          <t>Madison Kennedy</t>
        </is>
      </c>
      <c r="C63" s="613" t="n">
        <v>1987</v>
      </c>
      <c r="D63" s="613" t="inlineStr">
        <is>
          <t>F</t>
        </is>
      </c>
      <c r="E63" s="613" t="inlineStr">
        <is>
          <t>50 Free</t>
        </is>
      </c>
      <c r="F63" s="613" t="n">
        <v>2003</v>
      </c>
      <c r="G63" s="613">
        <f>F63-C63</f>
        <v/>
      </c>
      <c r="H63" s="505" t="n">
        <v>27.1</v>
      </c>
      <c r="I63" s="457">
        <f>IFERROR(__xludf.DUMMYFUNCTION("LET(
  gen,$D63, ev,$E63, t,$H63,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)"),661.0)</f>
        <v/>
      </c>
      <c r="J63" s="458">
        <f>IFERROR(__xludf.DUMMYFUNCTION("MIN(FILTER($H$2:$H1115,$A$2:$A1115=A63,$E$2:$E1115=E63))"),24.39)</f>
        <v/>
      </c>
      <c r="K63" s="457">
        <f>IFERROR(__xludf.DUMMYFUNCTION("MAX(FILTER($I$2:$I1115,$A$2:$A1115=A63,$E$2:$E1115=E63))"),907.0)</f>
        <v/>
      </c>
      <c r="L63" s="457">
        <f>IFERROR(INDEX(F:F,MATCH(J63&amp;A63&amp;E63,H:H&amp;A:A&amp;E:E,0)),"")</f>
        <v/>
      </c>
      <c r="M63" s="457">
        <f>IF(AND(L63&lt;&gt;"",C63&lt;&gt;""), L63-C63, "")</f>
        <v/>
      </c>
      <c r="N63" s="704">
        <f>IFERROR(__xludf.DUMMYFUNCTION("IFERROR(
  MAX(
    FILTER(
      $I$2:$I1115,
      $A$2:$A1115=A63,
      $E$2:$E1115=E63,
      $G$2:$G1115 &gt;= G63-1,
      $G$2:$G1115 &lt;= G63+1
    )
  ),
  """"
)"),661.0)</f>
        <v/>
      </c>
      <c r="O63" s="464">
        <f>1-N63/K63</f>
        <v/>
      </c>
      <c r="P63" s="613">
        <f>AND(
O63 &lt;= 0.05,
(
COUNTIFS($A$2:$A1175, A63, $E$2:$E1175, E63, $G$2:$G1175, G63, $O$2:$O1175, "&lt;=0.05") +
COUNTIFS($A$2:$A1175, A63, $E$2:$E1175, E63, $G$2:$G1175, G63-1, $O$2:$O1175, "&lt;=0.05") +
COUNTIFS($A$2:$A1175, A63, $E$2:$E1175, E63, $G$2:$G1175, G63+1, $O$2:$O1175, "&lt;=0.05")
) &gt;= 
2)</f>
        <v/>
      </c>
      <c r="Q63" s="457" t="n"/>
      <c r="R63" s="457">
        <f>IFERROR(__xludf.DUMMYFUNCTION("IFERROR(MIN(FILTER($G$2:$G1115, $A$2:$A1115=A63, $E$2:$E1115=E63, $P$2:$P1115=TRUE)), """")"),26.0)</f>
        <v/>
      </c>
      <c r="S63" s="457">
        <f>IFERROR(__xludf.DUMMYFUNCTION("IFERROR(MAX(FILTER($G$2:$G1115, $A$2:$A1115=A63, $E$2:$E1115=E63, $P$2:$P1115=TRUE)), """")"),30.0)</f>
        <v/>
      </c>
      <c r="T63" s="613" t="n"/>
      <c r="U63" s="613" t="n"/>
      <c r="V63" s="613">
        <f>IFERROR(__xludf.DUMMYFUNCTION("MIN(FILTER($G$2:$G1115,$A$2:$A1115=A63,$E$2:$E1115=E63))"),15.0)</f>
        <v/>
      </c>
    </row>
    <row r="64">
      <c r="A64" s="454">
        <f>LEFT(B64,1)&amp;UPPER(LEFT(MID(B64,FIND(" ",B64)+1,LEN(B64)),3))&amp;C64</f>
        <v/>
      </c>
      <c r="B64" s="590" t="inlineStr">
        <is>
          <t>Madison Kennedy</t>
        </is>
      </c>
      <c r="C64" s="590" t="n">
        <v>1987</v>
      </c>
      <c r="D64" s="590" t="inlineStr">
        <is>
          <t>F</t>
        </is>
      </c>
      <c r="E64" s="590" t="inlineStr">
        <is>
          <t>50 Free</t>
        </is>
      </c>
      <c r="F64" s="590" t="n">
        <v>2002</v>
      </c>
      <c r="G64" s="590">
        <f>F64-C64</f>
        <v/>
      </c>
      <c r="H64" s="517" t="n">
        <v>27.61</v>
      </c>
      <c r="I64" s="457">
        <f>IFERROR(__xludf.DUMMYFUNCTION("LET(
  gen,$D64, ev,$E64, t,$H64,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)"),625.0)</f>
        <v/>
      </c>
      <c r="J64" s="458">
        <f>IFERROR(__xludf.DUMMYFUNCTION("MIN(FILTER($H$2:$H1115,$A$2:$A1115=A64,$E$2:$E1115=E64))"),24.39)</f>
        <v/>
      </c>
      <c r="K64" s="457">
        <f>IFERROR(__xludf.DUMMYFUNCTION("MAX(FILTER($I$2:$I1115,$A$2:$A1115=A64,$E$2:$E1115=E64))"),907.0)</f>
        <v/>
      </c>
      <c r="L64" s="457">
        <f>IFERROR(INDEX(F:F,MATCH(J64&amp;A64&amp;E64,H:H&amp;A:A&amp;E:E,0)),"")</f>
        <v/>
      </c>
      <c r="M64" s="457">
        <f>IF(AND(L64&lt;&gt;"",C64&lt;&gt;""), L64-C64, "")</f>
        <v/>
      </c>
      <c r="N64" s="709">
        <f>IFERROR(__xludf.DUMMYFUNCTION("IFERROR(
  MAX(
    FILTER(
      $I$2:$I1115,
      $A$2:$A1115=A64,
      $E$2:$E1115=E64,
      $G$2:$G1115 &gt;= G64-1,
      $G$2:$G1115 &lt;= G64+1
    )
  ),
  """"
)"),661.0)</f>
        <v/>
      </c>
      <c r="O64" s="460">
        <f>1-N64/K64</f>
        <v/>
      </c>
      <c r="P64" s="590">
        <f>AND(
O64 &lt;= 0.05,
(
COUNTIFS($A$2:$A1176, A64, $E$2:$E1176, E64, $G$2:$G1176, G64, $O$2:$O1176, "&lt;=0.05") +
COUNTIFS($A$2:$A1176, A64, $E$2:$E1176, E64, $G$2:$G1176, G64-1, $O$2:$O1176, "&lt;=0.05") +
COUNTIFS($A$2:$A1176, A64, $E$2:$E1176, E64, $G$2:$G1176, G64+1, $O$2:$O1176, "&lt;=0.05")
) &gt;= 
2)</f>
        <v/>
      </c>
      <c r="Q64" s="457" t="n"/>
      <c r="R64" s="457">
        <f>IFERROR(__xludf.DUMMYFUNCTION("IFERROR(MIN(FILTER($G$2:$G1115, $A$2:$A1115=A64, $E$2:$E1115=E64, $P$2:$P1115=TRUE)), """")"),26.0)</f>
        <v/>
      </c>
      <c r="S64" s="457">
        <f>IFERROR(__xludf.DUMMYFUNCTION("IFERROR(MAX(FILTER($G$2:$G1115, $A$2:$A1115=A64, $E$2:$E1115=E64, $P$2:$P1115=TRUE)), """")"),30.0)</f>
        <v/>
      </c>
      <c r="T64" s="590" t="n"/>
      <c r="U64" s="590" t="n"/>
      <c r="V64" s="590">
        <f>IFERROR(__xludf.DUMMYFUNCTION("MIN(FILTER($G$2:$G1115,$A$2:$A1115=A64,$E$2:$E1115=E64))"),15.0)</f>
        <v/>
      </c>
    </row>
    <row r="65">
      <c r="A65" s="454">
        <f>LEFT(B65,1)&amp;UPPER(LEFT(MID(B65,FIND(" ",B65)+1,LEN(B65)),3))&amp;C65</f>
        <v/>
      </c>
      <c r="B65" s="613" t="inlineStr">
        <is>
          <t>Margo Geer</t>
        </is>
      </c>
      <c r="C65" s="613" t="n">
        <v>1992</v>
      </c>
      <c r="D65" s="613" t="inlineStr">
        <is>
          <t>F</t>
        </is>
      </c>
      <c r="E65" s="613" t="inlineStr">
        <is>
          <t>50 Free</t>
        </is>
      </c>
      <c r="F65" s="613" t="n">
        <v>2013</v>
      </c>
      <c r="G65" s="613">
        <f>F65-C65</f>
        <v/>
      </c>
      <c r="H65" s="505" t="n">
        <v>25.06</v>
      </c>
      <c r="I65" s="457">
        <f>IFERROR(__xludf.DUMMYFUNCTION("LET(
  gen,$D65, ev,$E65, t,$H65,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)"),836.0)</f>
        <v/>
      </c>
      <c r="J65" s="458">
        <f>IFERROR(__xludf.DUMMYFUNCTION("MIN(FILTER($H$2:$H1115,$A$2:$A1115=A65,$E$2:$E1115=E65))"),25.06)</f>
        <v/>
      </c>
      <c r="K65" s="457">
        <f>IFERROR(__xludf.DUMMYFUNCTION("MAX(FILTER($I$2:$I1115,$A$2:$A1115=A65,$E$2:$E1115=E65))"),836.0)</f>
        <v/>
      </c>
      <c r="L65" s="457">
        <f>IFERROR(INDEX(F:F,MATCH(J65&amp;A65&amp;E65,H:H&amp;A:A&amp;E:E,0)),"")</f>
        <v/>
      </c>
      <c r="M65" s="457">
        <f>IF(AND(L65&lt;&gt;"",C65&lt;&gt;""), L65-C65, "")</f>
        <v/>
      </c>
      <c r="N65" s="704">
        <f>IFERROR(__xludf.DUMMYFUNCTION("IFERROR(
  MAX(
    FILTER(
      $I$2:$I1115,
      $A$2:$A1115=A65,
      $E$2:$E1115=E65,
      $G$2:$G1115 &gt;= G65-1,
      $G$2:$G1115 &lt;= G65+1
    )
  ),
  """"
)"),836.0)</f>
        <v/>
      </c>
      <c r="O65" s="464">
        <f>1-N65/K65</f>
        <v/>
      </c>
      <c r="P65" s="613">
        <f>AND(
O65 &lt;= 0.05,
(
COUNTIFS($A$2:$A1177, A65, $E$2:$E1177, E65, $G$2:$G1177, G65, $O$2:$O1177, "&lt;=0.05") +
COUNTIFS($A$2:$A1177, A65, $E$2:$E1177, E65, $G$2:$G1177, G65-1, $O$2:$O1177, "&lt;=0.05") +
COUNTIFS($A$2:$A1177, A65, $E$2:$E1177, E65, $G$2:$G1177, G65+1, $O$2:$O1177, "&lt;=0.05")
) &gt;= 
2)</f>
        <v/>
      </c>
      <c r="Q65" s="457" t="n"/>
      <c r="R65" s="457">
        <f>IFERROR(__xludf.DUMMYFUNCTION("IFERROR(MIN(FILTER($G$2:$G1115, $A$2:$A1115=A65, $E$2:$E1115=E65, $P$2:$P1115=TRUE)), """")"),"")</f>
        <v/>
      </c>
      <c r="S65" s="457">
        <f>IFERROR(__xludf.DUMMYFUNCTION("IFERROR(MAX(FILTER($G$2:$G1115, $A$2:$A1115=A65, $E$2:$E1115=E65, $P$2:$P1115=TRUE)), """")"),"")</f>
        <v/>
      </c>
      <c r="T65" s="613" t="n"/>
      <c r="U65" s="613" t="n"/>
      <c r="V65" s="613">
        <f>IFERROR(__xludf.DUMMYFUNCTION("MIN(FILTER($G$2:$G1115,$A$2:$A1115=A65,$E$2:$E1115=E65))"),21.0)</f>
        <v/>
      </c>
    </row>
    <row r="66">
      <c r="A66" s="454">
        <f>LEFT(B66,1)&amp;UPPER(LEFT(MID(B66,FIND(" ",B66)+1,LEN(B66)),3))&amp;C66</f>
        <v/>
      </c>
      <c r="B66" s="590" t="inlineStr">
        <is>
          <t>Missy Cundiff</t>
        </is>
      </c>
      <c r="C66" s="590" t="n">
        <v>1999</v>
      </c>
      <c r="D66" s="590" t="inlineStr">
        <is>
          <t>F</t>
        </is>
      </c>
      <c r="E66" s="590" t="inlineStr">
        <is>
          <t>50 Free</t>
        </is>
      </c>
      <c r="G66" s="590">
        <f>F66-C66</f>
        <v/>
      </c>
      <c r="H66" s="517" t="n"/>
      <c r="I66" s="457">
        <f>IFERROR(__xludf.DUMMYFUNCTION("LET(
  gen,$D66, ev,$E66, t,$H66,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66" s="458">
        <f>IFERROR(__xludf.DUMMYFUNCTION("MIN(FILTER($H$2:$H1115,$A$2:$A1115=A66,$E$2:$E1115=E66))"),0.0)</f>
        <v/>
      </c>
      <c r="K66" s="457">
        <f>IFERROR(__xludf.DUMMYFUNCTION("MAX(FILTER($I$2:$I1115,$A$2:$A1115=A66,$E$2:$E1115=E66))"),"#DIV/0!")</f>
        <v/>
      </c>
      <c r="L66" s="457">
        <f>IFERROR(INDEX(F:F,MATCH(J66&amp;A66&amp;E66,H:H&amp;A:A&amp;E:E,0)),"")</f>
        <v/>
      </c>
      <c r="M66" s="457">
        <f>IF(AND(L66&lt;&gt;"",C66&lt;&gt;""), L66-C66, "")</f>
        <v/>
      </c>
      <c r="N66" s="709">
        <f>IFERROR(__xludf.DUMMYFUNCTION("IFERROR(
  MAX(
    FILTER(
      $I$2:$I1115,
      $A$2:$A1115=A66,
      $E$2:$E1115=E66,
      $G$2:$G1115 &gt;= G66-1,
      $G$2:$G1115 &lt;= G66+1
    )
  ),
  """"
)"),"")</f>
        <v/>
      </c>
      <c r="O66" s="460">
        <f>1-N66/K66</f>
        <v/>
      </c>
      <c r="P66" s="590">
        <f>AND(
O66 &lt;= 0.05,
(
COUNTIFS($A$2:$A1178, A66, $E$2:$E1178, E66, $G$2:$G1178, G66, $O$2:$O1178, "&lt;=0.05") +
COUNTIFS($A$2:$A1178, A66, $E$2:$E1178, E66, $G$2:$G1178, G66-1, $O$2:$O1178, "&lt;=0.05") +
COUNTIFS($A$2:$A1178, A66, $E$2:$E1178, E66, $G$2:$G1178, G66+1, $O$2:$O1178, "&lt;=0.05")
) &gt;= 
2)</f>
        <v/>
      </c>
      <c r="Q66" s="457" t="n"/>
      <c r="R66" s="457">
        <f>IFERROR(__xludf.DUMMYFUNCTION("IFERROR(MIN(FILTER($G$2:$G1115, $A$2:$A1115=A66, $E$2:$E1115=E66, $P$2:$P1115=TRUE)), """")"),"")</f>
        <v/>
      </c>
      <c r="S66" s="457">
        <f>IFERROR(__xludf.DUMMYFUNCTION("IFERROR(MAX(FILTER($G$2:$G1115, $A$2:$A1115=A66, $E$2:$E1115=E66, $P$2:$P1115=TRUE)), """")"),"")</f>
        <v/>
      </c>
      <c r="T66" s="590" t="n"/>
      <c r="U66" s="590" t="n"/>
      <c r="V66" s="590">
        <f>IFERROR(__xludf.DUMMYFUNCTION("MIN(FILTER($G$2:$G1115,$A$2:$A1115=A66,$E$2:$E1115=E66))"),-1999.0)</f>
        <v/>
      </c>
    </row>
    <row r="67">
      <c r="A67" s="454">
        <f>LEFT(B67,1)&amp;UPPER(LEFT(MID(B67,FIND(" ",B67)+1,LEN(B67)),3))&amp;C67</f>
        <v/>
      </c>
      <c r="B67" s="613" t="inlineStr">
        <is>
          <t>Missy Cundiff</t>
        </is>
      </c>
      <c r="C67" s="613" t="n">
        <v>1999</v>
      </c>
      <c r="D67" s="613" t="inlineStr">
        <is>
          <t>F</t>
        </is>
      </c>
      <c r="E67" s="613" t="inlineStr">
        <is>
          <t>50 Free</t>
        </is>
      </c>
      <c r="G67" s="613">
        <f>F67-C67</f>
        <v/>
      </c>
      <c r="H67" s="505" t="n"/>
      <c r="I67" s="457">
        <f>IFERROR(__xludf.DUMMYFUNCTION("LET(
  gen,$D67, ev,$E67, t,$H67,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67" s="458">
        <f>IFERROR(__xludf.DUMMYFUNCTION("MIN(FILTER($H$2:$H1115,$A$2:$A1115=A67,$E$2:$E1115=E67))"),0.0)</f>
        <v/>
      </c>
      <c r="K67" s="457">
        <f>IFERROR(__xludf.DUMMYFUNCTION("MAX(FILTER($I$2:$I1115,$A$2:$A1115=A67,$E$2:$E1115=E67))"),"#DIV/0!")</f>
        <v/>
      </c>
      <c r="L67" s="457">
        <f>IFERROR(INDEX(F:F,MATCH(J67&amp;A67&amp;E67,H:H&amp;A:A&amp;E:E,0)),"")</f>
        <v/>
      </c>
      <c r="M67" s="457">
        <f>IF(AND(L67&lt;&gt;"",C67&lt;&gt;""), L67-C67, "")</f>
        <v/>
      </c>
      <c r="N67" s="704">
        <f>IFERROR(__xludf.DUMMYFUNCTION("IFERROR(
  MAX(
    FILTER(
      $I$2:$I1115,
      $A$2:$A1115=A67,
      $E$2:$E1115=E67,
      $G$2:$G1115 &gt;= G67-1,
      $G$2:$G1115 &lt;= G67+1
    )
  ),
  """"
)"),"")</f>
        <v/>
      </c>
      <c r="O67" s="464">
        <f>1-N67/K67</f>
        <v/>
      </c>
      <c r="P67" s="613">
        <f>AND(
O67 &lt;= 0.05,
(
COUNTIFS($A$2:$A1179, A67, $E$2:$E1179, E67, $G$2:$G1179, G67, $O$2:$O1179, "&lt;=0.05") +
COUNTIFS($A$2:$A1179, A67, $E$2:$E1179, E67, $G$2:$G1179, G67-1, $O$2:$O1179, "&lt;=0.05") +
COUNTIFS($A$2:$A1179, A67, $E$2:$E1179, E67, $G$2:$G1179, G67+1, $O$2:$O1179, "&lt;=0.05")
) &gt;= 
2)</f>
        <v/>
      </c>
      <c r="Q67" s="457" t="n"/>
      <c r="R67" s="457">
        <f>IFERROR(__xludf.DUMMYFUNCTION("IFERROR(MIN(FILTER($G$2:$G1115, $A$2:$A1115=A67, $E$2:$E1115=E67, $P$2:$P1115=TRUE)), """")"),"")</f>
        <v/>
      </c>
      <c r="S67" s="457">
        <f>IFERROR(__xludf.DUMMYFUNCTION("IFERROR(MAX(FILTER($G$2:$G1115, $A$2:$A1115=A67, $E$2:$E1115=E67, $P$2:$P1115=TRUE)), """")"),"")</f>
        <v/>
      </c>
      <c r="T67" s="613" t="n"/>
      <c r="U67" s="613" t="n"/>
      <c r="V67" s="613">
        <f>IFERROR(__xludf.DUMMYFUNCTION("MIN(FILTER($G$2:$G1115,$A$2:$A1115=A67,$E$2:$E1115=E67))"),-1999.0)</f>
        <v/>
      </c>
    </row>
    <row r="68">
      <c r="A68" s="454">
        <f>LEFT(B68,1)&amp;UPPER(LEFT(MID(B68,FIND(" ",B68)+1,LEN(B68)),3))&amp;C68</f>
        <v/>
      </c>
      <c r="B68" s="590" t="inlineStr">
        <is>
          <t>Missy Cundiff</t>
        </is>
      </c>
      <c r="C68" s="590" t="n">
        <v>1999</v>
      </c>
      <c r="D68" s="590" t="inlineStr">
        <is>
          <t>F</t>
        </is>
      </c>
      <c r="E68" s="590" t="inlineStr">
        <is>
          <t>50 Free</t>
        </is>
      </c>
      <c r="G68" s="590">
        <f>F68-C68</f>
        <v/>
      </c>
      <c r="H68" s="517" t="n"/>
      <c r="I68" s="457">
        <f>IFERROR(__xludf.DUMMYFUNCTION("LET(
  gen,$D68, ev,$E68, t,$H68,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68" s="458">
        <f>IFERROR(__xludf.DUMMYFUNCTION("MIN(FILTER($H$2:$H1115,$A$2:$A1115=A68,$E$2:$E1115=E68))"),0.0)</f>
        <v/>
      </c>
      <c r="K68" s="457">
        <f>IFERROR(__xludf.DUMMYFUNCTION("MAX(FILTER($I$2:$I1115,$A$2:$A1115=A68,$E$2:$E1115=E68))"),"#DIV/0!")</f>
        <v/>
      </c>
      <c r="L68" s="457">
        <f>IFERROR(INDEX(F:F,MATCH(J68&amp;A68&amp;E68,H:H&amp;A:A&amp;E:E,0)),"")</f>
        <v/>
      </c>
      <c r="M68" s="457">
        <f>IF(AND(L68&lt;&gt;"",C68&lt;&gt;""), L68-C68, "")</f>
        <v/>
      </c>
      <c r="N68" s="709">
        <f>IFERROR(__xludf.DUMMYFUNCTION("IFERROR(
  MAX(
    FILTER(
      $I$2:$I1115,
      $A$2:$A1115=A68,
      $E$2:$E1115=E68,
      $G$2:$G1115 &gt;= G68-1,
      $G$2:$G1115 &lt;= G68+1
    )
  ),
  """"
)"),"")</f>
        <v/>
      </c>
      <c r="O68" s="460">
        <f>1-N68/K68</f>
        <v/>
      </c>
      <c r="P68" s="590">
        <f>AND(
O68 &lt;= 0.05,
(
COUNTIFS($A$2:$A1180, A68, $E$2:$E1180, E68, $G$2:$G1180, G68, $O$2:$O1180, "&lt;=0.05") +
COUNTIFS($A$2:$A1180, A68, $E$2:$E1180, E68, $G$2:$G1180, G68-1, $O$2:$O1180, "&lt;=0.05") +
COUNTIFS($A$2:$A1180, A68, $E$2:$E1180, E68, $G$2:$G1180, G68+1, $O$2:$O1180, "&lt;=0.05")
) &gt;= 
2)</f>
        <v/>
      </c>
      <c r="Q68" s="457" t="n"/>
      <c r="R68" s="457">
        <f>IFERROR(__xludf.DUMMYFUNCTION("IFERROR(MIN(FILTER($G$2:$G1115, $A$2:$A1115=A68, $E$2:$E1115=E68, $P$2:$P1115=TRUE)), """")"),"")</f>
        <v/>
      </c>
      <c r="S68" s="457">
        <f>IFERROR(__xludf.DUMMYFUNCTION("IFERROR(MAX(FILTER($G$2:$G1115, $A$2:$A1115=A68, $E$2:$E1115=E68, $P$2:$P1115=TRUE)), """")"),"")</f>
        <v/>
      </c>
      <c r="T68" s="590" t="n"/>
      <c r="U68" s="590" t="n"/>
      <c r="V68" s="590">
        <f>IFERROR(__xludf.DUMMYFUNCTION("MIN(FILTER($G$2:$G1115,$A$2:$A1115=A68,$E$2:$E1115=E68))"),-1999.0)</f>
        <v/>
      </c>
    </row>
    <row r="69">
      <c r="A69" s="454">
        <f>LEFT(B69,1)&amp;UPPER(LEFT(MID(B69,FIND(" ",B69)+1,LEN(B69)),3))&amp;C69</f>
        <v/>
      </c>
      <c r="B69" s="613" t="inlineStr">
        <is>
          <t>Missy Cundiff</t>
        </is>
      </c>
      <c r="C69" s="613" t="n">
        <v>1999</v>
      </c>
      <c r="D69" s="613" t="inlineStr">
        <is>
          <t>F</t>
        </is>
      </c>
      <c r="E69" s="613" t="inlineStr">
        <is>
          <t>50 Free</t>
        </is>
      </c>
      <c r="G69" s="613">
        <f>F69-C69</f>
        <v/>
      </c>
      <c r="H69" s="505" t="n"/>
      <c r="I69" s="457">
        <f>IFERROR(__xludf.DUMMYFUNCTION("LET(
  gen,$D69, ev,$E69, t,$H69,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69" s="458">
        <f>IFERROR(__xludf.DUMMYFUNCTION("MIN(FILTER($H$2:$H1115,$A$2:$A1115=A69,$E$2:$E1115=E69))"),0.0)</f>
        <v/>
      </c>
      <c r="K69" s="457">
        <f>IFERROR(__xludf.DUMMYFUNCTION("MAX(FILTER($I$2:$I1115,$A$2:$A1115=A69,$E$2:$E1115=E69))"),"#DIV/0!")</f>
        <v/>
      </c>
      <c r="L69" s="457">
        <f>IFERROR(INDEX(F:F,MATCH(J69&amp;A69&amp;E69,H:H&amp;A:A&amp;E:E,0)),"")</f>
        <v/>
      </c>
      <c r="M69" s="457">
        <f>IF(AND(L69&lt;&gt;"",C69&lt;&gt;""), L69-C69, "")</f>
        <v/>
      </c>
      <c r="N69" s="704">
        <f>IFERROR(__xludf.DUMMYFUNCTION("IFERROR(
  MAX(
    FILTER(
      $I$2:$I1115,
      $A$2:$A1115=A69,
      $E$2:$E1115=E69,
      $G$2:$G1115 &gt;= G69-1,
      $G$2:$G1115 &lt;= G69+1
    )
  ),
  """"
)"),"")</f>
        <v/>
      </c>
      <c r="O69" s="464">
        <f>1-N69/K69</f>
        <v/>
      </c>
      <c r="P69" s="613">
        <f>AND(
O69 &lt;= 0.05,
(
COUNTIFS($A$2:$A1181, A69, $E$2:$E1181, E69, $G$2:$G1181, G69, $O$2:$O1181, "&lt;=0.05") +
COUNTIFS($A$2:$A1181, A69, $E$2:$E1181, E69, $G$2:$G1181, G69-1, $O$2:$O1181, "&lt;=0.05") +
COUNTIFS($A$2:$A1181, A69, $E$2:$E1181, E69, $G$2:$G1181, G69+1, $O$2:$O1181, "&lt;=0.05")
) &gt;= 
2)</f>
        <v/>
      </c>
      <c r="Q69" s="457" t="n"/>
      <c r="R69" s="457">
        <f>IFERROR(__xludf.DUMMYFUNCTION("IFERROR(MIN(FILTER($G$2:$G1115, $A$2:$A1115=A69, $E$2:$E1115=E69, $P$2:$P1115=TRUE)), """")"),"")</f>
        <v/>
      </c>
      <c r="S69" s="457">
        <f>IFERROR(__xludf.DUMMYFUNCTION("IFERROR(MAX(FILTER($G$2:$G1115, $A$2:$A1115=A69, $E$2:$E1115=E69, $P$2:$P1115=TRUE)), """")"),"")</f>
        <v/>
      </c>
      <c r="T69" s="613" t="n"/>
      <c r="U69" s="613" t="n"/>
      <c r="V69" s="613">
        <f>IFERROR(__xludf.DUMMYFUNCTION("MIN(FILTER($G$2:$G1115,$A$2:$A1115=A69,$E$2:$E1115=E69))"),-1999.0)</f>
        <v/>
      </c>
    </row>
    <row r="70">
      <c r="A70" s="454">
        <f>LEFT(B70,1)&amp;UPPER(LEFT(MID(B70,FIND(" ",B70)+1,LEN(B70)),3))&amp;C70</f>
        <v/>
      </c>
      <c r="B70" s="590" t="inlineStr">
        <is>
          <t>Missy Cundiff</t>
        </is>
      </c>
      <c r="C70" s="590" t="n">
        <v>1999</v>
      </c>
      <c r="D70" s="590" t="inlineStr">
        <is>
          <t>F</t>
        </is>
      </c>
      <c r="E70" s="590" t="inlineStr">
        <is>
          <t>50 Free</t>
        </is>
      </c>
      <c r="G70" s="590">
        <f>F70-C70</f>
        <v/>
      </c>
      <c r="H70" s="517" t="n"/>
      <c r="I70" s="457">
        <f>IFERROR(__xludf.DUMMYFUNCTION("LET(
  gen,$D70, ev,$E70, t,$H70,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70" s="458">
        <f>IFERROR(__xludf.DUMMYFUNCTION("MIN(FILTER($H$2:$H1115,$A$2:$A1115=A70,$E$2:$E1115=E70))"),0.0)</f>
        <v/>
      </c>
      <c r="K70" s="457">
        <f>IFERROR(__xludf.DUMMYFUNCTION("MAX(FILTER($I$2:$I1115,$A$2:$A1115=A70,$E$2:$E1115=E70))"),"#DIV/0!")</f>
        <v/>
      </c>
      <c r="L70" s="457">
        <f>IFERROR(INDEX(F:F,MATCH(J70&amp;A70&amp;E70,H:H&amp;A:A&amp;E:E,0)),"")</f>
        <v/>
      </c>
      <c r="M70" s="457">
        <f>IF(AND(L70&lt;&gt;"",C70&lt;&gt;""), L70-C70, "")</f>
        <v/>
      </c>
      <c r="N70" s="709">
        <f>IFERROR(__xludf.DUMMYFUNCTION("IFERROR(
  MAX(
    FILTER(
      $I$2:$I1115,
      $A$2:$A1115=A70,
      $E$2:$E1115=E70,
      $G$2:$G1115 &gt;= G70-1,
      $G$2:$G1115 &lt;= G70+1
    )
  ),
  """"
)"),"")</f>
        <v/>
      </c>
      <c r="O70" s="460">
        <f>1-N70/K70</f>
        <v/>
      </c>
      <c r="P70" s="590">
        <f>AND(
O70 &lt;= 0.05,
(
COUNTIFS($A$2:$A1182, A70, $E$2:$E1182, E70, $G$2:$G1182, G70, $O$2:$O1182, "&lt;=0.05") +
COUNTIFS($A$2:$A1182, A70, $E$2:$E1182, E70, $G$2:$G1182, G70-1, $O$2:$O1182, "&lt;=0.05") +
COUNTIFS($A$2:$A1182, A70, $E$2:$E1182, E70, $G$2:$G1182, G70+1, $O$2:$O1182, "&lt;=0.05")
) &gt;= 
2)</f>
        <v/>
      </c>
      <c r="Q70" s="457" t="n"/>
      <c r="R70" s="457">
        <f>IFERROR(__xludf.DUMMYFUNCTION("IFERROR(MIN(FILTER($G$2:$G1115, $A$2:$A1115=A70, $E$2:$E1115=E70, $P$2:$P1115=TRUE)), """")"),"")</f>
        <v/>
      </c>
      <c r="S70" s="457">
        <f>IFERROR(__xludf.DUMMYFUNCTION("IFERROR(MAX(FILTER($G$2:$G1115, $A$2:$A1115=A70, $E$2:$E1115=E70, $P$2:$P1115=TRUE)), """")"),"")</f>
        <v/>
      </c>
      <c r="T70" s="590" t="n"/>
      <c r="U70" s="590" t="n"/>
      <c r="V70" s="590">
        <f>IFERROR(__xludf.DUMMYFUNCTION("MIN(FILTER($G$2:$G1115,$A$2:$A1115=A70,$E$2:$E1115=E70))"),-1999.0)</f>
        <v/>
      </c>
    </row>
    <row r="71">
      <c r="A71" s="454">
        <f>LEFT(B71,1)&amp;UPPER(LEFT(MID(B71,FIND(" ",B71)+1,LEN(B71)),3))&amp;C71</f>
        <v/>
      </c>
      <c r="B71" s="613" t="inlineStr">
        <is>
          <t>Missy Cundiff</t>
        </is>
      </c>
      <c r="C71" s="613" t="n">
        <v>1999</v>
      </c>
      <c r="D71" s="613" t="inlineStr">
        <is>
          <t>F</t>
        </is>
      </c>
      <c r="E71" s="613" t="inlineStr">
        <is>
          <t>50 Free</t>
        </is>
      </c>
      <c r="G71" s="613">
        <f>F71-C71</f>
        <v/>
      </c>
      <c r="H71" s="505" t="n"/>
      <c r="I71" s="457">
        <f>IFERROR(__xludf.DUMMYFUNCTION("LET(
  gen,$D71, ev,$E71, t,$H71,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71" s="458">
        <f>IFERROR(__xludf.DUMMYFUNCTION("MIN(FILTER($H$2:$H1115,$A$2:$A1115=A71,$E$2:$E1115=E71))"),0.0)</f>
        <v/>
      </c>
      <c r="K71" s="457">
        <f>IFERROR(__xludf.DUMMYFUNCTION("MAX(FILTER($I$2:$I1115,$A$2:$A1115=A71,$E$2:$E1115=E71))"),"#DIV/0!")</f>
        <v/>
      </c>
      <c r="L71" s="457">
        <f>IFERROR(INDEX(F:F,MATCH(J71&amp;A71&amp;E71,H:H&amp;A:A&amp;E:E,0)),"")</f>
        <v/>
      </c>
      <c r="M71" s="457">
        <f>IF(AND(L71&lt;&gt;"",C71&lt;&gt;""), L71-C71, "")</f>
        <v/>
      </c>
      <c r="N71" s="704">
        <f>IFERROR(__xludf.DUMMYFUNCTION("IFERROR(
  MAX(
    FILTER(
      $I$2:$I1115,
      $A$2:$A1115=A71,
      $E$2:$E1115=E71,
      $G$2:$G1115 &gt;= G71-1,
      $G$2:$G1115 &lt;= G71+1
    )
  ),
  """"
)"),"")</f>
        <v/>
      </c>
      <c r="O71" s="464">
        <f>1-N71/K71</f>
        <v/>
      </c>
      <c r="P71" s="613">
        <f>AND(
O71 &lt;= 0.05,
(
COUNTIFS($A$2:$A1183, A71, $E$2:$E1183, E71, $G$2:$G1183, G71, $O$2:$O1183, "&lt;=0.05") +
COUNTIFS($A$2:$A1183, A71, $E$2:$E1183, E71, $G$2:$G1183, G71-1, $O$2:$O1183, "&lt;=0.05") +
COUNTIFS($A$2:$A1183, A71, $E$2:$E1183, E71, $G$2:$G1183, G71+1, $O$2:$O1183, "&lt;=0.05")
) &gt;= 
2)</f>
        <v/>
      </c>
      <c r="Q71" s="457" t="n"/>
      <c r="R71" s="457">
        <f>IFERROR(__xludf.DUMMYFUNCTION("IFERROR(MIN(FILTER($G$2:$G1115, $A$2:$A1115=A71, $E$2:$E1115=E71, $P$2:$P1115=TRUE)), """")"),"")</f>
        <v/>
      </c>
      <c r="S71" s="457">
        <f>IFERROR(__xludf.DUMMYFUNCTION("IFERROR(MAX(FILTER($G$2:$G1115, $A$2:$A1115=A71, $E$2:$E1115=E71, $P$2:$P1115=TRUE)), """")"),"")</f>
        <v/>
      </c>
      <c r="T71" s="613" t="n"/>
      <c r="U71" s="613" t="n"/>
      <c r="V71" s="613">
        <f>IFERROR(__xludf.DUMMYFUNCTION("MIN(FILTER($G$2:$G1115,$A$2:$A1115=A71,$E$2:$E1115=E71))"),-1999.0)</f>
        <v/>
      </c>
    </row>
    <row r="72">
      <c r="A72" s="454">
        <f>LEFT(B72,1)&amp;UPPER(LEFT(MID(B72,FIND(" ",B72)+1,LEN(B72)),3))&amp;C72</f>
        <v/>
      </c>
      <c r="B72" s="590" t="inlineStr">
        <is>
          <t>Missy Cundiff</t>
        </is>
      </c>
      <c r="C72" s="590" t="n">
        <v>1999</v>
      </c>
      <c r="D72" s="590" t="inlineStr">
        <is>
          <t>F</t>
        </is>
      </c>
      <c r="E72" s="590" t="inlineStr">
        <is>
          <t>50 Free</t>
        </is>
      </c>
      <c r="G72" s="590">
        <f>F72-C72</f>
        <v/>
      </c>
      <c r="H72" s="517" t="n"/>
      <c r="I72" s="457">
        <f>IFERROR(__xludf.DUMMYFUNCTION("LET(
  gen,$D72, ev,$E72, t,$H72,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72" s="458">
        <f>IFERROR(__xludf.DUMMYFUNCTION("MIN(FILTER($H$2:$H1115,$A$2:$A1115=A72,$E$2:$E1115=E72))"),0.0)</f>
        <v/>
      </c>
      <c r="K72" s="457">
        <f>IFERROR(__xludf.DUMMYFUNCTION("MAX(FILTER($I$2:$I1115,$A$2:$A1115=A72,$E$2:$E1115=E72))"),"#DIV/0!")</f>
        <v/>
      </c>
      <c r="L72" s="457">
        <f>IFERROR(INDEX(F:F,MATCH(J72&amp;A72&amp;E72,H:H&amp;A:A&amp;E:E,0)),"")</f>
        <v/>
      </c>
      <c r="M72" s="457">
        <f>IF(AND(L72&lt;&gt;"",C72&lt;&gt;""), L72-C72, "")</f>
        <v/>
      </c>
      <c r="N72" s="709">
        <f>IFERROR(__xludf.DUMMYFUNCTION("IFERROR(
  MAX(
    FILTER(
      $I$2:$I1115,
      $A$2:$A1115=A72,
      $E$2:$E1115=E72,
      $G$2:$G1115 &gt;= G72-1,
      $G$2:$G1115 &lt;= G72+1
    )
  ),
  """"
)"),"")</f>
        <v/>
      </c>
      <c r="O72" s="460">
        <f>1-N72/K72</f>
        <v/>
      </c>
      <c r="P72" s="590">
        <f>AND(
O72 &lt;= 0.05,
(
COUNTIFS($A$2:$A1184, A72, $E$2:$E1184, E72, $G$2:$G1184, G72, $O$2:$O1184, "&lt;=0.05") +
COUNTIFS($A$2:$A1184, A72, $E$2:$E1184, E72, $G$2:$G1184, G72-1, $O$2:$O1184, "&lt;=0.05") +
COUNTIFS($A$2:$A1184, A72, $E$2:$E1184, E72, $G$2:$G1184, G72+1, $O$2:$O1184, "&lt;=0.05")
) &gt;= 
2)</f>
        <v/>
      </c>
      <c r="Q72" s="457" t="n"/>
      <c r="R72" s="457">
        <f>IFERROR(__xludf.DUMMYFUNCTION("IFERROR(MIN(FILTER($G$2:$G1115, $A$2:$A1115=A72, $E$2:$E1115=E72, $P$2:$P1115=TRUE)), """")"),"")</f>
        <v/>
      </c>
      <c r="S72" s="457">
        <f>IFERROR(__xludf.DUMMYFUNCTION("IFERROR(MAX(FILTER($G$2:$G1115, $A$2:$A1115=A72, $E$2:$E1115=E72, $P$2:$P1115=TRUE)), """")"),"")</f>
        <v/>
      </c>
      <c r="T72" s="590" t="n"/>
      <c r="U72" s="590" t="n"/>
      <c r="V72" s="590">
        <f>IFERROR(__xludf.DUMMYFUNCTION("MIN(FILTER($G$2:$G1115,$A$2:$A1115=A72,$E$2:$E1115=E72))"),-1999.0)</f>
        <v/>
      </c>
    </row>
    <row r="73">
      <c r="A73" s="454">
        <f>LEFT(B73,1)&amp;UPPER(LEFT(MID(B73,FIND(" ",B73)+1,LEN(B73)),3))&amp;C73</f>
        <v/>
      </c>
      <c r="B73" s="613" t="inlineStr">
        <is>
          <t>Missy Cundiff</t>
        </is>
      </c>
      <c r="C73" s="613" t="n">
        <v>1999</v>
      </c>
      <c r="D73" s="613" t="inlineStr">
        <is>
          <t>F</t>
        </is>
      </c>
      <c r="E73" s="613" t="inlineStr">
        <is>
          <t>50 Free</t>
        </is>
      </c>
      <c r="G73" s="613">
        <f>F73-C73</f>
        <v/>
      </c>
      <c r="H73" s="505" t="n"/>
      <c r="I73" s="457">
        <f>IFERROR(__xludf.DUMMYFUNCTION("LET(
  gen,$D73, ev,$E73, t,$H73,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73" s="458">
        <f>IFERROR(__xludf.DUMMYFUNCTION("MIN(FILTER($H$2:$H1115,$A$2:$A1115=A73,$E$2:$E1115=E73))"),0.0)</f>
        <v/>
      </c>
      <c r="K73" s="457">
        <f>IFERROR(__xludf.DUMMYFUNCTION("MAX(FILTER($I$2:$I1115,$A$2:$A1115=A73,$E$2:$E1115=E73))"),"#DIV/0!")</f>
        <v/>
      </c>
      <c r="L73" s="457">
        <f>IFERROR(INDEX(F:F,MATCH(J73&amp;A73&amp;E73,H:H&amp;A:A&amp;E:E,0)),"")</f>
        <v/>
      </c>
      <c r="M73" s="457">
        <f>IF(AND(L73&lt;&gt;"",C73&lt;&gt;""), L73-C73, "")</f>
        <v/>
      </c>
      <c r="N73" s="704">
        <f>IFERROR(__xludf.DUMMYFUNCTION("IFERROR(
  MAX(
    FILTER(
      $I$2:$I1115,
      $A$2:$A1115=A73,
      $E$2:$E1115=E73,
      $G$2:$G1115 &gt;= G73-1,
      $G$2:$G1115 &lt;= G73+1
    )
  ),
  """"
)"),"")</f>
        <v/>
      </c>
      <c r="O73" s="464">
        <f>1-N73/K73</f>
        <v/>
      </c>
      <c r="P73" s="613">
        <f>AND(
O73 &lt;= 0.05,
(
COUNTIFS($A$2:$A1185, A73, $E$2:$E1185, E73, $G$2:$G1185, G73, $O$2:$O1185, "&lt;=0.05") +
COUNTIFS($A$2:$A1185, A73, $E$2:$E1185, E73, $G$2:$G1185, G73-1, $O$2:$O1185, "&lt;=0.05") +
COUNTIFS($A$2:$A1185, A73, $E$2:$E1185, E73, $G$2:$G1185, G73+1, $O$2:$O1185, "&lt;=0.05")
) &gt;= 
2)</f>
        <v/>
      </c>
      <c r="Q73" s="457" t="n"/>
      <c r="R73" s="457">
        <f>IFERROR(__xludf.DUMMYFUNCTION("IFERROR(MIN(FILTER($G$2:$G1115, $A$2:$A1115=A73, $E$2:$E1115=E73, $P$2:$P1115=TRUE)), """")"),"")</f>
        <v/>
      </c>
      <c r="S73" s="457">
        <f>IFERROR(__xludf.DUMMYFUNCTION("IFERROR(MAX(FILTER($G$2:$G1115, $A$2:$A1115=A73, $E$2:$E1115=E73, $P$2:$P1115=TRUE)), """")"),"")</f>
        <v/>
      </c>
      <c r="T73" s="613" t="n"/>
      <c r="U73" s="613" t="n"/>
      <c r="V73" s="613">
        <f>IFERROR(__xludf.DUMMYFUNCTION("MIN(FILTER($G$2:$G1115,$A$2:$A1115=A73,$E$2:$E1115=E73))"),-1999.0)</f>
        <v/>
      </c>
    </row>
    <row r="74">
      <c r="A74" s="454">
        <f>LEFT(B74,1)&amp;UPPER(LEFT(MID(B74,FIND(" ",B74)+1,LEN(B74)),3))&amp;C74</f>
        <v/>
      </c>
      <c r="B74" s="590" t="inlineStr">
        <is>
          <t>Missy Cundiff</t>
        </is>
      </c>
      <c r="C74" s="590" t="n">
        <v>1999</v>
      </c>
      <c r="D74" s="590" t="inlineStr">
        <is>
          <t>F</t>
        </is>
      </c>
      <c r="E74" s="590" t="inlineStr">
        <is>
          <t>50 Free</t>
        </is>
      </c>
      <c r="G74" s="590">
        <f>F74-C74</f>
        <v/>
      </c>
      <c r="H74" s="517" t="n"/>
      <c r="I74" s="457">
        <f>IFERROR(__xludf.DUMMYFUNCTION("LET(
  gen,$D74, ev,$E74, t,$H74,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)"),"#DIV/0!")</f>
        <v/>
      </c>
      <c r="J74" s="458">
        <f>IFERROR(__xludf.DUMMYFUNCTION("MIN(FILTER($H$2:$H1115,$A$2:$A1115=A74,$E$2:$E1115=E74))"),0.0)</f>
        <v/>
      </c>
      <c r="K74" s="457">
        <f>IFERROR(__xludf.DUMMYFUNCTION("MAX(FILTER($I$2:$I1115,$A$2:$A1115=A74,$E$2:$E1115=E74))"),"#DIV/0!")</f>
        <v/>
      </c>
      <c r="L74" s="457">
        <f>IFERROR(INDEX(F:F,MATCH(J74&amp;A74&amp;E74,H:H&amp;A:A&amp;E:E,0)),"")</f>
        <v/>
      </c>
      <c r="M74" s="457">
        <f>IF(AND(L74&lt;&gt;"",C74&lt;&gt;""), L74-C74, "")</f>
        <v/>
      </c>
      <c r="N74" s="709">
        <f>IFERROR(__xludf.DUMMYFUNCTION("IFERROR(
  MAX(
    FILTER(
      $I$2:$I1115,
      $A$2:$A1115=A74,
      $E$2:$E1115=E74,
      $G$2:$G1115 &gt;= G74-1,
      $G$2:$G1115 &lt;= G74+1
    )
  ),
  """"
)"),"")</f>
        <v/>
      </c>
      <c r="O74" s="460">
        <f>1-N74/K74</f>
        <v/>
      </c>
      <c r="P74" s="590">
        <f>AND(
O74 &lt;= 0.05,
(
COUNTIFS($A$2:$A1186, A74, $E$2:$E1186, E74, $G$2:$G1186, G74, $O$2:$O1186, "&lt;=0.05") +
COUNTIFS($A$2:$A1186, A74, $E$2:$E1186, E74, $G$2:$G1186, G74-1, $O$2:$O1186, "&lt;=0.05") +
COUNTIFS($A$2:$A1186, A74, $E$2:$E1186, E74, $G$2:$G1186, G74+1, $O$2:$O1186, "&lt;=0.05")
) &gt;= 
2)</f>
        <v/>
      </c>
      <c r="Q74" s="457" t="n"/>
      <c r="R74" s="457">
        <f>IFERROR(__xludf.DUMMYFUNCTION("IFERROR(MIN(FILTER($G$2:$G1115, $A$2:$A1115=A74, $E$2:$E1115=E74, $P$2:$P1115=TRUE)), """")"),"")</f>
        <v/>
      </c>
      <c r="S74" s="457">
        <f>IFERROR(__xludf.DUMMYFUNCTION("IFERROR(MAX(FILTER($G$2:$G1115, $A$2:$A1115=A74, $E$2:$E1115=E74, $P$2:$P1115=TRUE)), """")"),"")</f>
        <v/>
      </c>
      <c r="T74" s="590" t="n"/>
      <c r="U74" s="590" t="n"/>
      <c r="V74" s="590">
        <f>IFERROR(__xludf.DUMMYFUNCTION("MIN(FILTER($G$2:$G1115,$A$2:$A1115=A74,$E$2:$E1115=E74))"),-1999.0)</f>
        <v/>
      </c>
    </row>
    <row r="75">
      <c r="A75" s="454">
        <f>LEFT(B75,1)&amp;UPPER(LEFT(MID(B75,FIND(" ",B75)+1,LEN(B75)),3))&amp;C75</f>
        <v/>
      </c>
      <c r="B75" s="613" t="inlineStr">
        <is>
          <t>Natalie Coughlin</t>
        </is>
      </c>
      <c r="C75" s="613" t="n">
        <v>1982</v>
      </c>
      <c r="D75" s="613" t="inlineStr">
        <is>
          <t>F</t>
        </is>
      </c>
      <c r="E75" s="613" t="inlineStr">
        <is>
          <t>50 Free</t>
        </is>
      </c>
      <c r="F75" s="613" t="n">
        <v>2013</v>
      </c>
      <c r="G75" s="613">
        <f>F75-C75</f>
        <v/>
      </c>
      <c r="H75" s="505" t="n">
        <v>24.9</v>
      </c>
      <c r="I75" s="457">
        <f>IFERROR(__xludf.DUMMYFUNCTION("LET(
  gen,$D75, ev,$E75, t,$H75,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)"),852.0)</f>
        <v/>
      </c>
      <c r="J75" s="458">
        <f>IFERROR(__xludf.DUMMYFUNCTION("MIN(FILTER($H$2:$H1115,$A$2:$A1115=A75,$E$2:$E1115=E75))"),24.9)</f>
        <v/>
      </c>
      <c r="K75" s="457">
        <f>IFERROR(__xludf.DUMMYFUNCTION("MAX(FILTER($I$2:$I1115,$A$2:$A1115=A75,$E$2:$E1115=E75))"),852.0)</f>
        <v/>
      </c>
      <c r="L75" s="457">
        <f>IFERROR(INDEX(F:F,MATCH(J75&amp;A75&amp;E75,H:H&amp;A:A&amp;E:E,0)),"")</f>
        <v/>
      </c>
      <c r="M75" s="457">
        <f>IF(AND(L75&lt;&gt;"",C75&lt;&gt;""), L75-C75, "")</f>
        <v/>
      </c>
      <c r="N75" s="704">
        <f>IFERROR(__xludf.DUMMYFUNCTION("IFERROR(
  MAX(
    FILTER(
      $I$2:$I1115,
      $A$2:$A1115=A75,
      $E$2:$E1115=E75,
      $G$2:$G1115 &gt;= G75-1,
      $G$2:$G1115 &lt;= G75+1
    )
  ),
  """"
)"),852.0)</f>
        <v/>
      </c>
      <c r="O75" s="464">
        <f>1-N75/K75</f>
        <v/>
      </c>
      <c r="P75" s="613">
        <f>AND(
O75 &lt;= 0.05,
(
COUNTIFS($A$2:$A1187, A75, $E$2:$E1187, E75, $G$2:$G1187, G75, $O$2:$O1187, "&lt;=0.05") +
COUNTIFS($A$2:$A1187, A75, $E$2:$E1187, E75, $G$2:$G1187, G75-1, $O$2:$O1187, "&lt;=0.05") +
COUNTIFS($A$2:$A1187, A75, $E$2:$E1187, E75, $G$2:$G1187, G75+1, $O$2:$O1187, "&lt;=0.05")
) &gt;= 
2)</f>
        <v/>
      </c>
      <c r="Q75" s="457" t="n"/>
      <c r="R75" s="457">
        <f>IFERROR(__xludf.DUMMYFUNCTION("IFERROR(MIN(FILTER($G$2:$G1115, $A$2:$A1115=A75, $E$2:$E1115=E75, $P$2:$P1115=TRUE)), """")"),"")</f>
        <v/>
      </c>
      <c r="S75" s="457">
        <f>IFERROR(__xludf.DUMMYFUNCTION("IFERROR(MAX(FILTER($G$2:$G1115, $A$2:$A1115=A75, $E$2:$E1115=E75, $P$2:$P1115=TRUE)), """")"),"")</f>
        <v/>
      </c>
      <c r="T75" s="613" t="n"/>
      <c r="U75" s="613" t="n"/>
      <c r="V75" s="613">
        <f>IFERROR(__xludf.DUMMYFUNCTION("MIN(FILTER($G$2:$G1115,$A$2:$A1115=A75,$E$2:$E1115=E75))"),31.0)</f>
        <v/>
      </c>
    </row>
    <row r="76">
      <c r="A76" s="454">
        <f>LEFT(B76,1)&amp;UPPER(LEFT(MID(B76,FIND(" ",B76)+1,LEN(B76)),3))&amp;C76</f>
        <v/>
      </c>
      <c r="B76" s="590" t="inlineStr">
        <is>
          <t>Olivia Smoliga</t>
        </is>
      </c>
      <c r="C76" s="590" t="n">
        <v>1994</v>
      </c>
      <c r="D76" s="590" t="inlineStr">
        <is>
          <t>F</t>
        </is>
      </c>
      <c r="E76" s="590" t="inlineStr">
        <is>
          <t>50 Free</t>
        </is>
      </c>
      <c r="F76" s="590" t="n">
        <v>2013</v>
      </c>
      <c r="G76" s="590">
        <f>F76-C76</f>
        <v/>
      </c>
      <c r="H76" s="517" t="n">
        <v>25.66</v>
      </c>
      <c r="I76" s="457">
        <f>IFERROR(__xludf.DUMMYFUNCTION("LET(
  gen,$D76, ev,$E76, t,$H76,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)"),778.0)</f>
        <v/>
      </c>
      <c r="J76" s="458">
        <f>IFERROR(__xludf.DUMMYFUNCTION("MIN(FILTER($H$2:$H1115,$A$2:$A1115=A76,$E$2:$E1115=E76))"),25.66)</f>
        <v/>
      </c>
      <c r="K76" s="457">
        <f>IFERROR(__xludf.DUMMYFUNCTION("MAX(FILTER($I$2:$I1115,$A$2:$A1115=A76,$E$2:$E1115=E76))"),778.0)</f>
        <v/>
      </c>
      <c r="L76" s="457">
        <f>IFERROR(INDEX(F:F,MATCH(J76&amp;A76&amp;E76,H:H&amp;A:A&amp;E:E,0)),"")</f>
        <v/>
      </c>
      <c r="M76" s="457">
        <f>IF(AND(L76&lt;&gt;"",C76&lt;&gt;""), L76-C76, "")</f>
        <v/>
      </c>
      <c r="N76" s="709">
        <f>IFERROR(__xludf.DUMMYFUNCTION("IFERROR(
  MAX(
    FILTER(
      $I$2:$I1115,
      $A$2:$A1115=A76,
      $E$2:$E1115=E76,
      $G$2:$G1115 &gt;= G76-1,
      $G$2:$G1115 &lt;= G76+1
    )
  ),
  """"
)"),778.0)</f>
        <v/>
      </c>
      <c r="O76" s="460">
        <f>1-N76/K76</f>
        <v/>
      </c>
      <c r="P76" s="590">
        <f>AND(
O76 &lt;= 0.05,
(
COUNTIFS($A$2:$A1188, A76, $E$2:$E1188, E76, $G$2:$G1188, G76, $O$2:$O1188, "&lt;=0.05") +
COUNTIFS($A$2:$A1188, A76, $E$2:$E1188, E76, $G$2:$G1188, G76-1, $O$2:$O1188, "&lt;=0.05") +
COUNTIFS($A$2:$A1188, A76, $E$2:$E1188, E76, $G$2:$G1188, G76+1, $O$2:$O1188, "&lt;=0.05")
) &gt;= 
2)</f>
        <v/>
      </c>
      <c r="Q76" s="457" t="n"/>
      <c r="R76" s="457">
        <f>IFERROR(__xludf.DUMMYFUNCTION("IFERROR(MIN(FILTER($G$2:$G1115, $A$2:$A1115=A76, $E$2:$E1115=E76, $P$2:$P1115=TRUE)), """")"),"")</f>
        <v/>
      </c>
      <c r="S76" s="457">
        <f>IFERROR(__xludf.DUMMYFUNCTION("IFERROR(MAX(FILTER($G$2:$G1115, $A$2:$A1115=A76, $E$2:$E1115=E76, $P$2:$P1115=TRUE)), """")"),"")</f>
        <v/>
      </c>
      <c r="T76" s="590" t="n"/>
      <c r="U76" s="590" t="n"/>
      <c r="V76" s="590">
        <f>IFERROR(__xludf.DUMMYFUNCTION("MIN(FILTER($G$2:$G1115,$A$2:$A1115=A76,$E$2:$E1115=E76))"),19.0)</f>
        <v/>
      </c>
    </row>
    <row r="77">
      <c r="A77" s="454">
        <f>LEFT(B77,1)&amp;UPPER(LEFT(MID(B77,FIND(" ",B77)+1,LEN(B77)),3))&amp;C77</f>
        <v/>
      </c>
      <c r="B77" s="613" t="inlineStr">
        <is>
          <t>Rhi Jeffrey</t>
        </is>
      </c>
      <c r="C77" s="613" t="n">
        <v>1986</v>
      </c>
      <c r="D77" s="613" t="inlineStr">
        <is>
          <t>F</t>
        </is>
      </c>
      <c r="E77" s="613" t="inlineStr">
        <is>
          <t>50 Free</t>
        </is>
      </c>
      <c r="F77" s="613" t="n">
        <v>2000</v>
      </c>
      <c r="G77" s="613">
        <f>F77-C77</f>
        <v/>
      </c>
      <c r="H77" s="505" t="n">
        <v>26.78</v>
      </c>
      <c r="I77" s="457">
        <f>IFERROR(__xludf.DUMMYFUNCTION("LET(
  gen,$D77, ev,$E77, t,$H77,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)"),685.0)</f>
        <v/>
      </c>
      <c r="J77" s="458">
        <f>IFERROR(__xludf.DUMMYFUNCTION("MIN(FILTER($H$2:$H1115,$A$2:$A1115=A77,$E$2:$E1115=E77))"),25.47)</f>
        <v/>
      </c>
      <c r="K77" s="457">
        <f>IFERROR(__xludf.DUMMYFUNCTION("MAX(FILTER($I$2:$I1115,$A$2:$A1115=A77,$E$2:$E1115=E77))"),796.0)</f>
        <v/>
      </c>
      <c r="L77" s="457">
        <f>IFERROR(INDEX(F:F,MATCH(J77&amp;A77&amp;E77,H:H&amp;A:A&amp;E:E,0)),"")</f>
        <v/>
      </c>
      <c r="M77" s="457">
        <f>IF(AND(L77&lt;&gt;"",C77&lt;&gt;""), L77-C77, "")</f>
        <v/>
      </c>
      <c r="N77" s="704">
        <f>IFERROR(__xludf.DUMMYFUNCTION("IFERROR(
  MAX(
    FILTER(
      $I$2:$I1115,
      $A$2:$A1115=A77,
      $E$2:$E1115=E77,
      $G$2:$G1115 &gt;= G77-1,
      $G$2:$G1115 &lt;= G77+1
    )
  ),
  """"
)"),720.0)</f>
        <v/>
      </c>
      <c r="O77" s="464">
        <f>1-N77/K77</f>
        <v/>
      </c>
      <c r="P77" s="613">
        <f>AND(
O77 &lt;= 0.05,
(
COUNTIFS($A$2:$A1189, A77, $E$2:$E1189, E77, $G$2:$G1189, G77, $O$2:$O1189, "&lt;=0.05") +
COUNTIFS($A$2:$A1189, A77, $E$2:$E1189, E77, $G$2:$G1189, G77-1, $O$2:$O1189, "&lt;=0.05") +
COUNTIFS($A$2:$A1189, A77, $E$2:$E1189, E77, $G$2:$G1189, G77+1, $O$2:$O1189, "&lt;=0.05")
) &gt;= 
2)</f>
        <v/>
      </c>
      <c r="Q77" s="457" t="n"/>
      <c r="R77" s="457">
        <f>IFERROR(__xludf.DUMMYFUNCTION("IFERROR(MIN(FILTER($G$2:$G1115, $A$2:$A1115=A77, $E$2:$E1115=E77, $P$2:$P1115=TRUE)), """")"),18.0)</f>
        <v/>
      </c>
      <c r="S77" s="457">
        <f>IFERROR(__xludf.DUMMYFUNCTION("IFERROR(MAX(FILTER($G$2:$G1115, $A$2:$A1115=A77, $E$2:$E1115=E77, $P$2:$P1115=TRUE)), """")"),27.0)</f>
        <v/>
      </c>
      <c r="T77" s="613" t="n"/>
      <c r="U77" s="613" t="n"/>
      <c r="V77" s="613">
        <f>IFERROR(__xludf.DUMMYFUNCTION("MIN(FILTER($G$2:$G1115,$A$2:$A1115=A77,$E$2:$E1115=E77))"),13.0)</f>
        <v/>
      </c>
    </row>
    <row r="78">
      <c r="A78" s="454">
        <f>LEFT(B78,1)&amp;UPPER(LEFT(MID(B78,FIND(" ",B78)+1,LEN(B78)),3))&amp;C78</f>
        <v/>
      </c>
      <c r="B78" s="590" t="inlineStr">
        <is>
          <t>Simone Manuel</t>
        </is>
      </c>
      <c r="C78" s="590" t="n">
        <v>1996</v>
      </c>
      <c r="D78" s="590" t="inlineStr">
        <is>
          <t>F</t>
        </is>
      </c>
      <c r="E78" s="590" t="inlineStr">
        <is>
          <t>50 Free</t>
        </is>
      </c>
      <c r="F78" s="590" t="n">
        <v>2013</v>
      </c>
      <c r="G78" s="590">
        <f>F78-C78</f>
        <v/>
      </c>
      <c r="H78" s="517" t="n">
        <v>24.8</v>
      </c>
      <c r="I78" s="457">
        <f>IFERROR(__xludf.DUMMYFUNCTION("LET(
  gen,$D78, ev,$E78, t,$H78,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)"),862.0)</f>
        <v/>
      </c>
      <c r="J78" s="458">
        <f>IFERROR(__xludf.DUMMYFUNCTION("MIN(FILTER($H$2:$H1115,$A$2:$A1115=A78,$E$2:$E1115=E78))"),24.8)</f>
        <v/>
      </c>
      <c r="K78" s="457">
        <f>IFERROR(__xludf.DUMMYFUNCTION("MAX(FILTER($I$2:$I1115,$A$2:$A1115=A78,$E$2:$E1115=E78))"),862.0)</f>
        <v/>
      </c>
      <c r="L78" s="457">
        <f>IFERROR(INDEX(F:F,MATCH(J78&amp;A78&amp;E78,H:H&amp;A:A&amp;E:E,0)),"")</f>
        <v/>
      </c>
      <c r="M78" s="457">
        <f>IF(AND(L78&lt;&gt;"",C78&lt;&gt;""), L78-C78, "")</f>
        <v/>
      </c>
      <c r="N78" s="709">
        <f>IFERROR(__xludf.DUMMYFUNCTION("IFERROR(
  MAX(
    FILTER(
      $I$2:$I1115,
      $A$2:$A1115=A78,
      $E$2:$E1115=E78,
      $G$2:$G1115 &gt;= G78-1,
      $G$2:$G1115 &lt;= G78+1
    )
  ),
  """"
)"),862.0)</f>
        <v/>
      </c>
      <c r="O78" s="460">
        <f>1-N78/K78</f>
        <v/>
      </c>
      <c r="P78" s="590">
        <f>AND(
O78 &lt;= 0.05,
(
COUNTIFS($A$2:$A1190, A78, $E$2:$E1190, E78, $G$2:$G1190, G78, $O$2:$O1190, "&lt;=0.05") +
COUNTIFS($A$2:$A1190, A78, $E$2:$E1190, E78, $G$2:$G1190, G78-1, $O$2:$O1190, "&lt;=0.05") +
COUNTIFS($A$2:$A1190, A78, $E$2:$E1190, E78, $G$2:$G1190, G78+1, $O$2:$O1190, "&lt;=0.05")
) &gt;= 
2)</f>
        <v/>
      </c>
      <c r="Q78" s="457" t="n"/>
      <c r="R78" s="457">
        <f>IFERROR(__xludf.DUMMYFUNCTION("IFERROR(MIN(FILTER($G$2:$G1115, $A$2:$A1115=A78, $E$2:$E1115=E78, $P$2:$P1115=TRUE)), """")"),"")</f>
        <v/>
      </c>
      <c r="S78" s="457">
        <f>IFERROR(__xludf.DUMMYFUNCTION("IFERROR(MAX(FILTER($G$2:$G1115, $A$2:$A1115=A78, $E$2:$E1115=E78, $P$2:$P1115=TRUE)), """")"),"")</f>
        <v/>
      </c>
      <c r="T78" s="590" t="n"/>
      <c r="U78" s="590" t="n"/>
      <c r="V78" s="590">
        <f>IFERROR(__xludf.DUMMYFUNCTION("MIN(FILTER($G$2:$G1115,$A$2:$A1115=A78,$E$2:$E1115=E78))"),17.0)</f>
        <v/>
      </c>
    </row>
    <row r="79">
      <c r="A79" s="454">
        <f>LEFT(B79,1)&amp;UPPER(LEFT(MID(B79,FIND(" ",B79)+1,LEN(B79)),3))&amp;C79</f>
        <v/>
      </c>
      <c r="B79" s="613" t="inlineStr">
        <is>
          <t>Rhi Jeffrey</t>
        </is>
      </c>
      <c r="C79" s="613" t="n">
        <v>1986</v>
      </c>
      <c r="D79" s="613" t="inlineStr">
        <is>
          <t>F</t>
        </is>
      </c>
      <c r="E79" s="613" t="inlineStr">
        <is>
          <t>50 Free</t>
        </is>
      </c>
      <c r="F79" s="613" t="n">
        <v>1999</v>
      </c>
      <c r="G79" s="613">
        <f>F79-C79</f>
        <v/>
      </c>
      <c r="H79" s="505" t="n">
        <v>27.2</v>
      </c>
      <c r="I79" s="457">
        <f>IFERROR(__xludf.DUMMYFUNCTION("LET(
  gen,$D79, ev,$E79, t,$H79,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)"),654.0)</f>
        <v/>
      </c>
      <c r="J79" s="458">
        <f>IFERROR(__xludf.DUMMYFUNCTION("MIN(FILTER($H$2:$H1115,$A$2:$A1115=A79,$E$2:$E1115=E79))"),25.47)</f>
        <v/>
      </c>
      <c r="K79" s="457">
        <f>IFERROR(__xludf.DUMMYFUNCTION("MAX(FILTER($I$2:$I1115,$A$2:$A1115=A79,$E$2:$E1115=E79))"),796.0)</f>
        <v/>
      </c>
      <c r="L79" s="457">
        <f>IFERROR(INDEX(F:F,MATCH(J79&amp;A79&amp;E79,H:H&amp;A:A&amp;E:E,0)),"")</f>
        <v/>
      </c>
      <c r="M79" s="457">
        <f>IF(AND(L79&lt;&gt;"",C79&lt;&gt;""), L79-C79, "")</f>
        <v/>
      </c>
      <c r="N79" s="704">
        <f>IFERROR(__xludf.DUMMYFUNCTION("IFERROR(
  MAX(
    FILTER(
      $I$2:$I1115,
      $A$2:$A1115=A79,
      $E$2:$E1115=E79,
      $G$2:$G1115 &gt;= G79-1,
      $G$2:$G1115 &lt;= G79+1
    )
  ),
  """"
)"),685.0)</f>
        <v/>
      </c>
      <c r="O79" s="464">
        <f>1-N79/K79</f>
        <v/>
      </c>
      <c r="P79" s="613">
        <f>AND(
O79 &lt;= 0.05,
(
COUNTIFS($A$2:$A1191, A79, $E$2:$E1191, E79, $G$2:$G1191, G79, $O$2:$O1191, "&lt;=0.05") +
COUNTIFS($A$2:$A1191, A79, $E$2:$E1191, E79, $G$2:$G1191, G79-1, $O$2:$O1191, "&lt;=0.05") +
COUNTIFS($A$2:$A1191, A79, $E$2:$E1191, E79, $G$2:$G1191, G79+1, $O$2:$O1191, "&lt;=0.05")
) &gt;= 
2)</f>
        <v/>
      </c>
      <c r="Q79" s="457" t="n"/>
      <c r="R79" s="457">
        <f>IFERROR(__xludf.DUMMYFUNCTION("IFERROR(MIN(FILTER($G$2:$G1115, $A$2:$A1115=A79, $E$2:$E1115=E79, $P$2:$P1115=TRUE)), """")"),18.0)</f>
        <v/>
      </c>
      <c r="S79" s="457">
        <f>IFERROR(__xludf.DUMMYFUNCTION("IFERROR(MAX(FILTER($G$2:$G1115, $A$2:$A1115=A79, $E$2:$E1115=E79, $P$2:$P1115=TRUE)), """")"),27.0)</f>
        <v/>
      </c>
      <c r="T79" s="613" t="n"/>
      <c r="U79" s="613" t="n"/>
      <c r="V79" s="613">
        <f>IFERROR(__xludf.DUMMYFUNCTION("MIN(FILTER($G$2:$G1115,$A$2:$A1115=A79,$E$2:$E1115=E79))"),13.0)</f>
        <v/>
      </c>
    </row>
    <row r="80">
      <c r="A80" s="454">
        <f>LEFT(B80,1)&amp;UPPER(LEFT(MID(B80,FIND(" ",B80)+1,LEN(B80)),3))&amp;C80</f>
        <v/>
      </c>
      <c r="B80" s="590" t="inlineStr">
        <is>
          <t>Rhi Jeffrey</t>
        </is>
      </c>
      <c r="C80" s="590" t="n">
        <v>1986</v>
      </c>
      <c r="D80" s="590" t="inlineStr">
        <is>
          <t>F</t>
        </is>
      </c>
      <c r="E80" s="590" t="inlineStr">
        <is>
          <t>50 Free</t>
        </is>
      </c>
      <c r="F80" s="590" t="n">
        <v>2001</v>
      </c>
      <c r="G80" s="590">
        <f>F80-C80</f>
        <v/>
      </c>
      <c r="H80" s="517" t="n">
        <v>26.34</v>
      </c>
      <c r="I80" s="457">
        <f>IFERROR(__xludf.DUMMYFUNCTION("LET(
  gen,$D80, ev,$E80, t,$H80,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)"),720.0)</f>
        <v/>
      </c>
      <c r="J80" s="458">
        <f>IFERROR(__xludf.DUMMYFUNCTION("MIN(FILTER($H$2:$H1115,$A$2:$A1115=A80,$E$2:$E1115=E80))"),25.47)</f>
        <v/>
      </c>
      <c r="K80" s="457">
        <f>IFERROR(__xludf.DUMMYFUNCTION("MAX(FILTER($I$2:$I1115,$A$2:$A1115=A80,$E$2:$E1115=E80))"),796.0)</f>
        <v/>
      </c>
      <c r="L80" s="457">
        <f>IFERROR(INDEX(F:F,MATCH(J80&amp;A80&amp;E80,H:H&amp;A:A&amp;E:E,0)),"")</f>
        <v/>
      </c>
      <c r="M80" s="457">
        <f>IF(AND(L80&lt;&gt;"",C80&lt;&gt;""), L80-C80, "")</f>
        <v/>
      </c>
      <c r="N80" s="709">
        <f>IFERROR(__xludf.DUMMYFUNCTION("IFERROR(
  MAX(
    FILTER(
      $I$2:$I1115,
      $A$2:$A1115=A80,
      $E$2:$E1115=E80,
      $G$2:$G1115 &gt;= G80-1,
      $G$2:$G1115 &lt;= G80+1
    )
  ),
  """"
)"),737.0)</f>
        <v/>
      </c>
      <c r="O80" s="460">
        <f>1-N80/K80</f>
        <v/>
      </c>
      <c r="P80" s="590">
        <f>AND(
O80 &lt;= 0.05,
(
COUNTIFS($A$2:$A1192, A80, $E$2:$E1192, E80, $G$2:$G1192, G80, $O$2:$O1192, "&lt;=0.05") +
COUNTIFS($A$2:$A1192, A80, $E$2:$E1192, E80, $G$2:$G1192, G80-1, $O$2:$O1192, "&lt;=0.05") +
COUNTIFS($A$2:$A1192, A80, $E$2:$E1192, E80, $G$2:$G1192, G80+1, $O$2:$O1192, "&lt;=0.05")
) &gt;= 
2)</f>
        <v/>
      </c>
      <c r="Q80" s="457" t="n"/>
      <c r="R80" s="457">
        <f>IFERROR(__xludf.DUMMYFUNCTION("IFERROR(MIN(FILTER($G$2:$G1115, $A$2:$A1115=A80, $E$2:$E1115=E80, $P$2:$P1115=TRUE)), """")"),18.0)</f>
        <v/>
      </c>
      <c r="S80" s="457">
        <f>IFERROR(__xludf.DUMMYFUNCTION("IFERROR(MAX(FILTER($G$2:$G1115, $A$2:$A1115=A80, $E$2:$E1115=E80, $P$2:$P1115=TRUE)), """")"),27.0)</f>
        <v/>
      </c>
      <c r="T80" s="590" t="n"/>
      <c r="U80" s="590" t="n"/>
      <c r="V80" s="590">
        <f>IFERROR(__xludf.DUMMYFUNCTION("MIN(FILTER($G$2:$G1115,$A$2:$A1115=A80,$E$2:$E1115=E80))"),13.0)</f>
        <v/>
      </c>
    </row>
    <row r="81">
      <c r="A81" s="454">
        <f>LEFT(B81,1)&amp;UPPER(LEFT(MID(B81,FIND(" ",B81)+1,LEN(B81)),3))&amp;C81</f>
        <v/>
      </c>
      <c r="B81" s="613" t="inlineStr">
        <is>
          <t>Rhi Jeffrey</t>
        </is>
      </c>
      <c r="C81" s="613" t="n">
        <v>1986</v>
      </c>
      <c r="D81" s="613" t="inlineStr">
        <is>
          <t>F</t>
        </is>
      </c>
      <c r="E81" s="613" t="inlineStr">
        <is>
          <t>50 Free</t>
        </is>
      </c>
      <c r="F81" s="613" t="n">
        <v>2002</v>
      </c>
      <c r="G81" s="613">
        <f>F81-C81</f>
        <v/>
      </c>
      <c r="H81" s="505" t="n">
        <v>26.13</v>
      </c>
      <c r="I81" s="457">
        <f>IFERROR(__xludf.DUMMYFUNCTION("LET(
  gen,$D81, ev,$E81, t,$H81,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)"),737.0)</f>
        <v/>
      </c>
      <c r="J81" s="458">
        <f>IFERROR(__xludf.DUMMYFUNCTION("MIN(FILTER($H$2:$H1115,$A$2:$A1115=A81,$E$2:$E1115=E81))"),25.47)</f>
        <v/>
      </c>
      <c r="K81" s="457">
        <f>IFERROR(__xludf.DUMMYFUNCTION("MAX(FILTER($I$2:$I1115,$A$2:$A1115=A81,$E$2:$E1115=E81))"),796.0)</f>
        <v/>
      </c>
      <c r="L81" s="457">
        <f>IFERROR(INDEX(F:F,MATCH(J81&amp;A81&amp;E81,H:H&amp;A:A&amp;E:E,0)),"")</f>
        <v/>
      </c>
      <c r="M81" s="457">
        <f>IF(AND(L81&lt;&gt;"",C81&lt;&gt;""), L81-C81, "")</f>
        <v/>
      </c>
      <c r="N81" s="704">
        <f>IFERROR(__xludf.DUMMYFUNCTION("IFERROR(
  MAX(
    FILTER(
      $I$2:$I1115,
      $A$2:$A1115=A81,
      $E$2:$E1115=E81,
      $G$2:$G1115 &gt;= G81-1,
      $G$2:$G1115 &lt;= G81+1
    )
  ),
  """"
)"),754.0)</f>
        <v/>
      </c>
      <c r="O81" s="464">
        <f>1-N81/K81</f>
        <v/>
      </c>
      <c r="P81" s="613">
        <f>AND(
O81 &lt;= 0.05,
(
COUNTIFS($A$2:$A1193, A81, $E$2:$E1193, E81, $G$2:$G1193, G81, $O$2:$O1193, "&lt;=0.05") +
COUNTIFS($A$2:$A1193, A81, $E$2:$E1193, E81, $G$2:$G1193, G81-1, $O$2:$O1193, "&lt;=0.05") +
COUNTIFS($A$2:$A1193, A81, $E$2:$E1193, E81, $G$2:$G1193, G81+1, $O$2:$O1193, "&lt;=0.05")
) &gt;= 
2)</f>
        <v/>
      </c>
      <c r="Q81" s="457" t="n"/>
      <c r="R81" s="457">
        <f>IFERROR(__xludf.DUMMYFUNCTION("IFERROR(MIN(FILTER($G$2:$G1115, $A$2:$A1115=A81, $E$2:$E1115=E81, $P$2:$P1115=TRUE)), """")"),18.0)</f>
        <v/>
      </c>
      <c r="S81" s="457">
        <f>IFERROR(__xludf.DUMMYFUNCTION("IFERROR(MAX(FILTER($G$2:$G1115, $A$2:$A1115=A81, $E$2:$E1115=E81, $P$2:$P1115=TRUE)), """")"),27.0)</f>
        <v/>
      </c>
      <c r="T81" s="613" t="n"/>
      <c r="U81" s="613" t="n"/>
      <c r="V81" s="613">
        <f>IFERROR(__xludf.DUMMYFUNCTION("MIN(FILTER($G$2:$G1115,$A$2:$A1115=A81,$E$2:$E1115=E81))"),13.0)</f>
        <v/>
      </c>
    </row>
    <row r="82">
      <c r="A82" s="454">
        <f>LEFT(B82,1)&amp;UPPER(LEFT(MID(B82,FIND(" ",B82)+1,LEN(B82)),3))&amp;C82</f>
        <v/>
      </c>
      <c r="B82" s="590" t="inlineStr">
        <is>
          <t>Rhi Jeffrey</t>
        </is>
      </c>
      <c r="C82" s="590" t="n">
        <v>1986</v>
      </c>
      <c r="D82" s="590" t="inlineStr">
        <is>
          <t>F</t>
        </is>
      </c>
      <c r="E82" s="590" t="inlineStr">
        <is>
          <t>50 Free</t>
        </is>
      </c>
      <c r="F82" s="590" t="n">
        <v>2003</v>
      </c>
      <c r="G82" s="590">
        <f>F82-C82</f>
        <v/>
      </c>
      <c r="H82" s="517" t="n">
        <v>25.93</v>
      </c>
      <c r="I82" s="457">
        <f>IFERROR(__xludf.DUMMYFUNCTION("LET(
  gen,$D82, ev,$E82, t,$H82,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)"),754.0)</f>
        <v/>
      </c>
      <c r="J82" s="458">
        <f>IFERROR(__xludf.DUMMYFUNCTION("MIN(FILTER($H$2:$H1115,$A$2:$A1115=A82,$E$2:$E1115=E82))"),25.47)</f>
        <v/>
      </c>
      <c r="K82" s="457">
        <f>IFERROR(__xludf.DUMMYFUNCTION("MAX(FILTER($I$2:$I1115,$A$2:$A1115=A82,$E$2:$E1115=E82))"),796.0)</f>
        <v/>
      </c>
      <c r="L82" s="457">
        <f>IFERROR(INDEX(F:F,MATCH(J82&amp;A82&amp;E82,H:H&amp;A:A&amp;E:E,0)),"")</f>
        <v/>
      </c>
      <c r="M82" s="457">
        <f>IF(AND(L82&lt;&gt;"",C82&lt;&gt;""), L82-C82, "")</f>
        <v/>
      </c>
      <c r="N82" s="709">
        <f>IFERROR(__xludf.DUMMYFUNCTION("IFERROR(
  MAX(
    FILTER(
      $I$2:$I1115,
      $A$2:$A1115=A82,
      $E$2:$E1115=E82,
      $G$2:$G1115 &gt;= G82-1,
      $G$2:$G1115 &lt;= G82+1
    )
  ),
  """"
)"),754.0)</f>
        <v/>
      </c>
      <c r="O82" s="460">
        <f>1-N82/K82</f>
        <v/>
      </c>
      <c r="P82" s="590">
        <f>AND(
O82 &lt;= 0.05,
(
COUNTIFS($A$2:$A1194, A82, $E$2:$E1194, E82, $G$2:$G1194, G82, $O$2:$O1194, "&lt;=0.05") +
COUNTIFS($A$2:$A1194, A82, $E$2:$E1194, E82, $G$2:$G1194, G82-1, $O$2:$O1194, "&lt;=0.05") +
COUNTIFS($A$2:$A1194, A82, $E$2:$E1194, E82, $G$2:$G1194, G82+1, $O$2:$O1194, "&lt;=0.05")
) &gt;= 
2)</f>
        <v/>
      </c>
      <c r="Q82" s="457" t="n"/>
      <c r="R82" s="457">
        <f>IFERROR(__xludf.DUMMYFUNCTION("IFERROR(MIN(FILTER($G$2:$G1115, $A$2:$A1115=A82, $E$2:$E1115=E82, $P$2:$P1115=TRUE)), """")"),18.0)</f>
        <v/>
      </c>
      <c r="S82" s="457">
        <f>IFERROR(__xludf.DUMMYFUNCTION("IFERROR(MAX(FILTER($G$2:$G1115, $A$2:$A1115=A82, $E$2:$E1115=E82, $P$2:$P1115=TRUE)), """")"),27.0)</f>
        <v/>
      </c>
      <c r="T82" s="590" t="n"/>
      <c r="U82" s="590" t="n"/>
      <c r="V82" s="590">
        <f>IFERROR(__xludf.DUMMYFUNCTION("MIN(FILTER($G$2:$G1115,$A$2:$A1115=A82,$E$2:$E1115=E82))"),13.0)</f>
        <v/>
      </c>
    </row>
    <row r="83">
      <c r="A83" s="454">
        <f>LEFT(B83,1)&amp;UPPER(LEFT(MID(B83,FIND(" ",B83)+1,LEN(B83)),3))&amp;C83</f>
        <v/>
      </c>
      <c r="B83" s="613" t="inlineStr">
        <is>
          <t>Rhi Jeffrey</t>
        </is>
      </c>
      <c r="C83" s="613" t="n">
        <v>1986</v>
      </c>
      <c r="D83" s="613" t="inlineStr">
        <is>
          <t>F</t>
        </is>
      </c>
      <c r="E83" s="613" t="inlineStr">
        <is>
          <t>50 Free</t>
        </is>
      </c>
      <c r="F83" s="613" t="n">
        <v>2004</v>
      </c>
      <c r="G83" s="613">
        <f>F83-C83</f>
        <v/>
      </c>
      <c r="H83" s="505" t="n">
        <v>26.29</v>
      </c>
      <c r="I83" s="457">
        <f>IFERROR(__xludf.DUMMYFUNCTION("LET(
  gen,$D83, ev,$E83, t,$H83,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)"),724.0)</f>
        <v/>
      </c>
      <c r="J83" s="458">
        <f>IFERROR(__xludf.DUMMYFUNCTION("MIN(FILTER($H$2:$H1115,$A$2:$A1115=A83,$E$2:$E1115=E83))"),25.47)</f>
        <v/>
      </c>
      <c r="K83" s="457">
        <f>IFERROR(__xludf.DUMMYFUNCTION("MAX(FILTER($I$2:$I1115,$A$2:$A1115=A83,$E$2:$E1115=E83))"),796.0)</f>
        <v/>
      </c>
      <c r="L83" s="457">
        <f>IFERROR(INDEX(F:F,MATCH(J83&amp;A83&amp;E83,H:H&amp;A:A&amp;E:E,0)),"")</f>
        <v/>
      </c>
      <c r="M83" s="457">
        <f>IF(AND(L83&lt;&gt;"",C83&lt;&gt;""), L83-C83, "")</f>
        <v/>
      </c>
      <c r="N83" s="704">
        <f>IFERROR(__xludf.DUMMYFUNCTION("IFERROR(
  MAX(
    FILTER(
      $I$2:$I1115,
      $A$2:$A1115=A83,
      $E$2:$E1115=E83,
      $G$2:$G1115 &gt;= G83-1,
      $G$2:$G1115 &lt;= G83+1
    )
  ),
  """"
)"),760.0)</f>
        <v/>
      </c>
      <c r="O83" s="464">
        <f>1-N83/K83</f>
        <v/>
      </c>
      <c r="P83" s="613">
        <f>AND(
O83 &lt;= 0.05,
(
COUNTIFS($A$2:$A1195, A83, $E$2:$E1195, E83, $G$2:$G1195, G83, $O$2:$O1195, "&lt;=0.05") +
COUNTIFS($A$2:$A1195, A83, $E$2:$E1195, E83, $G$2:$G1195, G83-1, $O$2:$O1195, "&lt;=0.05") +
COUNTIFS($A$2:$A1195, A83, $E$2:$E1195, E83, $G$2:$G1195, G83+1, $O$2:$O1195, "&lt;=0.05")
) &gt;= 
2)</f>
        <v/>
      </c>
      <c r="Q83" s="457" t="n"/>
      <c r="R83" s="457">
        <f>IFERROR(__xludf.DUMMYFUNCTION("IFERROR(MIN(FILTER($G$2:$G1115, $A$2:$A1115=A83, $E$2:$E1115=E83, $P$2:$P1115=TRUE)), """")"),18.0)</f>
        <v/>
      </c>
      <c r="S83" s="457">
        <f>IFERROR(__xludf.DUMMYFUNCTION("IFERROR(MAX(FILTER($G$2:$G1115, $A$2:$A1115=A83, $E$2:$E1115=E83, $P$2:$P1115=TRUE)), """")"),27.0)</f>
        <v/>
      </c>
      <c r="T83" s="613" t="n"/>
      <c r="U83" s="613" t="n"/>
      <c r="V83" s="613">
        <f>IFERROR(__xludf.DUMMYFUNCTION("MIN(FILTER($G$2:$G1115,$A$2:$A1115=A83,$E$2:$E1115=E83))"),13.0)</f>
        <v/>
      </c>
    </row>
    <row r="84">
      <c r="A84" s="454">
        <f>LEFT(B84,1)&amp;UPPER(LEFT(MID(B84,FIND(" ",B84)+1,LEN(B84)),3))&amp;C84</f>
        <v/>
      </c>
      <c r="B84" s="590" t="inlineStr">
        <is>
          <t>Rhi Jeffrey</t>
        </is>
      </c>
      <c r="C84" s="590" t="n">
        <v>1986</v>
      </c>
      <c r="D84" s="590" t="inlineStr">
        <is>
          <t>F</t>
        </is>
      </c>
      <c r="E84" s="590" t="inlineStr">
        <is>
          <t>50 Free</t>
        </is>
      </c>
      <c r="F84" s="590" t="n">
        <v>2005</v>
      </c>
      <c r="G84" s="590">
        <f>F84-C84</f>
        <v/>
      </c>
      <c r="H84" s="517" t="n">
        <v>25.87</v>
      </c>
      <c r="I84" s="457">
        <f>IFERROR(__xludf.DUMMYFUNCTION("LET(
  gen,$D84, ev,$E84, t,$H84,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J84" s="458">
        <f>IFERROR(__xludf.DUMMYFUNCTION("MIN(FILTER($H$2:$H1115,$A$2:$A1115=A84,$E$2:$E1115=E84))"),25.47)</f>
        <v/>
      </c>
      <c r="K84" s="457">
        <f>IFERROR(__xludf.DUMMYFUNCTION("MAX(FILTER($I$2:$I1115,$A$2:$A1115=A84,$E$2:$E1115=E84))"),796.0)</f>
        <v/>
      </c>
      <c r="L84" s="457">
        <f>IFERROR(INDEX(F:F,MATCH(J84&amp;A84&amp;E84,H:H&amp;A:A&amp;E:E,0)),"")</f>
        <v/>
      </c>
      <c r="M84" s="457">
        <f>IF(AND(L84&lt;&gt;"",C84&lt;&gt;""), L84-C84, "")</f>
        <v/>
      </c>
      <c r="N84" s="709">
        <f>IFERROR(__xludf.DUMMYFUNCTION("IFERROR(
  MAX(
    FILTER(
      $I$2:$I1115,
      $A$2:$A1115=A84,
      $E$2:$E1115=E84,
      $G$2:$G1115 &gt;= G84-1,
      $G$2:$G1115 &lt;= G84+1
    )
  ),
  """"
)"),796.0)</f>
        <v/>
      </c>
      <c r="O84" s="460">
        <f>1-N84/K84</f>
        <v/>
      </c>
      <c r="P84" s="590">
        <f>AND(
O84 &lt;= 0.05,
(
COUNTIFS($A$2:$A1196, A84, $E$2:$E1196, E84, $G$2:$G1196, G84, $O$2:$O1196, "&lt;=0.05") +
COUNTIFS($A$2:$A1196, A84, $E$2:$E1196, E84, $G$2:$G1196, G84-1, $O$2:$O1196, "&lt;=0.05") +
COUNTIFS($A$2:$A1196, A84, $E$2:$E1196, E84, $G$2:$G1196, G84+1, $O$2:$O1196, "&lt;=0.05")
) &gt;= 
2)</f>
        <v/>
      </c>
      <c r="Q84" s="457" t="n"/>
      <c r="R84" s="457">
        <f>IFERROR(__xludf.DUMMYFUNCTION("IFERROR(MIN(FILTER($G$2:$G1115, $A$2:$A1115=A84, $E$2:$E1115=E84, $P$2:$P1115=TRUE)), """")"),18.0)</f>
        <v/>
      </c>
      <c r="S84" s="457">
        <f>IFERROR(__xludf.DUMMYFUNCTION("IFERROR(MAX(FILTER($G$2:$G1115, $A$2:$A1115=A84, $E$2:$E1115=E84, $P$2:$P1115=TRUE)), """")"),27.0)</f>
        <v/>
      </c>
      <c r="T84" s="590" t="n"/>
      <c r="U84" s="590" t="n"/>
      <c r="V84" s="590">
        <f>IFERROR(__xludf.DUMMYFUNCTION("MIN(FILTER($G$2:$G1115,$A$2:$A1115=A84,$E$2:$E1115=E84))"),13.0)</f>
        <v/>
      </c>
    </row>
    <row r="85">
      <c r="A85" s="454">
        <f>LEFT(B85,1)&amp;UPPER(LEFT(MID(B85,FIND(" ",B85)+1,LEN(B85)),3))&amp;C85</f>
        <v/>
      </c>
      <c r="B85" s="613" t="inlineStr">
        <is>
          <t>Rhi Jeffrey</t>
        </is>
      </c>
      <c r="C85" s="613" t="n">
        <v>1986</v>
      </c>
      <c r="D85" s="613" t="inlineStr">
        <is>
          <t>F</t>
        </is>
      </c>
      <c r="E85" s="613" t="inlineStr">
        <is>
          <t>50 Free</t>
        </is>
      </c>
      <c r="F85" s="613" t="n">
        <v>2006</v>
      </c>
      <c r="G85" s="613">
        <f>F85-C85</f>
        <v/>
      </c>
      <c r="H85" s="505" t="n">
        <v>25.47</v>
      </c>
      <c r="I85" s="457">
        <f>IFERROR(__xludf.DUMMYFUNCTION("LET(
  gen,$D85, ev,$E85, t,$H85,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)"),796.0)</f>
        <v/>
      </c>
      <c r="J85" s="458">
        <f>IFERROR(__xludf.DUMMYFUNCTION("MIN(FILTER($H$2:$H1115,$A$2:$A1115=A85,$E$2:$E1115=E85))"),25.47)</f>
        <v/>
      </c>
      <c r="K85" s="457">
        <f>IFERROR(__xludf.DUMMYFUNCTION("MAX(FILTER($I$2:$I1115,$A$2:$A1115=A85,$E$2:$E1115=E85))"),796.0)</f>
        <v/>
      </c>
      <c r="L85" s="457">
        <f>IFERROR(INDEX(F:F,MATCH(J85&amp;A85&amp;E85,H:H&amp;A:A&amp;E:E,0)),"")</f>
        <v/>
      </c>
      <c r="M85" s="457">
        <f>IF(AND(L85&lt;&gt;"",C85&lt;&gt;""), L85-C85, "")</f>
        <v/>
      </c>
      <c r="N85" s="704">
        <f>IFERROR(__xludf.DUMMYFUNCTION("IFERROR(
  MAX(
    FILTER(
      $I$2:$I1115,
      $A$2:$A1115=A85,
      $E$2:$E1115=E85,
      $G$2:$G1115 &gt;= G85-1,
      $G$2:$G1115 &lt;= G85+1
    )
  ),
  """"
)"),796.0)</f>
        <v/>
      </c>
      <c r="O85" s="464">
        <f>1-N85/K85</f>
        <v/>
      </c>
      <c r="P85" s="613">
        <f>AND(
O85 &lt;= 0.05,
(
COUNTIFS($A$2:$A1197, A85, $E$2:$E1197, E85, $G$2:$G1197, G85, $O$2:$O1197, "&lt;=0.05") +
COUNTIFS($A$2:$A1197, A85, $E$2:$E1197, E85, $G$2:$G1197, G85-1, $O$2:$O1197, "&lt;=0.05") +
COUNTIFS($A$2:$A1197, A85, $E$2:$E1197, E85, $G$2:$G1197, G85+1, $O$2:$O1197, "&lt;=0.05")
) &gt;= 
2)</f>
        <v/>
      </c>
      <c r="Q85" s="457" t="n"/>
      <c r="R85" s="457">
        <f>IFERROR(__xludf.DUMMYFUNCTION("IFERROR(MIN(FILTER($G$2:$G1115, $A$2:$A1115=A85, $E$2:$E1115=E85, $P$2:$P1115=TRUE)), """")"),18.0)</f>
        <v/>
      </c>
      <c r="S85" s="457">
        <f>IFERROR(__xludf.DUMMYFUNCTION("IFERROR(MAX(FILTER($G$2:$G1115, $A$2:$A1115=A85, $E$2:$E1115=E85, $P$2:$P1115=TRUE)), """")"),27.0)</f>
        <v/>
      </c>
      <c r="T85" s="613" t="n"/>
      <c r="U85" s="613" t="n"/>
      <c r="V85" s="613">
        <f>IFERROR(__xludf.DUMMYFUNCTION("MIN(FILTER($G$2:$G1115,$A$2:$A1115=A85,$E$2:$E1115=E85))"),13.0)</f>
        <v/>
      </c>
    </row>
    <row r="86">
      <c r="A86" s="454">
        <f>LEFT(B86,1)&amp;UPPER(LEFT(MID(B86,FIND(" ",B86)+1,LEN(B86)),3))&amp;C86</f>
        <v/>
      </c>
      <c r="B86" s="590" t="inlineStr">
        <is>
          <t>Rhi Jeffrey</t>
        </is>
      </c>
      <c r="C86" s="590" t="n">
        <v>1986</v>
      </c>
      <c r="D86" s="590" t="inlineStr">
        <is>
          <t>F</t>
        </is>
      </c>
      <c r="E86" s="590" t="inlineStr">
        <is>
          <t>50 Free</t>
        </is>
      </c>
      <c r="F86" s="590" t="n">
        <v>2007</v>
      </c>
      <c r="G86" s="590">
        <f>F86-C86</f>
        <v/>
      </c>
      <c r="H86" s="517" t="n">
        <v>25.93</v>
      </c>
      <c r="I86" s="457">
        <f>IFERROR(__xludf.DUMMYFUNCTION("LET(
  gen,$D86, ev,$E86, t,$H86,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)"),754.0)</f>
        <v/>
      </c>
      <c r="J86" s="458">
        <f>IFERROR(__xludf.DUMMYFUNCTION("MIN(FILTER($H$2:$H1115,$A$2:$A1115=A86,$E$2:$E1115=E86))"),25.47)</f>
        <v/>
      </c>
      <c r="K86" s="457">
        <f>IFERROR(__xludf.DUMMYFUNCTION("MAX(FILTER($I$2:$I1115,$A$2:$A1115=A86,$E$2:$E1115=E86))"),796.0)</f>
        <v/>
      </c>
      <c r="L86" s="457">
        <f>IFERROR(INDEX(F:F,MATCH(J86&amp;A86&amp;E86,H:H&amp;A:A&amp;E:E,0)),"")</f>
        <v/>
      </c>
      <c r="M86" s="457">
        <f>IF(AND(L86&lt;&gt;"",C86&lt;&gt;""), L86-C86, "")</f>
        <v/>
      </c>
      <c r="N86" s="709">
        <f>IFERROR(__xludf.DUMMYFUNCTION("IFERROR(
  MAX(
    FILTER(
      $I$2:$I1115,
      $A$2:$A1115=A86,
      $E$2:$E1115=E86,
      $G$2:$G1115 &gt;= G86-1,
      $G$2:$G1115 &lt;= G86+1
    )
  ),
  """"
)"),796.0)</f>
        <v/>
      </c>
      <c r="O86" s="460">
        <f>1-N86/K86</f>
        <v/>
      </c>
      <c r="P86" s="590">
        <f>AND(
O86 &lt;= 0.05,
(
COUNTIFS($A$2:$A1198, A86, $E$2:$E1198, E86, $G$2:$G1198, G86, $O$2:$O1198, "&lt;=0.05") +
COUNTIFS($A$2:$A1198, A86, $E$2:$E1198, E86, $G$2:$G1198, G86-1, $O$2:$O1198, "&lt;=0.05") +
COUNTIFS($A$2:$A1198, A86, $E$2:$E1198, E86, $G$2:$G1198, G86+1, $O$2:$O1198, "&lt;=0.05")
) &gt;= 
2)</f>
        <v/>
      </c>
      <c r="Q86" s="457" t="n"/>
      <c r="R86" s="457">
        <f>IFERROR(__xludf.DUMMYFUNCTION("IFERROR(MIN(FILTER($G$2:$G1115, $A$2:$A1115=A86, $E$2:$E1115=E86, $P$2:$P1115=TRUE)), """")"),18.0)</f>
        <v/>
      </c>
      <c r="S86" s="457">
        <f>IFERROR(__xludf.DUMMYFUNCTION("IFERROR(MAX(FILTER($G$2:$G1115, $A$2:$A1115=A86, $E$2:$E1115=E86, $P$2:$P1115=TRUE)), """")"),27.0)</f>
        <v/>
      </c>
      <c r="T86" s="590" t="n"/>
      <c r="U86" s="590" t="n"/>
      <c r="V86" s="590">
        <f>IFERROR(__xludf.DUMMYFUNCTION("MIN(FILTER($G$2:$G1115,$A$2:$A1115=A86,$E$2:$E1115=E86))"),13.0)</f>
        <v/>
      </c>
    </row>
    <row r="87">
      <c r="A87" s="454">
        <f>LEFT(B87,1)&amp;UPPER(LEFT(MID(B87,FIND(" ",B87)+1,LEN(B87)),3))&amp;C87</f>
        <v/>
      </c>
      <c r="B87" s="613" t="inlineStr">
        <is>
          <t>Rhi Jeffrey</t>
        </is>
      </c>
      <c r="C87" s="613" t="n">
        <v>1986</v>
      </c>
      <c r="D87" s="613" t="inlineStr">
        <is>
          <t>F</t>
        </is>
      </c>
      <c r="E87" s="613" t="inlineStr">
        <is>
          <t>50 Free</t>
        </is>
      </c>
      <c r="F87" s="613" t="n">
        <v>2012</v>
      </c>
      <c r="G87" s="613">
        <f>F87-C87</f>
        <v/>
      </c>
      <c r="H87" s="505" t="n">
        <v>25.59</v>
      </c>
      <c r="I87" s="457">
        <f>IFERROR(__xludf.DUMMYFUNCTION("LET(
  gen,$D87, ev,$E87, t,$H87,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)"),785.0)</f>
        <v/>
      </c>
      <c r="J87" s="458">
        <f>IFERROR(__xludf.DUMMYFUNCTION("MIN(FILTER($H$2:$H1115,$A$2:$A1115=A87,$E$2:$E1115=E87))"),25.47)</f>
        <v/>
      </c>
      <c r="K87" s="457">
        <f>IFERROR(__xludf.DUMMYFUNCTION("MAX(FILTER($I$2:$I1115,$A$2:$A1115=A87,$E$2:$E1115=E87))"),796.0)</f>
        <v/>
      </c>
      <c r="L87" s="457">
        <f>IFERROR(INDEX(F:F,MATCH(J87&amp;A87&amp;E87,H:H&amp;A:A&amp;E:E,0)),"")</f>
        <v/>
      </c>
      <c r="M87" s="457">
        <f>IF(AND(L87&lt;&gt;"",C87&lt;&gt;""), L87-C87, "")</f>
        <v/>
      </c>
      <c r="N87" s="704">
        <f>IFERROR(__xludf.DUMMYFUNCTION("IFERROR(
  MAX(
    FILTER(
      $I$2:$I1115,
      $A$2:$A1115=A87,
      $E$2:$E1115=E87,
      $G$2:$G1115 &gt;= G87-1,
      $G$2:$G1115 &lt;= G87+1
    )
  ),
  """"
)"),785.0)</f>
        <v/>
      </c>
      <c r="O87" s="464">
        <f>1-N87/K87</f>
        <v/>
      </c>
      <c r="P87" s="613">
        <f>AND(
O87 &lt;= 0.05,
(
COUNTIFS($A$2:$A1199, A87, $E$2:$E1199, E87, $G$2:$G1199, G87, $O$2:$O1199, "&lt;=0.05") +
COUNTIFS($A$2:$A1199, A87, $E$2:$E1199, E87, $G$2:$G1199, G87-1, $O$2:$O1199, "&lt;=0.05") +
COUNTIFS($A$2:$A1199, A87, $E$2:$E1199, E87, $G$2:$G1199, G87+1, $O$2:$O1199, "&lt;=0.05")
) &gt;= 
2)</f>
        <v/>
      </c>
      <c r="Q87" s="457" t="n"/>
      <c r="R87" s="457">
        <f>IFERROR(__xludf.DUMMYFUNCTION("IFERROR(MIN(FILTER($G$2:$G1115, $A$2:$A1115=A87, $E$2:$E1115=E87, $P$2:$P1115=TRUE)), """")"),18.0)</f>
        <v/>
      </c>
      <c r="S87" s="457">
        <f>IFERROR(__xludf.DUMMYFUNCTION("IFERROR(MAX(FILTER($G$2:$G1115, $A$2:$A1115=A87, $E$2:$E1115=E87, $P$2:$P1115=TRUE)), """")"),27.0)</f>
        <v/>
      </c>
      <c r="T87" s="613" t="n"/>
      <c r="U87" s="613" t="n"/>
      <c r="V87" s="613">
        <f>IFERROR(__xludf.DUMMYFUNCTION("MIN(FILTER($G$2:$G1115,$A$2:$A1115=A87,$E$2:$E1115=E87))"),13.0)</f>
        <v/>
      </c>
    </row>
    <row r="88">
      <c r="A88" s="454">
        <f>LEFT(B88,1)&amp;UPPER(LEFT(MID(B88,FIND(" ",B88)+1,LEN(B88)),3))&amp;C88</f>
        <v/>
      </c>
      <c r="B88" s="590" t="inlineStr">
        <is>
          <t>Rhi Jeffrey</t>
        </is>
      </c>
      <c r="C88" s="590" t="n">
        <v>1986</v>
      </c>
      <c r="D88" s="590" t="inlineStr">
        <is>
          <t>F</t>
        </is>
      </c>
      <c r="E88" s="590" t="inlineStr">
        <is>
          <t>50 Free</t>
        </is>
      </c>
      <c r="F88" s="590" t="n">
        <v>2013</v>
      </c>
      <c r="G88" s="590">
        <f>F88-C88</f>
        <v/>
      </c>
      <c r="H88" s="517" t="n">
        <v>26.14</v>
      </c>
      <c r="I88" s="457">
        <f>IFERROR(__xludf.DUMMYFUNCTION("LET(
  gen,$D88, ev,$E88, t,$H88,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)"),736.0)</f>
        <v/>
      </c>
      <c r="J88" s="458">
        <f>IFERROR(__xludf.DUMMYFUNCTION("MIN(FILTER($H$2:$H1115,$A$2:$A1115=A88,$E$2:$E1115=E88))"),25.47)</f>
        <v/>
      </c>
      <c r="K88" s="457">
        <f>IFERROR(__xludf.DUMMYFUNCTION("MAX(FILTER($I$2:$I1115,$A$2:$A1115=A88,$E$2:$E1115=E88))"),796.0)</f>
        <v/>
      </c>
      <c r="L88" s="457">
        <f>IFERROR(INDEX(F:F,MATCH(J88&amp;A88&amp;E88,H:H&amp;A:A&amp;E:E,0)),"")</f>
        <v/>
      </c>
      <c r="M88" s="457">
        <f>IF(AND(L88&lt;&gt;"",C88&lt;&gt;""), L88-C88, "")</f>
        <v/>
      </c>
      <c r="N88" s="709">
        <f>IFERROR(__xludf.DUMMYFUNCTION("IFERROR(
  MAX(
    FILTER(
      $I$2:$I1115,
      $A$2:$A1115=A88,
      $E$2:$E1115=E88,
      $G$2:$G1115 &gt;= G88-1,
      $G$2:$G1115 &lt;= G88+1
    )
  ),
  """"
)"),785.0)</f>
        <v/>
      </c>
      <c r="O88" s="460">
        <f>1-N88/K88</f>
        <v/>
      </c>
      <c r="P88" s="590">
        <f>AND(
O88 &lt;= 0.05,
(
COUNTIFS($A$2:$A1200, A88, $E$2:$E1200, E88, $G$2:$G1200, G88, $O$2:$O1200, "&lt;=0.05") +
COUNTIFS($A$2:$A1200, A88, $E$2:$E1200, E88, $G$2:$G1200, G88-1, $O$2:$O1200, "&lt;=0.05") +
COUNTIFS($A$2:$A1200, A88, $E$2:$E1200, E88, $G$2:$G1200, G88+1, $O$2:$O1200, "&lt;=0.05")
) &gt;= 
2)</f>
        <v/>
      </c>
      <c r="Q88" s="457" t="n"/>
      <c r="R88" s="457">
        <f>IFERROR(__xludf.DUMMYFUNCTION("IFERROR(MIN(FILTER($G$2:$G1115, $A$2:$A1115=A88, $E$2:$E1115=E88, $P$2:$P1115=TRUE)), """")"),18.0)</f>
        <v/>
      </c>
      <c r="S88" s="457">
        <f>IFERROR(__xludf.DUMMYFUNCTION("IFERROR(MAX(FILTER($G$2:$G1115, $A$2:$A1115=A88, $E$2:$E1115=E88, $P$2:$P1115=TRUE)), """")"),27.0)</f>
        <v/>
      </c>
      <c r="T88" s="590" t="n"/>
      <c r="U88" s="590" t="n"/>
      <c r="V88" s="590">
        <f>IFERROR(__xludf.DUMMYFUNCTION("MIN(FILTER($G$2:$G1115,$A$2:$A1115=A88,$E$2:$E1115=E88))"),13.0)</f>
        <v/>
      </c>
    </row>
    <row r="89">
      <c r="A89" s="454">
        <f>LEFT(B89,1)&amp;UPPER(LEFT(MID(B89,FIND(" ",B89)+1,LEN(B89)),3))&amp;C89</f>
        <v/>
      </c>
      <c r="B89" s="613" t="inlineStr">
        <is>
          <t>Rhi Jeffrey</t>
        </is>
      </c>
      <c r="C89" s="613" t="n">
        <v>1986</v>
      </c>
      <c r="D89" s="613" t="inlineStr">
        <is>
          <t>F</t>
        </is>
      </c>
      <c r="E89" s="613" t="inlineStr">
        <is>
          <t>50 Free</t>
        </is>
      </c>
      <c r="F89" s="613" t="n">
        <v>2014</v>
      </c>
      <c r="G89" s="613">
        <f>F89-C89</f>
        <v/>
      </c>
      <c r="H89" s="505" t="n">
        <v>26.14</v>
      </c>
      <c r="I89" s="457">
        <f>IFERROR(__xludf.DUMMYFUNCTION("LET(
  gen,$D89, ev,$E89, t,$H89,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)"),736.0)</f>
        <v/>
      </c>
      <c r="J89" s="458">
        <f>IFERROR(__xludf.DUMMYFUNCTION("MIN(FILTER($H$2:$H1115,$A$2:$A1115=A89,$E$2:$E1115=E89))"),25.47)</f>
        <v/>
      </c>
      <c r="K89" s="457">
        <f>IFERROR(__xludf.DUMMYFUNCTION("MAX(FILTER($I$2:$I1115,$A$2:$A1115=A89,$E$2:$E1115=E89))"),796.0)</f>
        <v/>
      </c>
      <c r="L89" s="457">
        <f>IFERROR(INDEX(F:F,MATCH(J89&amp;A89&amp;E89,H:H&amp;A:A&amp;E:E,0)),"")</f>
        <v/>
      </c>
      <c r="M89" s="457">
        <f>IF(AND(L89&lt;&gt;"",C89&lt;&gt;""), L89-C89, "")</f>
        <v/>
      </c>
      <c r="N89" s="704">
        <f>IFERROR(__xludf.DUMMYFUNCTION("IFERROR(
  MAX(
    FILTER(
      $I$2:$I1115,
      $A$2:$A1115=A89,
      $E$2:$E1115=E89,
      $G$2:$G1115 &gt;= G89-1,
      $G$2:$G1115 &lt;= G89+1
    )
  ),
  """"
)"),741.0)</f>
        <v/>
      </c>
      <c r="O89" s="464">
        <f>1-N89/K89</f>
        <v/>
      </c>
      <c r="P89" s="613">
        <f>AND(
O89 &lt;= 0.05,
(
COUNTIFS($A$2:$A1201, A89, $E$2:$E1201, E89, $G$2:$G1201, G89, $O$2:$O1201, "&lt;=0.05") +
COUNTIFS($A$2:$A1201, A89, $E$2:$E1201, E89, $G$2:$G1201, G89-1, $O$2:$O1201, "&lt;=0.05") +
COUNTIFS($A$2:$A1201, A89, $E$2:$E1201, E89, $G$2:$G1201, G89+1, $O$2:$O1201, "&lt;=0.05")
) &gt;= 
2)</f>
        <v/>
      </c>
      <c r="Q89" s="457" t="n"/>
      <c r="R89" s="457">
        <f>IFERROR(__xludf.DUMMYFUNCTION("IFERROR(MIN(FILTER($G$2:$G1115, $A$2:$A1115=A89, $E$2:$E1115=E89, $P$2:$P1115=TRUE)), """")"),18.0)</f>
        <v/>
      </c>
      <c r="S89" s="457">
        <f>IFERROR(__xludf.DUMMYFUNCTION("IFERROR(MAX(FILTER($G$2:$G1115, $A$2:$A1115=A89, $E$2:$E1115=E89, $P$2:$P1115=TRUE)), """")"),27.0)</f>
        <v/>
      </c>
      <c r="T89" s="613" t="n"/>
      <c r="U89" s="613" t="n"/>
      <c r="V89" s="613">
        <f>IFERROR(__xludf.DUMMYFUNCTION("MIN(FILTER($G$2:$G1115,$A$2:$A1115=A89,$E$2:$E1115=E89))"),13.0)</f>
        <v/>
      </c>
    </row>
    <row r="90">
      <c r="A90" s="454">
        <f>LEFT(B90,1)&amp;UPPER(LEFT(MID(B90,FIND(" ",B90)+1,LEN(B90)),3))&amp;C90</f>
        <v/>
      </c>
      <c r="B90" s="590" t="inlineStr">
        <is>
          <t>Rhi Jeffrey</t>
        </is>
      </c>
      <c r="C90" s="590" t="n">
        <v>1986</v>
      </c>
      <c r="D90" s="590" t="inlineStr">
        <is>
          <t>F</t>
        </is>
      </c>
      <c r="E90" s="590" t="inlineStr">
        <is>
          <t>50 Free</t>
        </is>
      </c>
      <c r="F90" s="590" t="n">
        <v>2015</v>
      </c>
      <c r="G90" s="590">
        <f>F90-C90</f>
        <v/>
      </c>
      <c r="H90" s="517" t="n">
        <v>26.09</v>
      </c>
      <c r="I90" s="457">
        <f>IFERROR(__xludf.DUMMYFUNCTION("LET(
  gen,$D90, ev,$E90, t,$H90,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)"),741.0)</f>
        <v/>
      </c>
      <c r="J90" s="458">
        <f>IFERROR(__xludf.DUMMYFUNCTION("MIN(FILTER($H$2:$H1115,$A$2:$A1115=A90,$E$2:$E1115=E90))"),25.47)</f>
        <v/>
      </c>
      <c r="K90" s="457">
        <f>IFERROR(__xludf.DUMMYFUNCTION("MAX(FILTER($I$2:$I1115,$A$2:$A1115=A90,$E$2:$E1115=E90))"),796.0)</f>
        <v/>
      </c>
      <c r="L90" s="457">
        <f>IFERROR(INDEX(F:F,MATCH(J90&amp;A90&amp;E90,H:H&amp;A:A&amp;E:E,0)),"")</f>
        <v/>
      </c>
      <c r="M90" s="457">
        <f>IF(AND(L90&lt;&gt;"",C90&lt;&gt;""), L90-C90, "")</f>
        <v/>
      </c>
      <c r="N90" s="709">
        <f>IFERROR(__xludf.DUMMYFUNCTION("IFERROR(
  MAX(
    FILTER(
      $I$2:$I1115,
      $A$2:$A1115=A90,
      $E$2:$E1115=E90,
      $G$2:$G1115 &gt;= G90-1,
      $G$2:$G1115 &lt;= G90+1
    )
  ),
  """"
)"),741.0)</f>
        <v/>
      </c>
      <c r="O90" s="460">
        <f>1-N90/K90</f>
        <v/>
      </c>
      <c r="P90" s="590">
        <f>AND(
O90 &lt;= 0.05,
(
COUNTIFS($A$2:$A1202, A90, $E$2:$E1202, E90, $G$2:$G1202, G90, $O$2:$O1202, "&lt;=0.05") +
COUNTIFS($A$2:$A1202, A90, $E$2:$E1202, E90, $G$2:$G1202, G90-1, $O$2:$O1202, "&lt;=0.05") +
COUNTIFS($A$2:$A1202, A90, $E$2:$E1202, E90, $G$2:$G1202, G90+1, $O$2:$O1202, "&lt;=0.05")
) &gt;= 
2)</f>
        <v/>
      </c>
      <c r="Q90" s="457" t="n"/>
      <c r="R90" s="457">
        <f>IFERROR(__xludf.DUMMYFUNCTION("IFERROR(MIN(FILTER($G$2:$G1115, $A$2:$A1115=A90, $E$2:$E1115=E90, $P$2:$P1115=TRUE)), """")"),18.0)</f>
        <v/>
      </c>
      <c r="S90" s="457">
        <f>IFERROR(__xludf.DUMMYFUNCTION("IFERROR(MAX(FILTER($G$2:$G1115, $A$2:$A1115=A90, $E$2:$E1115=E90, $P$2:$P1115=TRUE)), """")"),27.0)</f>
        <v/>
      </c>
      <c r="T90" s="590" t="n"/>
      <c r="U90" s="590" t="n"/>
      <c r="V90" s="590">
        <f>IFERROR(__xludf.DUMMYFUNCTION("MIN(FILTER($G$2:$G1115,$A$2:$A1115=A90,$E$2:$E1115=E90))"),13.0)</f>
        <v/>
      </c>
    </row>
    <row r="91">
      <c r="A91" s="454">
        <f>LEFT(B91,1)&amp;UPPER(LEFT(MID(B91,FIND(" ",B91)+1,LEN(B91)),3))&amp;C91</f>
        <v/>
      </c>
      <c r="B91" s="613" t="inlineStr">
        <is>
          <t>Rhi Jeffrey</t>
        </is>
      </c>
      <c r="C91" s="613" t="n">
        <v>1986</v>
      </c>
      <c r="D91" s="613" t="inlineStr">
        <is>
          <t>F</t>
        </is>
      </c>
      <c r="E91" s="613" t="inlineStr">
        <is>
          <t>50 Free</t>
        </is>
      </c>
      <c r="F91" s="613" t="n">
        <v>2016</v>
      </c>
      <c r="G91" s="613">
        <f>F91-C91</f>
        <v/>
      </c>
      <c r="H91" s="505" t="n">
        <v>26.41</v>
      </c>
      <c r="I91" s="457">
        <f>IFERROR(__xludf.DUMMYFUNCTION("LET(
  gen,$D91, ev,$E91, t,$H91,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)"),714.0)</f>
        <v/>
      </c>
      <c r="J91" s="458">
        <f>IFERROR(__xludf.DUMMYFUNCTION("MIN(FILTER($H$2:$H1115,$A$2:$A1115=A91,$E$2:$E1115=E91))"),25.47)</f>
        <v/>
      </c>
      <c r="K91" s="457">
        <f>IFERROR(__xludf.DUMMYFUNCTION("MAX(FILTER($I$2:$I1115,$A$2:$A1115=A91,$E$2:$E1115=E91))"),796.0)</f>
        <v/>
      </c>
      <c r="L91" s="457">
        <f>IFERROR(INDEX(F:F,MATCH(J91&amp;A91&amp;E91,H:H&amp;A:A&amp;E:E,0)),"")</f>
        <v/>
      </c>
      <c r="M91" s="457">
        <f>IF(AND(L91&lt;&gt;"",C91&lt;&gt;""), L91-C91, "")</f>
        <v/>
      </c>
      <c r="N91" s="704">
        <f>IFERROR(__xludf.DUMMYFUNCTION("IFERROR(
  MAX(
    FILTER(
      $I$2:$I1115,
      $A$2:$A1115=A91,
      $E$2:$E1115=E91,
      $G$2:$G1115 &gt;= G91-1,
      $G$2:$G1115 &lt;= G91+1
    )
  ),
  """"
)"),741.0)</f>
        <v/>
      </c>
      <c r="O91" s="464">
        <f>1-N91/K91</f>
        <v/>
      </c>
      <c r="P91" s="613">
        <f>AND(
O91 &lt;= 0.05,
(
COUNTIFS($A$2:$A1203, A91, $E$2:$E1203, E91, $G$2:$G1203, G91, $O$2:$O1203, "&lt;=0.05") +
COUNTIFS($A$2:$A1203, A91, $E$2:$E1203, E91, $G$2:$G1203, G91-1, $O$2:$O1203, "&lt;=0.05") +
COUNTIFS($A$2:$A1203, A91, $E$2:$E1203, E91, $G$2:$G1203, G91+1, $O$2:$O1203, "&lt;=0.05")
) &gt;= 
2)</f>
        <v/>
      </c>
      <c r="Q91" s="457" t="n"/>
      <c r="R91" s="457">
        <f>IFERROR(__xludf.DUMMYFUNCTION("IFERROR(MIN(FILTER($G$2:$G1115, $A$2:$A1115=A91, $E$2:$E1115=E91, $P$2:$P1115=TRUE)), """")"),18.0)</f>
        <v/>
      </c>
      <c r="S91" s="457">
        <f>IFERROR(__xludf.DUMMYFUNCTION("IFERROR(MAX(FILTER($G$2:$G1115, $A$2:$A1115=A91, $E$2:$E1115=E91, $P$2:$P1115=TRUE)), """")"),27.0)</f>
        <v/>
      </c>
      <c r="T91" s="613" t="n"/>
      <c r="U91" s="613" t="n"/>
      <c r="V91" s="613">
        <f>IFERROR(__xludf.DUMMYFUNCTION("MIN(FILTER($G$2:$G1115,$A$2:$A1115=A91,$E$2:$E1115=E91))"),13.0)</f>
        <v/>
      </c>
    </row>
    <row r="92">
      <c r="A92" s="454">
        <f>LEFT(B92,1)&amp;UPPER(LEFT(MID(B92,FIND(" ",B92)+1,LEN(B92)),3))&amp;C92</f>
        <v/>
      </c>
      <c r="B92" s="590" t="n"/>
      <c r="C92" s="590" t="n"/>
      <c r="D92" s="590" t="n"/>
      <c r="E92" s="590" t="n"/>
      <c r="G92" s="590">
        <f>F92-C92</f>
        <v/>
      </c>
      <c r="H92" s="517" t="n"/>
      <c r="I92" s="457">
        <f>IFERROR(__xludf.DUMMYFUNCTION("LET(
  gen,$D92, ev,$E92, t,$H92,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
      </c>
      <c r="J92" s="457">
        <f>IFERROR(__xludf.DUMMYFUNCTION("MIN(FILTER($H$2:$H1115,$A$2:$A1115=A92,$E$2:$E1115=E92))"),"#N/A")</f>
        <v/>
      </c>
      <c r="K92" s="457">
        <f>IFERROR(__xludf.DUMMYFUNCTION("MAX(FILTER($I$2:$I1115,$A$2:$A1115=A92,$E$2:$E1115=E92))"),"#N/A")</f>
        <v/>
      </c>
      <c r="L92" s="457">
        <f>IFERROR(INDEX(F:F,MATCH(J92&amp;A92&amp;E92,H:H&amp;A:A&amp;E:E,0)),"")</f>
        <v/>
      </c>
      <c r="M92" s="457">
        <f>IF(AND(L92&lt;&gt;"",C92&lt;&gt;""), L92-C92, "")</f>
        <v/>
      </c>
      <c r="N92" s="709">
        <f>IFERROR(__xludf.DUMMYFUNCTION("IFERROR(
  MAX(
    FILTER(
      $I$2:$I1115,
      $A$2:$A1115=A92,
      $E$2:$E1115=E92,
      $G$2:$G1115 &gt;= G92-1,
      $G$2:$G1115 &lt;= G92+1
    )
  ),
  """"
)"),"")</f>
        <v/>
      </c>
      <c r="O92" s="460">
        <f>1-N92/K92</f>
        <v/>
      </c>
      <c r="P92" s="590">
        <f>AND(
O92 &lt;= 0.05,
(
COUNTIFS($A$2:$A1204, A92, $E$2:$E1204, E92, $G$2:$G1204, G92, $O$2:$O1204, "&lt;=0.05") +
COUNTIFS($A$2:$A1204, A92, $E$2:$E1204, E92, $G$2:$G1204, G92-1, $O$2:$O1204, "&lt;=0.05") +
COUNTIFS($A$2:$A1204, A92, $E$2:$E1204, E92, $G$2:$G1204, G92+1, $O$2:$O1204, "&lt;=0.05")
) &gt;= 
2)</f>
        <v/>
      </c>
      <c r="Q92" s="457" t="n"/>
      <c r="R92" s="457">
        <f>IFERROR(__xludf.DUMMYFUNCTION("IFERROR(MIN(FILTER($G$2:$G1115, $A$2:$A1115=A92, $E$2:$E1115=E92, $P$2:$P1115=TRUE)), """")"),"")</f>
        <v/>
      </c>
      <c r="S92" s="457">
        <f>IFERROR(__xludf.DUMMYFUNCTION("IFERROR(MAX(FILTER($G$2:$G1115, $A$2:$A1115=A92, $E$2:$E1115=E92, $P$2:$P1115=TRUE)), """")"),"")</f>
        <v/>
      </c>
      <c r="T92" s="590" t="n"/>
      <c r="U92" s="590" t="n"/>
      <c r="V92" s="590">
        <f>IFERROR(__xludf.DUMMYFUNCTION("MIN(FILTER($G$2:$G1115,$A$2:$A1115=A92,$E$2:$E1115=E92))"),"#N/A")</f>
        <v/>
      </c>
    </row>
    <row r="93">
      <c r="A93" s="454">
        <f>LEFT(B93,1)&amp;UPPER(LEFT(MID(B93,FIND(" ",B93)+1,LEN(B93)),3))&amp;C93</f>
        <v/>
      </c>
      <c r="B93" s="613" t="n"/>
      <c r="C93" s="613" t="n"/>
      <c r="D93" s="613" t="n"/>
      <c r="E93" s="613" t="n"/>
      <c r="G93" s="613">
        <f>F93-C93</f>
        <v/>
      </c>
      <c r="H93" s="505" t="n"/>
      <c r="I93" s="457">
        <f>IFERROR(__xludf.DUMMYFUNCTION("LET(
  gen,$D93, ev,$E93, t,$H93,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
      </c>
      <c r="J93" s="457">
        <f>IFERROR(__xludf.DUMMYFUNCTION("MIN(FILTER($H$2:$H1115,$A$2:$A1115=A93,$E$2:$E1115=E93))"),"#N/A")</f>
        <v/>
      </c>
      <c r="K93" s="457">
        <f>IFERROR(__xludf.DUMMYFUNCTION("MAX(FILTER($I$2:$I1115,$A$2:$A1115=A93,$E$2:$E1115=E93))"),"#N/A")</f>
        <v/>
      </c>
      <c r="L93" s="457">
        <f>IFERROR(INDEX(F:F,MATCH(J93&amp;A93&amp;E93,H:H&amp;A:A&amp;E:E,0)),"")</f>
        <v/>
      </c>
      <c r="M93" s="457">
        <f>IF(AND(L93&lt;&gt;"",C93&lt;&gt;""), L93-C93, "")</f>
        <v/>
      </c>
      <c r="N93" s="704">
        <f>IFERROR(__xludf.DUMMYFUNCTION("IFERROR(
  MAX(
    FILTER(
      $I$2:$I1115,
      $A$2:$A1115=A93,
      $E$2:$E1115=E93,
      $G$2:$G1115 &gt;= G93-1,
      $G$2:$G1115 &lt;= G93+1
    )
  ),
  """"
)"),"")</f>
        <v/>
      </c>
      <c r="O93" s="464">
        <f>1-N93/K93</f>
        <v/>
      </c>
      <c r="P93" s="613">
        <f>AND(
O93 &lt;= 0.05,
(
COUNTIFS($A$2:$A1205, A93, $E$2:$E1205, E93, $G$2:$G1205, G93, $O$2:$O1205, "&lt;=0.05") +
COUNTIFS($A$2:$A1205, A93, $E$2:$E1205, E93, $G$2:$G1205, G93-1, $O$2:$O1205, "&lt;=0.05") +
COUNTIFS($A$2:$A1205, A93, $E$2:$E1205, E93, $G$2:$G1205, G93+1, $O$2:$O1205, "&lt;=0.05")
) &gt;= 
2)</f>
        <v/>
      </c>
      <c r="Q93" s="457" t="n"/>
      <c r="R93" s="457">
        <f>IFERROR(__xludf.DUMMYFUNCTION("IFERROR(MIN(FILTER($G$2:$G1115, $A$2:$A1115=A93, $E$2:$E1115=E93, $P$2:$P1115=TRUE)), """")"),"")</f>
        <v/>
      </c>
      <c r="S93" s="457">
        <f>IFERROR(__xludf.DUMMYFUNCTION("IFERROR(MAX(FILTER($G$2:$G1115, $A$2:$A1115=A93, $E$2:$E1115=E93, $P$2:$P1115=TRUE)), """")"),"")</f>
        <v/>
      </c>
      <c r="T93" s="613" t="n"/>
      <c r="U93" s="613" t="n"/>
      <c r="V93" s="613">
        <f>IFERROR(__xludf.DUMMYFUNCTION("MIN(FILTER($G$2:$G1115,$A$2:$A1115=A93,$E$2:$E1115=E93))"),"#N/A")</f>
        <v/>
      </c>
    </row>
    <row r="94">
      <c r="A94" s="454">
        <f>LEFT(B94,1)&amp;UPPER(LEFT(MID(B94,FIND(" ",B94)+1,LEN(B94)),3))&amp;C94</f>
        <v/>
      </c>
      <c r="B94" s="590" t="n"/>
      <c r="C94" s="590" t="n"/>
      <c r="D94" s="590" t="n"/>
      <c r="E94" s="590" t="n"/>
      <c r="G94" s="590">
        <f>F94-C94</f>
        <v/>
      </c>
      <c r="H94" s="517" t="n"/>
      <c r="I94" s="457">
        <f>IFERROR(__xludf.DUMMYFUNCTION("LET(
  gen,$D94, ev,$E94, t,$H94,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
      </c>
      <c r="J94" s="457">
        <f>IFERROR(__xludf.DUMMYFUNCTION("MIN(FILTER($H$2:$H1115,$A$2:$A1115=A94,$E$2:$E1115=E94))"),"#N/A")</f>
        <v/>
      </c>
      <c r="K94" s="457">
        <f>IFERROR(__xludf.DUMMYFUNCTION("MAX(FILTER($I$2:$I1115,$A$2:$A1115=A94,$E$2:$E1115=E94))"),"#N/A")</f>
        <v/>
      </c>
      <c r="L94" s="457">
        <f>IFERROR(INDEX(F:F,MATCH(J94&amp;A94&amp;E94,H:H&amp;A:A&amp;E:E,0)),"")</f>
        <v/>
      </c>
      <c r="M94" s="457">
        <f>IF(AND(L94&lt;&gt;"",C94&lt;&gt;""), L94-C94, "")</f>
        <v/>
      </c>
      <c r="N94" s="709">
        <f>IFERROR(__xludf.DUMMYFUNCTION("IFERROR(
  MAX(
    FILTER(
      $I$2:$I1115,
      $A$2:$A1115=A94,
      $E$2:$E1115=E94,
      $G$2:$G1115 &gt;= G94-1,
      $G$2:$G1115 &lt;= G94+1
    )
  ),
  """"
)"),"")</f>
        <v/>
      </c>
      <c r="O94" s="460">
        <f>1-N94/K94</f>
        <v/>
      </c>
      <c r="P94" s="590">
        <f>AND(
O94 &lt;= 0.05,
(
COUNTIFS($A$2:$A1206, A94, $E$2:$E1206, E94, $G$2:$G1206, G94, $O$2:$O1206, "&lt;=0.05") +
COUNTIFS($A$2:$A1206, A94, $E$2:$E1206, E94, $G$2:$G1206, G94-1, $O$2:$O1206, "&lt;=0.05") +
COUNTIFS($A$2:$A1206, A94, $E$2:$E1206, E94, $G$2:$G1206, G94+1, $O$2:$O1206, "&lt;=0.05")
) &gt;= 
2)</f>
        <v/>
      </c>
      <c r="Q94" s="457" t="n"/>
      <c r="R94" s="457">
        <f>IFERROR(__xludf.DUMMYFUNCTION("IFERROR(MIN(FILTER($G$2:$G1115, $A$2:$A1115=A94, $E$2:$E1115=E94, $P$2:$P1115=TRUE)), """")"),"")</f>
        <v/>
      </c>
      <c r="S94" s="457">
        <f>IFERROR(__xludf.DUMMYFUNCTION("IFERROR(MAX(FILTER($G$2:$G1115, $A$2:$A1115=A94, $E$2:$E1115=E94, $P$2:$P1115=TRUE)), """")"),"")</f>
        <v/>
      </c>
      <c r="T94" s="590" t="n"/>
      <c r="U94" s="590" t="n"/>
      <c r="V94" s="590">
        <f>IFERROR(__xludf.DUMMYFUNCTION("MIN(FILTER($G$2:$G1115,$A$2:$A1115=A94,$E$2:$E1115=E94))"),"#N/A")</f>
        <v/>
      </c>
    </row>
    <row r="95">
      <c r="A95" s="454">
        <f>LEFT(B95,1)&amp;UPPER(LEFT(MID(B95,FIND(" ",B95)+1,LEN(B95)),3))&amp;C95</f>
        <v/>
      </c>
      <c r="B95" s="613" t="n"/>
      <c r="C95" s="613" t="n"/>
      <c r="D95" s="613" t="n"/>
      <c r="E95" s="613" t="n"/>
      <c r="G95" s="613">
        <f>F95-C95</f>
        <v/>
      </c>
      <c r="H95" s="505" t="n"/>
      <c r="I95" s="457">
        <f>IFERROR(__xludf.DUMMYFUNCTION("LET(
  gen,$D95, ev,$E95, t,$H95,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
      </c>
      <c r="J95" s="457">
        <f>IFERROR(__xludf.DUMMYFUNCTION("MIN(FILTER($H$2:$H1115,$A$2:$A1115=A95,$E$2:$E1115=E95))"),"#N/A")</f>
        <v/>
      </c>
      <c r="K95" s="457">
        <f>IFERROR(__xludf.DUMMYFUNCTION("MAX(FILTER($I$2:$I1115,$A$2:$A1115=A95,$E$2:$E1115=E95))"),"#N/A")</f>
        <v/>
      </c>
      <c r="L95" s="457">
        <f>IFERROR(INDEX(F:F,MATCH(J95&amp;A95&amp;E95,H:H&amp;A:A&amp;E:E,0)),"")</f>
        <v/>
      </c>
      <c r="M95" s="457">
        <f>IF(AND(L95&lt;&gt;"",C95&lt;&gt;""), L95-C95, "")</f>
        <v/>
      </c>
      <c r="N95" s="704">
        <f>IFERROR(__xludf.DUMMYFUNCTION("IFERROR(
  MAX(
    FILTER(
      $I$2:$I1115,
      $A$2:$A1115=A95,
      $E$2:$E1115=E95,
      $G$2:$G1115 &gt;= G95-1,
      $G$2:$G1115 &lt;= G95+1
    )
  ),
  """"
)"),"")</f>
        <v/>
      </c>
      <c r="O95" s="464">
        <f>1-N95/K95</f>
        <v/>
      </c>
      <c r="P95" s="613">
        <f>AND(
O95 &lt;= 0.05,
(
COUNTIFS($A$2:$A1207, A95, $E$2:$E1207, E95, $G$2:$G1207, G95, $O$2:$O1207, "&lt;=0.05") +
COUNTIFS($A$2:$A1207, A95, $E$2:$E1207, E95, $G$2:$G1207, G95-1, $O$2:$O1207, "&lt;=0.05") +
COUNTIFS($A$2:$A1207, A95, $E$2:$E1207, E95, $G$2:$G1207, G95+1, $O$2:$O1207, "&lt;=0.05")
) &gt;= 
2)</f>
        <v/>
      </c>
      <c r="Q95" s="457" t="n"/>
      <c r="R95" s="457">
        <f>IFERROR(__xludf.DUMMYFUNCTION("IFERROR(MIN(FILTER($G$2:$G1115, $A$2:$A1115=A95, $E$2:$E1115=E95, $P$2:$P1115=TRUE)), """")"),"")</f>
        <v/>
      </c>
      <c r="S95" s="457">
        <f>IFERROR(__xludf.DUMMYFUNCTION("IFERROR(MAX(FILTER($G$2:$G1115, $A$2:$A1115=A95, $E$2:$E1115=E95, $P$2:$P1115=TRUE)), """")"),"")</f>
        <v/>
      </c>
      <c r="T95" s="613" t="n"/>
      <c r="U95" s="613" t="n"/>
      <c r="V95" s="613">
        <f>IFERROR(__xludf.DUMMYFUNCTION("MIN(FILTER($G$2:$G1115,$A$2:$A1115=A95,$E$2:$E1115=E95))"),"#N/A")</f>
        <v/>
      </c>
    </row>
    <row r="96">
      <c r="A96" s="454">
        <f>LEFT(B96,1)&amp;UPPER(LEFT(MID(B96,FIND(" ",B96)+1,LEN(B96)),3))&amp;C96</f>
        <v/>
      </c>
      <c r="B96" s="590" t="n"/>
      <c r="C96" s="590" t="n"/>
      <c r="D96" s="590" t="n"/>
      <c r="E96" s="590" t="n"/>
      <c r="G96" s="590">
        <f>F96-C96</f>
        <v/>
      </c>
      <c r="H96" s="517" t="n"/>
      <c r="I96" s="457">
        <f>IFERROR(__xludf.DUMMYFUNCTION("LET(
  gen,$D96, ev,$E96, t,$H96,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
      </c>
      <c r="J96" s="457">
        <f>IFERROR(__xludf.DUMMYFUNCTION("MIN(FILTER($H$2:$H1115,$A$2:$A1115=A96,$E$2:$E1115=E96))"),"#N/A")</f>
        <v/>
      </c>
      <c r="K96" s="457">
        <f>IFERROR(__xludf.DUMMYFUNCTION("MAX(FILTER($I$2:$I1115,$A$2:$A1115=A96,$E$2:$E1115=E96))"),"#N/A")</f>
        <v/>
      </c>
      <c r="L96" s="457">
        <f>IFERROR(INDEX(F:F,MATCH(J96&amp;A96&amp;E96,H:H&amp;A:A&amp;E:E,0)),"")</f>
        <v/>
      </c>
      <c r="M96" s="457">
        <f>IF(AND(L96&lt;&gt;"",C96&lt;&gt;""), L96-C96, "")</f>
        <v/>
      </c>
      <c r="N96" s="709">
        <f>IFERROR(__xludf.DUMMYFUNCTION("IFERROR(
  MAX(
    FILTER(
      $I$2:$I1115,
      $A$2:$A1115=A96,
      $E$2:$E1115=E96,
      $G$2:$G1115 &gt;= G96-1,
      $G$2:$G1115 &lt;= G96+1
    )
  ),
  """"
)"),"")</f>
        <v/>
      </c>
      <c r="O96" s="460">
        <f>1-N96/K96</f>
        <v/>
      </c>
      <c r="P96" s="590">
        <f>AND(
O96 &lt;= 0.05,
(
COUNTIFS($A$2:$A1208, A96, $E$2:$E1208, E96, $G$2:$G1208, G96, $O$2:$O1208, "&lt;=0.05") +
COUNTIFS($A$2:$A1208, A96, $E$2:$E1208, E96, $G$2:$G1208, G96-1, $O$2:$O1208, "&lt;=0.05") +
COUNTIFS($A$2:$A1208, A96, $E$2:$E1208, E96, $G$2:$G1208, G96+1, $O$2:$O1208, "&lt;=0.05")
) &gt;= 
2)</f>
        <v/>
      </c>
      <c r="Q96" s="457" t="n"/>
      <c r="R96" s="457">
        <f>IFERROR(__xludf.DUMMYFUNCTION("IFERROR(MIN(FILTER($G$2:$G1115, $A$2:$A1115=A96, $E$2:$E1115=E96, $P$2:$P1115=TRUE)), """")"),"")</f>
        <v/>
      </c>
      <c r="S96" s="457">
        <f>IFERROR(__xludf.DUMMYFUNCTION("IFERROR(MAX(FILTER($G$2:$G1115, $A$2:$A1115=A96, $E$2:$E1115=E96, $P$2:$P1115=TRUE)), """")"),"")</f>
        <v/>
      </c>
      <c r="T96" s="590" t="n"/>
      <c r="U96" s="590" t="n"/>
      <c r="V96" s="590">
        <f>IFERROR(__xludf.DUMMYFUNCTION("MIN(FILTER($G$2:$G1115,$A$2:$A1115=A96,$E$2:$E1115=E96))"),"#N/A")</f>
        <v/>
      </c>
    </row>
    <row r="97">
      <c r="A97" s="454">
        <f>LEFT(B97,1)&amp;UPPER(LEFT(MID(B97,FIND(" ",B97)+1,LEN(B97)),3))&amp;C97</f>
        <v/>
      </c>
      <c r="B97" s="613" t="n"/>
      <c r="C97" s="613" t="n"/>
      <c r="D97" s="613" t="n"/>
      <c r="E97" s="613" t="n"/>
      <c r="G97" s="613">
        <f>F97-C97</f>
        <v/>
      </c>
      <c r="H97" s="505" t="n"/>
      <c r="I97" s="457">
        <f>IFERROR(__xludf.DUMMYFUNCTION("LET(
  gen,$D97, ev,$E97, t,$H97,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
      </c>
      <c r="J97" s="457">
        <f>IFERROR(__xludf.DUMMYFUNCTION("MIN(FILTER($H$2:$H1115,$A$2:$A1115=A97,$E$2:$E1115=E97))"),"#N/A")</f>
        <v/>
      </c>
      <c r="K97" s="457">
        <f>IFERROR(__xludf.DUMMYFUNCTION("MAX(FILTER($I$2:$I1115,$A$2:$A1115=A97,$E$2:$E1115=E97))"),"#N/A")</f>
        <v/>
      </c>
      <c r="L97" s="457">
        <f>IFERROR(INDEX(F:F,MATCH(J97&amp;A97&amp;E97,H:H&amp;A:A&amp;E:E,0)),"")</f>
        <v/>
      </c>
      <c r="M97" s="457">
        <f>IF(AND(L97&lt;&gt;"",C97&lt;&gt;""), L97-C97, "")</f>
        <v/>
      </c>
      <c r="N97" s="704">
        <f>IFERROR(__xludf.DUMMYFUNCTION("IFERROR(
  MAX(
    FILTER(
      $I$2:$I1115,
      $A$2:$A1115=A97,
      $E$2:$E1115=E97,
      $G$2:$G1115 &gt;= G97-1,
      $G$2:$G1115 &lt;= G97+1
    )
  ),
  """"
)"),"")</f>
        <v/>
      </c>
      <c r="O97" s="464">
        <f>1-N97/K97</f>
        <v/>
      </c>
      <c r="P97" s="613">
        <f>AND(
O97 &lt;= 0.05,
(
COUNTIFS($A$2:$A1209, A97, $E$2:$E1209, E97, $G$2:$G1209, G97, $O$2:$O1209, "&lt;=0.05") +
COUNTIFS($A$2:$A1209, A97, $E$2:$E1209, E97, $G$2:$G1209, G97-1, $O$2:$O1209, "&lt;=0.05") +
COUNTIFS($A$2:$A1209, A97, $E$2:$E1209, E97, $G$2:$G1209, G97+1, $O$2:$O1209, "&lt;=0.05")
) &gt;= 
2)</f>
        <v/>
      </c>
      <c r="Q97" s="457" t="n"/>
      <c r="R97" s="457">
        <f>IFERROR(__xludf.DUMMYFUNCTION("IFERROR(MIN(FILTER($G$2:$G1115, $A$2:$A1115=A97, $E$2:$E1115=E97, $P$2:$P1115=TRUE)), """")"),"")</f>
        <v/>
      </c>
      <c r="S97" s="457">
        <f>IFERROR(__xludf.DUMMYFUNCTION("IFERROR(MAX(FILTER($G$2:$G1115, $A$2:$A1115=A97, $E$2:$E1115=E97, $P$2:$P1115=TRUE)), """")"),"")</f>
        <v/>
      </c>
      <c r="T97" s="613" t="n"/>
      <c r="U97" s="613" t="n"/>
      <c r="V97" s="613">
        <f>IFERROR(__xludf.DUMMYFUNCTION("MIN(FILTER($G$2:$G1115,$A$2:$A1115=A97,$E$2:$E1115=E97))"),"#N/A")</f>
        <v/>
      </c>
    </row>
    <row r="98">
      <c r="A98" s="454">
        <f>LEFT(B98,1)&amp;UPPER(LEFT(MID(B98,FIND(" ",B98)+1,LEN(B98)),3))&amp;C98</f>
        <v/>
      </c>
      <c r="B98" s="590" t="n"/>
      <c r="C98" s="590" t="n"/>
      <c r="D98" s="590" t="n"/>
      <c r="E98" s="590" t="n"/>
      <c r="G98" s="590">
        <f>F98-C98</f>
        <v/>
      </c>
      <c r="H98" s="517" t="n"/>
      <c r="I98" s="457">
        <f>IFERROR(__xludf.DUMMYFUNCTION("LET(
  gen,$D98, ev,$E98, t,$H98,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
      </c>
      <c r="J98" s="457">
        <f>IFERROR(__xludf.DUMMYFUNCTION("MIN(FILTER($H$2:$H1115,$A$2:$A1115=A98,$E$2:$E1115=E98))"),"#N/A")</f>
        <v/>
      </c>
      <c r="K98" s="457">
        <f>IFERROR(__xludf.DUMMYFUNCTION("MAX(FILTER($I$2:$I1115,$A$2:$A1115=A98,$E$2:$E1115=E98))"),"#N/A")</f>
        <v/>
      </c>
      <c r="L98" s="457">
        <f>IFERROR(INDEX(F:F,MATCH(J98&amp;A98&amp;E98,H:H&amp;A:A&amp;E:E,0)),"")</f>
        <v/>
      </c>
      <c r="M98" s="457">
        <f>IF(AND(L98&lt;&gt;"",C98&lt;&gt;""), L98-C98, "")</f>
        <v/>
      </c>
      <c r="N98" s="709">
        <f>IFERROR(__xludf.DUMMYFUNCTION("IFERROR(
  MAX(
    FILTER(
      $I$2:$I1115,
      $A$2:$A1115=A98,
      $E$2:$E1115=E98,
      $G$2:$G1115 &gt;= G98-1,
      $G$2:$G1115 &lt;= G98+1
    )
  ),
  """"
)"),"")</f>
        <v/>
      </c>
      <c r="O98" s="460">
        <f>1-N98/K98</f>
        <v/>
      </c>
      <c r="P98" s="590">
        <f>AND(
O98 &lt;= 0.05,
(
COUNTIFS($A$2:$A1210, A98, $E$2:$E1210, E98, $G$2:$G1210, G98, $O$2:$O1210, "&lt;=0.05") +
COUNTIFS($A$2:$A1210, A98, $E$2:$E1210, E98, $G$2:$G1210, G98-1, $O$2:$O1210, "&lt;=0.05") +
COUNTIFS($A$2:$A1210, A98, $E$2:$E1210, E98, $G$2:$G1210, G98+1, $O$2:$O1210, "&lt;=0.05")
) &gt;= 
2)</f>
        <v/>
      </c>
      <c r="Q98" s="457" t="n"/>
      <c r="R98" s="457">
        <f>IFERROR(__xludf.DUMMYFUNCTION("IFERROR(MIN(FILTER($G$2:$G1115, $A$2:$A1115=A98, $E$2:$E1115=E98, $P$2:$P1115=TRUE)), """")"),"")</f>
        <v/>
      </c>
      <c r="S98" s="457">
        <f>IFERROR(__xludf.DUMMYFUNCTION("IFERROR(MAX(FILTER($G$2:$G1115, $A$2:$A1115=A98, $E$2:$E1115=E98, $P$2:$P1115=TRUE)), """")"),"")</f>
        <v/>
      </c>
      <c r="T98" s="590" t="n"/>
      <c r="U98" s="590" t="n"/>
      <c r="V98" s="590">
        <f>IFERROR(__xludf.DUMMYFUNCTION("MIN(FILTER($G$2:$G1115,$A$2:$A1115=A98,$E$2:$E1115=E98))"),"#N/A")</f>
        <v/>
      </c>
    </row>
    <row r="99">
      <c r="A99" s="454">
        <f>LEFT(B99,1)&amp;UPPER(LEFT(MID(B99,FIND(" ",B99)+1,LEN(B99)),3))&amp;C99</f>
        <v/>
      </c>
      <c r="B99" s="613" t="n"/>
      <c r="C99" s="613" t="n"/>
      <c r="D99" s="613" t="n"/>
      <c r="E99" s="613" t="n"/>
      <c r="G99" s="613">
        <f>F99-C99</f>
        <v/>
      </c>
      <c r="H99" s="505" t="n"/>
      <c r="I99" s="457">
        <f>IFERROR(__xludf.DUMMYFUNCTION("LET(
  gen,$D99, ev,$E99, t,$H99,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)"),"#VALUE!")</f>
        <v/>
      </c>
      <c r="J99" s="457">
        <f>IFERROR(__xludf.DUMMYFUNCTION("MIN(FILTER($H$2:$H1115,$A$2:$A1115=A99,$E$2:$E1115=E99))"),"#N/A")</f>
        <v/>
      </c>
      <c r="K99" s="457">
        <f>IFERROR(__xludf.DUMMYFUNCTION("MAX(FILTER($I$2:$I1115,$A$2:$A1115=A99,$E$2:$E1115=E99))"),"#N/A")</f>
        <v/>
      </c>
      <c r="L99" s="457">
        <f>IFERROR(INDEX(F:F,MATCH(J99&amp;A99&amp;E99,H:H&amp;A:A&amp;E:E,0)),"")</f>
        <v/>
      </c>
      <c r="M99" s="457">
        <f>IF(AND(L99&lt;&gt;"",C99&lt;&gt;""), L99-C99, "")</f>
        <v/>
      </c>
      <c r="N99" s="704">
        <f>IFERROR(__xludf.DUMMYFUNCTION("IFERROR(
  MAX(
    FILTER(
      $I$2:$I1115,
      $A$2:$A1115=A99,
      $E$2:$E1115=E99,
      $G$2:$G1115 &gt;= G99-1,
      $G$2:$G1115 &lt;= G99+1
    )
  ),
  """"
)"),"")</f>
        <v/>
      </c>
      <c r="O99" s="464">
        <f>1-N99/K99</f>
        <v/>
      </c>
      <c r="P99" s="613">
        <f>AND(
O99 &lt;= 0.05,
(
COUNTIFS($A$2:$A1211, A99, $E$2:$E1211, E99, $G$2:$G1211, G99, $O$2:$O1211, "&lt;=0.05") +
COUNTIFS($A$2:$A1211, A99, $E$2:$E1211, E99, $G$2:$G1211, G99-1, $O$2:$O1211, "&lt;=0.05") +
COUNTIFS($A$2:$A1211, A99, $E$2:$E1211, E99, $G$2:$G1211, G99+1, $O$2:$O1211, "&lt;=0.05")
) &gt;= 
2)</f>
        <v/>
      </c>
      <c r="Q99" s="457" t="n"/>
      <c r="R99" s="457">
        <f>IFERROR(__xludf.DUMMYFUNCTION("IFERROR(MIN(FILTER($G$2:$G1115, $A$2:$A1115=A99, $E$2:$E1115=E99, $P$2:$P1115=TRUE)), """")"),"")</f>
        <v/>
      </c>
      <c r="S99" s="457">
        <f>IFERROR(__xludf.DUMMYFUNCTION("IFERROR(MAX(FILTER($G$2:$G1115, $A$2:$A1115=A99, $E$2:$E1115=E99, $P$2:$P1115=TRUE)), """")"),"")</f>
        <v/>
      </c>
      <c r="T99" s="613" t="n"/>
      <c r="U99" s="613" t="n"/>
      <c r="V99" s="613">
        <f>IFERROR(__xludf.DUMMYFUNCTION("MIN(FILTER($G$2:$G1115,$A$2:$A1115=A99,$E$2:$E1115=E99))"),"#N/A")</f>
        <v/>
      </c>
    </row>
    <row r="100">
      <c r="A100" s="454">
        <f>LEFT(B100,1)&amp;UPPER(LEFT(MID(B100,FIND(" ",B100)+1,LEN(B100)),3))&amp;C100</f>
        <v/>
      </c>
      <c r="B100" s="590" t="n"/>
      <c r="C100" s="590" t="n"/>
      <c r="D100" s="590" t="n"/>
      <c r="E100" s="590" t="n"/>
      <c r="G100" s="590">
        <f>F100-C100</f>
        <v/>
      </c>
      <c r="H100" s="517" t="n"/>
      <c r="I100" s="457">
        <f>IFERROR(__xludf.DUMMYFUNCTION("LET(
  gen,$D100, ev,$E100, t,$H100,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00" s="457">
        <f>IFERROR(__xludf.DUMMYFUNCTION("MIN(FILTER($H$2:$H1115,$A$2:$A1115=A100,$E$2:$E1115=E100))"),"#N/A")</f>
        <v/>
      </c>
      <c r="K100" s="457">
        <f>IFERROR(__xludf.DUMMYFUNCTION("MAX(FILTER($I$2:$I1115,$A$2:$A1115=A100,$E$2:$E1115=E100))"),"#N/A")</f>
        <v/>
      </c>
      <c r="L100" s="457">
        <f>IFERROR(INDEX(F:F,MATCH(J100&amp;A100&amp;E100,H:H&amp;A:A&amp;E:E,0)),"")</f>
        <v/>
      </c>
      <c r="M100" s="457">
        <f>IF(AND(L100&lt;&gt;"",C100&lt;&gt;""), L100-C100, "")</f>
        <v/>
      </c>
      <c r="N100" s="709">
        <f>IFERROR(__xludf.DUMMYFUNCTION("IFERROR(
  MAX(
    FILTER(
      $I$2:$I1115,
      $A$2:$A1115=A100,
      $E$2:$E1115=E100,
      $G$2:$G1115 &gt;= G100-1,
      $G$2:$G1115 &lt;= G100+1
    )
  ),
  """"
)"),"")</f>
        <v/>
      </c>
      <c r="O100" s="460">
        <f>1-N100/K100</f>
        <v/>
      </c>
      <c r="P100" s="590">
        <f>AND(
O100 &lt;= 0.05,
(
COUNTIFS($A$2:$A1212, A100, $E$2:$E1212, E100, $G$2:$G1212, G100, $O$2:$O1212, "&lt;=0.05") +
COUNTIFS($A$2:$A1212, A100, $E$2:$E1212, E100, $G$2:$G1212, G100-1, $O$2:$O1212, "&lt;=0.05") +
COUNTIFS($A$2:$A1212, A100, $E$2:$E1212, E100, $G$2:$G1212, G100+1, $O$2:$O1212, "&lt;=0.05")
) &gt;= 
2)</f>
        <v/>
      </c>
      <c r="Q100" s="457" t="n"/>
      <c r="R100" s="457">
        <f>IFERROR(__xludf.DUMMYFUNCTION("IFERROR(MIN(FILTER($G$2:$G1115, $A$2:$A1115=A100, $E$2:$E1115=E100, $P$2:$P1115=TRUE)), """")"),"")</f>
        <v/>
      </c>
      <c r="S100" s="457">
        <f>IFERROR(__xludf.DUMMYFUNCTION("IFERROR(MAX(FILTER($G$2:$G1115, $A$2:$A1115=A100, $E$2:$E1115=E100, $P$2:$P1115=TRUE)), """")"),"")</f>
        <v/>
      </c>
      <c r="T100" s="590" t="n"/>
      <c r="U100" s="590" t="n"/>
      <c r="V100" s="590">
        <f>IFERROR(__xludf.DUMMYFUNCTION("MIN(FILTER($G$2:$G1115,$A$2:$A1115=A100,$E$2:$E1115=E100))"),"#N/A")</f>
        <v/>
      </c>
    </row>
    <row r="101">
      <c r="A101" s="454">
        <f>LEFT(B101,1)&amp;UPPER(LEFT(MID(B101,FIND(" ",B101)+1,LEN(B101)),3))&amp;C101</f>
        <v/>
      </c>
      <c r="B101" s="613" t="n"/>
      <c r="C101" s="613" t="n"/>
      <c r="D101" s="613" t="n"/>
      <c r="E101" s="613" t="n"/>
      <c r="G101" s="613">
        <f>F101-C101</f>
        <v/>
      </c>
      <c r="H101" s="505" t="n"/>
      <c r="I101" s="457">
        <f>IFERROR(__xludf.DUMMYFUNCTION("LET(
  gen,$D101, ev,$E101, t,$H101,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01" s="457">
        <f>IFERROR(__xludf.DUMMYFUNCTION("MIN(FILTER($H$2:$H1115,$A$2:$A1115=A101,$E$2:$E1115=E101))"),"#N/A")</f>
        <v/>
      </c>
      <c r="K101" s="457">
        <f>IFERROR(__xludf.DUMMYFUNCTION("MAX(FILTER($I$2:$I1115,$A$2:$A1115=A101,$E$2:$E1115=E101))"),"#N/A")</f>
        <v/>
      </c>
      <c r="L101" s="457">
        <f>IFERROR(INDEX(F:F,MATCH(J101&amp;A101&amp;E101,H:H&amp;A:A&amp;E:E,0)),"")</f>
        <v/>
      </c>
      <c r="M101" s="457">
        <f>IF(AND(L101&lt;&gt;"",C101&lt;&gt;""), L101-C101, "")</f>
        <v/>
      </c>
      <c r="N101" s="704">
        <f>IFERROR(__xludf.DUMMYFUNCTION("IFERROR(
  MAX(
    FILTER(
      $I$2:$I1115,
      $A$2:$A1115=A101,
      $E$2:$E1115=E101,
      $G$2:$G1115 &gt;= G101-1,
      $G$2:$G1115 &lt;= G101+1
    )
  ),
  """"
)"),"")</f>
        <v/>
      </c>
      <c r="O101" s="464">
        <f>1-N101/K101</f>
        <v/>
      </c>
      <c r="P101" s="613">
        <f>AND(
O101 &lt;= 0.05,
(
COUNTIFS($A$2:$A1213, A101, $E$2:$E1213, E101, $G$2:$G1213, G101, $O$2:$O1213, "&lt;=0.05") +
COUNTIFS($A$2:$A1213, A101, $E$2:$E1213, E101, $G$2:$G1213, G101-1, $O$2:$O1213, "&lt;=0.05") +
COUNTIFS($A$2:$A1213, A101, $E$2:$E1213, E101, $G$2:$G1213, G101+1, $O$2:$O1213, "&lt;=0.05")
) &gt;= 
2)</f>
        <v/>
      </c>
      <c r="Q101" s="457" t="n"/>
      <c r="R101" s="457">
        <f>IFERROR(__xludf.DUMMYFUNCTION("IFERROR(MIN(FILTER($G$2:$G1115, $A$2:$A1115=A101, $E$2:$E1115=E101, $P$2:$P1115=TRUE)), """")"),"")</f>
        <v/>
      </c>
      <c r="S101" s="457">
        <f>IFERROR(__xludf.DUMMYFUNCTION("IFERROR(MAX(FILTER($G$2:$G1115, $A$2:$A1115=A101, $E$2:$E1115=E101, $P$2:$P1115=TRUE)), """")"),"")</f>
        <v/>
      </c>
      <c r="T101" s="613" t="n"/>
      <c r="U101" s="613" t="n"/>
      <c r="V101" s="613">
        <f>IFERROR(__xludf.DUMMYFUNCTION("MIN(FILTER($G$2:$G1115,$A$2:$A1115=A101,$E$2:$E1115=E101))"),"#N/A")</f>
        <v/>
      </c>
    </row>
    <row r="102">
      <c r="A102" s="454">
        <f>LEFT(B102,1)&amp;UPPER(LEFT(MID(B102,FIND(" ",B102)+1,LEN(B102)),3))&amp;C102</f>
        <v/>
      </c>
      <c r="B102" s="590" t="n"/>
      <c r="C102" s="590" t="n"/>
      <c r="D102" s="590" t="n"/>
      <c r="E102" s="590" t="n"/>
      <c r="G102" s="590">
        <f>F102-C102</f>
        <v/>
      </c>
      <c r="H102" s="517" t="n"/>
      <c r="I102" s="457">
        <f>IFERROR(__xludf.DUMMYFUNCTION("LET(
  gen,$D102, ev,$E102, t,$H102,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02" s="457">
        <f>IFERROR(__xludf.DUMMYFUNCTION("MIN(FILTER($H$2:$H1115,$A$2:$A1115=A102,$E$2:$E1115=E102))"),"#N/A")</f>
        <v/>
      </c>
      <c r="K102" s="457">
        <f>IFERROR(__xludf.DUMMYFUNCTION("MAX(FILTER($I$2:$I1115,$A$2:$A1115=A102,$E$2:$E1115=E102))"),"#N/A")</f>
        <v/>
      </c>
      <c r="L102" s="457">
        <f>IFERROR(INDEX(F:F,MATCH(J102&amp;A102&amp;E102,H:H&amp;A:A&amp;E:E,0)),"")</f>
        <v/>
      </c>
      <c r="M102" s="457">
        <f>IF(AND(L102&lt;&gt;"",C102&lt;&gt;""), L102-C102, "")</f>
        <v/>
      </c>
      <c r="N102" s="709">
        <f>IFERROR(__xludf.DUMMYFUNCTION("IFERROR(
  MAX(
    FILTER(
      $I$2:$I1115,
      $A$2:$A1115=A102,
      $E$2:$E1115=E102,
      $G$2:$G1115 &gt;= G102-1,
      $G$2:$G1115 &lt;= G102+1
    )
  ),
  """"
)"),"")</f>
        <v/>
      </c>
      <c r="O102" s="460">
        <f>1-N102/K102</f>
        <v/>
      </c>
      <c r="P102" s="590">
        <f>AND(
O102 &lt;= 0.05,
(
COUNTIFS($A$2:$A1214, A102, $E$2:$E1214, E102, $G$2:$G1214, G102, $O$2:$O1214, "&lt;=0.05") +
COUNTIFS($A$2:$A1214, A102, $E$2:$E1214, E102, $G$2:$G1214, G102-1, $O$2:$O1214, "&lt;=0.05") +
COUNTIFS($A$2:$A1214, A102, $E$2:$E1214, E102, $G$2:$G1214, G102+1, $O$2:$O1214, "&lt;=0.05")
) &gt;= 
2)</f>
        <v/>
      </c>
      <c r="Q102" s="457" t="n"/>
      <c r="R102" s="457">
        <f>IFERROR(__xludf.DUMMYFUNCTION("IFERROR(MIN(FILTER($G$2:$G1115, $A$2:$A1115=A102, $E$2:$E1115=E102, $P$2:$P1115=TRUE)), """")"),"")</f>
        <v/>
      </c>
      <c r="S102" s="457">
        <f>IFERROR(__xludf.DUMMYFUNCTION("IFERROR(MAX(FILTER($G$2:$G1115, $A$2:$A1115=A102, $E$2:$E1115=E102, $P$2:$P1115=TRUE)), """")"),"")</f>
        <v/>
      </c>
      <c r="T102" s="590" t="n"/>
      <c r="U102" s="590" t="n"/>
      <c r="V102" s="590">
        <f>IFERROR(__xludf.DUMMYFUNCTION("MIN(FILTER($G$2:$G1115,$A$2:$A1115=A102,$E$2:$E1115=E102))"),"#N/A")</f>
        <v/>
      </c>
    </row>
    <row r="103">
      <c r="A103" s="454">
        <f>LEFT(B103,1)&amp;UPPER(LEFT(MID(B103,FIND(" ",B103)+1,LEN(B103)),3))&amp;C103</f>
        <v/>
      </c>
      <c r="B103" s="613" t="n"/>
      <c r="C103" s="613" t="n"/>
      <c r="D103" s="613" t="n"/>
      <c r="E103" s="613" t="n"/>
      <c r="G103" s="613">
        <f>F103-C103</f>
        <v/>
      </c>
      <c r="H103" s="505" t="n"/>
      <c r="I103" s="457">
        <f>IFERROR(__xludf.DUMMYFUNCTION("LET(
  gen,$D103, ev,$E103, t,$H103,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03" s="457">
        <f>IFERROR(__xludf.DUMMYFUNCTION("MIN(FILTER($H$2:$H1115,$A$2:$A1115=A103,$E$2:$E1115=E103))"),"#N/A")</f>
        <v/>
      </c>
      <c r="K103" s="457">
        <f>IFERROR(__xludf.DUMMYFUNCTION("MAX(FILTER($I$2:$I1115,$A$2:$A1115=A103,$E$2:$E1115=E103))"),"#N/A")</f>
        <v/>
      </c>
      <c r="L103" s="457">
        <f>IFERROR(INDEX(F:F,MATCH(J103&amp;A103&amp;E103,H:H&amp;A:A&amp;E:E,0)),"")</f>
        <v/>
      </c>
      <c r="M103" s="457">
        <f>IF(AND(L103&lt;&gt;"",C103&lt;&gt;""), L103-C103, "")</f>
        <v/>
      </c>
      <c r="N103" s="704">
        <f>IFERROR(__xludf.DUMMYFUNCTION("IFERROR(
  MAX(
    FILTER(
      $I$2:$I1115,
      $A$2:$A1115=A103,
      $E$2:$E1115=E103,
      $G$2:$G1115 &gt;= G103-1,
      $G$2:$G1115 &lt;= G103+1
    )
  ),
  """"
)"),"")</f>
        <v/>
      </c>
      <c r="O103" s="464">
        <f>1-N103/K103</f>
        <v/>
      </c>
      <c r="P103" s="613">
        <f>AND(
O103 &lt;= 0.05,
(
COUNTIFS($A$2:$A1215, A103, $E$2:$E1215, E103, $G$2:$G1215, G103, $O$2:$O1215, "&lt;=0.05") +
COUNTIFS($A$2:$A1215, A103, $E$2:$E1215, E103, $G$2:$G1215, G103-1, $O$2:$O1215, "&lt;=0.05") +
COUNTIFS($A$2:$A1215, A103, $E$2:$E1215, E103, $G$2:$G1215, G103+1, $O$2:$O1215, "&lt;=0.05")
) &gt;= 
2)</f>
        <v/>
      </c>
      <c r="Q103" s="457" t="n"/>
      <c r="R103" s="457">
        <f>IFERROR(__xludf.DUMMYFUNCTION("IFERROR(MIN(FILTER($G$2:$G1115, $A$2:$A1115=A103, $E$2:$E1115=E103, $P$2:$P1115=TRUE)), """")"),"")</f>
        <v/>
      </c>
      <c r="S103" s="457">
        <f>IFERROR(__xludf.DUMMYFUNCTION("IFERROR(MAX(FILTER($G$2:$G1115, $A$2:$A1115=A103, $E$2:$E1115=E103, $P$2:$P1115=TRUE)), """")"),"")</f>
        <v/>
      </c>
      <c r="T103" s="613" t="n"/>
      <c r="U103" s="613" t="n"/>
      <c r="V103" s="613">
        <f>IFERROR(__xludf.DUMMYFUNCTION("MIN(FILTER($G$2:$G1115,$A$2:$A1115=A103,$E$2:$E1115=E103))"),"#N/A")</f>
        <v/>
      </c>
    </row>
    <row r="104">
      <c r="A104" s="454">
        <f>LEFT(B104,1)&amp;UPPER(LEFT(MID(B104,FIND(" ",B104)+1,LEN(B104)),3))&amp;C104</f>
        <v/>
      </c>
      <c r="B104" s="590" t="n"/>
      <c r="C104" s="590" t="n"/>
      <c r="D104" s="590" t="n"/>
      <c r="E104" s="590" t="n"/>
      <c r="F104" s="590" t="n"/>
      <c r="G104" s="590">
        <f>F104-C104</f>
        <v/>
      </c>
      <c r="H104" s="517" t="n"/>
      <c r="I104" s="457">
        <f>IFERROR(__xludf.DUMMYFUNCTION("LET(
  gen,$D104, ev,$E104, t,$H104,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04" s="457">
        <f>IFERROR(__xludf.DUMMYFUNCTION("MIN(FILTER($H$2:$H1115,$A$2:$A1115=A104,$E$2:$E1115=E104))"),"#N/A")</f>
        <v/>
      </c>
      <c r="K104" s="457">
        <f>IFERROR(__xludf.DUMMYFUNCTION("MAX(FILTER($I$2:$I1115,$A$2:$A1115=A104,$E$2:$E1115=E104))"),"#N/A")</f>
        <v/>
      </c>
      <c r="L104" s="457">
        <f>IFERROR(INDEX(F:F,MATCH(J104&amp;A104&amp;E104,H:H&amp;A:A&amp;E:E,0)),"")</f>
        <v/>
      </c>
      <c r="M104" s="457">
        <f>IF(AND(L104&lt;&gt;"",C104&lt;&gt;""), L104-C104, "")</f>
        <v/>
      </c>
      <c r="N104" s="709">
        <f>IFERROR(__xludf.DUMMYFUNCTION("IFERROR(
  MAX(
    FILTER(
      $I$2:$I1115,
      $A$2:$A1115=A104,
      $E$2:$E1115=E104,
      $G$2:$G1115 &gt;= G104-1,
      $G$2:$G1115 &lt;= G104+1
    )
  ),
  """"
)"),"")</f>
        <v/>
      </c>
      <c r="O104" s="460">
        <f>1-N104/K104</f>
        <v/>
      </c>
      <c r="P104" s="590">
        <f>AND(
O104 &lt;= 0.05,
(
COUNTIFS($A$2:$A1216, A104, $E$2:$E1216, E104, $G$2:$G1216, G104, $O$2:$O1216, "&lt;=0.05") +
COUNTIFS($A$2:$A1216, A104, $E$2:$E1216, E104, $G$2:$G1216, G104-1, $O$2:$O1216, "&lt;=0.05") +
COUNTIFS($A$2:$A1216, A104, $E$2:$E1216, E104, $G$2:$G1216, G104+1, $O$2:$O1216, "&lt;=0.05")
) &gt;= 
2)</f>
        <v/>
      </c>
      <c r="Q104" s="457" t="n"/>
      <c r="R104" s="457">
        <f>IFERROR(__xludf.DUMMYFUNCTION("IFERROR(MIN(FILTER($G$2:$G1115, $A$2:$A1115=A104, $E$2:$E1115=E104, $P$2:$P1115=TRUE)), """")"),"")</f>
        <v/>
      </c>
      <c r="S104" s="457">
        <f>IFERROR(__xludf.DUMMYFUNCTION("IFERROR(MAX(FILTER($G$2:$G1115, $A$2:$A1115=A104, $E$2:$E1115=E104, $P$2:$P1115=TRUE)), """")"),"")</f>
        <v/>
      </c>
      <c r="T104" s="590" t="n"/>
      <c r="U104" s="590" t="n"/>
      <c r="V104" s="590">
        <f>IFERROR(__xludf.DUMMYFUNCTION("MIN(FILTER($G$2:$G1115,$A$2:$A1115=A104,$E$2:$E1115=E104))"),"#N/A")</f>
        <v/>
      </c>
    </row>
    <row r="105">
      <c r="A105" s="454">
        <f>LEFT(B105,1)&amp;UPPER(LEFT(MID(B105,FIND(" ",B105)+1,LEN(B105)),3))&amp;C105</f>
        <v/>
      </c>
      <c r="B105" s="613" t="n"/>
      <c r="C105" s="613" t="n"/>
      <c r="D105" s="613" t="n"/>
      <c r="E105" s="613" t="n"/>
      <c r="F105" s="613" t="n"/>
      <c r="G105" s="613">
        <f>F105-C105</f>
        <v/>
      </c>
      <c r="H105" s="505" t="n"/>
      <c r="I105" s="457">
        <f>IFERROR(__xludf.DUMMYFUNCTION("LET(
  gen,$D105, ev,$E105, t,$H105,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05" s="457">
        <f>IFERROR(__xludf.DUMMYFUNCTION("MIN(FILTER($H$2:$H1115,$A$2:$A1115=A105,$E$2:$E1115=E105))"),"#N/A")</f>
        <v/>
      </c>
      <c r="K105" s="457">
        <f>IFERROR(__xludf.DUMMYFUNCTION("MAX(FILTER($I$2:$I1115,$A$2:$A1115=A105,$E$2:$E1115=E105))"),"#N/A")</f>
        <v/>
      </c>
      <c r="L105" s="457">
        <f>IFERROR(INDEX(F:F,MATCH(J105&amp;A105&amp;E105,H:H&amp;A:A&amp;E:E,0)),"")</f>
        <v/>
      </c>
      <c r="M105" s="457">
        <f>IF(AND(L105&lt;&gt;"",C105&lt;&gt;""), L105-C105, "")</f>
        <v/>
      </c>
      <c r="N105" s="704">
        <f>IFERROR(__xludf.DUMMYFUNCTION("IFERROR(
  MAX(
    FILTER(
      $I$2:$I1115,
      $A$2:$A1115=A105,
      $E$2:$E1115=E105,
      $G$2:$G1115 &gt;= G105-1,
      $G$2:$G1115 &lt;= G105+1
    )
  ),
  """"
)"),"")</f>
        <v/>
      </c>
      <c r="O105" s="464">
        <f>1-N105/K105</f>
        <v/>
      </c>
      <c r="P105" s="613">
        <f>AND(
O105 &lt;= 0.05,
(
COUNTIFS($A$2:$A1217, A105, $E$2:$E1217, E105, $G$2:$G1217, G105, $O$2:$O1217, "&lt;=0.05") +
COUNTIFS($A$2:$A1217, A105, $E$2:$E1217, E105, $G$2:$G1217, G105-1, $O$2:$O1217, "&lt;=0.05") +
COUNTIFS($A$2:$A1217, A105, $E$2:$E1217, E105, $G$2:$G1217, G105+1, $O$2:$O1217, "&lt;=0.05")
) &gt;= 
2)</f>
        <v/>
      </c>
      <c r="Q105" s="457" t="n"/>
      <c r="R105" s="457">
        <f>IFERROR(__xludf.DUMMYFUNCTION("IFERROR(MIN(FILTER($G$2:$G1115, $A$2:$A1115=A105, $E$2:$E1115=E105, $P$2:$P1115=TRUE)), """")"),"")</f>
        <v/>
      </c>
      <c r="S105" s="457">
        <f>IFERROR(__xludf.DUMMYFUNCTION("IFERROR(MAX(FILTER($G$2:$G1115, $A$2:$A1115=A105, $E$2:$E1115=E105, $P$2:$P1115=TRUE)), """")"),"")</f>
        <v/>
      </c>
      <c r="T105" s="613" t="n"/>
      <c r="U105" s="613" t="n"/>
      <c r="V105" s="613">
        <f>IFERROR(__xludf.DUMMYFUNCTION("MIN(FILTER($G$2:$G1115,$A$2:$A1115=A105,$E$2:$E1115=E105))"),"#N/A")</f>
        <v/>
      </c>
    </row>
    <row r="106">
      <c r="A106" s="454">
        <f>LEFT(B106,1)&amp;UPPER(LEFT(MID(B106,FIND(" ",B106)+1,LEN(B106)),3))&amp;C106</f>
        <v/>
      </c>
      <c r="B106" s="590" t="n"/>
      <c r="C106" s="590" t="n"/>
      <c r="D106" s="590" t="n"/>
      <c r="E106" s="590" t="n"/>
      <c r="F106" s="590" t="n"/>
      <c r="G106" s="590">
        <f>F106-C106</f>
        <v/>
      </c>
      <c r="H106" s="517" t="n"/>
      <c r="I106" s="457">
        <f>IFERROR(__xludf.DUMMYFUNCTION("LET(
  gen,$D106, ev,$E106, t,$H106,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06" s="457">
        <f>IFERROR(__xludf.DUMMYFUNCTION("MIN(FILTER($H$2:$H1115,$A$2:$A1115=A106,$E$2:$E1115=E106))"),"#N/A")</f>
        <v/>
      </c>
      <c r="K106" s="457">
        <f>IFERROR(__xludf.DUMMYFUNCTION("MAX(FILTER($I$2:$I1115,$A$2:$A1115=A106,$E$2:$E1115=E106))"),"#N/A")</f>
        <v/>
      </c>
      <c r="L106" s="457">
        <f>IFERROR(INDEX(F:F,MATCH(J106&amp;A106&amp;E106,H:H&amp;A:A&amp;E:E,0)),"")</f>
        <v/>
      </c>
      <c r="M106" s="457">
        <f>IF(AND(L106&lt;&gt;"",C106&lt;&gt;""), L106-C106, "")</f>
        <v/>
      </c>
      <c r="N106" s="709">
        <f>IFERROR(__xludf.DUMMYFUNCTION("IFERROR(
  MAX(
    FILTER(
      $I$2:$I1115,
      $A$2:$A1115=A106,
      $E$2:$E1115=E106,
      $G$2:$G1115 &gt;= G106-1,
      $G$2:$G1115 &lt;= G106+1
    )
  ),
  """"
)"),"")</f>
        <v/>
      </c>
      <c r="O106" s="460">
        <f>1-N106/K106</f>
        <v/>
      </c>
      <c r="P106" s="590">
        <f>AND(
O106 &lt;= 0.05,
(
COUNTIFS($A$2:$A1218, A106, $E$2:$E1218, E106, $G$2:$G1218, G106, $O$2:$O1218, "&lt;=0.05") +
COUNTIFS($A$2:$A1218, A106, $E$2:$E1218, E106, $G$2:$G1218, G106-1, $O$2:$O1218, "&lt;=0.05") +
COUNTIFS($A$2:$A1218, A106, $E$2:$E1218, E106, $G$2:$G1218, G106+1, $O$2:$O1218, "&lt;=0.05")
) &gt;= 
2)</f>
        <v/>
      </c>
      <c r="Q106" s="457" t="n"/>
      <c r="R106" s="457">
        <f>IFERROR(__xludf.DUMMYFUNCTION("IFERROR(MIN(FILTER($G$2:$G1115, $A$2:$A1115=A106, $E$2:$E1115=E106, $P$2:$P1115=TRUE)), """")"),"")</f>
        <v/>
      </c>
      <c r="S106" s="457">
        <f>IFERROR(__xludf.DUMMYFUNCTION("IFERROR(MAX(FILTER($G$2:$G1115, $A$2:$A1115=A106, $E$2:$E1115=E106, $P$2:$P1115=TRUE)), """")"),"")</f>
        <v/>
      </c>
      <c r="T106" s="590" t="n"/>
      <c r="U106" s="590" t="n"/>
      <c r="V106" s="590">
        <f>IFERROR(__xludf.DUMMYFUNCTION("MIN(FILTER($G$2:$G1115,$A$2:$A1115=A106,$E$2:$E1115=E106))"),"#N/A")</f>
        <v/>
      </c>
    </row>
    <row r="107">
      <c r="A107" s="454">
        <f>LEFT(B107,1)&amp;UPPER(LEFT(MID(B107,FIND(" ",B107)+1,LEN(B107)),3))&amp;C107</f>
        <v/>
      </c>
      <c r="B107" s="613" t="n"/>
      <c r="C107" s="613" t="n"/>
      <c r="D107" s="613" t="n"/>
      <c r="E107" s="613" t="n"/>
      <c r="F107" s="613" t="n"/>
      <c r="G107" s="613">
        <f>F107-C107</f>
        <v/>
      </c>
      <c r="H107" s="505" t="n"/>
      <c r="I107" s="457">
        <f>IFERROR(__xludf.DUMMYFUNCTION("LET(
  gen,$D107, ev,$E107, t,$H107,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07" s="457">
        <f>IFERROR(__xludf.DUMMYFUNCTION("MIN(FILTER($H$2:$H1115,$A$2:$A1115=A107,$E$2:$E1115=E107))"),"#N/A")</f>
        <v/>
      </c>
      <c r="K107" s="457">
        <f>IFERROR(__xludf.DUMMYFUNCTION("MAX(FILTER($I$2:$I1115,$A$2:$A1115=A107,$E$2:$E1115=E107))"),"#N/A")</f>
        <v/>
      </c>
      <c r="L107" s="457">
        <f>IFERROR(INDEX(F:F,MATCH(J107&amp;A107&amp;E107,H:H&amp;A:A&amp;E:E,0)),"")</f>
        <v/>
      </c>
      <c r="M107" s="457">
        <f>IF(AND(L107&lt;&gt;"",C107&lt;&gt;""), L107-C107, "")</f>
        <v/>
      </c>
      <c r="N107" s="704">
        <f>IFERROR(__xludf.DUMMYFUNCTION("IFERROR(
  MAX(
    FILTER(
      $I$2:$I1115,
      $A$2:$A1115=A107,
      $E$2:$E1115=E107,
      $G$2:$G1115 &gt;= G107-1,
      $G$2:$G1115 &lt;= G107+1
    )
  ),
  """"
)"),"")</f>
        <v/>
      </c>
      <c r="O107" s="464">
        <f>1-N107/K107</f>
        <v/>
      </c>
      <c r="P107" s="613">
        <f>AND(
O107 &lt;= 0.05,
(
COUNTIFS($A$2:$A1219, A107, $E$2:$E1219, E107, $G$2:$G1219, G107, $O$2:$O1219, "&lt;=0.05") +
COUNTIFS($A$2:$A1219, A107, $E$2:$E1219, E107, $G$2:$G1219, G107-1, $O$2:$O1219, "&lt;=0.05") +
COUNTIFS($A$2:$A1219, A107, $E$2:$E1219, E107, $G$2:$G1219, G107+1, $O$2:$O1219, "&lt;=0.05")
) &gt;= 
2)</f>
        <v/>
      </c>
      <c r="Q107" s="457" t="n"/>
      <c r="R107" s="457">
        <f>IFERROR(__xludf.DUMMYFUNCTION("IFERROR(MIN(FILTER($G$2:$G1115, $A$2:$A1115=A107, $E$2:$E1115=E107, $P$2:$P1115=TRUE)), """")"),"")</f>
        <v/>
      </c>
      <c r="S107" s="457">
        <f>IFERROR(__xludf.DUMMYFUNCTION("IFERROR(MAX(FILTER($G$2:$G1115, $A$2:$A1115=A107, $E$2:$E1115=E107, $P$2:$P1115=TRUE)), """")"),"")</f>
        <v/>
      </c>
      <c r="T107" s="613" t="n"/>
      <c r="U107" s="613" t="n"/>
      <c r="V107" s="613">
        <f>IFERROR(__xludf.DUMMYFUNCTION("MIN(FILTER($G$2:$G1115,$A$2:$A1115=A107,$E$2:$E1115=E107))"),"#N/A")</f>
        <v/>
      </c>
    </row>
    <row r="108">
      <c r="A108" s="454">
        <f>LEFT(B108,1)&amp;UPPER(LEFT(MID(B108,FIND(" ",B108)+1,LEN(B108)),3))&amp;C108</f>
        <v/>
      </c>
      <c r="B108" s="590" t="n"/>
      <c r="C108" s="590" t="n"/>
      <c r="D108" s="590" t="n"/>
      <c r="E108" s="590" t="n"/>
      <c r="F108" s="590" t="n"/>
      <c r="G108" s="590">
        <f>F108-C108</f>
        <v/>
      </c>
      <c r="H108" s="517" t="n"/>
      <c r="I108" s="457">
        <f>IFERROR(__xludf.DUMMYFUNCTION("LET(
  gen,$D108, ev,$E108, t,$H108,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08" s="457">
        <f>IFERROR(__xludf.DUMMYFUNCTION("MIN(FILTER($H$2:$H1115,$A$2:$A1115=A108,$E$2:$E1115=E108))"),"#N/A")</f>
        <v/>
      </c>
      <c r="K108" s="457">
        <f>IFERROR(__xludf.DUMMYFUNCTION("MAX(FILTER($I$2:$I1115,$A$2:$A1115=A108,$E$2:$E1115=E108))"),"#N/A")</f>
        <v/>
      </c>
      <c r="L108" s="457">
        <f>IFERROR(INDEX(F:F,MATCH(J108&amp;A108&amp;E108,H:H&amp;A:A&amp;E:E,0)),"")</f>
        <v/>
      </c>
      <c r="M108" s="457">
        <f>IF(AND(L108&lt;&gt;"",C108&lt;&gt;""), L108-C108, "")</f>
        <v/>
      </c>
      <c r="N108" s="709">
        <f>IFERROR(__xludf.DUMMYFUNCTION("IFERROR(
  MAX(
    FILTER(
      $I$2:$I1115,
      $A$2:$A1115=A108,
      $E$2:$E1115=E108,
      $G$2:$G1115 &gt;= G108-1,
      $G$2:$G1115 &lt;= G108+1
    )
  ),
  """"
)"),"")</f>
        <v/>
      </c>
      <c r="O108" s="460">
        <f>1-N108/K108</f>
        <v/>
      </c>
      <c r="P108" s="590">
        <f>AND(
O108 &lt;= 0.05,
(
COUNTIFS($A$2:$A1220, A108, $E$2:$E1220, E108, $G$2:$G1220, G108, $O$2:$O1220, "&lt;=0.05") +
COUNTIFS($A$2:$A1220, A108, $E$2:$E1220, E108, $G$2:$G1220, G108-1, $O$2:$O1220, "&lt;=0.05") +
COUNTIFS($A$2:$A1220, A108, $E$2:$E1220, E108, $G$2:$G1220, G108+1, $O$2:$O1220, "&lt;=0.05")
) &gt;= 
2)</f>
        <v/>
      </c>
      <c r="Q108" s="457" t="n"/>
      <c r="R108" s="457">
        <f>IFERROR(__xludf.DUMMYFUNCTION("IFERROR(MIN(FILTER($G$2:$G1115, $A$2:$A1115=A108, $E$2:$E1115=E108, $P$2:$P1115=TRUE)), """")"),"")</f>
        <v/>
      </c>
      <c r="S108" s="457">
        <f>IFERROR(__xludf.DUMMYFUNCTION("IFERROR(MAX(FILTER($G$2:$G1115, $A$2:$A1115=A108, $E$2:$E1115=E108, $P$2:$P1115=TRUE)), """")"),"")</f>
        <v/>
      </c>
      <c r="T108" s="590" t="n"/>
      <c r="U108" s="590" t="n"/>
      <c r="V108" s="590">
        <f>IFERROR(__xludf.DUMMYFUNCTION("MIN(FILTER($G$2:$G1115,$A$2:$A1115=A108,$E$2:$E1115=E108))"),"#N/A")</f>
        <v/>
      </c>
    </row>
    <row r="109">
      <c r="A109" s="454">
        <f>LEFT(B109,1)&amp;UPPER(LEFT(MID(B109,FIND(" ",B109)+1,LEN(B109)),3))&amp;C109</f>
        <v/>
      </c>
      <c r="B109" s="613" t="n"/>
      <c r="C109" s="613" t="n"/>
      <c r="D109" s="613" t="n"/>
      <c r="E109" s="613" t="n"/>
      <c r="F109" s="613" t="n"/>
      <c r="G109" s="613">
        <f>F109-C109</f>
        <v/>
      </c>
      <c r="H109" s="505" t="n"/>
      <c r="I109" s="457">
        <f>IFERROR(__xludf.DUMMYFUNCTION("LET(
  gen,$D109, ev,$E109, t,$H109,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09" s="457">
        <f>IFERROR(__xludf.DUMMYFUNCTION("MIN(FILTER($H$2:$H1115,$A$2:$A1115=A109,$E$2:$E1115=E109))"),"#N/A")</f>
        <v/>
      </c>
      <c r="K109" s="457">
        <f>IFERROR(__xludf.DUMMYFUNCTION("MAX(FILTER($I$2:$I1115,$A$2:$A1115=A109,$E$2:$E1115=E109))"),"#N/A")</f>
        <v/>
      </c>
      <c r="L109" s="457">
        <f>IFERROR(INDEX(F:F,MATCH(J109&amp;A109&amp;E109,H:H&amp;A:A&amp;E:E,0)),"")</f>
        <v/>
      </c>
      <c r="M109" s="457">
        <f>IF(AND(L109&lt;&gt;"",C109&lt;&gt;""), L109-C109, "")</f>
        <v/>
      </c>
      <c r="N109" s="704">
        <f>IFERROR(__xludf.DUMMYFUNCTION("IFERROR(
  MAX(
    FILTER(
      $I$2:$I1115,
      $A$2:$A1115=A109,
      $E$2:$E1115=E109,
      $G$2:$G1115 &gt;= G109-1,
      $G$2:$G1115 &lt;= G109+1
    )
  ),
  """"
)"),"")</f>
        <v/>
      </c>
      <c r="O109" s="464">
        <f>1-N109/K109</f>
        <v/>
      </c>
      <c r="P109" s="613">
        <f>AND(
O109 &lt;= 0.05,
(
COUNTIFS($A$2:$A1221, A109, $E$2:$E1221, E109, $G$2:$G1221, G109, $O$2:$O1221, "&lt;=0.05") +
COUNTIFS($A$2:$A1221, A109, $E$2:$E1221, E109, $G$2:$G1221, G109-1, $O$2:$O1221, "&lt;=0.05") +
COUNTIFS($A$2:$A1221, A109, $E$2:$E1221, E109, $G$2:$G1221, G109+1, $O$2:$O1221, "&lt;=0.05")
) &gt;= 
2)</f>
        <v/>
      </c>
      <c r="Q109" s="457" t="n"/>
      <c r="R109" s="457">
        <f>IFERROR(__xludf.DUMMYFUNCTION("IFERROR(MIN(FILTER($G$2:$G1115, $A$2:$A1115=A109, $E$2:$E1115=E109, $P$2:$P1115=TRUE)), """")"),"")</f>
        <v/>
      </c>
      <c r="S109" s="457">
        <f>IFERROR(__xludf.DUMMYFUNCTION("IFERROR(MAX(FILTER($G$2:$G1115, $A$2:$A1115=A109, $E$2:$E1115=E109, $P$2:$P1115=TRUE)), """")"),"")</f>
        <v/>
      </c>
      <c r="T109" s="613" t="n"/>
      <c r="U109" s="613" t="n"/>
      <c r="V109" s="613">
        <f>IFERROR(__xludf.DUMMYFUNCTION("MIN(FILTER($G$2:$G1115,$A$2:$A1115=A109,$E$2:$E1115=E109))"),"#N/A")</f>
        <v/>
      </c>
    </row>
    <row r="110">
      <c r="A110" s="454">
        <f>LEFT(B110,1)&amp;UPPER(LEFT(MID(B110,FIND(" ",B110)+1,LEN(B110)),3))&amp;C110</f>
        <v/>
      </c>
      <c r="B110" s="590" t="n"/>
      <c r="C110" s="590" t="n"/>
      <c r="D110" s="590" t="n"/>
      <c r="E110" s="590" t="n"/>
      <c r="F110" s="590" t="n"/>
      <c r="G110" s="590">
        <f>F110-C110</f>
        <v/>
      </c>
      <c r="H110" s="517" t="n"/>
      <c r="I110" s="457">
        <f>IFERROR(__xludf.DUMMYFUNCTION("LET(
  gen,$D110, ev,$E110, t,$H110,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10" s="457">
        <f>IFERROR(__xludf.DUMMYFUNCTION("MIN(FILTER($H$2:$H1115,$A$2:$A1115=A110,$E$2:$E1115=E110))"),"#N/A")</f>
        <v/>
      </c>
      <c r="K110" s="457">
        <f>IFERROR(__xludf.DUMMYFUNCTION("MAX(FILTER($I$2:$I1115,$A$2:$A1115=A110,$E$2:$E1115=E110))"),"#N/A")</f>
        <v/>
      </c>
      <c r="L110" s="457">
        <f>IFERROR(INDEX(F:F,MATCH(J110&amp;A110&amp;E110,H:H&amp;A:A&amp;E:E,0)),"")</f>
        <v/>
      </c>
      <c r="M110" s="457">
        <f>IF(AND(L110&lt;&gt;"",C110&lt;&gt;""), L110-C110, "")</f>
        <v/>
      </c>
      <c r="N110" s="709">
        <f>IFERROR(__xludf.DUMMYFUNCTION("IFERROR(
  MAX(
    FILTER(
      $I$2:$I1115,
      $A$2:$A1115=A110,
      $E$2:$E1115=E110,
      $G$2:$G1115 &gt;= G110-1,
      $G$2:$G1115 &lt;= G110+1
    )
  ),
  """"
)"),"")</f>
        <v/>
      </c>
      <c r="O110" s="460">
        <f>1-N110/K110</f>
        <v/>
      </c>
      <c r="P110" s="590">
        <f>AND(
O110 &lt;= 0.05,
(
COUNTIFS($A$2:$A1222, A110, $E$2:$E1222, E110, $G$2:$G1222, G110, $O$2:$O1222, "&lt;=0.05") +
COUNTIFS($A$2:$A1222, A110, $E$2:$E1222, E110, $G$2:$G1222, G110-1, $O$2:$O1222, "&lt;=0.05") +
COUNTIFS($A$2:$A1222, A110, $E$2:$E1222, E110, $G$2:$G1222, G110+1, $O$2:$O1222, "&lt;=0.05")
) &gt;= 
2)</f>
        <v/>
      </c>
      <c r="Q110" s="457" t="n"/>
      <c r="R110" s="457">
        <f>IFERROR(__xludf.DUMMYFUNCTION("IFERROR(MIN(FILTER($G$2:$G1115, $A$2:$A1115=A110, $E$2:$E1115=E110, $P$2:$P1115=TRUE)), """")"),"")</f>
        <v/>
      </c>
      <c r="S110" s="457">
        <f>IFERROR(__xludf.DUMMYFUNCTION("IFERROR(MAX(FILTER($G$2:$G1115, $A$2:$A1115=A110, $E$2:$E1115=E110, $P$2:$P1115=TRUE)), """")"),"")</f>
        <v/>
      </c>
      <c r="T110" s="590" t="n"/>
      <c r="U110" s="590" t="n"/>
      <c r="V110" s="590">
        <f>IFERROR(__xludf.DUMMYFUNCTION("MIN(FILTER($G$2:$G1115,$A$2:$A1115=A110,$E$2:$E1115=E110))"),"#N/A")</f>
        <v/>
      </c>
    </row>
    <row r="111">
      <c r="A111" s="454">
        <f>LEFT(B111,1)&amp;UPPER(LEFT(MID(B111,FIND(" ",B111)+1,LEN(B111)),3))&amp;C111</f>
        <v/>
      </c>
      <c r="B111" s="613" t="n"/>
      <c r="C111" s="613" t="n"/>
      <c r="D111" s="613" t="n"/>
      <c r="E111" s="613" t="n"/>
      <c r="F111" s="613" t="n"/>
      <c r="G111" s="613">
        <f>F111-C111</f>
        <v/>
      </c>
      <c r="H111" s="505" t="n"/>
      <c r="I111" s="457">
        <f>IFERROR(__xludf.DUMMYFUNCTION("LET(
  gen,$D111, ev,$E111, t,$H111,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11" s="457">
        <f>IFERROR(__xludf.DUMMYFUNCTION("MIN(FILTER($H$2:$H1115,$A$2:$A1115=A111,$E$2:$E1115=E111))"),"#N/A")</f>
        <v/>
      </c>
      <c r="K111" s="457">
        <f>IFERROR(__xludf.DUMMYFUNCTION("MAX(FILTER($I$2:$I1115,$A$2:$A1115=A111,$E$2:$E1115=E111))"),"#N/A")</f>
        <v/>
      </c>
      <c r="L111" s="457">
        <f>IFERROR(INDEX(F:F,MATCH(J111&amp;A111&amp;E111,H:H&amp;A:A&amp;E:E,0)),"")</f>
        <v/>
      </c>
      <c r="M111" s="457">
        <f>IF(AND(L111&lt;&gt;"",C111&lt;&gt;""), L111-C111, "")</f>
        <v/>
      </c>
      <c r="N111" s="704">
        <f>IFERROR(__xludf.DUMMYFUNCTION("IFERROR(
  MAX(
    FILTER(
      $I$2:$I1115,
      $A$2:$A1115=A111,
      $E$2:$E1115=E111,
      $G$2:$G1115 &gt;= G111-1,
      $G$2:$G1115 &lt;= G111+1
    )
  ),
  """"
)"),"")</f>
        <v/>
      </c>
      <c r="O111" s="464">
        <f>1-N111/K111</f>
        <v/>
      </c>
      <c r="P111" s="613">
        <f>AND(
O111 &lt;= 0.05,
(
COUNTIFS($A$2:$A1223, A111, $E$2:$E1223, E111, $G$2:$G1223, G111, $O$2:$O1223, "&lt;=0.05") +
COUNTIFS($A$2:$A1223, A111, $E$2:$E1223, E111, $G$2:$G1223, G111-1, $O$2:$O1223, "&lt;=0.05") +
COUNTIFS($A$2:$A1223, A111, $E$2:$E1223, E111, $G$2:$G1223, G111+1, $O$2:$O1223, "&lt;=0.05")
) &gt;= 
2)</f>
        <v/>
      </c>
      <c r="Q111" s="457" t="n"/>
      <c r="R111" s="457">
        <f>IFERROR(__xludf.DUMMYFUNCTION("IFERROR(MIN(FILTER($G$2:$G1115, $A$2:$A1115=A111, $E$2:$E1115=E111, $P$2:$P1115=TRUE)), """")"),"")</f>
        <v/>
      </c>
      <c r="S111" s="457">
        <f>IFERROR(__xludf.DUMMYFUNCTION("IFERROR(MAX(FILTER($G$2:$G1115, $A$2:$A1115=A111, $E$2:$E1115=E111, $P$2:$P1115=TRUE)), """")"),"")</f>
        <v/>
      </c>
      <c r="T111" s="613" t="n"/>
      <c r="U111" s="613" t="n"/>
      <c r="V111" s="613">
        <f>IFERROR(__xludf.DUMMYFUNCTION("MIN(FILTER($G$2:$G1115,$A$2:$A1115=A111,$E$2:$E1115=E111))"),"#N/A")</f>
        <v/>
      </c>
    </row>
    <row r="112">
      <c r="A112" s="454">
        <f>LEFT(B112,1)&amp;UPPER(LEFT(MID(B112,FIND(" ",B112)+1,LEN(B112)),3))&amp;C112</f>
        <v/>
      </c>
      <c r="B112" s="590" t="n"/>
      <c r="C112" s="590" t="n"/>
      <c r="D112" s="590" t="n"/>
      <c r="E112" s="590" t="n"/>
      <c r="F112" s="590" t="n"/>
      <c r="G112" s="590">
        <f>F112-C112</f>
        <v/>
      </c>
      <c r="H112" s="517" t="n"/>
      <c r="I112" s="457">
        <f>IFERROR(__xludf.DUMMYFUNCTION("LET(
  gen,$D112, ev,$E112, t,$H112,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12" s="457">
        <f>IFERROR(__xludf.DUMMYFUNCTION("MIN(FILTER($H$2:$H1115,$A$2:$A1115=A112,$E$2:$E1115=E112))"),"#N/A")</f>
        <v/>
      </c>
      <c r="K112" s="457">
        <f>IFERROR(__xludf.DUMMYFUNCTION("MAX(FILTER($I$2:$I1115,$A$2:$A1115=A112,$E$2:$E1115=E112))"),"#N/A")</f>
        <v/>
      </c>
      <c r="L112" s="457">
        <f>IFERROR(INDEX(F:F,MATCH(J112&amp;A112&amp;E112,H:H&amp;A:A&amp;E:E,0)),"")</f>
        <v/>
      </c>
      <c r="M112" s="457">
        <f>IF(AND(L112&lt;&gt;"",C112&lt;&gt;""), L112-C112, "")</f>
        <v/>
      </c>
      <c r="N112" s="709">
        <f>IFERROR(__xludf.DUMMYFUNCTION("IFERROR(
  MAX(
    FILTER(
      $I$2:$I1115,
      $A$2:$A1115=A112,
      $E$2:$E1115=E112,
      $G$2:$G1115 &gt;= G112-1,
      $G$2:$G1115 &lt;= G112+1
    )
  ),
  """"
)"),"")</f>
        <v/>
      </c>
      <c r="O112" s="460">
        <f>1-N112/K112</f>
        <v/>
      </c>
      <c r="P112" s="590">
        <f>AND(
O112 &lt;= 0.05,
(
COUNTIFS($A$2:$A1224, A112, $E$2:$E1224, E112, $G$2:$G1224, G112, $O$2:$O1224, "&lt;=0.05") +
COUNTIFS($A$2:$A1224, A112, $E$2:$E1224, E112, $G$2:$G1224, G112-1, $O$2:$O1224, "&lt;=0.05") +
COUNTIFS($A$2:$A1224, A112, $E$2:$E1224, E112, $G$2:$G1224, G112+1, $O$2:$O1224, "&lt;=0.05")
) &gt;= 
2)</f>
        <v/>
      </c>
      <c r="Q112" s="457" t="n"/>
      <c r="R112" s="457">
        <f>IFERROR(__xludf.DUMMYFUNCTION("IFERROR(MIN(FILTER($G$2:$G1115, $A$2:$A1115=A112, $E$2:$E1115=E112, $P$2:$P1115=TRUE)), """")"),"")</f>
        <v/>
      </c>
      <c r="S112" s="457">
        <f>IFERROR(__xludf.DUMMYFUNCTION("IFERROR(MAX(FILTER($G$2:$G1115, $A$2:$A1115=A112, $E$2:$E1115=E112, $P$2:$P1115=TRUE)), """")"),"")</f>
        <v/>
      </c>
      <c r="T112" s="590" t="n"/>
      <c r="U112" s="590" t="n"/>
      <c r="V112" s="590">
        <f>IFERROR(__xludf.DUMMYFUNCTION("MIN(FILTER($G$2:$G1115,$A$2:$A1115=A112,$E$2:$E1115=E112))"),"#N/A")</f>
        <v/>
      </c>
    </row>
    <row r="113">
      <c r="A113" s="454">
        <f>LEFT(B113,1)&amp;UPPER(LEFT(MID(B113,FIND(" ",B113)+1,LEN(B113)),3))&amp;C113</f>
        <v/>
      </c>
      <c r="B113" s="613" t="n"/>
      <c r="C113" s="613" t="n"/>
      <c r="D113" s="613" t="n"/>
      <c r="E113" s="613" t="n"/>
      <c r="F113" s="613" t="n"/>
      <c r="G113" s="613">
        <f>F113-C113</f>
        <v/>
      </c>
      <c r="H113" s="505" t="n"/>
      <c r="I113" s="457">
        <f>IFERROR(__xludf.DUMMYFUNCTION("LET(
  gen,$D113, ev,$E113, t,$H113,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13" s="457">
        <f>IFERROR(__xludf.DUMMYFUNCTION("MIN(FILTER($H$2:$H1115,$A$2:$A1115=A113,$E$2:$E1115=E113))"),"#N/A")</f>
        <v/>
      </c>
      <c r="K113" s="457">
        <f>IFERROR(__xludf.DUMMYFUNCTION("MAX(FILTER($I$2:$I1115,$A$2:$A1115=A113,$E$2:$E1115=E113))"),"#N/A")</f>
        <v/>
      </c>
      <c r="L113" s="457">
        <f>IFERROR(INDEX(F:F,MATCH(J113&amp;A113&amp;E113,H:H&amp;A:A&amp;E:E,0)),"")</f>
        <v/>
      </c>
      <c r="M113" s="457">
        <f>IF(AND(L113&lt;&gt;"",C113&lt;&gt;""), L113-C113, "")</f>
        <v/>
      </c>
      <c r="N113" s="704">
        <f>IFERROR(__xludf.DUMMYFUNCTION("IFERROR(
  MAX(
    FILTER(
      $I$2:$I1115,
      $A$2:$A1115=A113,
      $E$2:$E1115=E113,
      $G$2:$G1115 &gt;= G113-1,
      $G$2:$G1115 &lt;= G113+1
    )
  ),
  """"
)"),"")</f>
        <v/>
      </c>
      <c r="O113" s="464">
        <f>1-N113/K113</f>
        <v/>
      </c>
      <c r="P113" s="613">
        <f>AND(
O113 &lt;= 0.05,
(
COUNTIFS($A$2:$A1225, A113, $E$2:$E1225, E113, $G$2:$G1225, G113, $O$2:$O1225, "&lt;=0.05") +
COUNTIFS($A$2:$A1225, A113, $E$2:$E1225, E113, $G$2:$G1225, G113-1, $O$2:$O1225, "&lt;=0.05") +
COUNTIFS($A$2:$A1225, A113, $E$2:$E1225, E113, $G$2:$G1225, G113+1, $O$2:$O1225, "&lt;=0.05")
) &gt;= 
2)</f>
        <v/>
      </c>
      <c r="Q113" s="457" t="n"/>
      <c r="R113" s="457">
        <f>IFERROR(__xludf.DUMMYFUNCTION("IFERROR(MIN(FILTER($G$2:$G1115, $A$2:$A1115=A113, $E$2:$E1115=E113, $P$2:$P1115=TRUE)), """")"),"")</f>
        <v/>
      </c>
      <c r="S113" s="457">
        <f>IFERROR(__xludf.DUMMYFUNCTION("IFERROR(MAX(FILTER($G$2:$G1115, $A$2:$A1115=A113, $E$2:$E1115=E113, $P$2:$P1115=TRUE)), """")"),"")</f>
        <v/>
      </c>
      <c r="T113" s="613" t="n"/>
      <c r="U113" s="613" t="n"/>
      <c r="V113" s="613">
        <f>IFERROR(__xludf.DUMMYFUNCTION("MIN(FILTER($G$2:$G1115,$A$2:$A1115=A113,$E$2:$E1115=E113))"),"#N/A")</f>
        <v/>
      </c>
    </row>
    <row r="114">
      <c r="A114" s="454">
        <f>LEFT(B114,1)&amp;UPPER(LEFT(MID(B114,FIND(" ",B114)+1,LEN(B114)),3))&amp;C114</f>
        <v/>
      </c>
      <c r="B114" s="590" t="n"/>
      <c r="C114" s="590" t="n"/>
      <c r="D114" s="590" t="n"/>
      <c r="E114" s="590" t="n"/>
      <c r="G114" s="590">
        <f>F114-C114</f>
        <v/>
      </c>
      <c r="H114" s="517" t="n"/>
      <c r="I114" s="457">
        <f>IFERROR(__xludf.DUMMYFUNCTION("LET(
  gen,$D114, ev,$E114, t,$H114,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14" s="457">
        <f>IFERROR(__xludf.DUMMYFUNCTION("MIN(FILTER($H$2:$H1115,$A$2:$A1115=A114,$E$2:$E1115=E114))"),"#N/A")</f>
        <v/>
      </c>
      <c r="K114" s="457">
        <f>IFERROR(__xludf.DUMMYFUNCTION("MAX(FILTER($I$2:$I1115,$A$2:$A1115=A114,$E$2:$E1115=E114))"),"#N/A")</f>
        <v/>
      </c>
      <c r="L114" s="457">
        <f>IFERROR(INDEX(F:F,MATCH(J114&amp;A114&amp;E114,H:H&amp;A:A&amp;E:E,0)),"")</f>
        <v/>
      </c>
      <c r="M114" s="457">
        <f>IF(AND(L114&lt;&gt;"",C114&lt;&gt;""), L114-C114, "")</f>
        <v/>
      </c>
      <c r="N114" s="709">
        <f>IFERROR(__xludf.DUMMYFUNCTION("IFERROR(
  MAX(
    FILTER(
      $I$2:$I1115,
      $A$2:$A1115=A114,
      $E$2:$E1115=E114,
      $G$2:$G1115 &gt;= G114-1,
      $G$2:$G1115 &lt;= G114+1
    )
  ),
  """"
)"),"")</f>
        <v/>
      </c>
      <c r="O114" s="460">
        <f>1-N114/K114</f>
        <v/>
      </c>
      <c r="P114" s="590">
        <f>AND(
O114 &lt;= 0.05,
(
COUNTIFS($A$2:$A1226, A114, $E$2:$E1226, E114, $G$2:$G1226, G114, $O$2:$O1226, "&lt;=0.05") +
COUNTIFS($A$2:$A1226, A114, $E$2:$E1226, E114, $G$2:$G1226, G114-1, $O$2:$O1226, "&lt;=0.05") +
COUNTIFS($A$2:$A1226, A114, $E$2:$E1226, E114, $G$2:$G1226, G114+1, $O$2:$O1226, "&lt;=0.05")
) &gt;= 
2)</f>
        <v/>
      </c>
      <c r="Q114" s="457" t="n"/>
      <c r="R114" s="457">
        <f>IFERROR(__xludf.DUMMYFUNCTION("IFERROR(MIN(FILTER($G$2:$G1115, $A$2:$A1115=A114, $E$2:$E1115=E114, $P$2:$P1115=TRUE)), """")"),"")</f>
        <v/>
      </c>
      <c r="S114" s="457">
        <f>IFERROR(__xludf.DUMMYFUNCTION("IFERROR(MAX(FILTER($G$2:$G1115, $A$2:$A1115=A114, $E$2:$E1115=E114, $P$2:$P1115=TRUE)), """")"),"")</f>
        <v/>
      </c>
      <c r="T114" s="590" t="n"/>
      <c r="U114" s="590" t="n"/>
      <c r="V114" s="590">
        <f>IFERROR(__xludf.DUMMYFUNCTION("MIN(FILTER($G$2:$G1115,$A$2:$A1115=A114,$E$2:$E1115=E114))"),"#N/A")</f>
        <v/>
      </c>
    </row>
    <row r="115">
      <c r="A115" s="454">
        <f>LEFT(B115,1)&amp;UPPER(LEFT(MID(B115,FIND(" ",B115)+1,LEN(B115)),3))&amp;C115</f>
        <v/>
      </c>
      <c r="B115" s="613" t="n"/>
      <c r="C115" s="613" t="n"/>
      <c r="D115" s="613" t="n"/>
      <c r="E115" s="613" t="n"/>
      <c r="G115" s="613">
        <f>F115-C115</f>
        <v/>
      </c>
      <c r="H115" s="505" t="n"/>
      <c r="I115" s="457">
        <f>IFERROR(__xludf.DUMMYFUNCTION("LET(
  gen,$D115, ev,$E115, t,$H115,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15" s="457">
        <f>IFERROR(__xludf.DUMMYFUNCTION("MIN(FILTER($H$2:$H1115,$A$2:$A1115=A115,$E$2:$E1115=E115))"),"#N/A")</f>
        <v/>
      </c>
      <c r="K115" s="457">
        <f>IFERROR(__xludf.DUMMYFUNCTION("MAX(FILTER($I$2:$I1115,$A$2:$A1115=A115,$E$2:$E1115=E115))"),"#N/A")</f>
        <v/>
      </c>
      <c r="L115" s="457">
        <f>IFERROR(INDEX(F:F,MATCH(J115&amp;A115&amp;E115,H:H&amp;A:A&amp;E:E,0)),"")</f>
        <v/>
      </c>
      <c r="M115" s="457">
        <f>IF(AND(L115&lt;&gt;"",C115&lt;&gt;""), L115-C115, "")</f>
        <v/>
      </c>
      <c r="N115" s="704">
        <f>IFERROR(__xludf.DUMMYFUNCTION("IFERROR(
  MAX(
    FILTER(
      $I$2:$I1115,
      $A$2:$A1115=A115,
      $E$2:$E1115=E115,
      $G$2:$G1115 &gt;= G115-1,
      $G$2:$G1115 &lt;= G115+1
    )
  ),
  """"
)"),"")</f>
        <v/>
      </c>
      <c r="O115" s="464">
        <f>1-N115/K115</f>
        <v/>
      </c>
      <c r="P115" s="613">
        <f>AND(
O115 &lt;= 0.05,
(
COUNTIFS($A$2:$A1227, A115, $E$2:$E1227, E115, $G$2:$G1227, G115, $O$2:$O1227, "&lt;=0.05") +
COUNTIFS($A$2:$A1227, A115, $E$2:$E1227, E115, $G$2:$G1227, G115-1, $O$2:$O1227, "&lt;=0.05") +
COUNTIFS($A$2:$A1227, A115, $E$2:$E1227, E115, $G$2:$G1227, G115+1, $O$2:$O1227, "&lt;=0.05")
) &gt;= 
2)</f>
        <v/>
      </c>
      <c r="Q115" s="457" t="n"/>
      <c r="R115" s="457">
        <f>IFERROR(__xludf.DUMMYFUNCTION("IFERROR(MIN(FILTER($G$2:$G1115, $A$2:$A1115=A115, $E$2:$E1115=E115, $P$2:$P1115=TRUE)), """")"),"")</f>
        <v/>
      </c>
      <c r="S115" s="457">
        <f>IFERROR(__xludf.DUMMYFUNCTION("IFERROR(MAX(FILTER($G$2:$G1115, $A$2:$A1115=A115, $E$2:$E1115=E115, $P$2:$P1115=TRUE)), """")"),"")</f>
        <v/>
      </c>
      <c r="T115" s="613" t="n"/>
      <c r="U115" s="613" t="n"/>
      <c r="V115" s="613">
        <f>IFERROR(__xludf.DUMMYFUNCTION("MIN(FILTER($G$2:$G1115,$A$2:$A1115=A115,$E$2:$E1115=E115))"),"#N/A")</f>
        <v/>
      </c>
    </row>
    <row r="116">
      <c r="A116" s="454">
        <f>LEFT(B116,1)&amp;UPPER(LEFT(MID(B116,FIND(" ",B116)+1,LEN(B116)),3))&amp;C116</f>
        <v/>
      </c>
      <c r="B116" s="590" t="n"/>
      <c r="C116" s="590" t="n"/>
      <c r="D116" s="590" t="n"/>
      <c r="E116" s="590" t="n"/>
      <c r="G116" s="590">
        <f>F116-C116</f>
        <v/>
      </c>
      <c r="H116" s="517" t="n"/>
      <c r="I116" s="457">
        <f>IFERROR(__xludf.DUMMYFUNCTION("LET(
  gen,$D116, ev,$E116, t,$H116,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16" s="457">
        <f>IFERROR(__xludf.DUMMYFUNCTION("MIN(FILTER($H$2:$H1115,$A$2:$A1115=A116,$E$2:$E1115=E116))"),"#N/A")</f>
        <v/>
      </c>
      <c r="K116" s="457">
        <f>IFERROR(__xludf.DUMMYFUNCTION("MAX(FILTER($I$2:$I1115,$A$2:$A1115=A116,$E$2:$E1115=E116))"),"#N/A")</f>
        <v/>
      </c>
      <c r="L116" s="457">
        <f>IFERROR(INDEX(F:F,MATCH(J116&amp;A116&amp;E116,H:H&amp;A:A&amp;E:E,0)),"")</f>
        <v/>
      </c>
      <c r="M116" s="457">
        <f>IF(AND(L116&lt;&gt;"",C116&lt;&gt;""), L116-C116, "")</f>
        <v/>
      </c>
      <c r="N116" s="709">
        <f>IFERROR(__xludf.DUMMYFUNCTION("IFERROR(
  MAX(
    FILTER(
      $I$2:$I1115,
      $A$2:$A1115=A116,
      $E$2:$E1115=E116,
      $G$2:$G1115 &gt;= G116-1,
      $G$2:$G1115 &lt;= G116+1
    )
  ),
  """"
)"),"")</f>
        <v/>
      </c>
      <c r="O116" s="460">
        <f>1-N116/K116</f>
        <v/>
      </c>
      <c r="P116" s="590">
        <f>AND(
O116 &lt;= 0.05,
(
COUNTIFS($A$2:$A1228, A116, $E$2:$E1228, E116, $G$2:$G1228, G116, $O$2:$O1228, "&lt;=0.05") +
COUNTIFS($A$2:$A1228, A116, $E$2:$E1228, E116, $G$2:$G1228, G116-1, $O$2:$O1228, "&lt;=0.05") +
COUNTIFS($A$2:$A1228, A116, $E$2:$E1228, E116, $G$2:$G1228, G116+1, $O$2:$O1228, "&lt;=0.05")
) &gt;= 
2)</f>
        <v/>
      </c>
      <c r="Q116" s="457" t="n"/>
      <c r="R116" s="457">
        <f>IFERROR(__xludf.DUMMYFUNCTION("IFERROR(MIN(FILTER($G$2:$G1115, $A$2:$A1115=A116, $E$2:$E1115=E116, $P$2:$P1115=TRUE)), """")"),"")</f>
        <v/>
      </c>
      <c r="S116" s="457">
        <f>IFERROR(__xludf.DUMMYFUNCTION("IFERROR(MAX(FILTER($G$2:$G1115, $A$2:$A1115=A116, $E$2:$E1115=E116, $P$2:$P1115=TRUE)), """")"),"")</f>
        <v/>
      </c>
      <c r="T116" s="590" t="n"/>
      <c r="U116" s="590" t="n"/>
      <c r="V116" s="590">
        <f>IFERROR(__xludf.DUMMYFUNCTION("MIN(FILTER($G$2:$G1115,$A$2:$A1115=A116,$E$2:$E1115=E116))"),"#N/A")</f>
        <v/>
      </c>
    </row>
    <row r="117">
      <c r="A117" s="454">
        <f>LEFT(B117,1)&amp;UPPER(LEFT(MID(B117,FIND(" ",B117)+1,LEN(B117)),3))&amp;C117</f>
        <v/>
      </c>
      <c r="B117" s="613" t="n"/>
      <c r="C117" s="613" t="n"/>
      <c r="D117" s="613" t="n"/>
      <c r="E117" s="613" t="n"/>
      <c r="G117" s="613">
        <f>F117-C117</f>
        <v/>
      </c>
      <c r="H117" s="505" t="n"/>
      <c r="I117" s="457">
        <f>IFERROR(__xludf.DUMMYFUNCTION("LET(
  gen,$D117, ev,$E117, t,$H117,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17" s="457">
        <f>IFERROR(__xludf.DUMMYFUNCTION("MIN(FILTER($H$2:$H1115,$A$2:$A1115=A117,$E$2:$E1115=E117))"),"#N/A")</f>
        <v/>
      </c>
      <c r="K117" s="457">
        <f>IFERROR(__xludf.DUMMYFUNCTION("MAX(FILTER($I$2:$I1115,$A$2:$A1115=A117,$E$2:$E1115=E117))"),"#N/A")</f>
        <v/>
      </c>
      <c r="L117" s="457">
        <f>IFERROR(INDEX(F:F,MATCH(J117&amp;A117&amp;E117,H:H&amp;A:A&amp;E:E,0)),"")</f>
        <v/>
      </c>
      <c r="M117" s="457">
        <f>IF(AND(L117&lt;&gt;"",C117&lt;&gt;""), L117-C117, "")</f>
        <v/>
      </c>
      <c r="N117" s="704">
        <f>IFERROR(__xludf.DUMMYFUNCTION("IFERROR(
  MAX(
    FILTER(
      $I$2:$I1115,
      $A$2:$A1115=A117,
      $E$2:$E1115=E117,
      $G$2:$G1115 &gt;= G117-1,
      $G$2:$G1115 &lt;= G117+1
    )
  ),
  """"
)"),"")</f>
        <v/>
      </c>
      <c r="O117" s="464">
        <f>1-N117/K117</f>
        <v/>
      </c>
      <c r="P117" s="613">
        <f>AND(
O117 &lt;= 0.05,
(
COUNTIFS($A$2:$A1229, A117, $E$2:$E1229, E117, $G$2:$G1229, G117, $O$2:$O1229, "&lt;=0.05") +
COUNTIFS($A$2:$A1229, A117, $E$2:$E1229, E117, $G$2:$G1229, G117-1, $O$2:$O1229, "&lt;=0.05") +
COUNTIFS($A$2:$A1229, A117, $E$2:$E1229, E117, $G$2:$G1229, G117+1, $O$2:$O1229, "&lt;=0.05")
) &gt;= 
2)</f>
        <v/>
      </c>
      <c r="Q117" s="457" t="n"/>
      <c r="R117" s="457">
        <f>IFERROR(__xludf.DUMMYFUNCTION("IFERROR(MIN(FILTER($G$2:$G1115, $A$2:$A1115=A117, $E$2:$E1115=E117, $P$2:$P1115=TRUE)), """")"),"")</f>
        <v/>
      </c>
      <c r="S117" s="457">
        <f>IFERROR(__xludf.DUMMYFUNCTION("IFERROR(MAX(FILTER($G$2:$G1115, $A$2:$A1115=A117, $E$2:$E1115=E117, $P$2:$P1115=TRUE)), """")"),"")</f>
        <v/>
      </c>
      <c r="T117" s="613" t="n"/>
      <c r="U117" s="613" t="n"/>
      <c r="V117" s="613">
        <f>IFERROR(__xludf.DUMMYFUNCTION("MIN(FILTER($G$2:$G1115,$A$2:$A1115=A117,$E$2:$E1115=E117))"),"#N/A")</f>
        <v/>
      </c>
    </row>
    <row r="118">
      <c r="A118" s="454">
        <f>LEFT(B118,1)&amp;UPPER(LEFT(MID(B118,FIND(" ",B118)+1,LEN(B118)),3))&amp;C118</f>
        <v/>
      </c>
      <c r="B118" s="590" t="n"/>
      <c r="C118" s="590" t="n"/>
      <c r="D118" s="590" t="n"/>
      <c r="E118" s="590" t="n"/>
      <c r="G118" s="590">
        <f>F118-C118</f>
        <v/>
      </c>
      <c r="H118" s="517" t="n"/>
      <c r="I118" s="457">
        <f>IFERROR(__xludf.DUMMYFUNCTION("LET(
  gen,$D118, ev,$E118, t,$H118,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18" s="457">
        <f>IFERROR(__xludf.DUMMYFUNCTION("MIN(FILTER($H$2:$H1115,$A$2:$A1115=A118,$E$2:$E1115=E118))"),"#N/A")</f>
        <v/>
      </c>
      <c r="K118" s="457">
        <f>IFERROR(__xludf.DUMMYFUNCTION("MAX(FILTER($I$2:$I1115,$A$2:$A1115=A118,$E$2:$E1115=E118))"),"#N/A")</f>
        <v/>
      </c>
      <c r="L118" s="457">
        <f>IFERROR(INDEX(F:F,MATCH(J118&amp;A118&amp;E118,H:H&amp;A:A&amp;E:E,0)),"")</f>
        <v/>
      </c>
      <c r="M118" s="457">
        <f>IF(AND(L118&lt;&gt;"",C118&lt;&gt;""), L118-C118, "")</f>
        <v/>
      </c>
      <c r="N118" s="709">
        <f>IFERROR(__xludf.DUMMYFUNCTION("IFERROR(
  MAX(
    FILTER(
      $I$2:$I1115,
      $A$2:$A1115=A118,
      $E$2:$E1115=E118,
      $G$2:$G1115 &gt;= G118-1,
      $G$2:$G1115 &lt;= G118+1
    )
  ),
  """"
)"),"")</f>
        <v/>
      </c>
      <c r="O118" s="460">
        <f>1-N118/K118</f>
        <v/>
      </c>
      <c r="P118" s="590">
        <f>AND(
O118 &lt;= 0.05,
(
COUNTIFS($A$2:$A1230, A118, $E$2:$E1230, E118, $G$2:$G1230, G118, $O$2:$O1230, "&lt;=0.05") +
COUNTIFS($A$2:$A1230, A118, $E$2:$E1230, E118, $G$2:$G1230, G118-1, $O$2:$O1230, "&lt;=0.05") +
COUNTIFS($A$2:$A1230, A118, $E$2:$E1230, E118, $G$2:$G1230, G118+1, $O$2:$O1230, "&lt;=0.05")
) &gt;= 
2)</f>
        <v/>
      </c>
      <c r="Q118" s="457" t="n"/>
      <c r="R118" s="457">
        <f>IFERROR(__xludf.DUMMYFUNCTION("IFERROR(MIN(FILTER($G$2:$G1115, $A$2:$A1115=A118, $E$2:$E1115=E118, $P$2:$P1115=TRUE)), """")"),"")</f>
        <v/>
      </c>
      <c r="S118" s="457">
        <f>IFERROR(__xludf.DUMMYFUNCTION("IFERROR(MAX(FILTER($G$2:$G1115, $A$2:$A1115=A118, $E$2:$E1115=E118, $P$2:$P1115=TRUE)), """")"),"")</f>
        <v/>
      </c>
      <c r="T118" s="590" t="n"/>
      <c r="U118" s="590" t="n"/>
      <c r="V118" s="590">
        <f>IFERROR(__xludf.DUMMYFUNCTION("MIN(FILTER($G$2:$G1115,$A$2:$A1115=A118,$E$2:$E1115=E118))"),"#N/A")</f>
        <v/>
      </c>
    </row>
    <row r="119">
      <c r="A119" s="454">
        <f>LEFT(B119,1)&amp;UPPER(LEFT(MID(B119,FIND(" ",B119)+1,LEN(B119)),3))&amp;C119</f>
        <v/>
      </c>
      <c r="B119" s="613" t="n"/>
      <c r="C119" s="613" t="n"/>
      <c r="D119" s="613" t="n"/>
      <c r="E119" s="613" t="n"/>
      <c r="G119" s="613">
        <f>F119-C119</f>
        <v/>
      </c>
      <c r="H119" s="505" t="n"/>
      <c r="I119" s="457">
        <f>IFERROR(__xludf.DUMMYFUNCTION("LET(
  gen,$D119, ev,$E119, t,$H119,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19" s="457">
        <f>IFERROR(__xludf.DUMMYFUNCTION("MIN(FILTER($H$2:$H1115,$A$2:$A1115=A119,$E$2:$E1115=E119))"),"#N/A")</f>
        <v/>
      </c>
      <c r="K119" s="457">
        <f>IFERROR(__xludf.DUMMYFUNCTION("MAX(FILTER($I$2:$I1115,$A$2:$A1115=A119,$E$2:$E1115=E119))"),"#N/A")</f>
        <v/>
      </c>
      <c r="L119" s="457">
        <f>IFERROR(INDEX(F:F,MATCH(J119&amp;A119&amp;E119,H:H&amp;A:A&amp;E:E,0)),"")</f>
        <v/>
      </c>
      <c r="M119" s="457">
        <f>IF(AND(L119&lt;&gt;"",C119&lt;&gt;""), L119-C119, "")</f>
        <v/>
      </c>
      <c r="N119" s="704">
        <f>IFERROR(__xludf.DUMMYFUNCTION("IFERROR(
  MAX(
    FILTER(
      $I$2:$I1115,
      $A$2:$A1115=A119,
      $E$2:$E1115=E119,
      $G$2:$G1115 &gt;= G119-1,
      $G$2:$G1115 &lt;= G119+1
    )
  ),
  """"
)"),"")</f>
        <v/>
      </c>
      <c r="O119" s="464">
        <f>1-N119/K119</f>
        <v/>
      </c>
      <c r="P119" s="613">
        <f>AND(
O119 &lt;= 0.05,
(
COUNTIFS($A$2:$A1231, A119, $E$2:$E1231, E119, $G$2:$G1231, G119, $O$2:$O1231, "&lt;=0.05") +
COUNTIFS($A$2:$A1231, A119, $E$2:$E1231, E119, $G$2:$G1231, G119-1, $O$2:$O1231, "&lt;=0.05") +
COUNTIFS($A$2:$A1231, A119, $E$2:$E1231, E119, $G$2:$G1231, G119+1, $O$2:$O1231, "&lt;=0.05")
) &gt;= 
2)</f>
        <v/>
      </c>
      <c r="Q119" s="457" t="n"/>
      <c r="R119" s="457">
        <f>IFERROR(__xludf.DUMMYFUNCTION("IFERROR(MIN(FILTER($G$2:$G1115, $A$2:$A1115=A119, $E$2:$E1115=E119, $P$2:$P1115=TRUE)), """")"),"")</f>
        <v/>
      </c>
      <c r="S119" s="457">
        <f>IFERROR(__xludf.DUMMYFUNCTION("IFERROR(MAX(FILTER($G$2:$G1115, $A$2:$A1115=A119, $E$2:$E1115=E119, $P$2:$P1115=TRUE)), """")"),"")</f>
        <v/>
      </c>
      <c r="T119" s="613" t="n"/>
      <c r="U119" s="613" t="n"/>
      <c r="V119" s="613">
        <f>IFERROR(__xludf.DUMMYFUNCTION("MIN(FILTER($G$2:$G1115,$A$2:$A1115=A119,$E$2:$E1115=E119))"),"#N/A")</f>
        <v/>
      </c>
    </row>
    <row r="120">
      <c r="A120" s="454">
        <f>LEFT(B120,1)&amp;UPPER(LEFT(MID(B120,FIND(" ",B120)+1,LEN(B120)),3))&amp;C120</f>
        <v/>
      </c>
      <c r="B120" s="590" t="n"/>
      <c r="C120" s="590" t="n"/>
      <c r="D120" s="590" t="n"/>
      <c r="E120" s="590" t="n"/>
      <c r="G120" s="590">
        <f>F120-C120</f>
        <v/>
      </c>
      <c r="H120" s="517" t="n"/>
      <c r="I120" s="457">
        <f>IFERROR(__xludf.DUMMYFUNCTION("LET(
  gen,$D120, ev,$E120, t,$H120,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20" s="457">
        <f>IFERROR(__xludf.DUMMYFUNCTION("MIN(FILTER($H$2:$H1115,$A$2:$A1115=A120,$E$2:$E1115=E120))"),"#N/A")</f>
        <v/>
      </c>
      <c r="K120" s="457">
        <f>IFERROR(__xludf.DUMMYFUNCTION("MAX(FILTER($I$2:$I1115,$A$2:$A1115=A120,$E$2:$E1115=E120))"),"#N/A")</f>
        <v/>
      </c>
      <c r="L120" s="457">
        <f>IFERROR(INDEX(F:F,MATCH(J120&amp;A120&amp;E120,H:H&amp;A:A&amp;E:E,0)),"")</f>
        <v/>
      </c>
      <c r="M120" s="457">
        <f>IF(AND(L120&lt;&gt;"",C120&lt;&gt;""), L120-C120, "")</f>
        <v/>
      </c>
      <c r="N120" s="709">
        <f>IFERROR(__xludf.DUMMYFUNCTION("IFERROR(
  MAX(
    FILTER(
      $I$2:$I1115,
      $A$2:$A1115=A120,
      $E$2:$E1115=E120,
      $G$2:$G1115 &gt;= G120-1,
      $G$2:$G1115 &lt;= G120+1
    )
  ),
  """"
)"),"")</f>
        <v/>
      </c>
      <c r="O120" s="460">
        <f>1-N120/K120</f>
        <v/>
      </c>
      <c r="P120" s="590">
        <f>AND(
O120 &lt;= 0.05,
(
COUNTIFS($A$2:$A1232, A120, $E$2:$E1232, E120, $G$2:$G1232, G120, $O$2:$O1232, "&lt;=0.05") +
COUNTIFS($A$2:$A1232, A120, $E$2:$E1232, E120, $G$2:$G1232, G120-1, $O$2:$O1232, "&lt;=0.05") +
COUNTIFS($A$2:$A1232, A120, $E$2:$E1232, E120, $G$2:$G1232, G120+1, $O$2:$O1232, "&lt;=0.05")
) &gt;= 
2)</f>
        <v/>
      </c>
      <c r="Q120" s="457" t="n"/>
      <c r="R120" s="457">
        <f>IFERROR(__xludf.DUMMYFUNCTION("IFERROR(MIN(FILTER($G$2:$G1115, $A$2:$A1115=A120, $E$2:$E1115=E120, $P$2:$P1115=TRUE)), """")"),"")</f>
        <v/>
      </c>
      <c r="S120" s="457">
        <f>IFERROR(__xludf.DUMMYFUNCTION("IFERROR(MAX(FILTER($G$2:$G1115, $A$2:$A1115=A120, $E$2:$E1115=E120, $P$2:$P1115=TRUE)), """")"),"")</f>
        <v/>
      </c>
      <c r="T120" s="590" t="n"/>
      <c r="U120" s="590" t="n"/>
      <c r="V120" s="590">
        <f>IFERROR(__xludf.DUMMYFUNCTION("MIN(FILTER($G$2:$G1115,$A$2:$A1115=A120,$E$2:$E1115=E120))"),"#N/A")</f>
        <v/>
      </c>
    </row>
    <row r="121">
      <c r="A121" s="454">
        <f>LEFT(B121,1)&amp;UPPER(LEFT(MID(B121,FIND(" ",B121)+1,LEN(B121)),3))&amp;C121</f>
        <v/>
      </c>
      <c r="B121" s="613" t="n"/>
      <c r="C121" s="613" t="n"/>
      <c r="D121" s="613" t="n"/>
      <c r="E121" s="613" t="n"/>
      <c r="G121" s="613">
        <f>F121-C121</f>
        <v/>
      </c>
      <c r="H121" s="505" t="n"/>
      <c r="I121" s="457">
        <f>IFERROR(__xludf.DUMMYFUNCTION("LET(
  gen,$D121, ev,$E121, t,$H121,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21" s="457">
        <f>IFERROR(__xludf.DUMMYFUNCTION("MIN(FILTER($H$2:$H1115,$A$2:$A1115=A121,$E$2:$E1115=E121))"),"#N/A")</f>
        <v/>
      </c>
      <c r="K121" s="457">
        <f>IFERROR(__xludf.DUMMYFUNCTION("MAX(FILTER($I$2:$I1115,$A$2:$A1115=A121,$E$2:$E1115=E121))"),"#N/A")</f>
        <v/>
      </c>
      <c r="L121" s="457">
        <f>IFERROR(INDEX(F:F,MATCH(J121&amp;A121&amp;E121,H:H&amp;A:A&amp;E:E,0)),"")</f>
        <v/>
      </c>
      <c r="M121" s="457">
        <f>IF(AND(L121&lt;&gt;"",C121&lt;&gt;""), L121-C121, "")</f>
        <v/>
      </c>
      <c r="N121" s="704">
        <f>IFERROR(__xludf.DUMMYFUNCTION("IFERROR(
  MAX(
    FILTER(
      $I$2:$I1115,
      $A$2:$A1115=A121,
      $E$2:$E1115=E121,
      $G$2:$G1115 &gt;= G121-1,
      $G$2:$G1115 &lt;= G121+1
    )
  ),
  """"
)"),"")</f>
        <v/>
      </c>
      <c r="O121" s="464">
        <f>1-N121/K121</f>
        <v/>
      </c>
      <c r="P121" s="613">
        <f>AND(
O121 &lt;= 0.05,
(
COUNTIFS($A$2:$A1233, A121, $E$2:$E1233, E121, $G$2:$G1233, G121, $O$2:$O1233, "&lt;=0.05") +
COUNTIFS($A$2:$A1233, A121, $E$2:$E1233, E121, $G$2:$G1233, G121-1, $O$2:$O1233, "&lt;=0.05") +
COUNTIFS($A$2:$A1233, A121, $E$2:$E1233, E121, $G$2:$G1233, G121+1, $O$2:$O1233, "&lt;=0.05")
) &gt;= 
2)</f>
        <v/>
      </c>
      <c r="Q121" s="457" t="n"/>
      <c r="R121" s="457">
        <f>IFERROR(__xludf.DUMMYFUNCTION("IFERROR(MIN(FILTER($G$2:$G1115, $A$2:$A1115=A121, $E$2:$E1115=E121, $P$2:$P1115=TRUE)), """")"),"")</f>
        <v/>
      </c>
      <c r="S121" s="457">
        <f>IFERROR(__xludf.DUMMYFUNCTION("IFERROR(MAX(FILTER($G$2:$G1115, $A$2:$A1115=A121, $E$2:$E1115=E121, $P$2:$P1115=TRUE)), """")"),"")</f>
        <v/>
      </c>
      <c r="T121" s="613" t="n"/>
      <c r="U121" s="613" t="n"/>
      <c r="V121" s="613">
        <f>IFERROR(__xludf.DUMMYFUNCTION("MIN(FILTER($G$2:$G1115,$A$2:$A1115=A121,$E$2:$E1115=E121))"),"#N/A")</f>
        <v/>
      </c>
    </row>
    <row r="122">
      <c r="A122" s="454">
        <f>LEFT(B122,1)&amp;UPPER(LEFT(MID(B122,FIND(" ",B122)+1,LEN(B122)),3))&amp;C122</f>
        <v/>
      </c>
      <c r="B122" s="590" t="n"/>
      <c r="C122" s="590" t="n"/>
      <c r="D122" s="590" t="n"/>
      <c r="E122" s="590" t="n"/>
      <c r="G122" s="590">
        <f>F122-C122</f>
        <v/>
      </c>
      <c r="H122" s="517" t="n"/>
      <c r="I122" s="457">
        <f>IFERROR(__xludf.DUMMYFUNCTION("LET(
  gen,$D122, ev,$E122, t,$H122,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22" s="457">
        <f>IFERROR(__xludf.DUMMYFUNCTION("MIN(FILTER($H$2:$H1115,$A$2:$A1115=A122,$E$2:$E1115=E122))"),"#N/A")</f>
        <v/>
      </c>
      <c r="K122" s="457">
        <f>IFERROR(__xludf.DUMMYFUNCTION("MAX(FILTER($I$2:$I1115,$A$2:$A1115=A122,$E$2:$E1115=E122))"),"#N/A")</f>
        <v/>
      </c>
      <c r="L122" s="457">
        <f>IFERROR(INDEX(F:F,MATCH(J122&amp;A122&amp;E122,H:H&amp;A:A&amp;E:E,0)),"")</f>
        <v/>
      </c>
      <c r="M122" s="457">
        <f>IF(AND(L122&lt;&gt;"",C122&lt;&gt;""), L122-C122, "")</f>
        <v/>
      </c>
      <c r="N122" s="709">
        <f>IFERROR(__xludf.DUMMYFUNCTION("IFERROR(
  MAX(
    FILTER(
      $I$2:$I1115,
      $A$2:$A1115=A122,
      $E$2:$E1115=E122,
      $G$2:$G1115 &gt;= G122-1,
      $G$2:$G1115 &lt;= G122+1
    )
  ),
  """"
)"),"")</f>
        <v/>
      </c>
      <c r="O122" s="460">
        <f>1-N122/K122</f>
        <v/>
      </c>
      <c r="P122" s="590">
        <f>AND(
O122 &lt;= 0.05,
(
COUNTIFS($A$2:$A1234, A122, $E$2:$E1234, E122, $G$2:$G1234, G122, $O$2:$O1234, "&lt;=0.05") +
COUNTIFS($A$2:$A1234, A122, $E$2:$E1234, E122, $G$2:$G1234, G122-1, $O$2:$O1234, "&lt;=0.05") +
COUNTIFS($A$2:$A1234, A122, $E$2:$E1234, E122, $G$2:$G1234, G122+1, $O$2:$O1234, "&lt;=0.05")
) &gt;= 
2)</f>
        <v/>
      </c>
      <c r="Q122" s="457" t="n"/>
      <c r="R122" s="457">
        <f>IFERROR(__xludf.DUMMYFUNCTION("IFERROR(MIN(FILTER($G$2:$G1115, $A$2:$A1115=A122, $E$2:$E1115=E122, $P$2:$P1115=TRUE)), """")"),"")</f>
        <v/>
      </c>
      <c r="S122" s="457">
        <f>IFERROR(__xludf.DUMMYFUNCTION("IFERROR(MAX(FILTER($G$2:$G1115, $A$2:$A1115=A122, $E$2:$E1115=E122, $P$2:$P1115=TRUE)), """")"),"")</f>
        <v/>
      </c>
      <c r="T122" s="590" t="n"/>
      <c r="U122" s="590" t="n"/>
      <c r="V122" s="590">
        <f>IFERROR(__xludf.DUMMYFUNCTION("MIN(FILTER($G$2:$G1115,$A$2:$A1115=A122,$E$2:$E1115=E122))"),"#N/A")</f>
        <v/>
      </c>
    </row>
    <row r="123">
      <c r="A123" s="454">
        <f>LEFT(B123,1)&amp;UPPER(LEFT(MID(B123,FIND(" ",B123)+1,LEN(B123)),3))&amp;C123</f>
        <v/>
      </c>
      <c r="B123" s="613" t="n"/>
      <c r="C123" s="613" t="n"/>
      <c r="D123" s="613" t="n"/>
      <c r="E123" s="613" t="n"/>
      <c r="G123" s="613">
        <f>F123-C123</f>
        <v/>
      </c>
      <c r="H123" s="505" t="n"/>
      <c r="I123" s="457">
        <f>IFERROR(__xludf.DUMMYFUNCTION("LET(
  gen,$D123, ev,$E123, t,$H123,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23" s="457">
        <f>IFERROR(__xludf.DUMMYFUNCTION("MIN(FILTER($H$2:$H1115,$A$2:$A1115=A123,$E$2:$E1115=E123))"),"#N/A")</f>
        <v/>
      </c>
      <c r="K123" s="457">
        <f>IFERROR(__xludf.DUMMYFUNCTION("MAX(FILTER($I$2:$I1115,$A$2:$A1115=A123,$E$2:$E1115=E123))"),"#N/A")</f>
        <v/>
      </c>
      <c r="L123" s="457">
        <f>IFERROR(INDEX(F:F,MATCH(J123&amp;A123&amp;E123,H:H&amp;A:A&amp;E:E,0)),"")</f>
        <v/>
      </c>
      <c r="M123" s="457">
        <f>IF(AND(L123&lt;&gt;"",C123&lt;&gt;""), L123-C123, "")</f>
        <v/>
      </c>
      <c r="N123" s="704">
        <f>IFERROR(__xludf.DUMMYFUNCTION("IFERROR(
  MAX(
    FILTER(
      $I$2:$I1115,
      $A$2:$A1115=A123,
      $E$2:$E1115=E123,
      $G$2:$G1115 &gt;= G123-1,
      $G$2:$G1115 &lt;= G123+1
    )
  ),
  """"
)"),"")</f>
        <v/>
      </c>
      <c r="O123" s="464">
        <f>1-N123/K123</f>
        <v/>
      </c>
      <c r="P123" s="613">
        <f>AND(
O123 &lt;= 0.05,
(
COUNTIFS($A$2:$A1235, A123, $E$2:$E1235, E123, $G$2:$G1235, G123, $O$2:$O1235, "&lt;=0.05") +
COUNTIFS($A$2:$A1235, A123, $E$2:$E1235, E123, $G$2:$G1235, G123-1, $O$2:$O1235, "&lt;=0.05") +
COUNTIFS($A$2:$A1235, A123, $E$2:$E1235, E123, $G$2:$G1235, G123+1, $O$2:$O1235, "&lt;=0.05")
) &gt;= 
2)</f>
        <v/>
      </c>
      <c r="Q123" s="457" t="n"/>
      <c r="R123" s="457">
        <f>IFERROR(__xludf.DUMMYFUNCTION("IFERROR(MIN(FILTER($G$2:$G1115, $A$2:$A1115=A123, $E$2:$E1115=E123, $P$2:$P1115=TRUE)), """")"),"")</f>
        <v/>
      </c>
      <c r="S123" s="457">
        <f>IFERROR(__xludf.DUMMYFUNCTION("IFERROR(MAX(FILTER($G$2:$G1115, $A$2:$A1115=A123, $E$2:$E1115=E123, $P$2:$P1115=TRUE)), """")"),"")</f>
        <v/>
      </c>
      <c r="T123" s="613" t="n"/>
      <c r="U123" s="613" t="n"/>
      <c r="V123" s="613">
        <f>IFERROR(__xludf.DUMMYFUNCTION("MIN(FILTER($G$2:$G1115,$A$2:$A1115=A123,$E$2:$E1115=E123))"),"#N/A")</f>
        <v/>
      </c>
    </row>
    <row r="124">
      <c r="A124" s="454">
        <f>LEFT(B124,1)&amp;UPPER(LEFT(MID(B124,FIND(" ",B124)+1,LEN(B124)),3))&amp;C124</f>
        <v/>
      </c>
      <c r="B124" s="590" t="n"/>
      <c r="C124" s="590" t="n"/>
      <c r="D124" s="590" t="n"/>
      <c r="E124" s="590" t="n"/>
      <c r="G124" s="590">
        <f>F124-C124</f>
        <v/>
      </c>
      <c r="H124" s="517" t="n"/>
      <c r="I124" s="457">
        <f>IFERROR(__xludf.DUMMYFUNCTION("LET(
  gen,$D124, ev,$E124, t,$H124,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24" s="457">
        <f>IFERROR(__xludf.DUMMYFUNCTION("MIN(FILTER($H$2:$H1115,$A$2:$A1115=A124,$E$2:$E1115=E124))"),"#N/A")</f>
        <v/>
      </c>
      <c r="K124" s="457">
        <f>IFERROR(__xludf.DUMMYFUNCTION("MAX(FILTER($I$2:$I1115,$A$2:$A1115=A124,$E$2:$E1115=E124))"),"#N/A")</f>
        <v/>
      </c>
      <c r="L124" s="457">
        <f>IFERROR(INDEX(F:F,MATCH(J124&amp;A124&amp;E124,H:H&amp;A:A&amp;E:E,0)),"")</f>
        <v/>
      </c>
      <c r="M124" s="457">
        <f>IF(AND(L124&lt;&gt;"",C124&lt;&gt;""), L124-C124, "")</f>
        <v/>
      </c>
      <c r="N124" s="709">
        <f>IFERROR(__xludf.DUMMYFUNCTION("IFERROR(
  MAX(
    FILTER(
      $I$2:$I1115,
      $A$2:$A1115=A124,
      $E$2:$E1115=E124,
      $G$2:$G1115 &gt;= G124-1,
      $G$2:$G1115 &lt;= G124+1
    )
  ),
  """"
)"),"")</f>
        <v/>
      </c>
      <c r="O124" s="460">
        <f>1-N124/K124</f>
        <v/>
      </c>
      <c r="P124" s="590">
        <f>AND(
O124 &lt;= 0.05,
(
COUNTIFS($A$2:$A1236, A124, $E$2:$E1236, E124, $G$2:$G1236, G124, $O$2:$O1236, "&lt;=0.05") +
COUNTIFS($A$2:$A1236, A124, $E$2:$E1236, E124, $G$2:$G1236, G124-1, $O$2:$O1236, "&lt;=0.05") +
COUNTIFS($A$2:$A1236, A124, $E$2:$E1236, E124, $G$2:$G1236, G124+1, $O$2:$O1236, "&lt;=0.05")
) &gt;= 
2)</f>
        <v/>
      </c>
      <c r="Q124" s="457" t="n"/>
      <c r="R124" s="457">
        <f>IFERROR(__xludf.DUMMYFUNCTION("IFERROR(MIN(FILTER($G$2:$G1115, $A$2:$A1115=A124, $E$2:$E1115=E124, $P$2:$P1115=TRUE)), """")"),"")</f>
        <v/>
      </c>
      <c r="S124" s="457">
        <f>IFERROR(__xludf.DUMMYFUNCTION("IFERROR(MAX(FILTER($G$2:$G1115, $A$2:$A1115=A124, $E$2:$E1115=E124, $P$2:$P1115=TRUE)), """")"),"")</f>
        <v/>
      </c>
      <c r="T124" s="590" t="n"/>
      <c r="U124" s="590" t="n"/>
      <c r="V124" s="590">
        <f>IFERROR(__xludf.DUMMYFUNCTION("MIN(FILTER($G$2:$G1115,$A$2:$A1115=A124,$E$2:$E1115=E124))"),"#N/A")</f>
        <v/>
      </c>
    </row>
    <row r="125">
      <c r="A125" s="454">
        <f>LEFT(B125,1)&amp;UPPER(LEFT(MID(B125,FIND(" ",B125)+1,LEN(B125)),3))&amp;C125</f>
        <v/>
      </c>
      <c r="B125" s="613" t="n"/>
      <c r="C125" s="613" t="n"/>
      <c r="D125" s="613" t="n"/>
      <c r="E125" s="613" t="n"/>
      <c r="G125" s="613">
        <f>F125-C125</f>
        <v/>
      </c>
      <c r="H125" s="505" t="n"/>
      <c r="I125" s="457">
        <f>IFERROR(__xludf.DUMMYFUNCTION("LET(
  gen,$D125, ev,$E125, t,$H125,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25" s="457">
        <f>IFERROR(__xludf.DUMMYFUNCTION("MIN(FILTER($H$2:$H1115,$A$2:$A1115=A125,$E$2:$E1115=E125))"),"#N/A")</f>
        <v/>
      </c>
      <c r="K125" s="457">
        <f>IFERROR(__xludf.DUMMYFUNCTION("MAX(FILTER($I$2:$I1115,$A$2:$A1115=A125,$E$2:$E1115=E125))"),"#N/A")</f>
        <v/>
      </c>
      <c r="L125" s="457">
        <f>IFERROR(INDEX(F:F,MATCH(J125&amp;A125&amp;E125,H:H&amp;A:A&amp;E:E,0)),"")</f>
        <v/>
      </c>
      <c r="M125" s="457">
        <f>IF(AND(L125&lt;&gt;"",C125&lt;&gt;""), L125-C125, "")</f>
        <v/>
      </c>
      <c r="N125" s="704">
        <f>IFERROR(__xludf.DUMMYFUNCTION("IFERROR(
  MAX(
    FILTER(
      $I$2:$I1115,
      $A$2:$A1115=A125,
      $E$2:$E1115=E125,
      $G$2:$G1115 &gt;= G125-1,
      $G$2:$G1115 &lt;= G125+1
    )
  ),
  """"
)"),"")</f>
        <v/>
      </c>
      <c r="O125" s="464">
        <f>1-N125/K125</f>
        <v/>
      </c>
      <c r="P125" s="613">
        <f>AND(
O125 &lt;= 0.05,
(
COUNTIFS($A$2:$A1237, A125, $E$2:$E1237, E125, $G$2:$G1237, G125, $O$2:$O1237, "&lt;=0.05") +
COUNTIFS($A$2:$A1237, A125, $E$2:$E1237, E125, $G$2:$G1237, G125-1, $O$2:$O1237, "&lt;=0.05") +
COUNTIFS($A$2:$A1237, A125, $E$2:$E1237, E125, $G$2:$G1237, G125+1, $O$2:$O1237, "&lt;=0.05")
) &gt;= 
2)</f>
        <v/>
      </c>
      <c r="Q125" s="457" t="n"/>
      <c r="R125" s="457">
        <f>IFERROR(__xludf.DUMMYFUNCTION("IFERROR(MIN(FILTER($G$2:$G1115, $A$2:$A1115=A125, $E$2:$E1115=E125, $P$2:$P1115=TRUE)), """")"),"")</f>
        <v/>
      </c>
      <c r="S125" s="457">
        <f>IFERROR(__xludf.DUMMYFUNCTION("IFERROR(MAX(FILTER($G$2:$G1115, $A$2:$A1115=A125, $E$2:$E1115=E125, $P$2:$P1115=TRUE)), """")"),"")</f>
        <v/>
      </c>
      <c r="T125" s="613" t="n"/>
      <c r="U125" s="613" t="n"/>
      <c r="V125" s="613">
        <f>IFERROR(__xludf.DUMMYFUNCTION("MIN(FILTER($G$2:$G1115,$A$2:$A1115=A125,$E$2:$E1115=E125))"),"#N/A")</f>
        <v/>
      </c>
    </row>
    <row r="126">
      <c r="A126" s="454">
        <f>LEFT(B126,1)&amp;UPPER(LEFT(MID(B126,FIND(" ",B126)+1,LEN(B126)),3))&amp;C126</f>
        <v/>
      </c>
      <c r="B126" s="590" t="n"/>
      <c r="C126" s="590" t="n"/>
      <c r="D126" s="590" t="n"/>
      <c r="E126" s="590" t="n"/>
      <c r="G126" s="590">
        <f>F126-C126</f>
        <v/>
      </c>
      <c r="H126" s="517" t="n"/>
      <c r="I126" s="457">
        <f>IFERROR(__xludf.DUMMYFUNCTION("LET(
  gen,$D126, ev,$E126, t,$H126,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26" s="457">
        <f>IFERROR(__xludf.DUMMYFUNCTION("MIN(FILTER($H$2:$H1115,$A$2:$A1115=A126,$E$2:$E1115=E126))"),"#N/A")</f>
        <v/>
      </c>
      <c r="K126" s="457">
        <f>IFERROR(__xludf.DUMMYFUNCTION("MAX(FILTER($I$2:$I1115,$A$2:$A1115=A126,$E$2:$E1115=E126))"),"#N/A")</f>
        <v/>
      </c>
      <c r="L126" s="457">
        <f>IFERROR(INDEX(F:F,MATCH(J126&amp;A126&amp;E126,H:H&amp;A:A&amp;E:E,0)),"")</f>
        <v/>
      </c>
      <c r="M126" s="457">
        <f>IF(AND(L126&lt;&gt;"",C126&lt;&gt;""), L126-C126, "")</f>
        <v/>
      </c>
      <c r="N126" s="709">
        <f>IFERROR(__xludf.DUMMYFUNCTION("IFERROR(
  MAX(
    FILTER(
      $I$2:$I1115,
      $A$2:$A1115=A126,
      $E$2:$E1115=E126,
      $G$2:$G1115 &gt;= G126-1,
      $G$2:$G1115 &lt;= G126+1
    )
  ),
  """"
)"),"")</f>
        <v/>
      </c>
      <c r="O126" s="460">
        <f>1-N126/K126</f>
        <v/>
      </c>
      <c r="P126" s="590">
        <f>AND(
O126 &lt;= 0.05,
(
COUNTIFS($A$2:$A1238, A126, $E$2:$E1238, E126, $G$2:$G1238, G126, $O$2:$O1238, "&lt;=0.05") +
COUNTIFS($A$2:$A1238, A126, $E$2:$E1238, E126, $G$2:$G1238, G126-1, $O$2:$O1238, "&lt;=0.05") +
COUNTIFS($A$2:$A1238, A126, $E$2:$E1238, E126, $G$2:$G1238, G126+1, $O$2:$O1238, "&lt;=0.05")
) &gt;= 
2)</f>
        <v/>
      </c>
      <c r="Q126" s="457" t="n"/>
      <c r="R126" s="457">
        <f>IFERROR(__xludf.DUMMYFUNCTION("IFERROR(MIN(FILTER($G$2:$G1115, $A$2:$A1115=A126, $E$2:$E1115=E126, $P$2:$P1115=TRUE)), """")"),"")</f>
        <v/>
      </c>
      <c r="S126" s="457">
        <f>IFERROR(__xludf.DUMMYFUNCTION("IFERROR(MAX(FILTER($G$2:$G1115, $A$2:$A1115=A126, $E$2:$E1115=E126, $P$2:$P1115=TRUE)), """")"),"")</f>
        <v/>
      </c>
      <c r="T126" s="590" t="n"/>
      <c r="U126" s="590" t="n"/>
      <c r="V126" s="590">
        <f>IFERROR(__xludf.DUMMYFUNCTION("MIN(FILTER($G$2:$G1115,$A$2:$A1115=A126,$E$2:$E1115=E126))"),"#N/A")</f>
        <v/>
      </c>
    </row>
    <row r="127">
      <c r="A127" s="454">
        <f>LEFT(B127,1)&amp;UPPER(LEFT(MID(B127,FIND(" ",B127)+1,LEN(B127)),3))&amp;C127</f>
        <v/>
      </c>
      <c r="B127" s="613" t="n"/>
      <c r="C127" s="613" t="n"/>
      <c r="D127" s="613" t="n"/>
      <c r="E127" s="613" t="n"/>
      <c r="G127" s="613">
        <f>F127-C127</f>
        <v/>
      </c>
      <c r="H127" s="505" t="n"/>
      <c r="I127" s="457">
        <f>IFERROR(__xludf.DUMMYFUNCTION("LET(
  gen,$D127, ev,$E127, t,$H127,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27" s="457">
        <f>IFERROR(__xludf.DUMMYFUNCTION("MIN(FILTER($H$2:$H1115,$A$2:$A1115=A127,$E$2:$E1115=E127))"),"#N/A")</f>
        <v/>
      </c>
      <c r="K127" s="457">
        <f>IFERROR(__xludf.DUMMYFUNCTION("MAX(FILTER($I$2:$I1115,$A$2:$A1115=A127,$E$2:$E1115=E127))"),"#N/A")</f>
        <v/>
      </c>
      <c r="L127" s="457">
        <f>IFERROR(INDEX(F:F,MATCH(J127&amp;A127&amp;E127,H:H&amp;A:A&amp;E:E,0)),"")</f>
        <v/>
      </c>
      <c r="M127" s="457">
        <f>IF(AND(L127&lt;&gt;"",C127&lt;&gt;""), L127-C127, "")</f>
        <v/>
      </c>
      <c r="N127" s="704">
        <f>IFERROR(__xludf.DUMMYFUNCTION("IFERROR(
  MAX(
    FILTER(
      $I$2:$I1115,
      $A$2:$A1115=A127,
      $E$2:$E1115=E127,
      $G$2:$G1115 &gt;= G127-1,
      $G$2:$G1115 &lt;= G127+1
    )
  ),
  """"
)"),"")</f>
        <v/>
      </c>
      <c r="O127" s="464">
        <f>1-N127/K127</f>
        <v/>
      </c>
      <c r="P127" s="613">
        <f>AND(
O127 &lt;= 0.05,
(
COUNTIFS($A$2:$A1239, A127, $E$2:$E1239, E127, $G$2:$G1239, G127, $O$2:$O1239, "&lt;=0.05") +
COUNTIFS($A$2:$A1239, A127, $E$2:$E1239, E127, $G$2:$G1239, G127-1, $O$2:$O1239, "&lt;=0.05") +
COUNTIFS($A$2:$A1239, A127, $E$2:$E1239, E127, $G$2:$G1239, G127+1, $O$2:$O1239, "&lt;=0.05")
) &gt;= 
2)</f>
        <v/>
      </c>
      <c r="Q127" s="457" t="n"/>
      <c r="R127" s="457">
        <f>IFERROR(__xludf.DUMMYFUNCTION("IFERROR(MIN(FILTER($G$2:$G1115, $A$2:$A1115=A127, $E$2:$E1115=E127, $P$2:$P1115=TRUE)), """")"),"")</f>
        <v/>
      </c>
      <c r="S127" s="457">
        <f>IFERROR(__xludf.DUMMYFUNCTION("IFERROR(MAX(FILTER($G$2:$G1115, $A$2:$A1115=A127, $E$2:$E1115=E127, $P$2:$P1115=TRUE)), """")"),"")</f>
        <v/>
      </c>
      <c r="T127" s="613" t="n"/>
      <c r="U127" s="613" t="n"/>
      <c r="V127" s="613">
        <f>IFERROR(__xludf.DUMMYFUNCTION("MIN(FILTER($G$2:$G1115,$A$2:$A1115=A127,$E$2:$E1115=E127))"),"#N/A")</f>
        <v/>
      </c>
    </row>
    <row r="128">
      <c r="A128" s="454">
        <f>LEFT(B128,1)&amp;UPPER(LEFT(MID(B128,FIND(" ",B128)+1,LEN(B128)),3))&amp;C128</f>
        <v/>
      </c>
      <c r="B128" s="590" t="n"/>
      <c r="C128" s="590" t="n"/>
      <c r="D128" s="590" t="n"/>
      <c r="E128" s="590" t="n"/>
      <c r="G128" s="590">
        <f>F128-C128</f>
        <v/>
      </c>
      <c r="H128" s="517" t="n"/>
      <c r="I128" s="457">
        <f>IFERROR(__xludf.DUMMYFUNCTION("LET(
  gen,$D128, ev,$E128, t,$H128,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28" s="457">
        <f>IFERROR(__xludf.DUMMYFUNCTION("MIN(FILTER($H$2:$H1115,$A$2:$A1115=A128,$E$2:$E1115=E128))"),"#N/A")</f>
        <v/>
      </c>
      <c r="K128" s="457">
        <f>IFERROR(__xludf.DUMMYFUNCTION("MAX(FILTER($I$2:$I1115,$A$2:$A1115=A128,$E$2:$E1115=E128))"),"#N/A")</f>
        <v/>
      </c>
      <c r="L128" s="457">
        <f>IFERROR(INDEX(F:F,MATCH(J128&amp;A128&amp;E128,H:H&amp;A:A&amp;E:E,0)),"")</f>
        <v/>
      </c>
      <c r="M128" s="457">
        <f>IF(AND(L128&lt;&gt;"",C128&lt;&gt;""), L128-C128, "")</f>
        <v/>
      </c>
      <c r="N128" s="709">
        <f>IFERROR(__xludf.DUMMYFUNCTION("IFERROR(
  MAX(
    FILTER(
      $I$2:$I1115,
      $A$2:$A1115=A128,
      $E$2:$E1115=E128,
      $G$2:$G1115 &gt;= G128-1,
      $G$2:$G1115 &lt;= G128+1
    )
  ),
  """"
)"),"")</f>
        <v/>
      </c>
      <c r="O128" s="460">
        <f>1-N128/K128</f>
        <v/>
      </c>
      <c r="P128" s="590">
        <f>AND(
O128 &lt;= 0.05,
(
COUNTIFS($A$2:$A1240, A128, $E$2:$E1240, E128, $G$2:$G1240, G128, $O$2:$O1240, "&lt;=0.05") +
COUNTIFS($A$2:$A1240, A128, $E$2:$E1240, E128, $G$2:$G1240, G128-1, $O$2:$O1240, "&lt;=0.05") +
COUNTIFS($A$2:$A1240, A128, $E$2:$E1240, E128, $G$2:$G1240, G128+1, $O$2:$O1240, "&lt;=0.05")
) &gt;= 
2)</f>
        <v/>
      </c>
      <c r="Q128" s="457" t="n"/>
      <c r="R128" s="457">
        <f>IFERROR(__xludf.DUMMYFUNCTION("IFERROR(MIN(FILTER($G$2:$G1115, $A$2:$A1115=A128, $E$2:$E1115=E128, $P$2:$P1115=TRUE)), """")"),"")</f>
        <v/>
      </c>
      <c r="S128" s="457">
        <f>IFERROR(__xludf.DUMMYFUNCTION("IFERROR(MAX(FILTER($G$2:$G1115, $A$2:$A1115=A128, $E$2:$E1115=E128, $P$2:$P1115=TRUE)), """")"),"")</f>
        <v/>
      </c>
      <c r="T128" s="590" t="n"/>
      <c r="U128" s="590" t="n"/>
      <c r="V128" s="590">
        <f>IFERROR(__xludf.DUMMYFUNCTION("MIN(FILTER($G$2:$G1115,$A$2:$A1115=A128,$E$2:$E1115=E128))"),"#N/A")</f>
        <v/>
      </c>
    </row>
    <row r="129">
      <c r="A129" s="454">
        <f>LEFT(B129,1)&amp;UPPER(LEFT(MID(B129,FIND(" ",B129)+1,LEN(B129)),3))&amp;C129</f>
        <v/>
      </c>
      <c r="B129" s="613" t="n"/>
      <c r="C129" s="613" t="n"/>
      <c r="D129" s="613" t="n"/>
      <c r="E129" s="613" t="n"/>
      <c r="G129" s="613">
        <f>F129-C129</f>
        <v/>
      </c>
      <c r="H129" s="505" t="n"/>
      <c r="I129" s="457">
        <f>IFERROR(__xludf.DUMMYFUNCTION("LET(
  gen,$D129, ev,$E129, t,$H129,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29" s="457">
        <f>IFERROR(__xludf.DUMMYFUNCTION("MIN(FILTER($H$2:$H1115,$A$2:$A1115=A129,$E$2:$E1115=E129))"),"#N/A")</f>
        <v/>
      </c>
      <c r="K129" s="457">
        <f>IFERROR(__xludf.DUMMYFUNCTION("MAX(FILTER($I$2:$I1115,$A$2:$A1115=A129,$E$2:$E1115=E129))"),"#N/A")</f>
        <v/>
      </c>
      <c r="L129" s="457">
        <f>IFERROR(INDEX(F:F,MATCH(J129&amp;A129&amp;E129,H:H&amp;A:A&amp;E:E,0)),"")</f>
        <v/>
      </c>
      <c r="M129" s="457">
        <f>IF(AND(L129&lt;&gt;"",C129&lt;&gt;""), L129-C129, "")</f>
        <v/>
      </c>
      <c r="N129" s="704">
        <f>IFERROR(__xludf.DUMMYFUNCTION("IFERROR(
  MAX(
    FILTER(
      $I$2:$I1115,
      $A$2:$A1115=A129,
      $E$2:$E1115=E129,
      $G$2:$G1115 &gt;= G129-1,
      $G$2:$G1115 &lt;= G129+1
    )
  ),
  """"
)"),"")</f>
        <v/>
      </c>
      <c r="O129" s="464">
        <f>1-N129/K129</f>
        <v/>
      </c>
      <c r="P129" s="613">
        <f>AND(
O129 &lt;= 0.05,
(
COUNTIFS($A$2:$A1241, A129, $E$2:$E1241, E129, $G$2:$G1241, G129, $O$2:$O1241, "&lt;=0.05") +
COUNTIFS($A$2:$A1241, A129, $E$2:$E1241, E129, $G$2:$G1241, G129-1, $O$2:$O1241, "&lt;=0.05") +
COUNTIFS($A$2:$A1241, A129, $E$2:$E1241, E129, $G$2:$G1241, G129+1, $O$2:$O1241, "&lt;=0.05")
) &gt;= 
2)</f>
        <v/>
      </c>
      <c r="Q129" s="457" t="n"/>
      <c r="R129" s="457">
        <f>IFERROR(__xludf.DUMMYFUNCTION("IFERROR(MIN(FILTER($G$2:$G1115, $A$2:$A1115=A129, $E$2:$E1115=E129, $P$2:$P1115=TRUE)), """")"),"")</f>
        <v/>
      </c>
      <c r="S129" s="457">
        <f>IFERROR(__xludf.DUMMYFUNCTION("IFERROR(MAX(FILTER($G$2:$G1115, $A$2:$A1115=A129, $E$2:$E1115=E129, $P$2:$P1115=TRUE)), """")"),"")</f>
        <v/>
      </c>
      <c r="T129" s="613" t="n"/>
      <c r="U129" s="613" t="n"/>
      <c r="V129" s="613">
        <f>IFERROR(__xludf.DUMMYFUNCTION("MIN(FILTER($G$2:$G1115,$A$2:$A1115=A129,$E$2:$E1115=E129))"),"#N/A")</f>
        <v/>
      </c>
    </row>
    <row r="130">
      <c r="A130" s="454">
        <f>LEFT(B130,1)&amp;UPPER(LEFT(MID(B130,FIND(" ",B130)+1,LEN(B130)),3))&amp;C130</f>
        <v/>
      </c>
      <c r="B130" s="590" t="n"/>
      <c r="C130" s="590" t="n"/>
      <c r="D130" s="590" t="n"/>
      <c r="E130" s="590" t="n"/>
      <c r="G130" s="590">
        <f>F130-C130</f>
        <v/>
      </c>
      <c r="H130" s="517" t="n"/>
      <c r="I130" s="457">
        <f>IFERROR(__xludf.DUMMYFUNCTION("LET(
  gen,$D130, ev,$E130, t,$H130,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30" s="457">
        <f>IFERROR(__xludf.DUMMYFUNCTION("MIN(FILTER($H$2:$H1115,$A$2:$A1115=A130,$E$2:$E1115=E130))"),"#N/A")</f>
        <v/>
      </c>
      <c r="K130" s="457">
        <f>IFERROR(__xludf.DUMMYFUNCTION("MAX(FILTER($I$2:$I1115,$A$2:$A1115=A130,$E$2:$E1115=E130))"),"#N/A")</f>
        <v/>
      </c>
      <c r="L130" s="457">
        <f>IFERROR(INDEX(F:F,MATCH(J130&amp;A130&amp;E130,H:H&amp;A:A&amp;E:E,0)),"")</f>
        <v/>
      </c>
      <c r="M130" s="457">
        <f>IF(AND(L130&lt;&gt;"",C130&lt;&gt;""), L130-C130, "")</f>
        <v/>
      </c>
      <c r="N130" s="709">
        <f>IFERROR(__xludf.DUMMYFUNCTION("IFERROR(
  MAX(
    FILTER(
      $I$2:$I1115,
      $A$2:$A1115=A130,
      $E$2:$E1115=E130,
      $G$2:$G1115 &gt;= G130-1,
      $G$2:$G1115 &lt;= G130+1
    )
  ),
  """"
)"),"")</f>
        <v/>
      </c>
      <c r="O130" s="460">
        <f>1-N130/K130</f>
        <v/>
      </c>
      <c r="P130" s="590">
        <f>AND(
O130 &lt;= 0.05,
(
COUNTIFS($A$2:$A1242, A130, $E$2:$E1242, E130, $G$2:$G1242, G130, $O$2:$O1242, "&lt;=0.05") +
COUNTIFS($A$2:$A1242, A130, $E$2:$E1242, E130, $G$2:$G1242, G130-1, $O$2:$O1242, "&lt;=0.05") +
COUNTIFS($A$2:$A1242, A130, $E$2:$E1242, E130, $G$2:$G1242, G130+1, $O$2:$O1242, "&lt;=0.05")
) &gt;= 
2)</f>
        <v/>
      </c>
      <c r="Q130" s="457" t="n"/>
      <c r="R130" s="457">
        <f>IFERROR(__xludf.DUMMYFUNCTION("IFERROR(MIN(FILTER($G$2:$G1115, $A$2:$A1115=A130, $E$2:$E1115=E130, $P$2:$P1115=TRUE)), """")"),"")</f>
        <v/>
      </c>
      <c r="S130" s="457">
        <f>IFERROR(__xludf.DUMMYFUNCTION("IFERROR(MAX(FILTER($G$2:$G1115, $A$2:$A1115=A130, $E$2:$E1115=E130, $P$2:$P1115=TRUE)), """")"),"")</f>
        <v/>
      </c>
      <c r="T130" s="590" t="n"/>
      <c r="U130" s="590" t="n"/>
      <c r="V130" s="590">
        <f>IFERROR(__xludf.DUMMYFUNCTION("MIN(FILTER($G$2:$G1115,$A$2:$A1115=A130,$E$2:$E1115=E130))"),"#N/A")</f>
        <v/>
      </c>
    </row>
    <row r="131">
      <c r="A131" s="454">
        <f>LEFT(B131,1)&amp;UPPER(LEFT(MID(B131,FIND(" ",B131)+1,LEN(B131)),3))&amp;C131</f>
        <v/>
      </c>
      <c r="B131" s="613" t="n"/>
      <c r="C131" s="613" t="n"/>
      <c r="D131" s="613" t="n"/>
      <c r="E131" s="613" t="n"/>
      <c r="G131" s="613">
        <f>F131-C131</f>
        <v/>
      </c>
      <c r="H131" s="505" t="n"/>
      <c r="I131" s="457">
        <f>IFERROR(__xludf.DUMMYFUNCTION("LET(
  gen,$D131, ev,$E131, t,$H131,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31" s="457">
        <f>IFERROR(__xludf.DUMMYFUNCTION("MIN(FILTER($H$2:$H1115,$A$2:$A1115=A131,$E$2:$E1115=E131))"),"#N/A")</f>
        <v/>
      </c>
      <c r="K131" s="457">
        <f>IFERROR(__xludf.DUMMYFUNCTION("MAX(FILTER($I$2:$I1115,$A$2:$A1115=A131,$E$2:$E1115=E131))"),"#N/A")</f>
        <v/>
      </c>
      <c r="L131" s="457">
        <f>IFERROR(INDEX(F:F,MATCH(J131&amp;A131&amp;E131,H:H&amp;A:A&amp;E:E,0)),"")</f>
        <v/>
      </c>
      <c r="M131" s="457">
        <f>IF(AND(L131&lt;&gt;"",C131&lt;&gt;""), L131-C131, "")</f>
        <v/>
      </c>
      <c r="N131" s="704">
        <f>IFERROR(__xludf.DUMMYFUNCTION("IFERROR(
  MAX(
    FILTER(
      $I$2:$I1115,
      $A$2:$A1115=A131,
      $E$2:$E1115=E131,
      $G$2:$G1115 &gt;= G131-1,
      $G$2:$G1115 &lt;= G131+1
    )
  ),
  """"
)"),"")</f>
        <v/>
      </c>
      <c r="O131" s="464">
        <f>1-N131/K131</f>
        <v/>
      </c>
      <c r="P131" s="613">
        <f>AND(
O131 &lt;= 0.05,
(
COUNTIFS($A$2:$A1243, A131, $E$2:$E1243, E131, $G$2:$G1243, G131, $O$2:$O1243, "&lt;=0.05") +
COUNTIFS($A$2:$A1243, A131, $E$2:$E1243, E131, $G$2:$G1243, G131-1, $O$2:$O1243, "&lt;=0.05") +
COUNTIFS($A$2:$A1243, A131, $E$2:$E1243, E131, $G$2:$G1243, G131+1, $O$2:$O1243, "&lt;=0.05")
) &gt;= 
2)</f>
        <v/>
      </c>
      <c r="Q131" s="457" t="n"/>
      <c r="R131" s="457">
        <f>IFERROR(__xludf.DUMMYFUNCTION("IFERROR(MIN(FILTER($G$2:$G1115, $A$2:$A1115=A131, $E$2:$E1115=E131, $P$2:$P1115=TRUE)), """")"),"")</f>
        <v/>
      </c>
      <c r="S131" s="457">
        <f>IFERROR(__xludf.DUMMYFUNCTION("IFERROR(MAX(FILTER($G$2:$G1115, $A$2:$A1115=A131, $E$2:$E1115=E131, $P$2:$P1115=TRUE)), """")"),"")</f>
        <v/>
      </c>
      <c r="T131" s="613" t="n"/>
      <c r="U131" s="613" t="n"/>
      <c r="V131" s="613">
        <f>IFERROR(__xludf.DUMMYFUNCTION("MIN(FILTER($G$2:$G1115,$A$2:$A1115=A131,$E$2:$E1115=E131))"),"#N/A")</f>
        <v/>
      </c>
    </row>
    <row r="132">
      <c r="A132" s="454">
        <f>LEFT(B132,1)&amp;UPPER(LEFT(MID(B132,FIND(" ",B132)+1,LEN(B132)),3))&amp;C132</f>
        <v/>
      </c>
      <c r="B132" s="590" t="n"/>
      <c r="C132" s="590" t="n"/>
      <c r="D132" s="590" t="n"/>
      <c r="E132" s="590" t="n"/>
      <c r="G132" s="590">
        <f>F132-C132</f>
        <v/>
      </c>
      <c r="H132" s="517" t="n"/>
      <c r="I132" s="457">
        <f>IFERROR(__xludf.DUMMYFUNCTION("LET(
  gen,$D132, ev,$E132, t,$H132,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32" s="457">
        <f>IFERROR(__xludf.DUMMYFUNCTION("MIN(FILTER($H$2:$H1115,$A$2:$A1115=A132,$E$2:$E1115=E132))"),"#N/A")</f>
        <v/>
      </c>
      <c r="K132" s="457">
        <f>IFERROR(__xludf.DUMMYFUNCTION("MAX(FILTER($I$2:$I1115,$A$2:$A1115=A132,$E$2:$E1115=E132))"),"#N/A")</f>
        <v/>
      </c>
      <c r="L132" s="457">
        <f>IFERROR(INDEX(F:F,MATCH(J132&amp;A132&amp;E132,H:H&amp;A:A&amp;E:E,0)),"")</f>
        <v/>
      </c>
      <c r="M132" s="457">
        <f>IF(AND(L132&lt;&gt;"",C132&lt;&gt;""), L132-C132, "")</f>
        <v/>
      </c>
      <c r="N132" s="709">
        <f>IFERROR(__xludf.DUMMYFUNCTION("IFERROR(
  MAX(
    FILTER(
      $I$2:$I1115,
      $A$2:$A1115=A132,
      $E$2:$E1115=E132,
      $G$2:$G1115 &gt;= G132-1,
      $G$2:$G1115 &lt;= G132+1
    )
  ),
  """"
)"),"")</f>
        <v/>
      </c>
      <c r="O132" s="460">
        <f>1-N132/K132</f>
        <v/>
      </c>
      <c r="P132" s="590">
        <f>AND(
O132 &lt;= 0.05,
(
COUNTIFS($A$2:$A1244, A132, $E$2:$E1244, E132, $G$2:$G1244, G132, $O$2:$O1244, "&lt;=0.05") +
COUNTIFS($A$2:$A1244, A132, $E$2:$E1244, E132, $G$2:$G1244, G132-1, $O$2:$O1244, "&lt;=0.05") +
COUNTIFS($A$2:$A1244, A132, $E$2:$E1244, E132, $G$2:$G1244, G132+1, $O$2:$O1244, "&lt;=0.05")
) &gt;= 
2)</f>
        <v/>
      </c>
      <c r="Q132" s="457" t="n"/>
      <c r="R132" s="457">
        <f>IFERROR(__xludf.DUMMYFUNCTION("IFERROR(MIN(FILTER($G$2:$G1115, $A$2:$A1115=A132, $E$2:$E1115=E132, $P$2:$P1115=TRUE)), """")"),"")</f>
        <v/>
      </c>
      <c r="S132" s="457">
        <f>IFERROR(__xludf.DUMMYFUNCTION("IFERROR(MAX(FILTER($G$2:$G1115, $A$2:$A1115=A132, $E$2:$E1115=E132, $P$2:$P1115=TRUE)), """")"),"")</f>
        <v/>
      </c>
      <c r="T132" s="590" t="n"/>
      <c r="U132" s="590" t="n"/>
      <c r="V132" s="590">
        <f>IFERROR(__xludf.DUMMYFUNCTION("MIN(FILTER($G$2:$G1115,$A$2:$A1115=A132,$E$2:$E1115=E132))"),"#N/A")</f>
        <v/>
      </c>
    </row>
    <row r="133">
      <c r="A133" s="454">
        <f>LEFT(B133,1)&amp;UPPER(LEFT(MID(B133,FIND(" ",B133)+1,LEN(B133)),3))&amp;C133</f>
        <v/>
      </c>
      <c r="B133" s="613" t="n"/>
      <c r="C133" s="613" t="n"/>
      <c r="D133" s="613" t="n"/>
      <c r="E133" s="613" t="n"/>
      <c r="G133" s="613">
        <f>F133-C133</f>
        <v/>
      </c>
      <c r="H133" s="505" t="n"/>
      <c r="I133" s="457">
        <f>IFERROR(__xludf.DUMMYFUNCTION("LET(
  gen,$D133, ev,$E133, t,$H133,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33" s="457">
        <f>IFERROR(__xludf.DUMMYFUNCTION("MIN(FILTER($H$2:$H1115,$A$2:$A1115=A133,$E$2:$E1115=E133))"),"#N/A")</f>
        <v/>
      </c>
      <c r="K133" s="457">
        <f>IFERROR(__xludf.DUMMYFUNCTION("MAX(FILTER($I$2:$I1115,$A$2:$A1115=A133,$E$2:$E1115=E133))"),"#N/A")</f>
        <v/>
      </c>
      <c r="L133" s="457">
        <f>IFERROR(INDEX(F:F,MATCH(J133&amp;A133&amp;E133,H:H&amp;A:A&amp;E:E,0)),"")</f>
        <v/>
      </c>
      <c r="M133" s="457">
        <f>IF(AND(L133&lt;&gt;"",C133&lt;&gt;""), L133-C133, "")</f>
        <v/>
      </c>
      <c r="N133" s="704">
        <f>IFERROR(__xludf.DUMMYFUNCTION("IFERROR(
  MAX(
    FILTER(
      $I$2:$I1115,
      $A$2:$A1115=A133,
      $E$2:$E1115=E133,
      $G$2:$G1115 &gt;= G133-1,
      $G$2:$G1115 &lt;= G133+1
    )
  ),
  """"
)"),"")</f>
        <v/>
      </c>
      <c r="O133" s="464">
        <f>1-N133/K133</f>
        <v/>
      </c>
      <c r="P133" s="613">
        <f>AND(
O133 &lt;= 0.05,
(
COUNTIFS($A$2:$A1245, A133, $E$2:$E1245, E133, $G$2:$G1245, G133, $O$2:$O1245, "&lt;=0.05") +
COUNTIFS($A$2:$A1245, A133, $E$2:$E1245, E133, $G$2:$G1245, G133-1, $O$2:$O1245, "&lt;=0.05") +
COUNTIFS($A$2:$A1245, A133, $E$2:$E1245, E133, $G$2:$G1245, G133+1, $O$2:$O1245, "&lt;=0.05")
) &gt;= 
2)</f>
        <v/>
      </c>
      <c r="Q133" s="457" t="n"/>
      <c r="R133" s="457">
        <f>IFERROR(__xludf.DUMMYFUNCTION("IFERROR(MIN(FILTER($G$2:$G1115, $A$2:$A1115=A133, $E$2:$E1115=E133, $P$2:$P1115=TRUE)), """")"),"")</f>
        <v/>
      </c>
      <c r="S133" s="457">
        <f>IFERROR(__xludf.DUMMYFUNCTION("IFERROR(MAX(FILTER($G$2:$G1115, $A$2:$A1115=A133, $E$2:$E1115=E133, $P$2:$P1115=TRUE)), """")"),"")</f>
        <v/>
      </c>
      <c r="T133" s="613" t="n"/>
      <c r="U133" s="613" t="n"/>
      <c r="V133" s="613">
        <f>IFERROR(__xludf.DUMMYFUNCTION("MIN(FILTER($G$2:$G1115,$A$2:$A1115=A133,$E$2:$E1115=E133))"),"#N/A")</f>
        <v/>
      </c>
    </row>
    <row r="134">
      <c r="A134" s="454">
        <f>LEFT(B134,1)&amp;UPPER(LEFT(MID(B134,FIND(" ",B134)+1,LEN(B134)),3))&amp;C134</f>
        <v/>
      </c>
      <c r="B134" s="590" t="n"/>
      <c r="C134" s="590" t="n"/>
      <c r="D134" s="590" t="n"/>
      <c r="E134" s="590" t="n"/>
      <c r="G134" s="590">
        <f>F134-C134</f>
        <v/>
      </c>
      <c r="H134" s="517" t="n"/>
      <c r="I134" s="457">
        <f>IFERROR(__xludf.DUMMYFUNCTION("LET(
  gen,$D134, ev,$E134, t,$H134,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34" s="457">
        <f>IFERROR(__xludf.DUMMYFUNCTION("MIN(FILTER($H$2:$H1115,$A$2:$A1115=A134,$E$2:$E1115=E134))"),"#N/A")</f>
        <v/>
      </c>
      <c r="K134" s="457">
        <f>IFERROR(__xludf.DUMMYFUNCTION("MAX(FILTER($I$2:$I1115,$A$2:$A1115=A134,$E$2:$E1115=E134))"),"#N/A")</f>
        <v/>
      </c>
      <c r="L134" s="457">
        <f>IFERROR(INDEX(F:F,MATCH(J134&amp;A134&amp;E134,H:H&amp;A:A&amp;E:E,0)),"")</f>
        <v/>
      </c>
      <c r="M134" s="457">
        <f>IF(AND(L134&lt;&gt;"",C134&lt;&gt;""), L134-C134, "")</f>
        <v/>
      </c>
      <c r="N134" s="709">
        <f>IFERROR(__xludf.DUMMYFUNCTION("IFERROR(
  MAX(
    FILTER(
      $I$2:$I1115,
      $A$2:$A1115=A134,
      $E$2:$E1115=E134,
      $G$2:$G1115 &gt;= G134-1,
      $G$2:$G1115 &lt;= G134+1
    )
  ),
  """"
)"),"")</f>
        <v/>
      </c>
      <c r="O134" s="460">
        <f>1-N134/K134</f>
        <v/>
      </c>
      <c r="P134" s="590">
        <f>AND(
O134 &lt;= 0.05,
(
COUNTIFS($A$2:$A1246, A134, $E$2:$E1246, E134, $G$2:$G1246, G134, $O$2:$O1246, "&lt;=0.05") +
COUNTIFS($A$2:$A1246, A134, $E$2:$E1246, E134, $G$2:$G1246, G134-1, $O$2:$O1246, "&lt;=0.05") +
COUNTIFS($A$2:$A1246, A134, $E$2:$E1246, E134, $G$2:$G1246, G134+1, $O$2:$O1246, "&lt;=0.05")
) &gt;= 
2)</f>
        <v/>
      </c>
      <c r="Q134" s="457" t="n"/>
      <c r="R134" s="457">
        <f>IFERROR(__xludf.DUMMYFUNCTION("IFERROR(MIN(FILTER($G$2:$G1115, $A$2:$A1115=A134, $E$2:$E1115=E134, $P$2:$P1115=TRUE)), """")"),"")</f>
        <v/>
      </c>
      <c r="S134" s="457">
        <f>IFERROR(__xludf.DUMMYFUNCTION("IFERROR(MAX(FILTER($G$2:$G1115, $A$2:$A1115=A134, $E$2:$E1115=E134, $P$2:$P1115=TRUE)), """")"),"")</f>
        <v/>
      </c>
      <c r="T134" s="590" t="n"/>
      <c r="U134" s="590" t="n"/>
      <c r="V134" s="590">
        <f>IFERROR(__xludf.DUMMYFUNCTION("MIN(FILTER($G$2:$G1115,$A$2:$A1115=A134,$E$2:$E1115=E134))"),"#N/A")</f>
        <v/>
      </c>
    </row>
    <row r="135">
      <c r="A135" s="454">
        <f>LEFT(B135,1)&amp;UPPER(LEFT(MID(B135,FIND(" ",B135)+1,LEN(B135)),3))&amp;C135</f>
        <v/>
      </c>
      <c r="B135" s="613" t="n"/>
      <c r="C135" s="613" t="n"/>
      <c r="D135" s="613" t="n"/>
      <c r="E135" s="613" t="n"/>
      <c r="G135" s="613">
        <f>F135-C135</f>
        <v/>
      </c>
      <c r="H135" s="505" t="n"/>
      <c r="I135" s="457">
        <f>IFERROR(__xludf.DUMMYFUNCTION("LET(
  gen,$D135, ev,$E135, t,$H135,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35" s="457">
        <f>IFERROR(__xludf.DUMMYFUNCTION("MIN(FILTER($H$2:$H1115,$A$2:$A1115=A135,$E$2:$E1115=E135))"),"#N/A")</f>
        <v/>
      </c>
      <c r="K135" s="457">
        <f>IFERROR(__xludf.DUMMYFUNCTION("MAX(FILTER($I$2:$I1115,$A$2:$A1115=A135,$E$2:$E1115=E135))"),"#N/A")</f>
        <v/>
      </c>
      <c r="L135" s="457">
        <f>IFERROR(INDEX(F:F,MATCH(J135&amp;A135&amp;E135,H:H&amp;A:A&amp;E:E,0)),"")</f>
        <v/>
      </c>
      <c r="M135" s="457">
        <f>IF(AND(L135&lt;&gt;"",C135&lt;&gt;""), L135-C135, "")</f>
        <v/>
      </c>
      <c r="N135" s="704">
        <f>IFERROR(__xludf.DUMMYFUNCTION("IFERROR(
  MAX(
    FILTER(
      $I$2:$I1115,
      $A$2:$A1115=A135,
      $E$2:$E1115=E135,
      $G$2:$G1115 &gt;= G135-1,
      $G$2:$G1115 &lt;= G135+1
    )
  ),
  """"
)"),"")</f>
        <v/>
      </c>
      <c r="O135" s="464">
        <f>1-N135/K135</f>
        <v/>
      </c>
      <c r="P135" s="613">
        <f>AND(
O135 &lt;= 0.05,
(
COUNTIFS($A$2:$A1247, A135, $E$2:$E1247, E135, $G$2:$G1247, G135, $O$2:$O1247, "&lt;=0.05") +
COUNTIFS($A$2:$A1247, A135, $E$2:$E1247, E135, $G$2:$G1247, G135-1, $O$2:$O1247, "&lt;=0.05") +
COUNTIFS($A$2:$A1247, A135, $E$2:$E1247, E135, $G$2:$G1247, G135+1, $O$2:$O1247, "&lt;=0.05")
) &gt;= 
2)</f>
        <v/>
      </c>
      <c r="Q135" s="457" t="n"/>
      <c r="R135" s="457">
        <f>IFERROR(__xludf.DUMMYFUNCTION("IFERROR(MIN(FILTER($G$2:$G1115, $A$2:$A1115=A135, $E$2:$E1115=E135, $P$2:$P1115=TRUE)), """")"),"")</f>
        <v/>
      </c>
      <c r="S135" s="457">
        <f>IFERROR(__xludf.DUMMYFUNCTION("IFERROR(MAX(FILTER($G$2:$G1115, $A$2:$A1115=A135, $E$2:$E1115=E135, $P$2:$P1115=TRUE)), """")"),"")</f>
        <v/>
      </c>
      <c r="T135" s="613" t="n"/>
      <c r="U135" s="613" t="n"/>
      <c r="V135" s="613">
        <f>IFERROR(__xludf.DUMMYFUNCTION("MIN(FILTER($G$2:$G1115,$A$2:$A1115=A135,$E$2:$E1115=E135))"),"#N/A")</f>
        <v/>
      </c>
    </row>
    <row r="136">
      <c r="A136" s="454">
        <f>LEFT(B136,1)&amp;UPPER(LEFT(MID(B136,FIND(" ",B136)+1,LEN(B136)),3))&amp;C136</f>
        <v/>
      </c>
      <c r="B136" s="590" t="n"/>
      <c r="C136" s="590" t="n"/>
      <c r="D136" s="590" t="n"/>
      <c r="E136" s="590" t="n"/>
      <c r="G136" s="590">
        <f>F136-C136</f>
        <v/>
      </c>
      <c r="H136" s="517" t="n"/>
      <c r="I136" s="457">
        <f>IFERROR(__xludf.DUMMYFUNCTION("LET(
  gen,$D136, ev,$E136, t,$H136,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36" s="457">
        <f>IFERROR(__xludf.DUMMYFUNCTION("MIN(FILTER($H$2:$H1115,$A$2:$A1115=A136,$E$2:$E1115=E136))"),"#N/A")</f>
        <v/>
      </c>
      <c r="K136" s="457">
        <f>IFERROR(__xludf.DUMMYFUNCTION("MAX(FILTER($I$2:$I1115,$A$2:$A1115=A136,$E$2:$E1115=E136))"),"#N/A")</f>
        <v/>
      </c>
      <c r="L136" s="457">
        <f>IFERROR(INDEX(F:F,MATCH(J136&amp;A136&amp;E136,H:H&amp;A:A&amp;E:E,0)),"")</f>
        <v/>
      </c>
      <c r="M136" s="457">
        <f>IF(AND(L136&lt;&gt;"",C136&lt;&gt;""), L136-C136, "")</f>
        <v/>
      </c>
      <c r="N136" s="709">
        <f>IFERROR(__xludf.DUMMYFUNCTION("IFERROR(
  MAX(
    FILTER(
      $I$2:$I1115,
      $A$2:$A1115=A136,
      $E$2:$E1115=E136,
      $G$2:$G1115 &gt;= G136-1,
      $G$2:$G1115 &lt;= G136+1
    )
  ),
  """"
)"),"")</f>
        <v/>
      </c>
      <c r="O136" s="460">
        <f>1-N136/K136</f>
        <v/>
      </c>
      <c r="P136" s="590">
        <f>AND(
O136 &lt;= 0.05,
(
COUNTIFS($A$2:$A1248, A136, $E$2:$E1248, E136, $G$2:$G1248, G136, $O$2:$O1248, "&lt;=0.05") +
COUNTIFS($A$2:$A1248, A136, $E$2:$E1248, E136, $G$2:$G1248, G136-1, $O$2:$O1248, "&lt;=0.05") +
COUNTIFS($A$2:$A1248, A136, $E$2:$E1248, E136, $G$2:$G1248, G136+1, $O$2:$O1248, "&lt;=0.05")
) &gt;= 
2)</f>
        <v/>
      </c>
      <c r="Q136" s="457" t="n"/>
      <c r="R136" s="457">
        <f>IFERROR(__xludf.DUMMYFUNCTION("IFERROR(MIN(FILTER($G$2:$G1115, $A$2:$A1115=A136, $E$2:$E1115=E136, $P$2:$P1115=TRUE)), """")"),"")</f>
        <v/>
      </c>
      <c r="S136" s="457">
        <f>IFERROR(__xludf.DUMMYFUNCTION("IFERROR(MAX(FILTER($G$2:$G1115, $A$2:$A1115=A136, $E$2:$E1115=E136, $P$2:$P1115=TRUE)), """")"),"")</f>
        <v/>
      </c>
      <c r="T136" s="590" t="n"/>
      <c r="U136" s="590" t="n"/>
      <c r="V136" s="590">
        <f>IFERROR(__xludf.DUMMYFUNCTION("MIN(FILTER($G$2:$G1115,$A$2:$A1115=A136,$E$2:$E1115=E136))"),"#N/A")</f>
        <v/>
      </c>
    </row>
    <row r="137">
      <c r="A137" s="454">
        <f>LEFT(B137,1)&amp;UPPER(LEFT(MID(B137,FIND(" ",B137)+1,LEN(B137)),3))&amp;C137</f>
        <v/>
      </c>
      <c r="B137" s="613" t="n"/>
      <c r="C137" s="613" t="n"/>
      <c r="D137" s="613" t="n"/>
      <c r="E137" s="613" t="n"/>
      <c r="G137" s="613">
        <f>F137-C137</f>
        <v/>
      </c>
      <c r="H137" s="505" t="n"/>
      <c r="I137" s="457">
        <f>IFERROR(__xludf.DUMMYFUNCTION("LET(
  gen,$D137, ev,$E137, t,$H137,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37" s="457">
        <f>IFERROR(__xludf.DUMMYFUNCTION("MIN(FILTER($H$2:$H1115,$A$2:$A1115=A137,$E$2:$E1115=E137))"),"#N/A")</f>
        <v/>
      </c>
      <c r="K137" s="457">
        <f>IFERROR(__xludf.DUMMYFUNCTION("MAX(FILTER($I$2:$I1115,$A$2:$A1115=A137,$E$2:$E1115=E137))"),"#N/A")</f>
        <v/>
      </c>
      <c r="L137" s="457">
        <f>IFERROR(INDEX(F:F,MATCH(J137&amp;A137&amp;E137,H:H&amp;A:A&amp;E:E,0)),"")</f>
        <v/>
      </c>
      <c r="M137" s="457">
        <f>IF(AND(L137&lt;&gt;"",C137&lt;&gt;""), L137-C137, "")</f>
        <v/>
      </c>
      <c r="N137" s="704">
        <f>IFERROR(__xludf.DUMMYFUNCTION("IFERROR(
  MAX(
    FILTER(
      $I$2:$I1115,
      $A$2:$A1115=A137,
      $E$2:$E1115=E137,
      $G$2:$G1115 &gt;= G137-1,
      $G$2:$G1115 &lt;= G137+1
    )
  ),
  """"
)"),"")</f>
        <v/>
      </c>
      <c r="O137" s="464">
        <f>1-N137/K137</f>
        <v/>
      </c>
      <c r="P137" s="613">
        <f>AND(
O137 &lt;= 0.05,
(
COUNTIFS($A$2:$A1249, A137, $E$2:$E1249, E137, $G$2:$G1249, G137, $O$2:$O1249, "&lt;=0.05") +
COUNTIFS($A$2:$A1249, A137, $E$2:$E1249, E137, $G$2:$G1249, G137-1, $O$2:$O1249, "&lt;=0.05") +
COUNTIFS($A$2:$A1249, A137, $E$2:$E1249, E137, $G$2:$G1249, G137+1, $O$2:$O1249, "&lt;=0.05")
) &gt;= 
2)</f>
        <v/>
      </c>
      <c r="Q137" s="457" t="n"/>
      <c r="R137" s="457">
        <f>IFERROR(__xludf.DUMMYFUNCTION("IFERROR(MIN(FILTER($G$2:$G1115, $A$2:$A1115=A137, $E$2:$E1115=E137, $P$2:$P1115=TRUE)), """")"),"")</f>
        <v/>
      </c>
      <c r="S137" s="457">
        <f>IFERROR(__xludf.DUMMYFUNCTION("IFERROR(MAX(FILTER($G$2:$G1115, $A$2:$A1115=A137, $E$2:$E1115=E137, $P$2:$P1115=TRUE)), """")"),"")</f>
        <v/>
      </c>
      <c r="T137" s="613" t="n"/>
      <c r="U137" s="613" t="n"/>
      <c r="V137" s="613">
        <f>IFERROR(__xludf.DUMMYFUNCTION("MIN(FILTER($G$2:$G1115,$A$2:$A1115=A137,$E$2:$E1115=E137))"),"#N/A")</f>
        <v/>
      </c>
    </row>
    <row r="138">
      <c r="A138" s="454">
        <f>LEFT(B138,1)&amp;UPPER(LEFT(MID(B138,FIND(" ",B138)+1,LEN(B138)),3))&amp;C138</f>
        <v/>
      </c>
      <c r="B138" s="590" t="n"/>
      <c r="C138" s="590" t="n"/>
      <c r="D138" s="590" t="n"/>
      <c r="E138" s="590" t="n"/>
      <c r="G138" s="590">
        <f>F138-C138</f>
        <v/>
      </c>
      <c r="H138" s="517" t="n"/>
      <c r="I138" s="457">
        <f>IFERROR(__xludf.DUMMYFUNCTION("LET(
  gen,$D138, ev,$E138, t,$H138,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38" s="457">
        <f>IFERROR(__xludf.DUMMYFUNCTION("MIN(FILTER($H$2:$H1115,$A$2:$A1115=A138,$E$2:$E1115=E138))"),"#N/A")</f>
        <v/>
      </c>
      <c r="K138" s="457">
        <f>IFERROR(__xludf.DUMMYFUNCTION("MAX(FILTER($I$2:$I1115,$A$2:$A1115=A138,$E$2:$E1115=E138))"),"#N/A")</f>
        <v/>
      </c>
      <c r="L138" s="457">
        <f>IFERROR(INDEX(F:F,MATCH(J138&amp;A138&amp;E138,H:H&amp;A:A&amp;E:E,0)),"")</f>
        <v/>
      </c>
      <c r="M138" s="457">
        <f>IF(AND(L138&lt;&gt;"",C138&lt;&gt;""), L138-C138, "")</f>
        <v/>
      </c>
      <c r="N138" s="709">
        <f>IFERROR(__xludf.DUMMYFUNCTION("IFERROR(
  MAX(
    FILTER(
      $I$2:$I1115,
      $A$2:$A1115=A138,
      $E$2:$E1115=E138,
      $G$2:$G1115 &gt;= G138-1,
      $G$2:$G1115 &lt;= G138+1
    )
  ),
  """"
)"),"")</f>
        <v/>
      </c>
      <c r="O138" s="460">
        <f>1-N138/K138</f>
        <v/>
      </c>
      <c r="P138" s="590">
        <f>AND(
O138 &lt;= 0.05,
(
COUNTIFS($A$2:$A1250, A138, $E$2:$E1250, E138, $G$2:$G1250, G138, $O$2:$O1250, "&lt;=0.05") +
COUNTIFS($A$2:$A1250, A138, $E$2:$E1250, E138, $G$2:$G1250, G138-1, $O$2:$O1250, "&lt;=0.05") +
COUNTIFS($A$2:$A1250, A138, $E$2:$E1250, E138, $G$2:$G1250, G138+1, $O$2:$O1250, "&lt;=0.05")
) &gt;= 
2)</f>
        <v/>
      </c>
      <c r="Q138" s="457" t="n"/>
      <c r="R138" s="457">
        <f>IFERROR(__xludf.DUMMYFUNCTION("IFERROR(MIN(FILTER($G$2:$G1115, $A$2:$A1115=A138, $E$2:$E1115=E138, $P$2:$P1115=TRUE)), """")"),"")</f>
        <v/>
      </c>
      <c r="S138" s="457">
        <f>IFERROR(__xludf.DUMMYFUNCTION("IFERROR(MAX(FILTER($G$2:$G1115, $A$2:$A1115=A138, $E$2:$E1115=E138, $P$2:$P1115=TRUE)), """")"),"")</f>
        <v/>
      </c>
      <c r="T138" s="590" t="n"/>
      <c r="U138" s="590" t="n"/>
      <c r="V138" s="590">
        <f>IFERROR(__xludf.DUMMYFUNCTION("MIN(FILTER($G$2:$G1115,$A$2:$A1115=A138,$E$2:$E1115=E138))"),"#N/A")</f>
        <v/>
      </c>
    </row>
    <row r="139">
      <c r="A139" s="454">
        <f>LEFT(B139,1)&amp;UPPER(LEFT(MID(B139,FIND(" ",B139)+1,LEN(B139)),3))&amp;C139</f>
        <v/>
      </c>
      <c r="B139" s="613" t="n"/>
      <c r="C139" s="613" t="n"/>
      <c r="D139" s="613" t="n"/>
      <c r="E139" s="613" t="n"/>
      <c r="G139" s="613">
        <f>F139-C139</f>
        <v/>
      </c>
      <c r="H139" s="505" t="n"/>
      <c r="I139" s="457">
        <f>IFERROR(__xludf.DUMMYFUNCTION("LET(
  gen,$D139, ev,$E139, t,$H139,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39" s="457">
        <f>IFERROR(__xludf.DUMMYFUNCTION("MIN(FILTER($H$2:$H1115,$A$2:$A1115=A139,$E$2:$E1115=E139))"),"#N/A")</f>
        <v/>
      </c>
      <c r="K139" s="457">
        <f>IFERROR(__xludf.DUMMYFUNCTION("MAX(FILTER($I$2:$I1115,$A$2:$A1115=A139,$E$2:$E1115=E139))"),"#N/A")</f>
        <v/>
      </c>
      <c r="L139" s="457">
        <f>IFERROR(INDEX(F:F,MATCH(J139&amp;A139&amp;E139,H:H&amp;A:A&amp;E:E,0)),"")</f>
        <v/>
      </c>
      <c r="M139" s="457">
        <f>IF(AND(L139&lt;&gt;"",C139&lt;&gt;""), L139-C139, "")</f>
        <v/>
      </c>
      <c r="N139" s="704">
        <f>IFERROR(__xludf.DUMMYFUNCTION("IFERROR(
  MAX(
    FILTER(
      $I$2:$I1115,
      $A$2:$A1115=A139,
      $E$2:$E1115=E139,
      $G$2:$G1115 &gt;= G139-1,
      $G$2:$G1115 &lt;= G139+1
    )
  ),
  """"
)"),"")</f>
        <v/>
      </c>
      <c r="O139" s="464">
        <f>1-N139/K139</f>
        <v/>
      </c>
      <c r="P139" s="613">
        <f>AND(
O139 &lt;= 0.05,
(
COUNTIFS($A$2:$A1251, A139, $E$2:$E1251, E139, $G$2:$G1251, G139, $O$2:$O1251, "&lt;=0.05") +
COUNTIFS($A$2:$A1251, A139, $E$2:$E1251, E139, $G$2:$G1251, G139-1, $O$2:$O1251, "&lt;=0.05") +
COUNTIFS($A$2:$A1251, A139, $E$2:$E1251, E139, $G$2:$G1251, G139+1, $O$2:$O1251, "&lt;=0.05")
) &gt;= 
2)</f>
        <v/>
      </c>
      <c r="Q139" s="457" t="n"/>
      <c r="R139" s="457">
        <f>IFERROR(__xludf.DUMMYFUNCTION("IFERROR(MIN(FILTER($G$2:$G1115, $A$2:$A1115=A139, $E$2:$E1115=E139, $P$2:$P1115=TRUE)), """")"),"")</f>
        <v/>
      </c>
      <c r="S139" s="457">
        <f>IFERROR(__xludf.DUMMYFUNCTION("IFERROR(MAX(FILTER($G$2:$G1115, $A$2:$A1115=A139, $E$2:$E1115=E139, $P$2:$P1115=TRUE)), """")"),"")</f>
        <v/>
      </c>
      <c r="T139" s="613" t="n"/>
      <c r="U139" s="613" t="n"/>
      <c r="V139" s="613">
        <f>IFERROR(__xludf.DUMMYFUNCTION("MIN(FILTER($G$2:$G1115,$A$2:$A1115=A139,$E$2:$E1115=E139))"),"#N/A")</f>
        <v/>
      </c>
    </row>
    <row r="140">
      <c r="A140" s="454">
        <f>LEFT(B140,1)&amp;UPPER(LEFT(MID(B140,FIND(" ",B140)+1,LEN(B140)),3))&amp;C140</f>
        <v/>
      </c>
      <c r="B140" s="590" t="n"/>
      <c r="C140" s="590" t="n"/>
      <c r="D140" s="590" t="n"/>
      <c r="E140" s="590" t="n"/>
      <c r="G140" s="590">
        <f>F140-C140</f>
        <v/>
      </c>
      <c r="H140" s="517" t="n"/>
      <c r="I140" s="457">
        <f>IFERROR(__xludf.DUMMYFUNCTION("LET(
  gen,$D140, ev,$E140, t,$H140,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40" s="457">
        <f>IFERROR(__xludf.DUMMYFUNCTION("MIN(FILTER($H$2:$H1115,$A$2:$A1115=A140,$E$2:$E1115=E140))"),"#N/A")</f>
        <v/>
      </c>
      <c r="K140" s="457">
        <f>IFERROR(__xludf.DUMMYFUNCTION("MAX(FILTER($I$2:$I1115,$A$2:$A1115=A140,$E$2:$E1115=E140))"),"#N/A")</f>
        <v/>
      </c>
      <c r="L140" s="457">
        <f>IFERROR(INDEX(F:F,MATCH(J140&amp;A140&amp;E140,H:H&amp;A:A&amp;E:E,0)),"")</f>
        <v/>
      </c>
      <c r="M140" s="457">
        <f>IF(AND(L140&lt;&gt;"",C140&lt;&gt;""), L140-C140, "")</f>
        <v/>
      </c>
      <c r="N140" s="709">
        <f>IFERROR(__xludf.DUMMYFUNCTION("IFERROR(
  MAX(
    FILTER(
      $I$2:$I1115,
      $A$2:$A1115=A140,
      $E$2:$E1115=E140,
      $G$2:$G1115 &gt;= G140-1,
      $G$2:$G1115 &lt;= G140+1
    )
  ),
  """"
)"),"")</f>
        <v/>
      </c>
      <c r="O140" s="460">
        <f>1-N140/K140</f>
        <v/>
      </c>
      <c r="P140" s="590">
        <f>AND(
O140 &lt;= 0.05,
(
COUNTIFS($A$2:$A1252, A140, $E$2:$E1252, E140, $G$2:$G1252, G140, $O$2:$O1252, "&lt;=0.05") +
COUNTIFS($A$2:$A1252, A140, $E$2:$E1252, E140, $G$2:$G1252, G140-1, $O$2:$O1252, "&lt;=0.05") +
COUNTIFS($A$2:$A1252, A140, $E$2:$E1252, E140, $G$2:$G1252, G140+1, $O$2:$O1252, "&lt;=0.05")
) &gt;= 
2)</f>
        <v/>
      </c>
      <c r="Q140" s="457" t="n"/>
      <c r="R140" s="457">
        <f>IFERROR(__xludf.DUMMYFUNCTION("IFERROR(MIN(FILTER($G$2:$G1115, $A$2:$A1115=A140, $E$2:$E1115=E140, $P$2:$P1115=TRUE)), """")"),"")</f>
        <v/>
      </c>
      <c r="S140" s="457">
        <f>IFERROR(__xludf.DUMMYFUNCTION("IFERROR(MAX(FILTER($G$2:$G1115, $A$2:$A1115=A140, $E$2:$E1115=E140, $P$2:$P1115=TRUE)), """")"),"")</f>
        <v/>
      </c>
      <c r="T140" s="590" t="n"/>
      <c r="U140" s="590" t="n"/>
      <c r="V140" s="590">
        <f>IFERROR(__xludf.DUMMYFUNCTION("MIN(FILTER($G$2:$G1115,$A$2:$A1115=A140,$E$2:$E1115=E140))"),"#N/A")</f>
        <v/>
      </c>
    </row>
    <row r="141">
      <c r="A141" s="454">
        <f>LEFT(B141,1)&amp;UPPER(LEFT(MID(B141,FIND(" ",B141)+1,LEN(B141)),3))&amp;C141</f>
        <v/>
      </c>
      <c r="B141" s="613" t="n"/>
      <c r="C141" s="613" t="n"/>
      <c r="D141" s="613" t="n"/>
      <c r="E141" s="613" t="n"/>
      <c r="G141" s="613">
        <f>F141-C141</f>
        <v/>
      </c>
      <c r="H141" s="505" t="n"/>
      <c r="I141" s="457">
        <f>IFERROR(__xludf.DUMMYFUNCTION("LET(
  gen,$D141, ev,$E141, t,$H141,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41" s="457">
        <f>IFERROR(__xludf.DUMMYFUNCTION("MIN(FILTER($H$2:$H1115,$A$2:$A1115=A141,$E$2:$E1115=E141))"),"#N/A")</f>
        <v/>
      </c>
      <c r="K141" s="457">
        <f>IFERROR(__xludf.DUMMYFUNCTION("MAX(FILTER($I$2:$I1115,$A$2:$A1115=A141,$E$2:$E1115=E141))"),"#N/A")</f>
        <v/>
      </c>
      <c r="L141" s="457">
        <f>IFERROR(INDEX(F:F,MATCH(J141&amp;A141&amp;E141,H:H&amp;A:A&amp;E:E,0)),"")</f>
        <v/>
      </c>
      <c r="M141" s="457">
        <f>IF(AND(L141&lt;&gt;"",C141&lt;&gt;""), L141-C141, "")</f>
        <v/>
      </c>
      <c r="N141" s="704">
        <f>IFERROR(__xludf.DUMMYFUNCTION("IFERROR(
  MAX(
    FILTER(
      $I$2:$I1115,
      $A$2:$A1115=A141,
      $E$2:$E1115=E141,
      $G$2:$G1115 &gt;= G141-1,
      $G$2:$G1115 &lt;= G141+1
    )
  ),
  """"
)"),"")</f>
        <v/>
      </c>
      <c r="O141" s="464">
        <f>1-N141/K141</f>
        <v/>
      </c>
      <c r="P141" s="613">
        <f>AND(
O141 &lt;= 0.05,
(
COUNTIFS($A$2:$A1253, A141, $E$2:$E1253, E141, $G$2:$G1253, G141, $O$2:$O1253, "&lt;=0.05") +
COUNTIFS($A$2:$A1253, A141, $E$2:$E1253, E141, $G$2:$G1253, G141-1, $O$2:$O1253, "&lt;=0.05") +
COUNTIFS($A$2:$A1253, A141, $E$2:$E1253, E141, $G$2:$G1253, G141+1, $O$2:$O1253, "&lt;=0.05")
) &gt;= 
2)</f>
        <v/>
      </c>
      <c r="Q141" s="457" t="n"/>
      <c r="R141" s="457">
        <f>IFERROR(__xludf.DUMMYFUNCTION("IFERROR(MIN(FILTER($G$2:$G1115, $A$2:$A1115=A141, $E$2:$E1115=E141, $P$2:$P1115=TRUE)), """")"),"")</f>
        <v/>
      </c>
      <c r="S141" s="457">
        <f>IFERROR(__xludf.DUMMYFUNCTION("IFERROR(MAX(FILTER($G$2:$G1115, $A$2:$A1115=A141, $E$2:$E1115=E141, $P$2:$P1115=TRUE)), """")"),"")</f>
        <v/>
      </c>
      <c r="T141" s="613" t="n"/>
      <c r="U141" s="613" t="n"/>
      <c r="V141" s="613">
        <f>IFERROR(__xludf.DUMMYFUNCTION("MIN(FILTER($G$2:$G1115,$A$2:$A1115=A141,$E$2:$E1115=E141))"),"#N/A")</f>
        <v/>
      </c>
    </row>
    <row r="142">
      <c r="A142" s="454">
        <f>LEFT(B142,1)&amp;UPPER(LEFT(MID(B142,FIND(" ",B142)+1,LEN(B142)),3))&amp;C142</f>
        <v/>
      </c>
      <c r="B142" s="590" t="n"/>
      <c r="C142" s="590" t="n"/>
      <c r="D142" s="590" t="n"/>
      <c r="E142" s="590" t="n"/>
      <c r="G142" s="590">
        <f>F142-C142</f>
        <v/>
      </c>
      <c r="H142" s="517" t="n"/>
      <c r="I142" s="457">
        <f>IFERROR(__xludf.DUMMYFUNCTION("LET(
  gen,$D142, ev,$E142, t,$H142,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42" s="457">
        <f>IFERROR(__xludf.DUMMYFUNCTION("MIN(FILTER($H$2:$H1115,$A$2:$A1115=A142,$E$2:$E1115=E142))"),"#N/A")</f>
        <v/>
      </c>
      <c r="K142" s="457">
        <f>IFERROR(__xludf.DUMMYFUNCTION("MAX(FILTER($I$2:$I1115,$A$2:$A1115=A142,$E$2:$E1115=E142))"),"#N/A")</f>
        <v/>
      </c>
      <c r="L142" s="457">
        <f>IFERROR(INDEX(F:F,MATCH(J142&amp;A142&amp;E142,H:H&amp;A:A&amp;E:E,0)),"")</f>
        <v/>
      </c>
      <c r="M142" s="457">
        <f>IF(AND(L142&lt;&gt;"",C142&lt;&gt;""), L142-C142, "")</f>
        <v/>
      </c>
      <c r="N142" s="709">
        <f>IFERROR(__xludf.DUMMYFUNCTION("IFERROR(
  MAX(
    FILTER(
      $I$2:$I1115,
      $A$2:$A1115=A142,
      $E$2:$E1115=E142,
      $G$2:$G1115 &gt;= G142-1,
      $G$2:$G1115 &lt;= G142+1
    )
  ),
  """"
)"),"")</f>
        <v/>
      </c>
      <c r="O142" s="460">
        <f>1-N142/K142</f>
        <v/>
      </c>
      <c r="P142" s="590">
        <f>AND(
O142 &lt;= 0.05,
(
COUNTIFS($A$2:$A1254, A142, $E$2:$E1254, E142, $G$2:$G1254, G142, $O$2:$O1254, "&lt;=0.05") +
COUNTIFS($A$2:$A1254, A142, $E$2:$E1254, E142, $G$2:$G1254, G142-1, $O$2:$O1254, "&lt;=0.05") +
COUNTIFS($A$2:$A1254, A142, $E$2:$E1254, E142, $G$2:$G1254, G142+1, $O$2:$O1254, "&lt;=0.05")
) &gt;= 
2)</f>
        <v/>
      </c>
      <c r="Q142" s="457" t="n"/>
      <c r="R142" s="457">
        <f>IFERROR(__xludf.DUMMYFUNCTION("IFERROR(MIN(FILTER($G$2:$G1115, $A$2:$A1115=A142, $E$2:$E1115=E142, $P$2:$P1115=TRUE)), """")"),"")</f>
        <v/>
      </c>
      <c r="S142" s="457">
        <f>IFERROR(__xludf.DUMMYFUNCTION("IFERROR(MAX(FILTER($G$2:$G1115, $A$2:$A1115=A142, $E$2:$E1115=E142, $P$2:$P1115=TRUE)), """")"),"")</f>
        <v/>
      </c>
      <c r="T142" s="590" t="n"/>
      <c r="U142" s="590" t="n"/>
      <c r="V142" s="590">
        <f>IFERROR(__xludf.DUMMYFUNCTION("MIN(FILTER($G$2:$G1115,$A$2:$A1115=A142,$E$2:$E1115=E142))"),"#N/A")</f>
        <v/>
      </c>
    </row>
    <row r="143">
      <c r="A143" s="454">
        <f>LEFT(B143,1)&amp;UPPER(LEFT(MID(B143,FIND(" ",B143)+1,LEN(B143)),3))&amp;C143</f>
        <v/>
      </c>
      <c r="B143" s="613" t="n"/>
      <c r="C143" s="613" t="n"/>
      <c r="D143" s="613" t="n"/>
      <c r="E143" s="613" t="n"/>
      <c r="G143" s="613">
        <f>F143-C143</f>
        <v/>
      </c>
      <c r="H143" s="505" t="n"/>
      <c r="I143" s="457">
        <f>IFERROR(__xludf.DUMMYFUNCTION("LET(
  gen,$D143, ev,$E143, t,$H143,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43" s="457">
        <f>IFERROR(__xludf.DUMMYFUNCTION("MIN(FILTER($H$2:$H1115,$A$2:$A1115=A143,$E$2:$E1115=E143))"),"#N/A")</f>
        <v/>
      </c>
      <c r="K143" s="457">
        <f>IFERROR(__xludf.DUMMYFUNCTION("MAX(FILTER($I$2:$I1115,$A$2:$A1115=A143,$E$2:$E1115=E143))"),"#N/A")</f>
        <v/>
      </c>
      <c r="L143" s="457">
        <f>IFERROR(INDEX(F:F,MATCH(J143&amp;A143&amp;E143,H:H&amp;A:A&amp;E:E,0)),"")</f>
        <v/>
      </c>
      <c r="M143" s="457">
        <f>IF(AND(L143&lt;&gt;"",C143&lt;&gt;""), L143-C143, "")</f>
        <v/>
      </c>
      <c r="N143" s="704">
        <f>IFERROR(__xludf.DUMMYFUNCTION("IFERROR(
  MAX(
    FILTER(
      $I$2:$I1115,
      $A$2:$A1115=A143,
      $E$2:$E1115=E143,
      $G$2:$G1115 &gt;= G143-1,
      $G$2:$G1115 &lt;= G143+1
    )
  ),
  """"
)"),"")</f>
        <v/>
      </c>
      <c r="O143" s="464">
        <f>1-N143/K143</f>
        <v/>
      </c>
      <c r="P143" s="613">
        <f>AND(
O143 &lt;= 0.05,
(
COUNTIFS($A$2:$A1255, A143, $E$2:$E1255, E143, $G$2:$G1255, G143, $O$2:$O1255, "&lt;=0.05") +
COUNTIFS($A$2:$A1255, A143, $E$2:$E1255, E143, $G$2:$G1255, G143-1, $O$2:$O1255, "&lt;=0.05") +
COUNTIFS($A$2:$A1255, A143, $E$2:$E1255, E143, $G$2:$G1255, G143+1, $O$2:$O1255, "&lt;=0.05")
) &gt;= 
2)</f>
        <v/>
      </c>
      <c r="Q143" s="457" t="n"/>
      <c r="R143" s="457">
        <f>IFERROR(__xludf.DUMMYFUNCTION("IFERROR(MIN(FILTER($G$2:$G1115, $A$2:$A1115=A143, $E$2:$E1115=E143, $P$2:$P1115=TRUE)), """")"),"")</f>
        <v/>
      </c>
      <c r="S143" s="457">
        <f>IFERROR(__xludf.DUMMYFUNCTION("IFERROR(MAX(FILTER($G$2:$G1115, $A$2:$A1115=A143, $E$2:$E1115=E143, $P$2:$P1115=TRUE)), """")"),"")</f>
        <v/>
      </c>
      <c r="T143" s="613" t="n"/>
      <c r="U143" s="613" t="n"/>
      <c r="V143" s="613">
        <f>IFERROR(__xludf.DUMMYFUNCTION("MIN(FILTER($G$2:$G1115,$A$2:$A1115=A143,$E$2:$E1115=E143))"),"#N/A")</f>
        <v/>
      </c>
    </row>
    <row r="144">
      <c r="A144" s="454">
        <f>LEFT(B144,1)&amp;UPPER(LEFT(MID(B144,FIND(" ",B144)+1,LEN(B144)),3))&amp;C144</f>
        <v/>
      </c>
      <c r="B144" s="590" t="n"/>
      <c r="C144" s="590" t="n"/>
      <c r="D144" s="590" t="n"/>
      <c r="E144" s="590" t="n"/>
      <c r="G144" s="590">
        <f>F144-C144</f>
        <v/>
      </c>
      <c r="H144" s="517" t="n"/>
      <c r="I144" s="457">
        <f>IFERROR(__xludf.DUMMYFUNCTION("LET(
  gen,$D144, ev,$E144, t,$H144,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44" s="457">
        <f>IFERROR(__xludf.DUMMYFUNCTION("MIN(FILTER($H$2:$H1115,$A$2:$A1115=A144,$E$2:$E1115=E144))"),"#N/A")</f>
        <v/>
      </c>
      <c r="K144" s="457">
        <f>IFERROR(__xludf.DUMMYFUNCTION("MAX(FILTER($I$2:$I1115,$A$2:$A1115=A144,$E$2:$E1115=E144))"),"#N/A")</f>
        <v/>
      </c>
      <c r="L144" s="457">
        <f>IFERROR(INDEX(F:F,MATCH(J144&amp;A144&amp;E144,H:H&amp;A:A&amp;E:E,0)),"")</f>
        <v/>
      </c>
      <c r="M144" s="457">
        <f>IF(AND(L144&lt;&gt;"",C144&lt;&gt;""), L144-C144, "")</f>
        <v/>
      </c>
      <c r="N144" s="709">
        <f>IFERROR(__xludf.DUMMYFUNCTION("IFERROR(
  MAX(
    FILTER(
      $I$2:$I1115,
      $A$2:$A1115=A144,
      $E$2:$E1115=E144,
      $G$2:$G1115 &gt;= G144-1,
      $G$2:$G1115 &lt;= G144+1
    )
  ),
  """"
)"),"")</f>
        <v/>
      </c>
      <c r="O144" s="460">
        <f>1-N144/K144</f>
        <v/>
      </c>
      <c r="P144" s="590">
        <f>AND(
O144 &lt;= 0.05,
(
COUNTIFS($A$2:$A1256, A144, $E$2:$E1256, E144, $G$2:$G1256, G144, $O$2:$O1256, "&lt;=0.05") +
COUNTIFS($A$2:$A1256, A144, $E$2:$E1256, E144, $G$2:$G1256, G144-1, $O$2:$O1256, "&lt;=0.05") +
COUNTIFS($A$2:$A1256, A144, $E$2:$E1256, E144, $G$2:$G1256, G144+1, $O$2:$O1256, "&lt;=0.05")
) &gt;= 
2)</f>
        <v/>
      </c>
      <c r="Q144" s="457" t="n"/>
      <c r="R144" s="457">
        <f>IFERROR(__xludf.DUMMYFUNCTION("IFERROR(MIN(FILTER($G$2:$G1115, $A$2:$A1115=A144, $E$2:$E1115=E144, $P$2:$P1115=TRUE)), """")"),"")</f>
        <v/>
      </c>
      <c r="S144" s="457">
        <f>IFERROR(__xludf.DUMMYFUNCTION("IFERROR(MAX(FILTER($G$2:$G1115, $A$2:$A1115=A144, $E$2:$E1115=E144, $P$2:$P1115=TRUE)), """")"),"")</f>
        <v/>
      </c>
      <c r="T144" s="590" t="n"/>
      <c r="U144" s="590" t="n"/>
      <c r="V144" s="590">
        <f>IFERROR(__xludf.DUMMYFUNCTION("MIN(FILTER($G$2:$G1115,$A$2:$A1115=A144,$E$2:$E1115=E144))"),"#N/A")</f>
        <v/>
      </c>
    </row>
    <row r="145">
      <c r="A145" s="454">
        <f>LEFT(B145,1)&amp;UPPER(LEFT(MID(B145,FIND(" ",B145)+1,LEN(B145)),3))&amp;C145</f>
        <v/>
      </c>
      <c r="B145" s="613" t="n"/>
      <c r="C145" s="613" t="n"/>
      <c r="D145" s="613" t="n"/>
      <c r="E145" s="613" t="n"/>
      <c r="G145" s="613">
        <f>F145-C145</f>
        <v/>
      </c>
      <c r="H145" s="505" t="n"/>
      <c r="I145" s="457">
        <f>IFERROR(__xludf.DUMMYFUNCTION("LET(
  gen,$D145, ev,$E145, t,$H145,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45" s="457">
        <f>IFERROR(__xludf.DUMMYFUNCTION("MIN(FILTER($H$2:$H1115,$A$2:$A1115=A145,$E$2:$E1115=E145))"),"#N/A")</f>
        <v/>
      </c>
      <c r="K145" s="457">
        <f>IFERROR(__xludf.DUMMYFUNCTION("MAX(FILTER($I$2:$I1115,$A$2:$A1115=A145,$E$2:$E1115=E145))"),"#N/A")</f>
        <v/>
      </c>
      <c r="L145" s="457">
        <f>IFERROR(INDEX(F:F,MATCH(J145&amp;A145&amp;E145,H:H&amp;A:A&amp;E:E,0)),"")</f>
        <v/>
      </c>
      <c r="M145" s="457">
        <f>IF(AND(L145&lt;&gt;"",C145&lt;&gt;""), L145-C145, "")</f>
        <v/>
      </c>
      <c r="N145" s="704">
        <f>IFERROR(__xludf.DUMMYFUNCTION("IFERROR(
  MAX(
    FILTER(
      $I$2:$I1115,
      $A$2:$A1115=A145,
      $E$2:$E1115=E145,
      $G$2:$G1115 &gt;= G145-1,
      $G$2:$G1115 &lt;= G145+1
    )
  ),
  """"
)"),"")</f>
        <v/>
      </c>
      <c r="O145" s="464">
        <f>1-N145/K145</f>
        <v/>
      </c>
      <c r="P145" s="613">
        <f>AND(
O145 &lt;= 0.05,
(
COUNTIFS($A$2:$A1257, A145, $E$2:$E1257, E145, $G$2:$G1257, G145, $O$2:$O1257, "&lt;=0.05") +
COUNTIFS($A$2:$A1257, A145, $E$2:$E1257, E145, $G$2:$G1257, G145-1, $O$2:$O1257, "&lt;=0.05") +
COUNTIFS($A$2:$A1257, A145, $E$2:$E1257, E145, $G$2:$G1257, G145+1, $O$2:$O1257, "&lt;=0.05")
) &gt;= 
2)</f>
        <v/>
      </c>
      <c r="Q145" s="457" t="n"/>
      <c r="R145" s="457">
        <f>IFERROR(__xludf.DUMMYFUNCTION("IFERROR(MIN(FILTER($G$2:$G1115, $A$2:$A1115=A145, $E$2:$E1115=E145, $P$2:$P1115=TRUE)), """")"),"")</f>
        <v/>
      </c>
      <c r="S145" s="457">
        <f>IFERROR(__xludf.DUMMYFUNCTION("IFERROR(MAX(FILTER($G$2:$G1115, $A$2:$A1115=A145, $E$2:$E1115=E145, $P$2:$P1115=TRUE)), """")"),"")</f>
        <v/>
      </c>
      <c r="T145" s="613" t="n"/>
      <c r="U145" s="613" t="n"/>
      <c r="V145" s="613">
        <f>IFERROR(__xludf.DUMMYFUNCTION("MIN(FILTER($G$2:$G1115,$A$2:$A1115=A145,$E$2:$E1115=E145))"),"#N/A")</f>
        <v/>
      </c>
    </row>
    <row r="146">
      <c r="A146" s="454">
        <f>LEFT(B146,1)&amp;UPPER(LEFT(MID(B146,FIND(" ",B146)+1,LEN(B146)),3))&amp;C146</f>
        <v/>
      </c>
      <c r="B146" s="590" t="n"/>
      <c r="C146" s="590" t="n"/>
      <c r="D146" s="590" t="n"/>
      <c r="E146" s="590" t="n"/>
      <c r="G146" s="590">
        <f>F146-C146</f>
        <v/>
      </c>
      <c r="H146" s="517" t="n"/>
      <c r="I146" s="457">
        <f>IFERROR(__xludf.DUMMYFUNCTION("LET(
  gen,$D146, ev,$E146, t,$H146,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46" s="457">
        <f>IFERROR(__xludf.DUMMYFUNCTION("MIN(FILTER($H$2:$H1115,$A$2:$A1115=A146,$E$2:$E1115=E146))"),"#N/A")</f>
        <v/>
      </c>
      <c r="K146" s="457">
        <f>IFERROR(__xludf.DUMMYFUNCTION("MAX(FILTER($I$2:$I1115,$A$2:$A1115=A146,$E$2:$E1115=E146))"),"#N/A")</f>
        <v/>
      </c>
      <c r="L146" s="457">
        <f>IFERROR(INDEX(F:F,MATCH(J146&amp;A146&amp;E146,H:H&amp;A:A&amp;E:E,0)),"")</f>
        <v/>
      </c>
      <c r="M146" s="457">
        <f>IF(AND(L146&lt;&gt;"",C146&lt;&gt;""), L146-C146, "")</f>
        <v/>
      </c>
      <c r="N146" s="709">
        <f>IFERROR(__xludf.DUMMYFUNCTION("IFERROR(
  MAX(
    FILTER(
      $I$2:$I1115,
      $A$2:$A1115=A146,
      $E$2:$E1115=E146,
      $G$2:$G1115 &gt;= G146-1,
      $G$2:$G1115 &lt;= G146+1
    )
  ),
  """"
)"),"")</f>
        <v/>
      </c>
      <c r="O146" s="460">
        <f>1-N146/K146</f>
        <v/>
      </c>
      <c r="P146" s="590">
        <f>AND(
O146 &lt;= 0.05,
(
COUNTIFS($A$2:$A1258, A146, $E$2:$E1258, E146, $G$2:$G1258, G146, $O$2:$O1258, "&lt;=0.05") +
COUNTIFS($A$2:$A1258, A146, $E$2:$E1258, E146, $G$2:$G1258, G146-1, $O$2:$O1258, "&lt;=0.05") +
COUNTIFS($A$2:$A1258, A146, $E$2:$E1258, E146, $G$2:$G1258, G146+1, $O$2:$O1258, "&lt;=0.05")
) &gt;= 
2)</f>
        <v/>
      </c>
      <c r="Q146" s="457" t="n"/>
      <c r="R146" s="457">
        <f>IFERROR(__xludf.DUMMYFUNCTION("IFERROR(MIN(FILTER($G$2:$G1115, $A$2:$A1115=A146, $E$2:$E1115=E146, $P$2:$P1115=TRUE)), """")"),"")</f>
        <v/>
      </c>
      <c r="S146" s="457">
        <f>IFERROR(__xludf.DUMMYFUNCTION("IFERROR(MAX(FILTER($G$2:$G1115, $A$2:$A1115=A146, $E$2:$E1115=E146, $P$2:$P1115=TRUE)), """")"),"")</f>
        <v/>
      </c>
      <c r="T146" s="590" t="n"/>
      <c r="U146" s="590" t="n"/>
      <c r="V146" s="590">
        <f>IFERROR(__xludf.DUMMYFUNCTION("MIN(FILTER($G$2:$G1115,$A$2:$A1115=A146,$E$2:$E1115=E146))"),"#N/A")</f>
        <v/>
      </c>
    </row>
    <row r="147">
      <c r="A147" s="454">
        <f>LEFT(B147,1)&amp;UPPER(LEFT(MID(B147,FIND(" ",B147)+1,LEN(B147)),3))&amp;C147</f>
        <v/>
      </c>
      <c r="B147" s="613" t="n"/>
      <c r="C147" s="613" t="n"/>
      <c r="D147" s="613" t="n"/>
      <c r="E147" s="613" t="n"/>
      <c r="G147" s="613">
        <f>F147-C147</f>
        <v/>
      </c>
      <c r="H147" s="505" t="n"/>
      <c r="I147" s="457">
        <f>IFERROR(__xludf.DUMMYFUNCTION("LET(
  gen,$D147, ev,$E147, t,$H147,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47" s="457">
        <f>IFERROR(__xludf.DUMMYFUNCTION("MIN(FILTER($H$2:$H1115,$A$2:$A1115=A147,$E$2:$E1115=E147))"),"#N/A")</f>
        <v/>
      </c>
      <c r="K147" s="457">
        <f>IFERROR(__xludf.DUMMYFUNCTION("MAX(FILTER($I$2:$I1115,$A$2:$A1115=A147,$E$2:$E1115=E147))"),"#N/A")</f>
        <v/>
      </c>
      <c r="L147" s="457">
        <f>IFERROR(INDEX(F:F,MATCH(J147&amp;A147&amp;E147,H:H&amp;A:A&amp;E:E,0)),"")</f>
        <v/>
      </c>
      <c r="M147" s="457">
        <f>IF(AND(L147&lt;&gt;"",C147&lt;&gt;""), L147-C147, "")</f>
        <v/>
      </c>
      <c r="N147" s="704">
        <f>IFERROR(__xludf.DUMMYFUNCTION("IFERROR(
  MAX(
    FILTER(
      $I$2:$I1115,
      $A$2:$A1115=A147,
      $E$2:$E1115=E147,
      $G$2:$G1115 &gt;= G147-1,
      $G$2:$G1115 &lt;= G147+1
    )
  ),
  """"
)"),"")</f>
        <v/>
      </c>
      <c r="O147" s="464">
        <f>1-N147/K147</f>
        <v/>
      </c>
      <c r="P147" s="613">
        <f>AND(
O147 &lt;= 0.05,
(
COUNTIFS($A$2:$A1259, A147, $E$2:$E1259, E147, $G$2:$G1259, G147, $O$2:$O1259, "&lt;=0.05") +
COUNTIFS($A$2:$A1259, A147, $E$2:$E1259, E147, $G$2:$G1259, G147-1, $O$2:$O1259, "&lt;=0.05") +
COUNTIFS($A$2:$A1259, A147, $E$2:$E1259, E147, $G$2:$G1259, G147+1, $O$2:$O1259, "&lt;=0.05")
) &gt;= 
2)</f>
        <v/>
      </c>
      <c r="Q147" s="457" t="n"/>
      <c r="R147" s="457">
        <f>IFERROR(__xludf.DUMMYFUNCTION("IFERROR(MIN(FILTER($G$2:$G1115, $A$2:$A1115=A147, $E$2:$E1115=E147, $P$2:$P1115=TRUE)), """")"),"")</f>
        <v/>
      </c>
      <c r="S147" s="457">
        <f>IFERROR(__xludf.DUMMYFUNCTION("IFERROR(MAX(FILTER($G$2:$G1115, $A$2:$A1115=A147, $E$2:$E1115=E147, $P$2:$P1115=TRUE)), """")"),"")</f>
        <v/>
      </c>
      <c r="T147" s="613" t="n"/>
      <c r="U147" s="613" t="n"/>
      <c r="V147" s="613">
        <f>IFERROR(__xludf.DUMMYFUNCTION("MIN(FILTER($G$2:$G1115,$A$2:$A1115=A147,$E$2:$E1115=E147))"),"#N/A")</f>
        <v/>
      </c>
    </row>
    <row r="148">
      <c r="A148" s="454">
        <f>LEFT(B148,1)&amp;UPPER(LEFT(MID(B148,FIND(" ",B148)+1,LEN(B148)),3))&amp;C148</f>
        <v/>
      </c>
      <c r="B148" s="590" t="n"/>
      <c r="C148" s="590" t="n"/>
      <c r="D148" s="590" t="n"/>
      <c r="E148" s="590" t="n"/>
      <c r="G148" s="590">
        <f>F148-C148</f>
        <v/>
      </c>
      <c r="H148" s="517" t="n"/>
      <c r="I148" s="457">
        <f>IFERROR(__xludf.DUMMYFUNCTION("LET(
  gen,$D148, ev,$E148, t,$H148,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48" s="457">
        <f>IFERROR(__xludf.DUMMYFUNCTION("MIN(FILTER($H$2:$H1115,$A$2:$A1115=A148,$E$2:$E1115=E148))"),"#N/A")</f>
        <v/>
      </c>
      <c r="K148" s="457">
        <f>IFERROR(__xludf.DUMMYFUNCTION("MAX(FILTER($I$2:$I1115,$A$2:$A1115=A148,$E$2:$E1115=E148))"),"#N/A")</f>
        <v/>
      </c>
      <c r="L148" s="457">
        <f>IFERROR(INDEX(F:F,MATCH(J148&amp;A148&amp;E148,H:H&amp;A:A&amp;E:E,0)),"")</f>
        <v/>
      </c>
      <c r="M148" s="457">
        <f>IF(AND(L148&lt;&gt;"",C148&lt;&gt;""), L148-C148, "")</f>
        <v/>
      </c>
      <c r="N148" s="709">
        <f>IFERROR(__xludf.DUMMYFUNCTION("IFERROR(
  MAX(
    FILTER(
      $I$2:$I1115,
      $A$2:$A1115=A148,
      $E$2:$E1115=E148,
      $G$2:$G1115 &gt;= G148-1,
      $G$2:$G1115 &lt;= G148+1
    )
  ),
  """"
)"),"")</f>
        <v/>
      </c>
      <c r="O148" s="460">
        <f>1-N148/K148</f>
        <v/>
      </c>
      <c r="P148" s="590">
        <f>AND(
O148 &lt;= 0.05,
(
COUNTIFS($A$2:$A1260, A148, $E$2:$E1260, E148, $G$2:$G1260, G148, $O$2:$O1260, "&lt;=0.05") +
COUNTIFS($A$2:$A1260, A148, $E$2:$E1260, E148, $G$2:$G1260, G148-1, $O$2:$O1260, "&lt;=0.05") +
COUNTIFS($A$2:$A1260, A148, $E$2:$E1260, E148, $G$2:$G1260, G148+1, $O$2:$O1260, "&lt;=0.05")
) &gt;= 
2)</f>
        <v/>
      </c>
      <c r="Q148" s="457" t="n"/>
      <c r="R148" s="457">
        <f>IFERROR(__xludf.DUMMYFUNCTION("IFERROR(MIN(FILTER($G$2:$G1115, $A$2:$A1115=A148, $E$2:$E1115=E148, $P$2:$P1115=TRUE)), """")"),"")</f>
        <v/>
      </c>
      <c r="S148" s="457">
        <f>IFERROR(__xludf.DUMMYFUNCTION("IFERROR(MAX(FILTER($G$2:$G1115, $A$2:$A1115=A148, $E$2:$E1115=E148, $P$2:$P1115=TRUE)), """")"),"")</f>
        <v/>
      </c>
      <c r="T148" s="590" t="n"/>
      <c r="U148" s="590" t="n"/>
      <c r="V148" s="590">
        <f>IFERROR(__xludf.DUMMYFUNCTION("MIN(FILTER($G$2:$G1115,$A$2:$A1115=A148,$E$2:$E1115=E148))"),"#N/A")</f>
        <v/>
      </c>
    </row>
    <row r="149">
      <c r="A149" s="454">
        <f>LEFT(B149,1)&amp;UPPER(LEFT(MID(B149,FIND(" ",B149)+1,LEN(B149)),3))&amp;C149</f>
        <v/>
      </c>
      <c r="B149" s="613" t="n"/>
      <c r="C149" s="613" t="n"/>
      <c r="D149" s="613" t="n"/>
      <c r="E149" s="613" t="n"/>
      <c r="G149" s="613">
        <f>F149-C149</f>
        <v/>
      </c>
      <c r="H149" s="505" t="n"/>
      <c r="I149" s="457">
        <f>IFERROR(__xludf.DUMMYFUNCTION("LET(
  gen,$D149, ev,$E149, t,$H149,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49" s="457">
        <f>IFERROR(__xludf.DUMMYFUNCTION("MIN(FILTER($H$2:$H1115,$A$2:$A1115=A149,$E$2:$E1115=E149))"),"#N/A")</f>
        <v/>
      </c>
      <c r="K149" s="457">
        <f>IFERROR(__xludf.DUMMYFUNCTION("MAX(FILTER($I$2:$I1115,$A$2:$A1115=A149,$E$2:$E1115=E149))"),"#N/A")</f>
        <v/>
      </c>
      <c r="L149" s="457">
        <f>IFERROR(INDEX(F:F,MATCH(J149&amp;A149&amp;E149,H:H&amp;A:A&amp;E:E,0)),"")</f>
        <v/>
      </c>
      <c r="M149" s="457">
        <f>IF(AND(L149&lt;&gt;"",C149&lt;&gt;""), L149-C149, "")</f>
        <v/>
      </c>
      <c r="N149" s="704">
        <f>IFERROR(__xludf.DUMMYFUNCTION("IFERROR(
  MAX(
    FILTER(
      $I$2:$I1115,
      $A$2:$A1115=A149,
      $E$2:$E1115=E149,
      $G$2:$G1115 &gt;= G149-1,
      $G$2:$G1115 &lt;= G149+1
    )
  ),
  """"
)"),"")</f>
        <v/>
      </c>
      <c r="O149" s="464">
        <f>1-N149/K149</f>
        <v/>
      </c>
      <c r="P149" s="613">
        <f>AND(
O149 &lt;= 0.05,
(
COUNTIFS($A$2:$A1261, A149, $E$2:$E1261, E149, $G$2:$G1261, G149, $O$2:$O1261, "&lt;=0.05") +
COUNTIFS($A$2:$A1261, A149, $E$2:$E1261, E149, $G$2:$G1261, G149-1, $O$2:$O1261, "&lt;=0.05") +
COUNTIFS($A$2:$A1261, A149, $E$2:$E1261, E149, $G$2:$G1261, G149+1, $O$2:$O1261, "&lt;=0.05")
) &gt;= 
2)</f>
        <v/>
      </c>
      <c r="Q149" s="457" t="n"/>
      <c r="R149" s="457">
        <f>IFERROR(__xludf.DUMMYFUNCTION("IFERROR(MIN(FILTER($G$2:$G1115, $A$2:$A1115=A149, $E$2:$E1115=E149, $P$2:$P1115=TRUE)), """")"),"")</f>
        <v/>
      </c>
      <c r="S149" s="457">
        <f>IFERROR(__xludf.DUMMYFUNCTION("IFERROR(MAX(FILTER($G$2:$G1115, $A$2:$A1115=A149, $E$2:$E1115=E149, $P$2:$P1115=TRUE)), """")"),"")</f>
        <v/>
      </c>
      <c r="T149" s="613" t="n"/>
      <c r="U149" s="613" t="n"/>
      <c r="V149" s="613">
        <f>IFERROR(__xludf.DUMMYFUNCTION("MIN(FILTER($G$2:$G1115,$A$2:$A1115=A149,$E$2:$E1115=E149))"),"#N/A")</f>
        <v/>
      </c>
    </row>
    <row r="150">
      <c r="A150" s="454">
        <f>LEFT(B150,1)&amp;UPPER(LEFT(MID(B150,FIND(" ",B150)+1,LEN(B150)),3))&amp;C150</f>
        <v/>
      </c>
      <c r="B150" s="590" t="n"/>
      <c r="C150" s="590" t="n"/>
      <c r="D150" s="590" t="n"/>
      <c r="E150" s="590" t="n"/>
      <c r="G150" s="590">
        <f>F150-C150</f>
        <v/>
      </c>
      <c r="H150" s="517" t="n"/>
      <c r="I150" s="457">
        <f>IFERROR(__xludf.DUMMYFUNCTION("LET(
  gen,$D150, ev,$E150, t,$H150,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50" s="457">
        <f>IFERROR(__xludf.DUMMYFUNCTION("MIN(FILTER($H$2:$H1115,$A$2:$A1115=A150,$E$2:$E1115=E150))"),"#N/A")</f>
        <v/>
      </c>
      <c r="K150" s="457">
        <f>IFERROR(__xludf.DUMMYFUNCTION("MAX(FILTER($I$2:$I1115,$A$2:$A1115=A150,$E$2:$E1115=E150))"),"#N/A")</f>
        <v/>
      </c>
      <c r="L150" s="457">
        <f>IFERROR(INDEX(F:F,MATCH(J150&amp;A150&amp;E150,H:H&amp;A:A&amp;E:E,0)),"")</f>
        <v/>
      </c>
      <c r="M150" s="457">
        <f>IF(AND(L150&lt;&gt;"",C150&lt;&gt;""), L150-C150, "")</f>
        <v/>
      </c>
      <c r="N150" s="709">
        <f>IFERROR(__xludf.DUMMYFUNCTION("IFERROR(
  MAX(
    FILTER(
      $I$2:$I1115,
      $A$2:$A1115=A150,
      $E$2:$E1115=E150,
      $G$2:$G1115 &gt;= G150-1,
      $G$2:$G1115 &lt;= G150+1
    )
  ),
  """"
)"),"")</f>
        <v/>
      </c>
      <c r="O150" s="460">
        <f>1-N150/K150</f>
        <v/>
      </c>
      <c r="P150" s="590">
        <f>AND(
O150 &lt;= 0.05,
(
COUNTIFS($A$2:$A1262, A150, $E$2:$E1262, E150, $G$2:$G1262, G150, $O$2:$O1262, "&lt;=0.05") +
COUNTIFS($A$2:$A1262, A150, $E$2:$E1262, E150, $G$2:$G1262, G150-1, $O$2:$O1262, "&lt;=0.05") +
COUNTIFS($A$2:$A1262, A150, $E$2:$E1262, E150, $G$2:$G1262, G150+1, $O$2:$O1262, "&lt;=0.05")
) &gt;= 
2)</f>
        <v/>
      </c>
      <c r="Q150" s="457" t="n"/>
      <c r="R150" s="457">
        <f>IFERROR(__xludf.DUMMYFUNCTION("IFERROR(MIN(FILTER($G$2:$G1115, $A$2:$A1115=A150, $E$2:$E1115=E150, $P$2:$P1115=TRUE)), """")"),"")</f>
        <v/>
      </c>
      <c r="S150" s="457">
        <f>IFERROR(__xludf.DUMMYFUNCTION("IFERROR(MAX(FILTER($G$2:$G1115, $A$2:$A1115=A150, $E$2:$E1115=E150, $P$2:$P1115=TRUE)), """")"),"")</f>
        <v/>
      </c>
      <c r="T150" s="590" t="n"/>
      <c r="U150" s="590" t="n"/>
      <c r="V150" s="590">
        <f>IFERROR(__xludf.DUMMYFUNCTION("MIN(FILTER($G$2:$G1115,$A$2:$A1115=A150,$E$2:$E1115=E150))"),"#N/A")</f>
        <v/>
      </c>
    </row>
    <row r="151">
      <c r="A151" s="454">
        <f>LEFT(B151,1)&amp;UPPER(LEFT(MID(B151,FIND(" ",B151)+1,LEN(B151)),3))&amp;C151</f>
        <v/>
      </c>
      <c r="B151" s="613" t="n"/>
      <c r="C151" s="613" t="n"/>
      <c r="D151" s="613" t="n"/>
      <c r="E151" s="613" t="n"/>
      <c r="G151" s="613">
        <f>F151-C151</f>
        <v/>
      </c>
      <c r="H151" s="505" t="n"/>
      <c r="I151" s="457">
        <f>IFERROR(__xludf.DUMMYFUNCTION("LET(
  gen,$D151, ev,$E151, t,$H151,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51" s="457">
        <f>IFERROR(__xludf.DUMMYFUNCTION("MIN(FILTER($H$2:$H1115,$A$2:$A1115=A151,$E$2:$E1115=E151))"),"#N/A")</f>
        <v/>
      </c>
      <c r="K151" s="457">
        <f>IFERROR(__xludf.DUMMYFUNCTION("MAX(FILTER($I$2:$I1115,$A$2:$A1115=A151,$E$2:$E1115=E151))"),"#N/A")</f>
        <v/>
      </c>
      <c r="L151" s="457">
        <f>IFERROR(INDEX(F:F,MATCH(J151&amp;A151&amp;E151,H:H&amp;A:A&amp;E:E,0)),"")</f>
        <v/>
      </c>
      <c r="M151" s="457">
        <f>IF(AND(L151&lt;&gt;"",C151&lt;&gt;""), L151-C151, "")</f>
        <v/>
      </c>
      <c r="N151" s="704">
        <f>IFERROR(__xludf.DUMMYFUNCTION("IFERROR(
  MAX(
    FILTER(
      $I$2:$I1115,
      $A$2:$A1115=A151,
      $E$2:$E1115=E151,
      $G$2:$G1115 &gt;= G151-1,
      $G$2:$G1115 &lt;= G151+1
    )
  ),
  """"
)"),"")</f>
        <v/>
      </c>
      <c r="O151" s="464">
        <f>1-N151/K151</f>
        <v/>
      </c>
      <c r="P151" s="613">
        <f>AND(
O151 &lt;= 0.05,
(
COUNTIFS($A$2:$A1263, A151, $E$2:$E1263, E151, $G$2:$G1263, G151, $O$2:$O1263, "&lt;=0.05") +
COUNTIFS($A$2:$A1263, A151, $E$2:$E1263, E151, $G$2:$G1263, G151-1, $O$2:$O1263, "&lt;=0.05") +
COUNTIFS($A$2:$A1263, A151, $E$2:$E1263, E151, $G$2:$G1263, G151+1, $O$2:$O1263, "&lt;=0.05")
) &gt;= 
2)</f>
        <v/>
      </c>
      <c r="Q151" s="457" t="n"/>
      <c r="R151" s="457">
        <f>IFERROR(__xludf.DUMMYFUNCTION("IFERROR(MIN(FILTER($G$2:$G1115, $A$2:$A1115=A151, $E$2:$E1115=E151, $P$2:$P1115=TRUE)), """")"),"")</f>
        <v/>
      </c>
      <c r="S151" s="457">
        <f>IFERROR(__xludf.DUMMYFUNCTION("IFERROR(MAX(FILTER($G$2:$G1115, $A$2:$A1115=A151, $E$2:$E1115=E151, $P$2:$P1115=TRUE)), """")"),"")</f>
        <v/>
      </c>
      <c r="T151" s="613" t="n"/>
      <c r="U151" s="613" t="n"/>
      <c r="V151" s="613">
        <f>IFERROR(__xludf.DUMMYFUNCTION("MIN(FILTER($G$2:$G1115,$A$2:$A1115=A151,$E$2:$E1115=E151))"),"#N/A")</f>
        <v/>
      </c>
    </row>
    <row r="152">
      <c r="A152" s="454">
        <f>LEFT(B152,1)&amp;UPPER(LEFT(MID(B152,FIND(" ",B152)+1,LEN(B152)),3))&amp;C152</f>
        <v/>
      </c>
      <c r="B152" s="590" t="n"/>
      <c r="C152" s="590" t="n"/>
      <c r="D152" s="590" t="n"/>
      <c r="E152" s="590" t="n"/>
      <c r="G152" s="590">
        <f>F152-C152</f>
        <v/>
      </c>
      <c r="H152" s="517" t="n"/>
      <c r="I152" s="457">
        <f>IFERROR(__xludf.DUMMYFUNCTION("LET(
  gen,$D152, ev,$E152, t,$H152,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52" s="457">
        <f>IFERROR(__xludf.DUMMYFUNCTION("MIN(FILTER($H$2:$H1115,$A$2:$A1115=A152,$E$2:$E1115=E152))"),"#N/A")</f>
        <v/>
      </c>
      <c r="K152" s="457">
        <f>IFERROR(__xludf.DUMMYFUNCTION("MAX(FILTER($I$2:$I1115,$A$2:$A1115=A152,$E$2:$E1115=E152))"),"#N/A")</f>
        <v/>
      </c>
      <c r="L152" s="457">
        <f>IFERROR(INDEX(F:F,MATCH(J152&amp;A152&amp;E152,H:H&amp;A:A&amp;E:E,0)),"")</f>
        <v/>
      </c>
      <c r="M152" s="457">
        <f>IF(AND(L152&lt;&gt;"",C152&lt;&gt;""), L152-C152, "")</f>
        <v/>
      </c>
      <c r="N152" s="709">
        <f>IFERROR(__xludf.DUMMYFUNCTION("IFERROR(
  MAX(
    FILTER(
      $I$2:$I1115,
      $A$2:$A1115=A152,
      $E$2:$E1115=E152,
      $G$2:$G1115 &gt;= G152-1,
      $G$2:$G1115 &lt;= G152+1
    )
  ),
  """"
)"),"")</f>
        <v/>
      </c>
      <c r="O152" s="460">
        <f>1-N152/K152</f>
        <v/>
      </c>
      <c r="P152" s="590">
        <f>AND(
O152 &lt;= 0.05,
(
COUNTIFS($A$2:$A1264, A152, $E$2:$E1264, E152, $G$2:$G1264, G152, $O$2:$O1264, "&lt;=0.05") +
COUNTIFS($A$2:$A1264, A152, $E$2:$E1264, E152, $G$2:$G1264, G152-1, $O$2:$O1264, "&lt;=0.05") +
COUNTIFS($A$2:$A1264, A152, $E$2:$E1264, E152, $G$2:$G1264, G152+1, $O$2:$O1264, "&lt;=0.05")
) &gt;= 
2)</f>
        <v/>
      </c>
      <c r="Q152" s="457" t="n"/>
      <c r="R152" s="457">
        <f>IFERROR(__xludf.DUMMYFUNCTION("IFERROR(MIN(FILTER($G$2:$G1115, $A$2:$A1115=A152, $E$2:$E1115=E152, $P$2:$P1115=TRUE)), """")"),"")</f>
        <v/>
      </c>
      <c r="S152" s="457">
        <f>IFERROR(__xludf.DUMMYFUNCTION("IFERROR(MAX(FILTER($G$2:$G1115, $A$2:$A1115=A152, $E$2:$E1115=E152, $P$2:$P1115=TRUE)), """")"),"")</f>
        <v/>
      </c>
      <c r="T152" s="590" t="n"/>
      <c r="U152" s="590" t="n"/>
      <c r="V152" s="590">
        <f>IFERROR(__xludf.DUMMYFUNCTION("MIN(FILTER($G$2:$G1115,$A$2:$A1115=A152,$E$2:$E1115=E152))"),"#N/A")</f>
        <v/>
      </c>
    </row>
    <row r="153">
      <c r="A153" s="454">
        <f>LEFT(B153,1)&amp;UPPER(LEFT(MID(B153,FIND(" ",B153)+1,LEN(B153)),3))&amp;C153</f>
        <v/>
      </c>
      <c r="B153" s="613" t="n"/>
      <c r="C153" s="613" t="n"/>
      <c r="D153" s="613" t="n"/>
      <c r="E153" s="613" t="n"/>
      <c r="G153" s="613">
        <f>F153-C153</f>
        <v/>
      </c>
      <c r="H153" s="505" t="n"/>
      <c r="I153" s="457">
        <f>IFERROR(__xludf.DUMMYFUNCTION("LET(
  gen,$D153, ev,$E153, t,$H153,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53" s="457">
        <f>IFERROR(__xludf.DUMMYFUNCTION("MIN(FILTER($H$2:$H1115,$A$2:$A1115=A153,$E$2:$E1115=E153))"),"#N/A")</f>
        <v/>
      </c>
      <c r="K153" s="457">
        <f>IFERROR(__xludf.DUMMYFUNCTION("MAX(FILTER($I$2:$I1115,$A$2:$A1115=A153,$E$2:$E1115=E153))"),"#N/A")</f>
        <v/>
      </c>
      <c r="L153" s="457">
        <f>IFERROR(INDEX(F:F,MATCH(J153&amp;A153&amp;E153,H:H&amp;A:A&amp;E:E,0)),"")</f>
        <v/>
      </c>
      <c r="M153" s="457">
        <f>IF(AND(L153&lt;&gt;"",C153&lt;&gt;""), L153-C153, "")</f>
        <v/>
      </c>
      <c r="N153" s="704">
        <f>IFERROR(__xludf.DUMMYFUNCTION("IFERROR(
  MAX(
    FILTER(
      $I$2:$I1115,
      $A$2:$A1115=A153,
      $E$2:$E1115=E153,
      $G$2:$G1115 &gt;= G153-1,
      $G$2:$G1115 &lt;= G153+1
    )
  ),
  """"
)"),"")</f>
        <v/>
      </c>
      <c r="O153" s="464">
        <f>1-N153/K153</f>
        <v/>
      </c>
      <c r="P153" s="613">
        <f>AND(
O153 &lt;= 0.05,
(
COUNTIFS($A$2:$A1265, A153, $E$2:$E1265, E153, $G$2:$G1265, G153, $O$2:$O1265, "&lt;=0.05") +
COUNTIFS($A$2:$A1265, A153, $E$2:$E1265, E153, $G$2:$G1265, G153-1, $O$2:$O1265, "&lt;=0.05") +
COUNTIFS($A$2:$A1265, A153, $E$2:$E1265, E153, $G$2:$G1265, G153+1, $O$2:$O1265, "&lt;=0.05")
) &gt;= 
2)</f>
        <v/>
      </c>
      <c r="Q153" s="457" t="n"/>
      <c r="R153" s="457">
        <f>IFERROR(__xludf.DUMMYFUNCTION("IFERROR(MIN(FILTER($G$2:$G1115, $A$2:$A1115=A153, $E$2:$E1115=E153, $P$2:$P1115=TRUE)), """")"),"")</f>
        <v/>
      </c>
      <c r="S153" s="457">
        <f>IFERROR(__xludf.DUMMYFUNCTION("IFERROR(MAX(FILTER($G$2:$G1115, $A$2:$A1115=A153, $E$2:$E1115=E153, $P$2:$P1115=TRUE)), """")"),"")</f>
        <v/>
      </c>
      <c r="T153" s="613" t="n"/>
      <c r="U153" s="613" t="n"/>
      <c r="V153" s="613">
        <f>IFERROR(__xludf.DUMMYFUNCTION("MIN(FILTER($G$2:$G1115,$A$2:$A1115=A153,$E$2:$E1115=E153))"),"#N/A")</f>
        <v/>
      </c>
    </row>
    <row r="154">
      <c r="A154" s="454">
        <f>LEFT(B154,1)&amp;UPPER(LEFT(MID(B154,FIND(" ",B154)+1,LEN(B154)),3))&amp;C154</f>
        <v/>
      </c>
      <c r="B154" s="590" t="n"/>
      <c r="C154" s="590" t="n"/>
      <c r="D154" s="590" t="n"/>
      <c r="E154" s="590" t="n"/>
      <c r="G154" s="590">
        <f>F154-C154</f>
        <v/>
      </c>
      <c r="H154" s="517" t="n"/>
      <c r="I154" s="457">
        <f>IFERROR(__xludf.DUMMYFUNCTION("LET(
  gen,$D154, ev,$E154, t,$H154,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54" s="457">
        <f>IFERROR(__xludf.DUMMYFUNCTION("MIN(FILTER($H$2:$H1115,$A$2:$A1115=A154,$E$2:$E1115=E154))"),"#N/A")</f>
        <v/>
      </c>
      <c r="K154" s="457">
        <f>IFERROR(__xludf.DUMMYFUNCTION("MAX(FILTER($I$2:$I1115,$A$2:$A1115=A154,$E$2:$E1115=E154))"),"#N/A")</f>
        <v/>
      </c>
      <c r="L154" s="457">
        <f>IFERROR(INDEX(F:F,MATCH(J154&amp;A154&amp;E154,H:H&amp;A:A&amp;E:E,0)),"")</f>
        <v/>
      </c>
      <c r="M154" s="457">
        <f>IF(AND(L154&lt;&gt;"",C154&lt;&gt;""), L154-C154, "")</f>
        <v/>
      </c>
      <c r="N154" s="709">
        <f>IFERROR(__xludf.DUMMYFUNCTION("IFERROR(
  MAX(
    FILTER(
      $I$2:$I1115,
      $A$2:$A1115=A154,
      $E$2:$E1115=E154,
      $G$2:$G1115 &gt;= G154-1,
      $G$2:$G1115 &lt;= G154+1
    )
  ),
  """"
)"),"")</f>
        <v/>
      </c>
      <c r="O154" s="460">
        <f>1-N154/K154</f>
        <v/>
      </c>
      <c r="P154" s="590">
        <f>AND(
O154 &lt;= 0.05,
(
COUNTIFS($A$2:$A1266, A154, $E$2:$E1266, E154, $G$2:$G1266, G154, $O$2:$O1266, "&lt;=0.05") +
COUNTIFS($A$2:$A1266, A154, $E$2:$E1266, E154, $G$2:$G1266, G154-1, $O$2:$O1266, "&lt;=0.05") +
COUNTIFS($A$2:$A1266, A154, $E$2:$E1266, E154, $G$2:$G1266, G154+1, $O$2:$O1266, "&lt;=0.05")
) &gt;= 
2)</f>
        <v/>
      </c>
      <c r="Q154" s="457" t="n"/>
      <c r="R154" s="457">
        <f>IFERROR(__xludf.DUMMYFUNCTION("IFERROR(MIN(FILTER($G$2:$G1115, $A$2:$A1115=A154, $E$2:$E1115=E154, $P$2:$P1115=TRUE)), """")"),"")</f>
        <v/>
      </c>
      <c r="S154" s="457">
        <f>IFERROR(__xludf.DUMMYFUNCTION("IFERROR(MAX(FILTER($G$2:$G1115, $A$2:$A1115=A154, $E$2:$E1115=E154, $P$2:$P1115=TRUE)), """")"),"")</f>
        <v/>
      </c>
      <c r="T154" s="590" t="n"/>
      <c r="U154" s="590" t="n"/>
      <c r="V154" s="590">
        <f>IFERROR(__xludf.DUMMYFUNCTION("MIN(FILTER($G$2:$G1115,$A$2:$A1115=A154,$E$2:$E1115=E154))"),"#N/A")</f>
        <v/>
      </c>
    </row>
    <row r="155">
      <c r="A155" s="454">
        <f>LEFT(B155,1)&amp;UPPER(LEFT(MID(B155,FIND(" ",B155)+1,LEN(B155)),3))&amp;C155</f>
        <v/>
      </c>
      <c r="B155" s="613" t="n"/>
      <c r="C155" s="613" t="n"/>
      <c r="D155" s="613" t="n"/>
      <c r="E155" s="613" t="n"/>
      <c r="F155" s="613" t="n"/>
      <c r="G155" s="613">
        <f>F155-C155</f>
        <v/>
      </c>
      <c r="H155" s="505" t="n"/>
      <c r="I155" s="457">
        <f>IFERROR(__xludf.DUMMYFUNCTION("LET(
  gen,$D155, ev,$E155, t,$H155,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55" s="457">
        <f>IFERROR(__xludf.DUMMYFUNCTION("MIN(FILTER($H$2:$H1115,$A$2:$A1115=A155,$E$2:$E1115=E155))"),"#N/A")</f>
        <v/>
      </c>
      <c r="K155" s="457">
        <f>IFERROR(__xludf.DUMMYFUNCTION("MAX(FILTER($I$2:$I1115,$A$2:$A1115=A155,$E$2:$E1115=E155))"),"#N/A")</f>
        <v/>
      </c>
      <c r="L155" s="457">
        <f>IFERROR(INDEX(F:F,MATCH(J155&amp;A155&amp;E155,H:H&amp;A:A&amp;E:E,0)),"")</f>
        <v/>
      </c>
      <c r="M155" s="457">
        <f>IF(AND(L155&lt;&gt;"",C155&lt;&gt;""), L155-C155, "")</f>
        <v/>
      </c>
      <c r="N155" s="704">
        <f>IFERROR(__xludf.DUMMYFUNCTION("IFERROR(
  MAX(
    FILTER(
      $I$2:$I1115,
      $A$2:$A1115=A155,
      $E$2:$E1115=E155,
      $G$2:$G1115 &gt;= G155-1,
      $G$2:$G1115 &lt;= G155+1
    )
  ),
  """"
)"),"")</f>
        <v/>
      </c>
      <c r="O155" s="464">
        <f>1-N155/K155</f>
        <v/>
      </c>
      <c r="P155" s="613">
        <f>AND(
O155 &lt;= 0.05,
(
COUNTIFS($A$2:$A1267, A155, $E$2:$E1267, E155, $G$2:$G1267, G155, $O$2:$O1267, "&lt;=0.05") +
COUNTIFS($A$2:$A1267, A155, $E$2:$E1267, E155, $G$2:$G1267, G155-1, $O$2:$O1267, "&lt;=0.05") +
COUNTIFS($A$2:$A1267, A155, $E$2:$E1267, E155, $G$2:$G1267, G155+1, $O$2:$O1267, "&lt;=0.05")
) &gt;= 
2)</f>
        <v/>
      </c>
      <c r="Q155" s="457" t="n"/>
      <c r="R155" s="457">
        <f>IFERROR(__xludf.DUMMYFUNCTION("IFERROR(MIN(FILTER($G$2:$G1115, $A$2:$A1115=A155, $E$2:$E1115=E155, $P$2:$P1115=TRUE)), """")"),"")</f>
        <v/>
      </c>
      <c r="S155" s="457">
        <f>IFERROR(__xludf.DUMMYFUNCTION("IFERROR(MAX(FILTER($G$2:$G1115, $A$2:$A1115=A155, $E$2:$E1115=E155, $P$2:$P1115=TRUE)), """")"),"")</f>
        <v/>
      </c>
      <c r="T155" s="613" t="n"/>
      <c r="U155" s="613" t="n"/>
      <c r="V155" s="613">
        <f>IFERROR(__xludf.DUMMYFUNCTION("MIN(FILTER($G$2:$G1115,$A$2:$A1115=A155,$E$2:$E1115=E155))"),"#N/A")</f>
        <v/>
      </c>
    </row>
    <row r="156">
      <c r="A156" s="454">
        <f>LEFT(B156,1)&amp;UPPER(LEFT(MID(B156,FIND(" ",B156)+1,LEN(B156)),3))&amp;C156</f>
        <v/>
      </c>
      <c r="B156" s="590" t="n"/>
      <c r="C156" s="590" t="n"/>
      <c r="D156" s="590" t="n"/>
      <c r="E156" s="590" t="n"/>
      <c r="F156" s="590" t="n"/>
      <c r="G156" s="590">
        <f>F156-C156</f>
        <v/>
      </c>
      <c r="H156" s="517" t="n"/>
      <c r="I156" s="457">
        <f>IFERROR(__xludf.DUMMYFUNCTION("LET(
  gen,$D156, ev,$E156, t,$H156,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56" s="457">
        <f>IFERROR(__xludf.DUMMYFUNCTION("MIN(FILTER($H$2:$H1115,$A$2:$A1115=A156,$E$2:$E1115=E156))"),"#N/A")</f>
        <v/>
      </c>
      <c r="K156" s="457">
        <f>IFERROR(__xludf.DUMMYFUNCTION("MAX(FILTER($I$2:$I1115,$A$2:$A1115=A156,$E$2:$E1115=E156))"),"#N/A")</f>
        <v/>
      </c>
      <c r="L156" s="457">
        <f>IFERROR(INDEX(F:F,MATCH(J156&amp;A156&amp;E156,H:H&amp;A:A&amp;E:E,0)),"")</f>
        <v/>
      </c>
      <c r="M156" s="457">
        <f>IF(AND(L156&lt;&gt;"",C156&lt;&gt;""), L156-C156, "")</f>
        <v/>
      </c>
      <c r="N156" s="709">
        <f>IFERROR(__xludf.DUMMYFUNCTION("IFERROR(
  MAX(
    FILTER(
      $I$2:$I1115,
      $A$2:$A1115=A156,
      $E$2:$E1115=E156,
      $G$2:$G1115 &gt;= G156-1,
      $G$2:$G1115 &lt;= G156+1
    )
  ),
  """"
)"),"")</f>
        <v/>
      </c>
      <c r="O156" s="460">
        <f>1-N156/K156</f>
        <v/>
      </c>
      <c r="P156" s="590">
        <f>AND(
O156 &lt;= 0.05,
(
COUNTIFS($A$2:$A1268, A156, $E$2:$E1268, E156, $G$2:$G1268, G156, $O$2:$O1268, "&lt;=0.05") +
COUNTIFS($A$2:$A1268, A156, $E$2:$E1268, E156, $G$2:$G1268, G156-1, $O$2:$O1268, "&lt;=0.05") +
COUNTIFS($A$2:$A1268, A156, $E$2:$E1268, E156, $G$2:$G1268, G156+1, $O$2:$O1268, "&lt;=0.05")
) &gt;= 
2)</f>
        <v/>
      </c>
      <c r="Q156" s="457" t="n"/>
      <c r="R156" s="457">
        <f>IFERROR(__xludf.DUMMYFUNCTION("IFERROR(MIN(FILTER($G$2:$G1115, $A$2:$A1115=A156, $E$2:$E1115=E156, $P$2:$P1115=TRUE)), """")"),"")</f>
        <v/>
      </c>
      <c r="S156" s="457">
        <f>IFERROR(__xludf.DUMMYFUNCTION("IFERROR(MAX(FILTER($G$2:$G1115, $A$2:$A1115=A156, $E$2:$E1115=E156, $P$2:$P1115=TRUE)), """")"),"")</f>
        <v/>
      </c>
      <c r="T156" s="590" t="n"/>
      <c r="U156" s="590" t="n"/>
      <c r="V156" s="590">
        <f>IFERROR(__xludf.DUMMYFUNCTION("MIN(FILTER($G$2:$G1115,$A$2:$A1115=A156,$E$2:$E1115=E156))"),"#N/A")</f>
        <v/>
      </c>
    </row>
    <row r="157">
      <c r="A157" s="454">
        <f>LEFT(B157,1)&amp;UPPER(LEFT(MID(B157,FIND(" ",B157)+1,LEN(B157)),3))&amp;C157</f>
        <v/>
      </c>
      <c r="B157" s="613" t="n"/>
      <c r="C157" s="613" t="n"/>
      <c r="D157" s="613" t="n"/>
      <c r="E157" s="613" t="n"/>
      <c r="F157" s="613" t="n"/>
      <c r="G157" s="613">
        <f>F157-C157</f>
        <v/>
      </c>
      <c r="H157" s="505" t="n"/>
      <c r="I157" s="457">
        <f>IFERROR(__xludf.DUMMYFUNCTION("LET(
  gen,$D157, ev,$E157, t,$H157,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57" s="457">
        <f>IFERROR(__xludf.DUMMYFUNCTION("MIN(FILTER($H$2:$H1115,$A$2:$A1115=A157,$E$2:$E1115=E157))"),"#N/A")</f>
        <v/>
      </c>
      <c r="K157" s="457">
        <f>IFERROR(__xludf.DUMMYFUNCTION("MAX(FILTER($I$2:$I1115,$A$2:$A1115=A157,$E$2:$E1115=E157))"),"#N/A")</f>
        <v/>
      </c>
      <c r="L157" s="457">
        <f>IFERROR(INDEX(F:F,MATCH(J157&amp;A157&amp;E157,H:H&amp;A:A&amp;E:E,0)),"")</f>
        <v/>
      </c>
      <c r="M157" s="457">
        <f>IF(AND(L157&lt;&gt;"",C157&lt;&gt;""), L157-C157, "")</f>
        <v/>
      </c>
      <c r="N157" s="704">
        <f>IFERROR(__xludf.DUMMYFUNCTION("IFERROR(
  MAX(
    FILTER(
      $I$2:$I1115,
      $A$2:$A1115=A157,
      $E$2:$E1115=E157,
      $G$2:$G1115 &gt;= G157-1,
      $G$2:$G1115 &lt;= G157+1
    )
  ),
  """"
)"),"")</f>
        <v/>
      </c>
      <c r="O157" s="464">
        <f>1-N157/K157</f>
        <v/>
      </c>
      <c r="P157" s="613">
        <f>AND(
O157 &lt;= 0.05,
(
COUNTIFS($A$2:$A1269, A157, $E$2:$E1269, E157, $G$2:$G1269, G157, $O$2:$O1269, "&lt;=0.05") +
COUNTIFS($A$2:$A1269, A157, $E$2:$E1269, E157, $G$2:$G1269, G157-1, $O$2:$O1269, "&lt;=0.05") +
COUNTIFS($A$2:$A1269, A157, $E$2:$E1269, E157, $G$2:$G1269, G157+1, $O$2:$O1269, "&lt;=0.05")
) &gt;= 
2)</f>
        <v/>
      </c>
      <c r="Q157" s="457" t="n"/>
      <c r="R157" s="457">
        <f>IFERROR(__xludf.DUMMYFUNCTION("IFERROR(MIN(FILTER($G$2:$G1115, $A$2:$A1115=A157, $E$2:$E1115=E157, $P$2:$P1115=TRUE)), """")"),"")</f>
        <v/>
      </c>
      <c r="S157" s="457">
        <f>IFERROR(__xludf.DUMMYFUNCTION("IFERROR(MAX(FILTER($G$2:$G1115, $A$2:$A1115=A157, $E$2:$E1115=E157, $P$2:$P1115=TRUE)), """")"),"")</f>
        <v/>
      </c>
      <c r="T157" s="613" t="n"/>
      <c r="U157" s="613" t="n"/>
      <c r="V157" s="613">
        <f>IFERROR(__xludf.DUMMYFUNCTION("MIN(FILTER($G$2:$G1115,$A$2:$A1115=A157,$E$2:$E1115=E157))"),"#N/A")</f>
        <v/>
      </c>
    </row>
    <row r="158">
      <c r="A158" s="454">
        <f>LEFT(B158,1)&amp;UPPER(LEFT(MID(B158,FIND(" ",B158)+1,LEN(B158)),3))&amp;C158</f>
        <v/>
      </c>
      <c r="B158" s="590" t="n"/>
      <c r="C158" s="590" t="n"/>
      <c r="D158" s="590" t="n"/>
      <c r="E158" s="590" t="n"/>
      <c r="F158" s="590" t="n"/>
      <c r="G158" s="590">
        <f>F158-C158</f>
        <v/>
      </c>
      <c r="H158" s="517" t="n"/>
      <c r="I158" s="457">
        <f>IFERROR(__xludf.DUMMYFUNCTION("LET(
  gen,$D158, ev,$E158, t,$H158,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58" s="457">
        <f>IFERROR(__xludf.DUMMYFUNCTION("MIN(FILTER($H$2:$H1115,$A$2:$A1115=A158,$E$2:$E1115=E158))"),"#N/A")</f>
        <v/>
      </c>
      <c r="K158" s="457">
        <f>IFERROR(__xludf.DUMMYFUNCTION("MAX(FILTER($I$2:$I1115,$A$2:$A1115=A158,$E$2:$E1115=E158))"),"#N/A")</f>
        <v/>
      </c>
      <c r="L158" s="457">
        <f>IFERROR(INDEX(F:F,MATCH(J158&amp;A158&amp;E158,H:H&amp;A:A&amp;E:E,0)),"")</f>
        <v/>
      </c>
      <c r="M158" s="457">
        <f>IF(AND(L158&lt;&gt;"",C158&lt;&gt;""), L158-C158, "")</f>
        <v/>
      </c>
      <c r="N158" s="709">
        <f>IFERROR(__xludf.DUMMYFUNCTION("IFERROR(
  MAX(
    FILTER(
      $I$2:$I1115,
      $A$2:$A1115=A158,
      $E$2:$E1115=E158,
      $G$2:$G1115 &gt;= G158-1,
      $G$2:$G1115 &lt;= G158+1
    )
  ),
  """"
)"),"")</f>
        <v/>
      </c>
      <c r="O158" s="460">
        <f>1-N158/K158</f>
        <v/>
      </c>
      <c r="P158" s="590">
        <f>AND(
O158 &lt;= 0.05,
(
COUNTIFS($A$2:$A1270, A158, $E$2:$E1270, E158, $G$2:$G1270, G158, $O$2:$O1270, "&lt;=0.05") +
COUNTIFS($A$2:$A1270, A158, $E$2:$E1270, E158, $G$2:$G1270, G158-1, $O$2:$O1270, "&lt;=0.05") +
COUNTIFS($A$2:$A1270, A158, $E$2:$E1270, E158, $G$2:$G1270, G158+1, $O$2:$O1270, "&lt;=0.05")
) &gt;= 
2)</f>
        <v/>
      </c>
      <c r="Q158" s="457" t="n"/>
      <c r="R158" s="457">
        <f>IFERROR(__xludf.DUMMYFUNCTION("IFERROR(MIN(FILTER($G$2:$G1115, $A$2:$A1115=A158, $E$2:$E1115=E158, $P$2:$P1115=TRUE)), """")"),"")</f>
        <v/>
      </c>
      <c r="S158" s="457">
        <f>IFERROR(__xludf.DUMMYFUNCTION("IFERROR(MAX(FILTER($G$2:$G1115, $A$2:$A1115=A158, $E$2:$E1115=E158, $P$2:$P1115=TRUE)), """")"),"")</f>
        <v/>
      </c>
      <c r="T158" s="590" t="n"/>
      <c r="U158" s="590" t="n"/>
      <c r="V158" s="590">
        <f>IFERROR(__xludf.DUMMYFUNCTION("MIN(FILTER($G$2:$G1115,$A$2:$A1115=A158,$E$2:$E1115=E158))"),"#N/A")</f>
        <v/>
      </c>
    </row>
    <row r="159">
      <c r="A159" s="454">
        <f>LEFT(B159,1)&amp;UPPER(LEFT(MID(B159,FIND(" ",B159)+1,LEN(B159)),3))&amp;C159</f>
        <v/>
      </c>
      <c r="B159" s="613" t="n"/>
      <c r="C159" s="613" t="n"/>
      <c r="D159" s="613" t="n"/>
      <c r="E159" s="613" t="n"/>
      <c r="F159" s="613" t="n"/>
      <c r="G159" s="613">
        <f>F159-C159</f>
        <v/>
      </c>
      <c r="H159" s="505" t="n"/>
      <c r="I159" s="457">
        <f>IFERROR(__xludf.DUMMYFUNCTION("LET(
  gen,$D159, ev,$E159, t,$H159,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59" s="457">
        <f>IFERROR(__xludf.DUMMYFUNCTION("MIN(FILTER($H$2:$H1115,$A$2:$A1115=A159,$E$2:$E1115=E159))"),"#N/A")</f>
        <v/>
      </c>
      <c r="K159" s="457">
        <f>IFERROR(__xludf.DUMMYFUNCTION("MAX(FILTER($I$2:$I1115,$A$2:$A1115=A159,$E$2:$E1115=E159))"),"#N/A")</f>
        <v/>
      </c>
      <c r="L159" s="457">
        <f>IFERROR(INDEX(F:F,MATCH(J159&amp;A159&amp;E159,H:H&amp;A:A&amp;E:E,0)),"")</f>
        <v/>
      </c>
      <c r="M159" s="457">
        <f>IF(AND(L159&lt;&gt;"",C159&lt;&gt;""), L159-C159, "")</f>
        <v/>
      </c>
      <c r="N159" s="704">
        <f>IFERROR(__xludf.DUMMYFUNCTION("IFERROR(
  MAX(
    FILTER(
      $I$2:$I1115,
      $A$2:$A1115=A159,
      $E$2:$E1115=E159,
      $G$2:$G1115 &gt;= G159-1,
      $G$2:$G1115 &lt;= G159+1
    )
  ),
  """"
)"),"")</f>
        <v/>
      </c>
      <c r="O159" s="464">
        <f>1-N159/K159</f>
        <v/>
      </c>
      <c r="P159" s="613">
        <f>AND(
O159 &lt;= 0.05,
(
COUNTIFS($A$2:$A1271, A159, $E$2:$E1271, E159, $G$2:$G1271, G159, $O$2:$O1271, "&lt;=0.05") +
COUNTIFS($A$2:$A1271, A159, $E$2:$E1271, E159, $G$2:$G1271, G159-1, $O$2:$O1271, "&lt;=0.05") +
COUNTIFS($A$2:$A1271, A159, $E$2:$E1271, E159, $G$2:$G1271, G159+1, $O$2:$O1271, "&lt;=0.05")
) &gt;= 
2)</f>
        <v/>
      </c>
      <c r="Q159" s="457" t="n"/>
      <c r="R159" s="457">
        <f>IFERROR(__xludf.DUMMYFUNCTION("IFERROR(MIN(FILTER($G$2:$G1115, $A$2:$A1115=A159, $E$2:$E1115=E159, $P$2:$P1115=TRUE)), """")"),"")</f>
        <v/>
      </c>
      <c r="S159" s="457">
        <f>IFERROR(__xludf.DUMMYFUNCTION("IFERROR(MAX(FILTER($G$2:$G1115, $A$2:$A1115=A159, $E$2:$E1115=E159, $P$2:$P1115=TRUE)), """")"),"")</f>
        <v/>
      </c>
      <c r="T159" s="613" t="n"/>
      <c r="U159" s="613" t="n"/>
      <c r="V159" s="613">
        <f>IFERROR(__xludf.DUMMYFUNCTION("MIN(FILTER($G$2:$G1115,$A$2:$A1115=A159,$E$2:$E1115=E159))"),"#N/A")</f>
        <v/>
      </c>
    </row>
    <row r="160">
      <c r="A160" s="454">
        <f>LEFT(B160,1)&amp;UPPER(LEFT(MID(B160,FIND(" ",B160)+1,LEN(B160)),3))&amp;C160</f>
        <v/>
      </c>
      <c r="B160" s="590" t="n"/>
      <c r="C160" s="590" t="n"/>
      <c r="D160" s="590" t="n"/>
      <c r="E160" s="590" t="n"/>
      <c r="F160" s="590" t="n"/>
      <c r="G160" s="590">
        <f>F160-C160</f>
        <v/>
      </c>
      <c r="H160" s="517" t="n"/>
      <c r="I160" s="457">
        <f>IFERROR(__xludf.DUMMYFUNCTION("LET(
  gen,$D160, ev,$E160, t,$H160,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60" s="457">
        <f>IFERROR(__xludf.DUMMYFUNCTION("MIN(FILTER($H$2:$H1115,$A$2:$A1115=A160,$E$2:$E1115=E160))"),"#N/A")</f>
        <v/>
      </c>
      <c r="K160" s="457">
        <f>IFERROR(__xludf.DUMMYFUNCTION("MAX(FILTER($I$2:$I1115,$A$2:$A1115=A160,$E$2:$E1115=E160))"),"#N/A")</f>
        <v/>
      </c>
      <c r="L160" s="457">
        <f>IFERROR(INDEX(F:F,MATCH(J160&amp;A160&amp;E160,H:H&amp;A:A&amp;E:E,0)),"")</f>
        <v/>
      </c>
      <c r="M160" s="457">
        <f>IF(AND(L160&lt;&gt;"",C160&lt;&gt;""), L160-C160, "")</f>
        <v/>
      </c>
      <c r="N160" s="709">
        <f>IFERROR(__xludf.DUMMYFUNCTION("IFERROR(
  MAX(
    FILTER(
      $I$2:$I1115,
      $A$2:$A1115=A160,
      $E$2:$E1115=E160,
      $G$2:$G1115 &gt;= G160-1,
      $G$2:$G1115 &lt;= G160+1
    )
  ),
  """"
)"),"")</f>
        <v/>
      </c>
      <c r="O160" s="460">
        <f>1-N160/K160</f>
        <v/>
      </c>
      <c r="P160" s="590">
        <f>AND(
O160 &lt;= 0.05,
(
COUNTIFS($A$2:$A1272, A160, $E$2:$E1272, E160, $G$2:$G1272, G160, $O$2:$O1272, "&lt;=0.05") +
COUNTIFS($A$2:$A1272, A160, $E$2:$E1272, E160, $G$2:$G1272, G160-1, $O$2:$O1272, "&lt;=0.05") +
COUNTIFS($A$2:$A1272, A160, $E$2:$E1272, E160, $G$2:$G1272, G160+1, $O$2:$O1272, "&lt;=0.05")
) &gt;= 
2)</f>
        <v/>
      </c>
      <c r="Q160" s="457" t="n"/>
      <c r="R160" s="457">
        <f>IFERROR(__xludf.DUMMYFUNCTION("IFERROR(MIN(FILTER($G$2:$G1115, $A$2:$A1115=A160, $E$2:$E1115=E160, $P$2:$P1115=TRUE)), """")"),"")</f>
        <v/>
      </c>
      <c r="S160" s="457">
        <f>IFERROR(__xludf.DUMMYFUNCTION("IFERROR(MAX(FILTER($G$2:$G1115, $A$2:$A1115=A160, $E$2:$E1115=E160, $P$2:$P1115=TRUE)), """")"),"")</f>
        <v/>
      </c>
      <c r="T160" s="590" t="n"/>
      <c r="U160" s="590" t="n"/>
      <c r="V160" s="590">
        <f>IFERROR(__xludf.DUMMYFUNCTION("MIN(FILTER($G$2:$G1115,$A$2:$A1115=A160,$E$2:$E1115=E160))"),"#N/A")</f>
        <v/>
      </c>
    </row>
    <row r="161">
      <c r="A161" s="454">
        <f>LEFT(B161,1)&amp;UPPER(LEFT(MID(B161,FIND(" ",B161)+1,LEN(B161)),3))&amp;C161</f>
        <v/>
      </c>
      <c r="B161" s="613" t="n"/>
      <c r="C161" s="613" t="n"/>
      <c r="D161" s="613" t="n"/>
      <c r="E161" s="613" t="n"/>
      <c r="F161" s="613" t="n"/>
      <c r="G161" s="613">
        <f>F161-C161</f>
        <v/>
      </c>
      <c r="H161" s="505" t="n"/>
      <c r="I161" s="457">
        <f>IFERROR(__xludf.DUMMYFUNCTION("LET(
  gen,$D161, ev,$E161, t,$H161,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61" s="457">
        <f>IFERROR(__xludf.DUMMYFUNCTION("MIN(FILTER($H$2:$H1115,$A$2:$A1115=A161,$E$2:$E1115=E161))"),"#N/A")</f>
        <v/>
      </c>
      <c r="K161" s="457">
        <f>IFERROR(__xludf.DUMMYFUNCTION("MAX(FILTER($I$2:$I1115,$A$2:$A1115=A161,$E$2:$E1115=E161))"),"#N/A")</f>
        <v/>
      </c>
      <c r="L161" s="457">
        <f>IFERROR(INDEX(F:F,MATCH(J161&amp;A161&amp;E161,H:H&amp;A:A&amp;E:E,0)),"")</f>
        <v/>
      </c>
      <c r="M161" s="457">
        <f>IF(AND(L161&lt;&gt;"",C161&lt;&gt;""), L161-C161, "")</f>
        <v/>
      </c>
      <c r="N161" s="704">
        <f>IFERROR(__xludf.DUMMYFUNCTION("IFERROR(
  MAX(
    FILTER(
      $I$2:$I1115,
      $A$2:$A1115=A161,
      $E$2:$E1115=E161,
      $G$2:$G1115 &gt;= G161-1,
      $G$2:$G1115 &lt;= G161+1
    )
  ),
  """"
)"),"")</f>
        <v/>
      </c>
      <c r="O161" s="464">
        <f>1-N161/K161</f>
        <v/>
      </c>
      <c r="P161" s="613">
        <f>AND(
O161 &lt;= 0.05,
(
COUNTIFS($A$2:$A1273, A161, $E$2:$E1273, E161, $G$2:$G1273, G161, $O$2:$O1273, "&lt;=0.05") +
COUNTIFS($A$2:$A1273, A161, $E$2:$E1273, E161, $G$2:$G1273, G161-1, $O$2:$O1273, "&lt;=0.05") +
COUNTIFS($A$2:$A1273, A161, $E$2:$E1273, E161, $G$2:$G1273, G161+1, $O$2:$O1273, "&lt;=0.05")
) &gt;= 
2)</f>
        <v/>
      </c>
      <c r="Q161" s="457" t="n"/>
      <c r="R161" s="457">
        <f>IFERROR(__xludf.DUMMYFUNCTION("IFERROR(MIN(FILTER($G$2:$G1115, $A$2:$A1115=A161, $E$2:$E1115=E161, $P$2:$P1115=TRUE)), """")"),"")</f>
        <v/>
      </c>
      <c r="S161" s="457">
        <f>IFERROR(__xludf.DUMMYFUNCTION("IFERROR(MAX(FILTER($G$2:$G1115, $A$2:$A1115=A161, $E$2:$E1115=E161, $P$2:$P1115=TRUE)), """")"),"")</f>
        <v/>
      </c>
      <c r="T161" s="613" t="n"/>
      <c r="U161" s="613" t="n"/>
      <c r="V161" s="613">
        <f>IFERROR(__xludf.DUMMYFUNCTION("MIN(FILTER($G$2:$G1115,$A$2:$A1115=A161,$E$2:$E1115=E161))"),"#N/A")</f>
        <v/>
      </c>
    </row>
    <row r="162">
      <c r="A162" s="454">
        <f>LEFT(B162,1)&amp;UPPER(LEFT(MID(B162,FIND(" ",B162)+1,LEN(B162)),3))&amp;C162</f>
        <v/>
      </c>
      <c r="B162" s="590" t="n"/>
      <c r="C162" s="590" t="n"/>
      <c r="D162" s="590" t="n"/>
      <c r="E162" s="590" t="n"/>
      <c r="F162" s="590" t="n"/>
      <c r="G162" s="590">
        <f>F162-C162</f>
        <v/>
      </c>
      <c r="H162" s="517" t="n"/>
      <c r="I162" s="457">
        <f>IFERROR(__xludf.DUMMYFUNCTION("LET(
  gen,$D162, ev,$E162, t,$H162,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62" s="457">
        <f>IFERROR(__xludf.DUMMYFUNCTION("MIN(FILTER($H$2:$H1115,$A$2:$A1115=A162,$E$2:$E1115=E162))"),"#N/A")</f>
        <v/>
      </c>
      <c r="K162" s="457">
        <f>IFERROR(__xludf.DUMMYFUNCTION("MAX(FILTER($I$2:$I1115,$A$2:$A1115=A162,$E$2:$E1115=E162))"),"#N/A")</f>
        <v/>
      </c>
      <c r="L162" s="457">
        <f>IFERROR(INDEX(F:F,MATCH(J162&amp;A162&amp;E162,H:H&amp;A:A&amp;E:E,0)),"")</f>
        <v/>
      </c>
      <c r="M162" s="457">
        <f>IF(AND(L162&lt;&gt;"",C162&lt;&gt;""), L162-C162, "")</f>
        <v/>
      </c>
      <c r="N162" s="709">
        <f>IFERROR(__xludf.DUMMYFUNCTION("IFERROR(
  MAX(
    FILTER(
      $I$2:$I1115,
      $A$2:$A1115=A162,
      $E$2:$E1115=E162,
      $G$2:$G1115 &gt;= G162-1,
      $G$2:$G1115 &lt;= G162+1
    )
  ),
  """"
)"),"")</f>
        <v/>
      </c>
      <c r="O162" s="460">
        <f>1-N162/K162</f>
        <v/>
      </c>
      <c r="P162" s="590">
        <f>AND(
O162 &lt;= 0.05,
(
COUNTIFS($A$2:$A1274, A162, $E$2:$E1274, E162, $G$2:$G1274, G162, $O$2:$O1274, "&lt;=0.05") +
COUNTIFS($A$2:$A1274, A162, $E$2:$E1274, E162, $G$2:$G1274, G162-1, $O$2:$O1274, "&lt;=0.05") +
COUNTIFS($A$2:$A1274, A162, $E$2:$E1274, E162, $G$2:$G1274, G162+1, $O$2:$O1274, "&lt;=0.05")
) &gt;= 
2)</f>
        <v/>
      </c>
      <c r="Q162" s="457" t="n"/>
      <c r="R162" s="457">
        <f>IFERROR(__xludf.DUMMYFUNCTION("IFERROR(MIN(FILTER($G$2:$G1115, $A$2:$A1115=A162, $E$2:$E1115=E162, $P$2:$P1115=TRUE)), """")"),"")</f>
        <v/>
      </c>
      <c r="S162" s="457">
        <f>IFERROR(__xludf.DUMMYFUNCTION("IFERROR(MAX(FILTER($G$2:$G1115, $A$2:$A1115=A162, $E$2:$E1115=E162, $P$2:$P1115=TRUE)), """")"),"")</f>
        <v/>
      </c>
      <c r="T162" s="590" t="n"/>
      <c r="U162" s="590" t="n"/>
      <c r="V162" s="590">
        <f>IFERROR(__xludf.DUMMYFUNCTION("MIN(FILTER($G$2:$G1115,$A$2:$A1115=A162,$E$2:$E1115=E162))"),"#N/A")</f>
        <v/>
      </c>
    </row>
    <row r="163">
      <c r="A163" s="454">
        <f>LEFT(B163,1)&amp;UPPER(LEFT(MID(B163,FIND(" ",B163)+1,LEN(B163)),3))&amp;C163</f>
        <v/>
      </c>
      <c r="B163" s="613" t="n"/>
      <c r="C163" s="613" t="n"/>
      <c r="D163" s="613" t="n"/>
      <c r="E163" s="613" t="n"/>
      <c r="F163" s="613" t="n"/>
      <c r="G163" s="613">
        <f>F163-C163</f>
        <v/>
      </c>
      <c r="H163" s="505" t="n"/>
      <c r="I163" s="457">
        <f>IFERROR(__xludf.DUMMYFUNCTION("LET(
  gen,$D163, ev,$E163, t,$H163,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63" s="457">
        <f>IFERROR(__xludf.DUMMYFUNCTION("MIN(FILTER($H$2:$H1115,$A$2:$A1115=A163,$E$2:$E1115=E163))"),"#N/A")</f>
        <v/>
      </c>
      <c r="K163" s="457">
        <f>IFERROR(__xludf.DUMMYFUNCTION("MAX(FILTER($I$2:$I1115,$A$2:$A1115=A163,$E$2:$E1115=E163))"),"#N/A")</f>
        <v/>
      </c>
      <c r="L163" s="457">
        <f>IFERROR(INDEX(F:F,MATCH(J163&amp;A163&amp;E163,H:H&amp;A:A&amp;E:E,0)),"")</f>
        <v/>
      </c>
      <c r="M163" s="457">
        <f>IF(AND(L163&lt;&gt;"",C163&lt;&gt;""), L163-C163, "")</f>
        <v/>
      </c>
      <c r="N163" s="704">
        <f>IFERROR(__xludf.DUMMYFUNCTION("IFERROR(
  MAX(
    FILTER(
      $I$2:$I1115,
      $A$2:$A1115=A163,
      $E$2:$E1115=E163,
      $G$2:$G1115 &gt;= G163-1,
      $G$2:$G1115 &lt;= G163+1
    )
  ),
  """"
)"),"")</f>
        <v/>
      </c>
      <c r="O163" s="464">
        <f>1-N163/K163</f>
        <v/>
      </c>
      <c r="P163" s="613">
        <f>AND(
O163 &lt;= 0.05,
(
COUNTIFS($A$2:$A1275, A163, $E$2:$E1275, E163, $G$2:$G1275, G163, $O$2:$O1275, "&lt;=0.05") +
COUNTIFS($A$2:$A1275, A163, $E$2:$E1275, E163, $G$2:$G1275, G163-1, $O$2:$O1275, "&lt;=0.05") +
COUNTIFS($A$2:$A1275, A163, $E$2:$E1275, E163, $G$2:$G1275, G163+1, $O$2:$O1275, "&lt;=0.05")
) &gt;= 
2)</f>
        <v/>
      </c>
      <c r="Q163" s="457" t="n"/>
      <c r="R163" s="457">
        <f>IFERROR(__xludf.DUMMYFUNCTION("IFERROR(MIN(FILTER($G$2:$G1115, $A$2:$A1115=A163, $E$2:$E1115=E163, $P$2:$P1115=TRUE)), """")"),"")</f>
        <v/>
      </c>
      <c r="S163" s="457">
        <f>IFERROR(__xludf.DUMMYFUNCTION("IFERROR(MAX(FILTER($G$2:$G1115, $A$2:$A1115=A163, $E$2:$E1115=E163, $P$2:$P1115=TRUE)), """")"),"")</f>
        <v/>
      </c>
      <c r="T163" s="613" t="n"/>
      <c r="U163" s="613" t="n"/>
      <c r="V163" s="613">
        <f>IFERROR(__xludf.DUMMYFUNCTION("MIN(FILTER($G$2:$G1115,$A$2:$A1115=A163,$E$2:$E1115=E163))"),"#N/A")</f>
        <v/>
      </c>
    </row>
    <row r="164">
      <c r="A164" s="454">
        <f>LEFT(B164,1)&amp;UPPER(LEFT(MID(B164,FIND(" ",B164)+1,LEN(B164)),3))&amp;C164</f>
        <v/>
      </c>
      <c r="B164" s="590" t="n"/>
      <c r="C164" s="590" t="n"/>
      <c r="D164" s="590" t="n"/>
      <c r="E164" s="590" t="n"/>
      <c r="F164" s="590" t="n"/>
      <c r="G164" s="590">
        <f>F164-C164</f>
        <v/>
      </c>
      <c r="H164" s="517" t="n"/>
      <c r="I164" s="457">
        <f>IFERROR(__xludf.DUMMYFUNCTION("LET(
  gen,$D164, ev,$E164, t,$H164,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64" s="457">
        <f>IFERROR(__xludf.DUMMYFUNCTION("MIN(FILTER($H$2:$H1115,$A$2:$A1115=A164,$E$2:$E1115=E164))"),"#N/A")</f>
        <v/>
      </c>
      <c r="K164" s="457">
        <f>IFERROR(__xludf.DUMMYFUNCTION("MAX(FILTER($I$2:$I1115,$A$2:$A1115=A164,$E$2:$E1115=E164))"),"#N/A")</f>
        <v/>
      </c>
      <c r="L164" s="457">
        <f>IFERROR(INDEX(F:F,MATCH(J164&amp;A164&amp;E164,H:H&amp;A:A&amp;E:E,0)),"")</f>
        <v/>
      </c>
      <c r="M164" s="457">
        <f>IF(AND(L164&lt;&gt;"",C164&lt;&gt;""), L164-C164, "")</f>
        <v/>
      </c>
      <c r="N164" s="709">
        <f>IFERROR(__xludf.DUMMYFUNCTION("IFERROR(
  MAX(
    FILTER(
      $I$2:$I1115,
      $A$2:$A1115=A164,
      $E$2:$E1115=E164,
      $G$2:$G1115 &gt;= G164-1,
      $G$2:$G1115 &lt;= G164+1
    )
  ),
  """"
)"),"")</f>
        <v/>
      </c>
      <c r="O164" s="460">
        <f>1-N164/K164</f>
        <v/>
      </c>
      <c r="P164" s="590">
        <f>AND(
O164 &lt;= 0.05,
(
COUNTIFS($A$2:$A1276, A164, $E$2:$E1276, E164, $G$2:$G1276, G164, $O$2:$O1276, "&lt;=0.05") +
COUNTIFS($A$2:$A1276, A164, $E$2:$E1276, E164, $G$2:$G1276, G164-1, $O$2:$O1276, "&lt;=0.05") +
COUNTIFS($A$2:$A1276, A164, $E$2:$E1276, E164, $G$2:$G1276, G164+1, $O$2:$O1276, "&lt;=0.05")
) &gt;= 
2)</f>
        <v/>
      </c>
      <c r="Q164" s="457" t="n"/>
      <c r="R164" s="457">
        <f>IFERROR(__xludf.DUMMYFUNCTION("IFERROR(MIN(FILTER($G$2:$G1115, $A$2:$A1115=A164, $E$2:$E1115=E164, $P$2:$P1115=TRUE)), """")"),"")</f>
        <v/>
      </c>
      <c r="S164" s="457">
        <f>IFERROR(__xludf.DUMMYFUNCTION("IFERROR(MAX(FILTER($G$2:$G1115, $A$2:$A1115=A164, $E$2:$E1115=E164, $P$2:$P1115=TRUE)), """")"),"")</f>
        <v/>
      </c>
      <c r="T164" s="590" t="n"/>
      <c r="U164" s="590" t="n"/>
      <c r="V164" s="590">
        <f>IFERROR(__xludf.DUMMYFUNCTION("MIN(FILTER($G$2:$G1115,$A$2:$A1115=A164,$E$2:$E1115=E164))"),"#N/A")</f>
        <v/>
      </c>
    </row>
    <row r="165">
      <c r="A165" s="454">
        <f>LEFT(B165,1)&amp;UPPER(LEFT(MID(B165,FIND(" ",B165)+1,LEN(B165)),3))&amp;C165</f>
        <v/>
      </c>
      <c r="B165" s="613" t="n"/>
      <c r="C165" s="613" t="n"/>
      <c r="D165" s="613" t="n"/>
      <c r="E165" s="613" t="n"/>
      <c r="F165" s="613" t="n"/>
      <c r="G165" s="613">
        <f>F165-C165</f>
        <v/>
      </c>
      <c r="H165" s="505" t="n"/>
      <c r="I165" s="457">
        <f>IFERROR(__xludf.DUMMYFUNCTION("LET(
  gen,$D165, ev,$E165, t,$H165,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65" s="457">
        <f>IFERROR(__xludf.DUMMYFUNCTION("MIN(FILTER($H$2:$H1115,$A$2:$A1115=A165,$E$2:$E1115=E165))"),"#N/A")</f>
        <v/>
      </c>
      <c r="K165" s="457">
        <f>IFERROR(__xludf.DUMMYFUNCTION("MAX(FILTER($I$2:$I1115,$A$2:$A1115=A165,$E$2:$E1115=E165))"),"#N/A")</f>
        <v/>
      </c>
      <c r="L165" s="457">
        <f>IFERROR(INDEX(F:F,MATCH(J165&amp;A165&amp;E165,H:H&amp;A:A&amp;E:E,0)),"")</f>
        <v/>
      </c>
      <c r="M165" s="457">
        <f>IF(AND(L165&lt;&gt;"",C165&lt;&gt;""), L165-C165, "")</f>
        <v/>
      </c>
      <c r="N165" s="704">
        <f>IFERROR(__xludf.DUMMYFUNCTION("IFERROR(
  MAX(
    FILTER(
      $I$2:$I1115,
      $A$2:$A1115=A165,
      $E$2:$E1115=E165,
      $G$2:$G1115 &gt;= G165-1,
      $G$2:$G1115 &lt;= G165+1
    )
  ),
  """"
)"),"")</f>
        <v/>
      </c>
      <c r="O165" s="464">
        <f>1-N165/K165</f>
        <v/>
      </c>
      <c r="P165" s="613">
        <f>AND(
O165 &lt;= 0.05,
(
COUNTIFS($A$2:$A1277, A165, $E$2:$E1277, E165, $G$2:$G1277, G165, $O$2:$O1277, "&lt;=0.05") +
COUNTIFS($A$2:$A1277, A165, $E$2:$E1277, E165, $G$2:$G1277, G165-1, $O$2:$O1277, "&lt;=0.05") +
COUNTIFS($A$2:$A1277, A165, $E$2:$E1277, E165, $G$2:$G1277, G165+1, $O$2:$O1277, "&lt;=0.05")
) &gt;= 
2)</f>
        <v/>
      </c>
      <c r="Q165" s="457" t="n"/>
      <c r="R165" s="457">
        <f>IFERROR(__xludf.DUMMYFUNCTION("IFERROR(MIN(FILTER($G$2:$G1115, $A$2:$A1115=A165, $E$2:$E1115=E165, $P$2:$P1115=TRUE)), """")"),"")</f>
        <v/>
      </c>
      <c r="S165" s="457">
        <f>IFERROR(__xludf.DUMMYFUNCTION("IFERROR(MAX(FILTER($G$2:$G1115, $A$2:$A1115=A165, $E$2:$E1115=E165, $P$2:$P1115=TRUE)), """")"),"")</f>
        <v/>
      </c>
      <c r="T165" s="613" t="n"/>
      <c r="U165" s="613" t="n"/>
      <c r="V165" s="613">
        <f>IFERROR(__xludf.DUMMYFUNCTION("MIN(FILTER($G$2:$G1115,$A$2:$A1115=A165,$E$2:$E1115=E165))"),"#N/A")</f>
        <v/>
      </c>
    </row>
    <row r="166">
      <c r="A166" s="454">
        <f>LEFT(B166,1)&amp;UPPER(LEFT(MID(B166,FIND(" ",B166)+1,LEN(B166)),3))&amp;C166</f>
        <v/>
      </c>
      <c r="B166" s="590" t="n"/>
      <c r="C166" s="590" t="n"/>
      <c r="D166" s="590" t="n"/>
      <c r="E166" s="590" t="n"/>
      <c r="F166" s="590" t="n"/>
      <c r="G166" s="590">
        <f>F166-C166</f>
        <v/>
      </c>
      <c r="H166" s="517" t="n"/>
      <c r="I166" s="457">
        <f>IFERROR(__xludf.DUMMYFUNCTION("LET(
  gen,$D166, ev,$E166, t,$H166,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66" s="457">
        <f>IFERROR(__xludf.DUMMYFUNCTION("MIN(FILTER($H$2:$H1115,$A$2:$A1115=A166,$E$2:$E1115=E166))"),"#N/A")</f>
        <v/>
      </c>
      <c r="K166" s="457">
        <f>IFERROR(__xludf.DUMMYFUNCTION("MAX(FILTER($I$2:$I1115,$A$2:$A1115=A166,$E$2:$E1115=E166))"),"#N/A")</f>
        <v/>
      </c>
      <c r="L166" s="457">
        <f>IFERROR(INDEX(F:F,MATCH(J166&amp;A166&amp;E166,H:H&amp;A:A&amp;E:E,0)),"")</f>
        <v/>
      </c>
      <c r="M166" s="457">
        <f>IF(AND(L166&lt;&gt;"",C166&lt;&gt;""), L166-C166, "")</f>
        <v/>
      </c>
      <c r="N166" s="709">
        <f>IFERROR(__xludf.DUMMYFUNCTION("IFERROR(
  MAX(
    FILTER(
      $I$2:$I1115,
      $A$2:$A1115=A166,
      $E$2:$E1115=E166,
      $G$2:$G1115 &gt;= G166-1,
      $G$2:$G1115 &lt;= G166+1
    )
  ),
  """"
)"),"")</f>
        <v/>
      </c>
      <c r="O166" s="460">
        <f>1-N166/K166</f>
        <v/>
      </c>
      <c r="P166" s="590">
        <f>AND(
O166 &lt;= 0.05,
(
COUNTIFS($A$2:$A1278, A166, $E$2:$E1278, E166, $G$2:$G1278, G166, $O$2:$O1278, "&lt;=0.05") +
COUNTIFS($A$2:$A1278, A166, $E$2:$E1278, E166, $G$2:$G1278, G166-1, $O$2:$O1278, "&lt;=0.05") +
COUNTIFS($A$2:$A1278, A166, $E$2:$E1278, E166, $G$2:$G1278, G166+1, $O$2:$O1278, "&lt;=0.05")
) &gt;= 
2)</f>
        <v/>
      </c>
      <c r="Q166" s="457" t="n"/>
      <c r="R166" s="457">
        <f>IFERROR(__xludf.DUMMYFUNCTION("IFERROR(MIN(FILTER($G$2:$G1115, $A$2:$A1115=A166, $E$2:$E1115=E166, $P$2:$P1115=TRUE)), """")"),"")</f>
        <v/>
      </c>
      <c r="S166" s="457">
        <f>IFERROR(__xludf.DUMMYFUNCTION("IFERROR(MAX(FILTER($G$2:$G1115, $A$2:$A1115=A166, $E$2:$E1115=E166, $P$2:$P1115=TRUE)), """")"),"")</f>
        <v/>
      </c>
      <c r="T166" s="590" t="n"/>
      <c r="U166" s="590" t="n"/>
      <c r="V166" s="590">
        <f>IFERROR(__xludf.DUMMYFUNCTION("MIN(FILTER($G$2:$G1115,$A$2:$A1115=A166,$E$2:$E1115=E166))"),"#N/A")</f>
        <v/>
      </c>
    </row>
    <row r="167">
      <c r="A167" s="454">
        <f>LEFT(B167,1)&amp;UPPER(LEFT(MID(B167,FIND(" ",B167)+1,LEN(B167)),3))&amp;C167</f>
        <v/>
      </c>
      <c r="B167" s="613" t="n"/>
      <c r="C167" s="613" t="n"/>
      <c r="D167" s="613" t="n"/>
      <c r="E167" s="613" t="n"/>
      <c r="F167" s="613" t="n"/>
      <c r="G167" s="613">
        <f>F167-C167</f>
        <v/>
      </c>
      <c r="H167" s="505" t="n"/>
      <c r="I167" s="457">
        <f>IFERROR(__xludf.DUMMYFUNCTION("LET(
  gen,$D167, ev,$E167, t,$H167,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67" s="457">
        <f>IFERROR(__xludf.DUMMYFUNCTION("MIN(FILTER($H$2:$H1115,$A$2:$A1115=A167,$E$2:$E1115=E167))"),"#N/A")</f>
        <v/>
      </c>
      <c r="K167" s="457">
        <f>IFERROR(__xludf.DUMMYFUNCTION("MAX(FILTER($I$2:$I1115,$A$2:$A1115=A167,$E$2:$E1115=E167))"),"#N/A")</f>
        <v/>
      </c>
      <c r="L167" s="457">
        <f>IFERROR(INDEX(F:F,MATCH(J167&amp;A167&amp;E167,H:H&amp;A:A&amp;E:E,0)),"")</f>
        <v/>
      </c>
      <c r="M167" s="457">
        <f>IF(AND(L167&lt;&gt;"",C167&lt;&gt;""), L167-C167, "")</f>
        <v/>
      </c>
      <c r="N167" s="704">
        <f>IFERROR(__xludf.DUMMYFUNCTION("IFERROR(
  MAX(
    FILTER(
      $I$2:$I1115,
      $A$2:$A1115=A167,
      $E$2:$E1115=E167,
      $G$2:$G1115 &gt;= G167-1,
      $G$2:$G1115 &lt;= G167+1
    )
  ),
  """"
)"),"")</f>
        <v/>
      </c>
      <c r="O167" s="464">
        <f>1-N167/K167</f>
        <v/>
      </c>
      <c r="P167" s="613">
        <f>AND(
O167 &lt;= 0.05,
(
COUNTIFS($A$2:$A1279, A167, $E$2:$E1279, E167, $G$2:$G1279, G167, $O$2:$O1279, "&lt;=0.05") +
COUNTIFS($A$2:$A1279, A167, $E$2:$E1279, E167, $G$2:$G1279, G167-1, $O$2:$O1279, "&lt;=0.05") +
COUNTIFS($A$2:$A1279, A167, $E$2:$E1279, E167, $G$2:$G1279, G167+1, $O$2:$O1279, "&lt;=0.05")
) &gt;= 
2)</f>
        <v/>
      </c>
      <c r="Q167" s="457" t="n"/>
      <c r="R167" s="457">
        <f>IFERROR(__xludf.DUMMYFUNCTION("IFERROR(MIN(FILTER($G$2:$G1115, $A$2:$A1115=A167, $E$2:$E1115=E167, $P$2:$P1115=TRUE)), """")"),"")</f>
        <v/>
      </c>
      <c r="S167" s="457">
        <f>IFERROR(__xludf.DUMMYFUNCTION("IFERROR(MAX(FILTER($G$2:$G1115, $A$2:$A1115=A167, $E$2:$E1115=E167, $P$2:$P1115=TRUE)), """")"),"")</f>
        <v/>
      </c>
      <c r="T167" s="613" t="n"/>
      <c r="U167" s="613" t="n"/>
      <c r="V167" s="613">
        <f>IFERROR(__xludf.DUMMYFUNCTION("MIN(FILTER($G$2:$G1115,$A$2:$A1115=A167,$E$2:$E1115=E167))"),"#N/A")</f>
        <v/>
      </c>
    </row>
    <row r="168">
      <c r="A168" s="454">
        <f>LEFT(B168,1)&amp;UPPER(LEFT(MID(B168,FIND(" ",B168)+1,LEN(B168)),3))&amp;C168</f>
        <v/>
      </c>
      <c r="B168" s="590" t="n"/>
      <c r="C168" s="590" t="n"/>
      <c r="D168" s="590" t="n"/>
      <c r="E168" s="590" t="n"/>
      <c r="F168" s="590" t="n"/>
      <c r="G168" s="590">
        <f>F168-C168</f>
        <v/>
      </c>
      <c r="H168" s="517" t="n"/>
      <c r="I168" s="457">
        <f>IFERROR(__xludf.DUMMYFUNCTION("LET(
  gen,$D168, ev,$E168, t,$H168,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68" s="457">
        <f>IFERROR(__xludf.DUMMYFUNCTION("MIN(FILTER($H$2:$H1115,$A$2:$A1115=A168,$E$2:$E1115=E168))"),"#N/A")</f>
        <v/>
      </c>
      <c r="K168" s="457">
        <f>IFERROR(__xludf.DUMMYFUNCTION("MAX(FILTER($I$2:$I1115,$A$2:$A1115=A168,$E$2:$E1115=E168))"),"#N/A")</f>
        <v/>
      </c>
      <c r="L168" s="457">
        <f>IFERROR(INDEX(F:F,MATCH(J168&amp;A168&amp;E168,H:H&amp;A:A&amp;E:E,0)),"")</f>
        <v/>
      </c>
      <c r="M168" s="457">
        <f>IF(AND(L168&lt;&gt;"",C168&lt;&gt;""), L168-C168, "")</f>
        <v/>
      </c>
      <c r="N168" s="709">
        <f>IFERROR(__xludf.DUMMYFUNCTION("IFERROR(
  MAX(
    FILTER(
      $I$2:$I1115,
      $A$2:$A1115=A168,
      $E$2:$E1115=E168,
      $G$2:$G1115 &gt;= G168-1,
      $G$2:$G1115 &lt;= G168+1
    )
  ),
  """"
)"),"")</f>
        <v/>
      </c>
      <c r="O168" s="460">
        <f>1-N168/K168</f>
        <v/>
      </c>
      <c r="P168" s="590">
        <f>AND(
O168 &lt;= 0.05,
(
COUNTIFS($A$2:$A1280, A168, $E$2:$E1280, E168, $G$2:$G1280, G168, $O$2:$O1280, "&lt;=0.05") +
COUNTIFS($A$2:$A1280, A168, $E$2:$E1280, E168, $G$2:$G1280, G168-1, $O$2:$O1280, "&lt;=0.05") +
COUNTIFS($A$2:$A1280, A168, $E$2:$E1280, E168, $G$2:$G1280, G168+1, $O$2:$O1280, "&lt;=0.05")
) &gt;= 
2)</f>
        <v/>
      </c>
      <c r="Q168" s="457" t="n"/>
      <c r="R168" s="457">
        <f>IFERROR(__xludf.DUMMYFUNCTION("IFERROR(MIN(FILTER($G$2:$G1115, $A$2:$A1115=A168, $E$2:$E1115=E168, $P$2:$P1115=TRUE)), """")"),"")</f>
        <v/>
      </c>
      <c r="S168" s="457">
        <f>IFERROR(__xludf.DUMMYFUNCTION("IFERROR(MAX(FILTER($G$2:$G1115, $A$2:$A1115=A168, $E$2:$E1115=E168, $P$2:$P1115=TRUE)), """")"),"")</f>
        <v/>
      </c>
      <c r="T168" s="590" t="n"/>
      <c r="U168" s="590" t="n"/>
      <c r="V168" s="590">
        <f>IFERROR(__xludf.DUMMYFUNCTION("MIN(FILTER($G$2:$G1115,$A$2:$A1115=A168,$E$2:$E1115=E168))"),"#N/A")</f>
        <v/>
      </c>
    </row>
    <row r="169">
      <c r="A169" s="454">
        <f>LEFT(B169,1)&amp;UPPER(LEFT(MID(B169,FIND(" ",B169)+1,LEN(B169)),3))&amp;C169</f>
        <v/>
      </c>
      <c r="B169" s="613" t="n"/>
      <c r="C169" s="613" t="n"/>
      <c r="D169" s="613" t="n"/>
      <c r="E169" s="613" t="n"/>
      <c r="F169" s="613" t="n"/>
      <c r="G169" s="613">
        <f>F169-C169</f>
        <v/>
      </c>
      <c r="H169" s="505" t="n"/>
      <c r="I169" s="457">
        <f>IFERROR(__xludf.DUMMYFUNCTION("LET(
  gen,$D169, ev,$E169, t,$H169,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69" s="457">
        <f>IFERROR(__xludf.DUMMYFUNCTION("MIN(FILTER($H$2:$H1115,$A$2:$A1115=A169,$E$2:$E1115=E169))"),"#N/A")</f>
        <v/>
      </c>
      <c r="K169" s="457">
        <f>IFERROR(__xludf.DUMMYFUNCTION("MAX(FILTER($I$2:$I1115,$A$2:$A1115=A169,$E$2:$E1115=E169))"),"#N/A")</f>
        <v/>
      </c>
      <c r="L169" s="457">
        <f>IFERROR(INDEX(F:F,MATCH(J169&amp;A169&amp;E169,H:H&amp;A:A&amp;E:E,0)),"")</f>
        <v/>
      </c>
      <c r="M169" s="457">
        <f>IF(AND(L169&lt;&gt;"",C169&lt;&gt;""), L169-C169, "")</f>
        <v/>
      </c>
      <c r="N169" s="704">
        <f>IFERROR(__xludf.DUMMYFUNCTION("IFERROR(
  MAX(
    FILTER(
      $I$2:$I1115,
      $A$2:$A1115=A169,
      $E$2:$E1115=E169,
      $G$2:$G1115 &gt;= G169-1,
      $G$2:$G1115 &lt;= G169+1
    )
  ),
  """"
)"),"")</f>
        <v/>
      </c>
      <c r="O169" s="464">
        <f>1-N169/K169</f>
        <v/>
      </c>
      <c r="P169" s="613">
        <f>AND(
O169 &lt;= 0.05,
(
COUNTIFS($A$2:$A1281, A169, $E$2:$E1281, E169, $G$2:$G1281, G169, $O$2:$O1281, "&lt;=0.05") +
COUNTIFS($A$2:$A1281, A169, $E$2:$E1281, E169, $G$2:$G1281, G169-1, $O$2:$O1281, "&lt;=0.05") +
COUNTIFS($A$2:$A1281, A169, $E$2:$E1281, E169, $G$2:$G1281, G169+1, $O$2:$O1281, "&lt;=0.05")
) &gt;= 
2)</f>
        <v/>
      </c>
      <c r="Q169" s="457" t="n"/>
      <c r="R169" s="457">
        <f>IFERROR(__xludf.DUMMYFUNCTION("IFERROR(MIN(FILTER($G$2:$G1115, $A$2:$A1115=A169, $E$2:$E1115=E169, $P$2:$P1115=TRUE)), """")"),"")</f>
        <v/>
      </c>
      <c r="S169" s="457">
        <f>IFERROR(__xludf.DUMMYFUNCTION("IFERROR(MAX(FILTER($G$2:$G1115, $A$2:$A1115=A169, $E$2:$E1115=E169, $P$2:$P1115=TRUE)), """")"),"")</f>
        <v/>
      </c>
      <c r="T169" s="613" t="n"/>
      <c r="U169" s="613" t="n"/>
      <c r="V169" s="613">
        <f>IFERROR(__xludf.DUMMYFUNCTION("MIN(FILTER($G$2:$G1115,$A$2:$A1115=A169,$E$2:$E1115=E169))"),"#N/A")</f>
        <v/>
      </c>
    </row>
    <row r="170">
      <c r="A170" s="454">
        <f>LEFT(B170,1)&amp;UPPER(LEFT(MID(B170,FIND(" ",B170)+1,LEN(B170)),3))&amp;C170</f>
        <v/>
      </c>
      <c r="B170" s="590" t="n"/>
      <c r="C170" s="590" t="n"/>
      <c r="D170" s="590" t="n"/>
      <c r="E170" s="590" t="n"/>
      <c r="F170" s="590" t="n"/>
      <c r="G170" s="590">
        <f>F170-C170</f>
        <v/>
      </c>
      <c r="H170" s="517" t="n"/>
      <c r="I170" s="457">
        <f>IFERROR(__xludf.DUMMYFUNCTION("LET(
  gen,$D170, ev,$E170, t,$H170,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70" s="457">
        <f>IFERROR(__xludf.DUMMYFUNCTION("MIN(FILTER($H$2:$H1115,$A$2:$A1115=A170,$E$2:$E1115=E170))"),"#N/A")</f>
        <v/>
      </c>
      <c r="K170" s="457">
        <f>IFERROR(__xludf.DUMMYFUNCTION("MAX(FILTER($I$2:$I1115,$A$2:$A1115=A170,$E$2:$E1115=E170))"),"#N/A")</f>
        <v/>
      </c>
      <c r="L170" s="457">
        <f>IFERROR(INDEX(F:F,MATCH(J170&amp;A170&amp;E170,H:H&amp;A:A&amp;E:E,0)),"")</f>
        <v/>
      </c>
      <c r="M170" s="457">
        <f>IF(AND(L170&lt;&gt;"",C170&lt;&gt;""), L170-C170, "")</f>
        <v/>
      </c>
      <c r="N170" s="709">
        <f>IFERROR(__xludf.DUMMYFUNCTION("IFERROR(
  MAX(
    FILTER(
      $I$2:$I1115,
      $A$2:$A1115=A170,
      $E$2:$E1115=E170,
      $G$2:$G1115 &gt;= G170-1,
      $G$2:$G1115 &lt;= G170+1
    )
  ),
  """"
)"),"")</f>
        <v/>
      </c>
      <c r="O170" s="460">
        <f>1-N170/K170</f>
        <v/>
      </c>
      <c r="P170" s="590">
        <f>AND(
O170 &lt;= 0.05,
(
COUNTIFS($A$2:$A1282, A170, $E$2:$E1282, E170, $G$2:$G1282, G170, $O$2:$O1282, "&lt;=0.05") +
COUNTIFS($A$2:$A1282, A170, $E$2:$E1282, E170, $G$2:$G1282, G170-1, $O$2:$O1282, "&lt;=0.05") +
COUNTIFS($A$2:$A1282, A170, $E$2:$E1282, E170, $G$2:$G1282, G170+1, $O$2:$O1282, "&lt;=0.05")
) &gt;= 
2)</f>
        <v/>
      </c>
      <c r="Q170" s="457" t="n"/>
      <c r="R170" s="457">
        <f>IFERROR(__xludf.DUMMYFUNCTION("IFERROR(MIN(FILTER($G$2:$G1115, $A$2:$A1115=A170, $E$2:$E1115=E170, $P$2:$P1115=TRUE)), """")"),"")</f>
        <v/>
      </c>
      <c r="S170" s="457">
        <f>IFERROR(__xludf.DUMMYFUNCTION("IFERROR(MAX(FILTER($G$2:$G1115, $A$2:$A1115=A170, $E$2:$E1115=E170, $P$2:$P1115=TRUE)), """")"),"")</f>
        <v/>
      </c>
      <c r="T170" s="590" t="n"/>
      <c r="U170" s="590" t="n"/>
      <c r="V170" s="590">
        <f>IFERROR(__xludf.DUMMYFUNCTION("MIN(FILTER($G$2:$G1115,$A$2:$A1115=A170,$E$2:$E1115=E170))"),"#N/A")</f>
        <v/>
      </c>
    </row>
    <row r="171">
      <c r="A171" s="454" t="n"/>
      <c r="H171" s="505" t="n"/>
      <c r="I171" s="457">
        <f>IFERROR(__xludf.DUMMYFUNCTION("LET(
  gen,$D171, ev,$E171, t,$H171,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71" s="458">
        <f>IFERROR(__xludf.DUMMYFUNCTION("MIN(FILTER($H$2:$H1115,$A$2:$A1115=A171,$E$2:$E1115=E171))"),0.0)</f>
        <v/>
      </c>
      <c r="K171" s="457">
        <f>IFERROR(__xludf.DUMMYFUNCTION("MAX(FILTER($I$2:$I1115,$A$2:$A1115=A171,$E$2:$E1115=E171))"),"#VALUE!")</f>
        <v/>
      </c>
      <c r="L171" s="457">
        <f>IFERROR(INDEX(F:F,MATCH(J171&amp;A171&amp;E171,H:H&amp;A:A&amp;E:E,0)),"")</f>
        <v/>
      </c>
      <c r="M171" s="457">
        <f>IF(AND(L171&lt;&gt;"",C171&lt;&gt;""), L171-C171, "")</f>
        <v/>
      </c>
      <c r="N171" s="704">
        <f>IFERROR(__xludf.DUMMYFUNCTION("IFERROR(
  MAX(
    FILTER(
      $I$2:$I1115,
      $A$2:$A1115=A171,
      $E$2:$E1115=E171,
      $G$2:$G1115 &gt;= G171-1,
      $G$2:$G1115 &lt;= G171+1
    )
  ),
  """"
)"),"")</f>
        <v/>
      </c>
      <c r="O171" s="464">
        <f>1-N171/K171</f>
        <v/>
      </c>
      <c r="P171" s="613">
        <f>AND(
O171 &lt;= 0.05,
(
COUNTIFS($A$2:$A1283, A171, $E$2:$E1283, E171, $G$2:$G1283, G171, $O$2:$O1283, "&lt;=0.05") +
COUNTIFS($A$2:$A1283, A171, $E$2:$E1283, E171, $G$2:$G1283, G171-1, $O$2:$O1283, "&lt;=0.05") +
COUNTIFS($A$2:$A1283, A171, $E$2:$E1283, E171, $G$2:$G1283, G171+1, $O$2:$O1283, "&lt;=0.05")
) &gt;= 
2)</f>
        <v/>
      </c>
      <c r="Q171" s="457" t="n"/>
      <c r="R171" s="457">
        <f>IFERROR(__xludf.DUMMYFUNCTION("IFERROR(MIN(FILTER($G$2:$G1115, $A$2:$A1115=A171, $E$2:$E1115=E171, $P$2:$P1115=TRUE)), """")"),"")</f>
        <v/>
      </c>
      <c r="S171" s="457">
        <f>IFERROR(__xludf.DUMMYFUNCTION("IFERROR(MAX(FILTER($G$2:$G1115, $A$2:$A1115=A171, $E$2:$E1115=E171, $P$2:$P1115=TRUE)), """")"),"")</f>
        <v/>
      </c>
      <c r="T171" s="613" t="n"/>
      <c r="U171" s="613" t="n"/>
      <c r="V171" s="613">
        <f>IFERROR(__xludf.DUMMYFUNCTION("MIN(FILTER($G$2:$G1115,$A$2:$A1115=A171,$E$2:$E1115=E171))"),0.0)</f>
        <v/>
      </c>
    </row>
    <row r="172">
      <c r="A172" s="454" t="n"/>
      <c r="H172" s="517" t="n"/>
      <c r="I172" s="457">
        <f>IFERROR(__xludf.DUMMYFUNCTION("LET(
  gen,$D172, ev,$E172, t,$H172,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72" s="458">
        <f>IFERROR(__xludf.DUMMYFUNCTION("MIN(FILTER($H$2:$H1115,$A$2:$A1115=A172,$E$2:$E1115=E172))"),0.0)</f>
        <v/>
      </c>
      <c r="K172" s="457">
        <f>IFERROR(__xludf.DUMMYFUNCTION("MAX(FILTER($I$2:$I1115,$A$2:$A1115=A172,$E$2:$E1115=E172))"),"#VALUE!")</f>
        <v/>
      </c>
      <c r="L172" s="457">
        <f>IFERROR(INDEX(F:F,MATCH(J172&amp;A172&amp;E172,H:H&amp;A:A&amp;E:E,0)),"")</f>
        <v/>
      </c>
      <c r="M172" s="457">
        <f>IF(AND(L172&lt;&gt;"",C172&lt;&gt;""), L172-C172, "")</f>
        <v/>
      </c>
      <c r="N172" s="709">
        <f>IFERROR(__xludf.DUMMYFUNCTION("IFERROR(
  MAX(
    FILTER(
      $I$2:$I1115,
      $A$2:$A1115=A172,
      $E$2:$E1115=E172,
      $G$2:$G1115 &gt;= G172-1,
      $G$2:$G1115 &lt;= G172+1
    )
  ),
  """"
)"),"")</f>
        <v/>
      </c>
      <c r="O172" s="460">
        <f>1-N172/K172</f>
        <v/>
      </c>
      <c r="P172" s="590">
        <f>AND(
O172 &lt;= 0.05,
(
COUNTIFS($A$2:$A1284, A172, $E$2:$E1284, E172, $G$2:$G1284, G172, $O$2:$O1284, "&lt;=0.05") +
COUNTIFS($A$2:$A1284, A172, $E$2:$E1284, E172, $G$2:$G1284, G172-1, $O$2:$O1284, "&lt;=0.05") +
COUNTIFS($A$2:$A1284, A172, $E$2:$E1284, E172, $G$2:$G1284, G172+1, $O$2:$O1284, "&lt;=0.05")
) &gt;= 
2)</f>
        <v/>
      </c>
      <c r="Q172" s="457" t="n"/>
      <c r="R172" s="457">
        <f>IFERROR(__xludf.DUMMYFUNCTION("IFERROR(MIN(FILTER($G$2:$G1115, $A$2:$A1115=A172, $E$2:$E1115=E172, $P$2:$P1115=TRUE)), """")"),"")</f>
        <v/>
      </c>
      <c r="S172" s="457">
        <f>IFERROR(__xludf.DUMMYFUNCTION("IFERROR(MAX(FILTER($G$2:$G1115, $A$2:$A1115=A172, $E$2:$E1115=E172, $P$2:$P1115=TRUE)), """")"),"")</f>
        <v/>
      </c>
      <c r="T172" s="590" t="n"/>
      <c r="U172" s="590" t="n"/>
      <c r="V172" s="590">
        <f>IFERROR(__xludf.DUMMYFUNCTION("MIN(FILTER($G$2:$G1115,$A$2:$A1115=A172,$E$2:$E1115=E172))"),0.0)</f>
        <v/>
      </c>
    </row>
    <row r="173">
      <c r="A173" s="454" t="n"/>
      <c r="H173" s="505" t="n"/>
      <c r="I173" s="457">
        <f>IFERROR(__xludf.DUMMYFUNCTION("LET(
  gen,$D173, ev,$E173, t,$H173,
  hdrs, ARRAYFORMULA(UPPER(TRIM(CLEAN(SUBSTITUTE('AQUA POINTS'!$1:$1,CHAR(160),"" ""))))),
  col,  MATCH(UPPER(ev), hdrs, 0),
  base, INDEX('AQUA POINTS'!$1:$3, IF(gen=""M"",2,3), col),
  baseSec, IF(ISNUMBER(base), IF"&amp;"(base&lt;1, base*86400, base),
              IF(REGEXMATCH(base,"":""), VALUE(LEFT(base, FIND("":"",base)-1))*60 + VALUE(MID(base, FIND("":"",base)+1, 99)),
                 VALUE(SUBSTITUTE(base,"","",""."")))),
  tSec, IF(ISNUMBER(t), IF(t&lt;1, t*86400, t),
"&amp;"           IF(REGEXMATCH(t,"":""), VALUE(LEFT(t, FIND("":"",t)-1))*60 + VALUE(MID(t, FIND("":"",t)+1, 99)),
              VALUE(SUBSTITUTE(t,"","",""."")))),
  INT(1000*(baseSec/tSec)^3)
)"),"#VALUE!")</f>
        <v/>
      </c>
      <c r="J173" s="458">
        <f>IFERROR(__xludf.DUMMYFUNCTION("MIN(FILTER($H$2:$H1115,$A$2:$A1115=A173,$E$2:$E1115=E173))"),0.0)</f>
        <v/>
      </c>
      <c r="K173" s="457">
        <f>IFERROR(__xludf.DUMMYFUNCTION("MAX(FILTER($I$2:$I1115,$A$2:$A1115=A173,$E$2:$E1115=E173))"),"#VALUE!")</f>
        <v/>
      </c>
      <c r="L173" s="457">
        <f>IFERROR(INDEX(F:F,MATCH(J173&amp;A173&amp;E173,H:H&amp;A:A&amp;E:E,0)),"")</f>
        <v/>
      </c>
      <c r="M173" s="457">
        <f>IF(AND(L173&lt;&gt;"",C173&lt;&gt;""), L173-C173, "")</f>
        <v/>
      </c>
      <c r="N173" s="704">
        <f>IFERROR(__xludf.DUMMYFUNCTION("IFERROR(
  MAX(
    FILTER(
      $I$2:$I1115,
      $A$2:$A1115=A173,
      $E$2:$E1115=E173,
      $G$2:$G1115 &gt;= G173-1,
      $G$2:$G1115 &lt;= G173+1
    )
  ),
  """"
)"),"")</f>
        <v/>
      </c>
      <c r="O173" s="464">
        <f>1-N173/K173</f>
        <v/>
      </c>
      <c r="P173" s="613">
        <f>AND(
O173 &lt;= 0.05,
(
COUNTIFS($A$2:$A1285, A173, $E$2:$E1285, E173, $G$2:$G1285, G173, $O$2:$O1285, "&lt;=0.05") +
COUNTIFS($A$2:$A1285, A173, $E$2:$E1285, E173, $G$2:$G1285, G173-1, $O$2:$O1285, "&lt;=0.05") +
COUNTIFS($A$2:$A1285, A173, $E$2:$E1285, E173, $G$2:$G1285, G173+1, $O$2:$O1285, "&lt;=0.05")
) &gt;= 
2)</f>
        <v/>
      </c>
      <c r="Q173" s="457" t="n"/>
      <c r="R173" s="457">
        <f>IFERROR(__xludf.DUMMYFUNCTION("IFERROR(MIN(FILTER($G$2:$G1115, $A$2:$A1115=A173, $E$2:$E1115=E173, $P$2:$P1115=TRUE)), """")"),"")</f>
        <v/>
      </c>
      <c r="S173" s="457">
        <f>IFERROR(__xludf.DUMMYFUNCTION("IFERROR(MAX(FILTER($G$2:$G1115, $A$2:$A1115=A173, $E$2:$E1115=E173, $P$2:$P1115=TRUE)), """")"),"")</f>
        <v/>
      </c>
      <c r="T173" s="613" t="n"/>
      <c r="U173" s="613" t="n"/>
      <c r="V173" s="613">
        <f>IFERROR(__xludf.DUMMYFUNCTION("MIN(FILTER($G$2:$G1115,$A$2:$A1115=A173,$E$2:$E1115=E173))"),0.0)</f>
        <v/>
      </c>
    </row>
    <row r="174">
      <c r="H174" s="517" t="n"/>
      <c r="K174" s="590">
        <f>IFERROR(__xludf.DUMMYFUNCTION("MAX(FILTER($I$2:$I1115,$A$2:$A1115=A174,$E$2:$E1115=E174))"),"#VALUE!")</f>
        <v/>
      </c>
      <c r="N174" s="709">
        <f>IFERROR(__xludf.DUMMYFUNCTION("IFERROR(
  MAX(
    FILTER(
      $I$2:$I1115,
      $A$2:$A1115=A174,
      $E$2:$E1115=E174,
      $G$2:$G1115 &gt;= G174-1,
      $G$2:$G1115 &lt;= G174+1
    )
  ),
  """"
)"),"")</f>
        <v/>
      </c>
      <c r="O174" s="460">
        <f>1-N174/K174</f>
        <v/>
      </c>
      <c r="P174" s="590">
        <f>AND(
O174 &lt;= 0.05,
(
COUNTIFS($A$2:$A1286, A174, $E$2:$E1286, E174, $G$2:$G1286, G174, $O$2:$O1286, "&lt;=0.05") +
COUNTIFS($A$2:$A1286, A174, $E$2:$E1286, E174, $G$2:$G1286, G174-1, $O$2:$O1286, "&lt;=0.05") +
COUNTIFS($A$2:$A1286, A174, $E$2:$E1286, E174, $G$2:$G1286, G174+1, $O$2:$O1286, "&lt;=0.05")
) &gt;= 
2)</f>
        <v/>
      </c>
      <c r="Q174" s="457" t="n"/>
      <c r="R174" s="457">
        <f>IFERROR(__xludf.DUMMYFUNCTION("IFERROR(MIN(FILTER($G$2:$G1115, $A$2:$A1115=A174, $E$2:$E1115=E174, $P$2:$P1115=TRUE)), """")"),"")</f>
        <v/>
      </c>
      <c r="S174" s="457">
        <f>IFERROR(__xludf.DUMMYFUNCTION("IFERROR(MAX(FILTER($G$2:$G1115, $A$2:$A1115=A174, $E$2:$E1115=E174, $P$2:$P1115=TRUE)), """")"),"")</f>
        <v/>
      </c>
      <c r="T174" s="590" t="n"/>
      <c r="U174" s="590" t="n"/>
      <c r="V174" s="590">
        <f>IFERROR(__xludf.DUMMYFUNCTION("MIN(FILTER($G$2:$G1115,$A$2:$A1115=A174,$E$2:$E1115=E174))"),0.0)</f>
        <v/>
      </c>
    </row>
    <row r="175">
      <c r="H175" s="505" t="n"/>
      <c r="K175" s="613">
        <f>IFERROR(__xludf.DUMMYFUNCTION("MAX(FILTER($I$2:$I1115,$A$2:$A1115=A175,$E$2:$E1115=E175))"),"#VALUE!")</f>
        <v/>
      </c>
      <c r="N175" s="704">
        <f>IFERROR(__xludf.DUMMYFUNCTION("IFERROR(
  MAX(
    FILTER(
      $I$2:$I1115,
      $A$2:$A1115=A175,
      $E$2:$E1115=E175,
      $G$2:$G1115 &gt;= G175-1,
      $G$2:$G1115 &lt;= G175+1
    )
  ),
  """"
)"),"")</f>
        <v/>
      </c>
      <c r="O175" s="464">
        <f>1-N175/K175</f>
        <v/>
      </c>
      <c r="P175" s="613">
        <f>AND(
O175 &lt;= 0.05,
(
COUNTIFS($A$2:$A1287, A175, $E$2:$E1287, E175, $G$2:$G1287, G175, $O$2:$O1287, "&lt;=0.05") +
COUNTIFS($A$2:$A1287, A175, $E$2:$E1287, E175, $G$2:$G1287, G175-1, $O$2:$O1287, "&lt;=0.05") +
COUNTIFS($A$2:$A1287, A175, $E$2:$E1287, E175, $G$2:$G1287, G175+1, $O$2:$O1287, "&lt;=0.05")
) &gt;= 
2)</f>
        <v/>
      </c>
      <c r="Q175" s="457" t="n"/>
      <c r="R175" s="457">
        <f>IFERROR(__xludf.DUMMYFUNCTION("IFERROR(MIN(FILTER($G$2:$G1115, $A$2:$A1115=A175, $E$2:$E1115=E175, $P$2:$P1115=TRUE)), """")"),"")</f>
        <v/>
      </c>
      <c r="S175" s="457">
        <f>IFERROR(__xludf.DUMMYFUNCTION("IFERROR(MAX(FILTER($G$2:$G1115, $A$2:$A1115=A175, $E$2:$E1115=E175, $P$2:$P1115=TRUE)), """")"),"")</f>
        <v/>
      </c>
      <c r="T175" s="613" t="n"/>
      <c r="U175" s="613" t="n"/>
      <c r="V175" s="613">
        <f>IFERROR(__xludf.DUMMYFUNCTION("MIN(FILTER($G$2:$G1115,$A$2:$A1115=A175,$E$2:$E1115=E175))"),0.0)</f>
        <v/>
      </c>
    </row>
    <row r="176">
      <c r="H176" s="517" t="n"/>
      <c r="K176" s="590">
        <f>IFERROR(__xludf.DUMMYFUNCTION("MAX(FILTER($I$2:$I1115,$A$2:$A1115=A176,$E$2:$E1115=E176))"),"#VALUE!")</f>
        <v/>
      </c>
      <c r="N176" s="709">
        <f>IFERROR(__xludf.DUMMYFUNCTION("IFERROR(
  MAX(
    FILTER(
      $I$2:$I1115,
      $A$2:$A1115=A176,
      $E$2:$E1115=E176,
      $G$2:$G1115 &gt;= G176-1,
      $G$2:$G1115 &lt;= G176+1
    )
  ),
  """"
)"),"")</f>
        <v/>
      </c>
      <c r="O176" s="460">
        <f>1-N176/K176</f>
        <v/>
      </c>
      <c r="P176" s="590">
        <f>AND(
O176 &lt;= 0.05,
(
COUNTIFS($A$2:$A1288, A176, $E$2:$E1288, E176, $G$2:$G1288, G176, $O$2:$O1288, "&lt;=0.05") +
COUNTIFS($A$2:$A1288, A176, $E$2:$E1288, E176, $G$2:$G1288, G176-1, $O$2:$O1288, "&lt;=0.05") +
COUNTIFS($A$2:$A1288, A176, $E$2:$E1288, E176, $G$2:$G1288, G176+1, $O$2:$O1288, "&lt;=0.05")
) &gt;= 
2)</f>
        <v/>
      </c>
      <c r="Q176" s="457" t="n"/>
      <c r="R176" s="457">
        <f>IFERROR(__xludf.DUMMYFUNCTION("IFERROR(MIN(FILTER($G$2:$G1115, $A$2:$A1115=A176, $E$2:$E1115=E176, $P$2:$P1115=TRUE)), """")"),"")</f>
        <v/>
      </c>
      <c r="S176" s="457">
        <f>IFERROR(__xludf.DUMMYFUNCTION("IFERROR(MAX(FILTER($G$2:$G1115, $A$2:$A1115=A176, $E$2:$E1115=E176, $P$2:$P1115=TRUE)), """")"),"")</f>
        <v/>
      </c>
      <c r="T176" s="590" t="n"/>
      <c r="U176" s="590" t="n"/>
      <c r="V176" s="590">
        <f>IFERROR(__xludf.DUMMYFUNCTION("MIN(FILTER($G$2:$G1115,$A$2:$A1115=A176,$E$2:$E1115=E176))"),0.0)</f>
        <v/>
      </c>
    </row>
    <row r="177">
      <c r="H177" s="505" t="n"/>
      <c r="K177" s="613">
        <f>IFERROR(__xludf.DUMMYFUNCTION("MAX(FILTER($I$2:$I1115,$A$2:$A1115=A177,$E$2:$E1115=E177))"),"#VALUE!")</f>
        <v/>
      </c>
      <c r="N177" s="704">
        <f>IFERROR(__xludf.DUMMYFUNCTION("IFERROR(
  MAX(
    FILTER(
      $I$2:$I1115,
      $A$2:$A1115=A177,
      $E$2:$E1115=E177,
      $G$2:$G1115 &gt;= G177-1,
      $G$2:$G1115 &lt;= G177+1
    )
  ),
  """"
)"),"")</f>
        <v/>
      </c>
      <c r="O177" s="464">
        <f>1-N177/K177</f>
        <v/>
      </c>
      <c r="P177" s="613">
        <f>AND(
O177 &lt;= 0.05,
(
COUNTIFS($A$2:$A1289, A177, $E$2:$E1289, E177, $G$2:$G1289, G177, $O$2:$O1289, "&lt;=0.05") +
COUNTIFS($A$2:$A1289, A177, $E$2:$E1289, E177, $G$2:$G1289, G177-1, $O$2:$O1289, "&lt;=0.05") +
COUNTIFS($A$2:$A1289, A177, $E$2:$E1289, E177, $G$2:$G1289, G177+1, $O$2:$O1289, "&lt;=0.05")
) &gt;= 
2)</f>
        <v/>
      </c>
      <c r="Q177" s="457" t="n"/>
      <c r="R177" s="457">
        <f>IFERROR(__xludf.DUMMYFUNCTION("IFERROR(MIN(FILTER($G$2:$G1115, $A$2:$A1115=A177, $E$2:$E1115=E177, $P$2:$P1115=TRUE)), """")"),"")</f>
        <v/>
      </c>
      <c r="S177" s="457">
        <f>IFERROR(__xludf.DUMMYFUNCTION("IFERROR(MAX(FILTER($G$2:$G1115, $A$2:$A1115=A177, $E$2:$E1115=E177, $P$2:$P1115=TRUE)), """")"),"")</f>
        <v/>
      </c>
      <c r="T177" s="613" t="n"/>
      <c r="U177" s="613" t="n"/>
      <c r="V177" s="613">
        <f>IFERROR(__xludf.DUMMYFUNCTION("MIN(FILTER($G$2:$G1115,$A$2:$A1115=A177,$E$2:$E1115=E177))"),0.0)</f>
        <v/>
      </c>
    </row>
    <row r="178">
      <c r="H178" s="467" t="n"/>
      <c r="K178" s="725">
        <f>IFERROR(__xludf.DUMMYFUNCTION("MAX(FILTER($I$2:$I1115,$A$2:$A1115=A178,$E$2:$E1115=E178))"),"#VALUE!")</f>
        <v/>
      </c>
      <c r="N178" s="723">
        <f>IFERROR(__xludf.DUMMYFUNCTION("IFERROR(
  MAX(
    FILTER(
      $I$2:$I1115,
      $A$2:$A1115=A178,
      $E$2:$E1115=E178,
      $G$2:$G1115 &gt;= G178-1,
      $G$2:$G1115 &lt;= G178+1
    )
  ),
  """"
)"),"")</f>
        <v/>
      </c>
      <c r="O178" s="470">
        <f>1-N178/K178</f>
        <v/>
      </c>
      <c r="P178" s="725">
        <f>AND(
O178 &lt;= 0.05,
(
COUNTIFS($A$2:$A1290, A178, $E$2:$E1290, E178, $G$2:$G1290, G178, $O$2:$O1290, "&lt;=0.05") +
COUNTIFS($A$2:$A1290, A178, $E$2:$E1290, E178, $G$2:$G1290, G178-1, $O$2:$O1290, "&lt;=0.05") +
COUNTIFS($A$2:$A1290, A178, $E$2:$E1290, E178, $G$2:$G1290, G178+1, $O$2:$O1290, "&lt;=0.05")
) &gt;= 
2)</f>
        <v/>
      </c>
      <c r="Q178" s="471" t="n"/>
      <c r="R178" s="471">
        <f>IFERROR(__xludf.DUMMYFUNCTION("IFERROR(MIN(FILTER($G$2:$G1115, $A$2:$A1115=A178, $E$2:$E1115=E178, $P$2:$P1115=TRUE)), """")"),"")</f>
        <v/>
      </c>
      <c r="S178" s="471">
        <f>IFERROR(__xludf.DUMMYFUNCTION("IFERROR(MAX(FILTER($G$2:$G1115, $A$2:$A1115=A178, $E$2:$E1115=E178, $P$2:$P1115=TRUE)), """")"),"")</f>
        <v/>
      </c>
      <c r="T178" s="725" t="n"/>
      <c r="U178" s="725" t="n"/>
      <c r="V178" s="725">
        <f>IFERROR(__xludf.DUMMYFUNCTION("MIN(FILTER($G$2:$G1115,$A$2:$A1115=A178,$E$2:$E1115=E178))"),0.0)</f>
        <v/>
      </c>
    </row>
    <row r="179">
      <c r="H179" s="78" t="n"/>
      <c r="N179" s="473" t="n"/>
      <c r="O179" s="474" t="n"/>
    </row>
    <row r="180">
      <c r="H180" s="78" t="n"/>
      <c r="N180" s="473" t="n"/>
      <c r="O180" s="474" t="n"/>
    </row>
    <row r="181">
      <c r="H181" s="78" t="n"/>
      <c r="N181" s="473" t="n"/>
      <c r="O181" s="474" t="n"/>
    </row>
    <row r="182">
      <c r="H182" s="78" t="n"/>
      <c r="N182" s="473" t="n"/>
      <c r="O182" s="474" t="n"/>
    </row>
    <row r="183">
      <c r="H183" s="78" t="n"/>
      <c r="N183" s="473" t="n"/>
      <c r="O183" s="474" t="n"/>
    </row>
    <row r="184">
      <c r="H184" s="78" t="n"/>
      <c r="N184" s="473" t="n"/>
      <c r="O184" s="474" t="n"/>
    </row>
    <row r="185">
      <c r="H185" s="78" t="n"/>
      <c r="N185" s="473" t="n"/>
      <c r="O185" s="474" t="n"/>
    </row>
    <row r="186">
      <c r="H186" s="78" t="n"/>
      <c r="N186" s="473" t="n"/>
      <c r="O186" s="474" t="n"/>
    </row>
    <row r="187">
      <c r="H187" s="78" t="n"/>
      <c r="N187" s="473" t="n"/>
      <c r="O187" s="474" t="n"/>
    </row>
    <row r="188">
      <c r="H188" s="78" t="n"/>
      <c r="N188" s="473" t="n"/>
      <c r="O188" s="474" t="n"/>
    </row>
    <row r="189">
      <c r="H189" s="78" t="n"/>
      <c r="N189" s="473" t="n"/>
      <c r="O189" s="474" t="n"/>
    </row>
    <row r="190">
      <c r="H190" s="78" t="n"/>
      <c r="N190" s="473" t="n"/>
      <c r="O190" s="474" t="n"/>
    </row>
    <row r="191">
      <c r="H191" s="78" t="n"/>
      <c r="N191" s="473" t="n"/>
      <c r="O191" s="474" t="n"/>
    </row>
    <row r="192">
      <c r="H192" s="78" t="n"/>
      <c r="N192" s="473" t="n"/>
      <c r="O192" s="474" t="n"/>
    </row>
    <row r="193">
      <c r="H193" s="78" t="n"/>
      <c r="N193" s="473" t="n"/>
      <c r="O193" s="474" t="n"/>
    </row>
    <row r="194">
      <c r="H194" s="78" t="n"/>
      <c r="N194" s="473" t="n"/>
      <c r="O194" s="474" t="n"/>
    </row>
    <row r="195">
      <c r="H195" s="78" t="n"/>
      <c r="N195" s="473" t="n"/>
      <c r="O195" s="474" t="n"/>
    </row>
    <row r="196">
      <c r="H196" s="78" t="n"/>
      <c r="N196" s="473" t="n"/>
      <c r="O196" s="474" t="n"/>
    </row>
    <row r="197">
      <c r="H197" s="78" t="n"/>
      <c r="N197" s="473" t="n"/>
      <c r="O197" s="474" t="n"/>
    </row>
    <row r="198">
      <c r="H198" s="78" t="n"/>
      <c r="N198" s="473" t="n"/>
      <c r="O198" s="474" t="n"/>
    </row>
    <row r="199">
      <c r="H199" s="78" t="n"/>
      <c r="N199" s="473" t="n"/>
      <c r="O199" s="474" t="n"/>
    </row>
    <row r="200">
      <c r="H200" s="78" t="n"/>
      <c r="N200" s="473" t="n"/>
      <c r="O200" s="474" t="n"/>
    </row>
    <row r="201">
      <c r="H201" s="78" t="n"/>
      <c r="N201" s="473" t="n"/>
      <c r="O201" s="474" t="n"/>
    </row>
    <row r="202">
      <c r="H202" s="78" t="n"/>
      <c r="N202" s="473" t="n"/>
      <c r="O202" s="474" t="n"/>
    </row>
    <row r="203">
      <c r="H203" s="78" t="n"/>
      <c r="N203" s="473" t="n"/>
      <c r="O203" s="474" t="n"/>
    </row>
    <row r="204">
      <c r="H204" s="78" t="n"/>
      <c r="N204" s="473" t="n"/>
      <c r="O204" s="474" t="n"/>
    </row>
    <row r="205">
      <c r="H205" s="78" t="n"/>
      <c r="N205" s="473" t="n"/>
      <c r="O205" s="474" t="n"/>
    </row>
    <row r="206">
      <c r="H206" s="78" t="n"/>
      <c r="N206" s="473" t="n"/>
      <c r="O206" s="474" t="n"/>
    </row>
    <row r="207">
      <c r="H207" s="78" t="n"/>
      <c r="N207" s="473" t="n"/>
      <c r="O207" s="474" t="n"/>
    </row>
    <row r="208">
      <c r="H208" s="78" t="n"/>
      <c r="N208" s="473" t="n"/>
      <c r="O208" s="474" t="n"/>
    </row>
    <row r="209">
      <c r="H209" s="78" t="n"/>
      <c r="N209" s="473" t="n"/>
      <c r="O209" s="474" t="n"/>
    </row>
    <row r="210">
      <c r="H210" s="78" t="n"/>
      <c r="N210" s="473" t="n"/>
      <c r="O210" s="474" t="n"/>
    </row>
    <row r="211">
      <c r="H211" s="78" t="n"/>
      <c r="N211" s="473" t="n"/>
      <c r="O211" s="474" t="n"/>
    </row>
    <row r="212">
      <c r="H212" s="78" t="n"/>
      <c r="N212" s="473" t="n"/>
      <c r="O212" s="474" t="n"/>
    </row>
    <row r="213">
      <c r="H213" s="78" t="n"/>
      <c r="N213" s="473" t="n"/>
      <c r="O213" s="474" t="n"/>
    </row>
    <row r="214">
      <c r="H214" s="78" t="n"/>
      <c r="N214" s="473" t="n"/>
      <c r="O214" s="474" t="n"/>
    </row>
    <row r="215">
      <c r="H215" s="78" t="n"/>
      <c r="N215" s="473" t="n"/>
      <c r="O215" s="474" t="n"/>
    </row>
    <row r="216">
      <c r="H216" s="78" t="n"/>
      <c r="N216" s="473" t="n"/>
      <c r="O216" s="474" t="n"/>
    </row>
    <row r="217">
      <c r="H217" s="78" t="n"/>
      <c r="N217" s="473" t="n"/>
      <c r="O217" s="474" t="n"/>
    </row>
    <row r="218">
      <c r="H218" s="78" t="n"/>
      <c r="N218" s="473" t="n"/>
      <c r="O218" s="474" t="n"/>
    </row>
    <row r="219">
      <c r="H219" s="78" t="n"/>
      <c r="N219" s="473" t="n"/>
      <c r="O219" s="474" t="n"/>
    </row>
    <row r="220">
      <c r="H220" s="78" t="n"/>
      <c r="N220" s="473" t="n"/>
      <c r="O220" s="474" t="n"/>
    </row>
    <row r="221">
      <c r="H221" s="78" t="n"/>
      <c r="N221" s="473" t="n"/>
      <c r="O221" s="474" t="n"/>
    </row>
    <row r="222">
      <c r="H222" s="78" t="n"/>
      <c r="N222" s="473" t="n"/>
      <c r="O222" s="474" t="n"/>
    </row>
    <row r="223">
      <c r="H223" s="78" t="n"/>
      <c r="N223" s="473" t="n"/>
      <c r="O223" s="474" t="n"/>
    </row>
    <row r="224">
      <c r="H224" s="78" t="n"/>
      <c r="N224" s="473" t="n"/>
      <c r="O224" s="474" t="n"/>
    </row>
    <row r="225">
      <c r="H225" s="78" t="n"/>
      <c r="N225" s="473" t="n"/>
      <c r="O225" s="474" t="n"/>
    </row>
    <row r="226">
      <c r="H226" s="78" t="n"/>
      <c r="N226" s="473" t="n"/>
      <c r="O226" s="474" t="n"/>
    </row>
    <row r="227">
      <c r="H227" s="78" t="n"/>
      <c r="N227" s="473" t="n"/>
      <c r="O227" s="474" t="n"/>
    </row>
    <row r="228">
      <c r="H228" s="78" t="n"/>
      <c r="N228" s="473" t="n"/>
      <c r="O228" s="474" t="n"/>
    </row>
    <row r="229">
      <c r="H229" s="78" t="n"/>
      <c r="N229" s="473" t="n"/>
      <c r="O229" s="474" t="n"/>
    </row>
    <row r="230">
      <c r="H230" s="78" t="n"/>
      <c r="N230" s="473" t="n"/>
      <c r="O230" s="474" t="n"/>
    </row>
    <row r="231">
      <c r="H231" s="78" t="n"/>
      <c r="N231" s="473" t="n"/>
      <c r="O231" s="474" t="n"/>
    </row>
    <row r="232">
      <c r="H232" s="78" t="n"/>
      <c r="N232" s="473" t="n"/>
      <c r="O232" s="474" t="n"/>
    </row>
    <row r="233">
      <c r="H233" s="78" t="n"/>
      <c r="N233" s="473" t="n"/>
      <c r="O233" s="474" t="n"/>
    </row>
    <row r="234">
      <c r="H234" s="78" t="n"/>
      <c r="N234" s="473" t="n"/>
      <c r="O234" s="474" t="n"/>
    </row>
    <row r="235">
      <c r="H235" s="78" t="n"/>
      <c r="N235" s="473" t="n"/>
      <c r="O235" s="474" t="n"/>
    </row>
    <row r="236">
      <c r="H236" s="78" t="n"/>
      <c r="N236" s="473" t="n"/>
      <c r="O236" s="474" t="n"/>
    </row>
    <row r="237">
      <c r="H237" s="78" t="n"/>
      <c r="N237" s="473" t="n"/>
      <c r="O237" s="474" t="n"/>
    </row>
    <row r="238">
      <c r="H238" s="78" t="n"/>
      <c r="N238" s="473" t="n"/>
      <c r="O238" s="474" t="n"/>
    </row>
    <row r="239">
      <c r="H239" s="78" t="n"/>
      <c r="N239" s="473" t="n"/>
      <c r="O239" s="474" t="n"/>
    </row>
    <row r="240">
      <c r="H240" s="78" t="n"/>
      <c r="N240" s="473" t="n"/>
      <c r="O240" s="474" t="n"/>
    </row>
    <row r="241">
      <c r="H241" s="78" t="n"/>
      <c r="N241" s="473" t="n"/>
      <c r="O241" s="474" t="n"/>
    </row>
    <row r="242">
      <c r="H242" s="78" t="n"/>
      <c r="N242" s="473" t="n"/>
      <c r="O242" s="474" t="n"/>
    </row>
    <row r="243">
      <c r="H243" s="78" t="n"/>
      <c r="N243" s="473" t="n"/>
      <c r="O243" s="474" t="n"/>
    </row>
    <row r="244">
      <c r="H244" s="78" t="n"/>
      <c r="N244" s="473" t="n"/>
      <c r="O244" s="474" t="n"/>
    </row>
    <row r="245">
      <c r="H245" s="78" t="n"/>
      <c r="N245" s="473" t="n"/>
      <c r="O245" s="474" t="n"/>
    </row>
    <row r="246">
      <c r="H246" s="78" t="n"/>
      <c r="N246" s="473" t="n"/>
      <c r="O246" s="474" t="n"/>
    </row>
    <row r="247">
      <c r="H247" s="78" t="n"/>
      <c r="N247" s="473" t="n"/>
      <c r="O247" s="474" t="n"/>
    </row>
    <row r="248">
      <c r="H248" s="78" t="n"/>
      <c r="N248" s="473" t="n"/>
      <c r="O248" s="474" t="n"/>
    </row>
    <row r="249">
      <c r="H249" s="78" t="n"/>
      <c r="N249" s="473" t="n"/>
      <c r="O249" s="474" t="n"/>
    </row>
    <row r="250">
      <c r="H250" s="78" t="n"/>
      <c r="N250" s="473" t="n"/>
      <c r="O250" s="474" t="n"/>
    </row>
    <row r="251">
      <c r="H251" s="78" t="n"/>
      <c r="N251" s="473" t="n"/>
      <c r="O251" s="474" t="n"/>
    </row>
    <row r="252">
      <c r="H252" s="78" t="n"/>
      <c r="N252" s="473" t="n"/>
      <c r="O252" s="474" t="n"/>
    </row>
    <row r="253">
      <c r="H253" s="78" t="n"/>
      <c r="N253" s="473" t="n"/>
      <c r="O253" s="474" t="n"/>
    </row>
    <row r="254">
      <c r="H254" s="78" t="n"/>
      <c r="N254" s="473" t="n"/>
      <c r="O254" s="474" t="n"/>
    </row>
    <row r="255">
      <c r="H255" s="78" t="n"/>
      <c r="N255" s="473" t="n"/>
      <c r="O255" s="474" t="n"/>
    </row>
    <row r="256">
      <c r="H256" s="78" t="n"/>
      <c r="N256" s="473" t="n"/>
      <c r="O256" s="474" t="n"/>
    </row>
    <row r="257">
      <c r="H257" s="78" t="n"/>
      <c r="N257" s="473" t="n"/>
      <c r="O257" s="474" t="n"/>
    </row>
    <row r="258">
      <c r="H258" s="78" t="n"/>
      <c r="N258" s="473" t="n"/>
      <c r="O258" s="474" t="n"/>
    </row>
    <row r="259">
      <c r="H259" s="78" t="n"/>
      <c r="N259" s="473" t="n"/>
      <c r="O259" s="474" t="n"/>
    </row>
    <row r="260">
      <c r="H260" s="78" t="n"/>
      <c r="N260" s="473" t="n"/>
      <c r="O260" s="474" t="n"/>
    </row>
    <row r="261">
      <c r="H261" s="78" t="n"/>
      <c r="N261" s="473" t="n"/>
      <c r="O261" s="474" t="n"/>
    </row>
    <row r="262">
      <c r="H262" s="78" t="n"/>
      <c r="N262" s="473" t="n"/>
      <c r="O262" s="474" t="n"/>
    </row>
    <row r="263">
      <c r="H263" s="78" t="n"/>
      <c r="N263" s="473" t="n"/>
      <c r="O263" s="474" t="n"/>
    </row>
    <row r="264">
      <c r="H264" s="78" t="n"/>
      <c r="N264" s="473" t="n"/>
      <c r="O264" s="474" t="n"/>
    </row>
    <row r="265">
      <c r="H265" s="78" t="n"/>
      <c r="N265" s="473" t="n"/>
      <c r="O265" s="474" t="n"/>
    </row>
    <row r="266">
      <c r="H266" s="78" t="n"/>
      <c r="N266" s="473" t="n"/>
      <c r="O266" s="474" t="n"/>
    </row>
    <row r="267">
      <c r="H267" s="78" t="n"/>
      <c r="N267" s="473" t="n"/>
      <c r="O267" s="474" t="n"/>
    </row>
    <row r="268">
      <c r="H268" s="78" t="n"/>
      <c r="N268" s="473" t="n"/>
      <c r="O268" s="474" t="n"/>
    </row>
    <row r="269">
      <c r="H269" s="78" t="n"/>
      <c r="N269" s="473" t="n"/>
      <c r="O269" s="474" t="n"/>
    </row>
    <row r="270">
      <c r="H270" s="78" t="n"/>
      <c r="N270" s="473" t="n"/>
      <c r="O270" s="474" t="n"/>
    </row>
    <row r="271">
      <c r="H271" s="78" t="n"/>
      <c r="N271" s="473" t="n"/>
      <c r="O271" s="474" t="n"/>
    </row>
    <row r="272">
      <c r="H272" s="78" t="n"/>
      <c r="N272" s="473" t="n"/>
      <c r="O272" s="474" t="n"/>
    </row>
    <row r="273">
      <c r="H273" s="78" t="n"/>
      <c r="N273" s="473" t="n"/>
      <c r="O273" s="474" t="n"/>
    </row>
    <row r="274">
      <c r="H274" s="78" t="n"/>
      <c r="N274" s="473" t="n"/>
      <c r="O274" s="474" t="n"/>
    </row>
    <row r="275">
      <c r="H275" s="78" t="n"/>
      <c r="N275" s="473" t="n"/>
      <c r="O275" s="474" t="n"/>
    </row>
    <row r="276">
      <c r="H276" s="78" t="n"/>
      <c r="N276" s="473" t="n"/>
      <c r="O276" s="474" t="n"/>
    </row>
    <row r="277">
      <c r="H277" s="78" t="n"/>
      <c r="N277" s="473" t="n"/>
      <c r="O277" s="474" t="n"/>
    </row>
    <row r="278">
      <c r="H278" s="78" t="n"/>
      <c r="N278" s="473" t="n"/>
      <c r="O278" s="474" t="n"/>
    </row>
    <row r="279">
      <c r="H279" s="78" t="n"/>
      <c r="N279" s="473" t="n"/>
      <c r="O279" s="474" t="n"/>
    </row>
    <row r="280">
      <c r="H280" s="78" t="n"/>
      <c r="N280" s="473" t="n"/>
      <c r="O280" s="474" t="n"/>
    </row>
    <row r="281">
      <c r="H281" s="78" t="n"/>
      <c r="N281" s="473" t="n"/>
      <c r="O281" s="474" t="n"/>
    </row>
    <row r="282">
      <c r="H282" s="78" t="n"/>
      <c r="N282" s="473" t="n"/>
      <c r="O282" s="474" t="n"/>
    </row>
    <row r="283">
      <c r="H283" s="78" t="n"/>
      <c r="N283" s="473" t="n"/>
      <c r="O283" s="474" t="n"/>
    </row>
    <row r="284">
      <c r="H284" s="78" t="n"/>
      <c r="N284" s="473" t="n"/>
      <c r="O284" s="474" t="n"/>
    </row>
    <row r="285">
      <c r="H285" s="78" t="n"/>
      <c r="N285" s="473" t="n"/>
      <c r="O285" s="474" t="n"/>
    </row>
    <row r="286">
      <c r="H286" s="78" t="n"/>
      <c r="N286" s="473" t="n"/>
      <c r="O286" s="474" t="n"/>
    </row>
    <row r="287">
      <c r="H287" s="78" t="n"/>
      <c r="N287" s="473" t="n"/>
      <c r="O287" s="474" t="n"/>
    </row>
    <row r="288">
      <c r="H288" s="78" t="n"/>
      <c r="N288" s="473" t="n"/>
      <c r="O288" s="474" t="n"/>
    </row>
    <row r="289">
      <c r="H289" s="78" t="n"/>
      <c r="N289" s="473" t="n"/>
      <c r="O289" s="474" t="n"/>
    </row>
    <row r="290">
      <c r="H290" s="78" t="n"/>
      <c r="N290" s="473" t="n"/>
      <c r="O290" s="474" t="n"/>
    </row>
    <row r="291">
      <c r="H291" s="78" t="n"/>
      <c r="N291" s="473" t="n"/>
      <c r="O291" s="474" t="n"/>
    </row>
    <row r="292">
      <c r="H292" s="78" t="n"/>
      <c r="N292" s="473" t="n"/>
      <c r="O292" s="474" t="n"/>
    </row>
    <row r="293">
      <c r="H293" s="78" t="n"/>
      <c r="N293" s="473" t="n"/>
      <c r="O293" s="474" t="n"/>
    </row>
    <row r="294">
      <c r="H294" s="78" t="n"/>
      <c r="N294" s="473" t="n"/>
      <c r="O294" s="474" t="n"/>
    </row>
    <row r="295">
      <c r="H295" s="78" t="n"/>
      <c r="N295" s="473" t="n"/>
      <c r="O295" s="474" t="n"/>
    </row>
    <row r="296">
      <c r="H296" s="78" t="n"/>
      <c r="N296" s="473" t="n"/>
      <c r="O296" s="474" t="n"/>
    </row>
    <row r="297">
      <c r="H297" s="78" t="n"/>
      <c r="N297" s="473" t="n"/>
      <c r="O297" s="474" t="n"/>
    </row>
    <row r="298">
      <c r="H298" s="78" t="n"/>
      <c r="N298" s="473" t="n"/>
      <c r="O298" s="474" t="n"/>
    </row>
    <row r="299">
      <c r="H299" s="78" t="n"/>
      <c r="N299" s="473" t="n"/>
      <c r="O299" s="474" t="n"/>
    </row>
    <row r="300">
      <c r="H300" s="78" t="n"/>
      <c r="N300" s="473" t="n"/>
      <c r="O300" s="474" t="n"/>
    </row>
    <row r="301">
      <c r="H301" s="78" t="n"/>
      <c r="N301" s="473" t="n"/>
      <c r="O301" s="474" t="n"/>
    </row>
    <row r="302">
      <c r="H302" s="78" t="n"/>
      <c r="N302" s="473" t="n"/>
      <c r="O302" s="474" t="n"/>
    </row>
    <row r="303">
      <c r="H303" s="78" t="n"/>
      <c r="N303" s="473" t="n"/>
      <c r="O303" s="474" t="n"/>
    </row>
    <row r="304">
      <c r="H304" s="78" t="n"/>
      <c r="N304" s="473" t="n"/>
      <c r="O304" s="474" t="n"/>
    </row>
    <row r="305">
      <c r="H305" s="78" t="n"/>
      <c r="N305" s="473" t="n"/>
      <c r="O305" s="474" t="n"/>
    </row>
    <row r="306">
      <c r="H306" s="78" t="n"/>
      <c r="N306" s="473" t="n"/>
      <c r="O306" s="474" t="n"/>
    </row>
    <row r="307">
      <c r="H307" s="78" t="n"/>
      <c r="N307" s="473" t="n"/>
      <c r="O307" s="474" t="n"/>
    </row>
    <row r="308">
      <c r="H308" s="78" t="n"/>
      <c r="N308" s="473" t="n"/>
      <c r="O308" s="474" t="n"/>
    </row>
    <row r="309">
      <c r="H309" s="78" t="n"/>
      <c r="N309" s="473" t="n"/>
      <c r="O309" s="474" t="n"/>
    </row>
    <row r="310">
      <c r="H310" s="78" t="n"/>
      <c r="N310" s="473" t="n"/>
      <c r="O310" s="474" t="n"/>
    </row>
    <row r="311">
      <c r="H311" s="78" t="n"/>
      <c r="N311" s="473" t="n"/>
      <c r="O311" s="474" t="n"/>
    </row>
    <row r="312">
      <c r="H312" s="78" t="n"/>
      <c r="N312" s="473" t="n"/>
      <c r="O312" s="474" t="n"/>
    </row>
    <row r="313">
      <c r="H313" s="78" t="n"/>
      <c r="N313" s="473" t="n"/>
      <c r="O313" s="474" t="n"/>
    </row>
    <row r="314">
      <c r="H314" s="78" t="n"/>
      <c r="N314" s="473" t="n"/>
      <c r="O314" s="474" t="n"/>
    </row>
    <row r="315">
      <c r="H315" s="78" t="n"/>
      <c r="N315" s="473" t="n"/>
      <c r="O315" s="474" t="n"/>
    </row>
    <row r="316">
      <c r="H316" s="78" t="n"/>
      <c r="N316" s="473" t="n"/>
      <c r="O316" s="474" t="n"/>
    </row>
    <row r="317">
      <c r="H317" s="78" t="n"/>
      <c r="N317" s="473" t="n"/>
      <c r="O317" s="474" t="n"/>
    </row>
    <row r="318">
      <c r="H318" s="78" t="n"/>
      <c r="N318" s="473" t="n"/>
      <c r="O318" s="474" t="n"/>
    </row>
    <row r="319">
      <c r="H319" s="78" t="n"/>
      <c r="N319" s="473" t="n"/>
      <c r="O319" s="474" t="n"/>
    </row>
    <row r="320">
      <c r="H320" s="78" t="n"/>
      <c r="N320" s="473" t="n"/>
      <c r="O320" s="474" t="n"/>
    </row>
    <row r="321">
      <c r="H321" s="78" t="n"/>
      <c r="N321" s="473" t="n"/>
      <c r="O321" s="474" t="n"/>
    </row>
    <row r="322">
      <c r="H322" s="78" t="n"/>
      <c r="N322" s="473" t="n"/>
      <c r="O322" s="474" t="n"/>
    </row>
    <row r="323">
      <c r="H323" s="78" t="n"/>
      <c r="N323" s="473" t="n"/>
      <c r="O323" s="474" t="n"/>
    </row>
    <row r="324">
      <c r="H324" s="78" t="n"/>
      <c r="N324" s="473" t="n"/>
      <c r="O324" s="474" t="n"/>
    </row>
    <row r="325">
      <c r="H325" s="78" t="n"/>
      <c r="N325" s="473" t="n"/>
      <c r="O325" s="474" t="n"/>
    </row>
    <row r="326">
      <c r="H326" s="78" t="n"/>
      <c r="N326" s="473" t="n"/>
      <c r="O326" s="474" t="n"/>
    </row>
    <row r="327">
      <c r="H327" s="78" t="n"/>
      <c r="N327" s="473" t="n"/>
      <c r="O327" s="474" t="n"/>
    </row>
    <row r="328">
      <c r="H328" s="78" t="n"/>
      <c r="N328" s="473" t="n"/>
      <c r="O328" s="474" t="n"/>
    </row>
    <row r="329">
      <c r="H329" s="78" t="n"/>
      <c r="N329" s="473" t="n"/>
      <c r="O329" s="474" t="n"/>
    </row>
    <row r="330">
      <c r="H330" s="78" t="n"/>
      <c r="N330" s="473" t="n"/>
      <c r="O330" s="474" t="n"/>
    </row>
    <row r="331">
      <c r="H331" s="78" t="n"/>
      <c r="N331" s="473" t="n"/>
      <c r="O331" s="474" t="n"/>
    </row>
    <row r="332">
      <c r="H332" s="78" t="n"/>
      <c r="N332" s="473" t="n"/>
      <c r="O332" s="474" t="n"/>
    </row>
    <row r="333">
      <c r="H333" s="78" t="n"/>
      <c r="N333" s="473" t="n"/>
      <c r="O333" s="474" t="n"/>
    </row>
    <row r="334">
      <c r="H334" s="78" t="n"/>
      <c r="N334" s="473" t="n"/>
      <c r="O334" s="474" t="n"/>
    </row>
    <row r="335">
      <c r="H335" s="78" t="n"/>
      <c r="N335" s="473" t="n"/>
      <c r="O335" s="474" t="n"/>
    </row>
    <row r="336">
      <c r="H336" s="78" t="n"/>
      <c r="N336" s="473" t="n"/>
      <c r="O336" s="474" t="n"/>
    </row>
    <row r="337">
      <c r="H337" s="78" t="n"/>
      <c r="N337" s="473" t="n"/>
      <c r="O337" s="474" t="n"/>
    </row>
    <row r="338">
      <c r="H338" s="78" t="n"/>
      <c r="N338" s="473" t="n"/>
      <c r="O338" s="474" t="n"/>
    </row>
    <row r="339">
      <c r="H339" s="78" t="n"/>
      <c r="N339" s="473" t="n"/>
      <c r="O339" s="474" t="n"/>
    </row>
    <row r="340">
      <c r="H340" s="78" t="n"/>
      <c r="N340" s="473" t="n"/>
      <c r="O340" s="474" t="n"/>
    </row>
    <row r="341">
      <c r="H341" s="78" t="n"/>
      <c r="N341" s="473" t="n"/>
      <c r="O341" s="474" t="n"/>
    </row>
    <row r="342">
      <c r="H342" s="78" t="n"/>
      <c r="N342" s="473" t="n"/>
      <c r="O342" s="474" t="n"/>
    </row>
    <row r="343">
      <c r="H343" s="78" t="n"/>
      <c r="N343" s="473" t="n"/>
      <c r="O343" s="474" t="n"/>
    </row>
    <row r="344">
      <c r="H344" s="78" t="n"/>
      <c r="N344" s="473" t="n"/>
      <c r="O344" s="474" t="n"/>
    </row>
    <row r="345">
      <c r="H345" s="78" t="n"/>
      <c r="N345" s="473" t="n"/>
      <c r="O345" s="474" t="n"/>
    </row>
    <row r="346">
      <c r="H346" s="78" t="n"/>
      <c r="N346" s="473" t="n"/>
      <c r="O346" s="474" t="n"/>
    </row>
    <row r="347">
      <c r="H347" s="78" t="n"/>
      <c r="N347" s="473" t="n"/>
      <c r="O347" s="474" t="n"/>
    </row>
    <row r="348">
      <c r="H348" s="78" t="n"/>
      <c r="N348" s="473" t="n"/>
      <c r="O348" s="474" t="n"/>
    </row>
    <row r="349">
      <c r="H349" s="78" t="n"/>
      <c r="N349" s="473" t="n"/>
      <c r="O349" s="474" t="n"/>
    </row>
    <row r="350">
      <c r="H350" s="78" t="n"/>
      <c r="N350" s="473" t="n"/>
      <c r="O350" s="474" t="n"/>
    </row>
    <row r="351">
      <c r="H351" s="78" t="n"/>
      <c r="N351" s="473" t="n"/>
      <c r="O351" s="474" t="n"/>
    </row>
    <row r="352">
      <c r="H352" s="78" t="n"/>
      <c r="N352" s="473" t="n"/>
      <c r="O352" s="474" t="n"/>
    </row>
    <row r="353">
      <c r="H353" s="78" t="n"/>
      <c r="N353" s="473" t="n"/>
      <c r="O353" s="474" t="n"/>
    </row>
    <row r="354">
      <c r="H354" s="78" t="n"/>
      <c r="N354" s="473" t="n"/>
      <c r="O354" s="474" t="n"/>
    </row>
    <row r="355">
      <c r="H355" s="78" t="n"/>
      <c r="N355" s="473" t="n"/>
      <c r="O355" s="474" t="n"/>
    </row>
    <row r="356">
      <c r="H356" s="78" t="n"/>
      <c r="N356" s="473" t="n"/>
      <c r="O356" s="474" t="n"/>
    </row>
    <row r="357">
      <c r="H357" s="78" t="n"/>
      <c r="N357" s="473" t="n"/>
      <c r="O357" s="474" t="n"/>
    </row>
    <row r="358">
      <c r="H358" s="78" t="n"/>
      <c r="N358" s="473" t="n"/>
      <c r="O358" s="474" t="n"/>
    </row>
    <row r="359">
      <c r="H359" s="78" t="n"/>
      <c r="N359" s="473" t="n"/>
      <c r="O359" s="474" t="n"/>
    </row>
    <row r="360">
      <c r="H360" s="78" t="n"/>
      <c r="N360" s="473" t="n"/>
      <c r="O360" s="474" t="n"/>
    </row>
    <row r="361">
      <c r="H361" s="78" t="n"/>
      <c r="N361" s="473" t="n"/>
      <c r="O361" s="474" t="n"/>
    </row>
    <row r="362">
      <c r="H362" s="78" t="n"/>
      <c r="N362" s="473" t="n"/>
      <c r="O362" s="474" t="n"/>
    </row>
    <row r="363">
      <c r="H363" s="78" t="n"/>
      <c r="N363" s="473" t="n"/>
      <c r="O363" s="474" t="n"/>
    </row>
    <row r="364">
      <c r="H364" s="78" t="n"/>
      <c r="N364" s="473" t="n"/>
      <c r="O364" s="474" t="n"/>
    </row>
    <row r="365">
      <c r="H365" s="78" t="n"/>
      <c r="N365" s="473" t="n"/>
      <c r="O365" s="474" t="n"/>
    </row>
    <row r="366">
      <c r="H366" s="78" t="n"/>
      <c r="N366" s="473" t="n"/>
      <c r="O366" s="474" t="n"/>
    </row>
    <row r="367">
      <c r="H367" s="78" t="n"/>
      <c r="N367" s="473" t="n"/>
      <c r="O367" s="474" t="n"/>
    </row>
    <row r="368">
      <c r="H368" s="78" t="n"/>
      <c r="N368" s="473" t="n"/>
      <c r="O368" s="474" t="n"/>
    </row>
    <row r="369">
      <c r="H369" s="78" t="n"/>
      <c r="N369" s="473" t="n"/>
      <c r="O369" s="474" t="n"/>
    </row>
    <row r="370">
      <c r="H370" s="78" t="n"/>
      <c r="N370" s="473" t="n"/>
      <c r="O370" s="474" t="n"/>
    </row>
    <row r="371">
      <c r="H371" s="78" t="n"/>
      <c r="N371" s="473" t="n"/>
      <c r="O371" s="474" t="n"/>
    </row>
    <row r="372">
      <c r="H372" s="78" t="n"/>
      <c r="N372" s="473" t="n"/>
      <c r="O372" s="474" t="n"/>
    </row>
    <row r="373">
      <c r="H373" s="78" t="n"/>
      <c r="N373" s="473" t="n"/>
      <c r="O373" s="474" t="n"/>
    </row>
    <row r="374">
      <c r="H374" s="78" t="n"/>
      <c r="N374" s="473" t="n"/>
      <c r="O374" s="474" t="n"/>
    </row>
    <row r="375">
      <c r="H375" s="78" t="n"/>
      <c r="N375" s="473" t="n"/>
      <c r="O375" s="474" t="n"/>
    </row>
    <row r="376">
      <c r="H376" s="78" t="n"/>
      <c r="N376" s="473" t="n"/>
      <c r="O376" s="474" t="n"/>
    </row>
    <row r="377">
      <c r="H377" s="78" t="n"/>
      <c r="N377" s="473" t="n"/>
      <c r="O377" s="474" t="n"/>
    </row>
    <row r="378">
      <c r="H378" s="78" t="n"/>
      <c r="N378" s="473" t="n"/>
      <c r="O378" s="474" t="n"/>
    </row>
    <row r="379">
      <c r="H379" s="78" t="n"/>
      <c r="N379" s="473" t="n"/>
      <c r="O379" s="474" t="n"/>
    </row>
    <row r="380">
      <c r="H380" s="78" t="n"/>
      <c r="N380" s="473" t="n"/>
      <c r="O380" s="474" t="n"/>
    </row>
    <row r="381">
      <c r="H381" s="78" t="n"/>
      <c r="N381" s="473" t="n"/>
      <c r="O381" s="474" t="n"/>
    </row>
    <row r="382">
      <c r="H382" s="78" t="n"/>
      <c r="N382" s="473" t="n"/>
      <c r="O382" s="474" t="n"/>
    </row>
    <row r="383">
      <c r="H383" s="78" t="n"/>
      <c r="N383" s="473" t="n"/>
      <c r="O383" s="474" t="n"/>
    </row>
    <row r="384">
      <c r="H384" s="78" t="n"/>
      <c r="N384" s="473" t="n"/>
      <c r="O384" s="474" t="n"/>
    </row>
    <row r="385">
      <c r="H385" s="78" t="n"/>
      <c r="N385" s="473" t="n"/>
      <c r="O385" s="474" t="n"/>
    </row>
    <row r="386">
      <c r="H386" s="78" t="n"/>
      <c r="N386" s="473" t="n"/>
      <c r="O386" s="474" t="n"/>
    </row>
    <row r="387">
      <c r="H387" s="78" t="n"/>
      <c r="N387" s="473" t="n"/>
      <c r="O387" s="474" t="n"/>
    </row>
    <row r="388">
      <c r="H388" s="78" t="n"/>
      <c r="N388" s="473" t="n"/>
      <c r="O388" s="474" t="n"/>
    </row>
    <row r="389">
      <c r="H389" s="78" t="n"/>
      <c r="N389" s="473" t="n"/>
      <c r="O389" s="474" t="n"/>
    </row>
    <row r="390">
      <c r="H390" s="78" t="n"/>
      <c r="N390" s="473" t="n"/>
      <c r="O390" s="474" t="n"/>
    </row>
    <row r="391">
      <c r="H391" s="78" t="n"/>
      <c r="N391" s="473" t="n"/>
      <c r="O391" s="474" t="n"/>
    </row>
    <row r="392">
      <c r="H392" s="78" t="n"/>
      <c r="N392" s="473" t="n"/>
      <c r="O392" s="474" t="n"/>
    </row>
    <row r="393">
      <c r="H393" s="78" t="n"/>
      <c r="N393" s="473" t="n"/>
      <c r="O393" s="474" t="n"/>
    </row>
    <row r="394">
      <c r="H394" s="78" t="n"/>
      <c r="N394" s="473" t="n"/>
      <c r="O394" s="474" t="n"/>
    </row>
    <row r="395">
      <c r="H395" s="78" t="n"/>
      <c r="N395" s="473" t="n"/>
      <c r="O395" s="474" t="n"/>
    </row>
    <row r="396">
      <c r="H396" s="78" t="n"/>
      <c r="N396" s="473" t="n"/>
      <c r="O396" s="474" t="n"/>
    </row>
    <row r="397">
      <c r="H397" s="78" t="n"/>
      <c r="N397" s="473" t="n"/>
      <c r="O397" s="474" t="n"/>
    </row>
    <row r="398">
      <c r="H398" s="78" t="n"/>
      <c r="N398" s="473" t="n"/>
      <c r="O398" s="474" t="n"/>
    </row>
    <row r="399">
      <c r="H399" s="78" t="n"/>
      <c r="N399" s="473" t="n"/>
      <c r="O399" s="474" t="n"/>
    </row>
    <row r="400">
      <c r="H400" s="78" t="n"/>
      <c r="N400" s="473" t="n"/>
      <c r="O400" s="474" t="n"/>
    </row>
    <row r="401">
      <c r="H401" s="78" t="n"/>
      <c r="N401" s="473" t="n"/>
      <c r="O401" s="474" t="n"/>
    </row>
    <row r="402">
      <c r="H402" s="78" t="n"/>
      <c r="N402" s="473" t="n"/>
      <c r="O402" s="474" t="n"/>
    </row>
    <row r="403">
      <c r="H403" s="78" t="n"/>
      <c r="N403" s="473" t="n"/>
      <c r="O403" s="474" t="n"/>
    </row>
    <row r="404">
      <c r="H404" s="78" t="n"/>
      <c r="N404" s="473" t="n"/>
      <c r="O404" s="474" t="n"/>
    </row>
    <row r="405">
      <c r="H405" s="78" t="n"/>
      <c r="N405" s="473" t="n"/>
      <c r="O405" s="474" t="n"/>
    </row>
    <row r="406">
      <c r="H406" s="78" t="n"/>
      <c r="N406" s="473" t="n"/>
      <c r="O406" s="474" t="n"/>
    </row>
    <row r="407">
      <c r="H407" s="78" t="n"/>
      <c r="N407" s="473" t="n"/>
      <c r="O407" s="474" t="n"/>
    </row>
    <row r="408">
      <c r="H408" s="78" t="n"/>
      <c r="N408" s="473" t="n"/>
      <c r="O408" s="474" t="n"/>
    </row>
    <row r="409">
      <c r="H409" s="78" t="n"/>
      <c r="N409" s="473" t="n"/>
      <c r="O409" s="474" t="n"/>
    </row>
    <row r="410">
      <c r="H410" s="78" t="n"/>
      <c r="N410" s="473" t="n"/>
      <c r="O410" s="474" t="n"/>
    </row>
    <row r="411">
      <c r="H411" s="78" t="n"/>
      <c r="N411" s="473" t="n"/>
      <c r="O411" s="474" t="n"/>
    </row>
    <row r="412">
      <c r="H412" s="78" t="n"/>
      <c r="N412" s="473" t="n"/>
      <c r="O412" s="474" t="n"/>
    </row>
    <row r="413">
      <c r="H413" s="78" t="n"/>
      <c r="N413" s="473" t="n"/>
      <c r="O413" s="474" t="n"/>
    </row>
    <row r="414">
      <c r="H414" s="78" t="n"/>
      <c r="N414" s="473" t="n"/>
      <c r="O414" s="474" t="n"/>
    </row>
    <row r="415">
      <c r="H415" s="78" t="n"/>
      <c r="N415" s="473" t="n"/>
      <c r="O415" s="474" t="n"/>
    </row>
    <row r="416">
      <c r="H416" s="78" t="n"/>
      <c r="N416" s="473" t="n"/>
      <c r="O416" s="474" t="n"/>
    </row>
    <row r="417">
      <c r="H417" s="78" t="n"/>
      <c r="N417" s="473" t="n"/>
      <c r="O417" s="474" t="n"/>
    </row>
    <row r="418">
      <c r="H418" s="78" t="n"/>
      <c r="N418" s="473" t="n"/>
      <c r="O418" s="474" t="n"/>
    </row>
    <row r="419">
      <c r="H419" s="78" t="n"/>
      <c r="N419" s="473" t="n"/>
      <c r="O419" s="474" t="n"/>
    </row>
    <row r="420">
      <c r="H420" s="78" t="n"/>
      <c r="N420" s="473" t="n"/>
      <c r="O420" s="474" t="n"/>
    </row>
    <row r="421">
      <c r="H421" s="78" t="n"/>
      <c r="N421" s="473" t="n"/>
      <c r="O421" s="474" t="n"/>
    </row>
    <row r="422">
      <c r="H422" s="78" t="n"/>
      <c r="N422" s="473" t="n"/>
      <c r="O422" s="474" t="n"/>
    </row>
    <row r="423">
      <c r="H423" s="78" t="n"/>
      <c r="N423" s="473" t="n"/>
      <c r="O423" s="474" t="n"/>
    </row>
    <row r="424">
      <c r="H424" s="78" t="n"/>
      <c r="N424" s="473" t="n"/>
      <c r="O424" s="474" t="n"/>
    </row>
    <row r="425">
      <c r="H425" s="78" t="n"/>
      <c r="N425" s="473" t="n"/>
      <c r="O425" s="474" t="n"/>
    </row>
    <row r="426">
      <c r="H426" s="78" t="n"/>
      <c r="N426" s="473" t="n"/>
      <c r="O426" s="474" t="n"/>
    </row>
    <row r="427">
      <c r="H427" s="78" t="n"/>
      <c r="N427" s="473" t="n"/>
      <c r="O427" s="474" t="n"/>
    </row>
    <row r="428">
      <c r="H428" s="78" t="n"/>
      <c r="N428" s="473" t="n"/>
      <c r="O428" s="474" t="n"/>
    </row>
    <row r="429">
      <c r="H429" s="78" t="n"/>
      <c r="N429" s="473" t="n"/>
      <c r="O429" s="474" t="n"/>
    </row>
    <row r="430">
      <c r="H430" s="78" t="n"/>
      <c r="N430" s="473" t="n"/>
      <c r="O430" s="474" t="n"/>
    </row>
    <row r="431">
      <c r="H431" s="78" t="n"/>
      <c r="N431" s="473" t="n"/>
      <c r="O431" s="474" t="n"/>
    </row>
    <row r="432">
      <c r="H432" s="78" t="n"/>
      <c r="N432" s="473" t="n"/>
      <c r="O432" s="474" t="n"/>
    </row>
    <row r="433">
      <c r="H433" s="78" t="n"/>
      <c r="N433" s="473" t="n"/>
      <c r="O433" s="474" t="n"/>
    </row>
    <row r="434">
      <c r="H434" s="78" t="n"/>
      <c r="N434" s="473" t="n"/>
      <c r="O434" s="474" t="n"/>
    </row>
    <row r="435">
      <c r="H435" s="78" t="n"/>
      <c r="N435" s="473" t="n"/>
      <c r="O435" s="474" t="n"/>
    </row>
    <row r="436">
      <c r="H436" s="78" t="n"/>
      <c r="N436" s="473" t="n"/>
      <c r="O436" s="474" t="n"/>
    </row>
    <row r="437">
      <c r="H437" s="78" t="n"/>
      <c r="N437" s="473" t="n"/>
      <c r="O437" s="474" t="n"/>
    </row>
    <row r="438">
      <c r="H438" s="78" t="n"/>
      <c r="N438" s="473" t="n"/>
      <c r="O438" s="474" t="n"/>
    </row>
    <row r="439">
      <c r="H439" s="78" t="n"/>
      <c r="N439" s="473" t="n"/>
      <c r="O439" s="474" t="n"/>
    </row>
    <row r="440">
      <c r="H440" s="78" t="n"/>
      <c r="N440" s="473" t="n"/>
      <c r="O440" s="474" t="n"/>
    </row>
    <row r="441">
      <c r="H441" s="78" t="n"/>
      <c r="N441" s="473" t="n"/>
      <c r="O441" s="474" t="n"/>
    </row>
    <row r="442">
      <c r="H442" s="78" t="n"/>
      <c r="N442" s="473" t="n"/>
      <c r="O442" s="474" t="n"/>
    </row>
    <row r="443">
      <c r="H443" s="78" t="n"/>
      <c r="N443" s="473" t="n"/>
      <c r="O443" s="474" t="n"/>
    </row>
    <row r="444">
      <c r="H444" s="78" t="n"/>
      <c r="N444" s="473" t="n"/>
      <c r="O444" s="474" t="n"/>
    </row>
    <row r="445">
      <c r="H445" s="78" t="n"/>
      <c r="N445" s="473" t="n"/>
      <c r="O445" s="474" t="n"/>
    </row>
    <row r="446">
      <c r="H446" s="78" t="n"/>
      <c r="N446" s="473" t="n"/>
      <c r="O446" s="474" t="n"/>
    </row>
    <row r="447">
      <c r="H447" s="78" t="n"/>
      <c r="N447" s="473" t="n"/>
      <c r="O447" s="474" t="n"/>
    </row>
    <row r="448">
      <c r="H448" s="78" t="n"/>
      <c r="N448" s="473" t="n"/>
      <c r="O448" s="474" t="n"/>
    </row>
    <row r="449">
      <c r="H449" s="78" t="n"/>
      <c r="N449" s="473" t="n"/>
      <c r="O449" s="474" t="n"/>
    </row>
    <row r="450">
      <c r="H450" s="78" t="n"/>
      <c r="N450" s="473" t="n"/>
      <c r="O450" s="474" t="n"/>
    </row>
    <row r="451">
      <c r="H451" s="78" t="n"/>
      <c r="N451" s="473" t="n"/>
      <c r="O451" s="474" t="n"/>
    </row>
    <row r="452">
      <c r="H452" s="78" t="n"/>
      <c r="N452" s="473" t="n"/>
      <c r="O452" s="474" t="n"/>
    </row>
    <row r="453">
      <c r="H453" s="78" t="n"/>
      <c r="N453" s="473" t="n"/>
      <c r="O453" s="474" t="n"/>
    </row>
    <row r="454">
      <c r="H454" s="78" t="n"/>
      <c r="N454" s="473" t="n"/>
      <c r="O454" s="474" t="n"/>
    </row>
    <row r="455">
      <c r="H455" s="78" t="n"/>
      <c r="N455" s="473" t="n"/>
      <c r="O455" s="474" t="n"/>
    </row>
    <row r="456">
      <c r="H456" s="78" t="n"/>
      <c r="N456" s="473" t="n"/>
      <c r="O456" s="474" t="n"/>
    </row>
    <row r="457">
      <c r="H457" s="78" t="n"/>
      <c r="N457" s="473" t="n"/>
      <c r="O457" s="474" t="n"/>
    </row>
    <row r="458">
      <c r="H458" s="78" t="n"/>
      <c r="N458" s="473" t="n"/>
      <c r="O458" s="474" t="n"/>
    </row>
    <row r="459">
      <c r="H459" s="78" t="n"/>
      <c r="N459" s="473" t="n"/>
      <c r="O459" s="474" t="n"/>
    </row>
    <row r="460">
      <c r="H460" s="78" t="n"/>
      <c r="N460" s="473" t="n"/>
      <c r="O460" s="474" t="n"/>
    </row>
    <row r="461">
      <c r="H461" s="78" t="n"/>
      <c r="N461" s="473" t="n"/>
      <c r="O461" s="474" t="n"/>
    </row>
    <row r="462">
      <c r="H462" s="78" t="n"/>
      <c r="N462" s="473" t="n"/>
      <c r="O462" s="474" t="n"/>
    </row>
    <row r="463">
      <c r="H463" s="78" t="n"/>
      <c r="N463" s="473" t="n"/>
      <c r="O463" s="474" t="n"/>
    </row>
    <row r="464">
      <c r="H464" s="78" t="n"/>
      <c r="N464" s="473" t="n"/>
      <c r="O464" s="474" t="n"/>
    </row>
    <row r="465">
      <c r="H465" s="78" t="n"/>
      <c r="N465" s="473" t="n"/>
      <c r="O465" s="474" t="n"/>
    </row>
    <row r="466">
      <c r="H466" s="78" t="n"/>
      <c r="N466" s="473" t="n"/>
      <c r="O466" s="474" t="n"/>
    </row>
    <row r="467">
      <c r="H467" s="78" t="n"/>
      <c r="N467" s="473" t="n"/>
      <c r="O467" s="474" t="n"/>
    </row>
    <row r="468">
      <c r="H468" s="78" t="n"/>
      <c r="N468" s="473" t="n"/>
      <c r="O468" s="474" t="n"/>
    </row>
    <row r="469">
      <c r="H469" s="78" t="n"/>
      <c r="N469" s="473" t="n"/>
      <c r="O469" s="474" t="n"/>
    </row>
    <row r="470">
      <c r="H470" s="78" t="n"/>
      <c r="N470" s="473" t="n"/>
      <c r="O470" s="474" t="n"/>
    </row>
    <row r="471">
      <c r="H471" s="78" t="n"/>
      <c r="N471" s="473" t="n"/>
      <c r="O471" s="474" t="n"/>
    </row>
    <row r="472">
      <c r="H472" s="78" t="n"/>
      <c r="N472" s="473" t="n"/>
      <c r="O472" s="474" t="n"/>
    </row>
    <row r="473">
      <c r="H473" s="78" t="n"/>
      <c r="N473" s="473" t="n"/>
      <c r="O473" s="474" t="n"/>
    </row>
    <row r="474">
      <c r="H474" s="78" t="n"/>
      <c r="N474" s="473" t="n"/>
      <c r="O474" s="474" t="n"/>
    </row>
    <row r="475">
      <c r="H475" s="78" t="n"/>
      <c r="N475" s="473" t="n"/>
      <c r="O475" s="474" t="n"/>
    </row>
    <row r="476">
      <c r="H476" s="78" t="n"/>
      <c r="N476" s="473" t="n"/>
      <c r="O476" s="474" t="n"/>
    </row>
    <row r="477">
      <c r="H477" s="78" t="n"/>
      <c r="N477" s="473" t="n"/>
      <c r="O477" s="474" t="n"/>
    </row>
    <row r="478">
      <c r="H478" s="78" t="n"/>
      <c r="N478" s="473" t="n"/>
      <c r="O478" s="474" t="n"/>
    </row>
    <row r="479">
      <c r="H479" s="78" t="n"/>
      <c r="N479" s="473" t="n"/>
      <c r="O479" s="474" t="n"/>
    </row>
    <row r="480">
      <c r="H480" s="78" t="n"/>
      <c r="N480" s="473" t="n"/>
      <c r="O480" s="474" t="n"/>
    </row>
    <row r="481">
      <c r="H481" s="78" t="n"/>
      <c r="N481" s="473" t="n"/>
      <c r="O481" s="474" t="n"/>
    </row>
    <row r="482">
      <c r="H482" s="78" t="n"/>
      <c r="N482" s="473" t="n"/>
      <c r="O482" s="474" t="n"/>
    </row>
    <row r="483">
      <c r="H483" s="78" t="n"/>
      <c r="N483" s="473" t="n"/>
      <c r="O483" s="474" t="n"/>
    </row>
    <row r="484">
      <c r="H484" s="78" t="n"/>
      <c r="N484" s="473" t="n"/>
      <c r="O484" s="474" t="n"/>
    </row>
    <row r="485">
      <c r="H485" s="78" t="n"/>
      <c r="N485" s="473" t="n"/>
      <c r="O485" s="474" t="n"/>
    </row>
    <row r="486">
      <c r="H486" s="78" t="n"/>
      <c r="N486" s="473" t="n"/>
      <c r="O486" s="474" t="n"/>
    </row>
    <row r="487">
      <c r="H487" s="78" t="n"/>
      <c r="N487" s="473" t="n"/>
      <c r="O487" s="474" t="n"/>
    </row>
    <row r="488">
      <c r="H488" s="78" t="n"/>
      <c r="N488" s="473" t="n"/>
      <c r="O488" s="474" t="n"/>
    </row>
    <row r="489">
      <c r="H489" s="78" t="n"/>
      <c r="N489" s="473" t="n"/>
      <c r="O489" s="474" t="n"/>
    </row>
    <row r="490">
      <c r="H490" s="78" t="n"/>
      <c r="N490" s="473" t="n"/>
      <c r="O490" s="474" t="n"/>
    </row>
    <row r="491">
      <c r="H491" s="78" t="n"/>
      <c r="N491" s="473" t="n"/>
      <c r="O491" s="474" t="n"/>
    </row>
    <row r="492">
      <c r="H492" s="78" t="n"/>
      <c r="N492" s="473" t="n"/>
      <c r="O492" s="474" t="n"/>
    </row>
    <row r="493">
      <c r="H493" s="78" t="n"/>
      <c r="N493" s="473" t="n"/>
      <c r="O493" s="474" t="n"/>
    </row>
    <row r="494">
      <c r="H494" s="78" t="n"/>
      <c r="N494" s="473" t="n"/>
      <c r="O494" s="474" t="n"/>
    </row>
    <row r="495">
      <c r="H495" s="78" t="n"/>
      <c r="N495" s="473" t="n"/>
      <c r="O495" s="474" t="n"/>
    </row>
    <row r="496">
      <c r="H496" s="78" t="n"/>
      <c r="N496" s="473" t="n"/>
      <c r="O496" s="474" t="n"/>
    </row>
    <row r="497">
      <c r="H497" s="78" t="n"/>
      <c r="N497" s="473" t="n"/>
      <c r="O497" s="474" t="n"/>
    </row>
    <row r="498">
      <c r="H498" s="78" t="n"/>
      <c r="N498" s="473" t="n"/>
      <c r="O498" s="474" t="n"/>
    </row>
    <row r="499">
      <c r="H499" s="78" t="n"/>
      <c r="N499" s="473" t="n"/>
      <c r="O499" s="474" t="n"/>
    </row>
    <row r="500">
      <c r="H500" s="78" t="n"/>
      <c r="N500" s="473" t="n"/>
      <c r="O500" s="474" t="n"/>
    </row>
    <row r="501">
      <c r="H501" s="78" t="n"/>
      <c r="N501" s="473" t="n"/>
      <c r="O501" s="474" t="n"/>
    </row>
    <row r="502">
      <c r="H502" s="78" t="n"/>
      <c r="N502" s="473" t="n"/>
      <c r="O502" s="474" t="n"/>
    </row>
    <row r="503">
      <c r="H503" s="78" t="n"/>
      <c r="N503" s="473" t="n"/>
      <c r="O503" s="474" t="n"/>
    </row>
    <row r="504">
      <c r="H504" s="78" t="n"/>
      <c r="N504" s="473" t="n"/>
      <c r="O504" s="474" t="n"/>
    </row>
    <row r="505">
      <c r="H505" s="78" t="n"/>
      <c r="N505" s="473" t="n"/>
      <c r="O505" s="474" t="n"/>
    </row>
    <row r="506">
      <c r="H506" s="78" t="n"/>
      <c r="N506" s="473" t="n"/>
      <c r="O506" s="474" t="n"/>
    </row>
    <row r="507">
      <c r="H507" s="78" t="n"/>
      <c r="N507" s="473" t="n"/>
      <c r="O507" s="474" t="n"/>
    </row>
    <row r="508">
      <c r="H508" s="78" t="n"/>
      <c r="N508" s="473" t="n"/>
      <c r="O508" s="474" t="n"/>
    </row>
    <row r="509">
      <c r="H509" s="78" t="n"/>
      <c r="N509" s="473" t="n"/>
      <c r="O509" s="474" t="n"/>
    </row>
    <row r="510">
      <c r="H510" s="78" t="n"/>
      <c r="N510" s="473" t="n"/>
      <c r="O510" s="474" t="n"/>
    </row>
    <row r="511">
      <c r="H511" s="78" t="n"/>
      <c r="N511" s="473" t="n"/>
      <c r="O511" s="474" t="n"/>
    </row>
    <row r="512">
      <c r="H512" s="78" t="n"/>
      <c r="N512" s="473" t="n"/>
      <c r="O512" s="474" t="n"/>
    </row>
    <row r="513">
      <c r="H513" s="78" t="n"/>
      <c r="N513" s="473" t="n"/>
      <c r="O513" s="474" t="n"/>
    </row>
    <row r="514">
      <c r="H514" s="78" t="n"/>
      <c r="N514" s="473" t="n"/>
      <c r="O514" s="474" t="n"/>
    </row>
    <row r="515">
      <c r="H515" s="78" t="n"/>
      <c r="N515" s="473" t="n"/>
      <c r="O515" s="474" t="n"/>
    </row>
    <row r="516">
      <c r="H516" s="78" t="n"/>
      <c r="N516" s="473" t="n"/>
      <c r="O516" s="474" t="n"/>
    </row>
    <row r="517">
      <c r="H517" s="78" t="n"/>
      <c r="N517" s="473" t="n"/>
      <c r="O517" s="474" t="n"/>
    </row>
    <row r="518">
      <c r="H518" s="78" t="n"/>
      <c r="N518" s="473" t="n"/>
      <c r="O518" s="474" t="n"/>
    </row>
    <row r="519">
      <c r="H519" s="78" t="n"/>
      <c r="N519" s="473" t="n"/>
      <c r="O519" s="474" t="n"/>
    </row>
    <row r="520">
      <c r="H520" s="78" t="n"/>
      <c r="N520" s="473" t="n"/>
      <c r="O520" s="474" t="n"/>
    </row>
    <row r="521">
      <c r="H521" s="78" t="n"/>
      <c r="N521" s="473" t="n"/>
      <c r="O521" s="474" t="n"/>
    </row>
    <row r="522">
      <c r="H522" s="78" t="n"/>
      <c r="N522" s="473" t="n"/>
      <c r="O522" s="474" t="n"/>
    </row>
    <row r="523">
      <c r="H523" s="78" t="n"/>
      <c r="N523" s="473" t="n"/>
      <c r="O523" s="474" t="n"/>
    </row>
    <row r="524">
      <c r="H524" s="78" t="n"/>
      <c r="N524" s="473" t="n"/>
      <c r="O524" s="474" t="n"/>
    </row>
    <row r="525">
      <c r="H525" s="78" t="n"/>
      <c r="N525" s="473" t="n"/>
      <c r="O525" s="474" t="n"/>
    </row>
    <row r="526">
      <c r="H526" s="78" t="n"/>
      <c r="N526" s="473" t="n"/>
      <c r="O526" s="474" t="n"/>
    </row>
    <row r="527">
      <c r="H527" s="78" t="n"/>
      <c r="N527" s="473" t="n"/>
      <c r="O527" s="474" t="n"/>
    </row>
    <row r="528">
      <c r="H528" s="78" t="n"/>
      <c r="N528" s="473" t="n"/>
      <c r="O528" s="474" t="n"/>
    </row>
    <row r="529">
      <c r="H529" s="78" t="n"/>
      <c r="N529" s="473" t="n"/>
      <c r="O529" s="474" t="n"/>
    </row>
    <row r="530">
      <c r="H530" s="78" t="n"/>
      <c r="N530" s="473" t="n"/>
      <c r="O530" s="474" t="n"/>
    </row>
    <row r="531">
      <c r="H531" s="78" t="n"/>
      <c r="N531" s="473" t="n"/>
      <c r="O531" s="474" t="n"/>
    </row>
    <row r="532">
      <c r="H532" s="78" t="n"/>
      <c r="N532" s="473" t="n"/>
      <c r="O532" s="474" t="n"/>
    </row>
    <row r="533">
      <c r="H533" s="78" t="n"/>
      <c r="N533" s="473" t="n"/>
      <c r="O533" s="474" t="n"/>
    </row>
    <row r="534">
      <c r="H534" s="78" t="n"/>
      <c r="N534" s="473" t="n"/>
      <c r="O534" s="474" t="n"/>
    </row>
    <row r="535">
      <c r="H535" s="78" t="n"/>
      <c r="N535" s="473" t="n"/>
      <c r="O535" s="474" t="n"/>
    </row>
    <row r="536">
      <c r="H536" s="78" t="n"/>
      <c r="N536" s="473" t="n"/>
      <c r="O536" s="474" t="n"/>
    </row>
    <row r="537">
      <c r="H537" s="78" t="n"/>
      <c r="N537" s="473" t="n"/>
      <c r="O537" s="474" t="n"/>
    </row>
    <row r="538">
      <c r="H538" s="78" t="n"/>
      <c r="N538" s="473" t="n"/>
      <c r="O538" s="474" t="n"/>
    </row>
    <row r="539">
      <c r="H539" s="78" t="n"/>
      <c r="N539" s="473" t="n"/>
      <c r="O539" s="474" t="n"/>
    </row>
    <row r="540">
      <c r="H540" s="78" t="n"/>
      <c r="N540" s="473" t="n"/>
      <c r="O540" s="474" t="n"/>
    </row>
    <row r="541">
      <c r="H541" s="78" t="n"/>
      <c r="N541" s="473" t="n"/>
      <c r="O541" s="474" t="n"/>
    </row>
    <row r="542">
      <c r="H542" s="78" t="n"/>
      <c r="N542" s="473" t="n"/>
      <c r="O542" s="474" t="n"/>
    </row>
    <row r="543">
      <c r="H543" s="78" t="n"/>
      <c r="N543" s="473" t="n"/>
      <c r="O543" s="474" t="n"/>
    </row>
    <row r="544">
      <c r="H544" s="78" t="n"/>
      <c r="N544" s="473" t="n"/>
      <c r="O544" s="474" t="n"/>
    </row>
    <row r="545">
      <c r="H545" s="78" t="n"/>
      <c r="N545" s="473" t="n"/>
      <c r="O545" s="474" t="n"/>
    </row>
    <row r="546">
      <c r="H546" s="78" t="n"/>
      <c r="N546" s="473" t="n"/>
      <c r="O546" s="474" t="n"/>
    </row>
    <row r="547">
      <c r="H547" s="78" t="n"/>
      <c r="N547" s="473" t="n"/>
      <c r="O547" s="474" t="n"/>
    </row>
    <row r="548">
      <c r="H548" s="78" t="n"/>
      <c r="N548" s="473" t="n"/>
      <c r="O548" s="474" t="n"/>
    </row>
    <row r="549">
      <c r="H549" s="78" t="n"/>
      <c r="N549" s="473" t="n"/>
      <c r="O549" s="474" t="n"/>
    </row>
    <row r="550">
      <c r="H550" s="78" t="n"/>
      <c r="N550" s="473" t="n"/>
      <c r="O550" s="474" t="n"/>
    </row>
    <row r="551">
      <c r="H551" s="78" t="n"/>
      <c r="N551" s="473" t="n"/>
      <c r="O551" s="474" t="n"/>
    </row>
    <row r="552">
      <c r="H552" s="78" t="n"/>
      <c r="N552" s="473" t="n"/>
      <c r="O552" s="474" t="n"/>
    </row>
    <row r="553">
      <c r="H553" s="78" t="n"/>
      <c r="N553" s="473" t="n"/>
      <c r="O553" s="474" t="n"/>
    </row>
    <row r="554">
      <c r="H554" s="78" t="n"/>
      <c r="N554" s="473" t="n"/>
      <c r="O554" s="474" t="n"/>
    </row>
    <row r="555">
      <c r="H555" s="78" t="n"/>
      <c r="N555" s="473" t="n"/>
      <c r="O555" s="474" t="n"/>
    </row>
    <row r="556">
      <c r="H556" s="78" t="n"/>
      <c r="N556" s="473" t="n"/>
      <c r="O556" s="474" t="n"/>
    </row>
    <row r="557">
      <c r="H557" s="78" t="n"/>
      <c r="N557" s="473" t="n"/>
      <c r="O557" s="474" t="n"/>
    </row>
    <row r="558">
      <c r="H558" s="78" t="n"/>
      <c r="N558" s="473" t="n"/>
      <c r="O558" s="474" t="n"/>
    </row>
    <row r="559">
      <c r="H559" s="78" t="n"/>
      <c r="N559" s="473" t="n"/>
      <c r="O559" s="474" t="n"/>
    </row>
    <row r="560">
      <c r="H560" s="78" t="n"/>
      <c r="N560" s="473" t="n"/>
      <c r="O560" s="474" t="n"/>
    </row>
    <row r="561">
      <c r="H561" s="78" t="n"/>
      <c r="N561" s="473" t="n"/>
      <c r="O561" s="474" t="n"/>
    </row>
    <row r="562">
      <c r="H562" s="78" t="n"/>
      <c r="N562" s="473" t="n"/>
      <c r="O562" s="474" t="n"/>
    </row>
    <row r="563">
      <c r="H563" s="78" t="n"/>
      <c r="N563" s="473" t="n"/>
      <c r="O563" s="474" t="n"/>
    </row>
    <row r="564">
      <c r="H564" s="78" t="n"/>
      <c r="N564" s="473" t="n"/>
      <c r="O564" s="474" t="n"/>
    </row>
    <row r="565">
      <c r="H565" s="78" t="n"/>
      <c r="N565" s="473" t="n"/>
      <c r="O565" s="474" t="n"/>
    </row>
    <row r="566">
      <c r="H566" s="78" t="n"/>
      <c r="N566" s="473" t="n"/>
      <c r="O566" s="474" t="n"/>
    </row>
    <row r="567">
      <c r="H567" s="78" t="n"/>
      <c r="N567" s="473" t="n"/>
      <c r="O567" s="474" t="n"/>
    </row>
    <row r="568">
      <c r="H568" s="78" t="n"/>
      <c r="N568" s="473" t="n"/>
      <c r="O568" s="474" t="n"/>
    </row>
    <row r="569">
      <c r="H569" s="78" t="n"/>
      <c r="N569" s="473" t="n"/>
      <c r="O569" s="474" t="n"/>
    </row>
    <row r="570">
      <c r="H570" s="78" t="n"/>
      <c r="N570" s="473" t="n"/>
      <c r="O570" s="474" t="n"/>
    </row>
    <row r="571">
      <c r="H571" s="78" t="n"/>
      <c r="N571" s="473" t="n"/>
      <c r="O571" s="474" t="n"/>
    </row>
    <row r="572">
      <c r="H572" s="78" t="n"/>
      <c r="N572" s="473" t="n"/>
      <c r="O572" s="474" t="n"/>
    </row>
    <row r="573">
      <c r="H573" s="78" t="n"/>
      <c r="N573" s="473" t="n"/>
      <c r="O573" s="474" t="n"/>
    </row>
    <row r="574">
      <c r="H574" s="78" t="n"/>
      <c r="N574" s="473" t="n"/>
      <c r="O574" s="474" t="n"/>
    </row>
    <row r="575">
      <c r="H575" s="78" t="n"/>
      <c r="N575" s="473" t="n"/>
      <c r="O575" s="474" t="n"/>
    </row>
    <row r="576">
      <c r="H576" s="78" t="n"/>
      <c r="N576" s="473" t="n"/>
      <c r="O576" s="474" t="n"/>
    </row>
    <row r="577">
      <c r="H577" s="78" t="n"/>
      <c r="N577" s="473" t="n"/>
      <c r="O577" s="474" t="n"/>
    </row>
    <row r="578">
      <c r="H578" s="78" t="n"/>
      <c r="N578" s="473" t="n"/>
      <c r="O578" s="474" t="n"/>
    </row>
    <row r="579">
      <c r="H579" s="78" t="n"/>
      <c r="N579" s="473" t="n"/>
      <c r="O579" s="474" t="n"/>
    </row>
    <row r="580">
      <c r="H580" s="78" t="n"/>
      <c r="N580" s="473" t="n"/>
      <c r="O580" s="474" t="n"/>
    </row>
    <row r="581">
      <c r="H581" s="78" t="n"/>
      <c r="N581" s="473" t="n"/>
      <c r="O581" s="474" t="n"/>
    </row>
    <row r="582">
      <c r="H582" s="78" t="n"/>
      <c r="N582" s="473" t="n"/>
      <c r="O582" s="474" t="n"/>
    </row>
    <row r="583">
      <c r="H583" s="78" t="n"/>
      <c r="N583" s="473" t="n"/>
      <c r="O583" s="474" t="n"/>
    </row>
    <row r="584">
      <c r="H584" s="78" t="n"/>
      <c r="N584" s="473" t="n"/>
      <c r="O584" s="474" t="n"/>
    </row>
    <row r="585">
      <c r="H585" s="78" t="n"/>
      <c r="N585" s="473" t="n"/>
      <c r="O585" s="474" t="n"/>
    </row>
    <row r="586">
      <c r="H586" s="78" t="n"/>
      <c r="N586" s="473" t="n"/>
      <c r="O586" s="474" t="n"/>
    </row>
    <row r="587">
      <c r="H587" s="78" t="n"/>
      <c r="N587" s="473" t="n"/>
      <c r="O587" s="474" t="n"/>
    </row>
    <row r="588">
      <c r="H588" s="78" t="n"/>
      <c r="N588" s="473" t="n"/>
      <c r="O588" s="474" t="n"/>
    </row>
    <row r="589">
      <c r="H589" s="78" t="n"/>
      <c r="N589" s="473" t="n"/>
      <c r="O589" s="474" t="n"/>
    </row>
    <row r="590">
      <c r="H590" s="78" t="n"/>
      <c r="N590" s="473" t="n"/>
      <c r="O590" s="474" t="n"/>
    </row>
    <row r="591">
      <c r="H591" s="78" t="n"/>
      <c r="N591" s="473" t="n"/>
      <c r="O591" s="474" t="n"/>
    </row>
    <row r="592">
      <c r="H592" s="78" t="n"/>
      <c r="N592" s="473" t="n"/>
      <c r="O592" s="474" t="n"/>
    </row>
    <row r="593">
      <c r="H593" s="78" t="n"/>
      <c r="N593" s="473" t="n"/>
      <c r="O593" s="474" t="n"/>
    </row>
    <row r="594">
      <c r="H594" s="78" t="n"/>
      <c r="N594" s="473" t="n"/>
      <c r="O594" s="474" t="n"/>
    </row>
    <row r="595">
      <c r="H595" s="78" t="n"/>
      <c r="N595" s="473" t="n"/>
      <c r="O595" s="474" t="n"/>
    </row>
    <row r="596">
      <c r="H596" s="78" t="n"/>
      <c r="N596" s="473" t="n"/>
      <c r="O596" s="474" t="n"/>
    </row>
    <row r="597">
      <c r="H597" s="78" t="n"/>
      <c r="N597" s="473" t="n"/>
      <c r="O597" s="474" t="n"/>
    </row>
    <row r="598">
      <c r="H598" s="78" t="n"/>
      <c r="N598" s="473" t="n"/>
      <c r="O598" s="474" t="n"/>
    </row>
    <row r="599">
      <c r="H599" s="78" t="n"/>
      <c r="N599" s="473" t="n"/>
      <c r="O599" s="474" t="n"/>
    </row>
    <row r="600">
      <c r="H600" s="78" t="n"/>
      <c r="N600" s="473" t="n"/>
      <c r="O600" s="474" t="n"/>
    </row>
    <row r="601">
      <c r="H601" s="78" t="n"/>
      <c r="N601" s="473" t="n"/>
      <c r="O601" s="474" t="n"/>
    </row>
    <row r="602">
      <c r="H602" s="78" t="n"/>
      <c r="N602" s="473" t="n"/>
      <c r="O602" s="474" t="n"/>
    </row>
    <row r="603">
      <c r="H603" s="78" t="n"/>
      <c r="N603" s="473" t="n"/>
      <c r="O603" s="474" t="n"/>
    </row>
    <row r="604">
      <c r="H604" s="78" t="n"/>
      <c r="N604" s="473" t="n"/>
      <c r="O604" s="474" t="n"/>
    </row>
    <row r="605">
      <c r="H605" s="78" t="n"/>
      <c r="N605" s="473" t="n"/>
      <c r="O605" s="474" t="n"/>
    </row>
    <row r="606">
      <c r="H606" s="78" t="n"/>
      <c r="N606" s="473" t="n"/>
      <c r="O606" s="474" t="n"/>
    </row>
    <row r="607">
      <c r="H607" s="78" t="n"/>
      <c r="N607" s="473" t="n"/>
      <c r="O607" s="474" t="n"/>
    </row>
    <row r="608">
      <c r="H608" s="78" t="n"/>
      <c r="N608" s="473" t="n"/>
      <c r="O608" s="474" t="n"/>
    </row>
    <row r="609">
      <c r="H609" s="78" t="n"/>
      <c r="N609" s="473" t="n"/>
      <c r="O609" s="474" t="n"/>
    </row>
    <row r="610">
      <c r="H610" s="78" t="n"/>
      <c r="N610" s="473" t="n"/>
      <c r="O610" s="474" t="n"/>
    </row>
    <row r="611">
      <c r="H611" s="78" t="n"/>
      <c r="N611" s="473" t="n"/>
      <c r="O611" s="474" t="n"/>
    </row>
    <row r="612">
      <c r="H612" s="78" t="n"/>
      <c r="N612" s="473" t="n"/>
      <c r="O612" s="474" t="n"/>
    </row>
    <row r="613">
      <c r="H613" s="78" t="n"/>
      <c r="N613" s="473" t="n"/>
      <c r="O613" s="474" t="n"/>
    </row>
    <row r="614">
      <c r="H614" s="78" t="n"/>
      <c r="N614" s="473" t="n"/>
      <c r="O614" s="474" t="n"/>
    </row>
    <row r="615">
      <c r="H615" s="78" t="n"/>
      <c r="N615" s="473" t="n"/>
      <c r="O615" s="474" t="n"/>
    </row>
    <row r="616">
      <c r="H616" s="78" t="n"/>
      <c r="N616" s="473" t="n"/>
      <c r="O616" s="474" t="n"/>
    </row>
    <row r="617">
      <c r="H617" s="78" t="n"/>
      <c r="N617" s="473" t="n"/>
      <c r="O617" s="474" t="n"/>
    </row>
    <row r="618">
      <c r="H618" s="78" t="n"/>
      <c r="N618" s="473" t="n"/>
      <c r="O618" s="474" t="n"/>
    </row>
    <row r="619">
      <c r="H619" s="78" t="n"/>
      <c r="N619" s="473" t="n"/>
      <c r="O619" s="474" t="n"/>
    </row>
    <row r="620">
      <c r="H620" s="78" t="n"/>
      <c r="N620" s="473" t="n"/>
      <c r="O620" s="474" t="n"/>
    </row>
    <row r="621">
      <c r="H621" s="78" t="n"/>
      <c r="N621" s="473" t="n"/>
      <c r="O621" s="474" t="n"/>
    </row>
    <row r="622">
      <c r="H622" s="78" t="n"/>
      <c r="N622" s="473" t="n"/>
      <c r="O622" s="474" t="n"/>
    </row>
    <row r="623">
      <c r="H623" s="78" t="n"/>
      <c r="N623" s="473" t="n"/>
      <c r="O623" s="474" t="n"/>
    </row>
    <row r="624">
      <c r="H624" s="78" t="n"/>
      <c r="N624" s="473" t="n"/>
      <c r="O624" s="474" t="n"/>
    </row>
    <row r="625">
      <c r="H625" s="78" t="n"/>
      <c r="N625" s="473" t="n"/>
      <c r="O625" s="474" t="n"/>
    </row>
    <row r="626">
      <c r="H626" s="78" t="n"/>
      <c r="N626" s="473" t="n"/>
      <c r="O626" s="474" t="n"/>
    </row>
    <row r="627">
      <c r="H627" s="78" t="n"/>
      <c r="N627" s="473" t="n"/>
      <c r="O627" s="474" t="n"/>
    </row>
    <row r="628">
      <c r="H628" s="78" t="n"/>
      <c r="N628" s="473" t="n"/>
      <c r="O628" s="474" t="n"/>
    </row>
    <row r="629">
      <c r="H629" s="78" t="n"/>
      <c r="N629" s="473" t="n"/>
      <c r="O629" s="474" t="n"/>
    </row>
    <row r="630">
      <c r="H630" s="78" t="n"/>
      <c r="N630" s="473" t="n"/>
      <c r="O630" s="474" t="n"/>
    </row>
    <row r="631">
      <c r="H631" s="78" t="n"/>
      <c r="N631" s="473" t="n"/>
      <c r="O631" s="474" t="n"/>
    </row>
    <row r="632">
      <c r="H632" s="78" t="n"/>
      <c r="N632" s="473" t="n"/>
      <c r="O632" s="474" t="n"/>
    </row>
    <row r="633">
      <c r="H633" s="78" t="n"/>
      <c r="N633" s="473" t="n"/>
      <c r="O633" s="474" t="n"/>
    </row>
    <row r="634">
      <c r="H634" s="78" t="n"/>
      <c r="N634" s="473" t="n"/>
      <c r="O634" s="474" t="n"/>
    </row>
    <row r="635">
      <c r="H635" s="78" t="n"/>
      <c r="N635" s="473" t="n"/>
      <c r="O635" s="474" t="n"/>
    </row>
    <row r="636">
      <c r="H636" s="78" t="n"/>
      <c r="N636" s="473" t="n"/>
      <c r="O636" s="474" t="n"/>
    </row>
    <row r="637">
      <c r="H637" s="78" t="n"/>
      <c r="N637" s="473" t="n"/>
      <c r="O637" s="474" t="n"/>
    </row>
    <row r="638">
      <c r="H638" s="78" t="n"/>
      <c r="N638" s="473" t="n"/>
      <c r="O638" s="474" t="n"/>
    </row>
    <row r="639">
      <c r="H639" s="78" t="n"/>
      <c r="N639" s="473" t="n"/>
      <c r="O639" s="474" t="n"/>
    </row>
    <row r="640">
      <c r="H640" s="78" t="n"/>
      <c r="N640" s="473" t="n"/>
      <c r="O640" s="474" t="n"/>
    </row>
    <row r="641">
      <c r="H641" s="78" t="n"/>
      <c r="N641" s="473" t="n"/>
      <c r="O641" s="474" t="n"/>
    </row>
    <row r="642">
      <c r="H642" s="78" t="n"/>
      <c r="N642" s="473" t="n"/>
      <c r="O642" s="474" t="n"/>
    </row>
    <row r="643">
      <c r="H643" s="78" t="n"/>
      <c r="N643" s="473" t="n"/>
      <c r="O643" s="474" t="n"/>
    </row>
    <row r="644">
      <c r="H644" s="78" t="n"/>
      <c r="N644" s="473" t="n"/>
      <c r="O644" s="474" t="n"/>
    </row>
    <row r="645">
      <c r="H645" s="78" t="n"/>
      <c r="N645" s="473" t="n"/>
      <c r="O645" s="474" t="n"/>
    </row>
    <row r="646">
      <c r="H646" s="78" t="n"/>
      <c r="N646" s="473" t="n"/>
      <c r="O646" s="474" t="n"/>
    </row>
    <row r="647">
      <c r="H647" s="78" t="n"/>
      <c r="N647" s="473" t="n"/>
      <c r="O647" s="474" t="n"/>
    </row>
    <row r="648">
      <c r="H648" s="78" t="n"/>
      <c r="N648" s="473" t="n"/>
      <c r="O648" s="474" t="n"/>
    </row>
    <row r="649">
      <c r="H649" s="78" t="n"/>
      <c r="N649" s="473" t="n"/>
      <c r="O649" s="474" t="n"/>
    </row>
    <row r="650">
      <c r="H650" s="78" t="n"/>
      <c r="N650" s="473" t="n"/>
      <c r="O650" s="474" t="n"/>
    </row>
    <row r="651">
      <c r="H651" s="78" t="n"/>
      <c r="N651" s="473" t="n"/>
      <c r="O651" s="474" t="n"/>
    </row>
    <row r="652">
      <c r="H652" s="78" t="n"/>
      <c r="N652" s="473" t="n"/>
      <c r="O652" s="474" t="n"/>
    </row>
    <row r="653">
      <c r="H653" s="78" t="n"/>
      <c r="N653" s="473" t="n"/>
      <c r="O653" s="474" t="n"/>
    </row>
    <row r="654">
      <c r="H654" s="78" t="n"/>
      <c r="N654" s="473" t="n"/>
      <c r="O654" s="474" t="n"/>
    </row>
    <row r="655">
      <c r="H655" s="78" t="n"/>
      <c r="N655" s="473" t="n"/>
      <c r="O655" s="474" t="n"/>
    </row>
    <row r="656">
      <c r="H656" s="78" t="n"/>
      <c r="N656" s="473" t="n"/>
      <c r="O656" s="474" t="n"/>
    </row>
    <row r="657">
      <c r="H657" s="78" t="n"/>
      <c r="N657" s="473" t="n"/>
      <c r="O657" s="474" t="n"/>
    </row>
    <row r="658">
      <c r="H658" s="78" t="n"/>
      <c r="N658" s="473" t="n"/>
      <c r="O658" s="474" t="n"/>
    </row>
    <row r="659">
      <c r="H659" s="78" t="n"/>
      <c r="N659" s="473" t="n"/>
      <c r="O659" s="474" t="n"/>
    </row>
    <row r="660">
      <c r="H660" s="78" t="n"/>
      <c r="N660" s="473" t="n"/>
      <c r="O660" s="474" t="n"/>
    </row>
    <row r="661">
      <c r="H661" s="78" t="n"/>
      <c r="N661" s="473" t="n"/>
      <c r="O661" s="474" t="n"/>
    </row>
    <row r="662">
      <c r="H662" s="78" t="n"/>
      <c r="N662" s="473" t="n"/>
      <c r="O662" s="474" t="n"/>
    </row>
    <row r="663">
      <c r="H663" s="78" t="n"/>
      <c r="N663" s="473" t="n"/>
      <c r="O663" s="474" t="n"/>
    </row>
    <row r="664">
      <c r="H664" s="78" t="n"/>
      <c r="N664" s="473" t="n"/>
      <c r="O664" s="474" t="n"/>
    </row>
    <row r="665">
      <c r="H665" s="78" t="n"/>
      <c r="N665" s="473" t="n"/>
      <c r="O665" s="474" t="n"/>
    </row>
    <row r="666">
      <c r="H666" s="78" t="n"/>
      <c r="N666" s="473" t="n"/>
      <c r="O666" s="474" t="n"/>
    </row>
    <row r="667">
      <c r="H667" s="78" t="n"/>
      <c r="N667" s="473" t="n"/>
      <c r="O667" s="474" t="n"/>
    </row>
    <row r="668">
      <c r="H668" s="78" t="n"/>
      <c r="N668" s="473" t="n"/>
      <c r="O668" s="474" t="n"/>
    </row>
    <row r="669">
      <c r="H669" s="78" t="n"/>
      <c r="N669" s="473" t="n"/>
      <c r="O669" s="474" t="n"/>
    </row>
    <row r="670">
      <c r="H670" s="78" t="n"/>
      <c r="N670" s="473" t="n"/>
      <c r="O670" s="474" t="n"/>
    </row>
    <row r="671">
      <c r="H671" s="78" t="n"/>
      <c r="N671" s="473" t="n"/>
      <c r="O671" s="474" t="n"/>
    </row>
    <row r="672">
      <c r="H672" s="78" t="n"/>
      <c r="N672" s="473" t="n"/>
      <c r="O672" s="474" t="n"/>
    </row>
    <row r="673">
      <c r="H673" s="78" t="n"/>
      <c r="N673" s="473" t="n"/>
      <c r="O673" s="474" t="n"/>
    </row>
    <row r="674">
      <c r="H674" s="78" t="n"/>
      <c r="N674" s="473" t="n"/>
      <c r="O674" s="474" t="n"/>
    </row>
    <row r="675">
      <c r="H675" s="78" t="n"/>
      <c r="N675" s="473" t="n"/>
      <c r="O675" s="474" t="n"/>
    </row>
    <row r="676">
      <c r="H676" s="78" t="n"/>
      <c r="N676" s="473" t="n"/>
      <c r="O676" s="474" t="n"/>
    </row>
    <row r="677">
      <c r="H677" s="78" t="n"/>
      <c r="N677" s="473" t="n"/>
      <c r="O677" s="474" t="n"/>
    </row>
    <row r="678">
      <c r="H678" s="78" t="n"/>
      <c r="N678" s="473" t="n"/>
      <c r="O678" s="474" t="n"/>
    </row>
    <row r="679">
      <c r="H679" s="78" t="n"/>
      <c r="N679" s="473" t="n"/>
      <c r="O679" s="474" t="n"/>
    </row>
    <row r="680">
      <c r="H680" s="78" t="n"/>
      <c r="N680" s="473" t="n"/>
      <c r="O680" s="474" t="n"/>
    </row>
    <row r="681">
      <c r="H681" s="78" t="n"/>
      <c r="N681" s="473" t="n"/>
      <c r="O681" s="474" t="n"/>
    </row>
    <row r="682">
      <c r="H682" s="78" t="n"/>
      <c r="N682" s="473" t="n"/>
      <c r="O682" s="474" t="n"/>
    </row>
    <row r="683">
      <c r="H683" s="78" t="n"/>
      <c r="N683" s="473" t="n"/>
      <c r="O683" s="474" t="n"/>
    </row>
    <row r="684">
      <c r="H684" s="78" t="n"/>
      <c r="N684" s="473" t="n"/>
      <c r="O684" s="474" t="n"/>
    </row>
    <row r="685">
      <c r="H685" s="78" t="n"/>
      <c r="N685" s="473" t="n"/>
      <c r="O685" s="474" t="n"/>
    </row>
    <row r="686">
      <c r="H686" s="78" t="n"/>
      <c r="N686" s="473" t="n"/>
      <c r="O686" s="474" t="n"/>
    </row>
    <row r="687">
      <c r="H687" s="78" t="n"/>
      <c r="N687" s="473" t="n"/>
      <c r="O687" s="474" t="n"/>
    </row>
    <row r="688">
      <c r="H688" s="78" t="n"/>
      <c r="N688" s="473" t="n"/>
      <c r="O688" s="474" t="n"/>
    </row>
    <row r="689">
      <c r="H689" s="78" t="n"/>
      <c r="N689" s="473" t="n"/>
      <c r="O689" s="474" t="n"/>
    </row>
    <row r="690">
      <c r="H690" s="78" t="n"/>
      <c r="N690" s="473" t="n"/>
      <c r="O690" s="474" t="n"/>
    </row>
    <row r="691">
      <c r="H691" s="78" t="n"/>
      <c r="N691" s="473" t="n"/>
      <c r="O691" s="474" t="n"/>
    </row>
    <row r="692">
      <c r="H692" s="78" t="n"/>
      <c r="N692" s="473" t="n"/>
      <c r="O692" s="474" t="n"/>
    </row>
    <row r="693">
      <c r="H693" s="78" t="n"/>
      <c r="N693" s="473" t="n"/>
      <c r="O693" s="474" t="n"/>
    </row>
    <row r="694">
      <c r="H694" s="78" t="n"/>
      <c r="N694" s="473" t="n"/>
      <c r="O694" s="474" t="n"/>
    </row>
    <row r="695">
      <c r="H695" s="78" t="n"/>
      <c r="N695" s="473" t="n"/>
      <c r="O695" s="474" t="n"/>
    </row>
    <row r="696">
      <c r="H696" s="78" t="n"/>
      <c r="N696" s="473" t="n"/>
      <c r="O696" s="474" t="n"/>
    </row>
    <row r="697">
      <c r="H697" s="78" t="n"/>
      <c r="N697" s="473" t="n"/>
      <c r="O697" s="474" t="n"/>
    </row>
    <row r="698">
      <c r="H698" s="78" t="n"/>
      <c r="N698" s="473" t="n"/>
      <c r="O698" s="474" t="n"/>
    </row>
    <row r="699">
      <c r="H699" s="78" t="n"/>
      <c r="N699" s="473" t="n"/>
      <c r="O699" s="474" t="n"/>
    </row>
    <row r="700">
      <c r="H700" s="78" t="n"/>
      <c r="N700" s="473" t="n"/>
      <c r="O700" s="474" t="n"/>
    </row>
    <row r="701">
      <c r="H701" s="78" t="n"/>
      <c r="N701" s="473" t="n"/>
      <c r="O701" s="474" t="n"/>
    </row>
    <row r="702">
      <c r="H702" s="78" t="n"/>
      <c r="N702" s="473" t="n"/>
      <c r="O702" s="474" t="n"/>
    </row>
    <row r="703">
      <c r="H703" s="78" t="n"/>
      <c r="N703" s="473" t="n"/>
      <c r="O703" s="474" t="n"/>
    </row>
    <row r="704">
      <c r="H704" s="78" t="n"/>
      <c r="N704" s="473" t="n"/>
      <c r="O704" s="474" t="n"/>
    </row>
    <row r="705">
      <c r="H705" s="78" t="n"/>
      <c r="N705" s="473" t="n"/>
      <c r="O705" s="474" t="n"/>
    </row>
    <row r="706">
      <c r="H706" s="78" t="n"/>
      <c r="N706" s="473" t="n"/>
      <c r="O706" s="474" t="n"/>
    </row>
    <row r="707">
      <c r="H707" s="78" t="n"/>
      <c r="N707" s="473" t="n"/>
      <c r="O707" s="474" t="n"/>
    </row>
    <row r="708">
      <c r="H708" s="78" t="n"/>
      <c r="N708" s="473" t="n"/>
      <c r="O708" s="474" t="n"/>
    </row>
    <row r="709">
      <c r="H709" s="78" t="n"/>
      <c r="N709" s="473" t="n"/>
      <c r="O709" s="474" t="n"/>
    </row>
    <row r="710">
      <c r="H710" s="78" t="n"/>
      <c r="N710" s="473" t="n"/>
      <c r="O710" s="474" t="n"/>
    </row>
    <row r="711">
      <c r="H711" s="78" t="n"/>
      <c r="N711" s="473" t="n"/>
      <c r="O711" s="474" t="n"/>
    </row>
    <row r="712">
      <c r="H712" s="78" t="n"/>
      <c r="N712" s="473" t="n"/>
      <c r="O712" s="474" t="n"/>
    </row>
    <row r="713">
      <c r="H713" s="78" t="n"/>
      <c r="N713" s="473" t="n"/>
      <c r="O713" s="474" t="n"/>
    </row>
    <row r="714">
      <c r="H714" s="78" t="n"/>
      <c r="N714" s="473" t="n"/>
      <c r="O714" s="474" t="n"/>
    </row>
    <row r="715">
      <c r="H715" s="78" t="n"/>
      <c r="N715" s="473" t="n"/>
      <c r="O715" s="474" t="n"/>
    </row>
    <row r="716">
      <c r="H716" s="78" t="n"/>
      <c r="N716" s="473" t="n"/>
      <c r="O716" s="474" t="n"/>
    </row>
    <row r="717">
      <c r="H717" s="78" t="n"/>
      <c r="N717" s="473" t="n"/>
      <c r="O717" s="474" t="n"/>
    </row>
    <row r="718">
      <c r="H718" s="78" t="n"/>
      <c r="N718" s="473" t="n"/>
      <c r="O718" s="474" t="n"/>
    </row>
    <row r="719">
      <c r="H719" s="78" t="n"/>
      <c r="N719" s="473" t="n"/>
      <c r="O719" s="474" t="n"/>
    </row>
    <row r="720">
      <c r="H720" s="78" t="n"/>
      <c r="N720" s="473" t="n"/>
      <c r="O720" s="474" t="n"/>
    </row>
    <row r="721">
      <c r="H721" s="78" t="n"/>
      <c r="N721" s="473" t="n"/>
      <c r="O721" s="474" t="n"/>
    </row>
    <row r="722">
      <c r="H722" s="78" t="n"/>
      <c r="N722" s="473" t="n"/>
      <c r="O722" s="474" t="n"/>
    </row>
    <row r="723">
      <c r="H723" s="78" t="n"/>
      <c r="N723" s="473" t="n"/>
      <c r="O723" s="474" t="n"/>
    </row>
    <row r="724">
      <c r="H724" s="78" t="n"/>
      <c r="N724" s="473" t="n"/>
      <c r="O724" s="474" t="n"/>
    </row>
    <row r="725">
      <c r="H725" s="78" t="n"/>
      <c r="N725" s="473" t="n"/>
      <c r="O725" s="474" t="n"/>
    </row>
    <row r="726">
      <c r="H726" s="78" t="n"/>
      <c r="N726" s="473" t="n"/>
      <c r="O726" s="474" t="n"/>
    </row>
    <row r="727">
      <c r="H727" s="78" t="n"/>
      <c r="N727" s="473" t="n"/>
      <c r="O727" s="474" t="n"/>
    </row>
    <row r="728">
      <c r="H728" s="78" t="n"/>
      <c r="N728" s="473" t="n"/>
      <c r="O728" s="474" t="n"/>
    </row>
    <row r="729">
      <c r="H729" s="78" t="n"/>
      <c r="N729" s="473" t="n"/>
      <c r="O729" s="474" t="n"/>
    </row>
    <row r="730">
      <c r="H730" s="78" t="n"/>
      <c r="N730" s="473" t="n"/>
      <c r="O730" s="474" t="n"/>
    </row>
    <row r="731">
      <c r="H731" s="78" t="n"/>
      <c r="N731" s="473" t="n"/>
      <c r="O731" s="474" t="n"/>
    </row>
    <row r="732">
      <c r="H732" s="78" t="n"/>
      <c r="N732" s="473" t="n"/>
      <c r="O732" s="474" t="n"/>
    </row>
    <row r="733">
      <c r="H733" s="78" t="n"/>
      <c r="N733" s="473" t="n"/>
      <c r="O733" s="474" t="n"/>
    </row>
    <row r="734">
      <c r="H734" s="78" t="n"/>
      <c r="N734" s="473" t="n"/>
      <c r="O734" s="474" t="n"/>
    </row>
    <row r="735">
      <c r="H735" s="78" t="n"/>
      <c r="N735" s="473" t="n"/>
      <c r="O735" s="474" t="n"/>
    </row>
    <row r="736">
      <c r="H736" s="78" t="n"/>
      <c r="N736" s="473" t="n"/>
      <c r="O736" s="474" t="n"/>
    </row>
    <row r="737">
      <c r="H737" s="78" t="n"/>
      <c r="N737" s="473" t="n"/>
      <c r="O737" s="474" t="n"/>
    </row>
    <row r="738">
      <c r="H738" s="78" t="n"/>
      <c r="N738" s="473" t="n"/>
      <c r="O738" s="474" t="n"/>
    </row>
    <row r="739">
      <c r="H739" s="78" t="n"/>
      <c r="N739" s="473" t="n"/>
      <c r="O739" s="474" t="n"/>
    </row>
    <row r="740">
      <c r="H740" s="78" t="n"/>
      <c r="N740" s="473" t="n"/>
      <c r="O740" s="474" t="n"/>
    </row>
    <row r="741">
      <c r="H741" s="78" t="n"/>
      <c r="N741" s="473" t="n"/>
      <c r="O741" s="474" t="n"/>
    </row>
    <row r="742">
      <c r="H742" s="78" t="n"/>
      <c r="N742" s="473" t="n"/>
      <c r="O742" s="474" t="n"/>
    </row>
    <row r="743">
      <c r="H743" s="78" t="n"/>
      <c r="N743" s="473" t="n"/>
      <c r="O743" s="474" t="n"/>
    </row>
    <row r="744">
      <c r="H744" s="78" t="n"/>
      <c r="N744" s="473" t="n"/>
      <c r="O744" s="474" t="n"/>
    </row>
    <row r="745">
      <c r="H745" s="78" t="n"/>
      <c r="N745" s="473" t="n"/>
      <c r="O745" s="474" t="n"/>
    </row>
    <row r="746">
      <c r="H746" s="78" t="n"/>
      <c r="N746" s="473" t="n"/>
      <c r="O746" s="474" t="n"/>
    </row>
    <row r="747">
      <c r="H747" s="78" t="n"/>
      <c r="N747" s="473" t="n"/>
      <c r="O747" s="474" t="n"/>
    </row>
    <row r="748">
      <c r="H748" s="78" t="n"/>
      <c r="N748" s="473" t="n"/>
      <c r="O748" s="474" t="n"/>
    </row>
    <row r="749">
      <c r="H749" s="78" t="n"/>
      <c r="N749" s="473" t="n"/>
      <c r="O749" s="474" t="n"/>
    </row>
    <row r="750">
      <c r="H750" s="78" t="n"/>
      <c r="N750" s="473" t="n"/>
      <c r="O750" s="474" t="n"/>
    </row>
    <row r="751">
      <c r="H751" s="78" t="n"/>
      <c r="N751" s="473" t="n"/>
      <c r="O751" s="474" t="n"/>
    </row>
    <row r="752">
      <c r="H752" s="78" t="n"/>
      <c r="N752" s="473" t="n"/>
      <c r="O752" s="474" t="n"/>
    </row>
    <row r="753">
      <c r="H753" s="78" t="n"/>
      <c r="N753" s="473" t="n"/>
      <c r="O753" s="474" t="n"/>
    </row>
    <row r="754">
      <c r="H754" s="78" t="n"/>
      <c r="N754" s="473" t="n"/>
      <c r="O754" s="474" t="n"/>
    </row>
    <row r="755">
      <c r="H755" s="78" t="n"/>
      <c r="N755" s="473" t="n"/>
      <c r="O755" s="474" t="n"/>
    </row>
    <row r="756">
      <c r="H756" s="78" t="n"/>
      <c r="N756" s="473" t="n"/>
      <c r="O756" s="474" t="n"/>
    </row>
    <row r="757">
      <c r="H757" s="78" t="n"/>
      <c r="N757" s="473" t="n"/>
      <c r="O757" s="474" t="n"/>
    </row>
    <row r="758">
      <c r="H758" s="78" t="n"/>
      <c r="N758" s="473" t="n"/>
      <c r="O758" s="474" t="n"/>
    </row>
    <row r="759">
      <c r="H759" s="78" t="n"/>
      <c r="N759" s="473" t="n"/>
      <c r="O759" s="474" t="n"/>
    </row>
    <row r="760">
      <c r="H760" s="78" t="n"/>
      <c r="N760" s="473" t="n"/>
      <c r="O760" s="474" t="n"/>
    </row>
    <row r="761">
      <c r="H761" s="78" t="n"/>
      <c r="N761" s="473" t="n"/>
      <c r="O761" s="474" t="n"/>
    </row>
    <row r="762">
      <c r="H762" s="78" t="n"/>
      <c r="N762" s="473" t="n"/>
      <c r="O762" s="474" t="n"/>
    </row>
    <row r="763">
      <c r="H763" s="78" t="n"/>
      <c r="N763" s="473" t="n"/>
      <c r="O763" s="474" t="n"/>
    </row>
    <row r="764">
      <c r="H764" s="78" t="n"/>
      <c r="N764" s="473" t="n"/>
      <c r="O764" s="474" t="n"/>
    </row>
    <row r="765">
      <c r="H765" s="78" t="n"/>
      <c r="N765" s="473" t="n"/>
      <c r="O765" s="474" t="n"/>
    </row>
    <row r="766">
      <c r="H766" s="78" t="n"/>
      <c r="N766" s="473" t="n"/>
      <c r="O766" s="474" t="n"/>
    </row>
    <row r="767">
      <c r="H767" s="78" t="n"/>
      <c r="N767" s="473" t="n"/>
      <c r="O767" s="474" t="n"/>
    </row>
    <row r="768">
      <c r="H768" s="78" t="n"/>
      <c r="N768" s="473" t="n"/>
      <c r="O768" s="474" t="n"/>
    </row>
    <row r="769">
      <c r="H769" s="78" t="n"/>
      <c r="N769" s="473" t="n"/>
      <c r="O769" s="474" t="n"/>
    </row>
    <row r="770">
      <c r="H770" s="78" t="n"/>
      <c r="N770" s="473" t="n"/>
      <c r="O770" s="474" t="n"/>
    </row>
    <row r="771">
      <c r="H771" s="78" t="n"/>
      <c r="N771" s="473" t="n"/>
      <c r="O771" s="474" t="n"/>
    </row>
    <row r="772">
      <c r="H772" s="78" t="n"/>
      <c r="N772" s="473" t="n"/>
      <c r="O772" s="474" t="n"/>
    </row>
    <row r="773">
      <c r="H773" s="78" t="n"/>
      <c r="N773" s="473" t="n"/>
      <c r="O773" s="474" t="n"/>
    </row>
    <row r="774">
      <c r="H774" s="78" t="n"/>
      <c r="N774" s="473" t="n"/>
      <c r="O774" s="474" t="n"/>
    </row>
    <row r="775">
      <c r="H775" s="78" t="n"/>
      <c r="N775" s="473" t="n"/>
      <c r="O775" s="474" t="n"/>
    </row>
    <row r="776">
      <c r="H776" s="78" t="n"/>
      <c r="N776" s="473" t="n"/>
      <c r="O776" s="474" t="n"/>
    </row>
    <row r="777">
      <c r="H777" s="78" t="n"/>
      <c r="N777" s="473" t="n"/>
      <c r="O777" s="474" t="n"/>
    </row>
    <row r="778">
      <c r="H778" s="78" t="n"/>
      <c r="N778" s="473" t="n"/>
      <c r="O778" s="474" t="n"/>
    </row>
    <row r="779">
      <c r="H779" s="78" t="n"/>
      <c r="N779" s="473" t="n"/>
      <c r="O779" s="474" t="n"/>
    </row>
    <row r="780">
      <c r="H780" s="78" t="n"/>
      <c r="N780" s="473" t="n"/>
      <c r="O780" s="474" t="n"/>
    </row>
    <row r="781">
      <c r="H781" s="78" t="n"/>
      <c r="N781" s="473" t="n"/>
      <c r="O781" s="474" t="n"/>
    </row>
    <row r="782">
      <c r="H782" s="78" t="n"/>
      <c r="N782" s="473" t="n"/>
      <c r="O782" s="474" t="n"/>
    </row>
    <row r="783">
      <c r="H783" s="78" t="n"/>
      <c r="N783" s="473" t="n"/>
      <c r="O783" s="474" t="n"/>
    </row>
    <row r="784">
      <c r="H784" s="78" t="n"/>
      <c r="N784" s="473" t="n"/>
      <c r="O784" s="474" t="n"/>
    </row>
    <row r="785">
      <c r="H785" s="78" t="n"/>
      <c r="N785" s="473" t="n"/>
      <c r="O785" s="474" t="n"/>
    </row>
    <row r="786">
      <c r="H786" s="78" t="n"/>
      <c r="N786" s="473" t="n"/>
      <c r="O786" s="474" t="n"/>
    </row>
    <row r="787">
      <c r="H787" s="78" t="n"/>
      <c r="N787" s="473" t="n"/>
      <c r="O787" s="474" t="n"/>
    </row>
    <row r="788">
      <c r="H788" s="78" t="n"/>
      <c r="N788" s="473" t="n"/>
      <c r="O788" s="474" t="n"/>
    </row>
    <row r="789">
      <c r="H789" s="78" t="n"/>
      <c r="N789" s="473" t="n"/>
      <c r="O789" s="474" t="n"/>
    </row>
    <row r="790">
      <c r="H790" s="78" t="n"/>
      <c r="N790" s="473" t="n"/>
      <c r="O790" s="474" t="n"/>
    </row>
    <row r="791">
      <c r="H791" s="78" t="n"/>
      <c r="N791" s="473" t="n"/>
      <c r="O791" s="474" t="n"/>
    </row>
    <row r="792">
      <c r="H792" s="78" t="n"/>
      <c r="N792" s="473" t="n"/>
      <c r="O792" s="474" t="n"/>
    </row>
    <row r="793">
      <c r="H793" s="78" t="n"/>
      <c r="N793" s="473" t="n"/>
      <c r="O793" s="474" t="n"/>
    </row>
    <row r="794">
      <c r="H794" s="78" t="n"/>
      <c r="N794" s="473" t="n"/>
      <c r="O794" s="474" t="n"/>
    </row>
    <row r="795">
      <c r="H795" s="78" t="n"/>
      <c r="N795" s="473" t="n"/>
      <c r="O795" s="474" t="n"/>
    </row>
    <row r="796">
      <c r="H796" s="78" t="n"/>
      <c r="N796" s="473" t="n"/>
      <c r="O796" s="474" t="n"/>
    </row>
    <row r="797">
      <c r="H797" s="78" t="n"/>
      <c r="N797" s="473" t="n"/>
      <c r="O797" s="474" t="n"/>
    </row>
    <row r="798">
      <c r="H798" s="78" t="n"/>
      <c r="N798" s="473" t="n"/>
      <c r="O798" s="474" t="n"/>
    </row>
    <row r="799">
      <c r="H799" s="78" t="n"/>
      <c r="N799" s="473" t="n"/>
      <c r="O799" s="474" t="n"/>
    </row>
    <row r="800">
      <c r="H800" s="78" t="n"/>
      <c r="N800" s="473" t="n"/>
      <c r="O800" s="474" t="n"/>
    </row>
    <row r="801">
      <c r="H801" s="78" t="n"/>
      <c r="N801" s="473" t="n"/>
      <c r="O801" s="474" t="n"/>
    </row>
    <row r="802">
      <c r="H802" s="78" t="n"/>
      <c r="N802" s="473" t="n"/>
      <c r="O802" s="474" t="n"/>
    </row>
    <row r="803">
      <c r="H803" s="78" t="n"/>
      <c r="N803" s="473" t="n"/>
      <c r="O803" s="474" t="n"/>
    </row>
    <row r="804">
      <c r="H804" s="78" t="n"/>
      <c r="N804" s="473" t="n"/>
      <c r="O804" s="474" t="n"/>
    </row>
    <row r="805">
      <c r="H805" s="78" t="n"/>
      <c r="N805" s="473" t="n"/>
      <c r="O805" s="474" t="n"/>
    </row>
    <row r="806">
      <c r="H806" s="78" t="n"/>
      <c r="N806" s="473" t="n"/>
      <c r="O806" s="474" t="n"/>
    </row>
    <row r="807">
      <c r="H807" s="78" t="n"/>
      <c r="N807" s="473" t="n"/>
      <c r="O807" s="474" t="n"/>
    </row>
    <row r="808">
      <c r="H808" s="78" t="n"/>
      <c r="N808" s="473" t="n"/>
      <c r="O808" s="474" t="n"/>
    </row>
    <row r="809">
      <c r="H809" s="78" t="n"/>
      <c r="N809" s="473" t="n"/>
      <c r="O809" s="474" t="n"/>
    </row>
    <row r="810">
      <c r="H810" s="78" t="n"/>
      <c r="N810" s="473" t="n"/>
      <c r="O810" s="474" t="n"/>
    </row>
    <row r="811">
      <c r="H811" s="78" t="n"/>
      <c r="N811" s="473" t="n"/>
      <c r="O811" s="474" t="n"/>
    </row>
    <row r="812">
      <c r="H812" s="78" t="n"/>
      <c r="N812" s="473" t="n"/>
      <c r="O812" s="474" t="n"/>
    </row>
    <row r="813">
      <c r="H813" s="78" t="n"/>
      <c r="N813" s="473" t="n"/>
      <c r="O813" s="474" t="n"/>
    </row>
    <row r="814">
      <c r="H814" s="78" t="n"/>
      <c r="N814" s="473" t="n"/>
      <c r="O814" s="474" t="n"/>
    </row>
    <row r="815">
      <c r="H815" s="78" t="n"/>
      <c r="N815" s="473" t="n"/>
      <c r="O815" s="474" t="n"/>
    </row>
    <row r="816">
      <c r="H816" s="78" t="n"/>
      <c r="N816" s="473" t="n"/>
      <c r="O816" s="474" t="n"/>
    </row>
    <row r="817">
      <c r="H817" s="78" t="n"/>
      <c r="N817" s="473" t="n"/>
      <c r="O817" s="474" t="n"/>
    </row>
    <row r="818">
      <c r="H818" s="78" t="n"/>
      <c r="N818" s="473" t="n"/>
      <c r="O818" s="474" t="n"/>
    </row>
    <row r="819">
      <c r="H819" s="78" t="n"/>
      <c r="N819" s="473" t="n"/>
      <c r="O819" s="474" t="n"/>
    </row>
    <row r="820">
      <c r="H820" s="78" t="n"/>
      <c r="N820" s="473" t="n"/>
      <c r="O820" s="474" t="n"/>
    </row>
    <row r="821">
      <c r="H821" s="78" t="n"/>
      <c r="N821" s="473" t="n"/>
      <c r="O821" s="474" t="n"/>
    </row>
    <row r="822">
      <c r="H822" s="78" t="n"/>
      <c r="N822" s="473" t="n"/>
      <c r="O822" s="474" t="n"/>
    </row>
    <row r="823">
      <c r="H823" s="78" t="n"/>
      <c r="N823" s="473" t="n"/>
      <c r="O823" s="474" t="n"/>
    </row>
    <row r="824">
      <c r="H824" s="78" t="n"/>
      <c r="N824" s="473" t="n"/>
      <c r="O824" s="474" t="n"/>
    </row>
    <row r="825">
      <c r="H825" s="78" t="n"/>
      <c r="N825" s="473" t="n"/>
      <c r="O825" s="474" t="n"/>
    </row>
    <row r="826">
      <c r="H826" s="78" t="n"/>
      <c r="N826" s="473" t="n"/>
      <c r="O826" s="474" t="n"/>
    </row>
    <row r="827">
      <c r="H827" s="78" t="n"/>
      <c r="N827" s="473" t="n"/>
      <c r="O827" s="474" t="n"/>
    </row>
    <row r="828">
      <c r="H828" s="78" t="n"/>
      <c r="N828" s="473" t="n"/>
      <c r="O828" s="474" t="n"/>
    </row>
    <row r="829">
      <c r="H829" s="78" t="n"/>
      <c r="N829" s="473" t="n"/>
      <c r="O829" s="474" t="n"/>
    </row>
    <row r="830">
      <c r="H830" s="78" t="n"/>
      <c r="N830" s="473" t="n"/>
      <c r="O830" s="474" t="n"/>
    </row>
    <row r="831">
      <c r="H831" s="78" t="n"/>
      <c r="N831" s="473" t="n"/>
      <c r="O831" s="474" t="n"/>
    </row>
    <row r="832">
      <c r="H832" s="78" t="n"/>
      <c r="N832" s="473" t="n"/>
      <c r="O832" s="474" t="n"/>
    </row>
    <row r="833">
      <c r="H833" s="78" t="n"/>
      <c r="N833" s="473" t="n"/>
      <c r="O833" s="474" t="n"/>
    </row>
    <row r="834">
      <c r="H834" s="78" t="n"/>
      <c r="N834" s="473" t="n"/>
      <c r="O834" s="474" t="n"/>
    </row>
    <row r="835">
      <c r="H835" s="78" t="n"/>
      <c r="N835" s="473" t="n"/>
      <c r="O835" s="474" t="n"/>
    </row>
    <row r="836">
      <c r="H836" s="78" t="n"/>
      <c r="N836" s="473" t="n"/>
      <c r="O836" s="474" t="n"/>
    </row>
    <row r="837">
      <c r="H837" s="78" t="n"/>
      <c r="N837" s="473" t="n"/>
      <c r="O837" s="474" t="n"/>
    </row>
    <row r="838">
      <c r="H838" s="78" t="n"/>
      <c r="N838" s="473" t="n"/>
      <c r="O838" s="474" t="n"/>
    </row>
    <row r="839">
      <c r="H839" s="78" t="n"/>
      <c r="N839" s="473" t="n"/>
      <c r="O839" s="474" t="n"/>
    </row>
    <row r="840">
      <c r="H840" s="78" t="n"/>
      <c r="N840" s="473" t="n"/>
      <c r="O840" s="474" t="n"/>
    </row>
    <row r="841">
      <c r="H841" s="78" t="n"/>
      <c r="N841" s="473" t="n"/>
      <c r="O841" s="474" t="n"/>
    </row>
    <row r="842">
      <c r="H842" s="78" t="n"/>
      <c r="N842" s="473" t="n"/>
      <c r="O842" s="474" t="n"/>
    </row>
    <row r="843">
      <c r="H843" s="78" t="n"/>
      <c r="N843" s="473" t="n"/>
      <c r="O843" s="474" t="n"/>
    </row>
    <row r="844">
      <c r="H844" s="78" t="n"/>
      <c r="N844" s="473" t="n"/>
      <c r="O844" s="474" t="n"/>
    </row>
    <row r="845">
      <c r="H845" s="78" t="n"/>
      <c r="N845" s="473" t="n"/>
      <c r="O845" s="474" t="n"/>
    </row>
    <row r="846">
      <c r="H846" s="78" t="n"/>
      <c r="N846" s="473" t="n"/>
      <c r="O846" s="474" t="n"/>
    </row>
    <row r="847">
      <c r="H847" s="78" t="n"/>
      <c r="N847" s="473" t="n"/>
      <c r="O847" s="474" t="n"/>
    </row>
    <row r="848">
      <c r="H848" s="78" t="n"/>
      <c r="N848" s="473" t="n"/>
      <c r="O848" s="474" t="n"/>
    </row>
    <row r="849">
      <c r="H849" s="78" t="n"/>
      <c r="N849" s="473" t="n"/>
      <c r="O849" s="474" t="n"/>
    </row>
    <row r="850">
      <c r="H850" s="78" t="n"/>
      <c r="N850" s="473" t="n"/>
      <c r="O850" s="474" t="n"/>
    </row>
    <row r="851">
      <c r="H851" s="78" t="n"/>
      <c r="N851" s="473" t="n"/>
      <c r="O851" s="474" t="n"/>
    </row>
    <row r="852">
      <c r="H852" s="78" t="n"/>
      <c r="N852" s="473" t="n"/>
      <c r="O852" s="474" t="n"/>
    </row>
    <row r="853">
      <c r="H853" s="78" t="n"/>
      <c r="N853" s="473" t="n"/>
      <c r="O853" s="474" t="n"/>
    </row>
    <row r="854">
      <c r="H854" s="78" t="n"/>
      <c r="N854" s="473" t="n"/>
      <c r="O854" s="474" t="n"/>
    </row>
    <row r="855">
      <c r="H855" s="78" t="n"/>
      <c r="N855" s="473" t="n"/>
      <c r="O855" s="474" t="n"/>
    </row>
    <row r="856">
      <c r="H856" s="78" t="n"/>
      <c r="N856" s="473" t="n"/>
      <c r="O856" s="474" t="n"/>
    </row>
    <row r="857">
      <c r="H857" s="78" t="n"/>
      <c r="N857" s="473" t="n"/>
      <c r="O857" s="474" t="n"/>
    </row>
    <row r="858">
      <c r="H858" s="78" t="n"/>
      <c r="N858" s="473" t="n"/>
      <c r="O858" s="474" t="n"/>
    </row>
    <row r="859">
      <c r="H859" s="78" t="n"/>
      <c r="N859" s="473" t="n"/>
      <c r="O859" s="474" t="n"/>
    </row>
    <row r="860">
      <c r="H860" s="78" t="n"/>
      <c r="N860" s="473" t="n"/>
      <c r="O860" s="474" t="n"/>
    </row>
    <row r="861">
      <c r="H861" s="78" t="n"/>
      <c r="N861" s="473" t="n"/>
      <c r="O861" s="474" t="n"/>
    </row>
    <row r="862">
      <c r="H862" s="78" t="n"/>
      <c r="N862" s="473" t="n"/>
      <c r="O862" s="474" t="n"/>
    </row>
    <row r="863">
      <c r="H863" s="78" t="n"/>
      <c r="N863" s="473" t="n"/>
      <c r="O863" s="474" t="n"/>
    </row>
    <row r="864">
      <c r="H864" s="78" t="n"/>
      <c r="N864" s="473" t="n"/>
      <c r="O864" s="474" t="n"/>
    </row>
    <row r="865">
      <c r="H865" s="78" t="n"/>
      <c r="N865" s="473" t="n"/>
      <c r="O865" s="474" t="n"/>
    </row>
    <row r="866">
      <c r="H866" s="78" t="n"/>
      <c r="N866" s="473" t="n"/>
      <c r="O866" s="474" t="n"/>
    </row>
    <row r="867">
      <c r="H867" s="78" t="n"/>
      <c r="N867" s="473" t="n"/>
      <c r="O867" s="474" t="n"/>
    </row>
    <row r="868">
      <c r="H868" s="78" t="n"/>
      <c r="N868" s="473" t="n"/>
      <c r="O868" s="474" t="n"/>
    </row>
    <row r="869">
      <c r="H869" s="78" t="n"/>
      <c r="N869" s="473" t="n"/>
      <c r="O869" s="474" t="n"/>
    </row>
    <row r="870">
      <c r="H870" s="78" t="n"/>
      <c r="N870" s="473" t="n"/>
      <c r="O870" s="474" t="n"/>
    </row>
    <row r="871">
      <c r="H871" s="78" t="n"/>
      <c r="N871" s="473" t="n"/>
      <c r="O871" s="474" t="n"/>
    </row>
    <row r="872">
      <c r="H872" s="78" t="n"/>
      <c r="N872" s="473" t="n"/>
      <c r="O872" s="474" t="n"/>
    </row>
    <row r="873">
      <c r="H873" s="78" t="n"/>
      <c r="N873" s="473" t="n"/>
      <c r="O873" s="474" t="n"/>
    </row>
    <row r="874">
      <c r="H874" s="78" t="n"/>
      <c r="N874" s="473" t="n"/>
      <c r="O874" s="474" t="n"/>
    </row>
    <row r="875">
      <c r="H875" s="78" t="n"/>
      <c r="N875" s="473" t="n"/>
      <c r="O875" s="474" t="n"/>
    </row>
    <row r="876">
      <c r="H876" s="78" t="n"/>
      <c r="N876" s="473" t="n"/>
      <c r="O876" s="474" t="n"/>
    </row>
    <row r="877">
      <c r="H877" s="78" t="n"/>
      <c r="N877" s="473" t="n"/>
      <c r="O877" s="474" t="n"/>
    </row>
    <row r="878">
      <c r="H878" s="78" t="n"/>
      <c r="N878" s="473" t="n"/>
      <c r="O878" s="474" t="n"/>
    </row>
    <row r="879">
      <c r="H879" s="78" t="n"/>
      <c r="N879" s="473" t="n"/>
      <c r="O879" s="474" t="n"/>
    </row>
    <row r="880">
      <c r="H880" s="78" t="n"/>
      <c r="N880" s="473" t="n"/>
      <c r="O880" s="474" t="n"/>
    </row>
    <row r="881">
      <c r="H881" s="78" t="n"/>
      <c r="N881" s="473" t="n"/>
      <c r="O881" s="474" t="n"/>
    </row>
    <row r="882">
      <c r="H882" s="78" t="n"/>
      <c r="N882" s="473" t="n"/>
      <c r="O882" s="474" t="n"/>
    </row>
    <row r="883">
      <c r="H883" s="78" t="n"/>
      <c r="N883" s="473" t="n"/>
      <c r="O883" s="474" t="n"/>
    </row>
    <row r="884">
      <c r="H884" s="78" t="n"/>
      <c r="N884" s="473" t="n"/>
      <c r="O884" s="474" t="n"/>
    </row>
    <row r="885">
      <c r="H885" s="78" t="n"/>
      <c r="N885" s="473" t="n"/>
      <c r="O885" s="474" t="n"/>
    </row>
    <row r="886">
      <c r="H886" s="78" t="n"/>
      <c r="N886" s="473" t="n"/>
      <c r="O886" s="474" t="n"/>
    </row>
    <row r="887">
      <c r="H887" s="78" t="n"/>
      <c r="N887" s="473" t="n"/>
      <c r="O887" s="474" t="n"/>
    </row>
    <row r="888">
      <c r="H888" s="78" t="n"/>
      <c r="N888" s="473" t="n"/>
      <c r="O888" s="474" t="n"/>
    </row>
    <row r="889">
      <c r="H889" s="78" t="n"/>
      <c r="N889" s="473" t="n"/>
      <c r="O889" s="474" t="n"/>
    </row>
    <row r="890">
      <c r="H890" s="78" t="n"/>
      <c r="N890" s="473" t="n"/>
      <c r="O890" s="474" t="n"/>
    </row>
    <row r="891">
      <c r="H891" s="78" t="n"/>
      <c r="N891" s="473" t="n"/>
      <c r="O891" s="474" t="n"/>
    </row>
    <row r="892">
      <c r="H892" s="78" t="n"/>
      <c r="N892" s="473" t="n"/>
      <c r="O892" s="474" t="n"/>
    </row>
    <row r="893">
      <c r="H893" s="78" t="n"/>
      <c r="N893" s="473" t="n"/>
      <c r="O893" s="474" t="n"/>
    </row>
    <row r="894">
      <c r="H894" s="78" t="n"/>
      <c r="N894" s="473" t="n"/>
      <c r="O894" s="474" t="n"/>
    </row>
    <row r="895">
      <c r="H895" s="78" t="n"/>
      <c r="N895" s="473" t="n"/>
      <c r="O895" s="474" t="n"/>
    </row>
    <row r="896">
      <c r="H896" s="78" t="n"/>
      <c r="N896" s="473" t="n"/>
      <c r="O896" s="474" t="n"/>
    </row>
    <row r="897">
      <c r="H897" s="78" t="n"/>
      <c r="N897" s="473" t="n"/>
      <c r="O897" s="474" t="n"/>
    </row>
    <row r="898">
      <c r="H898" s="78" t="n"/>
      <c r="N898" s="473" t="n"/>
      <c r="O898" s="474" t="n"/>
    </row>
    <row r="899">
      <c r="H899" s="78" t="n"/>
      <c r="N899" s="473" t="n"/>
      <c r="O899" s="474" t="n"/>
    </row>
    <row r="900">
      <c r="H900" s="78" t="n"/>
      <c r="N900" s="473" t="n"/>
      <c r="O900" s="474" t="n"/>
    </row>
    <row r="901">
      <c r="H901" s="78" t="n"/>
      <c r="N901" s="473" t="n"/>
      <c r="O901" s="474" t="n"/>
    </row>
    <row r="902">
      <c r="H902" s="78" t="n"/>
      <c r="N902" s="473" t="n"/>
      <c r="O902" s="474" t="n"/>
    </row>
    <row r="903">
      <c r="H903" s="78" t="n"/>
      <c r="N903" s="473" t="n"/>
      <c r="O903" s="474" t="n"/>
    </row>
    <row r="904">
      <c r="H904" s="78" t="n"/>
      <c r="N904" s="473" t="n"/>
      <c r="O904" s="474" t="n"/>
    </row>
    <row r="905">
      <c r="H905" s="78" t="n"/>
      <c r="N905" s="473" t="n"/>
      <c r="O905" s="474" t="n"/>
    </row>
    <row r="906">
      <c r="H906" s="78" t="n"/>
      <c r="N906" s="473" t="n"/>
      <c r="O906" s="474" t="n"/>
    </row>
    <row r="907">
      <c r="H907" s="78" t="n"/>
      <c r="N907" s="473" t="n"/>
      <c r="O907" s="474" t="n"/>
    </row>
    <row r="908">
      <c r="H908" s="78" t="n"/>
      <c r="N908" s="473" t="n"/>
      <c r="O908" s="474" t="n"/>
    </row>
    <row r="909">
      <c r="H909" s="78" t="n"/>
      <c r="N909" s="473" t="n"/>
      <c r="O909" s="474" t="n"/>
    </row>
    <row r="910">
      <c r="H910" s="78" t="n"/>
      <c r="N910" s="473" t="n"/>
      <c r="O910" s="474" t="n"/>
    </row>
    <row r="911">
      <c r="H911" s="78" t="n"/>
      <c r="N911" s="473" t="n"/>
      <c r="O911" s="474" t="n"/>
    </row>
    <row r="912">
      <c r="H912" s="78" t="n"/>
      <c r="N912" s="473" t="n"/>
      <c r="O912" s="474" t="n"/>
    </row>
    <row r="913">
      <c r="H913" s="78" t="n"/>
      <c r="N913" s="473" t="n"/>
      <c r="O913" s="474" t="n"/>
    </row>
    <row r="914">
      <c r="H914" s="78" t="n"/>
      <c r="N914" s="473" t="n"/>
      <c r="O914" s="474" t="n"/>
    </row>
    <row r="915">
      <c r="H915" s="78" t="n"/>
      <c r="N915" s="473" t="n"/>
      <c r="O915" s="474" t="n"/>
    </row>
    <row r="916">
      <c r="H916" s="78" t="n"/>
      <c r="N916" s="473" t="n"/>
      <c r="O916" s="474" t="n"/>
    </row>
    <row r="917">
      <c r="H917" s="78" t="n"/>
      <c r="N917" s="473" t="n"/>
      <c r="O917" s="474" t="n"/>
    </row>
    <row r="918">
      <c r="H918" s="78" t="n"/>
      <c r="N918" s="473" t="n"/>
      <c r="O918" s="474" t="n"/>
    </row>
    <row r="919">
      <c r="H919" s="78" t="n"/>
      <c r="N919" s="473" t="n"/>
      <c r="O919" s="474" t="n"/>
    </row>
    <row r="920">
      <c r="H920" s="78" t="n"/>
      <c r="N920" s="473" t="n"/>
      <c r="O920" s="474" t="n"/>
    </row>
    <row r="921">
      <c r="H921" s="78" t="n"/>
      <c r="N921" s="473" t="n"/>
      <c r="O921" s="474" t="n"/>
    </row>
    <row r="922">
      <c r="H922" s="78" t="n"/>
      <c r="N922" s="473" t="n"/>
      <c r="O922" s="474" t="n"/>
    </row>
    <row r="923">
      <c r="H923" s="78" t="n"/>
      <c r="N923" s="473" t="n"/>
      <c r="O923" s="474" t="n"/>
    </row>
    <row r="924">
      <c r="H924" s="78" t="n"/>
      <c r="N924" s="473" t="n"/>
      <c r="O924" s="474" t="n"/>
    </row>
    <row r="925">
      <c r="H925" s="78" t="n"/>
      <c r="N925" s="473" t="n"/>
      <c r="O925" s="474" t="n"/>
    </row>
    <row r="926">
      <c r="H926" s="78" t="n"/>
      <c r="N926" s="473" t="n"/>
      <c r="O926" s="474" t="n"/>
    </row>
    <row r="927">
      <c r="H927" s="78" t="n"/>
      <c r="N927" s="473" t="n"/>
      <c r="O927" s="474" t="n"/>
    </row>
    <row r="928">
      <c r="H928" s="78" t="n"/>
      <c r="N928" s="473" t="n"/>
      <c r="O928" s="474" t="n"/>
    </row>
    <row r="929">
      <c r="H929" s="78" t="n"/>
      <c r="N929" s="473" t="n"/>
      <c r="O929" s="474" t="n"/>
    </row>
    <row r="930">
      <c r="H930" s="78" t="n"/>
      <c r="N930" s="473" t="n"/>
      <c r="O930" s="474" t="n"/>
    </row>
    <row r="931">
      <c r="H931" s="78" t="n"/>
      <c r="N931" s="473" t="n"/>
      <c r="O931" s="474" t="n"/>
    </row>
    <row r="932">
      <c r="H932" s="78" t="n"/>
      <c r="N932" s="473" t="n"/>
      <c r="O932" s="474" t="n"/>
    </row>
    <row r="933">
      <c r="H933" s="78" t="n"/>
      <c r="N933" s="473" t="n"/>
      <c r="O933" s="474" t="n"/>
    </row>
    <row r="934">
      <c r="H934" s="78" t="n"/>
      <c r="N934" s="473" t="n"/>
      <c r="O934" s="474" t="n"/>
    </row>
    <row r="935">
      <c r="H935" s="78" t="n"/>
      <c r="N935" s="473" t="n"/>
      <c r="O935" s="474" t="n"/>
    </row>
    <row r="936">
      <c r="H936" s="78" t="n"/>
      <c r="N936" s="473" t="n"/>
      <c r="O936" s="474" t="n"/>
    </row>
    <row r="937">
      <c r="H937" s="78" t="n"/>
      <c r="N937" s="473" t="n"/>
      <c r="O937" s="474" t="n"/>
    </row>
    <row r="938">
      <c r="H938" s="78" t="n"/>
      <c r="N938" s="473" t="n"/>
      <c r="O938" s="474" t="n"/>
    </row>
    <row r="939">
      <c r="H939" s="78" t="n"/>
      <c r="N939" s="473" t="n"/>
      <c r="O939" s="474" t="n"/>
    </row>
    <row r="940">
      <c r="H940" s="78" t="n"/>
      <c r="N940" s="473" t="n"/>
      <c r="O940" s="474" t="n"/>
    </row>
    <row r="941">
      <c r="H941" s="78" t="n"/>
      <c r="N941" s="473" t="n"/>
      <c r="O941" s="474" t="n"/>
    </row>
    <row r="942">
      <c r="H942" s="78" t="n"/>
      <c r="N942" s="473" t="n"/>
      <c r="O942" s="474" t="n"/>
    </row>
    <row r="943">
      <c r="H943" s="78" t="n"/>
      <c r="N943" s="473" t="n"/>
      <c r="O943" s="474" t="n"/>
    </row>
    <row r="944">
      <c r="H944" s="78" t="n"/>
      <c r="N944" s="473" t="n"/>
      <c r="O944" s="474" t="n"/>
    </row>
    <row r="945">
      <c r="H945" s="78" t="n"/>
      <c r="N945" s="473" t="n"/>
      <c r="O945" s="474" t="n"/>
    </row>
    <row r="946">
      <c r="H946" s="78" t="n"/>
      <c r="N946" s="473" t="n"/>
      <c r="O946" s="474" t="n"/>
    </row>
    <row r="947">
      <c r="H947" s="78" t="n"/>
      <c r="N947" s="473" t="n"/>
      <c r="O947" s="474" t="n"/>
    </row>
    <row r="948">
      <c r="H948" s="78" t="n"/>
      <c r="N948" s="473" t="n"/>
      <c r="O948" s="474" t="n"/>
    </row>
    <row r="949">
      <c r="H949" s="78" t="n"/>
      <c r="N949" s="473" t="n"/>
      <c r="O949" s="474" t="n"/>
    </row>
    <row r="950">
      <c r="H950" s="78" t="n"/>
      <c r="N950" s="473" t="n"/>
      <c r="O950" s="474" t="n"/>
    </row>
    <row r="951">
      <c r="H951" s="78" t="n"/>
      <c r="N951" s="473" t="n"/>
      <c r="O951" s="474" t="n"/>
    </row>
    <row r="952">
      <c r="H952" s="78" t="n"/>
      <c r="N952" s="473" t="n"/>
      <c r="O952" s="474" t="n"/>
    </row>
    <row r="953">
      <c r="H953" s="78" t="n"/>
      <c r="N953" s="473" t="n"/>
      <c r="O953" s="474" t="n"/>
    </row>
    <row r="954">
      <c r="H954" s="78" t="n"/>
      <c r="N954" s="473" t="n"/>
      <c r="O954" s="474" t="n"/>
    </row>
    <row r="955">
      <c r="H955" s="78" t="n"/>
      <c r="N955" s="473" t="n"/>
      <c r="O955" s="474" t="n"/>
    </row>
    <row r="956">
      <c r="H956" s="78" t="n"/>
      <c r="N956" s="473" t="n"/>
      <c r="O956" s="474" t="n"/>
    </row>
    <row r="957">
      <c r="H957" s="78" t="n"/>
      <c r="N957" s="473" t="n"/>
      <c r="O957" s="474" t="n"/>
    </row>
    <row r="958">
      <c r="H958" s="78" t="n"/>
      <c r="N958" s="473" t="n"/>
      <c r="O958" s="474" t="n"/>
    </row>
    <row r="959">
      <c r="H959" s="78" t="n"/>
      <c r="N959" s="473" t="n"/>
      <c r="O959" s="474" t="n"/>
    </row>
    <row r="960">
      <c r="H960" s="78" t="n"/>
      <c r="N960" s="473" t="n"/>
      <c r="O960" s="474" t="n"/>
    </row>
    <row r="961">
      <c r="H961" s="78" t="n"/>
      <c r="N961" s="473" t="n"/>
      <c r="O961" s="474" t="n"/>
    </row>
    <row r="962">
      <c r="H962" s="78" t="n"/>
      <c r="N962" s="473" t="n"/>
      <c r="O962" s="474" t="n"/>
    </row>
    <row r="963">
      <c r="H963" s="78" t="n"/>
      <c r="N963" s="473" t="n"/>
      <c r="O963" s="474" t="n"/>
    </row>
    <row r="964">
      <c r="H964" s="78" t="n"/>
      <c r="N964" s="473" t="n"/>
      <c r="O964" s="474" t="n"/>
    </row>
    <row r="965">
      <c r="H965" s="78" t="n"/>
      <c r="N965" s="473" t="n"/>
      <c r="O965" s="474" t="n"/>
    </row>
    <row r="966">
      <c r="H966" s="78" t="n"/>
      <c r="N966" s="473" t="n"/>
      <c r="O966" s="474" t="n"/>
    </row>
    <row r="967">
      <c r="H967" s="78" t="n"/>
      <c r="N967" s="473" t="n"/>
      <c r="O967" s="474" t="n"/>
    </row>
    <row r="968">
      <c r="H968" s="78" t="n"/>
      <c r="N968" s="473" t="n"/>
      <c r="O968" s="474" t="n"/>
    </row>
    <row r="969">
      <c r="H969" s="78" t="n"/>
      <c r="N969" s="473" t="n"/>
      <c r="O969" s="474" t="n"/>
    </row>
    <row r="970">
      <c r="H970" s="78" t="n"/>
      <c r="N970" s="473" t="n"/>
      <c r="O970" s="474" t="n"/>
    </row>
    <row r="971">
      <c r="H971" s="78" t="n"/>
      <c r="N971" s="473" t="n"/>
      <c r="O971" s="474" t="n"/>
    </row>
    <row r="972">
      <c r="H972" s="78" t="n"/>
      <c r="N972" s="473" t="n"/>
      <c r="O972" s="474" t="n"/>
    </row>
    <row r="973">
      <c r="H973" s="78" t="n"/>
      <c r="N973" s="473" t="n"/>
      <c r="O973" s="474" t="n"/>
    </row>
    <row r="974">
      <c r="H974" s="78" t="n"/>
      <c r="N974" s="473" t="n"/>
      <c r="O974" s="474" t="n"/>
    </row>
    <row r="975">
      <c r="H975" s="78" t="n"/>
      <c r="N975" s="473" t="n"/>
      <c r="O975" s="474" t="n"/>
    </row>
    <row r="976">
      <c r="H976" s="78" t="n"/>
      <c r="N976" s="473" t="n"/>
      <c r="O976" s="474" t="n"/>
    </row>
    <row r="977">
      <c r="H977" s="78" t="n"/>
      <c r="N977" s="473" t="n"/>
      <c r="O977" s="474" t="n"/>
    </row>
    <row r="978">
      <c r="H978" s="78" t="n"/>
      <c r="N978" s="473" t="n"/>
      <c r="O978" s="474" t="n"/>
    </row>
    <row r="979">
      <c r="H979" s="78" t="n"/>
      <c r="N979" s="473" t="n"/>
      <c r="O979" s="474" t="n"/>
    </row>
    <row r="980">
      <c r="H980" s="78" t="n"/>
      <c r="N980" s="473" t="n"/>
      <c r="O980" s="474" t="n"/>
    </row>
    <row r="981">
      <c r="H981" s="78" t="n"/>
      <c r="N981" s="473" t="n"/>
      <c r="O981" s="474" t="n"/>
    </row>
    <row r="982">
      <c r="H982" s="78" t="n"/>
      <c r="N982" s="473" t="n"/>
      <c r="O982" s="474" t="n"/>
    </row>
    <row r="983">
      <c r="H983" s="78" t="n"/>
      <c r="N983" s="473" t="n"/>
      <c r="O983" s="474" t="n"/>
    </row>
    <row r="984">
      <c r="H984" s="78" t="n"/>
      <c r="N984" s="473" t="n"/>
      <c r="O984" s="474" t="n"/>
    </row>
    <row r="985">
      <c r="H985" s="78" t="n"/>
      <c r="N985" s="473" t="n"/>
      <c r="O985" s="474" t="n"/>
    </row>
    <row r="986">
      <c r="H986" s="78" t="n"/>
      <c r="N986" s="473" t="n"/>
      <c r="O986" s="474" t="n"/>
    </row>
    <row r="987">
      <c r="H987" s="78" t="n"/>
      <c r="N987" s="473" t="n"/>
      <c r="O987" s="474" t="n"/>
    </row>
    <row r="988">
      <c r="H988" s="78" t="n"/>
      <c r="N988" s="473" t="n"/>
      <c r="O988" s="474" t="n"/>
    </row>
    <row r="989">
      <c r="H989" s="78" t="n"/>
      <c r="N989" s="473" t="n"/>
      <c r="O989" s="474" t="n"/>
    </row>
    <row r="990">
      <c r="H990" s="78" t="n"/>
      <c r="N990" s="473" t="n"/>
      <c r="O990" s="474" t="n"/>
    </row>
    <row r="991">
      <c r="H991" s="78" t="n"/>
      <c r="N991" s="473" t="n"/>
      <c r="O991" s="474" t="n"/>
    </row>
    <row r="992">
      <c r="H992" s="78" t="n"/>
      <c r="N992" s="473" t="n"/>
      <c r="O992" s="474" t="n"/>
    </row>
    <row r="993">
      <c r="H993" s="78" t="n"/>
      <c r="N993" s="473" t="n"/>
      <c r="O993" s="474" t="n"/>
    </row>
    <row r="994">
      <c r="H994" s="78" t="n"/>
      <c r="N994" s="473" t="n"/>
      <c r="O994" s="474" t="n"/>
    </row>
    <row r="995">
      <c r="H995" s="78" t="n"/>
      <c r="N995" s="473" t="n"/>
      <c r="O995" s="474" t="n"/>
    </row>
    <row r="996">
      <c r="H996" s="78" t="n"/>
      <c r="N996" s="473" t="n"/>
      <c r="O996" s="474" t="n"/>
    </row>
    <row r="997">
      <c r="H997" s="78" t="n"/>
      <c r="N997" s="473" t="n"/>
      <c r="O997" s="474" t="n"/>
    </row>
    <row r="998">
      <c r="H998" s="78" t="n"/>
      <c r="N998" s="473" t="n"/>
      <c r="O998" s="474" t="n"/>
    </row>
    <row r="999">
      <c r="H999" s="78" t="n"/>
      <c r="N999" s="473" t="n"/>
      <c r="O999" s="474" t="n"/>
    </row>
    <row r="1000">
      <c r="H1000" s="78" t="n"/>
      <c r="N1000" s="473" t="n"/>
      <c r="O1000" s="474" t="n"/>
    </row>
    <row r="1001">
      <c r="H1001" s="78" t="n"/>
      <c r="N1001" s="473" t="n"/>
      <c r="O1001" s="474" t="n"/>
    </row>
    <row r="1002">
      <c r="H1002" s="78" t="n"/>
      <c r="N1002" s="473" t="n"/>
      <c r="O1002" s="474" t="n"/>
    </row>
    <row r="1003">
      <c r="H1003" s="78" t="n"/>
      <c r="N1003" s="473" t="n"/>
      <c r="O1003" s="474" t="n"/>
    </row>
    <row r="1004">
      <c r="H1004" s="78" t="n"/>
      <c r="N1004" s="473" t="n"/>
      <c r="O1004" s="474" t="n"/>
    </row>
    <row r="1005">
      <c r="H1005" s="78" t="n"/>
      <c r="N1005" s="473" t="n"/>
      <c r="O1005" s="474" t="n"/>
    </row>
    <row r="1006">
      <c r="H1006" s="78" t="n"/>
      <c r="N1006" s="473" t="n"/>
      <c r="O1006" s="474" t="n"/>
    </row>
    <row r="1007">
      <c r="H1007" s="78" t="n"/>
      <c r="N1007" s="473" t="n"/>
      <c r="O1007" s="474" t="n"/>
    </row>
    <row r="1008">
      <c r="H1008" s="78" t="n"/>
      <c r="N1008" s="473" t="n"/>
      <c r="O1008" s="474" t="n"/>
    </row>
    <row r="1009">
      <c r="H1009" s="78" t="n"/>
      <c r="N1009" s="473" t="n"/>
      <c r="O1009" s="474" t="n"/>
    </row>
    <row r="1010">
      <c r="H1010" s="78" t="n"/>
      <c r="N1010" s="473" t="n"/>
      <c r="O1010" s="474" t="n"/>
    </row>
    <row r="1011">
      <c r="H1011" s="78" t="n"/>
      <c r="N1011" s="473" t="n"/>
      <c r="O1011" s="474" t="n"/>
    </row>
    <row r="1012">
      <c r="H1012" s="78" t="n"/>
      <c r="N1012" s="473" t="n"/>
      <c r="O1012" s="474" t="n"/>
    </row>
    <row r="1013">
      <c r="H1013" s="78" t="n"/>
      <c r="N1013" s="473" t="n"/>
      <c r="O1013" s="474" t="n"/>
    </row>
    <row r="1014">
      <c r="H1014" s="78" t="n"/>
      <c r="N1014" s="473" t="n"/>
      <c r="O1014" s="474" t="n"/>
    </row>
    <row r="1015">
      <c r="H1015" s="78" t="n"/>
      <c r="N1015" s="473" t="n"/>
      <c r="O1015" s="474" t="n"/>
    </row>
    <row r="1016">
      <c r="H1016" s="78" t="n"/>
      <c r="N1016" s="473" t="n"/>
      <c r="O1016" s="474" t="n"/>
    </row>
    <row r="1017">
      <c r="H1017" s="78" t="n"/>
      <c r="N1017" s="473" t="n"/>
      <c r="O1017" s="474" t="n"/>
    </row>
    <row r="1018">
      <c r="H1018" s="78" t="n"/>
      <c r="N1018" s="473" t="n"/>
      <c r="O1018" s="474" t="n"/>
    </row>
    <row r="1019">
      <c r="H1019" s="78" t="n"/>
      <c r="N1019" s="473" t="n"/>
      <c r="O1019" s="474" t="n"/>
    </row>
    <row r="1020">
      <c r="H1020" s="78" t="n"/>
      <c r="N1020" s="473" t="n"/>
      <c r="O1020" s="474" t="n"/>
    </row>
    <row r="1021">
      <c r="H1021" s="78" t="n"/>
      <c r="N1021" s="473" t="n"/>
      <c r="O1021" s="474" t="n"/>
    </row>
    <row r="1022">
      <c r="H1022" s="78" t="n"/>
      <c r="N1022" s="473" t="n"/>
      <c r="O1022" s="474" t="n"/>
    </row>
    <row r="1023">
      <c r="H1023" s="78" t="n"/>
      <c r="N1023" s="473" t="n"/>
      <c r="O1023" s="474" t="n"/>
    </row>
    <row r="1024">
      <c r="H1024" s="78" t="n"/>
      <c r="N1024" s="473" t="n"/>
      <c r="O1024" s="474" t="n"/>
    </row>
    <row r="1025">
      <c r="H1025" s="78" t="n"/>
      <c r="N1025" s="473" t="n"/>
      <c r="O1025" s="474" t="n"/>
    </row>
    <row r="1026">
      <c r="H1026" s="78" t="n"/>
      <c r="N1026" s="473" t="n"/>
      <c r="O1026" s="474" t="n"/>
    </row>
    <row r="1027">
      <c r="H1027" s="78" t="n"/>
      <c r="N1027" s="473" t="n"/>
      <c r="O1027" s="474" t="n"/>
    </row>
    <row r="1028">
      <c r="H1028" s="78" t="n"/>
      <c r="N1028" s="473" t="n"/>
      <c r="O1028" s="474" t="n"/>
    </row>
    <row r="1029">
      <c r="H1029" s="78" t="n"/>
      <c r="N1029" s="473" t="n"/>
      <c r="O1029" s="474" t="n"/>
    </row>
    <row r="1030">
      <c r="H1030" s="78" t="n"/>
      <c r="N1030" s="473" t="n"/>
      <c r="O1030" s="474" t="n"/>
    </row>
    <row r="1031">
      <c r="H1031" s="78" t="n"/>
      <c r="N1031" s="473" t="n"/>
      <c r="O1031" s="474" t="n"/>
    </row>
    <row r="1032">
      <c r="H1032" s="78" t="n"/>
      <c r="N1032" s="473" t="n"/>
      <c r="O1032" s="474" t="n"/>
    </row>
    <row r="1033">
      <c r="H1033" s="78" t="n"/>
      <c r="N1033" s="473" t="n"/>
      <c r="O1033" s="474" t="n"/>
    </row>
    <row r="1034">
      <c r="H1034" s="78" t="n"/>
      <c r="N1034" s="473" t="n"/>
      <c r="O1034" s="474" t="n"/>
    </row>
    <row r="1035">
      <c r="H1035" s="78" t="n"/>
      <c r="N1035" s="473" t="n"/>
      <c r="O1035" s="474" t="n"/>
    </row>
    <row r="1036">
      <c r="H1036" s="78" t="n"/>
      <c r="N1036" s="473" t="n"/>
      <c r="O1036" s="474" t="n"/>
    </row>
    <row r="1037">
      <c r="H1037" s="78" t="n"/>
      <c r="N1037" s="473" t="n"/>
      <c r="O1037" s="474" t="n"/>
    </row>
    <row r="1038">
      <c r="H1038" s="78" t="n"/>
      <c r="N1038" s="473" t="n"/>
      <c r="O1038" s="474" t="n"/>
    </row>
    <row r="1039">
      <c r="H1039" s="78" t="n"/>
      <c r="N1039" s="473" t="n"/>
      <c r="O1039" s="474" t="n"/>
    </row>
    <row r="1040">
      <c r="H1040" s="78" t="n"/>
      <c r="N1040" s="473" t="n"/>
      <c r="O1040" s="474" t="n"/>
    </row>
    <row r="1041">
      <c r="H1041" s="78" t="n"/>
      <c r="N1041" s="473" t="n"/>
      <c r="O1041" s="474" t="n"/>
    </row>
    <row r="1042">
      <c r="H1042" s="78" t="n"/>
      <c r="N1042" s="473" t="n"/>
      <c r="O1042" s="474" t="n"/>
    </row>
    <row r="1043">
      <c r="H1043" s="78" t="n"/>
      <c r="N1043" s="473" t="n"/>
      <c r="O1043" s="474" t="n"/>
    </row>
    <row r="1044">
      <c r="H1044" s="78" t="n"/>
      <c r="N1044" s="473" t="n"/>
      <c r="O1044" s="474" t="n"/>
    </row>
    <row r="1045">
      <c r="H1045" s="78" t="n"/>
      <c r="N1045" s="473" t="n"/>
      <c r="O1045" s="474" t="n"/>
    </row>
    <row r="1046">
      <c r="H1046" s="78" t="n"/>
      <c r="N1046" s="473" t="n"/>
      <c r="O1046" s="474" t="n"/>
    </row>
    <row r="1047">
      <c r="H1047" s="78" t="n"/>
      <c r="N1047" s="473" t="n"/>
      <c r="O1047" s="474" t="n"/>
    </row>
    <row r="1048">
      <c r="H1048" s="78" t="n"/>
      <c r="N1048" s="473" t="n"/>
      <c r="O1048" s="474" t="n"/>
    </row>
    <row r="1049">
      <c r="H1049" s="78" t="n"/>
      <c r="N1049" s="473" t="n"/>
      <c r="O1049" s="474" t="n"/>
    </row>
    <row r="1050">
      <c r="H1050" s="78" t="n"/>
      <c r="N1050" s="473" t="n"/>
      <c r="O1050" s="474" t="n"/>
    </row>
    <row r="1051">
      <c r="H1051" s="78" t="n"/>
      <c r="N1051" s="473" t="n"/>
      <c r="O1051" s="474" t="n"/>
    </row>
    <row r="1052">
      <c r="H1052" s="78" t="n"/>
      <c r="N1052" s="473" t="n"/>
      <c r="O1052" s="474" t="n"/>
    </row>
    <row r="1053">
      <c r="H1053" s="78" t="n"/>
      <c r="N1053" s="473" t="n"/>
      <c r="O1053" s="474" t="n"/>
    </row>
    <row r="1054">
      <c r="H1054" s="78" t="n"/>
      <c r="N1054" s="473" t="n"/>
      <c r="O1054" s="474" t="n"/>
    </row>
    <row r="1055">
      <c r="H1055" s="78" t="n"/>
      <c r="N1055" s="473" t="n"/>
      <c r="O1055" s="474" t="n"/>
    </row>
    <row r="1056">
      <c r="H1056" s="78" t="n"/>
      <c r="N1056" s="473" t="n"/>
      <c r="O1056" s="474" t="n"/>
    </row>
    <row r="1057">
      <c r="H1057" s="78" t="n"/>
      <c r="N1057" s="473" t="n"/>
      <c r="O1057" s="474" t="n"/>
    </row>
    <row r="1058">
      <c r="H1058" s="78" t="n"/>
      <c r="N1058" s="473" t="n"/>
      <c r="O1058" s="474" t="n"/>
    </row>
    <row r="1059">
      <c r="H1059" s="78" t="n"/>
      <c r="N1059" s="473" t="n"/>
      <c r="O1059" s="474" t="n"/>
    </row>
    <row r="1060">
      <c r="H1060" s="78" t="n"/>
      <c r="N1060" s="473" t="n"/>
      <c r="O1060" s="474" t="n"/>
    </row>
    <row r="1061">
      <c r="H1061" s="78" t="n"/>
      <c r="N1061" s="473" t="n"/>
      <c r="O1061" s="474" t="n"/>
    </row>
    <row r="1062">
      <c r="H1062" s="78" t="n"/>
      <c r="N1062" s="473" t="n"/>
      <c r="O1062" s="474" t="n"/>
    </row>
    <row r="1063">
      <c r="H1063" s="78" t="n"/>
      <c r="N1063" s="473" t="n"/>
      <c r="O1063" s="474" t="n"/>
    </row>
    <row r="1064">
      <c r="H1064" s="78" t="n"/>
      <c r="N1064" s="473" t="n"/>
      <c r="O1064" s="474" t="n"/>
    </row>
    <row r="1065">
      <c r="H1065" s="78" t="n"/>
      <c r="N1065" s="473" t="n"/>
      <c r="O1065" s="474" t="n"/>
    </row>
    <row r="1066">
      <c r="H1066" s="78" t="n"/>
      <c r="N1066" s="473" t="n"/>
      <c r="O1066" s="474" t="n"/>
    </row>
    <row r="1067">
      <c r="H1067" s="78" t="n"/>
      <c r="N1067" s="473" t="n"/>
      <c r="O1067" s="474" t="n"/>
    </row>
    <row r="1068">
      <c r="H1068" s="78" t="n"/>
      <c r="N1068" s="473" t="n"/>
      <c r="O1068" s="474" t="n"/>
    </row>
    <row r="1069">
      <c r="H1069" s="78" t="n"/>
      <c r="N1069" s="473" t="n"/>
      <c r="O1069" s="474" t="n"/>
    </row>
    <row r="1070">
      <c r="H1070" s="78" t="n"/>
      <c r="N1070" s="473" t="n"/>
      <c r="O1070" s="474" t="n"/>
    </row>
    <row r="1071">
      <c r="H1071" s="78" t="n"/>
      <c r="N1071" s="473" t="n"/>
      <c r="O1071" s="474" t="n"/>
    </row>
    <row r="1072">
      <c r="H1072" s="78" t="n"/>
      <c r="N1072" s="473" t="n"/>
      <c r="O1072" s="474" t="n"/>
    </row>
    <row r="1073">
      <c r="H1073" s="78" t="n"/>
      <c r="N1073" s="473" t="n"/>
      <c r="O1073" s="474" t="n"/>
    </row>
    <row r="1074">
      <c r="H1074" s="78" t="n"/>
      <c r="N1074" s="473" t="n"/>
      <c r="O1074" s="474" t="n"/>
    </row>
    <row r="1075">
      <c r="H1075" s="78" t="n"/>
      <c r="N1075" s="473" t="n"/>
      <c r="O1075" s="474" t="n"/>
    </row>
    <row r="1076">
      <c r="H1076" s="78" t="n"/>
      <c r="N1076" s="473" t="n"/>
      <c r="O1076" s="474" t="n"/>
    </row>
    <row r="1077">
      <c r="H1077" s="78" t="n"/>
      <c r="N1077" s="473" t="n"/>
      <c r="O1077" s="474" t="n"/>
    </row>
    <row r="1078">
      <c r="H1078" s="78" t="n"/>
      <c r="N1078" s="473" t="n"/>
      <c r="O1078" s="474" t="n"/>
    </row>
    <row r="1079">
      <c r="H1079" s="78" t="n"/>
      <c r="N1079" s="473" t="n"/>
      <c r="O1079" s="474" t="n"/>
    </row>
    <row r="1080">
      <c r="H1080" s="78" t="n"/>
      <c r="N1080" s="473" t="n"/>
      <c r="O1080" s="474" t="n"/>
    </row>
    <row r="1081">
      <c r="H1081" s="78" t="n"/>
      <c r="N1081" s="473" t="n"/>
      <c r="O1081" s="474" t="n"/>
    </row>
    <row r="1082">
      <c r="H1082" s="78" t="n"/>
      <c r="N1082" s="473" t="n"/>
      <c r="O1082" s="474" t="n"/>
    </row>
    <row r="1083">
      <c r="H1083" s="78" t="n"/>
      <c r="N1083" s="473" t="n"/>
      <c r="O1083" s="474" t="n"/>
    </row>
    <row r="1084">
      <c r="H1084" s="78" t="n"/>
      <c r="N1084" s="473" t="n"/>
      <c r="O1084" s="474" t="n"/>
    </row>
    <row r="1085">
      <c r="H1085" s="78" t="n"/>
      <c r="N1085" s="473" t="n"/>
      <c r="O1085" s="474" t="n"/>
    </row>
    <row r="1086">
      <c r="H1086" s="78" t="n"/>
      <c r="N1086" s="473" t="n"/>
      <c r="O1086" s="474" t="n"/>
    </row>
    <row r="1087">
      <c r="H1087" s="78" t="n"/>
      <c r="N1087" s="473" t="n"/>
      <c r="O1087" s="474" t="n"/>
    </row>
    <row r="1088">
      <c r="H1088" s="78" t="n"/>
      <c r="N1088" s="473" t="n"/>
      <c r="O1088" s="474" t="n"/>
    </row>
    <row r="1089">
      <c r="H1089" s="78" t="n"/>
      <c r="N1089" s="473" t="n"/>
      <c r="O1089" s="474" t="n"/>
    </row>
    <row r="1090">
      <c r="H1090" s="78" t="n"/>
      <c r="N1090" s="473" t="n"/>
      <c r="O1090" s="474" t="n"/>
    </row>
    <row r="1091">
      <c r="H1091" s="78" t="n"/>
      <c r="N1091" s="473" t="n"/>
      <c r="O1091" s="474" t="n"/>
    </row>
    <row r="1092">
      <c r="H1092" s="78" t="n"/>
      <c r="N1092" s="473" t="n"/>
      <c r="O1092" s="474" t="n"/>
    </row>
    <row r="1093">
      <c r="H1093" s="78" t="n"/>
      <c r="N1093" s="473" t="n"/>
      <c r="O1093" s="474" t="n"/>
    </row>
    <row r="1094">
      <c r="H1094" s="78" t="n"/>
      <c r="N1094" s="473" t="n"/>
      <c r="O1094" s="474" t="n"/>
    </row>
    <row r="1095">
      <c r="H1095" s="78" t="n"/>
      <c r="N1095" s="473" t="n"/>
      <c r="O1095" s="474" t="n"/>
    </row>
    <row r="1096">
      <c r="H1096" s="78" t="n"/>
      <c r="N1096" s="473" t="n"/>
      <c r="O1096" s="474" t="n"/>
    </row>
    <row r="1097">
      <c r="H1097" s="78" t="n"/>
      <c r="N1097" s="473" t="n"/>
      <c r="O1097" s="474" t="n"/>
    </row>
    <row r="1098">
      <c r="H1098" s="78" t="n"/>
      <c r="N1098" s="473" t="n"/>
      <c r="O1098" s="474" t="n"/>
    </row>
    <row r="1099">
      <c r="H1099" s="78" t="n"/>
      <c r="N1099" s="473" t="n"/>
      <c r="O1099" s="474" t="n"/>
    </row>
    <row r="1100">
      <c r="H1100" s="78" t="n"/>
      <c r="N1100" s="473" t="n"/>
      <c r="O1100" s="474" t="n"/>
    </row>
    <row r="1101">
      <c r="H1101" s="78" t="n"/>
      <c r="N1101" s="473" t="n"/>
      <c r="O1101" s="474" t="n"/>
    </row>
    <row r="1102">
      <c r="H1102" s="78" t="n"/>
      <c r="N1102" s="473" t="n"/>
      <c r="O1102" s="474" t="n"/>
    </row>
    <row r="1103">
      <c r="H1103" s="78" t="n"/>
      <c r="N1103" s="473" t="n"/>
      <c r="O1103" s="474" t="n"/>
    </row>
    <row r="1104">
      <c r="H1104" s="78" t="n"/>
      <c r="N1104" s="473" t="n"/>
      <c r="O1104" s="474" t="n"/>
    </row>
    <row r="1105">
      <c r="H1105" s="78" t="n"/>
      <c r="N1105" s="473" t="n"/>
      <c r="O1105" s="474" t="n"/>
    </row>
    <row r="1106">
      <c r="H1106" s="78" t="n"/>
      <c r="N1106" s="473" t="n"/>
      <c r="O1106" s="474" t="n"/>
    </row>
    <row r="1107">
      <c r="H1107" s="78" t="n"/>
      <c r="N1107" s="473" t="n"/>
      <c r="O1107" s="474" t="n"/>
    </row>
    <row r="1108">
      <c r="H1108" s="78" t="n"/>
      <c r="N1108" s="473" t="n"/>
      <c r="O1108" s="474" t="n"/>
    </row>
    <row r="1109">
      <c r="H1109" s="78" t="n"/>
      <c r="N1109" s="473" t="n"/>
      <c r="O1109" s="474" t="n"/>
    </row>
    <row r="1110">
      <c r="H1110" s="78" t="n"/>
      <c r="N1110" s="473" t="n"/>
      <c r="O1110" s="474" t="n"/>
    </row>
    <row r="1111">
      <c r="H1111" s="78" t="n"/>
      <c r="N1111" s="473" t="n"/>
      <c r="O1111" s="474" t="n"/>
    </row>
    <row r="1112">
      <c r="H1112" s="78" t="n"/>
      <c r="N1112" s="473" t="n"/>
      <c r="O1112" s="474" t="n"/>
    </row>
    <row r="1113">
      <c r="H1113" s="78" t="n"/>
      <c r="N1113" s="473" t="n"/>
      <c r="O1113" s="474" t="n"/>
    </row>
    <row r="1114">
      <c r="H1114" s="78" t="n"/>
      <c r="N1114" s="473" t="n"/>
      <c r="O1114" s="474" t="n"/>
    </row>
    <row r="1115">
      <c r="H1115" s="78" t="n"/>
      <c r="N1115" s="473" t="n"/>
      <c r="O1115" s="474" t="n"/>
    </row>
  </sheetData>
  <mergeCells count="2">
    <mergeCell ref="Y1:AB1"/>
    <mergeCell ref="Y2:AB4"/>
  </mergeCells>
  <dataValidations count="1">
    <dataValidation sqref="H2:H178 N2:N178" showDropDown="1" showInputMessage="0" showErrorMessage="0" allowBlank="1" type="custom">
      <formula1>AND(ISNUMBER(H2),(NOT(OR(NOT(ISERROR(DATEVALUE(H2))), AND(ISNUMBER(H2), LEFT(CELL("format", H2))="D")))))</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0" summaryRight="0"/>
    <pageSetUpPr/>
  </sheetPr>
  <dimension ref="A1:AB1116"/>
  <sheetViews>
    <sheetView workbookViewId="0">
      <pane ySplit="1" topLeftCell="A2" activePane="bottomLeft" state="frozen"/>
      <selection pane="bottomLeft" activeCell="B3" sqref="B3"/>
    </sheetView>
  </sheetViews>
  <sheetFormatPr baseColWidth="8" defaultColWidth="12.63" defaultRowHeight="15.75" customHeight="1"/>
  <cols>
    <col width="8.75" customWidth="1" style="763" min="1" max="1"/>
    <col width="9.130000000000001" customWidth="1" style="763" min="3" max="3"/>
    <col width="11.5" customWidth="1" style="763" min="4" max="4"/>
    <col width="13.25" customWidth="1" style="763" min="6" max="6"/>
    <col width="11.25" customWidth="1" style="763" min="10" max="10"/>
    <col width="8.75" customWidth="1" style="763" min="11" max="12"/>
    <col width="9.130000000000001" customWidth="1" style="763" min="13" max="13"/>
    <col width="9.880000000000001" customWidth="1" style="763" min="14" max="14"/>
    <col width="9.75" customWidth="1" style="763" min="15" max="16"/>
    <col width="9.25" customWidth="1" style="763" min="17" max="17"/>
    <col width="11.13" customWidth="1" style="763" min="18" max="18"/>
    <col width="9.630000000000001" customWidth="1" style="763" min="19" max="19"/>
    <col width="8.5" customWidth="1" style="763" min="20" max="20"/>
    <col width="9.25" customWidth="1" style="763" min="21" max="21"/>
    <col width="8.25" customWidth="1" style="763" min="22" max="22"/>
    <col width="6.88" customWidth="1" style="763" min="23" max="23"/>
    <col width="10.25" customWidth="1" style="763" min="24" max="24"/>
    <col width="8.5" customWidth="1" style="763" min="25" max="25"/>
    <col width="8.380000000000001" customWidth="1" style="763" min="26" max="26"/>
  </cols>
  <sheetData>
    <row r="1">
      <c r="A1" s="475" t="inlineStr">
        <is>
          <t>Gender</t>
        </is>
      </c>
      <c r="B1" s="476" t="inlineStr">
        <is>
          <t>Event</t>
        </is>
      </c>
      <c r="C1" s="477" t="inlineStr">
        <is>
          <t>Age</t>
        </is>
      </c>
      <c r="D1" s="479" t="inlineStr">
        <is>
          <t>Base:12-14-16-18</t>
        </is>
      </c>
      <c r="E1" s="479" t="inlineStr">
        <is>
          <t>Base in Seonds</t>
        </is>
      </c>
      <c r="F1" s="480" t="inlineStr">
        <is>
          <t>Increment</t>
        </is>
      </c>
      <c r="G1" s="481" t="inlineStr">
        <is>
          <t>Base:12-18</t>
        </is>
      </c>
      <c r="H1" s="697" t="n"/>
      <c r="I1" s="697" t="n"/>
      <c r="J1" s="697" t="n"/>
      <c r="K1" s="370" t="inlineStr">
        <is>
          <t>95thTime</t>
        </is>
      </c>
      <c r="L1" s="89" t="n"/>
      <c r="M1" s="697" t="n"/>
      <c r="N1" s="697" t="n"/>
      <c r="O1" s="697" t="n"/>
      <c r="P1" s="697" t="n"/>
      <c r="Q1" s="697" t="n"/>
      <c r="R1" s="697" t="n"/>
      <c r="S1" s="697" t="n"/>
      <c r="T1" s="697" t="n"/>
      <c r="U1" s="697" t="n"/>
      <c r="V1" s="697" t="n"/>
      <c r="W1" s="697" t="n"/>
      <c r="X1" s="697" t="n"/>
      <c r="Y1" s="697" t="n"/>
      <c r="Z1" s="697" t="n"/>
      <c r="AA1" s="697" t="n"/>
      <c r="AB1" s="697" t="n"/>
    </row>
    <row r="2">
      <c r="A2" s="482" t="inlineStr">
        <is>
          <t>F</t>
        </is>
      </c>
      <c r="B2" s="483" t="inlineStr">
        <is>
          <t>100 Back</t>
        </is>
      </c>
      <c r="C2" s="484" t="n">
        <v>12</v>
      </c>
      <c r="D2" s="485" t="inlineStr">
        <is>
          <t>1:07.32</t>
        </is>
      </c>
      <c r="E2" s="35">
        <f>IF(ISNUMBER(FIND(":",D2)), VALUE(LEFT(D2,FIND(":",D2)-1))*60 + VALUE(RIGHT(D2,LEN(D2)-FIND(":",D2))), VALUE(D2))
</f>
        <v/>
      </c>
      <c r="F2" s="590" t="n"/>
      <c r="G2" s="14">
        <f>IF(E2&lt;60, TEXT(E2, "0.00"), TEXT(E2/(24*60*60), "M:SS.00"))</f>
        <v/>
      </c>
      <c r="H2" s="486" t="n"/>
      <c r="I2" s="487" t="inlineStr">
        <is>
          <t>Gender</t>
        </is>
      </c>
      <c r="J2" s="487" t="inlineStr">
        <is>
          <t>Event</t>
        </is>
      </c>
      <c r="K2" s="488" t="inlineStr">
        <is>
          <t>Age</t>
        </is>
      </c>
      <c r="L2" s="488" t="inlineStr">
        <is>
          <t>Time</t>
        </is>
      </c>
      <c r="M2" s="487" t="inlineStr">
        <is>
          <t>Age Points</t>
        </is>
      </c>
      <c r="P2" s="378" t="inlineStr">
        <is>
          <t>Evaluated Event Cluster: Short Free</t>
        </is>
      </c>
      <c r="Q2" s="764" t="n"/>
      <c r="R2" s="765" t="n"/>
      <c r="S2" s="489" t="n"/>
      <c r="T2" s="378" t="inlineStr">
        <is>
          <t>Evaluated Event Cluster: Fly</t>
        </is>
      </c>
      <c r="U2" s="764" t="n"/>
      <c r="V2" s="765" t="n"/>
      <c r="X2" s="378" t="inlineStr">
        <is>
          <t>Evaluated Event Cluster: Fly</t>
        </is>
      </c>
      <c r="Y2" s="764" t="n"/>
      <c r="Z2" s="765" t="n"/>
    </row>
    <row r="3">
      <c r="A3" s="490" t="inlineStr">
        <is>
          <t>F</t>
        </is>
      </c>
      <c r="B3" s="491" t="inlineStr">
        <is>
          <t>100 Back</t>
        </is>
      </c>
      <c r="C3" s="492" t="n">
        <v>13</v>
      </c>
      <c r="D3" s="493" t="n"/>
      <c r="E3" s="21">
        <f>E2-((E2-E4)*0.65)</f>
        <v/>
      </c>
      <c r="F3" s="505">
        <f>E2-E3</f>
        <v/>
      </c>
      <c r="G3" s="513">
        <f>IF(E3&lt;60, TEXT(E3, "0.00"), TEXT(E3/(24*60*60), "M:SS.00"))</f>
        <v/>
      </c>
      <c r="H3" s="486" t="n"/>
      <c r="I3" s="495" t="inlineStr">
        <is>
          <t>M</t>
        </is>
      </c>
      <c r="J3" s="142" t="inlineStr">
        <is>
          <t>50 Free</t>
        </is>
      </c>
      <c r="K3" s="142" t="n">
        <v>13</v>
      </c>
      <c r="L3" s="142" t="n">
        <v>26.94</v>
      </c>
      <c r="M3" s="496">
        <f t="array" ref="M3">1000*(INDEX('Bakat Base Times'!E:E,MATCH(I3&amp;J3&amp;K3,'Bakat Base Times'!A:A&amp;'Bakat Base Times'!B:B&amp;'Bakat Base Times'!C:C,0))/(IFERROR((VALUE(LEFT(L3,FIND(":",L3)-1))*60)+VALUE(MID(L3,FIND(":",L3)+1,LEN(L3))),L3)))^3
</f>
        <v/>
      </c>
      <c r="P3" s="291" t="inlineStr">
        <is>
          <t>Loo Cheng Feng (M- 15)</t>
        </is>
      </c>
      <c r="Q3" s="764" t="n"/>
      <c r="R3" s="765" t="n"/>
      <c r="T3" s="291" t="inlineStr">
        <is>
          <t>Ch'Ng Saw Huai (M- 14)</t>
        </is>
      </c>
      <c r="U3" s="764" t="n"/>
      <c r="V3" s="765" t="n"/>
      <c r="X3" s="291" t="inlineStr">
        <is>
          <t>Megan Ho (M- 15)</t>
        </is>
      </c>
      <c r="Y3" s="764" t="n"/>
      <c r="Z3" s="765" t="n"/>
    </row>
    <row r="4">
      <c r="A4" s="497" t="inlineStr">
        <is>
          <t>F</t>
        </is>
      </c>
      <c r="B4" s="707" t="inlineStr">
        <is>
          <t>100 Back</t>
        </is>
      </c>
      <c r="C4" s="709" t="n">
        <v>14</v>
      </c>
      <c r="D4" s="661" t="inlineStr">
        <is>
          <t>1:03.77</t>
        </is>
      </c>
      <c r="E4" s="35">
        <f>IF(ISNUMBER(FIND(":",D4)), VALUE(LEFT(D4,FIND(":",D4)-1))*60 + VALUE(RIGHT(D4,LEN(D4)-FIND(":",D4))), VALUE(D4))
</f>
        <v/>
      </c>
      <c r="F4" s="517">
        <f>E3-E4</f>
        <v/>
      </c>
      <c r="G4" s="512">
        <f>IF(E4&lt;60, TEXT(E4, "0.00"), TEXT(E4/(24*60*60), "M:SS.00"))</f>
        <v/>
      </c>
      <c r="H4" s="486" t="n"/>
      <c r="I4" s="486" t="n"/>
      <c r="K4" s="692" t="n"/>
      <c r="L4" s="692" t="n"/>
      <c r="P4" s="291" t="inlineStr">
        <is>
          <t>Event</t>
        </is>
      </c>
      <c r="Q4" s="291" t="inlineStr">
        <is>
          <t>Time</t>
        </is>
      </c>
      <c r="R4" s="501" t="inlineStr">
        <is>
          <t>Age Pts</t>
        </is>
      </c>
      <c r="T4" s="291" t="inlineStr">
        <is>
          <t>Event</t>
        </is>
      </c>
      <c r="U4" s="291" t="inlineStr">
        <is>
          <t>Time</t>
        </is>
      </c>
      <c r="V4" s="501" t="inlineStr">
        <is>
          <t>Age Pts</t>
        </is>
      </c>
      <c r="X4" s="291" t="inlineStr">
        <is>
          <t>Event</t>
        </is>
      </c>
      <c r="Y4" s="291" t="inlineStr">
        <is>
          <t>Time</t>
        </is>
      </c>
      <c r="Z4" s="501" t="inlineStr">
        <is>
          <t>Age Pts</t>
        </is>
      </c>
    </row>
    <row r="5">
      <c r="A5" s="502" t="inlineStr">
        <is>
          <t>F</t>
        </is>
      </c>
      <c r="B5" s="701" t="inlineStr">
        <is>
          <t>100 Back</t>
        </is>
      </c>
      <c r="C5" s="704" t="n">
        <v>15</v>
      </c>
      <c r="D5" s="665" t="n"/>
      <c r="E5" s="505">
        <f>E4-((E4-E6)*0.6)</f>
        <v/>
      </c>
      <c r="F5" s="505">
        <f>E4-E5</f>
        <v/>
      </c>
      <c r="G5" s="513">
        <f>IF(E5&lt;60, TEXT(E5, "0.00"), TEXT(E5/(24*60*60), "M:SS.00"))</f>
        <v/>
      </c>
      <c r="H5" s="486" t="n"/>
      <c r="I5" s="486" t="n"/>
      <c r="J5" s="689" t="inlineStr">
        <is>
          <t>don't need a range to turn that time into seconds</t>
        </is>
      </c>
      <c r="K5" s="692" t="n"/>
      <c r="L5" s="692" t="n"/>
      <c r="P5" s="506" t="inlineStr">
        <is>
          <t>50 Free</t>
        </is>
      </c>
      <c r="Q5" s="507" t="n">
        <v>24.1</v>
      </c>
      <c r="R5" s="508" t="n">
        <v>963</v>
      </c>
      <c r="T5" s="509" t="inlineStr">
        <is>
          <t>100 Fly</t>
        </is>
      </c>
      <c r="U5" s="510" t="inlineStr">
        <is>
          <t>1:01.32</t>
        </is>
      </c>
      <c r="V5" s="511" t="n">
        <v>822</v>
      </c>
      <c r="X5" s="509" t="inlineStr">
        <is>
          <t>100 Fly</t>
        </is>
      </c>
      <c r="Y5" s="510" t="n">
        <v>58.15</v>
      </c>
      <c r="Z5" s="511" t="n">
        <v>909</v>
      </c>
    </row>
    <row r="6">
      <c r="A6" s="497" t="inlineStr">
        <is>
          <t>F</t>
        </is>
      </c>
      <c r="B6" s="707" t="inlineStr">
        <is>
          <t>100 Back</t>
        </is>
      </c>
      <c r="C6" s="709" t="n">
        <v>16</v>
      </c>
      <c r="D6" s="661" t="inlineStr">
        <is>
          <t>1:02.08</t>
        </is>
      </c>
      <c r="E6" s="35">
        <f>IF(ISNUMBER(FIND(":",D6)), VALUE(LEFT(D6,FIND(":",D6)-1))*60 + VALUE(RIGHT(D6,LEN(D6)-FIND(":",D6))), VALUE(D6))
</f>
        <v/>
      </c>
      <c r="F6" s="517">
        <f>E5-E6</f>
        <v/>
      </c>
      <c r="G6" s="512">
        <f>IF(E6&lt;60, TEXT(E6, "0.00"), TEXT(E6/(24*60*60), "M:SS.00"))</f>
        <v/>
      </c>
      <c r="H6" s="486" t="n"/>
      <c r="I6" s="486" t="n"/>
      <c r="K6" s="692" t="n"/>
      <c r="L6" s="692" t="n"/>
      <c r="P6" s="509" t="inlineStr">
        <is>
          <t>100 Free</t>
        </is>
      </c>
      <c r="Q6" s="510" t="n">
        <v>52.68</v>
      </c>
      <c r="R6" s="511" t="n">
        <v>963</v>
      </c>
      <c r="T6" s="509" t="inlineStr">
        <is>
          <t>200 Fly</t>
        </is>
      </c>
      <c r="U6" s="510" t="inlineStr">
        <is>
          <t>2:09.21</t>
        </is>
      </c>
      <c r="V6" s="511" t="n">
        <v>967</v>
      </c>
      <c r="X6" s="509" t="inlineStr">
        <is>
          <t>200 Fly</t>
        </is>
      </c>
      <c r="Y6" s="510" t="inlineStr">
        <is>
          <t>2:28.04</t>
        </is>
      </c>
      <c r="Z6" s="511" t="n">
        <v>750</v>
      </c>
    </row>
    <row r="7">
      <c r="A7" s="502" t="inlineStr">
        <is>
          <t>F</t>
        </is>
      </c>
      <c r="B7" s="701" t="inlineStr">
        <is>
          <t>100 Back</t>
        </is>
      </c>
      <c r="C7" s="704" t="n">
        <v>17</v>
      </c>
      <c r="D7" s="665" t="n"/>
      <c r="E7" s="505">
        <f>E6-((E6-E8)*0.55)</f>
        <v/>
      </c>
      <c r="F7" s="505">
        <f>E6-E7</f>
        <v/>
      </c>
      <c r="G7" s="513">
        <f>IF(E7&lt;60, TEXT(E7, "0.00"), TEXT(E7/(24*60*60), "M:SS.00"))</f>
        <v/>
      </c>
      <c r="H7" s="486" t="n"/>
      <c r="I7" s="486" t="inlineStr">
        <is>
          <t>Then figure out how to estimate ages 13, 15 and 17 to make a valid improvement curve</t>
        </is>
      </c>
      <c r="K7" s="692" t="n"/>
      <c r="L7" s="692" t="n"/>
      <c r="P7" s="509" t="inlineStr">
        <is>
          <t>200 Free</t>
        </is>
      </c>
      <c r="Q7" s="510" t="inlineStr">
        <is>
          <t>1:58.72</t>
        </is>
      </c>
      <c r="R7" s="511" t="n">
        <v>881</v>
      </c>
      <c r="T7" s="514" t="n"/>
      <c r="U7" s="515" t="inlineStr">
        <is>
          <t>Average</t>
        </is>
      </c>
      <c r="V7" s="516">
        <f>average(V5:V6)</f>
        <v/>
      </c>
      <c r="X7" s="514" t="n"/>
      <c r="Y7" s="515" t="inlineStr">
        <is>
          <t>Average</t>
        </is>
      </c>
      <c r="Z7" s="516">
        <f>average(Z5:Z6)</f>
        <v/>
      </c>
    </row>
    <row r="8">
      <c r="A8" s="497" t="inlineStr">
        <is>
          <t>F</t>
        </is>
      </c>
      <c r="B8" s="707" t="inlineStr">
        <is>
          <t>100 Back</t>
        </is>
      </c>
      <c r="C8" s="709" t="n">
        <v>18</v>
      </c>
      <c r="D8" s="661" t="inlineStr">
        <is>
          <t>1:01.69</t>
        </is>
      </c>
      <c r="E8" s="35">
        <f>IF(ISNUMBER(FIND(":",D8)), VALUE(LEFT(D8,FIND(":",D8)-1))*60 + VALUE(RIGHT(D8,LEN(D8)-FIND(":",D8))), VALUE(D8))
</f>
        <v/>
      </c>
      <c r="F8" s="517">
        <f>E7-E8</f>
        <v/>
      </c>
      <c r="G8" s="512">
        <f>IF(E8&lt;60, TEXT(E8, "0.00"), TEXT(E8/(24*60*60), "M:SS.00"))</f>
        <v/>
      </c>
      <c r="H8" s="486" t="n"/>
      <c r="I8" s="486" t="inlineStr">
        <is>
          <t>Age 13: Using the younger time minus the difference times .65</t>
        </is>
      </c>
      <c r="K8" s="692" t="n"/>
      <c r="L8" s="692" t="n"/>
      <c r="P8" s="514" t="n"/>
      <c r="Q8" s="515" t="inlineStr">
        <is>
          <t>Average</t>
        </is>
      </c>
      <c r="R8" s="516">
        <f>average(R5:R7)</f>
        <v/>
      </c>
    </row>
    <row r="9">
      <c r="A9" s="502" t="inlineStr">
        <is>
          <t>M</t>
        </is>
      </c>
      <c r="B9" s="701" t="inlineStr">
        <is>
          <t>100 Back</t>
        </is>
      </c>
      <c r="C9" s="492" t="n">
        <v>12</v>
      </c>
      <c r="D9" s="665" t="inlineStr">
        <is>
          <t>1:04.91</t>
        </is>
      </c>
      <c r="E9" s="21">
        <f>IF(ISNUMBER(FIND(":",D9)), VALUE(LEFT(D9,FIND(":",D9)-1))*60 + VALUE(RIGHT(D9,LEN(D9)-FIND(":",D9))), VALUE(D9))
</f>
        <v/>
      </c>
      <c r="F9" s="613" t="n"/>
      <c r="G9" s="513">
        <f>IF(E9&lt;60, TEXT(E9, "0.00"), TEXT(E9/(24*60*60), "M:SS.00"))</f>
        <v/>
      </c>
      <c r="H9" s="486" t="n"/>
      <c r="I9" s="486" t="inlineStr">
        <is>
          <t>Age 15: Using the younger time minus the difference times .60</t>
        </is>
      </c>
      <c r="K9" s="692" t="n"/>
      <c r="L9" s="692" t="n"/>
    </row>
    <row r="10">
      <c r="A10" s="497" t="inlineStr">
        <is>
          <t>M</t>
        </is>
      </c>
      <c r="B10" s="707" t="inlineStr">
        <is>
          <t>100 Back</t>
        </is>
      </c>
      <c r="C10" s="484" t="n">
        <v>13</v>
      </c>
      <c r="D10" s="661" t="n"/>
      <c r="E10" s="35">
        <f>E9-((E9-E11)*0.65)</f>
        <v/>
      </c>
      <c r="F10" s="517">
        <f>E9-E10</f>
        <v/>
      </c>
      <c r="G10" s="512">
        <f>IF(E10&lt;60, TEXT(E10, "0.00"), TEXT(E10/(24*60*60), "M:SS.00"))</f>
        <v/>
      </c>
      <c r="H10" s="486" t="n"/>
      <c r="I10" s="486" t="inlineStr">
        <is>
          <t>Age 17: Using the younger time minus the difference times .55</t>
        </is>
      </c>
      <c r="K10" s="692" t="n"/>
      <c r="L10" s="692" t="n"/>
      <c r="P10" s="378" t="inlineStr">
        <is>
          <t>Evaluated Event Cluster: Long Free</t>
        </is>
      </c>
      <c r="Q10" s="764" t="n"/>
      <c r="R10" s="765" t="n"/>
      <c r="T10" s="378" t="inlineStr">
        <is>
          <t>Evaluated Event Cluster: Back</t>
        </is>
      </c>
      <c r="U10" s="764" t="n"/>
      <c r="V10" s="765" t="n"/>
      <c r="X10" s="378" t="inlineStr">
        <is>
          <t>Evaluated Event Cluster: Breast</t>
        </is>
      </c>
      <c r="Y10" s="764" t="n"/>
      <c r="Z10" s="765" t="n"/>
    </row>
    <row r="11">
      <c r="A11" s="502" t="inlineStr">
        <is>
          <t>M</t>
        </is>
      </c>
      <c r="B11" s="701" t="inlineStr">
        <is>
          <t>100 Back</t>
        </is>
      </c>
      <c r="C11" s="704" t="n">
        <v>14</v>
      </c>
      <c r="D11" s="665" t="n">
        <v>59.47</v>
      </c>
      <c r="E11" s="21">
        <f>IF(ISNUMBER(FIND(":",D11)), VALUE(LEFT(D11,FIND(":",D11)-1))*60 + VALUE(RIGHT(D11,LEN(D11)-FIND(":",D11))), VALUE(D11))
</f>
        <v/>
      </c>
      <c r="F11" s="505">
        <f>E10-E11</f>
        <v/>
      </c>
      <c r="G11" s="513">
        <f>IF(E11&lt;60, TEXT(E11, "0.00"), TEXT(E11/(24*60*60), "M:SS.00"))</f>
        <v/>
      </c>
      <c r="K11" s="692" t="n"/>
      <c r="L11" s="692" t="n"/>
      <c r="P11" s="291" t="inlineStr">
        <is>
          <t>Eu Jun Lin (M- 13)</t>
        </is>
      </c>
      <c r="Q11" s="764" t="n"/>
      <c r="R11" s="765" t="n"/>
      <c r="T11" s="291" t="inlineStr">
        <is>
          <t>Ayaz Zahin Bin Azhar (M- 12)</t>
        </is>
      </c>
      <c r="U11" s="764" t="n"/>
      <c r="V11" s="765" t="n"/>
      <c r="X11" s="291" t="inlineStr">
        <is>
          <t>Kayler Ngan (M- 13)</t>
        </is>
      </c>
      <c r="Y11" s="764" t="n"/>
      <c r="Z11" s="765" t="n"/>
    </row>
    <row r="12">
      <c r="A12" s="497" t="inlineStr">
        <is>
          <t>M</t>
        </is>
      </c>
      <c r="B12" s="707" t="inlineStr">
        <is>
          <t>100 Back</t>
        </is>
      </c>
      <c r="C12" s="709" t="n">
        <v>15</v>
      </c>
      <c r="D12" s="661" t="n"/>
      <c r="E12" s="517">
        <f>E11-((E11-E13)*0.6)</f>
        <v/>
      </c>
      <c r="F12" s="517">
        <f>E11-E12</f>
        <v/>
      </c>
      <c r="G12" s="512">
        <f>IF(E12&lt;60, TEXT(E12, "0.00"), TEXT(E12/(24*60*60), "M:SS.00"))</f>
        <v/>
      </c>
      <c r="J12" s="291" t="inlineStr">
        <is>
          <t>Evaluated Performance</t>
        </is>
      </c>
      <c r="K12" s="764" t="n"/>
      <c r="L12" s="764" t="n"/>
      <c r="M12" s="764" t="n"/>
      <c r="N12" s="765" t="n"/>
      <c r="P12" s="291" t="inlineStr">
        <is>
          <t>Event</t>
        </is>
      </c>
      <c r="Q12" s="291" t="inlineStr">
        <is>
          <t>Time</t>
        </is>
      </c>
      <c r="R12" s="501" t="inlineStr">
        <is>
          <t>Age Pts</t>
        </is>
      </c>
      <c r="T12" s="291" t="inlineStr">
        <is>
          <t>Event</t>
        </is>
      </c>
      <c r="U12" s="291" t="inlineStr">
        <is>
          <t>Time</t>
        </is>
      </c>
      <c r="V12" s="501" t="inlineStr">
        <is>
          <t>Age Pts</t>
        </is>
      </c>
      <c r="X12" s="291" t="inlineStr">
        <is>
          <t>Event</t>
        </is>
      </c>
      <c r="Y12" s="291" t="inlineStr">
        <is>
          <t>Time</t>
        </is>
      </c>
      <c r="Z12" s="501" t="inlineStr">
        <is>
          <t>Age Pts</t>
        </is>
      </c>
    </row>
    <row r="13">
      <c r="A13" s="502" t="inlineStr">
        <is>
          <t>M</t>
        </is>
      </c>
      <c r="B13" s="701" t="inlineStr">
        <is>
          <t>100 Back</t>
        </is>
      </c>
      <c r="C13" s="704" t="n">
        <v>16</v>
      </c>
      <c r="D13" s="665" t="n">
        <v>56.88</v>
      </c>
      <c r="E13" s="21">
        <f>IF(ISNUMBER(FIND(":",D13)), VALUE(LEFT(D13,FIND(":",D13)-1))*60 + VALUE(RIGHT(D13,LEN(D13)-FIND(":",D13))), VALUE(D13))
</f>
        <v/>
      </c>
      <c r="F13" s="505">
        <f>E12-E13</f>
        <v/>
      </c>
      <c r="G13" s="513">
        <f>IF(E13&lt;60, TEXT(E13, "0.00"), TEXT(E13/(24*60*60), "M:SS.00"))</f>
        <v/>
      </c>
      <c r="J13" s="501" t="inlineStr">
        <is>
          <t>Name</t>
        </is>
      </c>
      <c r="K13" s="501" t="inlineStr">
        <is>
          <t>Gender</t>
        </is>
      </c>
      <c r="L13" s="291" t="inlineStr">
        <is>
          <t>Event</t>
        </is>
      </c>
      <c r="M13" s="291" t="inlineStr">
        <is>
          <t>Age</t>
        </is>
      </c>
      <c r="N13" s="501" t="inlineStr">
        <is>
          <t>Time</t>
        </is>
      </c>
      <c r="P13" s="506" t="inlineStr">
        <is>
          <t>400 Free</t>
        </is>
      </c>
      <c r="Q13" s="507" t="inlineStr">
        <is>
          <t>4:36.11</t>
        </is>
      </c>
      <c r="R13" s="508" t="n">
        <v>770</v>
      </c>
      <c r="T13" s="509" t="inlineStr">
        <is>
          <t>100 Back</t>
        </is>
      </c>
      <c r="U13" s="510" t="inlineStr">
        <is>
          <t>1:09.71</t>
        </is>
      </c>
      <c r="V13" s="511" t="n">
        <v>806</v>
      </c>
      <c r="X13" s="509" t="inlineStr">
        <is>
          <t>100 Breast</t>
        </is>
      </c>
      <c r="Y13" s="510" t="inlineStr">
        <is>
          <t>1:18.82</t>
        </is>
      </c>
      <c r="Z13" s="511" t="n">
        <v>805</v>
      </c>
    </row>
    <row r="14">
      <c r="A14" s="497" t="inlineStr">
        <is>
          <t>M</t>
        </is>
      </c>
      <c r="B14" s="707" t="inlineStr">
        <is>
          <t>100 Back</t>
        </is>
      </c>
      <c r="C14" s="709" t="n">
        <v>17</v>
      </c>
      <c r="D14" s="661" t="n"/>
      <c r="E14" s="517">
        <f>E13-((E13-E15)*0.55)</f>
        <v/>
      </c>
      <c r="F14" s="517">
        <f>E13-E14</f>
        <v/>
      </c>
      <c r="G14" s="512">
        <f>IF(E14&lt;60, TEXT(E14, "0.00"), TEXT(E14/(24*60*60), "M:SS.00"))</f>
        <v/>
      </c>
      <c r="J14" s="518" t="inlineStr">
        <is>
          <t>Aw Yuet Ting</t>
        </is>
      </c>
      <c r="K14" s="402" t="inlineStr">
        <is>
          <t>F</t>
        </is>
      </c>
      <c r="L14" s="402" t="inlineStr">
        <is>
          <t>200 IM</t>
        </is>
      </c>
      <c r="M14" s="402" t="n">
        <v>14</v>
      </c>
      <c r="N14" s="519" t="inlineStr">
        <is>
          <t>2:25.61</t>
        </is>
      </c>
      <c r="P14" s="509" t="inlineStr">
        <is>
          <t>800 Free</t>
        </is>
      </c>
      <c r="Q14" s="510" t="inlineStr">
        <is>
          <t>9:28.15</t>
        </is>
      </c>
      <c r="R14" s="511" t="n">
        <v>798</v>
      </c>
      <c r="T14" s="509" t="inlineStr">
        <is>
          <t>200 Back</t>
        </is>
      </c>
      <c r="U14" s="510" t="inlineStr">
        <is>
          <t>2:34.37</t>
        </is>
      </c>
      <c r="V14" s="511" t="n">
        <v>763</v>
      </c>
      <c r="X14" s="509" t="inlineStr">
        <is>
          <t>200 Breast</t>
        </is>
      </c>
      <c r="Y14" s="510" t="inlineStr">
        <is>
          <t>2:50.58</t>
        </is>
      </c>
      <c r="Z14" s="511" t="n">
        <v>801</v>
      </c>
    </row>
    <row r="15">
      <c r="A15" s="502" t="inlineStr">
        <is>
          <t>M</t>
        </is>
      </c>
      <c r="B15" s="701" t="inlineStr">
        <is>
          <t>100 Back</t>
        </is>
      </c>
      <c r="C15" s="704" t="n">
        <v>18</v>
      </c>
      <c r="D15" s="665" t="n">
        <v>55.78</v>
      </c>
      <c r="E15" s="21">
        <f>IF(ISNUMBER(FIND(":",D15)), VALUE(LEFT(D15,FIND(":",D15)-1))*60 + VALUE(RIGHT(D15,LEN(D15)-FIND(":",D15))), VALUE(D15))
</f>
        <v/>
      </c>
      <c r="F15" s="505">
        <f>E14-E15</f>
        <v/>
      </c>
      <c r="G15" s="513">
        <f>IF(E15&lt;60, TEXT(E15, "0.00"), TEXT(E15/(24*60*60), "M:SS.00"))</f>
        <v/>
      </c>
      <c r="K15" s="692" t="n"/>
      <c r="L15" s="692" t="n"/>
      <c r="P15" s="509" t="inlineStr">
        <is>
          <t>1500 Free</t>
        </is>
      </c>
      <c r="Q15" s="510" t="inlineStr">
        <is>
          <t>17:37.62</t>
        </is>
      </c>
      <c r="R15" s="511" t="n">
        <v>869</v>
      </c>
      <c r="T15" s="514" t="n"/>
      <c r="U15" s="515" t="inlineStr">
        <is>
          <t>Average</t>
        </is>
      </c>
      <c r="V15" s="516">
        <f>average(V13:V14)</f>
        <v/>
      </c>
      <c r="X15" s="514" t="n"/>
      <c r="Y15" s="515" t="inlineStr">
        <is>
          <t>Average</t>
        </is>
      </c>
      <c r="Z15" s="516">
        <f>average(Z13:Z14)</f>
        <v/>
      </c>
    </row>
    <row r="16">
      <c r="A16" s="497" t="inlineStr">
        <is>
          <t>F</t>
        </is>
      </c>
      <c r="B16" s="707" t="inlineStr">
        <is>
          <t>100 Breast</t>
        </is>
      </c>
      <c r="C16" s="484" t="n">
        <v>12</v>
      </c>
      <c r="D16" s="661" t="inlineStr">
        <is>
          <t>1:15.74</t>
        </is>
      </c>
      <c r="E16" s="35">
        <f>IF(ISNUMBER(FIND(":",D16)), VALUE(LEFT(D16,FIND(":",D16)-1))*60 + VALUE(RIGHT(D16,LEN(D16)-FIND(":",D16))), VALUE(D16))
</f>
        <v/>
      </c>
      <c r="F16" s="590" t="n"/>
      <c r="G16" s="512">
        <f>IF(E16&lt;60, TEXT(E16, "0.00"), TEXT(E16/(24*60*60), "M:SS.00"))</f>
        <v/>
      </c>
      <c r="J16" s="291" t="inlineStr">
        <is>
          <t>Evaluated Performance</t>
        </is>
      </c>
      <c r="K16" s="764" t="n"/>
      <c r="L16" s="764" t="n"/>
      <c r="M16" s="764" t="n"/>
      <c r="N16" s="765" t="n"/>
      <c r="P16" s="514" t="n"/>
      <c r="Q16" s="515" t="inlineStr">
        <is>
          <t>Average</t>
        </is>
      </c>
      <c r="R16" s="516">
        <f>average(R13:R15)</f>
        <v/>
      </c>
    </row>
    <row r="17">
      <c r="A17" s="502" t="inlineStr">
        <is>
          <t>F</t>
        </is>
      </c>
      <c r="B17" s="701" t="inlineStr">
        <is>
          <t>100 Breast</t>
        </is>
      </c>
      <c r="C17" s="492" t="n">
        <v>13</v>
      </c>
      <c r="D17" s="665" t="n"/>
      <c r="E17" s="21">
        <f>E16-((E16-E18)*0.65)</f>
        <v/>
      </c>
      <c r="F17" s="505">
        <f>E16-E17</f>
        <v/>
      </c>
      <c r="G17" s="513">
        <f>IF(E17&lt;60, TEXT(E17, "0.00"), TEXT(E17/(24*60*60), "M:SS.00"))</f>
        <v/>
      </c>
      <c r="J17" s="501" t="inlineStr">
        <is>
          <t>Name</t>
        </is>
      </c>
      <c r="K17" s="501" t="inlineStr">
        <is>
          <t>Gender</t>
        </is>
      </c>
      <c r="L17" s="291" t="inlineStr">
        <is>
          <t>Event</t>
        </is>
      </c>
      <c r="M17" s="291" t="inlineStr">
        <is>
          <t>Age</t>
        </is>
      </c>
      <c r="N17" s="501" t="inlineStr">
        <is>
          <t>Time</t>
        </is>
      </c>
    </row>
    <row r="18">
      <c r="A18" s="497" t="inlineStr">
        <is>
          <t>F</t>
        </is>
      </c>
      <c r="B18" s="707" t="inlineStr">
        <is>
          <t>100 Breast</t>
        </is>
      </c>
      <c r="C18" s="709" t="n">
        <v>14</v>
      </c>
      <c r="D18" s="661" t="inlineStr">
        <is>
          <t>1:12.11</t>
        </is>
      </c>
      <c r="E18" s="35">
        <f>IF(ISNUMBER(FIND(":",D18)), VALUE(LEFT(D18,FIND(":",D18)-1))*60 + VALUE(RIGHT(D18,LEN(D18)-FIND(":",D18))), VALUE(D18))
</f>
        <v/>
      </c>
      <c r="F18" s="517">
        <f>E17-E18</f>
        <v/>
      </c>
      <c r="G18" s="512">
        <f>IF(E18&lt;60, TEXT(E18, "0.00"), TEXT(E18/(24*60*60), "M:SS.00"))</f>
        <v/>
      </c>
      <c r="J18" s="518" t="inlineStr">
        <is>
          <t>Ngui Jing</t>
        </is>
      </c>
      <c r="K18" s="402" t="inlineStr">
        <is>
          <t>M</t>
        </is>
      </c>
      <c r="L18" s="402" t="inlineStr">
        <is>
          <t>200 IM</t>
        </is>
      </c>
      <c r="M18" s="402" t="n">
        <v>16</v>
      </c>
      <c r="N18" s="519" t="inlineStr">
        <is>
          <t>2:11.55</t>
        </is>
      </c>
    </row>
    <row r="19">
      <c r="A19" s="502" t="inlineStr">
        <is>
          <t>F</t>
        </is>
      </c>
      <c r="B19" s="701" t="inlineStr">
        <is>
          <t>100 Breast</t>
        </is>
      </c>
      <c r="C19" s="704" t="n">
        <v>15</v>
      </c>
      <c r="D19" s="665" t="n"/>
      <c r="E19" s="505">
        <f>E18-((E18-E20)*0.6)</f>
        <v/>
      </c>
      <c r="F19" s="505">
        <f>E18-E19</f>
        <v/>
      </c>
      <c r="G19" s="513">
        <f>IF(E19&lt;60, TEXT(E19, "0.00"), TEXT(E19/(24*60*60), "M:SS.00"))</f>
        <v/>
      </c>
      <c r="K19" s="692" t="n"/>
      <c r="L19" s="692" t="n"/>
    </row>
    <row r="20">
      <c r="A20" s="497" t="inlineStr">
        <is>
          <t>F</t>
        </is>
      </c>
      <c r="B20" s="707" t="inlineStr">
        <is>
          <t>100 Breast</t>
        </is>
      </c>
      <c r="C20" s="709" t="n">
        <v>16</v>
      </c>
      <c r="D20" s="661" t="inlineStr">
        <is>
          <t>1:10.48</t>
        </is>
      </c>
      <c r="E20" s="35">
        <f>IF(ISNUMBER(FIND(":",D20)), VALUE(LEFT(D20,FIND(":",D20)-1))*60 + VALUE(RIGHT(D20,LEN(D20)-FIND(":",D20))), VALUE(D20))
</f>
        <v/>
      </c>
      <c r="F20" s="517">
        <f>E19-E20</f>
        <v/>
      </c>
      <c r="G20" s="512">
        <f>IF(E20&lt;60, TEXT(E20, "0.00"), TEXT(E20/(24*60*60), "M:SS.00"))</f>
        <v/>
      </c>
      <c r="J20" s="291" t="inlineStr">
        <is>
          <t>Evaluated Event Cluster: Short IM</t>
        </is>
      </c>
      <c r="K20" s="764" t="n"/>
      <c r="L20" s="765" t="n"/>
      <c r="N20" s="291" t="inlineStr">
        <is>
          <t>Evaluated Event Cluster: IM</t>
        </is>
      </c>
      <c r="O20" s="764" t="n"/>
      <c r="P20" s="765" t="n"/>
      <c r="R20" s="291" t="inlineStr">
        <is>
          <t>Evaluated Event Cluster: IM</t>
        </is>
      </c>
      <c r="S20" s="764" t="n"/>
      <c r="T20" s="765" t="n"/>
    </row>
    <row r="21">
      <c r="A21" s="502" t="inlineStr">
        <is>
          <t>F</t>
        </is>
      </c>
      <c r="B21" s="701" t="inlineStr">
        <is>
          <t>100 Breast</t>
        </is>
      </c>
      <c r="C21" s="704" t="n">
        <v>17</v>
      </c>
      <c r="D21" s="665" t="n"/>
      <c r="E21" s="505">
        <f>E20-((E20-E22)*0.55)</f>
        <v/>
      </c>
      <c r="F21" s="505">
        <f>E20-E21</f>
        <v/>
      </c>
      <c r="G21" s="513">
        <f>IF(E21&lt;60, TEXT(E21, "0.00"), TEXT(E21/(24*60*60), "M:SS.00"))</f>
        <v/>
      </c>
      <c r="J21" s="291" t="inlineStr">
        <is>
          <t>Aw Yuet Ting (F - 14)</t>
        </is>
      </c>
      <c r="K21" s="764" t="n"/>
      <c r="L21" s="765" t="n"/>
      <c r="N21" s="291" t="inlineStr">
        <is>
          <t>Ngui Jing (M - 16)</t>
        </is>
      </c>
      <c r="O21" s="764" t="n"/>
      <c r="P21" s="765" t="n"/>
      <c r="R21" s="291" t="inlineStr">
        <is>
          <t>Jodie Yip (F - 13)</t>
        </is>
      </c>
      <c r="S21" s="764" t="n"/>
      <c r="T21" s="765" t="n"/>
    </row>
    <row r="22">
      <c r="A22" s="497" t="inlineStr">
        <is>
          <t>F</t>
        </is>
      </c>
      <c r="B22" s="707" t="inlineStr">
        <is>
          <t>100 Breast</t>
        </is>
      </c>
      <c r="C22" s="709" t="n">
        <v>18</v>
      </c>
      <c r="D22" s="661" t="inlineStr">
        <is>
          <t>1:09.76</t>
        </is>
      </c>
      <c r="E22" s="35">
        <f>IF(ISNUMBER(FIND(":",D22)), VALUE(LEFT(D22,FIND(":",D22)-1))*60 + VALUE(RIGHT(D22,LEN(D22)-FIND(":",D22))), VALUE(D22))
</f>
        <v/>
      </c>
      <c r="F22" s="517">
        <f>E21-E22</f>
        <v/>
      </c>
      <c r="G22" s="512">
        <f>IF(E22&lt;60, TEXT(E22, "0.00"), TEXT(E22/(24*60*60), "M:SS.00"))</f>
        <v/>
      </c>
      <c r="J22" s="291" t="inlineStr">
        <is>
          <t>Event</t>
        </is>
      </c>
      <c r="K22" s="291" t="inlineStr">
        <is>
          <t>Time</t>
        </is>
      </c>
      <c r="L22" s="501" t="inlineStr">
        <is>
          <t>Age Pts</t>
        </is>
      </c>
      <c r="N22" s="291" t="inlineStr">
        <is>
          <t>Event</t>
        </is>
      </c>
      <c r="O22" s="291" t="inlineStr">
        <is>
          <t>Time</t>
        </is>
      </c>
      <c r="P22" s="291" t="inlineStr">
        <is>
          <t>Age Pts</t>
        </is>
      </c>
      <c r="R22" s="291" t="inlineStr">
        <is>
          <t>Event</t>
        </is>
      </c>
      <c r="S22" s="291" t="inlineStr">
        <is>
          <t>Time</t>
        </is>
      </c>
      <c r="T22" s="291" t="inlineStr">
        <is>
          <t>Age Pts</t>
        </is>
      </c>
    </row>
    <row r="23">
      <c r="A23" s="502" t="inlineStr">
        <is>
          <t>M</t>
        </is>
      </c>
      <c r="B23" s="701" t="inlineStr">
        <is>
          <t>100 Breast</t>
        </is>
      </c>
      <c r="C23" s="520" t="n">
        <v>12</v>
      </c>
      <c r="D23" s="665" t="inlineStr">
        <is>
          <t>1:12.90</t>
        </is>
      </c>
      <c r="E23" s="21">
        <f>IF(ISNUMBER(FIND(":",D23)), VALUE(LEFT(D23,FIND(":",D23)-1))*60 + VALUE(RIGHT(D23,LEN(D23)-FIND(":",D23))), VALUE(D23))
</f>
        <v/>
      </c>
      <c r="F23" s="521" t="n"/>
      <c r="G23" s="513">
        <f>IF(E23&lt;60, TEXT(E23, "0.00"), TEXT(E23/(24*60*60), "M:SS.00"))</f>
        <v/>
      </c>
      <c r="J23" s="506" t="inlineStr">
        <is>
          <t>100 Fly</t>
        </is>
      </c>
      <c r="K23" s="522" t="inlineStr">
        <is>
          <t>1:06.67</t>
        </is>
      </c>
      <c r="L23" s="508" t="n">
        <v>802</v>
      </c>
      <c r="N23" s="506" t="inlineStr">
        <is>
          <t>200 Fly</t>
        </is>
      </c>
      <c r="O23" s="522" t="inlineStr">
        <is>
          <t>2:14.15</t>
        </is>
      </c>
      <c r="P23" s="508" t="n">
        <v>753</v>
      </c>
      <c r="R23" s="506" t="inlineStr">
        <is>
          <t>200 Fly</t>
        </is>
      </c>
      <c r="S23" s="522" t="inlineStr">
        <is>
          <t>2:35.03</t>
        </is>
      </c>
      <c r="T23" s="508" t="n">
        <v>730</v>
      </c>
    </row>
    <row r="24">
      <c r="A24" s="497" t="inlineStr">
        <is>
          <t>M</t>
        </is>
      </c>
      <c r="B24" s="707" t="inlineStr">
        <is>
          <t>100 Breast</t>
        </is>
      </c>
      <c r="C24" s="523" t="n">
        <v>13</v>
      </c>
      <c r="D24" s="661" t="n"/>
      <c r="E24" s="35">
        <f>E23-((E23-E25)*0.65)</f>
        <v/>
      </c>
      <c r="F24" s="524">
        <f>E23-E24</f>
        <v/>
      </c>
      <c r="G24" s="512">
        <f>IF(E24&lt;60, TEXT(E24, "0.00"), TEXT(E24/(24*60*60), "M:SS.00"))</f>
        <v/>
      </c>
      <c r="J24" s="509" t="inlineStr">
        <is>
          <t>100 Back</t>
        </is>
      </c>
      <c r="K24" s="510" t="inlineStr">
        <is>
          <t>1:11.74</t>
        </is>
      </c>
      <c r="L24" s="511" t="n">
        <v>698</v>
      </c>
      <c r="N24" s="509" t="inlineStr">
        <is>
          <t>200 Back</t>
        </is>
      </c>
      <c r="O24" s="510" t="inlineStr">
        <is>
          <t>2:15.56</t>
        </is>
      </c>
      <c r="P24" s="511" t="n">
        <v>752</v>
      </c>
      <c r="R24" s="509" t="inlineStr">
        <is>
          <t>200 Back</t>
        </is>
      </c>
      <c r="S24" s="510" t="n"/>
      <c r="T24" s="511" t="n"/>
    </row>
    <row r="25">
      <c r="A25" s="502" t="inlineStr">
        <is>
          <t>M</t>
        </is>
      </c>
      <c r="B25" s="701" t="inlineStr">
        <is>
          <t>100 Breast</t>
        </is>
      </c>
      <c r="C25" s="525" t="n">
        <v>14</v>
      </c>
      <c r="D25" s="665" t="inlineStr">
        <is>
          <t>1:06.86</t>
        </is>
      </c>
      <c r="E25" s="21">
        <f>IF(ISNUMBER(FIND(":",D25)), VALUE(LEFT(D25,FIND(":",D25)-1))*60 + VALUE(RIGHT(D25,LEN(D25)-FIND(":",D25))), VALUE(D25))
</f>
        <v/>
      </c>
      <c r="F25" s="526">
        <f>E24-E25</f>
        <v/>
      </c>
      <c r="G25" s="513">
        <f>IF(E25&lt;60, TEXT(E25, "0.00"), TEXT(E25/(24*60*60), "M:SS.00"))</f>
        <v/>
      </c>
      <c r="J25" s="509" t="inlineStr">
        <is>
          <t>100 Breast</t>
        </is>
      </c>
      <c r="K25" s="510" t="inlineStr">
        <is>
          <t>1:13.34</t>
        </is>
      </c>
      <c r="L25" s="511" t="n">
        <v>948</v>
      </c>
      <c r="N25" s="509" t="inlineStr">
        <is>
          <t>200 Breast</t>
        </is>
      </c>
      <c r="O25" s="510" t="inlineStr">
        <is>
          <t>2:29.40</t>
        </is>
      </c>
      <c r="P25" s="511" t="n">
        <v>797</v>
      </c>
      <c r="R25" s="509" t="inlineStr">
        <is>
          <t>200 Breast</t>
        </is>
      </c>
      <c r="S25" s="510" t="inlineStr">
        <is>
          <t>2:48.49</t>
        </is>
      </c>
      <c r="T25" s="511" t="n">
        <v>831</v>
      </c>
    </row>
    <row r="26">
      <c r="A26" s="497" t="inlineStr">
        <is>
          <t>M</t>
        </is>
      </c>
      <c r="B26" s="707" t="inlineStr">
        <is>
          <t>100 Breast</t>
        </is>
      </c>
      <c r="C26" s="527" t="n">
        <v>15</v>
      </c>
      <c r="D26" s="661" t="n"/>
      <c r="E26" s="517">
        <f>E25-((E25-E27)*0.6)</f>
        <v/>
      </c>
      <c r="F26" s="524">
        <f>E25-E26</f>
        <v/>
      </c>
      <c r="G26" s="512">
        <f>IF(E26&lt;60, TEXT(E26, "0.00"), TEXT(E26/(24*60*60), "M:SS.00"))</f>
        <v/>
      </c>
      <c r="J26" s="509" t="inlineStr">
        <is>
          <t>200 Free</t>
        </is>
      </c>
      <c r="K26" s="510" t="inlineStr">
        <is>
          <t>2:18.66</t>
        </is>
      </c>
      <c r="L26" s="511" t="n">
        <v>714</v>
      </c>
      <c r="N26" s="509" t="inlineStr">
        <is>
          <t>400 Free</t>
        </is>
      </c>
      <c r="O26" s="510" t="inlineStr">
        <is>
          <t>4:23.35</t>
        </is>
      </c>
      <c r="P26" s="511" t="n">
        <v>735</v>
      </c>
      <c r="R26" s="509" t="inlineStr">
        <is>
          <t>400 Free</t>
        </is>
      </c>
      <c r="S26" s="510" t="inlineStr">
        <is>
          <t>4:49.33</t>
        </is>
      </c>
      <c r="T26" s="511" t="n">
        <v>755</v>
      </c>
    </row>
    <row r="27">
      <c r="A27" s="502" t="inlineStr">
        <is>
          <t>M</t>
        </is>
      </c>
      <c r="B27" s="701" t="inlineStr">
        <is>
          <t>100 Breast</t>
        </is>
      </c>
      <c r="C27" s="525" t="n">
        <v>16</v>
      </c>
      <c r="D27" s="665" t="inlineStr">
        <is>
          <t>1:03.78</t>
        </is>
      </c>
      <c r="E27" s="21">
        <f>IF(ISNUMBER(FIND(":",D27)), VALUE(LEFT(D27,FIND(":",D27)-1))*60 + VALUE(RIGHT(D27,LEN(D27)-FIND(":",D27))), VALUE(D27))
</f>
        <v/>
      </c>
      <c r="F27" s="526">
        <f>E26-E27</f>
        <v/>
      </c>
      <c r="G27" s="513">
        <f>IF(E27&lt;60, TEXT(E27, "0.00"), TEXT(E27/(24*60*60), "M:SS.00"))</f>
        <v/>
      </c>
      <c r="J27" s="528" t="inlineStr">
        <is>
          <t>200 IM</t>
        </is>
      </c>
      <c r="K27" s="529" t="inlineStr">
        <is>
          <t>2:24.90</t>
        </is>
      </c>
      <c r="L27" s="530" t="n">
        <v>892</v>
      </c>
      <c r="N27" s="509" t="inlineStr">
        <is>
          <t>200 IM</t>
        </is>
      </c>
      <c r="O27" s="510" t="inlineStr">
        <is>
          <t>2:11.55</t>
        </is>
      </c>
      <c r="P27" s="511" t="n">
        <v>866</v>
      </c>
      <c r="R27" s="509" t="inlineStr">
        <is>
          <t>200 IM</t>
        </is>
      </c>
      <c r="S27" s="510" t="inlineStr">
        <is>
          <t>2:34.02</t>
        </is>
      </c>
      <c r="T27" s="511" t="n">
        <v>780</v>
      </c>
    </row>
    <row r="28">
      <c r="A28" s="497" t="inlineStr">
        <is>
          <t>M</t>
        </is>
      </c>
      <c r="B28" s="707" t="inlineStr">
        <is>
          <t>100 Breast</t>
        </is>
      </c>
      <c r="C28" s="527" t="n">
        <v>17</v>
      </c>
      <c r="D28" s="661" t="n"/>
      <c r="E28" s="517">
        <f>E27-((E27-E29)*0.55)</f>
        <v/>
      </c>
      <c r="F28" s="524">
        <f>E27-E28</f>
        <v/>
      </c>
      <c r="G28" s="512">
        <f>IF(E28&lt;60, TEXT(E28, "0.00"), TEXT(E28/(24*60*60), "M:SS.00"))</f>
        <v/>
      </c>
      <c r="J28" s="514" t="n"/>
      <c r="K28" s="515" t="inlineStr">
        <is>
          <t>Average</t>
        </is>
      </c>
      <c r="L28" s="516">
        <f>average(L23:L27)</f>
        <v/>
      </c>
      <c r="N28" s="531" t="inlineStr">
        <is>
          <t>400 IM</t>
        </is>
      </c>
      <c r="O28" s="529" t="inlineStr">
        <is>
          <t>4:42.53</t>
        </is>
      </c>
      <c r="P28" s="530" t="n">
        <v>839</v>
      </c>
      <c r="R28" s="531" t="inlineStr">
        <is>
          <t>400 IM</t>
        </is>
      </c>
      <c r="S28" s="529" t="inlineStr">
        <is>
          <t>5:25.57</t>
        </is>
      </c>
      <c r="T28" s="530" t="n">
        <v>787</v>
      </c>
    </row>
    <row r="29">
      <c r="A29" s="502" t="inlineStr">
        <is>
          <t>M</t>
        </is>
      </c>
      <c r="B29" s="701" t="inlineStr">
        <is>
          <t>100 Breast</t>
        </is>
      </c>
      <c r="C29" s="525" t="n">
        <v>18</v>
      </c>
      <c r="D29" s="665" t="inlineStr">
        <is>
          <t>1:02.53</t>
        </is>
      </c>
      <c r="E29" s="21">
        <f>IF(ISNUMBER(FIND(":",D29)), VALUE(LEFT(D29,FIND(":",D29)-1))*60 + VALUE(RIGHT(D29,LEN(D29)-FIND(":",D29))), VALUE(D29))
</f>
        <v/>
      </c>
      <c r="F29" s="526">
        <f>E28-E29</f>
        <v/>
      </c>
      <c r="G29" s="513">
        <f>IF(E29&lt;60, TEXT(E29, "0.00"), TEXT(E29/(24*60*60), "M:SS.00"))</f>
        <v/>
      </c>
      <c r="K29" s="692" t="n"/>
      <c r="L29" s="692" t="n"/>
      <c r="N29" s="514" t="n"/>
      <c r="O29" s="495" t="inlineStr">
        <is>
          <t>Average</t>
        </is>
      </c>
      <c r="P29" s="516">
        <f>average(P23:P28)</f>
        <v/>
      </c>
      <c r="R29" s="514" t="n"/>
      <c r="S29" s="495" t="inlineStr">
        <is>
          <t>Average</t>
        </is>
      </c>
      <c r="T29" s="516">
        <f>average(T23:T28)</f>
        <v/>
      </c>
    </row>
    <row r="30">
      <c r="A30" s="497" t="inlineStr">
        <is>
          <t>F</t>
        </is>
      </c>
      <c r="B30" s="707" t="inlineStr">
        <is>
          <t>100 Fly</t>
        </is>
      </c>
      <c r="C30" s="520" t="n">
        <v>12</v>
      </c>
      <c r="D30" s="661" t="inlineStr">
        <is>
          <t>1:05.03</t>
        </is>
      </c>
      <c r="E30" s="35">
        <f>IF(ISNUMBER(FIND(":",D30)), VALUE(LEFT(D30,FIND(":",D30)-1))*60 + VALUE(RIGHT(D30,LEN(D30)-FIND(":",D30))), VALUE(D30))
</f>
        <v/>
      </c>
      <c r="F30" s="521" t="n"/>
      <c r="G30" s="512">
        <f>IF(E30&lt;60, TEXT(E30, "0.00"), TEXT(E30/(24*60*60), "M:SS.00"))</f>
        <v/>
      </c>
      <c r="J30" s="291" t="inlineStr">
        <is>
          <t>Evaluated Event Cluster: Long IM</t>
        </is>
      </c>
      <c r="K30" s="764" t="n"/>
      <c r="L30" s="765" t="n"/>
    </row>
    <row r="31">
      <c r="A31" s="502" t="inlineStr">
        <is>
          <t>F</t>
        </is>
      </c>
      <c r="B31" s="701" t="inlineStr">
        <is>
          <t>100 Fly</t>
        </is>
      </c>
      <c r="C31" s="523" t="n">
        <v>13</v>
      </c>
      <c r="D31" s="665" t="n"/>
      <c r="E31" s="21">
        <f>E30-((E30-E32)*0.65)</f>
        <v/>
      </c>
      <c r="F31" s="524">
        <f>E30-E31</f>
        <v/>
      </c>
      <c r="G31" s="513">
        <f>IF(E31&lt;60, TEXT(E31, "0.00"), TEXT(E31/(24*60*60), "M:SS.00"))</f>
        <v/>
      </c>
      <c r="J31" s="291" t="inlineStr">
        <is>
          <t>Aw Yuet Ting (F - 14)</t>
        </is>
      </c>
      <c r="K31" s="764" t="n"/>
      <c r="L31" s="765" t="n"/>
    </row>
    <row r="32">
      <c r="A32" s="497" t="inlineStr">
        <is>
          <t>F</t>
        </is>
      </c>
      <c r="B32" s="707" t="inlineStr">
        <is>
          <t>100 Fly</t>
        </is>
      </c>
      <c r="C32" s="525" t="n">
        <v>14</v>
      </c>
      <c r="D32" s="661" t="inlineStr">
        <is>
          <t>1:01.95</t>
        </is>
      </c>
      <c r="E32" s="35">
        <f>IF(ISNUMBER(FIND(":",D32)), VALUE(LEFT(D32,FIND(":",D32)-1))*60 + VALUE(RIGHT(D32,LEN(D32)-FIND(":",D32))), VALUE(D32))
</f>
        <v/>
      </c>
      <c r="F32" s="526">
        <f>E31-E32</f>
        <v/>
      </c>
      <c r="G32" s="512">
        <f>IF(E32&lt;60, TEXT(E32, "0.00"), TEXT(E32/(24*60*60), "M:SS.00"))</f>
        <v/>
      </c>
      <c r="J32" s="291" t="inlineStr">
        <is>
          <t>Event</t>
        </is>
      </c>
      <c r="K32" s="291" t="inlineStr">
        <is>
          <t>Time</t>
        </is>
      </c>
      <c r="L32" s="501" t="inlineStr">
        <is>
          <t>Age Pts</t>
        </is>
      </c>
    </row>
    <row r="33">
      <c r="A33" s="502" t="inlineStr">
        <is>
          <t>F</t>
        </is>
      </c>
      <c r="B33" s="701" t="inlineStr">
        <is>
          <t>100 Fly</t>
        </is>
      </c>
      <c r="C33" s="527" t="n">
        <v>15</v>
      </c>
      <c r="D33" s="665" t="n"/>
      <c r="E33" s="505">
        <f>E32-((E32-E34)*0.6)</f>
        <v/>
      </c>
      <c r="F33" s="524">
        <f>E32-E33</f>
        <v/>
      </c>
      <c r="G33" s="513">
        <f>IF(E33&lt;60, TEXT(E33, "0.00"), TEXT(E33/(24*60*60), "M:SS.00"))</f>
        <v/>
      </c>
      <c r="J33" s="506" t="inlineStr">
        <is>
          <t>200 Fly</t>
        </is>
      </c>
      <c r="K33" s="522" t="n"/>
      <c r="L33" s="508" t="n">
        <v>802</v>
      </c>
    </row>
    <row r="34">
      <c r="A34" s="497" t="inlineStr">
        <is>
          <t>F</t>
        </is>
      </c>
      <c r="B34" s="707" t="inlineStr">
        <is>
          <t>100 Fly</t>
        </is>
      </c>
      <c r="C34" s="525" t="n">
        <v>16</v>
      </c>
      <c r="D34" s="661" t="inlineStr">
        <is>
          <t>1:00.48</t>
        </is>
      </c>
      <c r="E34" s="35">
        <f>IF(ISNUMBER(FIND(":",D34)), VALUE(LEFT(D34,FIND(":",D34)-1))*60 + VALUE(RIGHT(D34,LEN(D34)-FIND(":",D34))), VALUE(D34))
</f>
        <v/>
      </c>
      <c r="F34" s="526">
        <f>E33-E34</f>
        <v/>
      </c>
      <c r="G34" s="512">
        <f>IF(E34&lt;60, TEXT(E34, "0.00"), TEXT(E34/(24*60*60), "M:SS.00"))</f>
        <v/>
      </c>
      <c r="J34" s="509" t="inlineStr">
        <is>
          <t>200 Back</t>
        </is>
      </c>
      <c r="K34" s="510" t="n"/>
      <c r="L34" s="511" t="n">
        <v>698</v>
      </c>
    </row>
    <row r="35">
      <c r="A35" s="502" t="inlineStr">
        <is>
          <t>F</t>
        </is>
      </c>
      <c r="B35" s="701" t="inlineStr">
        <is>
          <t>100 Fly</t>
        </is>
      </c>
      <c r="C35" s="527" t="n">
        <v>17</v>
      </c>
      <c r="D35" s="665" t="n"/>
      <c r="E35" s="505">
        <f>E34-((E34-E36)*0.55)</f>
        <v/>
      </c>
      <c r="F35" s="524">
        <f>E34-E35</f>
        <v/>
      </c>
      <c r="G35" s="513">
        <f>IF(E35&lt;60, TEXT(E35, "0.00"), TEXT(E35/(24*60*60), "M:SS.00"))</f>
        <v/>
      </c>
      <c r="J35" s="509" t="inlineStr">
        <is>
          <t>200 Breast</t>
        </is>
      </c>
      <c r="K35" s="510" t="inlineStr">
        <is>
          <t>2:40.14</t>
        </is>
      </c>
      <c r="L35" s="511" t="n">
        <v>911</v>
      </c>
    </row>
    <row r="36">
      <c r="A36" s="497" t="inlineStr">
        <is>
          <t>F</t>
        </is>
      </c>
      <c r="B36" s="707" t="inlineStr">
        <is>
          <t>100 Fly</t>
        </is>
      </c>
      <c r="C36" s="525" t="n">
        <v>18</v>
      </c>
      <c r="D36" s="661" t="n">
        <v>59.92</v>
      </c>
      <c r="E36" s="35">
        <f>IF(ISNUMBER(FIND(":",D36)), VALUE(LEFT(D36,FIND(":",D36)-1))*60 + VALUE(RIGHT(D36,LEN(D36)-FIND(":",D36))), VALUE(D36))
</f>
        <v/>
      </c>
      <c r="F36" s="526">
        <f>E35-E36</f>
        <v/>
      </c>
      <c r="G36" s="512">
        <f>IF(E36&lt;60, TEXT(E36, "0.00"), TEXT(E36/(24*60*60), "M:SS.00"))</f>
        <v/>
      </c>
      <c r="J36" s="509" t="inlineStr">
        <is>
          <t>400 Free</t>
        </is>
      </c>
      <c r="K36" s="510" t="n"/>
      <c r="L36" s="511" t="n">
        <v>714</v>
      </c>
    </row>
    <row r="37">
      <c r="A37" s="502" t="inlineStr">
        <is>
          <t>M</t>
        </is>
      </c>
      <c r="B37" s="701" t="inlineStr">
        <is>
          <t>100 Fly</t>
        </is>
      </c>
      <c r="C37" s="520" t="n">
        <v>12</v>
      </c>
      <c r="D37" s="665" t="inlineStr">
        <is>
          <t>1:02.68</t>
        </is>
      </c>
      <c r="E37" s="21">
        <f>IF(ISNUMBER(FIND(":",D37)), VALUE(LEFT(D37,FIND(":",D37)-1))*60 + VALUE(RIGHT(D37,LEN(D37)-FIND(":",D37))), VALUE(D37))
</f>
        <v/>
      </c>
      <c r="F37" s="521" t="n"/>
      <c r="G37" s="513">
        <f>IF(E37&lt;60, TEXT(E37, "0.00"), TEXT(E37/(24*60*60), "M:SS.00"))</f>
        <v/>
      </c>
      <c r="J37" s="528" t="inlineStr">
        <is>
          <t>200 IM</t>
        </is>
      </c>
      <c r="K37" s="510" t="inlineStr">
        <is>
          <t>2:24.90</t>
        </is>
      </c>
      <c r="L37" s="511" t="n">
        <v>892</v>
      </c>
    </row>
    <row r="38">
      <c r="A38" s="497" t="inlineStr">
        <is>
          <t>M</t>
        </is>
      </c>
      <c r="B38" s="707" t="inlineStr">
        <is>
          <t>100 Fly</t>
        </is>
      </c>
      <c r="C38" s="523" t="n">
        <v>13</v>
      </c>
      <c r="D38" s="661" t="n"/>
      <c r="E38" s="35">
        <f>E37-((E37-E39)*0.65)</f>
        <v/>
      </c>
      <c r="F38" s="524">
        <f>E37-E38</f>
        <v/>
      </c>
      <c r="G38" s="512">
        <f>IF(E38&lt;60, TEXT(E38, "0.00"), TEXT(E38/(24*60*60), "M:SS.00"))</f>
        <v/>
      </c>
      <c r="J38" s="531" t="inlineStr">
        <is>
          <t>400 IM</t>
        </is>
      </c>
      <c r="K38" s="529" t="inlineStr">
        <is>
          <t>5:17.13</t>
        </is>
      </c>
      <c r="L38" s="530" t="n">
        <v>798</v>
      </c>
    </row>
    <row r="39">
      <c r="A39" s="502" t="inlineStr">
        <is>
          <t>M</t>
        </is>
      </c>
      <c r="B39" s="701" t="inlineStr">
        <is>
          <t>100 Fly</t>
        </is>
      </c>
      <c r="C39" s="525" t="n">
        <v>14</v>
      </c>
      <c r="D39" s="665" t="n">
        <v>57.48</v>
      </c>
      <c r="E39" s="21">
        <f>IF(ISNUMBER(FIND(":",D39)), VALUE(LEFT(D39,FIND(":",D39)-1))*60 + VALUE(RIGHT(D39,LEN(D39)-FIND(":",D39))), VALUE(D39))
</f>
        <v/>
      </c>
      <c r="F39" s="526">
        <f>E38-E39</f>
        <v/>
      </c>
      <c r="G39" s="513">
        <f>IF(E39&lt;60, TEXT(E39, "0.00"), TEXT(E39/(24*60*60), "M:SS.00"))</f>
        <v/>
      </c>
      <c r="J39" s="514" t="n"/>
      <c r="K39" s="495" t="inlineStr">
        <is>
          <t>Average</t>
        </is>
      </c>
      <c r="L39" s="516">
        <f>average(L33:L38)</f>
        <v/>
      </c>
    </row>
    <row r="40">
      <c r="A40" s="497" t="inlineStr">
        <is>
          <t>M</t>
        </is>
      </c>
      <c r="B40" s="707" t="inlineStr">
        <is>
          <t>100 Fly</t>
        </is>
      </c>
      <c r="C40" s="527" t="n">
        <v>15</v>
      </c>
      <c r="D40" s="661" t="n"/>
      <c r="E40" s="517">
        <f>E39-((E39-E41)*0.6)</f>
        <v/>
      </c>
      <c r="F40" s="524">
        <f>E39-E40</f>
        <v/>
      </c>
      <c r="G40" s="512">
        <f>IF(E40&lt;60, TEXT(E40, "0.00"), TEXT(E40/(24*60*60), "M:SS.00"))</f>
        <v/>
      </c>
      <c r="K40" s="692" t="n"/>
      <c r="L40" s="692" t="n"/>
    </row>
    <row r="41">
      <c r="A41" s="502" t="inlineStr">
        <is>
          <t>M</t>
        </is>
      </c>
      <c r="B41" s="701" t="inlineStr">
        <is>
          <t>100 Fly</t>
        </is>
      </c>
      <c r="C41" s="525" t="n">
        <v>16</v>
      </c>
      <c r="D41" s="665" t="n">
        <v>54.76</v>
      </c>
      <c r="E41" s="21">
        <f>IF(ISNUMBER(FIND(":",D41)), VALUE(LEFT(D41,FIND(":",D41)-1))*60 + VALUE(RIGHT(D41,LEN(D41)-FIND(":",D41))), VALUE(D41))
</f>
        <v/>
      </c>
      <c r="F41" s="526">
        <f>E40-E41</f>
        <v/>
      </c>
      <c r="G41" s="513">
        <f>IF(E41&lt;60, TEXT(E41, "0.00"), TEXT(E41/(24*60*60), "M:SS.00"))</f>
        <v/>
      </c>
      <c r="K41" s="692" t="n"/>
      <c r="L41" s="692" t="n"/>
    </row>
    <row r="42">
      <c r="A42" s="497" t="inlineStr">
        <is>
          <t>M</t>
        </is>
      </c>
      <c r="B42" s="707" t="inlineStr">
        <is>
          <t>100 Fly</t>
        </is>
      </c>
      <c r="C42" s="527" t="n">
        <v>17</v>
      </c>
      <c r="D42" s="661" t="n"/>
      <c r="E42" s="517">
        <f>E41-((E41-E43)*0.55)</f>
        <v/>
      </c>
      <c r="F42" s="524">
        <f>E41-E42</f>
        <v/>
      </c>
      <c r="G42" s="512">
        <f>IF(E42&lt;60, TEXT(E42, "0.00"), TEXT(E42/(24*60*60), "M:SS.00"))</f>
        <v/>
      </c>
      <c r="K42" s="692" t="n"/>
      <c r="L42" s="692" t="n"/>
    </row>
    <row r="43">
      <c r="A43" s="502" t="inlineStr">
        <is>
          <t>M</t>
        </is>
      </c>
      <c r="B43" s="701" t="inlineStr">
        <is>
          <t>100 Fly</t>
        </is>
      </c>
      <c r="C43" s="525" t="n">
        <v>18</v>
      </c>
      <c r="D43" s="665" t="n">
        <v>53.76</v>
      </c>
      <c r="E43" s="21">
        <f>IF(ISNUMBER(FIND(":",D43)), VALUE(LEFT(D43,FIND(":",D43)-1))*60 + VALUE(RIGHT(D43,LEN(D43)-FIND(":",D43))), VALUE(D43))
</f>
        <v/>
      </c>
      <c r="F43" s="526">
        <f>E42-E43</f>
        <v/>
      </c>
      <c r="G43" s="513">
        <f>IF(E43&lt;60, TEXT(E43, "0.00"), TEXT(E43/(24*60*60), "M:SS.00"))</f>
        <v/>
      </c>
      <c r="K43" s="692" t="n"/>
      <c r="L43" s="692" t="n"/>
    </row>
    <row r="44">
      <c r="A44" s="497" t="inlineStr">
        <is>
          <t>F</t>
        </is>
      </c>
      <c r="B44" s="707" t="inlineStr">
        <is>
          <t>100 Free</t>
        </is>
      </c>
      <c r="C44" s="520" t="n">
        <v>12</v>
      </c>
      <c r="D44" s="661" t="n">
        <v>59.72</v>
      </c>
      <c r="E44" s="35">
        <f>IF(ISNUMBER(FIND(":",D44)), VALUE(LEFT(D44,FIND(":",D44)-1))*60 + VALUE(RIGHT(D44,LEN(D44)-FIND(":",D44))), VALUE(D44))
</f>
        <v/>
      </c>
      <c r="F44" s="521" t="n"/>
      <c r="G44" s="512">
        <f>IF(E44&lt;60, TEXT(E44, "0.00"), TEXT(E44/(24*60*60), "M:SS.00"))</f>
        <v/>
      </c>
      <c r="K44" s="692" t="n"/>
      <c r="L44" s="692" t="n"/>
    </row>
    <row r="45">
      <c r="A45" s="502" t="inlineStr">
        <is>
          <t>F</t>
        </is>
      </c>
      <c r="B45" s="701" t="inlineStr">
        <is>
          <t>100 Free</t>
        </is>
      </c>
      <c r="C45" s="523" t="n">
        <v>13</v>
      </c>
      <c r="D45" s="665" t="n"/>
      <c r="E45" s="21">
        <f>E44-((E44-E46)*0.65)</f>
        <v/>
      </c>
      <c r="F45" s="524">
        <f>E44-E45</f>
        <v/>
      </c>
      <c r="G45" s="513">
        <f>IF(E45&lt;60, TEXT(E45, "0.00"), TEXT(E45/(24*60*60), "M:SS.00"))</f>
        <v/>
      </c>
      <c r="K45" s="692" t="n"/>
      <c r="L45" s="692" t="n"/>
    </row>
    <row r="46">
      <c r="A46" s="497" t="inlineStr">
        <is>
          <t>F</t>
        </is>
      </c>
      <c r="B46" s="707" t="inlineStr">
        <is>
          <t>100 Free</t>
        </is>
      </c>
      <c r="C46" s="525" t="n">
        <v>14</v>
      </c>
      <c r="D46" s="661" t="n">
        <v>57.37</v>
      </c>
      <c r="E46" s="35">
        <f>IF(ISNUMBER(FIND(":",D46)), VALUE(LEFT(D46,FIND(":",D46)-1))*60 + VALUE(RIGHT(D46,LEN(D46)-FIND(":",D46))), VALUE(D46))
</f>
        <v/>
      </c>
      <c r="F46" s="526">
        <f>E45-E46</f>
        <v/>
      </c>
      <c r="G46" s="512">
        <f>IF(E46&lt;60, TEXT(E46, "0.00"), TEXT(E46/(24*60*60), "M:SS.00"))</f>
        <v/>
      </c>
      <c r="K46" s="692" t="n"/>
      <c r="L46" s="692" t="n"/>
    </row>
    <row r="47">
      <c r="A47" s="502" t="inlineStr">
        <is>
          <t>F</t>
        </is>
      </c>
      <c r="B47" s="701" t="inlineStr">
        <is>
          <t>100 Free</t>
        </is>
      </c>
      <c r="C47" s="527" t="n">
        <v>15</v>
      </c>
      <c r="D47" s="665" t="n"/>
      <c r="E47" s="505">
        <f>E46-((E46-E48)*0.6)</f>
        <v/>
      </c>
      <c r="F47" s="524">
        <f>E46-E47</f>
        <v/>
      </c>
      <c r="G47" s="513">
        <f>IF(E47&lt;60, TEXT(E47, "0.00"), TEXT(E47/(24*60*60), "M:SS.00"))</f>
        <v/>
      </c>
      <c r="K47" s="692" t="n"/>
      <c r="L47" s="692" t="n"/>
    </row>
    <row r="48">
      <c r="A48" s="497" t="inlineStr">
        <is>
          <t>F</t>
        </is>
      </c>
      <c r="B48" s="707" t="inlineStr">
        <is>
          <t>100 Free</t>
        </is>
      </c>
      <c r="C48" s="525" t="n">
        <v>16</v>
      </c>
      <c r="D48" s="661" t="n">
        <v>56.08</v>
      </c>
      <c r="E48" s="35">
        <f>IF(ISNUMBER(FIND(":",D48)), VALUE(LEFT(D48,FIND(":",D48)-1))*60 + VALUE(RIGHT(D48,LEN(D48)-FIND(":",D48))), VALUE(D48))
</f>
        <v/>
      </c>
      <c r="F48" s="526">
        <f>E47-E48</f>
        <v/>
      </c>
      <c r="G48" s="512">
        <f>IF(E48&lt;60, TEXT(E48, "0.00"), TEXT(E48/(24*60*60), "M:SS.00"))</f>
        <v/>
      </c>
      <c r="K48" s="692" t="n"/>
      <c r="L48" s="692" t="n"/>
    </row>
    <row r="49">
      <c r="A49" s="502" t="inlineStr">
        <is>
          <t>F</t>
        </is>
      </c>
      <c r="B49" s="701" t="inlineStr">
        <is>
          <t>100 Free</t>
        </is>
      </c>
      <c r="C49" s="527" t="n">
        <v>17</v>
      </c>
      <c r="D49" s="665" t="n"/>
      <c r="E49" s="505">
        <f>E48-((E48-E50)*0.55)</f>
        <v/>
      </c>
      <c r="F49" s="524">
        <f>E48-E49</f>
        <v/>
      </c>
      <c r="G49" s="513">
        <f>IF(E49&lt;60, TEXT(E49, "0.00"), TEXT(E49/(24*60*60), "M:SS.00"))</f>
        <v/>
      </c>
      <c r="K49" s="692" t="n"/>
      <c r="L49" s="692" t="n"/>
    </row>
    <row r="50">
      <c r="A50" s="497" t="inlineStr">
        <is>
          <t>F</t>
        </is>
      </c>
      <c r="B50" s="707" t="inlineStr">
        <is>
          <t>100 Free</t>
        </is>
      </c>
      <c r="C50" s="525" t="n">
        <v>18</v>
      </c>
      <c r="D50" s="661" t="n">
        <v>55.74</v>
      </c>
      <c r="E50" s="35">
        <f>IF(ISNUMBER(FIND(":",D50)), VALUE(LEFT(D50,FIND(":",D50)-1))*60 + VALUE(RIGHT(D50,LEN(D50)-FIND(":",D50))), VALUE(D50))
</f>
        <v/>
      </c>
      <c r="F50" s="526">
        <f>E49-E50</f>
        <v/>
      </c>
      <c r="G50" s="512">
        <f>IF(E50&lt;60, TEXT(E50, "0.00"), TEXT(E50/(24*60*60), "M:SS.00"))</f>
        <v/>
      </c>
      <c r="K50" s="692" t="n"/>
      <c r="L50" s="692" t="n"/>
    </row>
    <row r="51">
      <c r="A51" s="502" t="inlineStr">
        <is>
          <t>M</t>
        </is>
      </c>
      <c r="B51" s="701" t="inlineStr">
        <is>
          <t>100 Free</t>
        </is>
      </c>
      <c r="C51" s="520" t="n">
        <v>12</v>
      </c>
      <c r="D51" s="665" t="n">
        <v>57.39</v>
      </c>
      <c r="E51" s="21">
        <f>IF(ISNUMBER(FIND(":",D51)), VALUE(LEFT(D51,FIND(":",D51)-1))*60 + VALUE(RIGHT(D51,LEN(D51)-FIND(":",D51))), VALUE(D51))
</f>
        <v/>
      </c>
      <c r="F51" s="521" t="n"/>
      <c r="G51" s="513">
        <f>IF(E51&lt;60, TEXT(E51, "0.00"), TEXT(E51/(24*60*60), "M:SS.00"))</f>
        <v/>
      </c>
      <c r="K51" s="692" t="n"/>
      <c r="L51" s="692" t="n"/>
    </row>
    <row r="52">
      <c r="A52" s="497" t="inlineStr">
        <is>
          <t>M</t>
        </is>
      </c>
      <c r="B52" s="707" t="inlineStr">
        <is>
          <t>100 Free</t>
        </is>
      </c>
      <c r="C52" s="523" t="n">
        <v>13</v>
      </c>
      <c r="D52" s="661" t="n"/>
      <c r="E52" s="35">
        <f>E51-((E51-E53)*0.65)</f>
        <v/>
      </c>
      <c r="F52" s="524">
        <f>E51-E52</f>
        <v/>
      </c>
      <c r="G52" s="512">
        <f>IF(E52&lt;60, TEXT(E52, "0.00"), TEXT(E52/(24*60*60), "M:SS.00"))</f>
        <v/>
      </c>
      <c r="K52" s="692" t="n"/>
      <c r="L52" s="692" t="n"/>
    </row>
    <row r="53">
      <c r="A53" s="502" t="inlineStr">
        <is>
          <t>M</t>
        </is>
      </c>
      <c r="B53" s="701" t="inlineStr">
        <is>
          <t>100 Free</t>
        </is>
      </c>
      <c r="C53" s="525" t="n">
        <v>14</v>
      </c>
      <c r="D53" s="665" t="n">
        <v>53.44</v>
      </c>
      <c r="E53" s="21">
        <f>IF(ISNUMBER(FIND(":",D53)), VALUE(LEFT(D53,FIND(":",D53)-1))*60 + VALUE(RIGHT(D53,LEN(D53)-FIND(":",D53))), VALUE(D53))
</f>
        <v/>
      </c>
      <c r="F53" s="526">
        <f>E52-E53</f>
        <v/>
      </c>
      <c r="G53" s="513">
        <f>IF(E53&lt;60, TEXT(E53, "0.00"), TEXT(E53/(24*60*60), "M:SS.00"))</f>
        <v/>
      </c>
      <c r="K53" s="692" t="n"/>
      <c r="L53" s="692" t="n"/>
    </row>
    <row r="54">
      <c r="A54" s="497" t="inlineStr">
        <is>
          <t>M</t>
        </is>
      </c>
      <c r="B54" s="707" t="inlineStr">
        <is>
          <t>100 Free</t>
        </is>
      </c>
      <c r="C54" s="527" t="n">
        <v>15</v>
      </c>
      <c r="D54" s="661" t="n"/>
      <c r="E54" s="517">
        <f>E53-((E53-E55)*0.6)</f>
        <v/>
      </c>
      <c r="F54" s="524">
        <f>E53-E54</f>
        <v/>
      </c>
      <c r="G54" s="512">
        <f>IF(E54&lt;60, TEXT(E54, "0.00"), TEXT(E54/(24*60*60), "M:SS.00"))</f>
        <v/>
      </c>
      <c r="K54" s="692" t="n"/>
      <c r="L54" s="692" t="n"/>
    </row>
    <row r="55">
      <c r="A55" s="502" t="inlineStr">
        <is>
          <t>M</t>
        </is>
      </c>
      <c r="B55" s="701" t="inlineStr">
        <is>
          <t>100 Free</t>
        </is>
      </c>
      <c r="C55" s="525" t="n">
        <v>16</v>
      </c>
      <c r="D55" s="665" t="n">
        <v>51.13</v>
      </c>
      <c r="E55" s="21">
        <f>IF(ISNUMBER(FIND(":",D55)), VALUE(LEFT(D55,FIND(":",D55)-1))*60 + VALUE(RIGHT(D55,LEN(D55)-FIND(":",D55))), VALUE(D55))
</f>
        <v/>
      </c>
      <c r="F55" s="526">
        <f>E54-E55</f>
        <v/>
      </c>
      <c r="G55" s="513">
        <f>IF(E55&lt;60, TEXT(E55, "0.00"), TEXT(E55/(24*60*60), "M:SS.00"))</f>
        <v/>
      </c>
      <c r="K55" s="692" t="n"/>
      <c r="L55" s="692" t="n"/>
    </row>
    <row r="56">
      <c r="A56" s="497" t="inlineStr">
        <is>
          <t>M</t>
        </is>
      </c>
      <c r="B56" s="707" t="inlineStr">
        <is>
          <t>100 Free</t>
        </is>
      </c>
      <c r="C56" s="527" t="n">
        <v>17</v>
      </c>
      <c r="D56" s="661" t="n"/>
      <c r="E56" s="517">
        <f>E55-((E55-E57)*0.55)</f>
        <v/>
      </c>
      <c r="F56" s="524">
        <f>E55-E56</f>
        <v/>
      </c>
      <c r="G56" s="512">
        <f>IF(E56&lt;60, TEXT(E56, "0.00"), TEXT(E56/(24*60*60), "M:SS.00"))</f>
        <v/>
      </c>
      <c r="K56" s="692" t="n"/>
      <c r="L56" s="692" t="n"/>
    </row>
    <row r="57">
      <c r="A57" s="502" t="inlineStr">
        <is>
          <t>M</t>
        </is>
      </c>
      <c r="B57" s="701" t="inlineStr">
        <is>
          <t>100 Free</t>
        </is>
      </c>
      <c r="C57" s="525" t="n">
        <v>18</v>
      </c>
      <c r="D57" s="665" t="n">
        <v>50.16</v>
      </c>
      <c r="E57" s="21">
        <f>IF(ISNUMBER(FIND(":",D57)), VALUE(LEFT(D57,FIND(":",D57)-1))*60 + VALUE(RIGHT(D57,LEN(D57)-FIND(":",D57))), VALUE(D57))
</f>
        <v/>
      </c>
      <c r="F57" s="526">
        <f>E56-E57</f>
        <v/>
      </c>
      <c r="G57" s="513">
        <f>IF(E57&lt;60, TEXT(E57, "0.00"), TEXT(E57/(24*60*60), "M:SS.00"))</f>
        <v/>
      </c>
      <c r="K57" s="692" t="n"/>
      <c r="L57" s="692" t="n"/>
    </row>
    <row r="58">
      <c r="A58" s="497" t="inlineStr">
        <is>
          <t>F</t>
        </is>
      </c>
      <c r="B58" s="707" t="inlineStr">
        <is>
          <t>1500 Free</t>
        </is>
      </c>
      <c r="C58" s="520" t="n">
        <v>12</v>
      </c>
      <c r="D58" s="661" t="inlineStr">
        <is>
          <t>18:011.02</t>
        </is>
      </c>
      <c r="E58" s="35">
        <f>IF(ISNUMBER(FIND(":",D58)), VALUE(LEFT(D58,FIND(":",D58)-1))*60 + VALUE(RIGHT(D58,LEN(D58)-FIND(":",D58))), VALUE(D58))
</f>
        <v/>
      </c>
      <c r="F58" s="521" t="n"/>
      <c r="G58" s="512">
        <f>IF(E58&lt;60, TEXT(E58, "0.00"), TEXT(E58/(24*60*60), "M:SS.00"))</f>
        <v/>
      </c>
      <c r="K58" s="692" t="n"/>
      <c r="L58" s="692" t="n"/>
    </row>
    <row r="59">
      <c r="A59" s="502" t="inlineStr">
        <is>
          <t>F</t>
        </is>
      </c>
      <c r="B59" s="701" t="inlineStr">
        <is>
          <t>1500 Free</t>
        </is>
      </c>
      <c r="C59" s="523" t="n">
        <v>13</v>
      </c>
      <c r="D59" s="665" t="n"/>
      <c r="E59" s="21">
        <f>E58-((E58-E60)*0.65)</f>
        <v/>
      </c>
      <c r="F59" s="524">
        <f>E58-E59</f>
        <v/>
      </c>
      <c r="G59" s="513">
        <f>IF(E59&lt;60, TEXT(E59, "0.00"), TEXT(E59/(24*60*60), "M:SS.00"))</f>
        <v/>
      </c>
      <c r="K59" s="692" t="n"/>
      <c r="L59" s="692" t="n"/>
    </row>
    <row r="60">
      <c r="A60" s="497" t="inlineStr">
        <is>
          <t>F</t>
        </is>
      </c>
      <c r="B60" s="707" t="inlineStr">
        <is>
          <t>1500 Free</t>
        </is>
      </c>
      <c r="C60" s="525" t="n">
        <v>14</v>
      </c>
      <c r="D60" s="661" t="inlineStr">
        <is>
          <t>16:56.22</t>
        </is>
      </c>
      <c r="E60" s="35">
        <f>IF(ISNUMBER(FIND(":",D60)), VALUE(LEFT(D60,FIND(":",D60)-1))*60 + VALUE(RIGHT(D60,LEN(D60)-FIND(":",D60))), VALUE(D60))
</f>
        <v/>
      </c>
      <c r="F60" s="526">
        <f>E59-E60</f>
        <v/>
      </c>
      <c r="G60" s="512">
        <f>IF(E60&lt;60, TEXT(E60, "0.00"), TEXT(E60/(24*60*60), "M:SS.00"))</f>
        <v/>
      </c>
      <c r="K60" s="692" t="n"/>
      <c r="L60" s="692" t="n"/>
    </row>
    <row r="61">
      <c r="A61" s="502" t="inlineStr">
        <is>
          <t>F</t>
        </is>
      </c>
      <c r="B61" s="701" t="inlineStr">
        <is>
          <t>1500 Free</t>
        </is>
      </c>
      <c r="C61" s="527" t="n">
        <v>15</v>
      </c>
      <c r="D61" s="665" t="n"/>
      <c r="E61" s="505">
        <f>E60-((E60-E62)*0.6)</f>
        <v/>
      </c>
      <c r="F61" s="524">
        <f>E60-E61</f>
        <v/>
      </c>
      <c r="G61" s="513">
        <f>IF(E61&lt;60, TEXT(E61, "0.00"), TEXT(E61/(24*60*60), "M:SS.00"))</f>
        <v/>
      </c>
      <c r="K61" s="692" t="n"/>
      <c r="L61" s="692" t="n"/>
    </row>
    <row r="62">
      <c r="A62" s="497" t="inlineStr">
        <is>
          <t>F</t>
        </is>
      </c>
      <c r="B62" s="707" t="inlineStr">
        <is>
          <t>1500 Free</t>
        </is>
      </c>
      <c r="C62" s="525" t="n">
        <v>16</v>
      </c>
      <c r="D62" s="661" t="inlineStr">
        <is>
          <t>16:42.14</t>
        </is>
      </c>
      <c r="E62" s="35">
        <f>IF(ISNUMBER(FIND(":",D62)), VALUE(LEFT(D62,FIND(":",D62)-1))*60 + VALUE(RIGHT(D62,LEN(D62)-FIND(":",D62))), VALUE(D62))
</f>
        <v/>
      </c>
      <c r="F62" s="526">
        <f>E61-E62</f>
        <v/>
      </c>
      <c r="G62" s="512">
        <f>IF(E62&lt;60, TEXT(E62, "0.00"), TEXT(E62/(24*60*60), "M:SS.00"))</f>
        <v/>
      </c>
      <c r="K62" s="692" t="n"/>
      <c r="L62" s="692" t="n"/>
    </row>
    <row r="63">
      <c r="A63" s="502" t="inlineStr">
        <is>
          <t>F</t>
        </is>
      </c>
      <c r="B63" s="701" t="inlineStr">
        <is>
          <t>1500 Free</t>
        </is>
      </c>
      <c r="C63" s="527" t="n">
        <v>17</v>
      </c>
      <c r="D63" s="665" t="n"/>
      <c r="E63" s="505">
        <f>E62-((E62-E64)*0.55)</f>
        <v/>
      </c>
      <c r="F63" s="524">
        <f>E62-E63</f>
        <v/>
      </c>
      <c r="G63" s="513">
        <f>IF(E63&lt;60, TEXT(E63, "0.00"), TEXT(E63/(24*60*60), "M:SS.00"))</f>
        <v/>
      </c>
      <c r="K63" s="692" t="n"/>
      <c r="L63" s="692" t="n"/>
    </row>
    <row r="64">
      <c r="A64" s="497" t="inlineStr">
        <is>
          <t>F</t>
        </is>
      </c>
      <c r="B64" s="707" t="inlineStr">
        <is>
          <t>1500 Free</t>
        </is>
      </c>
      <c r="C64" s="525" t="n">
        <v>18</v>
      </c>
      <c r="D64" s="661" t="inlineStr">
        <is>
          <t>16:37.89</t>
        </is>
      </c>
      <c r="E64" s="35">
        <f>IF(ISNUMBER(FIND(":",D64)), VALUE(LEFT(D64,FIND(":",D64)-1))*60 + VALUE(RIGHT(D64,LEN(D64)-FIND(":",D64))), VALUE(D64))
</f>
        <v/>
      </c>
      <c r="F64" s="526">
        <f>E63-E64</f>
        <v/>
      </c>
      <c r="G64" s="512">
        <f>IF(E64&lt;60, TEXT(E64, "0.00"), TEXT(E64/(24*60*60), "M:SS.00"))</f>
        <v/>
      </c>
      <c r="K64" s="692" t="n"/>
      <c r="L64" s="692" t="n"/>
    </row>
    <row r="65">
      <c r="A65" s="502" t="inlineStr">
        <is>
          <t>M</t>
        </is>
      </c>
      <c r="B65" s="701" t="inlineStr">
        <is>
          <t>1500 Free</t>
        </is>
      </c>
      <c r="C65" s="520" t="n">
        <v>12</v>
      </c>
      <c r="D65" s="665" t="inlineStr">
        <is>
          <t>17:52.57</t>
        </is>
      </c>
      <c r="E65" s="21">
        <f>IF(ISNUMBER(FIND(":",D65)), VALUE(LEFT(D65,FIND(":",D65)-1))*60 + VALUE(RIGHT(D65,LEN(D65)-FIND(":",D65))), VALUE(D65))
</f>
        <v/>
      </c>
      <c r="F65" s="521" t="n"/>
      <c r="G65" s="513">
        <f>IF(E65&lt;60, TEXT(E65, "0.00"), TEXT(E65/(24*60*60), "M:SS.00"))</f>
        <v/>
      </c>
      <c r="K65" s="692" t="n"/>
      <c r="L65" s="692" t="n"/>
    </row>
    <row r="66">
      <c r="A66" s="497" t="inlineStr">
        <is>
          <t>M</t>
        </is>
      </c>
      <c r="B66" s="707" t="inlineStr">
        <is>
          <t>1500 Free</t>
        </is>
      </c>
      <c r="C66" s="523" t="n">
        <v>13</v>
      </c>
      <c r="D66" s="661" t="n"/>
      <c r="E66" s="35">
        <f>E65-((E65-E67)*0.65)</f>
        <v/>
      </c>
      <c r="F66" s="524">
        <f>E65-E66</f>
        <v/>
      </c>
      <c r="G66" s="512">
        <f>IF(E66&lt;60, TEXT(E66, "0.00"), TEXT(E66/(24*60*60), "M:SS.00"))</f>
        <v/>
      </c>
      <c r="K66" s="692" t="n"/>
      <c r="L66" s="692" t="n"/>
    </row>
    <row r="67">
      <c r="A67" s="502" t="inlineStr">
        <is>
          <t>M</t>
        </is>
      </c>
      <c r="B67" s="701" t="inlineStr">
        <is>
          <t>1500 Free</t>
        </is>
      </c>
      <c r="C67" s="525" t="n">
        <v>14</v>
      </c>
      <c r="D67" s="665" t="inlineStr">
        <is>
          <t>16:16.86</t>
        </is>
      </c>
      <c r="E67" s="21">
        <f>IF(ISNUMBER(FIND(":",D67)), VALUE(LEFT(D67,FIND(":",D67)-1))*60 + VALUE(RIGHT(D67,LEN(D67)-FIND(":",D67))), VALUE(D67))
</f>
        <v/>
      </c>
      <c r="F67" s="526">
        <f>E66-E67</f>
        <v/>
      </c>
      <c r="G67" s="513">
        <f>IF(E67&lt;60, TEXT(E67, "0.00"), TEXT(E67/(24*60*60), "M:SS.00"))</f>
        <v/>
      </c>
      <c r="K67" s="692" t="n"/>
      <c r="L67" s="692" t="n"/>
    </row>
    <row r="68">
      <c r="A68" s="497" t="inlineStr">
        <is>
          <t>M</t>
        </is>
      </c>
      <c r="B68" s="707" t="inlineStr">
        <is>
          <t>1500 Free</t>
        </is>
      </c>
      <c r="C68" s="527" t="n">
        <v>15</v>
      </c>
      <c r="D68" s="661" t="n"/>
      <c r="E68" s="517">
        <f>E67-((E67-E69)*0.6)</f>
        <v/>
      </c>
      <c r="F68" s="524">
        <f>E67-E68</f>
        <v/>
      </c>
      <c r="G68" s="512">
        <f>IF(E68&lt;60, TEXT(E68, "0.00"), TEXT(E68/(24*60*60), "M:SS.00"))</f>
        <v/>
      </c>
      <c r="K68" s="692" t="n"/>
      <c r="L68" s="692" t="n"/>
    </row>
    <row r="69">
      <c r="A69" s="502" t="inlineStr">
        <is>
          <t>M</t>
        </is>
      </c>
      <c r="B69" s="701" t="inlineStr">
        <is>
          <t>1500 Free</t>
        </is>
      </c>
      <c r="C69" s="525" t="n">
        <v>16</v>
      </c>
      <c r="D69" s="665" t="inlineStr">
        <is>
          <t>15:41.32</t>
        </is>
      </c>
      <c r="E69" s="21">
        <f>IF(ISNUMBER(FIND(":",D69)), VALUE(LEFT(D69,FIND(":",D69)-1))*60 + VALUE(RIGHT(D69,LEN(D69)-FIND(":",D69))), VALUE(D69))
</f>
        <v/>
      </c>
      <c r="F69" s="526">
        <f>E68-E69</f>
        <v/>
      </c>
      <c r="G69" s="513">
        <f>IF(E69&lt;60, TEXT(E69, "0.00"), TEXT(E69/(24*60*60), "M:SS.00"))</f>
        <v/>
      </c>
      <c r="K69" s="692" t="n"/>
      <c r="L69" s="692" t="n"/>
    </row>
    <row r="70">
      <c r="A70" s="497" t="inlineStr">
        <is>
          <t>M</t>
        </is>
      </c>
      <c r="B70" s="707" t="inlineStr">
        <is>
          <t>1500 Free</t>
        </is>
      </c>
      <c r="C70" s="527" t="n">
        <v>17</v>
      </c>
      <c r="D70" s="661" t="n"/>
      <c r="E70" s="517">
        <f>E69-((E69-E71)*0.55)</f>
        <v/>
      </c>
      <c r="F70" s="524">
        <f>E69-E70</f>
        <v/>
      </c>
      <c r="G70" s="512">
        <f>IF(E70&lt;60, TEXT(E70, "0.00"), TEXT(E70/(24*60*60), "M:SS.00"))</f>
        <v/>
      </c>
      <c r="K70" s="692" t="n"/>
      <c r="L70" s="692" t="n"/>
    </row>
    <row r="71">
      <c r="A71" s="502" t="inlineStr">
        <is>
          <t>M</t>
        </is>
      </c>
      <c r="B71" s="701" t="inlineStr">
        <is>
          <t>1500 Free</t>
        </is>
      </c>
      <c r="C71" s="525" t="n">
        <v>18</v>
      </c>
      <c r="D71" s="665" t="inlineStr">
        <is>
          <t>15:28.77</t>
        </is>
      </c>
      <c r="E71" s="21">
        <f>IF(ISNUMBER(FIND(":",D71)), VALUE(LEFT(D71,FIND(":",D71)-1))*60 + VALUE(RIGHT(D71,LEN(D71)-FIND(":",D71))), VALUE(D71))
</f>
        <v/>
      </c>
      <c r="F71" s="526">
        <f>E70-E71</f>
        <v/>
      </c>
      <c r="G71" s="513">
        <f>IF(E71&lt;60, TEXT(E71, "0.00"), TEXT(E71/(24*60*60), "M:SS.00"))</f>
        <v/>
      </c>
      <c r="K71" s="692" t="n"/>
      <c r="L71" s="692" t="n"/>
    </row>
    <row r="72">
      <c r="A72" s="497" t="inlineStr">
        <is>
          <t>F</t>
        </is>
      </c>
      <c r="B72" s="707" t="inlineStr">
        <is>
          <t>200 Back</t>
        </is>
      </c>
      <c r="C72" s="520" t="n">
        <v>12</v>
      </c>
      <c r="D72" s="661" t="inlineStr">
        <is>
          <t>2:25.43</t>
        </is>
      </c>
      <c r="E72" s="35">
        <f>IF(ISNUMBER(FIND(":",D72)), VALUE(LEFT(D72,FIND(":",D72)-1))*60 + VALUE(RIGHT(D72,LEN(D72)-FIND(":",D72))), VALUE(D72))
</f>
        <v/>
      </c>
      <c r="F72" s="521" t="n"/>
      <c r="G72" s="512">
        <f>IF(E72&lt;60, TEXT(E72, "0.00"), TEXT(E72/(24*60*60), "M:SS.00"))</f>
        <v/>
      </c>
      <c r="K72" s="692" t="n"/>
      <c r="L72" s="692" t="n"/>
    </row>
    <row r="73">
      <c r="A73" s="502" t="inlineStr">
        <is>
          <t>F</t>
        </is>
      </c>
      <c r="B73" s="701" t="inlineStr">
        <is>
          <t>200 Back</t>
        </is>
      </c>
      <c r="C73" s="523" t="n">
        <v>13</v>
      </c>
      <c r="D73" s="665" t="n"/>
      <c r="E73" s="21">
        <f>E72-((E72-E74)*0.65)</f>
        <v/>
      </c>
      <c r="F73" s="524">
        <f>E72-E73</f>
        <v/>
      </c>
      <c r="G73" s="513">
        <f>IF(E73&lt;60, TEXT(E73, "0.00"), TEXT(E73/(24*60*60), "M:SS.00"))</f>
        <v/>
      </c>
      <c r="K73" s="692" t="n"/>
      <c r="L73" s="692" t="n"/>
    </row>
    <row r="74">
      <c r="A74" s="497" t="inlineStr">
        <is>
          <t>F</t>
        </is>
      </c>
      <c r="B74" s="707" t="inlineStr">
        <is>
          <t>200 Back</t>
        </is>
      </c>
      <c r="C74" s="525" t="n">
        <v>14</v>
      </c>
      <c r="D74" s="661" t="inlineStr">
        <is>
          <t>2:16.63</t>
        </is>
      </c>
      <c r="E74" s="35">
        <f>IF(ISNUMBER(FIND(":",D74)), VALUE(LEFT(D74,FIND(":",D74)-1))*60 + VALUE(RIGHT(D74,LEN(D74)-FIND(":",D74))), VALUE(D74))
</f>
        <v/>
      </c>
      <c r="F74" s="526">
        <f>E73-E74</f>
        <v/>
      </c>
      <c r="G74" s="512">
        <f>IF(E74&lt;60, TEXT(E74, "0.00"), TEXT(E74/(24*60*60), "M:SS.00"))</f>
        <v/>
      </c>
      <c r="K74" s="692" t="n"/>
      <c r="L74" s="692" t="n"/>
    </row>
    <row r="75">
      <c r="A75" s="502" t="inlineStr">
        <is>
          <t>F</t>
        </is>
      </c>
      <c r="B75" s="701" t="inlineStr">
        <is>
          <t>200 Back</t>
        </is>
      </c>
      <c r="C75" s="527" t="n">
        <v>15</v>
      </c>
      <c r="D75" s="665" t="n"/>
      <c r="E75" s="505">
        <f>E74-((E74-E76)*0.6)</f>
        <v/>
      </c>
      <c r="F75" s="524">
        <f>E74-E75</f>
        <v/>
      </c>
      <c r="G75" s="513">
        <f>IF(E75&lt;60, TEXT(E75, "0.00"), TEXT(E75/(24*60*60), "M:SS.00"))</f>
        <v/>
      </c>
      <c r="K75" s="692" t="n"/>
      <c r="L75" s="692" t="n"/>
    </row>
    <row r="76">
      <c r="A76" s="497" t="inlineStr">
        <is>
          <t>F</t>
        </is>
      </c>
      <c r="B76" s="707" t="inlineStr">
        <is>
          <t>200 Back</t>
        </is>
      </c>
      <c r="C76" s="525" t="n">
        <v>16</v>
      </c>
      <c r="D76" s="661" t="inlineStr">
        <is>
          <t>2:13.66</t>
        </is>
      </c>
      <c r="E76" s="35">
        <f>IF(ISNUMBER(FIND(":",D76)), VALUE(LEFT(D76,FIND(":",D76)-1))*60 + VALUE(RIGHT(D76,LEN(D76)-FIND(":",D76))), VALUE(D76))
</f>
        <v/>
      </c>
      <c r="F76" s="526">
        <f>E75-E76</f>
        <v/>
      </c>
      <c r="G76" s="512">
        <f>IF(E76&lt;60, TEXT(E76, "0.00"), TEXT(E76/(24*60*60), "M:SS.00"))</f>
        <v/>
      </c>
      <c r="K76" s="692" t="n"/>
      <c r="L76" s="692" t="n"/>
    </row>
    <row r="77">
      <c r="A77" s="502" t="inlineStr">
        <is>
          <t>F</t>
        </is>
      </c>
      <c r="B77" s="701" t="inlineStr">
        <is>
          <t>200 Back</t>
        </is>
      </c>
      <c r="C77" s="527" t="n">
        <v>17</v>
      </c>
      <c r="D77" s="665" t="n"/>
      <c r="E77" s="505">
        <f>E76-((E76-E78)*0.55)</f>
        <v/>
      </c>
      <c r="F77" s="524">
        <f>E76-E77</f>
        <v/>
      </c>
      <c r="G77" s="513">
        <f>IF(E77&lt;60, TEXT(E77, "0.00"), TEXT(E77/(24*60*60), "M:SS.00"))</f>
        <v/>
      </c>
      <c r="K77" s="692" t="n"/>
      <c r="L77" s="692" t="n"/>
    </row>
    <row r="78">
      <c r="A78" s="497" t="inlineStr">
        <is>
          <t>F</t>
        </is>
      </c>
      <c r="B78" s="707" t="inlineStr">
        <is>
          <t>200 Back</t>
        </is>
      </c>
      <c r="C78" s="525" t="n">
        <v>18</v>
      </c>
      <c r="D78" s="661" t="inlineStr">
        <is>
          <t>2:12.94</t>
        </is>
      </c>
      <c r="E78" s="35">
        <f>IF(ISNUMBER(FIND(":",D78)), VALUE(LEFT(D78,FIND(":",D78)-1))*60 + VALUE(RIGHT(D78,LEN(D78)-FIND(":",D78))), VALUE(D78))
</f>
        <v/>
      </c>
      <c r="F78" s="526">
        <f>E77-E78</f>
        <v/>
      </c>
      <c r="G78" s="512">
        <f>IF(E78&lt;60, TEXT(E78, "0.00"), TEXT(E78/(24*60*60), "M:SS.00"))</f>
        <v/>
      </c>
      <c r="K78" s="692" t="n"/>
      <c r="L78" s="692" t="n"/>
    </row>
    <row r="79">
      <c r="A79" s="502" t="inlineStr">
        <is>
          <t>M</t>
        </is>
      </c>
      <c r="B79" s="701" t="inlineStr">
        <is>
          <t>200 Back</t>
        </is>
      </c>
      <c r="C79" s="520" t="n">
        <v>12</v>
      </c>
      <c r="D79" s="665" t="inlineStr">
        <is>
          <t>2:21.23</t>
        </is>
      </c>
      <c r="E79" s="21">
        <f>IF(ISNUMBER(FIND(":",D79)), VALUE(LEFT(D79,FIND(":",D79)-1))*60 + VALUE(RIGHT(D79,LEN(D79)-FIND(":",D79))), VALUE(D79))
</f>
        <v/>
      </c>
      <c r="F79" s="521" t="n"/>
      <c r="G79" s="513">
        <f>IF(E79&lt;60, TEXT(E79, "0.00"), TEXT(E79/(24*60*60), "M:SS.00"))</f>
        <v/>
      </c>
      <c r="K79" s="692" t="n"/>
      <c r="L79" s="692" t="n"/>
    </row>
    <row r="80">
      <c r="A80" s="497" t="inlineStr">
        <is>
          <t>M</t>
        </is>
      </c>
      <c r="B80" s="707" t="inlineStr">
        <is>
          <t>200 Back</t>
        </is>
      </c>
      <c r="C80" s="523" t="n">
        <v>13</v>
      </c>
      <c r="D80" s="661" t="n"/>
      <c r="E80" s="35">
        <f>E79-((E79-E81)*0.65)</f>
        <v/>
      </c>
      <c r="F80" s="524">
        <f>E79-E80</f>
        <v/>
      </c>
      <c r="G80" s="512">
        <f>IF(E80&lt;60, TEXT(E80, "0.00"), TEXT(E80/(24*60*60), "M:SS.00"))</f>
        <v/>
      </c>
      <c r="K80" s="692" t="n"/>
      <c r="L80" s="692" t="n"/>
    </row>
    <row r="81">
      <c r="A81" s="502" t="inlineStr">
        <is>
          <t>M</t>
        </is>
      </c>
      <c r="B81" s="701" t="inlineStr">
        <is>
          <t>200 Back</t>
        </is>
      </c>
      <c r="C81" s="525" t="n">
        <v>14</v>
      </c>
      <c r="D81" s="665" t="inlineStr">
        <is>
          <t>2:08.78</t>
        </is>
      </c>
      <c r="E81" s="21">
        <f>IF(ISNUMBER(FIND(":",D81)), VALUE(LEFT(D81,FIND(":",D81)-1))*60 + VALUE(RIGHT(D81,LEN(D81)-FIND(":",D81))), VALUE(D81))
</f>
        <v/>
      </c>
      <c r="F81" s="526">
        <f>E80-E81</f>
        <v/>
      </c>
      <c r="G81" s="513">
        <f>IF(E81&lt;60, TEXT(E81, "0.00"), TEXT(E81/(24*60*60), "M:SS.00"))</f>
        <v/>
      </c>
      <c r="K81" s="692" t="n"/>
      <c r="L81" s="692" t="n"/>
    </row>
    <row r="82">
      <c r="A82" s="497" t="inlineStr">
        <is>
          <t>M</t>
        </is>
      </c>
      <c r="B82" s="707" t="inlineStr">
        <is>
          <t>200 Back</t>
        </is>
      </c>
      <c r="C82" s="527" t="n">
        <v>15</v>
      </c>
      <c r="D82" s="661" t="n"/>
      <c r="E82" s="517">
        <f>E81-((E81-E83)*0.6)</f>
        <v/>
      </c>
      <c r="F82" s="524">
        <f>E81-E82</f>
        <v/>
      </c>
      <c r="G82" s="512">
        <f>IF(E82&lt;60, TEXT(E82, "0.00"), TEXT(E82/(24*60*60), "M:SS.00"))</f>
        <v/>
      </c>
      <c r="K82" s="692" t="n"/>
      <c r="L82" s="692" t="n"/>
    </row>
    <row r="83">
      <c r="A83" s="502" t="inlineStr">
        <is>
          <t>M</t>
        </is>
      </c>
      <c r="B83" s="701" t="inlineStr">
        <is>
          <t>200 Back</t>
        </is>
      </c>
      <c r="C83" s="525" t="n">
        <v>16</v>
      </c>
      <c r="D83" s="665" t="inlineStr">
        <is>
          <t>2:03.25</t>
        </is>
      </c>
      <c r="E83" s="21">
        <f>IF(ISNUMBER(FIND(":",D83)), VALUE(LEFT(D83,FIND(":",D83)-1))*60 + VALUE(RIGHT(D83,LEN(D83)-FIND(":",D83))), VALUE(D83))
</f>
        <v/>
      </c>
      <c r="F83" s="526">
        <f>E82-E83</f>
        <v/>
      </c>
      <c r="G83" s="513">
        <f>IF(E83&lt;60, TEXT(E83, "0.00"), TEXT(E83/(24*60*60), "M:SS.00"))</f>
        <v/>
      </c>
      <c r="K83" s="692" t="n"/>
      <c r="L83" s="692" t="n"/>
    </row>
    <row r="84">
      <c r="A84" s="497" t="inlineStr">
        <is>
          <t>M</t>
        </is>
      </c>
      <c r="B84" s="707" t="inlineStr">
        <is>
          <t>200 Back</t>
        </is>
      </c>
      <c r="C84" s="527" t="n">
        <v>17</v>
      </c>
      <c r="D84" s="661" t="n"/>
      <c r="E84" s="517">
        <f>E83-((E83-E85)*0.55)</f>
        <v/>
      </c>
      <c r="F84" s="524">
        <f>E83-E84</f>
        <v/>
      </c>
      <c r="G84" s="512">
        <f>IF(E84&lt;60, TEXT(E84, "0.00"), TEXT(E84/(24*60*60), "M:SS.00"))</f>
        <v/>
      </c>
      <c r="K84" s="692" t="n"/>
      <c r="L84" s="692" t="n"/>
    </row>
    <row r="85">
      <c r="A85" s="502" t="inlineStr">
        <is>
          <t>M</t>
        </is>
      </c>
      <c r="B85" s="701" t="inlineStr">
        <is>
          <t>200 Back</t>
        </is>
      </c>
      <c r="C85" s="525" t="n">
        <v>18</v>
      </c>
      <c r="D85" s="665" t="inlineStr">
        <is>
          <t>2:01.04</t>
        </is>
      </c>
      <c r="E85" s="21">
        <f>IF(ISNUMBER(FIND(":",D85)), VALUE(LEFT(D85,FIND(":",D85)-1))*60 + VALUE(RIGHT(D85,LEN(D85)-FIND(":",D85))), VALUE(D85))
</f>
        <v/>
      </c>
      <c r="F85" s="526">
        <f>E84-E85</f>
        <v/>
      </c>
      <c r="G85" s="513">
        <f>IF(E85&lt;60, TEXT(E85, "0.00"), TEXT(E85/(24*60*60), "M:SS.00"))</f>
        <v/>
      </c>
      <c r="K85" s="692" t="n"/>
      <c r="L85" s="692" t="n"/>
    </row>
    <row r="86">
      <c r="A86" s="497" t="inlineStr">
        <is>
          <t>F</t>
        </is>
      </c>
      <c r="B86" s="707" t="inlineStr">
        <is>
          <t>200 Breast</t>
        </is>
      </c>
      <c r="C86" s="520" t="n">
        <v>12</v>
      </c>
      <c r="D86" s="661" t="inlineStr">
        <is>
          <t>2:44.33</t>
        </is>
      </c>
      <c r="E86" s="35">
        <f>IF(ISNUMBER(FIND(":",D86)), VALUE(LEFT(D86,FIND(":",D86)-1))*60 + VALUE(RIGHT(D86,LEN(D86)-FIND(":",D86))), VALUE(D86))
</f>
        <v/>
      </c>
      <c r="F86" s="521" t="n"/>
      <c r="G86" s="512">
        <f>IF(E86&lt;60, TEXT(E86, "0.00"), TEXT(E86/(24*60*60), "M:SS.00"))</f>
        <v/>
      </c>
      <c r="K86" s="692" t="n"/>
      <c r="L86" s="692" t="n"/>
    </row>
    <row r="87">
      <c r="A87" s="502" t="inlineStr">
        <is>
          <t>F</t>
        </is>
      </c>
      <c r="B87" s="701" t="inlineStr">
        <is>
          <t>200 Breast</t>
        </is>
      </c>
      <c r="C87" s="523" t="n">
        <v>13</v>
      </c>
      <c r="D87" s="665" t="n"/>
      <c r="E87" s="21">
        <f>E86-((E86-E88)*0.65)</f>
        <v/>
      </c>
      <c r="F87" s="524">
        <f>E86-E87</f>
        <v/>
      </c>
      <c r="G87" s="513">
        <f>IF(E87&lt;60, TEXT(E87, "0.00"), TEXT(E87/(24*60*60), "M:SS.00"))</f>
        <v/>
      </c>
      <c r="K87" s="692" t="n"/>
      <c r="L87" s="692" t="n"/>
    </row>
    <row r="88">
      <c r="A88" s="497" t="inlineStr">
        <is>
          <t>F</t>
        </is>
      </c>
      <c r="B88" s="707" t="inlineStr">
        <is>
          <t>200 Breast</t>
        </is>
      </c>
      <c r="C88" s="525" t="n">
        <v>14</v>
      </c>
      <c r="D88" s="661" t="inlineStr">
        <is>
          <t>2:35.37</t>
        </is>
      </c>
      <c r="E88" s="35">
        <f>IF(ISNUMBER(FIND(":",D88)), VALUE(LEFT(D88,FIND(":",D88)-1))*60 + VALUE(RIGHT(D88,LEN(D88)-FIND(":",D88))), VALUE(D88))
</f>
        <v/>
      </c>
      <c r="F88" s="526">
        <f>E87-E88</f>
        <v/>
      </c>
      <c r="G88" s="512">
        <f>IF(E88&lt;60, TEXT(E88, "0.00"), TEXT(E88/(24*60*60), "M:SS.00"))</f>
        <v/>
      </c>
      <c r="K88" s="692" t="n"/>
      <c r="L88" s="692" t="n"/>
    </row>
    <row r="89">
      <c r="A89" s="502" t="inlineStr">
        <is>
          <t>F</t>
        </is>
      </c>
      <c r="B89" s="701" t="inlineStr">
        <is>
          <t>200 Breast</t>
        </is>
      </c>
      <c r="C89" s="527" t="n">
        <v>15</v>
      </c>
      <c r="D89" s="665" t="n"/>
      <c r="E89" s="505">
        <f>E88-((E88-E90)*0.6)</f>
        <v/>
      </c>
      <c r="F89" s="524">
        <f>E88-E89</f>
        <v/>
      </c>
      <c r="G89" s="513">
        <f>IF(E89&lt;60, TEXT(E89, "0.00"), TEXT(E89/(24*60*60), "M:SS.00"))</f>
        <v/>
      </c>
      <c r="K89" s="692" t="n"/>
      <c r="L89" s="692" t="n"/>
    </row>
    <row r="90">
      <c r="A90" s="497" t="inlineStr">
        <is>
          <t>F</t>
        </is>
      </c>
      <c r="B90" s="707" t="inlineStr">
        <is>
          <t>200 Breast</t>
        </is>
      </c>
      <c r="C90" s="525" t="n">
        <v>16</v>
      </c>
      <c r="D90" s="661" t="inlineStr">
        <is>
          <t>2:31.85</t>
        </is>
      </c>
      <c r="E90" s="35">
        <f>IF(ISNUMBER(FIND(":",D90)), VALUE(LEFT(D90,FIND(":",D90)-1))*60 + VALUE(RIGHT(D90,LEN(D90)-FIND(":",D90))), VALUE(D90))
</f>
        <v/>
      </c>
      <c r="F90" s="526">
        <f>E89-E90</f>
        <v/>
      </c>
      <c r="G90" s="512">
        <f>IF(E90&lt;60, TEXT(E90, "0.00"), TEXT(E90/(24*60*60), "M:SS.00"))</f>
        <v/>
      </c>
      <c r="K90" s="692" t="n"/>
      <c r="L90" s="692" t="n"/>
    </row>
    <row r="91">
      <c r="A91" s="502" t="inlineStr">
        <is>
          <t>F</t>
        </is>
      </c>
      <c r="B91" s="701" t="inlineStr">
        <is>
          <t>200 Breast</t>
        </is>
      </c>
      <c r="C91" s="527" t="n">
        <v>17</v>
      </c>
      <c r="D91" s="665" t="n"/>
      <c r="E91" s="505">
        <f>E90-((E90-E92)*0.55)</f>
        <v/>
      </c>
      <c r="F91" s="524">
        <f>E90-E91</f>
        <v/>
      </c>
      <c r="G91" s="513">
        <f>IF(E91&lt;60, TEXT(E91, "0.00"), TEXT(E91/(24*60*60), "M:SS.00"))</f>
        <v/>
      </c>
      <c r="K91" s="692" t="n"/>
      <c r="L91" s="692" t="n"/>
    </row>
    <row r="92">
      <c r="A92" s="497" t="inlineStr">
        <is>
          <t>F</t>
        </is>
      </c>
      <c r="B92" s="707" t="inlineStr">
        <is>
          <t>200 Breast</t>
        </is>
      </c>
      <c r="C92" s="525" t="n">
        <v>18</v>
      </c>
      <c r="D92" s="661" t="inlineStr">
        <is>
          <t>2:30.95</t>
        </is>
      </c>
      <c r="E92" s="35">
        <f>IF(ISNUMBER(FIND(":",D92)), VALUE(LEFT(D92,FIND(":",D92)-1))*60 + VALUE(RIGHT(D92,LEN(D92)-FIND(":",D92))), VALUE(D92))
</f>
        <v/>
      </c>
      <c r="F92" s="526">
        <f>E91-E92</f>
        <v/>
      </c>
      <c r="G92" s="512">
        <f>IF(E92&lt;60, TEXT(E92, "0.00"), TEXT(E92/(24*60*60), "M:SS.00"))</f>
        <v/>
      </c>
      <c r="K92" s="692" t="n"/>
      <c r="L92" s="692" t="n"/>
    </row>
    <row r="93">
      <c r="A93" s="502" t="inlineStr">
        <is>
          <t>M</t>
        </is>
      </c>
      <c r="B93" s="701" t="inlineStr">
        <is>
          <t>200 Breast</t>
        </is>
      </c>
      <c r="C93" s="520" t="n">
        <v>12</v>
      </c>
      <c r="D93" s="665" t="inlineStr">
        <is>
          <t>2:39.17</t>
        </is>
      </c>
      <c r="E93" s="21">
        <f>IF(ISNUMBER(FIND(":",D93)), VALUE(LEFT(D93,FIND(":",D93)-1))*60 + VALUE(RIGHT(D93,LEN(D93)-FIND(":",D93))), VALUE(D93))
</f>
        <v/>
      </c>
      <c r="F93" s="521" t="n"/>
      <c r="G93" s="513">
        <f>IF(E93&lt;60, TEXT(E93, "0.00"), TEXT(E93/(24*60*60), "M:SS.00"))</f>
        <v/>
      </c>
      <c r="K93" s="692" t="n"/>
      <c r="L93" s="692" t="n"/>
    </row>
    <row r="94">
      <c r="A94" s="497" t="inlineStr">
        <is>
          <t>M</t>
        </is>
      </c>
      <c r="B94" s="707" t="inlineStr">
        <is>
          <t>200 Breast</t>
        </is>
      </c>
      <c r="C94" s="523" t="n">
        <v>13</v>
      </c>
      <c r="D94" s="661" t="n"/>
      <c r="E94" s="35">
        <f>E93-((E93-E95)*0.65)</f>
        <v/>
      </c>
      <c r="F94" s="524">
        <f>E93-E94</f>
        <v/>
      </c>
      <c r="G94" s="512">
        <f>IF(E94&lt;60, TEXT(E94, "0.00"), TEXT(E94/(24*60*60), "M:SS.00"))</f>
        <v/>
      </c>
      <c r="K94" s="692" t="n"/>
      <c r="L94" s="692" t="n"/>
    </row>
    <row r="95">
      <c r="A95" s="502" t="inlineStr">
        <is>
          <t>M</t>
        </is>
      </c>
      <c r="B95" s="701" t="inlineStr">
        <is>
          <t>200 Breast</t>
        </is>
      </c>
      <c r="C95" s="525" t="n">
        <v>14</v>
      </c>
      <c r="D95" s="665" t="inlineStr">
        <is>
          <t>2:24.81</t>
        </is>
      </c>
      <c r="E95" s="21">
        <f>IF(ISNUMBER(FIND(":",D95)), VALUE(LEFT(D95,FIND(":",D95)-1))*60 + VALUE(RIGHT(D95,LEN(D95)-FIND(":",D95))), VALUE(D95))
</f>
        <v/>
      </c>
      <c r="F95" s="526">
        <f>E94-E95</f>
        <v/>
      </c>
      <c r="G95" s="513">
        <f>IF(E95&lt;60, TEXT(E95, "0.00"), TEXT(E95/(24*60*60), "M:SS.00"))</f>
        <v/>
      </c>
      <c r="K95" s="692" t="n"/>
      <c r="L95" s="692" t="n"/>
    </row>
    <row r="96">
      <c r="A96" s="497" t="inlineStr">
        <is>
          <t>M</t>
        </is>
      </c>
      <c r="B96" s="707" t="inlineStr">
        <is>
          <t>200 Breast</t>
        </is>
      </c>
      <c r="C96" s="527" t="n">
        <v>15</v>
      </c>
      <c r="D96" s="661" t="n"/>
      <c r="E96" s="517">
        <f>E95-((E95-E97)*0.6)</f>
        <v/>
      </c>
      <c r="F96" s="524">
        <f>E95-E96</f>
        <v/>
      </c>
      <c r="G96" s="512">
        <f>IF(E96&lt;60, TEXT(E96, "0.00"), TEXT(E96/(24*60*60), "M:SS.00"))</f>
        <v/>
      </c>
      <c r="K96" s="692" t="n"/>
      <c r="L96" s="692" t="n"/>
    </row>
    <row r="97">
      <c r="A97" s="502" t="inlineStr">
        <is>
          <t>M</t>
        </is>
      </c>
      <c r="B97" s="701" t="inlineStr">
        <is>
          <t>200 Breast</t>
        </is>
      </c>
      <c r="C97" s="525" t="n">
        <v>16</v>
      </c>
      <c r="D97" s="665" t="inlineStr">
        <is>
          <t>2:18.65</t>
        </is>
      </c>
      <c r="E97" s="21">
        <f>IF(ISNUMBER(FIND(":",D97)), VALUE(LEFT(D97,FIND(":",D97)-1))*60 + VALUE(RIGHT(D97,LEN(D97)-FIND(":",D97))), VALUE(D97))
</f>
        <v/>
      </c>
      <c r="F97" s="526">
        <f>E96-E97</f>
        <v/>
      </c>
      <c r="G97" s="513">
        <f>IF(E97&lt;60, TEXT(E97, "0.00"), TEXT(E97/(24*60*60), "M:SS.00"))</f>
        <v/>
      </c>
      <c r="K97" s="692" t="n"/>
      <c r="L97" s="692" t="n"/>
    </row>
    <row r="98">
      <c r="A98" s="497" t="inlineStr">
        <is>
          <t>M</t>
        </is>
      </c>
      <c r="B98" s="707" t="inlineStr">
        <is>
          <t>200 Breast</t>
        </is>
      </c>
      <c r="C98" s="527" t="n">
        <v>17</v>
      </c>
      <c r="D98" s="661" t="n"/>
      <c r="E98" s="517">
        <f>E97-((E97-E99)*0.55)</f>
        <v/>
      </c>
      <c r="F98" s="524">
        <f>E97-E98</f>
        <v/>
      </c>
      <c r="G98" s="512">
        <f>IF(E98&lt;60, TEXT(E98, "0.00"), TEXT(E98/(24*60*60), "M:SS.00"))</f>
        <v/>
      </c>
      <c r="K98" s="692" t="n"/>
      <c r="L98" s="692" t="n"/>
    </row>
    <row r="99">
      <c r="A99" s="502" t="inlineStr">
        <is>
          <t>M</t>
        </is>
      </c>
      <c r="B99" s="701" t="inlineStr">
        <is>
          <t>200 Breast</t>
        </is>
      </c>
      <c r="C99" s="525" t="n">
        <v>18</v>
      </c>
      <c r="D99" s="665" t="inlineStr">
        <is>
          <t>2:15.81</t>
        </is>
      </c>
      <c r="E99" s="21">
        <f>IF(ISNUMBER(FIND(":",D99)), VALUE(LEFT(D99,FIND(":",D99)-1))*60 + VALUE(RIGHT(D99,LEN(D99)-FIND(":",D99))), VALUE(D99))
</f>
        <v/>
      </c>
      <c r="F99" s="526">
        <f>E98-E99</f>
        <v/>
      </c>
      <c r="G99" s="513">
        <f>IF(E99&lt;60, TEXT(E99, "0.00"), TEXT(E99/(24*60*60), "M:SS.00"))</f>
        <v/>
      </c>
      <c r="K99" s="692" t="n"/>
      <c r="L99" s="692" t="n"/>
    </row>
    <row r="100">
      <c r="A100" s="497" t="inlineStr">
        <is>
          <t>F</t>
        </is>
      </c>
      <c r="B100" s="707" t="inlineStr">
        <is>
          <t>200 Fly</t>
        </is>
      </c>
      <c r="C100" s="520" t="n">
        <v>12</v>
      </c>
      <c r="D100" s="661" t="inlineStr">
        <is>
          <t>2:25.46</t>
        </is>
      </c>
      <c r="E100" s="35">
        <f>IF(ISNUMBER(FIND(":",D100)), VALUE(LEFT(D100,FIND(":",D100)-1))*60 + VALUE(RIGHT(D100,LEN(D100)-FIND(":",D100))), VALUE(D100))
</f>
        <v/>
      </c>
      <c r="F100" s="521" t="n"/>
      <c r="G100" s="512">
        <f>IF(E100&lt;60, TEXT(E100, "0.00"), TEXT(E100/(24*60*60), "M:SS.00"))</f>
        <v/>
      </c>
      <c r="K100" s="692" t="n"/>
      <c r="L100" s="692" t="n"/>
    </row>
    <row r="101">
      <c r="A101" s="502" t="inlineStr">
        <is>
          <t>F</t>
        </is>
      </c>
      <c r="B101" s="701" t="inlineStr">
        <is>
          <t>200 Fly</t>
        </is>
      </c>
      <c r="C101" s="523" t="n">
        <v>13</v>
      </c>
      <c r="D101" s="665" t="n"/>
      <c r="E101" s="21">
        <f>E100-((E100-E102)*0.65)</f>
        <v/>
      </c>
      <c r="F101" s="524">
        <f>E100-E101</f>
        <v/>
      </c>
      <c r="G101" s="513">
        <f>IF(E101&lt;60, TEXT(E101, "0.00"), TEXT(E101/(24*60*60), "M:SS.00"))</f>
        <v/>
      </c>
      <c r="K101" s="692" t="n"/>
      <c r="L101" s="692" t="n"/>
    </row>
    <row r="102">
      <c r="A102" s="497" t="inlineStr">
        <is>
          <t>F</t>
        </is>
      </c>
      <c r="B102" s="707" t="inlineStr">
        <is>
          <t>200 Fly</t>
        </is>
      </c>
      <c r="C102" s="525" t="n">
        <v>14</v>
      </c>
      <c r="D102" s="661" t="inlineStr">
        <is>
          <t>2:16.48</t>
        </is>
      </c>
      <c r="E102" s="35">
        <f>IF(ISNUMBER(FIND(":",D102)), VALUE(LEFT(D102,FIND(":",D102)-1))*60 + VALUE(RIGHT(D102,LEN(D102)-FIND(":",D102))), VALUE(D102))
</f>
        <v/>
      </c>
      <c r="F102" s="526">
        <f>E101-E102</f>
        <v/>
      </c>
      <c r="G102" s="512">
        <f>IF(E102&lt;60, TEXT(E102, "0.00"), TEXT(E102/(24*60*60), "M:SS.00"))</f>
        <v/>
      </c>
      <c r="K102" s="692" t="n"/>
      <c r="L102" s="692" t="n"/>
    </row>
    <row r="103">
      <c r="A103" s="502" t="inlineStr">
        <is>
          <t>F</t>
        </is>
      </c>
      <c r="B103" s="701" t="inlineStr">
        <is>
          <t>200 Fly</t>
        </is>
      </c>
      <c r="C103" s="527" t="n">
        <v>15</v>
      </c>
      <c r="D103" s="665" t="n"/>
      <c r="E103" s="505">
        <f>E102-((E102-E104)*0.6)</f>
        <v/>
      </c>
      <c r="F103" s="524">
        <f>E102-E103</f>
        <v/>
      </c>
      <c r="G103" s="513">
        <f>IF(E103&lt;60, TEXT(E103, "0.00"), TEXT(E103/(24*60*60), "M:SS.00"))</f>
        <v/>
      </c>
      <c r="K103" s="692" t="n"/>
      <c r="L103" s="692" t="n"/>
    </row>
    <row r="104">
      <c r="A104" s="497" t="inlineStr">
        <is>
          <t>F</t>
        </is>
      </c>
      <c r="B104" s="707" t="inlineStr">
        <is>
          <t>200 Fly</t>
        </is>
      </c>
      <c r="C104" s="525" t="n">
        <v>16</v>
      </c>
      <c r="D104" s="661" t="inlineStr">
        <is>
          <t>2:13.17</t>
        </is>
      </c>
      <c r="E104" s="35">
        <f>IF(ISNUMBER(FIND(":",D104)), VALUE(LEFT(D104,FIND(":",D104)-1))*60 + VALUE(RIGHT(D104,LEN(D104)-FIND(":",D104))), VALUE(D104))
</f>
        <v/>
      </c>
      <c r="F104" s="526">
        <f>E103-E104</f>
        <v/>
      </c>
      <c r="G104" s="512">
        <f>IF(E104&lt;60, TEXT(E104, "0.00"), TEXT(E104/(24*60*60), "M:SS.00"))</f>
        <v/>
      </c>
      <c r="K104" s="692" t="n"/>
      <c r="L104" s="692" t="n"/>
    </row>
    <row r="105">
      <c r="A105" s="502" t="inlineStr">
        <is>
          <t>F</t>
        </is>
      </c>
      <c r="B105" s="701" t="inlineStr">
        <is>
          <t>200 Fly</t>
        </is>
      </c>
      <c r="C105" s="527" t="n">
        <v>17</v>
      </c>
      <c r="D105" s="665" t="n"/>
      <c r="E105" s="505">
        <f>E104-((E104-E106)*0.55)</f>
        <v/>
      </c>
      <c r="F105" s="524">
        <f>E104-E105</f>
        <v/>
      </c>
      <c r="G105" s="513">
        <f>IF(E105&lt;60, TEXT(E105, "0.00"), TEXT(E105/(24*60*60), "M:SS.00"))</f>
        <v/>
      </c>
      <c r="K105" s="692" t="n"/>
      <c r="L105" s="692" t="n"/>
    </row>
    <row r="106">
      <c r="A106" s="497" t="inlineStr">
        <is>
          <t>F</t>
        </is>
      </c>
      <c r="B106" s="707" t="inlineStr">
        <is>
          <t>200 Fly</t>
        </is>
      </c>
      <c r="C106" s="525" t="n">
        <v>18</v>
      </c>
      <c r="D106" s="661" t="inlineStr">
        <is>
          <t>2:11.79</t>
        </is>
      </c>
      <c r="E106" s="35">
        <f>IF(ISNUMBER(FIND(":",D106)), VALUE(LEFT(D106,FIND(":",D106)-1))*60 + VALUE(RIGHT(D106,LEN(D106)-FIND(":",D106))), VALUE(D106))
</f>
        <v/>
      </c>
      <c r="F106" s="526">
        <f>E105-E106</f>
        <v/>
      </c>
      <c r="G106" s="512">
        <f>IF(E106&lt;60, TEXT(E106, "0.00"), TEXT(E106/(24*60*60), "M:SS.00"))</f>
        <v/>
      </c>
      <c r="K106" s="692" t="n"/>
      <c r="L106" s="692" t="n"/>
    </row>
    <row r="107">
      <c r="A107" s="502" t="inlineStr">
        <is>
          <t>M</t>
        </is>
      </c>
      <c r="B107" s="701" t="inlineStr">
        <is>
          <t>200 Fly</t>
        </is>
      </c>
      <c r="C107" s="520" t="n">
        <v>12</v>
      </c>
      <c r="D107" s="665" t="inlineStr">
        <is>
          <t>2:21.56</t>
        </is>
      </c>
      <c r="E107" s="21">
        <f>IF(ISNUMBER(FIND(":",D107)), VALUE(LEFT(D107,FIND(":",D107)-1))*60 + VALUE(RIGHT(D107,LEN(D107)-FIND(":",D107))), VALUE(D107))
</f>
        <v/>
      </c>
      <c r="F107" s="521" t="n"/>
      <c r="G107" s="513">
        <f>IF(E107&lt;60, TEXT(E107, "0.00"), TEXT(E107/(24*60*60), "M:SS.00"))</f>
        <v/>
      </c>
      <c r="K107" s="692" t="n"/>
      <c r="L107" s="692" t="n"/>
    </row>
    <row r="108">
      <c r="A108" s="497" t="inlineStr">
        <is>
          <t>M</t>
        </is>
      </c>
      <c r="B108" s="707" t="inlineStr">
        <is>
          <t>200 Fly</t>
        </is>
      </c>
      <c r="C108" s="523" t="n">
        <v>13</v>
      </c>
      <c r="D108" s="661" t="n"/>
      <c r="E108" s="35">
        <f>E107-((E107-E109)*0.65)</f>
        <v/>
      </c>
      <c r="F108" s="524">
        <f>E107-E108</f>
        <v/>
      </c>
      <c r="G108" s="512">
        <f>IF(E108&lt;60, TEXT(E108, "0.00"), TEXT(E108/(24*60*60), "M:SS.00"))</f>
        <v/>
      </c>
      <c r="K108" s="692" t="n"/>
      <c r="L108" s="692" t="n"/>
    </row>
    <row r="109">
      <c r="A109" s="502" t="inlineStr">
        <is>
          <t>M</t>
        </is>
      </c>
      <c r="B109" s="701" t="inlineStr">
        <is>
          <t>200 Fly</t>
        </is>
      </c>
      <c r="C109" s="525" t="n">
        <v>14</v>
      </c>
      <c r="D109" s="665" t="inlineStr">
        <is>
          <t>2:07.86</t>
        </is>
      </c>
      <c r="E109" s="21">
        <f>IF(ISNUMBER(FIND(":",D109)), VALUE(LEFT(D109,FIND(":",D109)-1))*60 + VALUE(RIGHT(D109,LEN(D109)-FIND(":",D109))), VALUE(D109))
</f>
        <v/>
      </c>
      <c r="F109" s="526">
        <f>E108-E109</f>
        <v/>
      </c>
      <c r="G109" s="513">
        <f>IF(E109&lt;60, TEXT(E109, "0.00"), TEXT(E109/(24*60*60), "M:SS.00"))</f>
        <v/>
      </c>
      <c r="K109" s="692" t="n"/>
      <c r="L109" s="692" t="n"/>
    </row>
    <row r="110">
      <c r="A110" s="497" t="inlineStr">
        <is>
          <t>M</t>
        </is>
      </c>
      <c r="B110" s="707" t="inlineStr">
        <is>
          <t>200 Fly</t>
        </is>
      </c>
      <c r="C110" s="527" t="n">
        <v>15</v>
      </c>
      <c r="D110" s="661" t="n"/>
      <c r="E110" s="517">
        <f>E109-((E109-E111)*0.6)</f>
        <v/>
      </c>
      <c r="F110" s="524">
        <f>E109-E110</f>
        <v/>
      </c>
      <c r="G110" s="512">
        <f>IF(E110&lt;60, TEXT(E110, "0.00"), TEXT(E110/(24*60*60), "M:SS.00"))</f>
        <v/>
      </c>
      <c r="K110" s="692" t="n"/>
      <c r="L110" s="692" t="n"/>
    </row>
    <row r="111">
      <c r="A111" s="502" t="inlineStr">
        <is>
          <t>M</t>
        </is>
      </c>
      <c r="B111" s="701" t="inlineStr">
        <is>
          <t>200 Fly</t>
        </is>
      </c>
      <c r="C111" s="525" t="n">
        <v>16</v>
      </c>
      <c r="D111" s="665" t="inlineStr">
        <is>
          <t>2:02.08</t>
        </is>
      </c>
      <c r="E111" s="21">
        <f>IF(ISNUMBER(FIND(":",D111)), VALUE(LEFT(D111,FIND(":",D111)-1))*60 + VALUE(RIGHT(D111,LEN(D111)-FIND(":",D111))), VALUE(D111))
</f>
        <v/>
      </c>
      <c r="F111" s="526">
        <f>E110-E111</f>
        <v/>
      </c>
      <c r="G111" s="513">
        <f>IF(E111&lt;60, TEXT(E111, "0.00"), TEXT(E111/(24*60*60), "M:SS.00"))</f>
        <v/>
      </c>
      <c r="K111" s="692" t="n"/>
      <c r="L111" s="692" t="n"/>
    </row>
    <row r="112">
      <c r="A112" s="497" t="inlineStr">
        <is>
          <t>M</t>
        </is>
      </c>
      <c r="B112" s="707" t="inlineStr">
        <is>
          <t>200 Fly</t>
        </is>
      </c>
      <c r="C112" s="527" t="n">
        <v>17</v>
      </c>
      <c r="D112" s="661" t="n"/>
      <c r="E112" s="517">
        <f>E111-((E111-E113)*0.55)</f>
        <v/>
      </c>
      <c r="F112" s="524">
        <f>E111-E112</f>
        <v/>
      </c>
      <c r="G112" s="512">
        <f>IF(E112&lt;60, TEXT(E112, "0.00"), TEXT(E112/(24*60*60), "M:SS.00"))</f>
        <v/>
      </c>
      <c r="K112" s="692" t="n"/>
      <c r="L112" s="692" t="n"/>
    </row>
    <row r="113">
      <c r="A113" s="502" t="inlineStr">
        <is>
          <t>M</t>
        </is>
      </c>
      <c r="B113" s="701" t="inlineStr">
        <is>
          <t>200 Fly</t>
        </is>
      </c>
      <c r="C113" s="525" t="n">
        <v>18</v>
      </c>
      <c r="D113" s="665" t="inlineStr">
        <is>
          <t>1:59.76</t>
        </is>
      </c>
      <c r="E113" s="21">
        <f>IF(ISNUMBER(FIND(":",D113)), VALUE(LEFT(D113,FIND(":",D113)-1))*60 + VALUE(RIGHT(D113,LEN(D113)-FIND(":",D113))), VALUE(D113))
</f>
        <v/>
      </c>
      <c r="F113" s="526">
        <f>E112-E113</f>
        <v/>
      </c>
      <c r="G113" s="513">
        <f>IF(E113&lt;60, TEXT(E113, "0.00"), TEXT(E113/(24*60*60), "M:SS.00"))</f>
        <v/>
      </c>
      <c r="K113" s="692" t="n"/>
      <c r="L113" s="692" t="n"/>
    </row>
    <row r="114">
      <c r="A114" s="497" t="inlineStr">
        <is>
          <t>F</t>
        </is>
      </c>
      <c r="B114" s="707" t="inlineStr">
        <is>
          <t>200 Free</t>
        </is>
      </c>
      <c r="C114" s="520" t="n">
        <v>12</v>
      </c>
      <c r="D114" s="661" t="inlineStr">
        <is>
          <t>2:09.36</t>
        </is>
      </c>
      <c r="E114" s="35">
        <f>IF(ISNUMBER(FIND(":",D114)), VALUE(LEFT(D114,FIND(":",D114)-1))*60 + VALUE(RIGHT(D114,LEN(D114)-FIND(":",D114))), VALUE(D114))
</f>
        <v/>
      </c>
      <c r="F114" s="521" t="n"/>
      <c r="G114" s="512">
        <f>IF(E114&lt;60, TEXT(E114, "0.00"), TEXT(E114/(24*60*60), "M:SS.00"))</f>
        <v/>
      </c>
      <c r="K114" s="692" t="n"/>
      <c r="L114" s="692" t="n"/>
    </row>
    <row r="115">
      <c r="A115" s="502" t="inlineStr">
        <is>
          <t>F</t>
        </is>
      </c>
      <c r="B115" s="701" t="inlineStr">
        <is>
          <t>200 Free</t>
        </is>
      </c>
      <c r="C115" s="523" t="n">
        <v>13</v>
      </c>
      <c r="D115" s="665" t="n"/>
      <c r="E115" s="21">
        <f>E114-((E114-E116)*0.65)</f>
        <v/>
      </c>
      <c r="F115" s="524">
        <f>E114-E115</f>
        <v/>
      </c>
      <c r="G115" s="513">
        <f>IF(E115&lt;60, TEXT(E115, "0.00"), TEXT(E115/(24*60*60), "M:SS.00"))</f>
        <v/>
      </c>
      <c r="K115" s="692" t="n"/>
      <c r="L115" s="692" t="n"/>
    </row>
    <row r="116">
      <c r="A116" s="497" t="inlineStr">
        <is>
          <t>F</t>
        </is>
      </c>
      <c r="B116" s="707" t="inlineStr">
        <is>
          <t>200 Free</t>
        </is>
      </c>
      <c r="C116" s="525" t="n">
        <v>14</v>
      </c>
      <c r="D116" s="661" t="inlineStr">
        <is>
          <t>2:03.95</t>
        </is>
      </c>
      <c r="E116" s="35">
        <f>IF(ISNUMBER(FIND(":",D116)), VALUE(LEFT(D116,FIND(":",D116)-1))*60 + VALUE(RIGHT(D116,LEN(D116)-FIND(":",D116))), VALUE(D116))
</f>
        <v/>
      </c>
      <c r="F116" s="526">
        <f>E115-E116</f>
        <v/>
      </c>
      <c r="G116" s="512">
        <f>IF(E116&lt;60, TEXT(E116, "0.00"), TEXT(E116/(24*60*60), "M:SS.00"))</f>
        <v/>
      </c>
      <c r="K116" s="692" t="n"/>
      <c r="L116" s="692" t="n"/>
    </row>
    <row r="117">
      <c r="A117" s="502" t="inlineStr">
        <is>
          <t>F</t>
        </is>
      </c>
      <c r="B117" s="701" t="inlineStr">
        <is>
          <t>200 Free</t>
        </is>
      </c>
      <c r="C117" s="527" t="n">
        <v>15</v>
      </c>
      <c r="D117" s="665" t="n"/>
      <c r="E117" s="505">
        <f>E116-((E116-E118)*0.6)</f>
        <v/>
      </c>
      <c r="F117" s="524">
        <f>E116-E117</f>
        <v/>
      </c>
      <c r="G117" s="513">
        <f>IF(E117&lt;60, TEXT(E117, "0.00"), TEXT(E117/(24*60*60), "M:SS.00"))</f>
        <v/>
      </c>
      <c r="K117" s="692" t="n"/>
      <c r="L117" s="692" t="n"/>
    </row>
    <row r="118">
      <c r="A118" s="497" t="inlineStr">
        <is>
          <t>F</t>
        </is>
      </c>
      <c r="B118" s="707" t="inlineStr">
        <is>
          <t>200 Free</t>
        </is>
      </c>
      <c r="C118" s="525" t="n">
        <v>16</v>
      </c>
      <c r="D118" s="661" t="inlineStr">
        <is>
          <t>2:00.95</t>
        </is>
      </c>
      <c r="E118" s="35">
        <f>IF(ISNUMBER(FIND(":",D118)), VALUE(LEFT(D118,FIND(":",D118)-1))*60 + VALUE(RIGHT(D118,LEN(D118)-FIND(":",D118))), VALUE(D118))
</f>
        <v/>
      </c>
      <c r="F118" s="526">
        <f>E117-E118</f>
        <v/>
      </c>
      <c r="G118" s="512">
        <f>IF(E118&lt;60, TEXT(E118, "0.00"), TEXT(E118/(24*60*60), "M:SS.00"))</f>
        <v/>
      </c>
      <c r="K118" s="692" t="n"/>
      <c r="L118" s="692" t="n"/>
    </row>
    <row r="119">
      <c r="A119" s="502" t="inlineStr">
        <is>
          <t>F</t>
        </is>
      </c>
      <c r="B119" s="701" t="inlineStr">
        <is>
          <t>200 Free</t>
        </is>
      </c>
      <c r="C119" s="527" t="n">
        <v>17</v>
      </c>
      <c r="D119" s="665" t="n"/>
      <c r="E119" s="505">
        <f>E118-((E118-E120)*0.55)</f>
        <v/>
      </c>
      <c r="F119" s="524">
        <f>E118-E119</f>
        <v/>
      </c>
      <c r="G119" s="513">
        <f>IF(E119&lt;60, TEXT(E119, "0.00"), TEXT(E119/(24*60*60), "M:SS.00"))</f>
        <v/>
      </c>
      <c r="K119" s="692" t="n"/>
      <c r="L119" s="692" t="n"/>
    </row>
    <row r="120">
      <c r="A120" s="497" t="inlineStr">
        <is>
          <t>F</t>
        </is>
      </c>
      <c r="B120" s="707" t="inlineStr">
        <is>
          <t>200 Free</t>
        </is>
      </c>
      <c r="C120" s="525" t="n">
        <v>18</v>
      </c>
      <c r="D120" s="661" t="inlineStr">
        <is>
          <t>2:00.02</t>
        </is>
      </c>
      <c r="E120" s="35">
        <f>IF(ISNUMBER(FIND(":",D120)), VALUE(LEFT(D120,FIND(":",D120)-1))*60 + VALUE(RIGHT(D120,LEN(D120)-FIND(":",D120))), VALUE(D120))
</f>
        <v/>
      </c>
      <c r="F120" s="526">
        <f>E119-E120</f>
        <v/>
      </c>
      <c r="G120" s="512">
        <f>IF(E120&lt;60, TEXT(E120, "0.00"), TEXT(E120/(24*60*60), "M:SS.00"))</f>
        <v/>
      </c>
      <c r="K120" s="692" t="n"/>
      <c r="L120" s="692" t="n"/>
    </row>
    <row r="121">
      <c r="A121" s="502" t="inlineStr">
        <is>
          <t>M</t>
        </is>
      </c>
      <c r="B121" s="701" t="inlineStr">
        <is>
          <t>200 Free</t>
        </is>
      </c>
      <c r="C121" s="520" t="n">
        <v>12</v>
      </c>
      <c r="D121" s="665" t="inlineStr">
        <is>
          <t>2:05.30</t>
        </is>
      </c>
      <c r="E121" s="21">
        <f>IF(ISNUMBER(FIND(":",D121)), VALUE(LEFT(D121,FIND(":",D121)-1))*60 + VALUE(RIGHT(D121,LEN(D121)-FIND(":",D121))), VALUE(D121))
</f>
        <v/>
      </c>
      <c r="F121" s="521" t="n"/>
      <c r="G121" s="513">
        <f>IF(E121&lt;60, TEXT(E121, "0.00"), TEXT(E121/(24*60*60), "M:SS.00"))</f>
        <v/>
      </c>
      <c r="K121" s="692" t="n"/>
      <c r="L121" s="692" t="n"/>
    </row>
    <row r="122">
      <c r="A122" s="497" t="inlineStr">
        <is>
          <t>M</t>
        </is>
      </c>
      <c r="B122" s="707" t="inlineStr">
        <is>
          <t>200 Free</t>
        </is>
      </c>
      <c r="C122" s="523" t="n">
        <v>13</v>
      </c>
      <c r="D122" s="661" t="n"/>
      <c r="E122" s="35">
        <f>E121-((E121-E123)*0.65)</f>
        <v/>
      </c>
      <c r="F122" s="524">
        <f>E121-E122</f>
        <v/>
      </c>
      <c r="G122" s="512">
        <f>IF(E122&lt;60, TEXT(E122, "0.00"), TEXT(E122/(24*60*60), "M:SS.00"))</f>
        <v/>
      </c>
      <c r="K122" s="692" t="n"/>
      <c r="L122" s="692" t="n"/>
    </row>
    <row r="123">
      <c r="A123" s="502" t="inlineStr">
        <is>
          <t>M</t>
        </is>
      </c>
      <c r="B123" s="701" t="inlineStr">
        <is>
          <t>200 Free</t>
        </is>
      </c>
      <c r="C123" s="525" t="n">
        <v>14</v>
      </c>
      <c r="D123" s="665" t="inlineStr">
        <is>
          <t>1:56.50</t>
        </is>
      </c>
      <c r="E123" s="21">
        <f>IF(ISNUMBER(FIND(":",D123)), VALUE(LEFT(D123,FIND(":",D123)-1))*60 + VALUE(RIGHT(D123,LEN(D123)-FIND(":",D123))), VALUE(D123))
</f>
        <v/>
      </c>
      <c r="F123" s="526">
        <f>E122-E123</f>
        <v/>
      </c>
      <c r="G123" s="513">
        <f>IF(E123&lt;60, TEXT(E123, "0.00"), TEXT(E123/(24*60*60), "M:SS.00"))</f>
        <v/>
      </c>
      <c r="K123" s="692" t="n"/>
      <c r="L123" s="692" t="n"/>
    </row>
    <row r="124">
      <c r="A124" s="497" t="inlineStr">
        <is>
          <t>M</t>
        </is>
      </c>
      <c r="B124" s="707" t="inlineStr">
        <is>
          <t>200 Free</t>
        </is>
      </c>
      <c r="C124" s="527" t="n">
        <v>15</v>
      </c>
      <c r="D124" s="661" t="n"/>
      <c r="E124" s="517">
        <f>E123-((E123-E125)*0.6)</f>
        <v/>
      </c>
      <c r="F124" s="524">
        <f>E123-E124</f>
        <v/>
      </c>
      <c r="G124" s="512">
        <f>IF(E124&lt;60, TEXT(E124, "0.00"), TEXT(E124/(24*60*60), "M:SS.00"))</f>
        <v/>
      </c>
      <c r="K124" s="692" t="n"/>
      <c r="L124" s="692" t="n"/>
    </row>
    <row r="125">
      <c r="A125" s="502" t="inlineStr">
        <is>
          <t>M</t>
        </is>
      </c>
      <c r="B125" s="701" t="inlineStr">
        <is>
          <t>200 Free</t>
        </is>
      </c>
      <c r="C125" s="525" t="n">
        <v>16</v>
      </c>
      <c r="D125" s="665" t="inlineStr">
        <is>
          <t>1:52.06</t>
        </is>
      </c>
      <c r="E125" s="21">
        <f>IF(ISNUMBER(FIND(":",D125)), VALUE(LEFT(D125,FIND(":",D125)-1))*60 + VALUE(RIGHT(D125,LEN(D125)-FIND(":",D125))), VALUE(D125))
</f>
        <v/>
      </c>
      <c r="F125" s="526">
        <f>E124-E125</f>
        <v/>
      </c>
      <c r="G125" s="513">
        <f>IF(E125&lt;60, TEXT(E125, "0.00"), TEXT(E125/(24*60*60), "M:SS.00"))</f>
        <v/>
      </c>
      <c r="K125" s="692" t="n"/>
      <c r="L125" s="692" t="n"/>
    </row>
    <row r="126">
      <c r="A126" s="497" t="inlineStr">
        <is>
          <t>M</t>
        </is>
      </c>
      <c r="B126" s="707" t="inlineStr">
        <is>
          <t>200 Free</t>
        </is>
      </c>
      <c r="C126" s="527" t="n">
        <v>17</v>
      </c>
      <c r="D126" s="661" t="n"/>
      <c r="E126" s="517">
        <f>E125-((E125-E127)*0.55)</f>
        <v/>
      </c>
      <c r="F126" s="524">
        <f>E125-E126</f>
        <v/>
      </c>
      <c r="G126" s="512">
        <f>IF(E126&lt;60, TEXT(E126, "0.00"), TEXT(E126/(24*60*60), "M:SS.00"))</f>
        <v/>
      </c>
      <c r="K126" s="692" t="n"/>
      <c r="L126" s="692" t="n"/>
    </row>
    <row r="127">
      <c r="A127" s="502" t="inlineStr">
        <is>
          <t>M</t>
        </is>
      </c>
      <c r="B127" s="701" t="inlineStr">
        <is>
          <t>200 Free</t>
        </is>
      </c>
      <c r="C127" s="525" t="n">
        <v>18</v>
      </c>
      <c r="D127" s="665" t="inlineStr">
        <is>
          <t>1:50.12</t>
        </is>
      </c>
      <c r="E127" s="21">
        <f>IF(ISNUMBER(FIND(":",D127)), VALUE(LEFT(D127,FIND(":",D127)-1))*60 + VALUE(RIGHT(D127,LEN(D127)-FIND(":",D127))), VALUE(D127))
</f>
        <v/>
      </c>
      <c r="F127" s="526">
        <f>E126-E127</f>
        <v/>
      </c>
      <c r="G127" s="513">
        <f>IF(E127&lt;60, TEXT(E127, "0.00"), TEXT(E127/(24*60*60), "M:SS.00"))</f>
        <v/>
      </c>
      <c r="K127" s="692" t="n"/>
      <c r="L127" s="692" t="n"/>
    </row>
    <row r="128">
      <c r="A128" s="497" t="inlineStr">
        <is>
          <t>F</t>
        </is>
      </c>
      <c r="B128" s="707" t="inlineStr">
        <is>
          <t>200 IM</t>
        </is>
      </c>
      <c r="C128" s="520" t="n">
        <v>12</v>
      </c>
      <c r="D128" s="661" t="inlineStr">
        <is>
          <t>2:26.19</t>
        </is>
      </c>
      <c r="E128" s="35">
        <f>IF(ISNUMBER(FIND(":",D128)), VALUE(LEFT(D128,FIND(":",D128)-1))*60 + VALUE(RIGHT(D128,LEN(D128)-FIND(":",D128))), VALUE(D128))
</f>
        <v/>
      </c>
      <c r="F128" s="521" t="n"/>
      <c r="G128" s="512">
        <f>IF(E128&lt;60, TEXT(E128, "0.00"), TEXT(E128/(24*60*60), "M:SS.00"))</f>
        <v/>
      </c>
      <c r="K128" s="692" t="n"/>
      <c r="L128" s="692" t="n"/>
    </row>
    <row r="129">
      <c r="A129" s="502" t="inlineStr">
        <is>
          <t>F</t>
        </is>
      </c>
      <c r="B129" s="701" t="inlineStr">
        <is>
          <t>200 IM</t>
        </is>
      </c>
      <c r="C129" s="523" t="n">
        <v>13</v>
      </c>
      <c r="D129" s="665" t="n"/>
      <c r="E129" s="21">
        <f>E128-((E128-E130)*0.65)</f>
        <v/>
      </c>
      <c r="F129" s="524">
        <f>E128-E129</f>
        <v/>
      </c>
      <c r="G129" s="513">
        <f>IF(E129&lt;60, TEXT(E129, "0.00"), TEXT(E129/(24*60*60), "M:SS.00"))</f>
        <v/>
      </c>
      <c r="K129" s="692" t="n"/>
      <c r="L129" s="692" t="n"/>
    </row>
    <row r="130">
      <c r="A130" s="497" t="inlineStr">
        <is>
          <t>F</t>
        </is>
      </c>
      <c r="B130" s="707" t="inlineStr">
        <is>
          <t>200 IM</t>
        </is>
      </c>
      <c r="C130" s="525" t="n">
        <v>14</v>
      </c>
      <c r="D130" s="661" t="inlineStr">
        <is>
          <t>2:19.58</t>
        </is>
      </c>
      <c r="E130" s="35">
        <f>IF(ISNUMBER(FIND(":",D130)), VALUE(LEFT(D130,FIND(":",D130)-1))*60 + VALUE(RIGHT(D130,LEN(D130)-FIND(":",D130))), VALUE(D130))
</f>
        <v/>
      </c>
      <c r="F130" s="526">
        <f>E129-E130</f>
        <v/>
      </c>
      <c r="G130" s="512">
        <f>IF(E130&lt;60, TEXT(E130, "0.00"), TEXT(E130/(24*60*60), "M:SS.00"))</f>
        <v/>
      </c>
      <c r="K130" s="692" t="n"/>
      <c r="L130" s="692" t="n"/>
    </row>
    <row r="131">
      <c r="A131" s="502" t="inlineStr">
        <is>
          <t>F</t>
        </is>
      </c>
      <c r="B131" s="701" t="inlineStr">
        <is>
          <t>200 IM</t>
        </is>
      </c>
      <c r="C131" s="527" t="n">
        <v>15</v>
      </c>
      <c r="D131" s="665" t="n"/>
      <c r="E131" s="505">
        <f>E130-((E130-E132)*0.6)</f>
        <v/>
      </c>
      <c r="F131" s="524">
        <f>E130-E131</f>
        <v/>
      </c>
      <c r="G131" s="513">
        <f>IF(E131&lt;60, TEXT(E131, "0.00"), TEXT(E131/(24*60*60), "M:SS.00"))</f>
        <v/>
      </c>
      <c r="K131" s="692" t="n"/>
      <c r="L131" s="692" t="n"/>
    </row>
    <row r="132">
      <c r="A132" s="497" t="inlineStr">
        <is>
          <t>F</t>
        </is>
      </c>
      <c r="B132" s="707" t="inlineStr">
        <is>
          <t>200 IM</t>
        </is>
      </c>
      <c r="C132" s="525" t="n">
        <v>16</v>
      </c>
      <c r="D132" s="661" t="inlineStr">
        <is>
          <t>2:16.45</t>
        </is>
      </c>
      <c r="E132" s="35">
        <f>IF(ISNUMBER(FIND(":",D132)), VALUE(LEFT(D132,FIND(":",D132)-1))*60 + VALUE(RIGHT(D132,LEN(D132)-FIND(":",D132))), VALUE(D132))
</f>
        <v/>
      </c>
      <c r="F132" s="526">
        <f>E131-E132</f>
        <v/>
      </c>
      <c r="G132" s="512">
        <f>IF(E132&lt;60, TEXT(E132, "0.00"), TEXT(E132/(24*60*60), "M:SS.00"))</f>
        <v/>
      </c>
      <c r="K132" s="291" t="inlineStr">
        <is>
          <t>Female 200 IM</t>
        </is>
      </c>
      <c r="L132" s="765" t="n"/>
      <c r="N132" s="291" t="inlineStr">
        <is>
          <t>Male 200 IM</t>
        </is>
      </c>
      <c r="O132" s="765" t="n"/>
    </row>
    <row r="133">
      <c r="A133" s="502" t="inlineStr">
        <is>
          <t>F</t>
        </is>
      </c>
      <c r="B133" s="701" t="inlineStr">
        <is>
          <t>200 IM</t>
        </is>
      </c>
      <c r="C133" s="527" t="n">
        <v>17</v>
      </c>
      <c r="D133" s="665" t="n"/>
      <c r="E133" s="505">
        <f>E132-((E132-E134)*0.55)</f>
        <v/>
      </c>
      <c r="F133" s="524">
        <f>E132-E133</f>
        <v/>
      </c>
      <c r="G133" s="513">
        <f>IF(E133&lt;60, TEXT(E133, "0.00"), TEXT(E133/(24*60*60), "M:SS.00"))</f>
        <v/>
      </c>
      <c r="K133" s="532" t="n">
        <v>12</v>
      </c>
      <c r="L133" s="533" t="inlineStr">
        <is>
          <t>2:26.09</t>
        </is>
      </c>
      <c r="N133" s="532" t="n">
        <v>12</v>
      </c>
      <c r="O133" s="533" t="inlineStr">
        <is>
          <t>2:21.49</t>
        </is>
      </c>
    </row>
    <row r="134">
      <c r="A134" s="497" t="inlineStr">
        <is>
          <t>F</t>
        </is>
      </c>
      <c r="B134" s="707" t="inlineStr">
        <is>
          <t>200 IM</t>
        </is>
      </c>
      <c r="C134" s="525" t="n">
        <v>18</v>
      </c>
      <c r="D134" s="661" t="inlineStr">
        <is>
          <t>2:15.46</t>
        </is>
      </c>
      <c r="E134" s="35">
        <f>IF(ISNUMBER(FIND(":",D134)), VALUE(LEFT(D134,FIND(":",D134)-1))*60 + VALUE(RIGHT(D134,LEN(D134)-FIND(":",D134))), VALUE(D134))
</f>
        <v/>
      </c>
      <c r="F134" s="526">
        <f>E133-E134</f>
        <v/>
      </c>
      <c r="G134" s="512">
        <f>IF(E134&lt;60, TEXT(E134, "0.00"), TEXT(E134/(24*60*60), "M:SS.00"))</f>
        <v/>
      </c>
      <c r="K134" s="534" t="n">
        <v>13</v>
      </c>
      <c r="L134" s="535" t="inlineStr">
        <is>
          <t>2:21.81</t>
        </is>
      </c>
      <c r="N134" s="534" t="n">
        <v>13</v>
      </c>
      <c r="O134" s="535" t="inlineStr">
        <is>
          <t>2:14.24</t>
        </is>
      </c>
    </row>
    <row r="135">
      <c r="A135" s="502" t="inlineStr">
        <is>
          <t>M</t>
        </is>
      </c>
      <c r="B135" s="701" t="inlineStr">
        <is>
          <t>200 IM</t>
        </is>
      </c>
      <c r="C135" s="520" t="n">
        <v>12</v>
      </c>
      <c r="D135" s="665" t="inlineStr">
        <is>
          <t>2:21.51</t>
        </is>
      </c>
      <c r="E135" s="21">
        <f>IF(ISNUMBER(FIND(":",D135)), VALUE(LEFT(D135,FIND(":",D135)-1))*60 + VALUE(RIGHT(D135,LEN(D135)-FIND(":",D135))), VALUE(D135))
</f>
        <v/>
      </c>
      <c r="F135" s="521" t="n"/>
      <c r="G135" s="513">
        <f>IF(E135&lt;60, TEXT(E135, "0.00"), TEXT(E135/(24*60*60), "M:SS.00"))</f>
        <v/>
      </c>
      <c r="K135" s="536" t="n">
        <v>14</v>
      </c>
      <c r="L135" s="537" t="inlineStr">
        <is>
          <t>2:19.50</t>
        </is>
      </c>
      <c r="N135" s="536" t="n">
        <v>14</v>
      </c>
      <c r="O135" s="537" t="inlineStr">
        <is>
          <t>2:10.33</t>
        </is>
      </c>
    </row>
    <row r="136">
      <c r="A136" s="497" t="inlineStr">
        <is>
          <t>M</t>
        </is>
      </c>
      <c r="B136" s="707" t="inlineStr">
        <is>
          <t>200 IM</t>
        </is>
      </c>
      <c r="C136" s="523" t="n">
        <v>13</v>
      </c>
      <c r="D136" s="661" t="n"/>
      <c r="E136" s="35">
        <f>E135-((E135-E137)*0.65)</f>
        <v/>
      </c>
      <c r="F136" s="524">
        <f>E135-E136</f>
        <v/>
      </c>
      <c r="G136" s="512">
        <f>IF(E136&lt;60, TEXT(E136, "0.00"), TEXT(E136/(24*60*60), "M:SS.00"))</f>
        <v/>
      </c>
      <c r="K136" s="538" t="n">
        <v>15</v>
      </c>
      <c r="L136" s="539" t="inlineStr">
        <is>
          <t>2:17.62</t>
        </is>
      </c>
      <c r="N136" s="538" t="n">
        <v>15</v>
      </c>
      <c r="O136" s="539" t="inlineStr">
        <is>
          <t>2:07.36</t>
        </is>
      </c>
    </row>
    <row r="137">
      <c r="A137" s="502" t="inlineStr">
        <is>
          <t>M</t>
        </is>
      </c>
      <c r="B137" s="701" t="inlineStr">
        <is>
          <t>200 IM</t>
        </is>
      </c>
      <c r="C137" s="525" t="n">
        <v>14</v>
      </c>
      <c r="D137" s="665" t="inlineStr">
        <is>
          <t>2:10.44</t>
        </is>
      </c>
      <c r="E137" s="21">
        <f>IF(ISNUMBER(FIND(":",D137)), VALUE(LEFT(D137,FIND(":",D137)-1))*60 + VALUE(RIGHT(D137,LEN(D137)-FIND(":",D137))), VALUE(D137))
</f>
        <v/>
      </c>
      <c r="F137" s="526">
        <f>E136-E137</f>
        <v/>
      </c>
      <c r="G137" s="513">
        <f>IF(E137&lt;60, TEXT(E137, "0.00"), TEXT(E137/(24*60*60), "M:SS.00"))</f>
        <v/>
      </c>
      <c r="K137" s="536" t="n">
        <v>16</v>
      </c>
      <c r="L137" s="537" t="inlineStr">
        <is>
          <t>2:16.36</t>
        </is>
      </c>
      <c r="N137" s="536" t="n">
        <v>16</v>
      </c>
      <c r="O137" s="537" t="inlineStr">
        <is>
          <t>2:05.38</t>
        </is>
      </c>
    </row>
    <row r="138">
      <c r="A138" s="497" t="inlineStr">
        <is>
          <t>M</t>
        </is>
      </c>
      <c r="B138" s="707" t="inlineStr">
        <is>
          <t>200 IM</t>
        </is>
      </c>
      <c r="C138" s="527" t="n">
        <v>15</v>
      </c>
      <c r="D138" s="661" t="n"/>
      <c r="E138" s="517">
        <f>E137-((E137-E139)*0.6)</f>
        <v/>
      </c>
      <c r="F138" s="524">
        <f>E137-E138</f>
        <v/>
      </c>
      <c r="G138" s="512">
        <f>IF(E138&lt;60, TEXT(E138, "0.00"), TEXT(E138/(24*60*60), "M:SS.00"))</f>
        <v/>
      </c>
      <c r="K138" s="538" t="n">
        <v>17</v>
      </c>
      <c r="L138" s="539" t="inlineStr">
        <is>
          <t>2:15.87</t>
        </is>
      </c>
      <c r="N138" s="538" t="n">
        <v>17</v>
      </c>
      <c r="O138" s="539" t="inlineStr">
        <is>
          <t>2:04.01</t>
        </is>
      </c>
    </row>
    <row r="139">
      <c r="A139" s="502" t="inlineStr">
        <is>
          <t>M</t>
        </is>
      </c>
      <c r="B139" s="701" t="inlineStr">
        <is>
          <t>200 IM</t>
        </is>
      </c>
      <c r="C139" s="525" t="n">
        <v>16</v>
      </c>
      <c r="D139" s="665" t="inlineStr">
        <is>
          <t>2:05.45</t>
        </is>
      </c>
      <c r="E139" s="21">
        <f>IF(ISNUMBER(FIND(":",D139)), VALUE(LEFT(D139,FIND(":",D139)-1))*60 + VALUE(RIGHT(D139,LEN(D139)-FIND(":",D139))), VALUE(D139))
</f>
        <v/>
      </c>
      <c r="F139" s="526">
        <f>E138-E139</f>
        <v/>
      </c>
      <c r="G139" s="513">
        <f>IF(E139&lt;60, TEXT(E139, "0.00"), TEXT(E139/(24*60*60), "M:SS.00"))</f>
        <v/>
      </c>
      <c r="K139" s="540" t="n">
        <v>18</v>
      </c>
      <c r="L139" s="541" t="inlineStr">
        <is>
          <t>2:15.46</t>
        </is>
      </c>
      <c r="N139" s="540" t="n">
        <v>18</v>
      </c>
      <c r="O139" s="541" t="inlineStr">
        <is>
          <t>2:02.89</t>
        </is>
      </c>
    </row>
    <row r="140">
      <c r="A140" s="497" t="inlineStr">
        <is>
          <t>M</t>
        </is>
      </c>
      <c r="B140" s="707" t="inlineStr">
        <is>
          <t>200 IM</t>
        </is>
      </c>
      <c r="C140" s="527" t="n">
        <v>17</v>
      </c>
      <c r="D140" s="661" t="n"/>
      <c r="E140" s="517">
        <f>E139-((E139-E141)*0.55)</f>
        <v/>
      </c>
      <c r="F140" s="524">
        <f>E139-E140</f>
        <v/>
      </c>
      <c r="G140" s="512">
        <f>IF(E140&lt;60, TEXT(E140, "0.00"), TEXT(E140/(24*60*60), "M:SS.00"))</f>
        <v/>
      </c>
      <c r="K140" s="692" t="n"/>
      <c r="L140" s="692" t="n"/>
    </row>
    <row r="141">
      <c r="A141" s="502" t="inlineStr">
        <is>
          <t>M</t>
        </is>
      </c>
      <c r="B141" s="701" t="inlineStr">
        <is>
          <t>200 IM</t>
        </is>
      </c>
      <c r="C141" s="525" t="n">
        <v>18</v>
      </c>
      <c r="D141" s="665" t="inlineStr">
        <is>
          <t>2:02.94</t>
        </is>
      </c>
      <c r="E141" s="21">
        <f>IF(ISNUMBER(FIND(":",D141)), VALUE(LEFT(D141,FIND(":",D141)-1))*60 + VALUE(RIGHT(D141,LEN(D141)-FIND(":",D141))), VALUE(D141))
</f>
        <v/>
      </c>
      <c r="F141" s="526">
        <f>E140-E141</f>
        <v/>
      </c>
      <c r="G141" s="513">
        <f>IF(E141&lt;60, TEXT(E141, "0.00"), TEXT(E141/(24*60*60), "M:SS.00"))</f>
        <v/>
      </c>
      <c r="K141" s="692" t="n"/>
      <c r="L141" s="692" t="n"/>
    </row>
    <row r="142">
      <c r="A142" s="497" t="inlineStr">
        <is>
          <t>F</t>
        </is>
      </c>
      <c r="B142" s="707" t="inlineStr">
        <is>
          <t>400 Free</t>
        </is>
      </c>
      <c r="C142" s="520" t="n">
        <v>12</v>
      </c>
      <c r="D142" s="661" t="inlineStr">
        <is>
          <t>4:31.59</t>
        </is>
      </c>
      <c r="E142" s="35">
        <f>IF(ISNUMBER(FIND(":",D142)), VALUE(LEFT(D142,FIND(":",D142)-1))*60 + VALUE(RIGHT(D142,LEN(D142)-FIND(":",D142))), VALUE(D142))
</f>
        <v/>
      </c>
      <c r="F142" s="521" t="n"/>
      <c r="G142" s="512">
        <f>IF(E142&lt;60, TEXT(E142, "0.00"), TEXT(E142/(24*60*60), "M:SS.00"))</f>
        <v/>
      </c>
      <c r="K142" s="692" t="n"/>
      <c r="L142" s="692" t="n"/>
    </row>
    <row r="143">
      <c r="A143" s="502" t="inlineStr">
        <is>
          <t>F</t>
        </is>
      </c>
      <c r="B143" s="701" t="inlineStr">
        <is>
          <t>400 Free</t>
        </is>
      </c>
      <c r="C143" s="523" t="n">
        <v>13</v>
      </c>
      <c r="D143" s="665" t="n"/>
      <c r="E143" s="21">
        <f>E142-((E142-E144)*0.65)</f>
        <v/>
      </c>
      <c r="F143" s="524">
        <f>E142-E143</f>
        <v/>
      </c>
      <c r="G143" s="513">
        <f>IF(E143&lt;60, TEXT(E143, "0.00"), TEXT(E143/(24*60*60), "M:SS.00"))</f>
        <v/>
      </c>
      <c r="K143" s="692" t="n"/>
      <c r="L143" s="692" t="n"/>
    </row>
    <row r="144">
      <c r="A144" s="497" t="inlineStr">
        <is>
          <t>F</t>
        </is>
      </c>
      <c r="B144" s="707" t="inlineStr">
        <is>
          <t>400 Free</t>
        </is>
      </c>
      <c r="C144" s="525" t="n">
        <v>14</v>
      </c>
      <c r="D144" s="661" t="inlineStr">
        <is>
          <t>4:19.28</t>
        </is>
      </c>
      <c r="E144" s="35">
        <f>IF(ISNUMBER(FIND(":",D144)), VALUE(LEFT(D144,FIND(":",D144)-1))*60 + VALUE(RIGHT(D144,LEN(D144)-FIND(":",D144))), VALUE(D144))
</f>
        <v/>
      </c>
      <c r="F144" s="526">
        <f>E143-E144</f>
        <v/>
      </c>
      <c r="G144" s="512">
        <f>IF(E144&lt;60, TEXT(E144, "0.00"), TEXT(E144/(24*60*60), "M:SS.00"))</f>
        <v/>
      </c>
      <c r="K144" s="692" t="n"/>
      <c r="L144" s="692" t="n"/>
    </row>
    <row r="145">
      <c r="A145" s="502" t="inlineStr">
        <is>
          <t>F</t>
        </is>
      </c>
      <c r="B145" s="701" t="inlineStr">
        <is>
          <t>400 Free</t>
        </is>
      </c>
      <c r="C145" s="527" t="n">
        <v>15</v>
      </c>
      <c r="D145" s="665" t="n"/>
      <c r="E145" s="505">
        <f>E144-((E144-E146)*0.6)</f>
        <v/>
      </c>
      <c r="F145" s="524">
        <f>E144-E145</f>
        <v/>
      </c>
      <c r="G145" s="513">
        <f>IF(E145&lt;60, TEXT(E145, "0.00"), TEXT(E145/(24*60*60), "M:SS.00"))</f>
        <v/>
      </c>
      <c r="K145" s="692" t="n"/>
      <c r="L145" s="692" t="n"/>
    </row>
    <row r="146">
      <c r="A146" s="497" t="inlineStr">
        <is>
          <t>F</t>
        </is>
      </c>
      <c r="B146" s="707" t="inlineStr">
        <is>
          <t>400 Free</t>
        </is>
      </c>
      <c r="C146" s="525" t="n">
        <v>16</v>
      </c>
      <c r="D146" s="661" t="inlineStr">
        <is>
          <t>4:13.69</t>
        </is>
      </c>
      <c r="E146" s="35">
        <f>IF(ISNUMBER(FIND(":",D146)), VALUE(LEFT(D146,FIND(":",D146)-1))*60 + VALUE(RIGHT(D146,LEN(D146)-FIND(":",D146))), VALUE(D146))
</f>
        <v/>
      </c>
      <c r="F146" s="526">
        <f>E145-E146</f>
        <v/>
      </c>
      <c r="G146" s="512">
        <f>IF(E146&lt;60, TEXT(E146, "0.00"), TEXT(E146/(24*60*60), "M:SS.00"))</f>
        <v/>
      </c>
      <c r="K146" s="692" t="n"/>
      <c r="L146" s="692" t="n"/>
    </row>
    <row r="147">
      <c r="A147" s="502" t="inlineStr">
        <is>
          <t>F</t>
        </is>
      </c>
      <c r="B147" s="701" t="inlineStr">
        <is>
          <t>400 Free</t>
        </is>
      </c>
      <c r="C147" s="527" t="n">
        <v>17</v>
      </c>
      <c r="D147" s="665" t="n"/>
      <c r="E147" s="505">
        <f>E146-((E146-E148)*0.55)</f>
        <v/>
      </c>
      <c r="F147" s="524">
        <f>E146-E147</f>
        <v/>
      </c>
      <c r="G147" s="513">
        <f>IF(E147&lt;60, TEXT(E147, "0.00"), TEXT(E147/(24*60*60), "M:SS.00"))</f>
        <v/>
      </c>
      <c r="K147" s="692" t="n"/>
      <c r="L147" s="692" t="n"/>
    </row>
    <row r="148">
      <c r="A148" s="497" t="inlineStr">
        <is>
          <t>F</t>
        </is>
      </c>
      <c r="B148" s="707" t="inlineStr">
        <is>
          <t>400 Free</t>
        </is>
      </c>
      <c r="C148" s="525" t="n">
        <v>18</v>
      </c>
      <c r="D148" s="661" t="inlineStr">
        <is>
          <t>4:12.23</t>
        </is>
      </c>
      <c r="E148" s="35">
        <f>IF(ISNUMBER(FIND(":",D148)), VALUE(LEFT(D148,FIND(":",D148)-1))*60 + VALUE(RIGHT(D148,LEN(D148)-FIND(":",D148))), VALUE(D148))
</f>
        <v/>
      </c>
      <c r="F148" s="526">
        <f>E147-E148</f>
        <v/>
      </c>
      <c r="G148" s="512">
        <f>IF(E148&lt;60, TEXT(E148, "0.00"), TEXT(E148/(24*60*60), "M:SS.00"))</f>
        <v/>
      </c>
      <c r="K148" s="692" t="n"/>
      <c r="L148" s="692" t="n"/>
    </row>
    <row r="149">
      <c r="A149" s="502" t="inlineStr">
        <is>
          <t>M</t>
        </is>
      </c>
      <c r="B149" s="701" t="inlineStr">
        <is>
          <t>400 Free</t>
        </is>
      </c>
      <c r="C149" s="520" t="n">
        <v>12</v>
      </c>
      <c r="D149" s="665" t="inlineStr">
        <is>
          <t>4:25.59</t>
        </is>
      </c>
      <c r="E149" s="21">
        <f>IF(ISNUMBER(FIND(":",D149)), VALUE(LEFT(D149,FIND(":",D149)-1))*60 + VALUE(RIGHT(D149,LEN(D149)-FIND(":",D149))), VALUE(D149))
</f>
        <v/>
      </c>
      <c r="F149" s="521" t="n"/>
      <c r="G149" s="513">
        <f>IF(E149&lt;60, TEXT(E149, "0.00"), TEXT(E149/(24*60*60), "M:SS.00"))</f>
        <v/>
      </c>
      <c r="K149" s="692" t="n"/>
      <c r="L149" s="692" t="n"/>
    </row>
    <row r="150">
      <c r="A150" s="497" t="inlineStr">
        <is>
          <t>M</t>
        </is>
      </c>
      <c r="B150" s="707" t="inlineStr">
        <is>
          <t>400 Free</t>
        </is>
      </c>
      <c r="C150" s="523" t="n">
        <v>13</v>
      </c>
      <c r="D150" s="661" t="n"/>
      <c r="E150" s="35">
        <f>E149-((E149-E151)*0.65)</f>
        <v/>
      </c>
      <c r="F150" s="524">
        <f>E149-E150</f>
        <v/>
      </c>
      <c r="G150" s="512">
        <f>IF(E150&lt;60, TEXT(E150, "0.00"), TEXT(E150/(24*60*60), "M:SS.00"))</f>
        <v/>
      </c>
      <c r="K150" s="692" t="n"/>
      <c r="L150" s="692" t="n"/>
    </row>
    <row r="151">
      <c r="A151" s="502" t="inlineStr">
        <is>
          <t>M</t>
        </is>
      </c>
      <c r="B151" s="701" t="inlineStr">
        <is>
          <t>400 Free</t>
        </is>
      </c>
      <c r="C151" s="525" t="n">
        <v>14</v>
      </c>
      <c r="D151" s="665" t="inlineStr">
        <is>
          <t>4:06.64</t>
        </is>
      </c>
      <c r="E151" s="21">
        <f>IF(ISNUMBER(FIND(":",D151)), VALUE(LEFT(D151,FIND(":",D151)-1))*60 + VALUE(RIGHT(D151,LEN(D151)-FIND(":",D151))), VALUE(D151))
</f>
        <v/>
      </c>
      <c r="F151" s="526">
        <f>E150-E151</f>
        <v/>
      </c>
      <c r="G151" s="513">
        <f>IF(E151&lt;60, TEXT(E151, "0.00"), TEXT(E151/(24*60*60), "M:SS.00"))</f>
        <v/>
      </c>
      <c r="K151" s="692" t="n"/>
      <c r="L151" s="692" t="n"/>
    </row>
    <row r="152">
      <c r="A152" s="497" t="inlineStr">
        <is>
          <t>M</t>
        </is>
      </c>
      <c r="B152" s="707" t="inlineStr">
        <is>
          <t>400 Free</t>
        </is>
      </c>
      <c r="C152" s="527" t="n">
        <v>15</v>
      </c>
      <c r="D152" s="661" t="n"/>
      <c r="E152" s="517">
        <f>E151-((E151-E153)*0.6)</f>
        <v/>
      </c>
      <c r="F152" s="524">
        <f>E151-E152</f>
        <v/>
      </c>
      <c r="G152" s="512">
        <f>IF(E152&lt;60, TEXT(E152, "0.00"), TEXT(E152/(24*60*60), "M:SS.00"))</f>
        <v/>
      </c>
      <c r="K152" s="692" t="n"/>
      <c r="L152" s="692" t="n"/>
    </row>
    <row r="153">
      <c r="A153" s="502" t="inlineStr">
        <is>
          <t>M</t>
        </is>
      </c>
      <c r="B153" s="701" t="inlineStr">
        <is>
          <t>400 Free</t>
        </is>
      </c>
      <c r="C153" s="525" t="n">
        <v>16</v>
      </c>
      <c r="D153" s="665" t="inlineStr">
        <is>
          <t>3:57.71</t>
        </is>
      </c>
      <c r="E153" s="21">
        <f>IF(ISNUMBER(FIND(":",D153)), VALUE(LEFT(D153,FIND(":",D153)-1))*60 + VALUE(RIGHT(D153,LEN(D153)-FIND(":",D153))), VALUE(D153))
</f>
        <v/>
      </c>
      <c r="F153" s="526">
        <f>E152-E153</f>
        <v/>
      </c>
      <c r="G153" s="513">
        <f>IF(E153&lt;60, TEXT(E153, "0.00"), TEXT(E153/(24*60*60), "M:SS.00"))</f>
        <v/>
      </c>
      <c r="K153" s="692" t="n"/>
      <c r="L153" s="692" t="n"/>
    </row>
    <row r="154">
      <c r="A154" s="497" t="inlineStr">
        <is>
          <t>M</t>
        </is>
      </c>
      <c r="B154" s="707" t="inlineStr">
        <is>
          <t>400 Free</t>
        </is>
      </c>
      <c r="C154" s="527" t="n">
        <v>17</v>
      </c>
      <c r="D154" s="661" t="n"/>
      <c r="E154" s="517">
        <f>E153-((E153-E155)*0.55)</f>
        <v/>
      </c>
      <c r="F154" s="524">
        <f>E153-E154</f>
        <v/>
      </c>
      <c r="G154" s="512">
        <f>IF(E154&lt;60, TEXT(E154, "0.00"), TEXT(E154/(24*60*60), "M:SS.00"))</f>
        <v/>
      </c>
      <c r="K154" s="692" t="n"/>
      <c r="L154" s="692" t="n"/>
    </row>
    <row r="155">
      <c r="A155" s="502" t="inlineStr">
        <is>
          <t>M</t>
        </is>
      </c>
      <c r="B155" s="701" t="inlineStr">
        <is>
          <t>400 Free</t>
        </is>
      </c>
      <c r="C155" s="525" t="n">
        <v>18</v>
      </c>
      <c r="D155" s="665" t="inlineStr">
        <is>
          <t>3:54.12</t>
        </is>
      </c>
      <c r="E155" s="21">
        <f>IF(ISNUMBER(FIND(":",D155)), VALUE(LEFT(D155,FIND(":",D155)-1))*60 + VALUE(RIGHT(D155,LEN(D155)-FIND(":",D155))), VALUE(D155))
</f>
        <v/>
      </c>
      <c r="F155" s="526">
        <f>E154-E155</f>
        <v/>
      </c>
      <c r="G155" s="513">
        <f>IF(E155&lt;60, TEXT(E155, "0.00"), TEXT(E155/(24*60*60), "M:SS.00"))</f>
        <v/>
      </c>
      <c r="K155" s="692" t="n"/>
      <c r="L155" s="692" t="n"/>
    </row>
    <row r="156">
      <c r="A156" s="497" t="inlineStr">
        <is>
          <t>F</t>
        </is>
      </c>
      <c r="B156" s="707" t="inlineStr">
        <is>
          <t>400 IM</t>
        </is>
      </c>
      <c r="C156" s="520" t="n">
        <v>12</v>
      </c>
      <c r="D156" s="661" t="inlineStr">
        <is>
          <t>5:12.83</t>
        </is>
      </c>
      <c r="E156" s="35">
        <f>IF(ISNUMBER(FIND(":",D156)), VALUE(LEFT(D156,FIND(":",D156)-1))*60 + VALUE(RIGHT(D156,LEN(D156)-FIND(":",D156))), VALUE(D156))
</f>
        <v/>
      </c>
      <c r="F156" s="521" t="n"/>
      <c r="G156" s="512">
        <f>IF(E156&lt;60, TEXT(E156, "0.00"), TEXT(E156/(24*60*60), "M:SS.00"))</f>
        <v/>
      </c>
      <c r="K156" s="692" t="n"/>
      <c r="L156" s="692" t="n"/>
    </row>
    <row r="157">
      <c r="A157" s="502" t="inlineStr">
        <is>
          <t>F</t>
        </is>
      </c>
      <c r="B157" s="701" t="inlineStr">
        <is>
          <t>400 IM</t>
        </is>
      </c>
      <c r="C157" s="523" t="n">
        <v>13</v>
      </c>
      <c r="D157" s="665" t="n"/>
      <c r="E157" s="21">
        <f>E156-((E156-E158)*0.65)</f>
        <v/>
      </c>
      <c r="F157" s="524">
        <f>E156-E157</f>
        <v/>
      </c>
      <c r="G157" s="513">
        <f>IF(E157&lt;60, TEXT(E157, "0.00"), TEXT(E157/(24*60*60), "M:SS.00"))</f>
        <v/>
      </c>
      <c r="K157" s="692" t="n"/>
      <c r="L157" s="692" t="n"/>
    </row>
    <row r="158">
      <c r="A158" s="497" t="inlineStr">
        <is>
          <t>F</t>
        </is>
      </c>
      <c r="B158" s="707" t="inlineStr">
        <is>
          <t>400 IM</t>
        </is>
      </c>
      <c r="C158" s="525" t="n">
        <v>14</v>
      </c>
      <c r="D158" s="661" t="inlineStr">
        <is>
          <t>4:54.32</t>
        </is>
      </c>
      <c r="E158" s="35">
        <f>IF(ISNUMBER(FIND(":",D158)), VALUE(LEFT(D158,FIND(":",D158)-1))*60 + VALUE(RIGHT(D158,LEN(D158)-FIND(":",D158))), VALUE(D158))
</f>
        <v/>
      </c>
      <c r="F158" s="526">
        <f>E157-E158</f>
        <v/>
      </c>
      <c r="G158" s="512">
        <f>IF(E158&lt;60, TEXT(E158, "0.00"), TEXT(E158/(24*60*60), "M:SS.00"))</f>
        <v/>
      </c>
      <c r="K158" s="692" t="n"/>
      <c r="L158" s="692" t="n"/>
    </row>
    <row r="159">
      <c r="A159" s="502" t="inlineStr">
        <is>
          <t>F</t>
        </is>
      </c>
      <c r="B159" s="701" t="inlineStr">
        <is>
          <t>400 IM</t>
        </is>
      </c>
      <c r="C159" s="527" t="n">
        <v>15</v>
      </c>
      <c r="D159" s="665" t="n"/>
      <c r="E159" s="505">
        <f>E158-((E158-E160)*0.6)</f>
        <v/>
      </c>
      <c r="F159" s="524">
        <f>E158-E159</f>
        <v/>
      </c>
      <c r="G159" s="513">
        <f>IF(E159&lt;60, TEXT(E159, "0.00"), TEXT(E159/(24*60*60), "M:SS.00"))</f>
        <v/>
      </c>
      <c r="K159" s="692" t="n"/>
      <c r="L159" s="692" t="n"/>
    </row>
    <row r="160">
      <c r="A160" s="497" t="inlineStr">
        <is>
          <t>F</t>
        </is>
      </c>
      <c r="B160" s="707" t="inlineStr">
        <is>
          <t>400 IM</t>
        </is>
      </c>
      <c r="C160" s="525" t="n">
        <v>16</v>
      </c>
      <c r="D160" s="661" t="inlineStr">
        <is>
          <t>4:48.24</t>
        </is>
      </c>
      <c r="E160" s="35">
        <f>IF(ISNUMBER(FIND(":",D160)), VALUE(LEFT(D160,FIND(":",D160)-1))*60 + VALUE(RIGHT(D160,LEN(D160)-FIND(":",D160))), VALUE(D160))
</f>
        <v/>
      </c>
      <c r="F160" s="526">
        <f>E159-E160</f>
        <v/>
      </c>
      <c r="G160" s="512">
        <f>IF(E160&lt;60, TEXT(E160, "0.00"), TEXT(E160/(24*60*60), "M:SS.00"))</f>
        <v/>
      </c>
      <c r="K160" s="692" t="n"/>
      <c r="L160" s="692" t="n"/>
    </row>
    <row r="161">
      <c r="A161" s="502" t="inlineStr">
        <is>
          <t>F</t>
        </is>
      </c>
      <c r="B161" s="701" t="inlineStr">
        <is>
          <t>400 IM</t>
        </is>
      </c>
      <c r="C161" s="527" t="n">
        <v>17</v>
      </c>
      <c r="D161" s="665" t="n"/>
      <c r="E161" s="505">
        <f>E160-((E160-E162)*0.55)</f>
        <v/>
      </c>
      <c r="F161" s="524">
        <f>E160-E161</f>
        <v/>
      </c>
      <c r="G161" s="513">
        <f>IF(E161&lt;60, TEXT(E161, "0.00"), TEXT(E161/(24*60*60), "M:SS.00"))</f>
        <v/>
      </c>
      <c r="K161" s="692" t="n"/>
      <c r="L161" s="692" t="n"/>
    </row>
    <row r="162">
      <c r="A162" s="497" t="inlineStr">
        <is>
          <t>F</t>
        </is>
      </c>
      <c r="B162" s="707" t="inlineStr">
        <is>
          <t>400 IM</t>
        </is>
      </c>
      <c r="C162" s="525" t="n">
        <v>18</v>
      </c>
      <c r="D162" s="661" t="inlineStr">
        <is>
          <t>4:46.78</t>
        </is>
      </c>
      <c r="E162" s="35">
        <f>IF(ISNUMBER(FIND(":",D162)), VALUE(LEFT(D162,FIND(":",D162)-1))*60 + VALUE(RIGHT(D162,LEN(D162)-FIND(":",D162))), VALUE(D162))
</f>
        <v/>
      </c>
      <c r="F162" s="526">
        <f>E161-E162</f>
        <v/>
      </c>
      <c r="G162" s="512">
        <f>IF(E162&lt;60, TEXT(E162, "0.00"), TEXT(E162/(24*60*60), "M:SS.00"))</f>
        <v/>
      </c>
      <c r="K162" s="692" t="n"/>
      <c r="L162" s="692" t="n"/>
    </row>
    <row r="163">
      <c r="A163" s="502" t="inlineStr">
        <is>
          <t>M</t>
        </is>
      </c>
      <c r="B163" s="701" t="inlineStr">
        <is>
          <t>400 IM</t>
        </is>
      </c>
      <c r="C163" s="520" t="n">
        <v>12</v>
      </c>
      <c r="D163" s="665" t="inlineStr">
        <is>
          <t>5:05.13</t>
        </is>
      </c>
      <c r="E163" s="21">
        <f>IF(ISNUMBER(FIND(":",D163)), VALUE(LEFT(D163,FIND(":",D163)-1))*60 + VALUE(RIGHT(D163,LEN(D163)-FIND(":",D163))), VALUE(D163))
</f>
        <v/>
      </c>
      <c r="F163" s="521" t="n"/>
      <c r="G163" s="513">
        <f>IF(E163&lt;60, TEXT(E163, "0.00"), TEXT(E163/(24*60*60), "M:SS.00"))</f>
        <v/>
      </c>
      <c r="K163" s="692" t="n"/>
      <c r="L163" s="692" t="n"/>
    </row>
    <row r="164">
      <c r="A164" s="497" t="inlineStr">
        <is>
          <t>M</t>
        </is>
      </c>
      <c r="B164" s="707" t="inlineStr">
        <is>
          <t>400 IM</t>
        </is>
      </c>
      <c r="C164" s="523" t="n">
        <v>13</v>
      </c>
      <c r="D164" s="661" t="n"/>
      <c r="E164" s="35">
        <f>E163-((E163-E165)*0.65)</f>
        <v/>
      </c>
      <c r="F164" s="524">
        <f>E163-E164</f>
        <v/>
      </c>
      <c r="G164" s="512">
        <f>IF(E164&lt;60, TEXT(E164, "0.00"), TEXT(E164/(24*60*60), "M:SS.00"))</f>
        <v/>
      </c>
      <c r="K164" s="692" t="n"/>
      <c r="L164" s="692" t="n"/>
    </row>
    <row r="165">
      <c r="A165" s="502" t="inlineStr">
        <is>
          <t>M</t>
        </is>
      </c>
      <c r="B165" s="701" t="inlineStr">
        <is>
          <t>400 IM</t>
        </is>
      </c>
      <c r="C165" s="525" t="n">
        <v>14</v>
      </c>
      <c r="D165" s="665" t="inlineStr">
        <is>
          <t>4:37.74</t>
        </is>
      </c>
      <c r="E165" s="21">
        <f>IF(ISNUMBER(FIND(":",D165)), VALUE(LEFT(D165,FIND(":",D165)-1))*60 + VALUE(RIGHT(D165,LEN(D165)-FIND(":",D165))), VALUE(D165))
</f>
        <v/>
      </c>
      <c r="F165" s="526">
        <f>E164-E165</f>
        <v/>
      </c>
      <c r="G165" s="513">
        <f>IF(E165&lt;60, TEXT(E165, "0.00"), TEXT(E165/(24*60*60), "M:SS.00"))</f>
        <v/>
      </c>
      <c r="K165" s="692" t="n"/>
      <c r="L165" s="692" t="n"/>
    </row>
    <row r="166">
      <c r="A166" s="497" t="inlineStr">
        <is>
          <t>M</t>
        </is>
      </c>
      <c r="B166" s="707" t="inlineStr">
        <is>
          <t>400 IM</t>
        </is>
      </c>
      <c r="C166" s="527" t="n">
        <v>15</v>
      </c>
      <c r="D166" s="661" t="n"/>
      <c r="E166" s="517">
        <f>E165-((E165-E167)*0.6)</f>
        <v/>
      </c>
      <c r="F166" s="524">
        <f>E165-E166</f>
        <v/>
      </c>
      <c r="G166" s="512">
        <f>IF(E166&lt;60, TEXT(E166, "0.00"), TEXT(E166/(24*60*60), "M:SS.00"))</f>
        <v/>
      </c>
      <c r="K166" s="692" t="n"/>
      <c r="L166" s="692" t="n"/>
    </row>
    <row r="167">
      <c r="A167" s="502" t="inlineStr">
        <is>
          <t>M</t>
        </is>
      </c>
      <c r="B167" s="701" t="inlineStr">
        <is>
          <t>400 IM</t>
        </is>
      </c>
      <c r="C167" s="525" t="n">
        <v>16</v>
      </c>
      <c r="D167" s="665" t="inlineStr">
        <is>
          <t>4:26.56</t>
        </is>
      </c>
      <c r="E167" s="21">
        <f>IF(ISNUMBER(FIND(":",D167)), VALUE(LEFT(D167,FIND(":",D167)-1))*60 + VALUE(RIGHT(D167,LEN(D167)-FIND(":",D167))), VALUE(D167))
</f>
        <v/>
      </c>
      <c r="F167" s="526">
        <f>E166-E167</f>
        <v/>
      </c>
      <c r="G167" s="513">
        <f>IF(E167&lt;60, TEXT(E167, "0.00"), TEXT(E167/(24*60*60), "M:SS.00"))</f>
        <v/>
      </c>
      <c r="K167" s="692" t="n"/>
      <c r="L167" s="692" t="n"/>
    </row>
    <row r="168">
      <c r="A168" s="497" t="inlineStr">
        <is>
          <t>M</t>
        </is>
      </c>
      <c r="B168" s="707" t="inlineStr">
        <is>
          <t>400 IM</t>
        </is>
      </c>
      <c r="C168" s="527" t="n">
        <v>17</v>
      </c>
      <c r="D168" s="661" t="n"/>
      <c r="E168" s="517">
        <f>E167-((E167-E169)*0.55)</f>
        <v/>
      </c>
      <c r="F168" s="524">
        <f>E167-E168</f>
        <v/>
      </c>
      <c r="G168" s="512">
        <f>IF(E168&lt;60, TEXT(E168, "0.00"), TEXT(E168/(24*60*60), "M:SS.00"))</f>
        <v/>
      </c>
      <c r="K168" s="692" t="n"/>
      <c r="L168" s="692" t="n"/>
    </row>
    <row r="169">
      <c r="A169" s="502" t="inlineStr">
        <is>
          <t>M</t>
        </is>
      </c>
      <c r="B169" s="701" t="inlineStr">
        <is>
          <t>400 IM</t>
        </is>
      </c>
      <c r="C169" s="525" t="n">
        <v>18</v>
      </c>
      <c r="D169" s="665" t="inlineStr">
        <is>
          <t>4:22.53</t>
        </is>
      </c>
      <c r="E169" s="21">
        <f>IF(ISNUMBER(FIND(":",D169)), VALUE(LEFT(D169,FIND(":",D169)-1))*60 + VALUE(RIGHT(D169,LEN(D169)-FIND(":",D169))), VALUE(D169))
</f>
        <v/>
      </c>
      <c r="F169" s="526">
        <f>E168-E169</f>
        <v/>
      </c>
      <c r="G169" s="513">
        <f>IF(E169&lt;60, TEXT(E169, "0.00"), TEXT(E169/(24*60*60), "M:SS.00"))</f>
        <v/>
      </c>
      <c r="K169" s="692" t="n"/>
      <c r="L169" s="692" t="n"/>
    </row>
    <row r="170">
      <c r="A170" s="497" t="inlineStr">
        <is>
          <t>F</t>
        </is>
      </c>
      <c r="B170" s="707" t="inlineStr">
        <is>
          <t>50 Free</t>
        </is>
      </c>
      <c r="C170" s="520" t="n">
        <v>12</v>
      </c>
      <c r="D170" s="661" t="n">
        <v>27.52</v>
      </c>
      <c r="E170" s="35">
        <f>IF(ISNUMBER(FIND(":",D170)), VALUE(LEFT(D170,FIND(":",D170)-1))*60 + VALUE(RIGHT(D170,LEN(D170)-FIND(":",D170))), VALUE(D170))
</f>
        <v/>
      </c>
      <c r="F170" s="521" t="n"/>
      <c r="G170" s="512">
        <f>IF(E170&lt;60, TEXT(E170, "0.00"), TEXT(E170/(24*60*60), "M:SS.00"))</f>
        <v/>
      </c>
      <c r="K170" s="692" t="n"/>
      <c r="L170" s="692" t="n"/>
    </row>
    <row r="171">
      <c r="A171" s="502" t="inlineStr">
        <is>
          <t>F</t>
        </is>
      </c>
      <c r="B171" s="701" t="inlineStr">
        <is>
          <t>50 Free</t>
        </is>
      </c>
      <c r="C171" s="523" t="n">
        <v>13</v>
      </c>
      <c r="D171" s="665" t="n"/>
      <c r="E171" s="21">
        <f>E170-((E170-E172)*0.65)</f>
        <v/>
      </c>
      <c r="F171" s="524">
        <f>E170-E171</f>
        <v/>
      </c>
      <c r="G171" s="513">
        <f>IF(E171&lt;60, TEXT(E171, "0.00"), TEXT(E171/(24*60*60), "M:SS.00"))</f>
        <v/>
      </c>
      <c r="K171" s="692" t="n"/>
      <c r="L171" s="692" t="n"/>
    </row>
    <row r="172">
      <c r="A172" s="497" t="inlineStr">
        <is>
          <t>F</t>
        </is>
      </c>
      <c r="B172" s="707" t="inlineStr">
        <is>
          <t>50 Free</t>
        </is>
      </c>
      <c r="C172" s="525" t="n">
        <v>14</v>
      </c>
      <c r="D172" s="661" t="n">
        <v>26.43</v>
      </c>
      <c r="E172" s="35">
        <f>IF(ISNUMBER(FIND(":",D172)), VALUE(LEFT(D172,FIND(":",D172)-1))*60 + VALUE(RIGHT(D172,LEN(D172)-FIND(":",D172))), VALUE(D172))
</f>
        <v/>
      </c>
      <c r="F172" s="526">
        <f>E171-E172</f>
        <v/>
      </c>
      <c r="G172" s="512">
        <f>IF(E172&lt;60, TEXT(E172, "0.00"), TEXT(E172/(24*60*60), "M:SS.00"))</f>
        <v/>
      </c>
      <c r="K172" s="692" t="n"/>
      <c r="L172" s="692" t="n"/>
    </row>
    <row r="173">
      <c r="A173" s="502" t="inlineStr">
        <is>
          <t>F</t>
        </is>
      </c>
      <c r="B173" s="701" t="inlineStr">
        <is>
          <t>50 Free</t>
        </is>
      </c>
      <c r="C173" s="527" t="n">
        <v>15</v>
      </c>
      <c r="D173" s="665" t="n"/>
      <c r="E173" s="505">
        <f>E172-((E172-E174)*0.6)</f>
        <v/>
      </c>
      <c r="F173" s="524">
        <f>E172-E173</f>
        <v/>
      </c>
      <c r="G173" s="513">
        <f>IF(E173&lt;60, TEXT(E173, "0.00"), TEXT(E173/(24*60*60), "M:SS.00"))</f>
        <v/>
      </c>
      <c r="K173" s="692" t="n"/>
      <c r="L173" s="692" t="n"/>
    </row>
    <row r="174">
      <c r="A174" s="497" t="inlineStr">
        <is>
          <t>F</t>
        </is>
      </c>
      <c r="B174" s="707" t="inlineStr">
        <is>
          <t>50 Free</t>
        </is>
      </c>
      <c r="C174" s="525" t="n">
        <v>16</v>
      </c>
      <c r="D174" s="661" t="n">
        <v>25.86</v>
      </c>
      <c r="E174" s="35">
        <f>IF(ISNUMBER(FIND(":",D174)), VALUE(LEFT(D174,FIND(":",D174)-1))*60 + VALUE(RIGHT(D174,LEN(D174)-FIND(":",D174))), VALUE(D174))
</f>
        <v/>
      </c>
      <c r="F174" s="526">
        <f>E173-E174</f>
        <v/>
      </c>
      <c r="G174" s="512">
        <f>IF(E174&lt;60, TEXT(E174, "0.00"), TEXT(E174/(24*60*60), "M:SS.00"))</f>
        <v/>
      </c>
      <c r="K174" s="692" t="n"/>
      <c r="L174" s="692" t="n"/>
    </row>
    <row r="175">
      <c r="A175" s="502" t="inlineStr">
        <is>
          <t>F</t>
        </is>
      </c>
      <c r="B175" s="701" t="inlineStr">
        <is>
          <t>50 Free</t>
        </is>
      </c>
      <c r="C175" s="527" t="n">
        <v>17</v>
      </c>
      <c r="D175" s="665" t="n"/>
      <c r="E175" s="505">
        <f>E174-((E174-E176)*0.55)</f>
        <v/>
      </c>
      <c r="F175" s="524">
        <f>E174-E175</f>
        <v/>
      </c>
      <c r="G175" s="513">
        <f>IF(E175&lt;60, TEXT(E175, "0.00"), TEXT(E175/(24*60*60), "M:SS.00"))</f>
        <v/>
      </c>
      <c r="K175" s="692" t="n"/>
      <c r="L175" s="692" t="n"/>
    </row>
    <row r="176">
      <c r="A176" s="497" t="inlineStr">
        <is>
          <t>F</t>
        </is>
      </c>
      <c r="B176" s="707" t="inlineStr">
        <is>
          <t>50 Free</t>
        </is>
      </c>
      <c r="C176" s="525" t="n">
        <v>18</v>
      </c>
      <c r="D176" s="661" t="n">
        <v>25.7</v>
      </c>
      <c r="E176" s="35">
        <f>IF(ISNUMBER(FIND(":",D176)), VALUE(LEFT(D176,FIND(":",D176)-1))*60 + VALUE(RIGHT(D176,LEN(D176)-FIND(":",D176))), VALUE(D176))
</f>
        <v/>
      </c>
      <c r="F176" s="526">
        <f>E175-E176</f>
        <v/>
      </c>
      <c r="G176" s="512">
        <f>IF(E176&lt;60, TEXT(E176, "0.00"), TEXT(E176/(24*60*60), "M:SS.00"))</f>
        <v/>
      </c>
      <c r="K176" s="692" t="n"/>
      <c r="L176" s="692" t="n"/>
    </row>
    <row r="177">
      <c r="A177" s="502" t="inlineStr">
        <is>
          <t>M</t>
        </is>
      </c>
      <c r="B177" s="701" t="inlineStr">
        <is>
          <t>50 Free</t>
        </is>
      </c>
      <c r="C177" s="520" t="n">
        <v>12</v>
      </c>
      <c r="D177" s="665" t="n">
        <v>26.29</v>
      </c>
      <c r="E177" s="21">
        <f>IF(ISNUMBER(FIND(":",D177)), VALUE(LEFT(D177,FIND(":",D177)-1))*60 + VALUE(RIGHT(D177,LEN(D177)-FIND(":",D177))), VALUE(D177))
</f>
        <v/>
      </c>
      <c r="F177" s="521" t="n"/>
      <c r="G177" s="513">
        <f>IF(E177&lt;60, TEXT(E177, "0.00"), TEXT(E177/(24*60*60), "M:SS.00"))</f>
        <v/>
      </c>
      <c r="K177" s="692" t="n"/>
      <c r="L177" s="692" t="n"/>
    </row>
    <row r="178">
      <c r="A178" s="497" t="inlineStr">
        <is>
          <t>M</t>
        </is>
      </c>
      <c r="B178" s="707" t="inlineStr">
        <is>
          <t>50 Free</t>
        </is>
      </c>
      <c r="C178" s="523" t="n">
        <v>13</v>
      </c>
      <c r="D178" s="661" t="n"/>
      <c r="E178" s="35">
        <f>E177-((E177-E179)*0.65)</f>
        <v/>
      </c>
      <c r="F178" s="524">
        <f>E177-E178</f>
        <v/>
      </c>
      <c r="G178" s="512">
        <f>IF(E178&lt;60, TEXT(E178, "0.00"), TEXT(E178/(24*60*60), "M:SS.00"))</f>
        <v/>
      </c>
      <c r="K178" s="692" t="n"/>
      <c r="L178" s="692" t="n"/>
    </row>
    <row r="179">
      <c r="A179" s="502" t="inlineStr">
        <is>
          <t>M</t>
        </is>
      </c>
      <c r="B179" s="701" t="inlineStr">
        <is>
          <t>50 Free</t>
        </is>
      </c>
      <c r="C179" s="525" t="n">
        <v>14</v>
      </c>
      <c r="D179" s="665" t="n">
        <v>24.42</v>
      </c>
      <c r="E179" s="21">
        <f>IF(ISNUMBER(FIND(":",D179)), VALUE(LEFT(D179,FIND(":",D179)-1))*60 + VALUE(RIGHT(D179,LEN(D179)-FIND(":",D179))), VALUE(D179))
</f>
        <v/>
      </c>
      <c r="F179" s="526">
        <f>E178-E179</f>
        <v/>
      </c>
      <c r="G179" s="513">
        <f>IF(E179&lt;60, TEXT(E179, "0.00"), TEXT(E179/(24*60*60), "M:SS.00"))</f>
        <v/>
      </c>
      <c r="K179" s="692" t="n"/>
      <c r="L179" s="692" t="n"/>
    </row>
    <row r="180">
      <c r="A180" s="497" t="inlineStr">
        <is>
          <t>M</t>
        </is>
      </c>
      <c r="B180" s="707" t="inlineStr">
        <is>
          <t>50 Free</t>
        </is>
      </c>
      <c r="C180" s="527" t="n">
        <v>15</v>
      </c>
      <c r="D180" s="661" t="n"/>
      <c r="E180" s="517">
        <f>E179-((E179-E181)*0.6)</f>
        <v/>
      </c>
      <c r="F180" s="524">
        <f>E179-E180</f>
        <v/>
      </c>
      <c r="G180" s="512">
        <f>IF(E180&lt;60, TEXT(E180, "0.00"), TEXT(E180/(24*60*60), "M:SS.00"))</f>
        <v/>
      </c>
      <c r="K180" s="692" t="n"/>
      <c r="L180" s="692" t="n"/>
    </row>
    <row r="181">
      <c r="A181" s="502" t="inlineStr">
        <is>
          <t>M</t>
        </is>
      </c>
      <c r="B181" s="701" t="inlineStr">
        <is>
          <t>50 Free</t>
        </is>
      </c>
      <c r="C181" s="525" t="n">
        <v>16</v>
      </c>
      <c r="D181" s="665" t="n">
        <v>23.41</v>
      </c>
      <c r="E181" s="21">
        <f>IF(ISNUMBER(FIND(":",D181)), VALUE(LEFT(D181,FIND(":",D181)-1))*60 + VALUE(RIGHT(D181,LEN(D181)-FIND(":",D181))), VALUE(D181))
</f>
        <v/>
      </c>
      <c r="F181" s="526">
        <f>E180-E181</f>
        <v/>
      </c>
      <c r="G181" s="513">
        <f>IF(E181&lt;60, TEXT(E181, "0.00"), TEXT(E181/(24*60*60), "M:SS.00"))</f>
        <v/>
      </c>
      <c r="K181" s="692" t="n"/>
      <c r="L181" s="692" t="n"/>
    </row>
    <row r="182">
      <c r="A182" s="497" t="inlineStr">
        <is>
          <t>M</t>
        </is>
      </c>
      <c r="B182" s="707" t="inlineStr">
        <is>
          <t>50 Free</t>
        </is>
      </c>
      <c r="C182" s="527" t="n">
        <v>17</v>
      </c>
      <c r="D182" s="661" t="n"/>
      <c r="E182" s="517">
        <f>E181-((E181-E183)*0.55)</f>
        <v/>
      </c>
      <c r="F182" s="524">
        <f>E181-E182</f>
        <v/>
      </c>
      <c r="G182" s="512">
        <f>IF(E182&lt;60, TEXT(E182, "0.00"), TEXT(E182/(24*60*60), "M:SS.00"))</f>
        <v/>
      </c>
      <c r="K182" s="692" t="n"/>
      <c r="L182" s="692" t="n"/>
    </row>
    <row r="183">
      <c r="A183" s="502" t="inlineStr">
        <is>
          <t>M</t>
        </is>
      </c>
      <c r="B183" s="701" t="inlineStr">
        <is>
          <t>50 Free</t>
        </is>
      </c>
      <c r="C183" s="525" t="n">
        <v>18</v>
      </c>
      <c r="D183" s="665" t="n">
        <v>22.91</v>
      </c>
      <c r="E183" s="21">
        <f>IF(ISNUMBER(FIND(":",D183)), VALUE(LEFT(D183,FIND(":",D183)-1))*60 + VALUE(RIGHT(D183,LEN(D183)-FIND(":",D183))), VALUE(D183))
</f>
        <v/>
      </c>
      <c r="F183" s="526">
        <f>E182-E183</f>
        <v/>
      </c>
      <c r="G183" s="513">
        <f>IF(E183&lt;60, TEXT(E183, "0.00"), TEXT(E183/(24*60*60), "M:SS.00"))</f>
        <v/>
      </c>
      <c r="K183" s="692" t="n"/>
      <c r="L183" s="692" t="n"/>
    </row>
    <row r="184">
      <c r="A184" s="497" t="inlineStr">
        <is>
          <t>F</t>
        </is>
      </c>
      <c r="B184" s="707" t="inlineStr">
        <is>
          <t>800 Free</t>
        </is>
      </c>
      <c r="C184" s="520" t="n">
        <v>12</v>
      </c>
      <c r="D184" s="661" t="inlineStr">
        <is>
          <t>9:26.29</t>
        </is>
      </c>
      <c r="E184" s="35">
        <f>IF(ISNUMBER(FIND(":",D184)), VALUE(LEFT(D184,FIND(":",D184)-1))*60 + VALUE(RIGHT(D184,LEN(D184)-FIND(":",D184))), VALUE(D184))
</f>
        <v/>
      </c>
      <c r="F184" s="521" t="n"/>
      <c r="G184" s="512">
        <f>IF(E184&lt;60, TEXT(E184, "0.00"), TEXT(E184/(24*60*60), "M:SS.00"))</f>
        <v/>
      </c>
      <c r="K184" s="692" t="n"/>
      <c r="L184" s="692" t="n"/>
    </row>
    <row r="185">
      <c r="A185" s="502" t="inlineStr">
        <is>
          <t>F</t>
        </is>
      </c>
      <c r="B185" s="701" t="inlineStr">
        <is>
          <t>800 Free</t>
        </is>
      </c>
      <c r="C185" s="523" t="n">
        <v>13</v>
      </c>
      <c r="D185" s="665" t="n"/>
      <c r="E185" s="21">
        <f>E184-((E184-E186)*0.65)</f>
        <v/>
      </c>
      <c r="F185" s="524">
        <f>E184-E185</f>
        <v/>
      </c>
      <c r="G185" s="513">
        <f>IF(E185&lt;60, TEXT(E185, "0.00"), TEXT(E185/(24*60*60), "M:SS.00"))</f>
        <v/>
      </c>
      <c r="K185" s="692" t="n"/>
      <c r="L185" s="692" t="n"/>
    </row>
    <row r="186">
      <c r="A186" s="497" t="inlineStr">
        <is>
          <t>F</t>
        </is>
      </c>
      <c r="B186" s="707" t="inlineStr">
        <is>
          <t>800 Free</t>
        </is>
      </c>
      <c r="C186" s="525" t="n">
        <v>14</v>
      </c>
      <c r="D186" s="661" t="inlineStr">
        <is>
          <t>8:57.12</t>
        </is>
      </c>
      <c r="E186" s="35">
        <f>IF(ISNUMBER(FIND(":",D186)), VALUE(LEFT(D186,FIND(":",D186)-1))*60 + VALUE(RIGHT(D186,LEN(D186)-FIND(":",D186))), VALUE(D186))
</f>
        <v/>
      </c>
      <c r="F186" s="526">
        <f>E185-E186</f>
        <v/>
      </c>
      <c r="G186" s="512">
        <f>IF(E186&lt;60, TEXT(E186, "0.00"), TEXT(E186/(24*60*60), "M:SS.00"))</f>
        <v/>
      </c>
      <c r="K186" s="692" t="n"/>
      <c r="L186" s="692" t="n"/>
    </row>
    <row r="187">
      <c r="A187" s="502" t="inlineStr">
        <is>
          <t>F</t>
        </is>
      </c>
      <c r="B187" s="701" t="inlineStr">
        <is>
          <t>800 Free</t>
        </is>
      </c>
      <c r="C187" s="527" t="n">
        <v>15</v>
      </c>
      <c r="D187" s="665" t="n"/>
      <c r="E187" s="505">
        <f>E186-((E186-E188)*0.6)</f>
        <v/>
      </c>
      <c r="F187" s="524">
        <f>E186-E187</f>
        <v/>
      </c>
      <c r="G187" s="513">
        <f>IF(E187&lt;60, TEXT(E187, "0.00"), TEXT(E187/(24*60*60), "M:SS.00"))</f>
        <v/>
      </c>
      <c r="K187" s="692" t="n"/>
      <c r="L187" s="692" t="n"/>
    </row>
    <row r="188">
      <c r="A188" s="497" t="inlineStr">
        <is>
          <t>F</t>
        </is>
      </c>
      <c r="B188" s="707" t="inlineStr">
        <is>
          <t>800 Free</t>
        </is>
      </c>
      <c r="C188" s="525" t="n">
        <v>16</v>
      </c>
      <c r="D188" s="661" t="inlineStr">
        <is>
          <t>8:41.85</t>
        </is>
      </c>
      <c r="E188" s="35">
        <f>IF(ISNUMBER(FIND(":",D188)), VALUE(LEFT(D188,FIND(":",D188)-1))*60 + VALUE(RIGHT(D188,LEN(D188)-FIND(":",D188))), VALUE(D188))
</f>
        <v/>
      </c>
      <c r="F188" s="526">
        <f>E187-E188</f>
        <v/>
      </c>
      <c r="G188" s="512">
        <f>IF(E188&lt;60, TEXT(E188, "0.00"), TEXT(E188/(24*60*60), "M:SS.00"))</f>
        <v/>
      </c>
      <c r="K188" s="692" t="n"/>
      <c r="L188" s="692" t="n"/>
    </row>
    <row r="189">
      <c r="A189" s="502" t="inlineStr">
        <is>
          <t>F</t>
        </is>
      </c>
      <c r="B189" s="701" t="inlineStr">
        <is>
          <t>800 Free</t>
        </is>
      </c>
      <c r="C189" s="527" t="n">
        <v>17</v>
      </c>
      <c r="D189" s="665" t="n"/>
      <c r="E189" s="505">
        <f>E188-((E188-E190)*0.55)</f>
        <v/>
      </c>
      <c r="F189" s="524">
        <f>E188-E189</f>
        <v/>
      </c>
      <c r="G189" s="513">
        <f>IF(E189&lt;60, TEXT(E189, "0.00"), TEXT(E189/(24*60*60), "M:SS.00"))</f>
        <v/>
      </c>
      <c r="K189" s="692" t="n"/>
      <c r="L189" s="692" t="n"/>
    </row>
    <row r="190">
      <c r="A190" s="497" t="inlineStr">
        <is>
          <t>F</t>
        </is>
      </c>
      <c r="B190" s="707" t="inlineStr">
        <is>
          <t>800 Free</t>
        </is>
      </c>
      <c r="C190" s="525" t="n">
        <v>18</v>
      </c>
      <c r="D190" s="661" t="inlineStr">
        <is>
          <t>8:39.27</t>
        </is>
      </c>
      <c r="E190" s="35">
        <f>IF(ISNUMBER(FIND(":",D190)), VALUE(LEFT(D190,FIND(":",D190)-1))*60 + VALUE(RIGHT(D190,LEN(D190)-FIND(":",D190))), VALUE(D190))
</f>
        <v/>
      </c>
      <c r="F190" s="526">
        <f>E189-E190</f>
        <v/>
      </c>
      <c r="G190" s="512">
        <f>IF(E190&lt;60, TEXT(E190, "0.00"), TEXT(E190/(24*60*60), "M:SS.00"))</f>
        <v/>
      </c>
      <c r="K190" s="692" t="n"/>
      <c r="L190" s="692" t="n"/>
    </row>
    <row r="191">
      <c r="A191" s="502" t="inlineStr">
        <is>
          <t>M</t>
        </is>
      </c>
      <c r="B191" s="701" t="inlineStr">
        <is>
          <t>800 Free</t>
        </is>
      </c>
      <c r="C191" s="520" t="n">
        <v>12</v>
      </c>
      <c r="D191" s="665" t="inlineStr">
        <is>
          <t>9:19.33</t>
        </is>
      </c>
      <c r="E191" s="21">
        <f>IF(ISNUMBER(FIND(":",D191)), VALUE(LEFT(D191,FIND(":",D191)-1))*60 + VALUE(RIGHT(D191,LEN(D191)-FIND(":",D191))), VALUE(D191))
</f>
        <v/>
      </c>
      <c r="F191" s="521" t="n"/>
      <c r="G191" s="513">
        <f>IF(E191&lt;60, TEXT(E191, "0.00"), TEXT(E191/(24*60*60), "M:SS.00"))</f>
        <v/>
      </c>
      <c r="K191" s="692" t="n"/>
      <c r="L191" s="692" t="n"/>
    </row>
    <row r="192">
      <c r="A192" s="497" t="inlineStr">
        <is>
          <t>M</t>
        </is>
      </c>
      <c r="B192" s="707" t="inlineStr">
        <is>
          <t>800 Free</t>
        </is>
      </c>
      <c r="C192" s="523" t="n">
        <v>13</v>
      </c>
      <c r="D192" s="661" t="n"/>
      <c r="E192" s="35">
        <f>E191-((E191-E193)*0.65)</f>
        <v/>
      </c>
      <c r="F192" s="524">
        <f>E191-E192</f>
        <v/>
      </c>
      <c r="G192" s="512">
        <f>IF(E192&lt;60, TEXT(E192, "0.00"), TEXT(E192/(24*60*60), "M:SS.00"))</f>
        <v/>
      </c>
      <c r="K192" s="692" t="n"/>
      <c r="L192" s="692" t="n"/>
    </row>
    <row r="193">
      <c r="A193" s="502" t="inlineStr">
        <is>
          <t>M</t>
        </is>
      </c>
      <c r="B193" s="701" t="inlineStr">
        <is>
          <t>800 Free</t>
        </is>
      </c>
      <c r="C193" s="525" t="n">
        <v>14</v>
      </c>
      <c r="D193" s="665" t="inlineStr">
        <is>
          <t>8:30.64</t>
        </is>
      </c>
      <c r="E193" s="21">
        <f>IF(ISNUMBER(FIND(":",D193)), VALUE(LEFT(D193,FIND(":",D193)-1))*60 + VALUE(RIGHT(D193,LEN(D193)-FIND(":",D193))), VALUE(D193))
</f>
        <v/>
      </c>
      <c r="F193" s="526">
        <f>E192-E193</f>
        <v/>
      </c>
      <c r="G193" s="513">
        <f>IF(E193&lt;60, TEXT(E193, "0.00"), TEXT(E193/(24*60*60), "M:SS.00"))</f>
        <v/>
      </c>
      <c r="K193" s="692" t="n"/>
      <c r="L193" s="692" t="n"/>
    </row>
    <row r="194">
      <c r="A194" s="497" t="inlineStr">
        <is>
          <t>M</t>
        </is>
      </c>
      <c r="B194" s="707" t="inlineStr">
        <is>
          <t>800 Free</t>
        </is>
      </c>
      <c r="C194" s="527" t="n">
        <v>15</v>
      </c>
      <c r="D194" s="661" t="n"/>
      <c r="E194" s="517">
        <f>E193-((E193-E195)*0.6)</f>
        <v/>
      </c>
      <c r="F194" s="524">
        <f>E193-E194</f>
        <v/>
      </c>
      <c r="G194" s="512">
        <f>IF(E194&lt;60, TEXT(E194, "0.00"), TEXT(E194/(24*60*60), "M:SS.00"))</f>
        <v/>
      </c>
      <c r="K194" s="692" t="n"/>
      <c r="L194" s="692" t="n"/>
    </row>
    <row r="195">
      <c r="A195" s="502" t="inlineStr">
        <is>
          <t>M</t>
        </is>
      </c>
      <c r="B195" s="701" t="inlineStr">
        <is>
          <t>800 Free</t>
        </is>
      </c>
      <c r="C195" s="525" t="n">
        <v>16</v>
      </c>
      <c r="D195" s="665" t="inlineStr">
        <is>
          <t>8:13.45</t>
        </is>
      </c>
      <c r="E195" s="21">
        <f>IF(ISNUMBER(FIND(":",D195)), VALUE(LEFT(D195,FIND(":",D195)-1))*60 + VALUE(RIGHT(D195,LEN(D195)-FIND(":",D195))), VALUE(D195))
</f>
        <v/>
      </c>
      <c r="F195" s="526">
        <f>E194-E195</f>
        <v/>
      </c>
      <c r="G195" s="513">
        <f>IF(E195&lt;60, TEXT(E195, "0.00"), TEXT(E195/(24*60*60), "M:SS.00"))</f>
        <v/>
      </c>
      <c r="K195" s="692" t="n"/>
      <c r="L195" s="692" t="n"/>
    </row>
    <row r="196">
      <c r="A196" s="497" t="inlineStr">
        <is>
          <t>M</t>
        </is>
      </c>
      <c r="B196" s="707" t="inlineStr">
        <is>
          <t>800 Free</t>
        </is>
      </c>
      <c r="C196" s="527" t="n">
        <v>17</v>
      </c>
      <c r="D196" s="661" t="n"/>
      <c r="E196" s="517">
        <f>E195-((E195-E197)*0.55)</f>
        <v/>
      </c>
      <c r="F196" s="524">
        <f>E195-E196</f>
        <v/>
      </c>
      <c r="G196" s="512">
        <f>IF(E196&lt;60, TEXT(E196, "0.00"), TEXT(E196/(24*60*60), "M:SS.00"))</f>
        <v/>
      </c>
      <c r="K196" s="692" t="n"/>
      <c r="L196" s="692" t="n"/>
    </row>
    <row r="197">
      <c r="A197" s="542" t="inlineStr">
        <is>
          <t>M</t>
        </is>
      </c>
      <c r="B197" s="715" t="inlineStr">
        <is>
          <t>800 Free</t>
        </is>
      </c>
      <c r="C197" s="525" t="n">
        <v>18</v>
      </c>
      <c r="D197" s="409" t="inlineStr">
        <is>
          <t>8:06.90</t>
        </is>
      </c>
      <c r="E197" s="53">
        <f>IF(ISNUMBER(FIND(":",D197)), VALUE(LEFT(D197,FIND(":",D197)-1))*60 + VALUE(RIGHT(D197,LEN(D197)-FIND(":",D197))), VALUE(D197))
</f>
        <v/>
      </c>
      <c r="F197" s="526">
        <f>E196-E197</f>
        <v/>
      </c>
      <c r="G197" s="544">
        <f>IF(E197&lt;60, TEXT(E197, "0.00"), TEXT(E197/(24*60*60), "M:SS.00"))</f>
        <v/>
      </c>
      <c r="K197" s="692" t="n"/>
      <c r="L197" s="692" t="n"/>
    </row>
    <row r="198">
      <c r="A198" s="545" t="n"/>
      <c r="B198" s="545" t="n"/>
      <c r="C198" s="546" t="n"/>
      <c r="D198" s="58" t="n"/>
      <c r="E198" s="65" t="n"/>
      <c r="F198" s="65" t="n"/>
      <c r="K198" s="692" t="n"/>
      <c r="L198" s="692" t="n"/>
    </row>
    <row r="199">
      <c r="A199" s="545" t="n"/>
      <c r="B199" s="545" t="n"/>
      <c r="C199" s="546" t="n"/>
      <c r="D199" s="58" t="n"/>
      <c r="E199" s="65" t="n"/>
      <c r="F199" s="65" t="n"/>
      <c r="K199" s="692" t="n"/>
      <c r="L199" s="692" t="n"/>
    </row>
    <row r="200">
      <c r="A200" s="545" t="n"/>
      <c r="B200" s="545" t="n"/>
      <c r="C200" s="546" t="n"/>
      <c r="D200" s="58" t="n"/>
      <c r="E200" s="65" t="n"/>
      <c r="F200" s="65" t="n"/>
      <c r="K200" s="692" t="n"/>
      <c r="L200" s="692" t="n"/>
    </row>
    <row r="201">
      <c r="A201" s="545" t="n"/>
      <c r="B201" s="545" t="n"/>
      <c r="C201" s="546" t="n"/>
      <c r="D201" s="58" t="n"/>
      <c r="E201" s="65" t="n"/>
      <c r="F201" s="65" t="n"/>
      <c r="K201" s="692" t="n"/>
      <c r="L201" s="692" t="n"/>
    </row>
    <row r="202">
      <c r="A202" s="545" t="n"/>
      <c r="B202" s="545" t="n"/>
      <c r="C202" s="546" t="n"/>
      <c r="D202" s="58" t="n"/>
      <c r="E202" s="65" t="n"/>
      <c r="F202" s="65" t="n"/>
      <c r="K202" s="692" t="n"/>
      <c r="L202" s="692" t="n"/>
    </row>
    <row r="203">
      <c r="A203" s="545" t="n"/>
      <c r="B203" s="545" t="n"/>
      <c r="C203" s="546" t="n"/>
      <c r="D203" s="58" t="n"/>
      <c r="E203" s="65" t="n"/>
      <c r="F203" s="65" t="n"/>
      <c r="K203" s="692" t="n"/>
      <c r="L203" s="692" t="n"/>
    </row>
    <row r="204">
      <c r="A204" s="545" t="n"/>
      <c r="B204" s="545" t="n"/>
      <c r="C204" s="546" t="n"/>
      <c r="D204" s="58" t="n"/>
      <c r="E204" s="65" t="n"/>
      <c r="F204" s="65" t="n"/>
      <c r="K204" s="692" t="n"/>
      <c r="L204" s="692" t="n"/>
    </row>
    <row r="205">
      <c r="A205" s="545" t="n"/>
      <c r="B205" s="545" t="n"/>
      <c r="C205" s="546" t="n"/>
      <c r="D205" s="58" t="n"/>
      <c r="E205" s="65" t="n"/>
      <c r="F205" s="65" t="n"/>
      <c r="K205" s="692" t="n"/>
      <c r="L205" s="692" t="n"/>
    </row>
    <row r="206">
      <c r="A206" s="545" t="n"/>
      <c r="B206" s="545" t="n"/>
      <c r="C206" s="546" t="n"/>
      <c r="D206" s="58" t="n"/>
      <c r="E206" s="65" t="n"/>
      <c r="F206" s="65" t="n"/>
      <c r="K206" s="692" t="n"/>
      <c r="L206" s="692" t="n"/>
    </row>
    <row r="207">
      <c r="A207" s="545" t="n"/>
      <c r="B207" s="545" t="n"/>
      <c r="C207" s="546" t="n"/>
      <c r="D207" s="58" t="n"/>
      <c r="E207" s="65" t="n"/>
      <c r="F207" s="65" t="n"/>
      <c r="K207" s="692" t="n"/>
      <c r="L207" s="692" t="n"/>
    </row>
    <row r="208">
      <c r="A208" s="545" t="n"/>
      <c r="B208" s="545" t="n"/>
      <c r="C208" s="546" t="n"/>
      <c r="D208" s="58" t="n"/>
      <c r="E208" s="65" t="n"/>
      <c r="F208" s="65" t="n"/>
      <c r="K208" s="692" t="n"/>
      <c r="L208" s="692" t="n"/>
    </row>
    <row r="209">
      <c r="A209" s="545" t="n"/>
      <c r="B209" s="545" t="n"/>
      <c r="C209" s="546" t="n"/>
      <c r="D209" s="58" t="n"/>
      <c r="E209" s="65" t="n"/>
      <c r="F209" s="65" t="n"/>
      <c r="K209" s="692" t="n"/>
      <c r="L209" s="692" t="n"/>
    </row>
    <row r="210">
      <c r="A210" s="545" t="n"/>
      <c r="B210" s="545" t="n"/>
      <c r="C210" s="546" t="n"/>
      <c r="D210" s="58" t="n"/>
      <c r="E210" s="65" t="n"/>
      <c r="F210" s="65" t="n"/>
      <c r="K210" s="692" t="n"/>
      <c r="L210" s="692" t="n"/>
    </row>
    <row r="211">
      <c r="A211" s="545" t="n"/>
      <c r="B211" s="545" t="n"/>
      <c r="C211" s="546" t="n"/>
      <c r="D211" s="58" t="n"/>
      <c r="E211" s="65" t="n"/>
      <c r="F211" s="65" t="n"/>
      <c r="K211" s="692" t="n"/>
      <c r="L211" s="692" t="n"/>
    </row>
    <row r="212">
      <c r="A212" s="545" t="n"/>
      <c r="B212" s="545" t="n"/>
      <c r="C212" s="546" t="n"/>
      <c r="D212" s="58" t="n"/>
      <c r="E212" s="65" t="n"/>
      <c r="F212" s="65" t="n"/>
      <c r="K212" s="692" t="n"/>
      <c r="L212" s="692" t="n"/>
    </row>
    <row r="213">
      <c r="A213" s="545" t="n"/>
      <c r="B213" s="545" t="n"/>
      <c r="C213" s="546" t="n"/>
      <c r="D213" s="58" t="n"/>
      <c r="E213" s="65" t="n"/>
      <c r="F213" s="65" t="n"/>
      <c r="K213" s="692" t="n"/>
      <c r="L213" s="692" t="n"/>
    </row>
    <row r="214">
      <c r="A214" s="545" t="n"/>
      <c r="B214" s="545" t="n"/>
      <c r="C214" s="546" t="n"/>
      <c r="D214" s="58" t="n"/>
      <c r="E214" s="65" t="n"/>
      <c r="F214" s="65" t="n"/>
      <c r="K214" s="692" t="n"/>
      <c r="L214" s="692" t="n"/>
    </row>
    <row r="215">
      <c r="A215" s="545" t="n"/>
      <c r="B215" s="545" t="n"/>
      <c r="C215" s="546" t="n"/>
      <c r="D215" s="58" t="n"/>
      <c r="E215" s="65" t="n"/>
      <c r="F215" s="65" t="n"/>
      <c r="K215" s="692" t="n"/>
      <c r="L215" s="692" t="n"/>
    </row>
    <row r="216">
      <c r="A216" s="545" t="n"/>
      <c r="B216" s="545" t="n"/>
      <c r="C216" s="546" t="n"/>
      <c r="D216" s="58" t="n"/>
      <c r="E216" s="65" t="n"/>
      <c r="F216" s="65" t="n"/>
      <c r="K216" s="692" t="n"/>
      <c r="L216" s="692" t="n"/>
    </row>
    <row r="217">
      <c r="A217" s="545" t="n"/>
      <c r="B217" s="545" t="n"/>
      <c r="C217" s="546" t="n"/>
      <c r="D217" s="58" t="n"/>
      <c r="E217" s="65" t="n"/>
      <c r="F217" s="65" t="n"/>
      <c r="K217" s="692" t="n"/>
      <c r="L217" s="692" t="n"/>
    </row>
    <row r="218">
      <c r="A218" s="545" t="n"/>
      <c r="B218" s="545" t="n"/>
      <c r="C218" s="546" t="n"/>
      <c r="D218" s="58" t="n"/>
      <c r="E218" s="65" t="n"/>
      <c r="F218" s="65" t="n"/>
      <c r="K218" s="692" t="n"/>
      <c r="L218" s="692" t="n"/>
    </row>
    <row r="219">
      <c r="A219" s="545" t="n"/>
      <c r="B219" s="545" t="n"/>
      <c r="C219" s="546" t="n"/>
      <c r="D219" s="58" t="n"/>
      <c r="E219" s="65" t="n"/>
      <c r="F219" s="65" t="n"/>
      <c r="K219" s="692" t="n"/>
      <c r="L219" s="692" t="n"/>
    </row>
    <row r="220">
      <c r="A220" s="545" t="n"/>
      <c r="B220" s="545" t="n"/>
      <c r="C220" s="546" t="n"/>
      <c r="D220" s="58" t="n"/>
      <c r="E220" s="65" t="n"/>
      <c r="F220" s="65" t="n"/>
      <c r="K220" s="692" t="n"/>
      <c r="L220" s="692" t="n"/>
    </row>
    <row r="221">
      <c r="A221" s="545" t="n"/>
      <c r="B221" s="545" t="n"/>
      <c r="C221" s="546" t="n"/>
      <c r="D221" s="58" t="n"/>
      <c r="E221" s="65" t="n"/>
      <c r="F221" s="65" t="n"/>
      <c r="K221" s="692" t="n"/>
      <c r="L221" s="692" t="n"/>
    </row>
    <row r="222">
      <c r="A222" s="545" t="n"/>
      <c r="B222" s="545" t="n"/>
      <c r="C222" s="546" t="n"/>
      <c r="D222" s="58" t="n"/>
      <c r="E222" s="65" t="n"/>
      <c r="F222" s="65" t="n"/>
      <c r="K222" s="692" t="n"/>
      <c r="L222" s="692" t="n"/>
    </row>
    <row r="223">
      <c r="A223" s="545" t="n"/>
      <c r="B223" s="545" t="n"/>
      <c r="C223" s="546" t="n"/>
      <c r="D223" s="58" t="n"/>
      <c r="E223" s="65" t="n"/>
      <c r="F223" s="65" t="n"/>
      <c r="K223" s="692" t="n"/>
      <c r="L223" s="692" t="n"/>
    </row>
    <row r="224">
      <c r="A224" s="545" t="n"/>
      <c r="B224" s="545" t="n"/>
      <c r="C224" s="546" t="n"/>
      <c r="D224" s="58" t="n"/>
      <c r="E224" s="65" t="n"/>
      <c r="F224" s="65" t="n"/>
      <c r="K224" s="692" t="n"/>
      <c r="L224" s="692" t="n"/>
    </row>
    <row r="225">
      <c r="A225" s="545" t="n"/>
      <c r="B225" s="545" t="n"/>
      <c r="C225" s="546" t="n"/>
      <c r="D225" s="58" t="n"/>
      <c r="E225" s="65" t="n"/>
      <c r="F225" s="65" t="n"/>
      <c r="K225" s="692" t="n"/>
      <c r="L225" s="692" t="n"/>
    </row>
    <row r="226">
      <c r="A226" s="545" t="n"/>
      <c r="B226" s="545" t="n"/>
      <c r="C226" s="546" t="n"/>
      <c r="D226" s="58" t="n"/>
      <c r="E226" s="65" t="n"/>
      <c r="F226" s="65" t="n"/>
      <c r="K226" s="692" t="n"/>
      <c r="L226" s="692" t="n"/>
    </row>
    <row r="227">
      <c r="A227" s="545" t="n"/>
      <c r="B227" s="545" t="n"/>
      <c r="C227" s="546" t="n"/>
      <c r="D227" s="58" t="n"/>
      <c r="E227" s="65" t="n"/>
      <c r="F227" s="65" t="n"/>
      <c r="K227" s="692" t="n"/>
      <c r="L227" s="692" t="n"/>
    </row>
    <row r="228">
      <c r="A228" s="545" t="n"/>
      <c r="B228" s="545" t="n"/>
      <c r="C228" s="546" t="n"/>
      <c r="D228" s="58" t="n"/>
      <c r="E228" s="65" t="n"/>
      <c r="F228" s="65" t="n"/>
      <c r="K228" s="692" t="n"/>
      <c r="L228" s="692" t="n"/>
    </row>
    <row r="229">
      <c r="A229" s="545" t="n"/>
      <c r="B229" s="545" t="n"/>
      <c r="C229" s="546" t="n"/>
      <c r="D229" s="58" t="n"/>
      <c r="E229" s="65" t="n"/>
      <c r="F229" s="65" t="n"/>
      <c r="K229" s="692" t="n"/>
      <c r="L229" s="692" t="n"/>
    </row>
    <row r="230">
      <c r="A230" s="545" t="n"/>
      <c r="B230" s="545" t="n"/>
      <c r="C230" s="546" t="n"/>
      <c r="D230" s="58" t="n"/>
      <c r="E230" s="65" t="n"/>
      <c r="F230" s="65" t="n"/>
      <c r="K230" s="692" t="n"/>
      <c r="L230" s="692" t="n"/>
    </row>
    <row r="231">
      <c r="A231" s="545" t="n"/>
      <c r="B231" s="545" t="n"/>
      <c r="C231" s="546" t="n"/>
      <c r="D231" s="58" t="n"/>
      <c r="E231" s="65" t="n"/>
      <c r="F231" s="65" t="n"/>
      <c r="K231" s="692" t="n"/>
      <c r="L231" s="692" t="n"/>
    </row>
    <row r="232">
      <c r="A232" s="545" t="n"/>
      <c r="B232" s="545" t="n"/>
      <c r="C232" s="546" t="n"/>
      <c r="D232" s="58" t="n"/>
      <c r="E232" s="65" t="n"/>
      <c r="F232" s="65" t="n"/>
      <c r="K232" s="692" t="n"/>
      <c r="L232" s="692" t="n"/>
    </row>
    <row r="233">
      <c r="A233" s="545" t="n"/>
      <c r="B233" s="545" t="n"/>
      <c r="C233" s="546" t="n"/>
      <c r="D233" s="58" t="n"/>
      <c r="E233" s="65" t="n"/>
      <c r="F233" s="65" t="n"/>
      <c r="K233" s="692" t="n"/>
      <c r="L233" s="692" t="n"/>
    </row>
    <row r="234">
      <c r="A234" s="545" t="n"/>
      <c r="B234" s="545" t="n"/>
      <c r="C234" s="546" t="n"/>
      <c r="D234" s="58" t="n"/>
      <c r="E234" s="65" t="n"/>
      <c r="F234" s="65" t="n"/>
      <c r="K234" s="692" t="n"/>
      <c r="L234" s="692" t="n"/>
    </row>
    <row r="235">
      <c r="A235" s="545" t="n"/>
      <c r="B235" s="545" t="n"/>
      <c r="C235" s="546" t="n"/>
      <c r="D235" s="58" t="n"/>
      <c r="E235" s="65" t="n"/>
      <c r="F235" s="65" t="n"/>
      <c r="K235" s="692" t="n"/>
      <c r="L235" s="692" t="n"/>
    </row>
    <row r="236">
      <c r="A236" s="545" t="n"/>
      <c r="B236" s="545" t="n"/>
      <c r="C236" s="546" t="n"/>
      <c r="D236" s="58" t="n"/>
      <c r="E236" s="65" t="n"/>
      <c r="F236" s="65" t="n"/>
      <c r="K236" s="692" t="n"/>
      <c r="L236" s="692" t="n"/>
    </row>
    <row r="237">
      <c r="A237" s="545" t="n"/>
      <c r="B237" s="545" t="n"/>
      <c r="C237" s="546" t="n"/>
      <c r="D237" s="58" t="n"/>
      <c r="E237" s="65" t="n"/>
      <c r="F237" s="65" t="n"/>
      <c r="K237" s="692" t="n"/>
      <c r="L237" s="692" t="n"/>
    </row>
    <row r="238">
      <c r="A238" s="545" t="n"/>
      <c r="B238" s="545" t="n"/>
      <c r="C238" s="546" t="n"/>
      <c r="D238" s="58" t="n"/>
      <c r="E238" s="65" t="n"/>
      <c r="F238" s="65" t="n"/>
      <c r="K238" s="692" t="n"/>
      <c r="L238" s="692" t="n"/>
    </row>
    <row r="239">
      <c r="A239" s="545" t="n"/>
      <c r="B239" s="545" t="n"/>
      <c r="C239" s="546" t="n"/>
      <c r="D239" s="58" t="n"/>
      <c r="E239" s="65" t="n"/>
      <c r="F239" s="65" t="n"/>
      <c r="K239" s="692" t="n"/>
      <c r="L239" s="692" t="n"/>
    </row>
    <row r="240">
      <c r="A240" s="545" t="n"/>
      <c r="B240" s="545" t="n"/>
      <c r="C240" s="546" t="n"/>
      <c r="D240" s="58" t="n"/>
      <c r="E240" s="65" t="n"/>
      <c r="F240" s="65" t="n"/>
      <c r="K240" s="692" t="n"/>
      <c r="L240" s="692" t="n"/>
    </row>
    <row r="241">
      <c r="A241" s="545" t="n"/>
      <c r="B241" s="545" t="n"/>
      <c r="C241" s="546" t="n"/>
      <c r="D241" s="58" t="n"/>
      <c r="E241" s="65" t="n"/>
      <c r="F241" s="65" t="n"/>
      <c r="K241" s="692" t="n"/>
      <c r="L241" s="692" t="n"/>
    </row>
    <row r="242">
      <c r="A242" s="545" t="n"/>
      <c r="B242" s="545" t="n"/>
      <c r="C242" s="546" t="n"/>
      <c r="D242" s="58" t="n"/>
      <c r="E242" s="65" t="n"/>
      <c r="F242" s="65" t="n"/>
      <c r="K242" s="692" t="n"/>
      <c r="L242" s="692" t="n"/>
    </row>
    <row r="243">
      <c r="A243" s="545" t="n"/>
      <c r="B243" s="545" t="n"/>
      <c r="C243" s="546" t="n"/>
      <c r="D243" s="58" t="n"/>
      <c r="E243" s="65" t="n"/>
      <c r="F243" s="65" t="n"/>
      <c r="K243" s="692" t="n"/>
      <c r="L243" s="692" t="n"/>
    </row>
    <row r="244">
      <c r="A244" s="545" t="n"/>
      <c r="B244" s="545" t="n"/>
      <c r="C244" s="546" t="n"/>
      <c r="D244" s="58" t="n"/>
      <c r="E244" s="65" t="n"/>
      <c r="F244" s="65" t="n"/>
      <c r="K244" s="692" t="n"/>
      <c r="L244" s="692" t="n"/>
    </row>
    <row r="245">
      <c r="A245" s="545" t="n"/>
      <c r="B245" s="545" t="n"/>
      <c r="C245" s="546" t="n"/>
      <c r="D245" s="58" t="n"/>
      <c r="E245" s="65" t="n"/>
      <c r="F245" s="65" t="n"/>
      <c r="K245" s="692" t="n"/>
      <c r="L245" s="692" t="n"/>
    </row>
    <row r="246">
      <c r="A246" s="545" t="n"/>
      <c r="B246" s="545" t="n"/>
      <c r="C246" s="546" t="n"/>
      <c r="D246" s="58" t="n"/>
      <c r="E246" s="65" t="n"/>
      <c r="F246" s="65" t="n"/>
      <c r="K246" s="692" t="n"/>
      <c r="L246" s="692" t="n"/>
    </row>
    <row r="247">
      <c r="A247" s="545" t="n"/>
      <c r="B247" s="545" t="n"/>
      <c r="C247" s="546" t="n"/>
      <c r="D247" s="58" t="n"/>
      <c r="E247" s="65" t="n"/>
      <c r="F247" s="65" t="n"/>
      <c r="K247" s="692" t="n"/>
      <c r="L247" s="692" t="n"/>
    </row>
    <row r="248">
      <c r="A248" s="545" t="n"/>
      <c r="B248" s="545" t="n"/>
      <c r="C248" s="546" t="n"/>
      <c r="D248" s="58" t="n"/>
      <c r="E248" s="65" t="n"/>
      <c r="F248" s="65" t="n"/>
      <c r="K248" s="692" t="n"/>
      <c r="L248" s="692" t="n"/>
    </row>
    <row r="249">
      <c r="A249" s="545" t="n"/>
      <c r="B249" s="545" t="n"/>
      <c r="C249" s="546" t="n"/>
      <c r="D249" s="58" t="n"/>
      <c r="E249" s="65" t="n"/>
      <c r="F249" s="65" t="n"/>
      <c r="K249" s="692" t="n"/>
      <c r="L249" s="692" t="n"/>
    </row>
    <row r="250">
      <c r="A250" s="545" t="n"/>
      <c r="B250" s="545" t="n"/>
      <c r="C250" s="546" t="n"/>
      <c r="D250" s="58" t="n"/>
      <c r="E250" s="65" t="n"/>
      <c r="F250" s="65" t="n"/>
      <c r="K250" s="692" t="n"/>
      <c r="L250" s="692" t="n"/>
    </row>
    <row r="251">
      <c r="A251" s="545" t="n"/>
      <c r="B251" s="545" t="n"/>
      <c r="C251" s="546" t="n"/>
      <c r="D251" s="58" t="n"/>
      <c r="E251" s="65" t="n"/>
      <c r="F251" s="65" t="n"/>
      <c r="K251" s="692" t="n"/>
      <c r="L251" s="692" t="n"/>
    </row>
    <row r="252">
      <c r="A252" s="545" t="n"/>
      <c r="B252" s="545" t="n"/>
      <c r="C252" s="546" t="n"/>
      <c r="D252" s="58" t="n"/>
      <c r="E252" s="65" t="n"/>
      <c r="F252" s="65" t="n"/>
      <c r="K252" s="692" t="n"/>
      <c r="L252" s="692" t="n"/>
    </row>
    <row r="253">
      <c r="A253" s="545" t="n"/>
      <c r="B253" s="545" t="n"/>
      <c r="C253" s="546" t="n"/>
      <c r="D253" s="58" t="n"/>
      <c r="E253" s="65" t="n"/>
      <c r="F253" s="65" t="n"/>
      <c r="K253" s="692" t="n"/>
      <c r="L253" s="692" t="n"/>
    </row>
    <row r="254">
      <c r="A254" s="545" t="n"/>
      <c r="B254" s="545" t="n"/>
      <c r="C254" s="546" t="n"/>
      <c r="D254" s="58" t="n"/>
      <c r="E254" s="65" t="n"/>
      <c r="F254" s="65" t="n"/>
      <c r="K254" s="692" t="n"/>
      <c r="L254" s="692" t="n"/>
    </row>
    <row r="255">
      <c r="A255" s="545" t="n"/>
      <c r="B255" s="545" t="n"/>
      <c r="C255" s="546" t="n"/>
      <c r="D255" s="58" t="n"/>
      <c r="E255" s="65" t="n"/>
      <c r="F255" s="65" t="n"/>
      <c r="K255" s="692" t="n"/>
      <c r="L255" s="692" t="n"/>
    </row>
    <row r="256">
      <c r="A256" s="545" t="n"/>
      <c r="B256" s="545" t="n"/>
      <c r="C256" s="546" t="n"/>
      <c r="D256" s="58" t="n"/>
      <c r="E256" s="65" t="n"/>
      <c r="F256" s="65" t="n"/>
      <c r="K256" s="692" t="n"/>
      <c r="L256" s="692" t="n"/>
    </row>
    <row r="257">
      <c r="A257" s="545" t="n"/>
      <c r="B257" s="545" t="n"/>
      <c r="C257" s="546" t="n"/>
      <c r="D257" s="58" t="n"/>
      <c r="E257" s="65" t="n"/>
      <c r="F257" s="65" t="n"/>
      <c r="K257" s="692" t="n"/>
      <c r="L257" s="692" t="n"/>
    </row>
    <row r="258">
      <c r="A258" s="545" t="n"/>
      <c r="B258" s="545" t="n"/>
      <c r="C258" s="546" t="n"/>
      <c r="D258" s="58" t="n"/>
      <c r="E258" s="65" t="n"/>
      <c r="F258" s="65" t="n"/>
      <c r="K258" s="692" t="n"/>
      <c r="L258" s="692" t="n"/>
    </row>
    <row r="259">
      <c r="A259" s="545" t="n"/>
      <c r="B259" s="545" t="n"/>
      <c r="C259" s="546" t="n"/>
      <c r="D259" s="58" t="n"/>
      <c r="E259" s="65" t="n"/>
      <c r="F259" s="65" t="n"/>
      <c r="K259" s="692" t="n"/>
      <c r="L259" s="692" t="n"/>
    </row>
    <row r="260">
      <c r="A260" s="545" t="n"/>
      <c r="B260" s="545" t="n"/>
      <c r="C260" s="546" t="n"/>
      <c r="D260" s="58" t="n"/>
      <c r="E260" s="65" t="n"/>
      <c r="F260" s="65" t="n"/>
      <c r="K260" s="692" t="n"/>
      <c r="L260" s="692" t="n"/>
    </row>
    <row r="261">
      <c r="A261" s="545" t="n"/>
      <c r="B261" s="545" t="n"/>
      <c r="C261" s="546" t="n"/>
      <c r="D261" s="58" t="n"/>
      <c r="E261" s="65" t="n"/>
      <c r="F261" s="65" t="n"/>
      <c r="K261" s="692" t="n"/>
      <c r="L261" s="692" t="n"/>
    </row>
    <row r="262">
      <c r="A262" s="545" t="n"/>
      <c r="B262" s="545" t="n"/>
      <c r="C262" s="546" t="n"/>
      <c r="D262" s="58" t="n"/>
      <c r="E262" s="65" t="n"/>
      <c r="F262" s="65" t="n"/>
      <c r="K262" s="692" t="n"/>
      <c r="L262" s="692" t="n"/>
    </row>
    <row r="263">
      <c r="A263" s="545" t="n"/>
      <c r="B263" s="545" t="n"/>
      <c r="C263" s="546" t="n"/>
      <c r="D263" s="58" t="n"/>
      <c r="E263" s="65" t="n"/>
      <c r="F263" s="65" t="n"/>
      <c r="K263" s="692" t="n"/>
      <c r="L263" s="692" t="n"/>
    </row>
    <row r="264">
      <c r="A264" s="545" t="n"/>
      <c r="B264" s="545" t="n"/>
      <c r="C264" s="546" t="n"/>
      <c r="D264" s="58" t="n"/>
      <c r="E264" s="65" t="n"/>
      <c r="F264" s="65" t="n"/>
      <c r="K264" s="692" t="n"/>
      <c r="L264" s="692" t="n"/>
    </row>
    <row r="265">
      <c r="A265" s="545" t="n"/>
      <c r="B265" s="545" t="n"/>
      <c r="C265" s="546" t="n"/>
      <c r="D265" s="58" t="n"/>
      <c r="E265" s="65" t="n"/>
      <c r="F265" s="65" t="n"/>
      <c r="K265" s="692" t="n"/>
      <c r="L265" s="692" t="n"/>
    </row>
    <row r="266">
      <c r="A266" s="545" t="n"/>
      <c r="B266" s="545" t="n"/>
      <c r="C266" s="546" t="n"/>
      <c r="D266" s="58" t="n"/>
      <c r="E266" s="65" t="n"/>
      <c r="F266" s="65" t="n"/>
      <c r="K266" s="692" t="n"/>
      <c r="L266" s="692" t="n"/>
    </row>
    <row r="267">
      <c r="A267" s="545" t="n"/>
      <c r="B267" s="545" t="n"/>
      <c r="C267" s="546" t="n"/>
      <c r="D267" s="58" t="n"/>
      <c r="E267" s="65" t="n"/>
      <c r="F267" s="65" t="n"/>
      <c r="K267" s="692" t="n"/>
      <c r="L267" s="692" t="n"/>
    </row>
    <row r="268">
      <c r="A268" s="545" t="n"/>
      <c r="B268" s="545" t="n"/>
      <c r="C268" s="546" t="n"/>
      <c r="D268" s="58" t="n"/>
      <c r="E268" s="65" t="n"/>
      <c r="F268" s="65" t="n"/>
      <c r="K268" s="692" t="n"/>
      <c r="L268" s="692" t="n"/>
    </row>
    <row r="269">
      <c r="A269" s="545" t="n"/>
      <c r="B269" s="545" t="n"/>
      <c r="C269" s="546" t="n"/>
      <c r="D269" s="58" t="n"/>
      <c r="E269" s="65" t="n"/>
      <c r="F269" s="65" t="n"/>
      <c r="K269" s="692" t="n"/>
      <c r="L269" s="692" t="n"/>
    </row>
    <row r="270">
      <c r="A270" s="545" t="n"/>
      <c r="B270" s="545" t="n"/>
      <c r="C270" s="546" t="n"/>
      <c r="D270" s="58" t="n"/>
      <c r="E270" s="65" t="n"/>
      <c r="F270" s="65" t="n"/>
      <c r="K270" s="692" t="n"/>
      <c r="L270" s="692" t="n"/>
    </row>
    <row r="271">
      <c r="A271" s="545" t="n"/>
      <c r="B271" s="545" t="n"/>
      <c r="C271" s="546" t="n"/>
      <c r="D271" s="58" t="n"/>
      <c r="E271" s="65" t="n"/>
      <c r="F271" s="65" t="n"/>
      <c r="K271" s="692" t="n"/>
      <c r="L271" s="692" t="n"/>
    </row>
    <row r="272">
      <c r="A272" s="545" t="n"/>
      <c r="B272" s="545" t="n"/>
      <c r="C272" s="546" t="n"/>
      <c r="D272" s="58" t="n"/>
      <c r="E272" s="65" t="n"/>
      <c r="F272" s="65" t="n"/>
      <c r="K272" s="692" t="n"/>
      <c r="L272" s="692" t="n"/>
    </row>
    <row r="273">
      <c r="A273" s="545" t="n"/>
      <c r="B273" s="545" t="n"/>
      <c r="C273" s="546" t="n"/>
      <c r="D273" s="58" t="n"/>
      <c r="E273" s="65" t="n"/>
      <c r="F273" s="65" t="n"/>
      <c r="K273" s="692" t="n"/>
      <c r="L273" s="692" t="n"/>
    </row>
    <row r="274">
      <c r="A274" s="545" t="n"/>
      <c r="B274" s="545" t="n"/>
      <c r="C274" s="546" t="n"/>
      <c r="D274" s="58" t="n"/>
      <c r="E274" s="65" t="n"/>
      <c r="F274" s="65" t="n"/>
      <c r="K274" s="692" t="n"/>
      <c r="L274" s="692" t="n"/>
    </row>
    <row r="275">
      <c r="A275" s="545" t="n"/>
      <c r="B275" s="545" t="n"/>
      <c r="C275" s="546" t="n"/>
      <c r="D275" s="58" t="n"/>
      <c r="E275" s="65" t="n"/>
      <c r="F275" s="65" t="n"/>
      <c r="K275" s="692" t="n"/>
      <c r="L275" s="692" t="n"/>
    </row>
    <row r="276">
      <c r="A276" s="545" t="n"/>
      <c r="B276" s="545" t="n"/>
      <c r="C276" s="546" t="n"/>
      <c r="D276" s="58" t="n"/>
      <c r="E276" s="65" t="n"/>
      <c r="F276" s="65" t="n"/>
      <c r="K276" s="692" t="n"/>
      <c r="L276" s="692" t="n"/>
    </row>
    <row r="277">
      <c r="A277" s="545" t="n"/>
      <c r="B277" s="545" t="n"/>
      <c r="C277" s="546" t="n"/>
      <c r="D277" s="58" t="n"/>
      <c r="E277" s="65" t="n"/>
      <c r="F277" s="65" t="n"/>
      <c r="K277" s="692" t="n"/>
      <c r="L277" s="692" t="n"/>
    </row>
    <row r="278">
      <c r="A278" s="545" t="n"/>
      <c r="B278" s="545" t="n"/>
      <c r="C278" s="546" t="n"/>
      <c r="D278" s="58" t="n"/>
      <c r="E278" s="65" t="n"/>
      <c r="F278" s="65" t="n"/>
      <c r="K278" s="692" t="n"/>
      <c r="L278" s="692" t="n"/>
    </row>
    <row r="279">
      <c r="A279" s="545" t="n"/>
      <c r="B279" s="545" t="n"/>
      <c r="C279" s="546" t="n"/>
      <c r="D279" s="58" t="n"/>
      <c r="E279" s="65" t="n"/>
      <c r="F279" s="65" t="n"/>
      <c r="K279" s="692" t="n"/>
      <c r="L279" s="692" t="n"/>
    </row>
    <row r="280">
      <c r="A280" s="545" t="n"/>
      <c r="B280" s="545" t="n"/>
      <c r="C280" s="546" t="n"/>
      <c r="D280" s="58" t="n"/>
      <c r="E280" s="65" t="n"/>
      <c r="F280" s="65" t="n"/>
      <c r="K280" s="692" t="n"/>
      <c r="L280" s="692" t="n"/>
    </row>
    <row r="281">
      <c r="A281" s="545" t="n"/>
      <c r="B281" s="545" t="n"/>
      <c r="C281" s="546" t="n"/>
      <c r="D281" s="58" t="n"/>
      <c r="E281" s="65" t="n"/>
      <c r="F281" s="65" t="n"/>
      <c r="K281" s="692" t="n"/>
      <c r="L281" s="692" t="n"/>
    </row>
    <row r="282">
      <c r="A282" s="545" t="n"/>
      <c r="B282" s="545" t="n"/>
      <c r="C282" s="546" t="n"/>
      <c r="D282" s="58" t="n"/>
      <c r="E282" s="65" t="n"/>
      <c r="F282" s="65" t="n"/>
      <c r="K282" s="692" t="n"/>
      <c r="L282" s="692" t="n"/>
    </row>
    <row r="283">
      <c r="A283" s="545" t="n"/>
      <c r="B283" s="545" t="n"/>
      <c r="C283" s="546" t="n"/>
      <c r="D283" s="58" t="n"/>
      <c r="E283" s="65" t="n"/>
      <c r="F283" s="65" t="n"/>
      <c r="K283" s="692" t="n"/>
      <c r="L283" s="692" t="n"/>
    </row>
    <row r="284">
      <c r="A284" s="545" t="n"/>
      <c r="B284" s="545" t="n"/>
      <c r="C284" s="546" t="n"/>
      <c r="D284" s="58" t="n"/>
      <c r="E284" s="65" t="n"/>
      <c r="F284" s="65" t="n"/>
      <c r="K284" s="692" t="n"/>
      <c r="L284" s="692" t="n"/>
    </row>
    <row r="285">
      <c r="A285" s="545" t="n"/>
      <c r="B285" s="545" t="n"/>
      <c r="C285" s="546" t="n"/>
      <c r="D285" s="58" t="n"/>
      <c r="E285" s="65" t="n"/>
      <c r="F285" s="65" t="n"/>
      <c r="K285" s="692" t="n"/>
      <c r="L285" s="692" t="n"/>
    </row>
    <row r="286">
      <c r="A286" s="545" t="n"/>
      <c r="B286" s="545" t="n"/>
      <c r="C286" s="546" t="n"/>
      <c r="D286" s="58" t="n"/>
      <c r="E286" s="65" t="n"/>
      <c r="F286" s="65" t="n"/>
      <c r="K286" s="692" t="n"/>
      <c r="L286" s="692" t="n"/>
    </row>
    <row r="287">
      <c r="A287" s="545" t="n"/>
      <c r="B287" s="545" t="n"/>
      <c r="C287" s="546" t="n"/>
      <c r="D287" s="58" t="n"/>
      <c r="E287" s="65" t="n"/>
      <c r="F287" s="65" t="n"/>
      <c r="K287" s="692" t="n"/>
      <c r="L287" s="692" t="n"/>
    </row>
    <row r="288">
      <c r="A288" s="545" t="n"/>
      <c r="B288" s="545" t="n"/>
      <c r="C288" s="546" t="n"/>
      <c r="D288" s="58" t="n"/>
      <c r="E288" s="65" t="n"/>
      <c r="F288" s="65" t="n"/>
      <c r="K288" s="692" t="n"/>
      <c r="L288" s="692" t="n"/>
    </row>
    <row r="289">
      <c r="A289" s="545" t="n"/>
      <c r="B289" s="545" t="n"/>
      <c r="C289" s="546" t="n"/>
      <c r="D289" s="58" t="n"/>
      <c r="E289" s="65" t="n"/>
      <c r="F289" s="65" t="n"/>
      <c r="K289" s="692" t="n"/>
      <c r="L289" s="692" t="n"/>
    </row>
    <row r="290">
      <c r="A290" s="545" t="n"/>
      <c r="B290" s="545" t="n"/>
      <c r="C290" s="546" t="n"/>
      <c r="D290" s="58" t="n"/>
      <c r="E290" s="65" t="n"/>
      <c r="F290" s="65" t="n"/>
      <c r="K290" s="692" t="n"/>
      <c r="L290" s="692" t="n"/>
    </row>
    <row r="291">
      <c r="A291" s="545" t="n"/>
      <c r="B291" s="545" t="n"/>
      <c r="C291" s="546" t="n"/>
      <c r="D291" s="58" t="n"/>
      <c r="E291" s="65" t="n"/>
      <c r="F291" s="65" t="n"/>
      <c r="K291" s="692" t="n"/>
      <c r="L291" s="692" t="n"/>
    </row>
    <row r="292">
      <c r="A292" s="545" t="n"/>
      <c r="B292" s="545" t="n"/>
      <c r="C292" s="546" t="n"/>
      <c r="D292" s="58" t="n"/>
      <c r="E292" s="65" t="n"/>
      <c r="F292" s="65" t="n"/>
      <c r="K292" s="692" t="n"/>
      <c r="L292" s="692" t="n"/>
    </row>
    <row r="293">
      <c r="A293" s="545" t="n"/>
      <c r="B293" s="545" t="n"/>
      <c r="C293" s="546" t="n"/>
      <c r="D293" s="58" t="n"/>
      <c r="E293" s="65" t="n"/>
      <c r="F293" s="65" t="n"/>
      <c r="K293" s="692" t="n"/>
      <c r="L293" s="692" t="n"/>
    </row>
    <row r="294">
      <c r="A294" s="545" t="n"/>
      <c r="B294" s="545" t="n"/>
      <c r="C294" s="546" t="n"/>
      <c r="D294" s="58" t="n"/>
      <c r="E294" s="65" t="n"/>
      <c r="F294" s="65" t="n"/>
      <c r="K294" s="692" t="n"/>
      <c r="L294" s="692" t="n"/>
    </row>
    <row r="295">
      <c r="A295" s="545" t="n"/>
      <c r="B295" s="545" t="n"/>
      <c r="C295" s="546" t="n"/>
      <c r="D295" s="58" t="n"/>
      <c r="E295" s="65" t="n"/>
      <c r="F295" s="65" t="n"/>
      <c r="K295" s="692" t="n"/>
      <c r="L295" s="692" t="n"/>
    </row>
    <row r="296">
      <c r="A296" s="545" t="n"/>
      <c r="B296" s="545" t="n"/>
      <c r="C296" s="546" t="n"/>
      <c r="D296" s="58" t="n"/>
      <c r="E296" s="65" t="n"/>
      <c r="F296" s="65" t="n"/>
      <c r="K296" s="692" t="n"/>
      <c r="L296" s="692" t="n"/>
    </row>
    <row r="297">
      <c r="A297" s="545" t="n"/>
      <c r="B297" s="545" t="n"/>
      <c r="C297" s="546" t="n"/>
      <c r="D297" s="58" t="n"/>
      <c r="E297" s="65" t="n"/>
      <c r="F297" s="65" t="n"/>
      <c r="K297" s="692" t="n"/>
      <c r="L297" s="692" t="n"/>
    </row>
    <row r="298">
      <c r="A298" s="545" t="n"/>
      <c r="B298" s="545" t="n"/>
      <c r="C298" s="546" t="n"/>
      <c r="D298" s="58" t="n"/>
      <c r="E298" s="65" t="n"/>
      <c r="F298" s="65" t="n"/>
      <c r="K298" s="692" t="n"/>
      <c r="L298" s="692" t="n"/>
    </row>
    <row r="299">
      <c r="A299" s="545" t="n"/>
      <c r="B299" s="545" t="n"/>
      <c r="C299" s="546" t="n"/>
      <c r="D299" s="58" t="n"/>
      <c r="E299" s="65" t="n"/>
      <c r="F299" s="65" t="n"/>
      <c r="K299" s="692" t="n"/>
      <c r="L299" s="692" t="n"/>
    </row>
    <row r="300">
      <c r="A300" s="545" t="n"/>
      <c r="B300" s="545" t="n"/>
      <c r="C300" s="546" t="n"/>
      <c r="D300" s="58" t="n"/>
      <c r="E300" s="65" t="n"/>
      <c r="F300" s="65" t="n"/>
      <c r="K300" s="692" t="n"/>
      <c r="L300" s="692" t="n"/>
    </row>
    <row r="301">
      <c r="A301" s="545" t="n"/>
      <c r="B301" s="545" t="n"/>
      <c r="C301" s="546" t="n"/>
      <c r="D301" s="58" t="n"/>
      <c r="E301" s="65" t="n"/>
      <c r="F301" s="65" t="n"/>
      <c r="K301" s="692" t="n"/>
      <c r="L301" s="692" t="n"/>
    </row>
    <row r="302">
      <c r="A302" s="545" t="n"/>
      <c r="B302" s="545" t="n"/>
      <c r="C302" s="546" t="n"/>
      <c r="D302" s="58" t="n"/>
      <c r="E302" s="65" t="n"/>
      <c r="F302" s="65" t="n"/>
      <c r="K302" s="692" t="n"/>
      <c r="L302" s="692" t="n"/>
    </row>
    <row r="303">
      <c r="A303" s="545" t="n"/>
      <c r="B303" s="545" t="n"/>
      <c r="C303" s="546" t="n"/>
      <c r="D303" s="58" t="n"/>
      <c r="E303" s="65" t="n"/>
      <c r="F303" s="65" t="n"/>
      <c r="K303" s="692" t="n"/>
      <c r="L303" s="692" t="n"/>
    </row>
    <row r="304">
      <c r="A304" s="545" t="n"/>
      <c r="B304" s="545" t="n"/>
      <c r="C304" s="546" t="n"/>
      <c r="D304" s="58" t="n"/>
      <c r="E304" s="65" t="n"/>
      <c r="F304" s="65" t="n"/>
      <c r="K304" s="692" t="n"/>
      <c r="L304" s="692" t="n"/>
    </row>
    <row r="305">
      <c r="A305" s="545" t="n"/>
      <c r="B305" s="545" t="n"/>
      <c r="C305" s="546" t="n"/>
      <c r="D305" s="58" t="n"/>
      <c r="E305" s="65" t="n"/>
      <c r="F305" s="65" t="n"/>
      <c r="K305" s="692" t="n"/>
      <c r="L305" s="692" t="n"/>
    </row>
    <row r="306">
      <c r="A306" s="545" t="n"/>
      <c r="B306" s="545" t="n"/>
      <c r="C306" s="546" t="n"/>
      <c r="D306" s="58" t="n"/>
      <c r="E306" s="65" t="n"/>
      <c r="F306" s="65" t="n"/>
      <c r="K306" s="692" t="n"/>
      <c r="L306" s="692" t="n"/>
    </row>
    <row r="307">
      <c r="A307" s="545" t="n"/>
      <c r="B307" s="545" t="n"/>
      <c r="C307" s="546" t="n"/>
      <c r="D307" s="58" t="n"/>
      <c r="E307" s="65" t="n"/>
      <c r="F307" s="65" t="n"/>
      <c r="K307" s="692" t="n"/>
      <c r="L307" s="692" t="n"/>
    </row>
    <row r="308">
      <c r="A308" s="545" t="n"/>
      <c r="B308" s="545" t="n"/>
      <c r="C308" s="546" t="n"/>
      <c r="D308" s="58" t="n"/>
      <c r="E308" s="65" t="n"/>
      <c r="F308" s="65" t="n"/>
      <c r="K308" s="692" t="n"/>
      <c r="L308" s="692" t="n"/>
    </row>
    <row r="309">
      <c r="A309" s="545" t="n"/>
      <c r="B309" s="545" t="n"/>
      <c r="C309" s="546" t="n"/>
      <c r="D309" s="58" t="n"/>
      <c r="E309" s="65" t="n"/>
      <c r="F309" s="65" t="n"/>
      <c r="K309" s="692" t="n"/>
      <c r="L309" s="692" t="n"/>
    </row>
    <row r="310">
      <c r="A310" s="545" t="n"/>
      <c r="B310" s="545" t="n"/>
      <c r="C310" s="546" t="n"/>
      <c r="D310" s="58" t="n"/>
      <c r="E310" s="65" t="n"/>
      <c r="F310" s="65" t="n"/>
      <c r="K310" s="692" t="n"/>
      <c r="L310" s="692" t="n"/>
    </row>
    <row r="311">
      <c r="A311" s="545" t="n"/>
      <c r="B311" s="545" t="n"/>
      <c r="C311" s="546" t="n"/>
      <c r="D311" s="58" t="n"/>
      <c r="E311" s="65" t="n"/>
      <c r="F311" s="65" t="n"/>
      <c r="K311" s="692" t="n"/>
      <c r="L311" s="692" t="n"/>
    </row>
    <row r="312">
      <c r="A312" s="545" t="n"/>
      <c r="B312" s="545" t="n"/>
      <c r="C312" s="546" t="n"/>
      <c r="D312" s="58" t="n"/>
      <c r="E312" s="65" t="n"/>
      <c r="F312" s="65" t="n"/>
      <c r="K312" s="692" t="n"/>
      <c r="L312" s="692" t="n"/>
    </row>
    <row r="313">
      <c r="A313" s="545" t="n"/>
      <c r="B313" s="545" t="n"/>
      <c r="C313" s="546" t="n"/>
      <c r="D313" s="58" t="n"/>
      <c r="E313" s="65" t="n"/>
      <c r="F313" s="65" t="n"/>
      <c r="K313" s="692" t="n"/>
      <c r="L313" s="692" t="n"/>
    </row>
    <row r="314">
      <c r="A314" s="545" t="n"/>
      <c r="B314" s="545" t="n"/>
      <c r="C314" s="546" t="n"/>
      <c r="D314" s="58" t="n"/>
      <c r="E314" s="65" t="n"/>
      <c r="F314" s="65" t="n"/>
      <c r="K314" s="692" t="n"/>
      <c r="L314" s="692" t="n"/>
    </row>
    <row r="315">
      <c r="A315" s="545" t="n"/>
      <c r="B315" s="545" t="n"/>
      <c r="C315" s="546" t="n"/>
      <c r="D315" s="58" t="n"/>
      <c r="E315" s="65" t="n"/>
      <c r="F315" s="65" t="n"/>
      <c r="K315" s="692" t="n"/>
      <c r="L315" s="692" t="n"/>
    </row>
    <row r="316">
      <c r="A316" s="545" t="n"/>
      <c r="B316" s="545" t="n"/>
      <c r="C316" s="546" t="n"/>
      <c r="D316" s="58" t="n"/>
      <c r="E316" s="65" t="n"/>
      <c r="F316" s="65" t="n"/>
      <c r="K316" s="692" t="n"/>
      <c r="L316" s="692" t="n"/>
    </row>
    <row r="317">
      <c r="A317" s="545" t="n"/>
      <c r="B317" s="545" t="n"/>
      <c r="C317" s="546" t="n"/>
      <c r="D317" s="58" t="n"/>
      <c r="E317" s="65" t="n"/>
      <c r="F317" s="65" t="n"/>
      <c r="K317" s="692" t="n"/>
      <c r="L317" s="692" t="n"/>
    </row>
    <row r="318">
      <c r="A318" s="545" t="n"/>
      <c r="B318" s="545" t="n"/>
      <c r="C318" s="546" t="n"/>
      <c r="D318" s="58" t="n"/>
      <c r="E318" s="65" t="n"/>
      <c r="F318" s="65" t="n"/>
      <c r="K318" s="692" t="n"/>
      <c r="L318" s="692" t="n"/>
    </row>
    <row r="319">
      <c r="A319" s="545" t="n"/>
      <c r="B319" s="545" t="n"/>
      <c r="C319" s="546" t="n"/>
      <c r="D319" s="58" t="n"/>
      <c r="E319" s="65" t="n"/>
      <c r="F319" s="65" t="n"/>
      <c r="K319" s="692" t="n"/>
      <c r="L319" s="692" t="n"/>
    </row>
    <row r="320">
      <c r="A320" s="545" t="n"/>
      <c r="B320" s="545" t="n"/>
      <c r="C320" s="546" t="n"/>
      <c r="D320" s="58" t="n"/>
      <c r="E320" s="65" t="n"/>
      <c r="F320" s="65" t="n"/>
      <c r="K320" s="692" t="n"/>
      <c r="L320" s="692" t="n"/>
    </row>
    <row r="321">
      <c r="A321" s="545" t="n"/>
      <c r="B321" s="545" t="n"/>
      <c r="C321" s="546" t="n"/>
      <c r="D321" s="58" t="n"/>
      <c r="E321" s="65" t="n"/>
      <c r="F321" s="65" t="n"/>
      <c r="K321" s="692" t="n"/>
      <c r="L321" s="692" t="n"/>
    </row>
    <row r="322">
      <c r="A322" s="545" t="n"/>
      <c r="B322" s="545" t="n"/>
      <c r="C322" s="546" t="n"/>
      <c r="D322" s="58" t="n"/>
      <c r="E322" s="65" t="n"/>
      <c r="F322" s="65" t="n"/>
      <c r="K322" s="692" t="n"/>
      <c r="L322" s="692" t="n"/>
    </row>
    <row r="323">
      <c r="A323" s="545" t="n"/>
      <c r="B323" s="545" t="n"/>
      <c r="C323" s="546" t="n"/>
      <c r="D323" s="58" t="n"/>
      <c r="E323" s="65" t="n"/>
      <c r="F323" s="65" t="n"/>
      <c r="K323" s="692" t="n"/>
      <c r="L323" s="692" t="n"/>
    </row>
    <row r="324">
      <c r="A324" s="545" t="n"/>
      <c r="B324" s="545" t="n"/>
      <c r="C324" s="546" t="n"/>
      <c r="D324" s="58" t="n"/>
      <c r="E324" s="65" t="n"/>
      <c r="F324" s="65" t="n"/>
      <c r="K324" s="692" t="n"/>
      <c r="L324" s="692" t="n"/>
    </row>
    <row r="325">
      <c r="A325" s="545" t="n"/>
      <c r="B325" s="545" t="n"/>
      <c r="C325" s="546" t="n"/>
      <c r="D325" s="58" t="n"/>
      <c r="E325" s="65" t="n"/>
      <c r="F325" s="65" t="n"/>
      <c r="K325" s="692" t="n"/>
      <c r="L325" s="692" t="n"/>
    </row>
    <row r="326">
      <c r="A326" s="545" t="n"/>
      <c r="B326" s="545" t="n"/>
      <c r="C326" s="546" t="n"/>
      <c r="D326" s="58" t="n"/>
      <c r="E326" s="65" t="n"/>
      <c r="F326" s="65" t="n"/>
      <c r="K326" s="692" t="n"/>
      <c r="L326" s="692" t="n"/>
    </row>
    <row r="327">
      <c r="A327" s="545" t="n"/>
      <c r="B327" s="545" t="n"/>
      <c r="C327" s="546" t="n"/>
      <c r="D327" s="58" t="n"/>
      <c r="E327" s="65" t="n"/>
      <c r="F327" s="65" t="n"/>
      <c r="K327" s="692" t="n"/>
      <c r="L327" s="692" t="n"/>
    </row>
    <row r="328">
      <c r="A328" s="545" t="n"/>
      <c r="B328" s="545" t="n"/>
      <c r="C328" s="546" t="n"/>
      <c r="D328" s="58" t="n"/>
      <c r="E328" s="65" t="n"/>
      <c r="F328" s="65" t="n"/>
      <c r="K328" s="692" t="n"/>
      <c r="L328" s="692" t="n"/>
    </row>
    <row r="329">
      <c r="A329" s="545" t="n"/>
      <c r="B329" s="545" t="n"/>
      <c r="C329" s="546" t="n"/>
      <c r="D329" s="58" t="n"/>
      <c r="E329" s="65" t="n"/>
      <c r="F329" s="65" t="n"/>
      <c r="K329" s="692" t="n"/>
      <c r="L329" s="692" t="n"/>
    </row>
    <row r="330">
      <c r="A330" s="545" t="n"/>
      <c r="B330" s="545" t="n"/>
      <c r="C330" s="546" t="n"/>
      <c r="D330" s="58" t="n"/>
      <c r="E330" s="65" t="n"/>
      <c r="F330" s="65" t="n"/>
      <c r="K330" s="692" t="n"/>
      <c r="L330" s="692" t="n"/>
    </row>
    <row r="331">
      <c r="A331" s="545" t="n"/>
      <c r="B331" s="545" t="n"/>
      <c r="C331" s="546" t="n"/>
      <c r="D331" s="58" t="n"/>
      <c r="E331" s="65" t="n"/>
      <c r="F331" s="65" t="n"/>
      <c r="K331" s="692" t="n"/>
      <c r="L331" s="692" t="n"/>
    </row>
    <row r="332">
      <c r="A332" s="545" t="n"/>
      <c r="B332" s="545" t="n"/>
      <c r="C332" s="546" t="n"/>
      <c r="D332" s="58" t="n"/>
      <c r="E332" s="65" t="n"/>
      <c r="F332" s="65" t="n"/>
      <c r="K332" s="692" t="n"/>
      <c r="L332" s="692" t="n"/>
    </row>
    <row r="333">
      <c r="A333" s="545" t="n"/>
      <c r="B333" s="545" t="n"/>
      <c r="C333" s="546" t="n"/>
      <c r="D333" s="58" t="n"/>
      <c r="E333" s="65" t="n"/>
      <c r="F333" s="65" t="n"/>
      <c r="K333" s="692" t="n"/>
      <c r="L333" s="692" t="n"/>
    </row>
    <row r="334">
      <c r="A334" s="545" t="n"/>
      <c r="B334" s="545" t="n"/>
      <c r="C334" s="546" t="n"/>
      <c r="D334" s="58" t="n"/>
      <c r="E334" s="65" t="n"/>
      <c r="F334" s="65" t="n"/>
      <c r="K334" s="692" t="n"/>
      <c r="L334" s="692" t="n"/>
    </row>
    <row r="335">
      <c r="A335" s="545" t="n"/>
      <c r="B335" s="545" t="n"/>
      <c r="C335" s="546" t="n"/>
      <c r="D335" s="58" t="n"/>
      <c r="E335" s="65" t="n"/>
      <c r="F335" s="65" t="n"/>
      <c r="K335" s="692" t="n"/>
      <c r="L335" s="692" t="n"/>
    </row>
    <row r="336">
      <c r="A336" s="545" t="n"/>
      <c r="B336" s="545" t="n"/>
      <c r="C336" s="546" t="n"/>
      <c r="D336" s="58" t="n"/>
      <c r="E336" s="65" t="n"/>
      <c r="F336" s="65" t="n"/>
      <c r="K336" s="692" t="n"/>
      <c r="L336" s="692" t="n"/>
    </row>
    <row r="337">
      <c r="A337" s="545" t="n"/>
      <c r="B337" s="545" t="n"/>
      <c r="C337" s="546" t="n"/>
      <c r="D337" s="58" t="n"/>
      <c r="E337" s="65" t="n"/>
      <c r="F337" s="65" t="n"/>
      <c r="K337" s="692" t="n"/>
      <c r="L337" s="692" t="n"/>
    </row>
    <row r="338">
      <c r="A338" s="545" t="n"/>
      <c r="B338" s="545" t="n"/>
      <c r="C338" s="546" t="n"/>
      <c r="D338" s="58" t="n"/>
      <c r="E338" s="65" t="n"/>
      <c r="F338" s="65" t="n"/>
      <c r="K338" s="692" t="n"/>
      <c r="L338" s="692" t="n"/>
    </row>
    <row r="339">
      <c r="A339" s="545" t="n"/>
      <c r="B339" s="545" t="n"/>
      <c r="C339" s="546" t="n"/>
      <c r="D339" s="58" t="n"/>
      <c r="E339" s="65" t="n"/>
      <c r="F339" s="65" t="n"/>
      <c r="K339" s="692" t="n"/>
      <c r="L339" s="692" t="n"/>
    </row>
    <row r="340">
      <c r="A340" s="545" t="n"/>
      <c r="B340" s="545" t="n"/>
      <c r="C340" s="546" t="n"/>
      <c r="D340" s="58" t="n"/>
      <c r="E340" s="65" t="n"/>
      <c r="F340" s="65" t="n"/>
      <c r="K340" s="692" t="n"/>
      <c r="L340" s="692" t="n"/>
    </row>
    <row r="341">
      <c r="A341" s="545" t="n"/>
      <c r="B341" s="545" t="n"/>
      <c r="C341" s="546" t="n"/>
      <c r="D341" s="58" t="n"/>
      <c r="E341" s="65" t="n"/>
      <c r="F341" s="65" t="n"/>
      <c r="K341" s="692" t="n"/>
      <c r="L341" s="692" t="n"/>
    </row>
    <row r="342">
      <c r="A342" s="545" t="n"/>
      <c r="B342" s="545" t="n"/>
      <c r="C342" s="546" t="n"/>
      <c r="D342" s="58" t="n"/>
      <c r="E342" s="65" t="n"/>
      <c r="F342" s="65" t="n"/>
      <c r="K342" s="692" t="n"/>
      <c r="L342" s="692" t="n"/>
    </row>
    <row r="343">
      <c r="A343" s="545" t="n"/>
      <c r="B343" s="545" t="n"/>
      <c r="C343" s="546" t="n"/>
      <c r="D343" s="58" t="n"/>
      <c r="E343" s="65" t="n"/>
      <c r="F343" s="65" t="n"/>
      <c r="K343" s="692" t="n"/>
      <c r="L343" s="692" t="n"/>
    </row>
    <row r="344">
      <c r="A344" s="545" t="n"/>
      <c r="B344" s="545" t="n"/>
      <c r="C344" s="546" t="n"/>
      <c r="D344" s="58" t="n"/>
      <c r="E344" s="65" t="n"/>
      <c r="F344" s="65" t="n"/>
      <c r="K344" s="692" t="n"/>
      <c r="L344" s="692" t="n"/>
    </row>
    <row r="345">
      <c r="A345" s="545" t="n"/>
      <c r="B345" s="545" t="n"/>
      <c r="C345" s="546" t="n"/>
      <c r="D345" s="58" t="n"/>
      <c r="E345" s="65" t="n"/>
      <c r="F345" s="65" t="n"/>
      <c r="K345" s="692" t="n"/>
      <c r="L345" s="692" t="n"/>
    </row>
    <row r="346">
      <c r="A346" s="545" t="n"/>
      <c r="B346" s="545" t="n"/>
      <c r="C346" s="546" t="n"/>
      <c r="D346" s="58" t="n"/>
      <c r="E346" s="65" t="n"/>
      <c r="F346" s="65" t="n"/>
      <c r="K346" s="692" t="n"/>
      <c r="L346" s="692" t="n"/>
    </row>
    <row r="347">
      <c r="A347" s="545" t="n"/>
      <c r="B347" s="545" t="n"/>
      <c r="C347" s="546" t="n"/>
      <c r="D347" s="58" t="n"/>
      <c r="E347" s="65" t="n"/>
      <c r="F347" s="65" t="n"/>
      <c r="K347" s="692" t="n"/>
      <c r="L347" s="692" t="n"/>
    </row>
    <row r="348">
      <c r="A348" s="545" t="n"/>
      <c r="B348" s="545" t="n"/>
      <c r="C348" s="546" t="n"/>
      <c r="D348" s="58" t="n"/>
      <c r="E348" s="65" t="n"/>
      <c r="F348" s="65" t="n"/>
      <c r="K348" s="692" t="n"/>
      <c r="L348" s="692" t="n"/>
    </row>
    <row r="349">
      <c r="A349" s="545" t="n"/>
      <c r="B349" s="545" t="n"/>
      <c r="C349" s="546" t="n"/>
      <c r="D349" s="58" t="n"/>
      <c r="E349" s="65" t="n"/>
      <c r="F349" s="65" t="n"/>
      <c r="K349" s="692" t="n"/>
      <c r="L349" s="692" t="n"/>
    </row>
    <row r="350">
      <c r="A350" s="545" t="n"/>
      <c r="B350" s="545" t="n"/>
      <c r="C350" s="546" t="n"/>
      <c r="D350" s="58" t="n"/>
      <c r="E350" s="65" t="n"/>
      <c r="F350" s="65" t="n"/>
      <c r="K350" s="692" t="n"/>
      <c r="L350" s="692" t="n"/>
    </row>
    <row r="351">
      <c r="A351" s="545" t="n"/>
      <c r="B351" s="545" t="n"/>
      <c r="C351" s="546" t="n"/>
      <c r="D351" s="58" t="n"/>
      <c r="E351" s="65" t="n"/>
      <c r="F351" s="65" t="n"/>
      <c r="K351" s="692" t="n"/>
      <c r="L351" s="692" t="n"/>
    </row>
    <row r="352">
      <c r="A352" s="545" t="n"/>
      <c r="B352" s="545" t="n"/>
      <c r="C352" s="546" t="n"/>
      <c r="D352" s="58" t="n"/>
      <c r="E352" s="65" t="n"/>
      <c r="F352" s="65" t="n"/>
      <c r="K352" s="692" t="n"/>
      <c r="L352" s="692" t="n"/>
    </row>
    <row r="353">
      <c r="A353" s="545" t="n"/>
      <c r="B353" s="545" t="n"/>
      <c r="C353" s="546" t="n"/>
      <c r="D353" s="58" t="n"/>
      <c r="E353" s="65" t="n"/>
      <c r="F353" s="65" t="n"/>
      <c r="K353" s="692" t="n"/>
      <c r="L353" s="692" t="n"/>
    </row>
    <row r="354">
      <c r="A354" s="545" t="n"/>
      <c r="B354" s="545" t="n"/>
      <c r="C354" s="546" t="n"/>
      <c r="D354" s="58" t="n"/>
      <c r="E354" s="65" t="n"/>
      <c r="F354" s="65" t="n"/>
      <c r="K354" s="692" t="n"/>
      <c r="L354" s="692" t="n"/>
    </row>
    <row r="355">
      <c r="A355" s="545" t="n"/>
      <c r="B355" s="545" t="n"/>
      <c r="C355" s="546" t="n"/>
      <c r="D355" s="58" t="n"/>
      <c r="E355" s="65" t="n"/>
      <c r="F355" s="65" t="n"/>
      <c r="K355" s="692" t="n"/>
      <c r="L355" s="692" t="n"/>
    </row>
    <row r="356">
      <c r="A356" s="545" t="n"/>
      <c r="B356" s="545" t="n"/>
      <c r="C356" s="546" t="n"/>
      <c r="D356" s="58" t="n"/>
      <c r="E356" s="65" t="n"/>
      <c r="F356" s="65" t="n"/>
      <c r="K356" s="692" t="n"/>
      <c r="L356" s="692" t="n"/>
    </row>
    <row r="357">
      <c r="A357" s="545" t="n"/>
      <c r="B357" s="545" t="n"/>
      <c r="C357" s="546" t="n"/>
      <c r="D357" s="58" t="n"/>
      <c r="E357" s="65" t="n"/>
      <c r="F357" s="65" t="n"/>
      <c r="K357" s="692" t="n"/>
      <c r="L357" s="692" t="n"/>
    </row>
    <row r="358">
      <c r="A358" s="545" t="n"/>
      <c r="B358" s="545" t="n"/>
      <c r="C358" s="546" t="n"/>
      <c r="D358" s="58" t="n"/>
      <c r="E358" s="65" t="n"/>
      <c r="F358" s="65" t="n"/>
      <c r="K358" s="692" t="n"/>
      <c r="L358" s="692" t="n"/>
    </row>
    <row r="359">
      <c r="A359" s="545" t="n"/>
      <c r="B359" s="545" t="n"/>
      <c r="C359" s="546" t="n"/>
      <c r="D359" s="58" t="n"/>
      <c r="E359" s="65" t="n"/>
      <c r="F359" s="65" t="n"/>
      <c r="K359" s="692" t="n"/>
      <c r="L359" s="692" t="n"/>
    </row>
    <row r="360">
      <c r="A360" s="545" t="n"/>
      <c r="B360" s="545" t="n"/>
      <c r="C360" s="546" t="n"/>
      <c r="D360" s="58" t="n"/>
      <c r="E360" s="65" t="n"/>
      <c r="F360" s="65" t="n"/>
      <c r="K360" s="692" t="n"/>
      <c r="L360" s="692" t="n"/>
    </row>
    <row r="361">
      <c r="A361" s="545" t="n"/>
      <c r="B361" s="545" t="n"/>
      <c r="C361" s="546" t="n"/>
      <c r="D361" s="58" t="n"/>
      <c r="E361" s="65" t="n"/>
      <c r="F361" s="65" t="n"/>
      <c r="K361" s="692" t="n"/>
      <c r="L361" s="692" t="n"/>
    </row>
    <row r="362">
      <c r="A362" s="545" t="n"/>
      <c r="B362" s="545" t="n"/>
      <c r="C362" s="546" t="n"/>
      <c r="D362" s="58" t="n"/>
      <c r="E362" s="65" t="n"/>
      <c r="F362" s="65" t="n"/>
      <c r="K362" s="692" t="n"/>
      <c r="L362" s="692" t="n"/>
    </row>
    <row r="363">
      <c r="A363" s="545" t="n"/>
      <c r="B363" s="545" t="n"/>
      <c r="C363" s="546" t="n"/>
      <c r="D363" s="58" t="n"/>
      <c r="E363" s="65" t="n"/>
      <c r="F363" s="65" t="n"/>
      <c r="K363" s="692" t="n"/>
      <c r="L363" s="692" t="n"/>
    </row>
    <row r="364">
      <c r="A364" s="545" t="n"/>
      <c r="B364" s="545" t="n"/>
      <c r="C364" s="546" t="n"/>
      <c r="D364" s="58" t="n"/>
      <c r="E364" s="65" t="n"/>
      <c r="F364" s="65" t="n"/>
      <c r="K364" s="692" t="n"/>
      <c r="L364" s="692" t="n"/>
    </row>
    <row r="365">
      <c r="A365" s="545" t="n"/>
      <c r="B365" s="545" t="n"/>
      <c r="C365" s="546" t="n"/>
      <c r="D365" s="58" t="n"/>
      <c r="E365" s="65" t="n"/>
      <c r="F365" s="65" t="n"/>
      <c r="K365" s="692" t="n"/>
      <c r="L365" s="692" t="n"/>
    </row>
    <row r="366">
      <c r="A366" s="545" t="n"/>
      <c r="B366" s="545" t="n"/>
      <c r="C366" s="546" t="n"/>
      <c r="D366" s="58" t="n"/>
      <c r="E366" s="65" t="n"/>
      <c r="F366" s="65" t="n"/>
      <c r="K366" s="692" t="n"/>
      <c r="L366" s="692" t="n"/>
    </row>
    <row r="367">
      <c r="A367" s="545" t="n"/>
      <c r="B367" s="545" t="n"/>
      <c r="C367" s="546" t="n"/>
      <c r="D367" s="58" t="n"/>
      <c r="E367" s="65" t="n"/>
      <c r="F367" s="65" t="n"/>
      <c r="K367" s="692" t="n"/>
      <c r="L367" s="692" t="n"/>
    </row>
    <row r="368">
      <c r="A368" s="545" t="n"/>
      <c r="B368" s="545" t="n"/>
      <c r="C368" s="546" t="n"/>
      <c r="D368" s="58" t="n"/>
      <c r="E368" s="65" t="n"/>
      <c r="F368" s="65" t="n"/>
      <c r="K368" s="692" t="n"/>
      <c r="L368" s="692" t="n"/>
    </row>
    <row r="369">
      <c r="A369" s="545" t="n"/>
      <c r="B369" s="545" t="n"/>
      <c r="C369" s="546" t="n"/>
      <c r="D369" s="58" t="n"/>
      <c r="E369" s="65" t="n"/>
      <c r="F369" s="65" t="n"/>
      <c r="K369" s="692" t="n"/>
      <c r="L369" s="692" t="n"/>
    </row>
    <row r="370">
      <c r="A370" s="545" t="n"/>
      <c r="B370" s="545" t="n"/>
      <c r="C370" s="546" t="n"/>
      <c r="D370" s="58" t="n"/>
      <c r="E370" s="65" t="n"/>
      <c r="F370" s="65" t="n"/>
      <c r="K370" s="692" t="n"/>
      <c r="L370" s="692" t="n"/>
    </row>
    <row r="371">
      <c r="A371" s="545" t="n"/>
      <c r="B371" s="545" t="n"/>
      <c r="C371" s="546" t="n"/>
      <c r="D371" s="58" t="n"/>
      <c r="E371" s="65" t="n"/>
      <c r="F371" s="65" t="n"/>
      <c r="K371" s="692" t="n"/>
      <c r="L371" s="692" t="n"/>
    </row>
    <row r="372">
      <c r="A372" s="545" t="n"/>
      <c r="B372" s="545" t="n"/>
      <c r="C372" s="546" t="n"/>
      <c r="D372" s="58" t="n"/>
      <c r="E372" s="65" t="n"/>
      <c r="F372" s="65" t="n"/>
      <c r="K372" s="692" t="n"/>
      <c r="L372" s="692" t="n"/>
    </row>
    <row r="373">
      <c r="A373" s="545" t="n"/>
      <c r="B373" s="545" t="n"/>
      <c r="C373" s="546" t="n"/>
      <c r="D373" s="58" t="n"/>
      <c r="E373" s="65" t="n"/>
      <c r="F373" s="65" t="n"/>
      <c r="K373" s="692" t="n"/>
      <c r="L373" s="692" t="n"/>
    </row>
    <row r="374">
      <c r="A374" s="545" t="n"/>
      <c r="B374" s="545" t="n"/>
      <c r="C374" s="546" t="n"/>
      <c r="D374" s="58" t="n"/>
      <c r="E374" s="65" t="n"/>
      <c r="F374" s="65" t="n"/>
      <c r="K374" s="692" t="n"/>
      <c r="L374" s="692" t="n"/>
    </row>
    <row r="375">
      <c r="A375" s="545" t="n"/>
      <c r="B375" s="545" t="n"/>
      <c r="C375" s="546" t="n"/>
      <c r="D375" s="58" t="n"/>
      <c r="E375" s="65" t="n"/>
      <c r="F375" s="65" t="n"/>
      <c r="K375" s="692" t="n"/>
      <c r="L375" s="692" t="n"/>
    </row>
    <row r="376">
      <c r="A376" s="545" t="n"/>
      <c r="B376" s="545" t="n"/>
      <c r="C376" s="546" t="n"/>
      <c r="D376" s="58" t="n"/>
      <c r="E376" s="65" t="n"/>
      <c r="F376" s="65" t="n"/>
      <c r="K376" s="692" t="n"/>
      <c r="L376" s="692" t="n"/>
    </row>
    <row r="377">
      <c r="A377" s="545" t="n"/>
      <c r="B377" s="545" t="n"/>
      <c r="C377" s="546" t="n"/>
      <c r="D377" s="58" t="n"/>
      <c r="E377" s="65" t="n"/>
      <c r="F377" s="65" t="n"/>
      <c r="K377" s="692" t="n"/>
      <c r="L377" s="692" t="n"/>
    </row>
    <row r="378">
      <c r="A378" s="545" t="n"/>
      <c r="B378" s="545" t="n"/>
      <c r="C378" s="546" t="n"/>
      <c r="D378" s="58" t="n"/>
      <c r="E378" s="65" t="n"/>
      <c r="F378" s="65" t="n"/>
      <c r="K378" s="692" t="n"/>
      <c r="L378" s="692" t="n"/>
    </row>
    <row r="379">
      <c r="A379" s="545" t="n"/>
      <c r="B379" s="545" t="n"/>
      <c r="C379" s="546" t="n"/>
      <c r="D379" s="58" t="n"/>
      <c r="E379" s="65" t="n"/>
      <c r="F379" s="65" t="n"/>
      <c r="K379" s="692" t="n"/>
      <c r="L379" s="692" t="n"/>
    </row>
    <row r="380">
      <c r="A380" s="545" t="n"/>
      <c r="B380" s="545" t="n"/>
      <c r="C380" s="546" t="n"/>
      <c r="D380" s="58" t="n"/>
      <c r="E380" s="65" t="n"/>
      <c r="F380" s="65" t="n"/>
      <c r="K380" s="692" t="n"/>
      <c r="L380" s="692" t="n"/>
    </row>
    <row r="381">
      <c r="A381" s="545" t="n"/>
      <c r="B381" s="545" t="n"/>
      <c r="C381" s="546" t="n"/>
      <c r="D381" s="58" t="n"/>
      <c r="E381" s="65" t="n"/>
      <c r="F381" s="65" t="n"/>
      <c r="K381" s="692" t="n"/>
      <c r="L381" s="692" t="n"/>
    </row>
    <row r="382">
      <c r="A382" s="545" t="n"/>
      <c r="B382" s="545" t="n"/>
      <c r="C382" s="546" t="n"/>
      <c r="D382" s="58" t="n"/>
      <c r="E382" s="65" t="n"/>
      <c r="F382" s="65" t="n"/>
      <c r="K382" s="692" t="n"/>
      <c r="L382" s="692" t="n"/>
    </row>
    <row r="383">
      <c r="A383" s="545" t="n"/>
      <c r="B383" s="545" t="n"/>
      <c r="C383" s="546" t="n"/>
      <c r="D383" s="58" t="n"/>
      <c r="E383" s="65" t="n"/>
      <c r="F383" s="65" t="n"/>
      <c r="K383" s="692" t="n"/>
      <c r="L383" s="692" t="n"/>
    </row>
    <row r="384">
      <c r="A384" s="545" t="n"/>
      <c r="B384" s="545" t="n"/>
      <c r="C384" s="546" t="n"/>
      <c r="D384" s="58" t="n"/>
      <c r="E384" s="65" t="n"/>
      <c r="F384" s="65" t="n"/>
      <c r="K384" s="692" t="n"/>
      <c r="L384" s="692" t="n"/>
    </row>
    <row r="385">
      <c r="A385" s="545" t="n"/>
      <c r="B385" s="545" t="n"/>
      <c r="C385" s="546" t="n"/>
      <c r="D385" s="58" t="n"/>
      <c r="E385" s="65" t="n"/>
      <c r="F385" s="65" t="n"/>
      <c r="K385" s="692" t="n"/>
      <c r="L385" s="692" t="n"/>
    </row>
    <row r="386">
      <c r="A386" s="545" t="n"/>
      <c r="B386" s="545" t="n"/>
      <c r="C386" s="546" t="n"/>
      <c r="D386" s="58" t="n"/>
      <c r="E386" s="65" t="n"/>
      <c r="F386" s="65" t="n"/>
      <c r="K386" s="692" t="n"/>
      <c r="L386" s="692" t="n"/>
    </row>
    <row r="387">
      <c r="A387" s="545" t="n"/>
      <c r="B387" s="545" t="n"/>
      <c r="C387" s="546" t="n"/>
      <c r="D387" s="58" t="n"/>
      <c r="E387" s="65" t="n"/>
      <c r="F387" s="65" t="n"/>
      <c r="K387" s="692" t="n"/>
      <c r="L387" s="692" t="n"/>
    </row>
    <row r="388">
      <c r="A388" s="545" t="n"/>
      <c r="B388" s="545" t="n"/>
      <c r="C388" s="546" t="n"/>
      <c r="D388" s="58" t="n"/>
      <c r="E388" s="65" t="n"/>
      <c r="F388" s="65" t="n"/>
      <c r="K388" s="692" t="n"/>
      <c r="L388" s="692" t="n"/>
    </row>
    <row r="389">
      <c r="A389" s="545" t="n"/>
      <c r="B389" s="545" t="n"/>
      <c r="C389" s="546" t="n"/>
      <c r="D389" s="58" t="n"/>
      <c r="E389" s="65" t="n"/>
      <c r="F389" s="65" t="n"/>
      <c r="K389" s="692" t="n"/>
      <c r="L389" s="692" t="n"/>
    </row>
    <row r="390">
      <c r="A390" s="545" t="n"/>
      <c r="B390" s="545" t="n"/>
      <c r="C390" s="546" t="n"/>
      <c r="D390" s="58" t="n"/>
      <c r="E390" s="65" t="n"/>
      <c r="F390" s="65" t="n"/>
      <c r="K390" s="692" t="n"/>
      <c r="L390" s="692" t="n"/>
    </row>
    <row r="391">
      <c r="A391" s="545" t="n"/>
      <c r="B391" s="545" t="n"/>
      <c r="C391" s="546" t="n"/>
      <c r="D391" s="58" t="n"/>
      <c r="E391" s="65" t="n"/>
      <c r="F391" s="65" t="n"/>
      <c r="K391" s="692" t="n"/>
      <c r="L391" s="692" t="n"/>
    </row>
    <row r="392">
      <c r="A392" s="545" t="n"/>
      <c r="B392" s="545" t="n"/>
      <c r="C392" s="546" t="n"/>
      <c r="D392" s="58" t="n"/>
      <c r="E392" s="65" t="n"/>
      <c r="F392" s="65" t="n"/>
      <c r="K392" s="692" t="n"/>
      <c r="L392" s="692" t="n"/>
    </row>
    <row r="393">
      <c r="A393" s="545" t="n"/>
      <c r="B393" s="545" t="n"/>
      <c r="C393" s="546" t="n"/>
      <c r="D393" s="58" t="n"/>
      <c r="E393" s="65" t="n"/>
      <c r="F393" s="65" t="n"/>
      <c r="K393" s="692" t="n"/>
      <c r="L393" s="692" t="n"/>
    </row>
    <row r="394">
      <c r="A394" s="545" t="n"/>
      <c r="B394" s="545" t="n"/>
      <c r="C394" s="546" t="n"/>
      <c r="D394" s="58" t="n"/>
      <c r="E394" s="65" t="n"/>
      <c r="F394" s="65" t="n"/>
      <c r="K394" s="692" t="n"/>
      <c r="L394" s="692" t="n"/>
    </row>
    <row r="395">
      <c r="A395" s="545" t="n"/>
      <c r="B395" s="545" t="n"/>
      <c r="C395" s="546" t="n"/>
      <c r="D395" s="58" t="n"/>
      <c r="E395" s="65" t="n"/>
      <c r="F395" s="65" t="n"/>
      <c r="K395" s="692" t="n"/>
      <c r="L395" s="692" t="n"/>
    </row>
    <row r="396">
      <c r="A396" s="545" t="n"/>
      <c r="B396" s="545" t="n"/>
      <c r="C396" s="546" t="n"/>
      <c r="D396" s="58" t="n"/>
      <c r="E396" s="65" t="n"/>
      <c r="F396" s="65" t="n"/>
      <c r="K396" s="692" t="n"/>
      <c r="L396" s="692" t="n"/>
    </row>
    <row r="397">
      <c r="A397" s="545" t="n"/>
      <c r="B397" s="545" t="n"/>
      <c r="C397" s="546" t="n"/>
      <c r="D397" s="58" t="n"/>
      <c r="E397" s="65" t="n"/>
      <c r="F397" s="65" t="n"/>
      <c r="K397" s="692" t="n"/>
      <c r="L397" s="692" t="n"/>
    </row>
    <row r="398">
      <c r="A398" s="545" t="n"/>
      <c r="B398" s="545" t="n"/>
      <c r="C398" s="546" t="n"/>
      <c r="D398" s="58" t="n"/>
      <c r="E398" s="65" t="n"/>
      <c r="F398" s="65" t="n"/>
      <c r="K398" s="692" t="n"/>
      <c r="L398" s="692" t="n"/>
    </row>
    <row r="399">
      <c r="A399" s="545" t="n"/>
      <c r="B399" s="545" t="n"/>
      <c r="C399" s="546" t="n"/>
      <c r="D399" s="58" t="n"/>
      <c r="E399" s="65" t="n"/>
      <c r="F399" s="65" t="n"/>
      <c r="K399" s="692" t="n"/>
      <c r="L399" s="692" t="n"/>
    </row>
    <row r="400">
      <c r="A400" s="545" t="n"/>
      <c r="B400" s="545" t="n"/>
      <c r="C400" s="546" t="n"/>
      <c r="D400" s="58" t="n"/>
      <c r="E400" s="65" t="n"/>
      <c r="F400" s="65" t="n"/>
      <c r="K400" s="692" t="n"/>
      <c r="L400" s="692" t="n"/>
    </row>
    <row r="401">
      <c r="A401" s="545" t="n"/>
      <c r="B401" s="545" t="n"/>
      <c r="C401" s="546" t="n"/>
      <c r="D401" s="58" t="n"/>
      <c r="E401" s="65" t="n"/>
      <c r="F401" s="65" t="n"/>
      <c r="K401" s="692" t="n"/>
      <c r="L401" s="692" t="n"/>
    </row>
    <row r="402">
      <c r="A402" s="545" t="n"/>
      <c r="B402" s="545" t="n"/>
      <c r="C402" s="546" t="n"/>
      <c r="D402" s="58" t="n"/>
      <c r="E402" s="65" t="n"/>
      <c r="F402" s="65" t="n"/>
      <c r="K402" s="692" t="n"/>
      <c r="L402" s="692" t="n"/>
    </row>
    <row r="403">
      <c r="A403" s="545" t="n"/>
      <c r="B403" s="545" t="n"/>
      <c r="C403" s="546" t="n"/>
      <c r="D403" s="58" t="n"/>
      <c r="E403" s="65" t="n"/>
      <c r="F403" s="65" t="n"/>
      <c r="K403" s="692" t="n"/>
      <c r="L403" s="692" t="n"/>
    </row>
    <row r="404">
      <c r="A404" s="545" t="n"/>
      <c r="B404" s="545" t="n"/>
      <c r="C404" s="546" t="n"/>
      <c r="D404" s="58" t="n"/>
      <c r="E404" s="65" t="n"/>
      <c r="F404" s="65" t="n"/>
      <c r="K404" s="692" t="n"/>
      <c r="L404" s="692" t="n"/>
    </row>
    <row r="405">
      <c r="A405" s="545" t="n"/>
      <c r="B405" s="545" t="n"/>
      <c r="C405" s="546" t="n"/>
      <c r="D405" s="58" t="n"/>
      <c r="E405" s="65" t="n"/>
      <c r="F405" s="65" t="n"/>
      <c r="K405" s="692" t="n"/>
      <c r="L405" s="692" t="n"/>
    </row>
    <row r="406">
      <c r="A406" s="545" t="n"/>
      <c r="B406" s="545" t="n"/>
      <c r="C406" s="546" t="n"/>
      <c r="D406" s="58" t="n"/>
      <c r="E406" s="65" t="n"/>
      <c r="F406" s="65" t="n"/>
      <c r="K406" s="692" t="n"/>
      <c r="L406" s="692" t="n"/>
    </row>
    <row r="407">
      <c r="A407" s="545" t="n"/>
      <c r="B407" s="545" t="n"/>
      <c r="C407" s="546" t="n"/>
      <c r="D407" s="58" t="n"/>
      <c r="E407" s="65" t="n"/>
      <c r="F407" s="65" t="n"/>
      <c r="K407" s="692" t="n"/>
      <c r="L407" s="692" t="n"/>
    </row>
    <row r="408">
      <c r="A408" s="545" t="n"/>
      <c r="B408" s="545" t="n"/>
      <c r="C408" s="546" t="n"/>
      <c r="D408" s="58" t="n"/>
      <c r="E408" s="65" t="n"/>
      <c r="F408" s="65" t="n"/>
      <c r="K408" s="692" t="n"/>
      <c r="L408" s="692" t="n"/>
    </row>
    <row r="409">
      <c r="A409" s="545" t="n"/>
      <c r="B409" s="545" t="n"/>
      <c r="C409" s="546" t="n"/>
      <c r="D409" s="58" t="n"/>
      <c r="E409" s="65" t="n"/>
      <c r="F409" s="65" t="n"/>
      <c r="K409" s="692" t="n"/>
      <c r="L409" s="692" t="n"/>
    </row>
    <row r="410">
      <c r="A410" s="545" t="n"/>
      <c r="B410" s="545" t="n"/>
      <c r="C410" s="546" t="n"/>
      <c r="D410" s="58" t="n"/>
      <c r="E410" s="65" t="n"/>
      <c r="F410" s="65" t="n"/>
      <c r="K410" s="692" t="n"/>
      <c r="L410" s="692" t="n"/>
    </row>
    <row r="411">
      <c r="A411" s="545" t="n"/>
      <c r="B411" s="545" t="n"/>
      <c r="C411" s="546" t="n"/>
      <c r="D411" s="58" t="n"/>
      <c r="E411" s="65" t="n"/>
      <c r="F411" s="65" t="n"/>
      <c r="K411" s="692" t="n"/>
      <c r="L411" s="692" t="n"/>
    </row>
    <row r="412">
      <c r="A412" s="545" t="n"/>
      <c r="B412" s="545" t="n"/>
      <c r="C412" s="546" t="n"/>
      <c r="D412" s="58" t="n"/>
      <c r="E412" s="65" t="n"/>
      <c r="F412" s="65" t="n"/>
      <c r="K412" s="692" t="n"/>
      <c r="L412" s="692" t="n"/>
    </row>
    <row r="413">
      <c r="A413" s="545" t="n"/>
      <c r="B413" s="545" t="n"/>
      <c r="C413" s="546" t="n"/>
      <c r="D413" s="58" t="n"/>
      <c r="E413" s="65" t="n"/>
      <c r="F413" s="65" t="n"/>
      <c r="K413" s="692" t="n"/>
      <c r="L413" s="692" t="n"/>
    </row>
    <row r="414">
      <c r="A414" s="545" t="n"/>
      <c r="B414" s="545" t="n"/>
      <c r="C414" s="546" t="n"/>
      <c r="D414" s="58" t="n"/>
      <c r="E414" s="65" t="n"/>
      <c r="F414" s="65" t="n"/>
      <c r="K414" s="692" t="n"/>
      <c r="L414" s="692" t="n"/>
    </row>
    <row r="415">
      <c r="A415" s="545" t="n"/>
      <c r="B415" s="545" t="n"/>
      <c r="C415" s="546" t="n"/>
      <c r="D415" s="58" t="n"/>
      <c r="E415" s="65" t="n"/>
      <c r="F415" s="65" t="n"/>
      <c r="K415" s="692" t="n"/>
      <c r="L415" s="692" t="n"/>
    </row>
    <row r="416">
      <c r="A416" s="545" t="n"/>
      <c r="B416" s="545" t="n"/>
      <c r="C416" s="546" t="n"/>
      <c r="D416" s="58" t="n"/>
      <c r="E416" s="65" t="n"/>
      <c r="F416" s="65" t="n"/>
      <c r="K416" s="692" t="n"/>
      <c r="L416" s="692" t="n"/>
    </row>
    <row r="417">
      <c r="A417" s="545" t="n"/>
      <c r="B417" s="545" t="n"/>
      <c r="C417" s="546" t="n"/>
      <c r="D417" s="58" t="n"/>
      <c r="E417" s="65" t="n"/>
      <c r="F417" s="65" t="n"/>
      <c r="K417" s="692" t="n"/>
      <c r="L417" s="692" t="n"/>
    </row>
    <row r="418">
      <c r="A418" s="545" t="n"/>
      <c r="B418" s="545" t="n"/>
      <c r="C418" s="546" t="n"/>
      <c r="D418" s="58" t="n"/>
      <c r="E418" s="65" t="n"/>
      <c r="F418" s="65" t="n"/>
      <c r="K418" s="692" t="n"/>
      <c r="L418" s="692" t="n"/>
    </row>
    <row r="419">
      <c r="A419" s="545" t="n"/>
      <c r="B419" s="545" t="n"/>
      <c r="C419" s="546" t="n"/>
      <c r="D419" s="58" t="n"/>
      <c r="E419" s="65" t="n"/>
      <c r="F419" s="65" t="n"/>
      <c r="K419" s="692" t="n"/>
      <c r="L419" s="692" t="n"/>
    </row>
    <row r="420">
      <c r="A420" s="545" t="n"/>
      <c r="B420" s="545" t="n"/>
      <c r="C420" s="546" t="n"/>
      <c r="D420" s="58" t="n"/>
      <c r="E420" s="65" t="n"/>
      <c r="F420" s="65" t="n"/>
      <c r="K420" s="692" t="n"/>
      <c r="L420" s="692" t="n"/>
    </row>
    <row r="421">
      <c r="A421" s="545" t="n"/>
      <c r="B421" s="545" t="n"/>
      <c r="C421" s="546" t="n"/>
      <c r="D421" s="58" t="n"/>
      <c r="E421" s="65" t="n"/>
      <c r="F421" s="65" t="n"/>
      <c r="K421" s="692" t="n"/>
      <c r="L421" s="692" t="n"/>
    </row>
    <row r="422">
      <c r="A422" s="545" t="n"/>
      <c r="B422" s="545" t="n"/>
      <c r="C422" s="546" t="n"/>
      <c r="D422" s="58" t="n"/>
      <c r="E422" s="65" t="n"/>
      <c r="F422" s="65" t="n"/>
      <c r="K422" s="692" t="n"/>
      <c r="L422" s="692" t="n"/>
    </row>
    <row r="423">
      <c r="A423" s="545" t="n"/>
      <c r="B423" s="545" t="n"/>
      <c r="C423" s="546" t="n"/>
      <c r="D423" s="58" t="n"/>
      <c r="E423" s="65" t="n"/>
      <c r="F423" s="65" t="n"/>
      <c r="K423" s="692" t="n"/>
      <c r="L423" s="692" t="n"/>
    </row>
    <row r="424">
      <c r="A424" s="545" t="n"/>
      <c r="B424" s="545" t="n"/>
      <c r="C424" s="546" t="n"/>
      <c r="D424" s="58" t="n"/>
      <c r="E424" s="65" t="n"/>
      <c r="F424" s="65" t="n"/>
      <c r="K424" s="692" t="n"/>
      <c r="L424" s="692" t="n"/>
    </row>
    <row r="425">
      <c r="A425" s="545" t="n"/>
      <c r="B425" s="545" t="n"/>
      <c r="C425" s="546" t="n"/>
      <c r="D425" s="58" t="n"/>
      <c r="E425" s="65" t="n"/>
      <c r="F425" s="65" t="n"/>
      <c r="K425" s="692" t="n"/>
      <c r="L425" s="692" t="n"/>
    </row>
    <row r="426">
      <c r="A426" s="545" t="n"/>
      <c r="B426" s="545" t="n"/>
      <c r="C426" s="546" t="n"/>
      <c r="D426" s="58" t="n"/>
      <c r="E426" s="65" t="n"/>
      <c r="F426" s="65" t="n"/>
      <c r="K426" s="692" t="n"/>
      <c r="L426" s="692" t="n"/>
    </row>
    <row r="427">
      <c r="A427" s="545" t="n"/>
      <c r="B427" s="545" t="n"/>
      <c r="C427" s="546" t="n"/>
      <c r="D427" s="58" t="n"/>
      <c r="E427" s="65" t="n"/>
      <c r="F427" s="65" t="n"/>
      <c r="K427" s="692" t="n"/>
      <c r="L427" s="692" t="n"/>
    </row>
    <row r="428">
      <c r="A428" s="545" t="n"/>
      <c r="B428" s="545" t="n"/>
      <c r="C428" s="546" t="n"/>
      <c r="D428" s="58" t="n"/>
      <c r="E428" s="65" t="n"/>
      <c r="F428" s="65" t="n"/>
      <c r="K428" s="692" t="n"/>
      <c r="L428" s="692" t="n"/>
    </row>
    <row r="429">
      <c r="A429" s="545" t="n"/>
      <c r="B429" s="545" t="n"/>
      <c r="C429" s="546" t="n"/>
      <c r="D429" s="58" t="n"/>
      <c r="E429" s="65" t="n"/>
      <c r="F429" s="65" t="n"/>
      <c r="K429" s="692" t="n"/>
      <c r="L429" s="692" t="n"/>
    </row>
    <row r="430">
      <c r="A430" s="545" t="n"/>
      <c r="B430" s="545" t="n"/>
      <c r="C430" s="546" t="n"/>
      <c r="D430" s="58" t="n"/>
      <c r="E430" s="65" t="n"/>
      <c r="F430" s="65" t="n"/>
      <c r="K430" s="692" t="n"/>
      <c r="L430" s="692" t="n"/>
    </row>
    <row r="431">
      <c r="A431" s="545" t="n"/>
      <c r="B431" s="545" t="n"/>
      <c r="C431" s="546" t="n"/>
      <c r="D431" s="58" t="n"/>
      <c r="E431" s="65" t="n"/>
      <c r="F431" s="65" t="n"/>
      <c r="K431" s="692" t="n"/>
      <c r="L431" s="692" t="n"/>
    </row>
    <row r="432">
      <c r="A432" s="545" t="n"/>
      <c r="B432" s="545" t="n"/>
      <c r="C432" s="546" t="n"/>
      <c r="D432" s="58" t="n"/>
      <c r="E432" s="65" t="n"/>
      <c r="F432" s="65" t="n"/>
      <c r="K432" s="692" t="n"/>
      <c r="L432" s="692" t="n"/>
    </row>
    <row r="433">
      <c r="A433" s="545" t="n"/>
      <c r="B433" s="545" t="n"/>
      <c r="C433" s="546" t="n"/>
      <c r="D433" s="58" t="n"/>
      <c r="E433" s="65" t="n"/>
      <c r="F433" s="65" t="n"/>
      <c r="K433" s="692" t="n"/>
      <c r="L433" s="692" t="n"/>
    </row>
    <row r="434">
      <c r="A434" s="545" t="n"/>
      <c r="B434" s="545" t="n"/>
      <c r="C434" s="546" t="n"/>
      <c r="D434" s="58" t="n"/>
      <c r="E434" s="65" t="n"/>
      <c r="F434" s="65" t="n"/>
      <c r="K434" s="692" t="n"/>
      <c r="L434" s="692" t="n"/>
    </row>
    <row r="435">
      <c r="A435" s="545" t="n"/>
      <c r="B435" s="545" t="n"/>
      <c r="C435" s="546" t="n"/>
      <c r="D435" s="58" t="n"/>
      <c r="E435" s="65" t="n"/>
      <c r="F435" s="65" t="n"/>
      <c r="K435" s="692" t="n"/>
      <c r="L435" s="692" t="n"/>
    </row>
    <row r="436">
      <c r="A436" s="545" t="n"/>
      <c r="B436" s="545" t="n"/>
      <c r="C436" s="546" t="n"/>
      <c r="D436" s="58" t="n"/>
      <c r="E436" s="65" t="n"/>
      <c r="F436" s="65" t="n"/>
      <c r="K436" s="692" t="n"/>
      <c r="L436" s="692" t="n"/>
    </row>
    <row r="437">
      <c r="A437" s="545" t="n"/>
      <c r="B437" s="545" t="n"/>
      <c r="C437" s="546" t="n"/>
      <c r="D437" s="58" t="n"/>
      <c r="E437" s="65" t="n"/>
      <c r="F437" s="65" t="n"/>
      <c r="K437" s="692" t="n"/>
      <c r="L437" s="692" t="n"/>
    </row>
    <row r="438">
      <c r="A438" s="545" t="n"/>
      <c r="B438" s="545" t="n"/>
      <c r="C438" s="546" t="n"/>
      <c r="D438" s="58" t="n"/>
      <c r="E438" s="65" t="n"/>
      <c r="F438" s="65" t="n"/>
      <c r="K438" s="692" t="n"/>
      <c r="L438" s="692" t="n"/>
    </row>
    <row r="439">
      <c r="A439" s="545" t="n"/>
      <c r="B439" s="545" t="n"/>
      <c r="C439" s="546" t="n"/>
      <c r="D439" s="58" t="n"/>
      <c r="E439" s="65" t="n"/>
      <c r="F439" s="65" t="n"/>
      <c r="K439" s="692" t="n"/>
      <c r="L439" s="692" t="n"/>
    </row>
    <row r="440">
      <c r="A440" s="545" t="n"/>
      <c r="B440" s="545" t="n"/>
      <c r="C440" s="546" t="n"/>
      <c r="D440" s="58" t="n"/>
      <c r="E440" s="65" t="n"/>
      <c r="F440" s="65" t="n"/>
      <c r="K440" s="692" t="n"/>
      <c r="L440" s="692" t="n"/>
    </row>
    <row r="441">
      <c r="A441" s="545" t="n"/>
      <c r="B441" s="545" t="n"/>
      <c r="C441" s="546" t="n"/>
      <c r="D441" s="58" t="n"/>
      <c r="E441" s="65" t="n"/>
      <c r="F441" s="65" t="n"/>
      <c r="K441" s="692" t="n"/>
      <c r="L441" s="692" t="n"/>
    </row>
    <row r="442">
      <c r="A442" s="545" t="n"/>
      <c r="B442" s="545" t="n"/>
      <c r="C442" s="546" t="n"/>
      <c r="D442" s="58" t="n"/>
      <c r="E442" s="65" t="n"/>
      <c r="F442" s="65" t="n"/>
      <c r="K442" s="692" t="n"/>
      <c r="L442" s="692" t="n"/>
    </row>
    <row r="443">
      <c r="A443" s="545" t="n"/>
      <c r="B443" s="545" t="n"/>
      <c r="C443" s="546" t="n"/>
      <c r="D443" s="58" t="n"/>
      <c r="E443" s="65" t="n"/>
      <c r="F443" s="65" t="n"/>
      <c r="K443" s="692" t="n"/>
      <c r="L443" s="692" t="n"/>
    </row>
    <row r="444">
      <c r="A444" s="545" t="n"/>
      <c r="B444" s="545" t="n"/>
      <c r="C444" s="546" t="n"/>
      <c r="D444" s="58" t="n"/>
      <c r="E444" s="65" t="n"/>
      <c r="F444" s="65" t="n"/>
      <c r="K444" s="692" t="n"/>
      <c r="L444" s="692" t="n"/>
    </row>
    <row r="445">
      <c r="A445" s="545" t="n"/>
      <c r="B445" s="545" t="n"/>
      <c r="C445" s="546" t="n"/>
      <c r="D445" s="58" t="n"/>
      <c r="E445" s="65" t="n"/>
      <c r="F445" s="65" t="n"/>
      <c r="K445" s="692" t="n"/>
      <c r="L445" s="692" t="n"/>
    </row>
    <row r="446">
      <c r="A446" s="545" t="n"/>
      <c r="B446" s="545" t="n"/>
      <c r="C446" s="546" t="n"/>
      <c r="D446" s="58" t="n"/>
      <c r="E446" s="65" t="n"/>
      <c r="F446" s="65" t="n"/>
      <c r="K446" s="692" t="n"/>
      <c r="L446" s="692" t="n"/>
    </row>
    <row r="447">
      <c r="A447" s="545" t="n"/>
      <c r="B447" s="545" t="n"/>
      <c r="C447" s="546" t="n"/>
      <c r="D447" s="58" t="n"/>
      <c r="E447" s="65" t="n"/>
      <c r="F447" s="65" t="n"/>
      <c r="K447" s="692" t="n"/>
      <c r="L447" s="692" t="n"/>
    </row>
    <row r="448">
      <c r="A448" s="545" t="n"/>
      <c r="B448" s="545" t="n"/>
      <c r="C448" s="546" t="n"/>
      <c r="D448" s="58" t="n"/>
      <c r="E448" s="65" t="n"/>
      <c r="F448" s="65" t="n"/>
      <c r="K448" s="692" t="n"/>
      <c r="L448" s="692" t="n"/>
    </row>
    <row r="449">
      <c r="A449" s="545" t="n"/>
      <c r="B449" s="545" t="n"/>
      <c r="C449" s="546" t="n"/>
      <c r="D449" s="58" t="n"/>
      <c r="E449" s="65" t="n"/>
      <c r="F449" s="65" t="n"/>
      <c r="K449" s="692" t="n"/>
      <c r="L449" s="692" t="n"/>
    </row>
    <row r="450">
      <c r="A450" s="545" t="n"/>
      <c r="B450" s="545" t="n"/>
      <c r="C450" s="546" t="n"/>
      <c r="D450" s="58" t="n"/>
      <c r="E450" s="65" t="n"/>
      <c r="F450" s="65" t="n"/>
      <c r="K450" s="692" t="n"/>
      <c r="L450" s="692" t="n"/>
    </row>
    <row r="451">
      <c r="A451" s="545" t="n"/>
      <c r="B451" s="545" t="n"/>
      <c r="C451" s="546" t="n"/>
      <c r="D451" s="58" t="n"/>
      <c r="E451" s="65" t="n"/>
      <c r="F451" s="65" t="n"/>
      <c r="K451" s="692" t="n"/>
      <c r="L451" s="692" t="n"/>
    </row>
    <row r="452">
      <c r="A452" s="545" t="n"/>
      <c r="B452" s="545" t="n"/>
      <c r="C452" s="546" t="n"/>
      <c r="D452" s="58" t="n"/>
      <c r="E452" s="65" t="n"/>
      <c r="F452" s="65" t="n"/>
      <c r="K452" s="692" t="n"/>
      <c r="L452" s="692" t="n"/>
    </row>
    <row r="453">
      <c r="A453" s="545" t="n"/>
      <c r="B453" s="545" t="n"/>
      <c r="C453" s="546" t="n"/>
      <c r="D453" s="58" t="n"/>
      <c r="E453" s="65" t="n"/>
      <c r="F453" s="65" t="n"/>
      <c r="K453" s="692" t="n"/>
      <c r="L453" s="692" t="n"/>
    </row>
    <row r="454">
      <c r="A454" s="545" t="n"/>
      <c r="B454" s="545" t="n"/>
      <c r="C454" s="546" t="n"/>
      <c r="D454" s="58" t="n"/>
      <c r="E454" s="65" t="n"/>
      <c r="F454" s="65" t="n"/>
      <c r="K454" s="692" t="n"/>
      <c r="L454" s="692" t="n"/>
    </row>
    <row r="455">
      <c r="A455" s="545" t="n"/>
      <c r="B455" s="545" t="n"/>
      <c r="C455" s="546" t="n"/>
      <c r="D455" s="58" t="n"/>
      <c r="E455" s="65" t="n"/>
      <c r="F455" s="65" t="n"/>
      <c r="K455" s="692" t="n"/>
      <c r="L455" s="692" t="n"/>
    </row>
    <row r="456">
      <c r="A456" s="545" t="n"/>
      <c r="B456" s="545" t="n"/>
      <c r="C456" s="546" t="n"/>
      <c r="D456" s="58" t="n"/>
      <c r="E456" s="65" t="n"/>
      <c r="F456" s="65" t="n"/>
      <c r="K456" s="692" t="n"/>
      <c r="L456" s="692" t="n"/>
    </row>
    <row r="457">
      <c r="A457" s="545" t="n"/>
      <c r="B457" s="545" t="n"/>
      <c r="C457" s="546" t="n"/>
      <c r="D457" s="58" t="n"/>
      <c r="E457" s="65" t="n"/>
      <c r="F457" s="65" t="n"/>
      <c r="K457" s="692" t="n"/>
      <c r="L457" s="692" t="n"/>
    </row>
    <row r="458">
      <c r="A458" s="545" t="n"/>
      <c r="B458" s="545" t="n"/>
      <c r="C458" s="546" t="n"/>
      <c r="D458" s="58" t="n"/>
      <c r="E458" s="65" t="n"/>
      <c r="F458" s="65" t="n"/>
      <c r="K458" s="692" t="n"/>
      <c r="L458" s="692" t="n"/>
    </row>
    <row r="459">
      <c r="A459" s="545" t="n"/>
      <c r="B459" s="545" t="n"/>
      <c r="C459" s="546" t="n"/>
      <c r="D459" s="58" t="n"/>
      <c r="E459" s="65" t="n"/>
      <c r="F459" s="65" t="n"/>
      <c r="K459" s="692" t="n"/>
      <c r="L459" s="692" t="n"/>
    </row>
    <row r="460">
      <c r="A460" s="545" t="n"/>
      <c r="B460" s="545" t="n"/>
      <c r="C460" s="546" t="n"/>
      <c r="D460" s="58" t="n"/>
      <c r="E460" s="65" t="n"/>
      <c r="F460" s="65" t="n"/>
      <c r="K460" s="692" t="n"/>
      <c r="L460" s="692" t="n"/>
    </row>
    <row r="461">
      <c r="A461" s="545" t="n"/>
      <c r="B461" s="545" t="n"/>
      <c r="C461" s="546" t="n"/>
      <c r="D461" s="58" t="n"/>
      <c r="E461" s="65" t="n"/>
      <c r="F461" s="65" t="n"/>
      <c r="K461" s="692" t="n"/>
      <c r="L461" s="692" t="n"/>
    </row>
    <row r="462">
      <c r="A462" s="545" t="n"/>
      <c r="B462" s="545" t="n"/>
      <c r="C462" s="546" t="n"/>
      <c r="D462" s="58" t="n"/>
      <c r="E462" s="65" t="n"/>
      <c r="F462" s="65" t="n"/>
      <c r="K462" s="692" t="n"/>
      <c r="L462" s="692" t="n"/>
    </row>
    <row r="463">
      <c r="A463" s="545" t="n"/>
      <c r="B463" s="545" t="n"/>
      <c r="C463" s="546" t="n"/>
      <c r="D463" s="58" t="n"/>
      <c r="E463" s="65" t="n"/>
      <c r="F463" s="65" t="n"/>
      <c r="K463" s="692" t="n"/>
      <c r="L463" s="692" t="n"/>
    </row>
    <row r="464">
      <c r="A464" s="545" t="n"/>
      <c r="B464" s="545" t="n"/>
      <c r="C464" s="546" t="n"/>
      <c r="D464" s="58" t="n"/>
      <c r="E464" s="65" t="n"/>
      <c r="F464" s="65" t="n"/>
      <c r="K464" s="692" t="n"/>
      <c r="L464" s="692" t="n"/>
    </row>
    <row r="465">
      <c r="A465" s="545" t="n"/>
      <c r="B465" s="545" t="n"/>
      <c r="C465" s="546" t="n"/>
      <c r="D465" s="58" t="n"/>
      <c r="E465" s="65" t="n"/>
      <c r="F465" s="65" t="n"/>
      <c r="K465" s="692" t="n"/>
      <c r="L465" s="692" t="n"/>
    </row>
    <row r="466">
      <c r="A466" s="545" t="n"/>
      <c r="B466" s="545" t="n"/>
      <c r="C466" s="546" t="n"/>
      <c r="D466" s="58" t="n"/>
      <c r="E466" s="65" t="n"/>
      <c r="F466" s="65" t="n"/>
      <c r="K466" s="692" t="n"/>
      <c r="L466" s="692" t="n"/>
    </row>
    <row r="467">
      <c r="A467" s="545" t="n"/>
      <c r="B467" s="545" t="n"/>
      <c r="C467" s="546" t="n"/>
      <c r="D467" s="58" t="n"/>
      <c r="E467" s="65" t="n"/>
      <c r="F467" s="65" t="n"/>
      <c r="K467" s="692" t="n"/>
      <c r="L467" s="692" t="n"/>
    </row>
    <row r="468">
      <c r="A468" s="545" t="n"/>
      <c r="B468" s="545" t="n"/>
      <c r="C468" s="546" t="n"/>
      <c r="D468" s="58" t="n"/>
      <c r="E468" s="65" t="n"/>
      <c r="F468" s="65" t="n"/>
      <c r="K468" s="692" t="n"/>
      <c r="L468" s="692" t="n"/>
    </row>
    <row r="469">
      <c r="A469" s="545" t="n"/>
      <c r="B469" s="545" t="n"/>
      <c r="C469" s="546" t="n"/>
      <c r="D469" s="58" t="n"/>
      <c r="E469" s="65" t="n"/>
      <c r="F469" s="65" t="n"/>
      <c r="K469" s="692" t="n"/>
      <c r="L469" s="692" t="n"/>
    </row>
    <row r="470">
      <c r="A470" s="545" t="n"/>
      <c r="B470" s="545" t="n"/>
      <c r="C470" s="546" t="n"/>
      <c r="D470" s="58" t="n"/>
      <c r="E470" s="65" t="n"/>
      <c r="F470" s="65" t="n"/>
      <c r="K470" s="692" t="n"/>
      <c r="L470" s="692" t="n"/>
    </row>
    <row r="471">
      <c r="A471" s="545" t="n"/>
      <c r="B471" s="545" t="n"/>
      <c r="C471" s="546" t="n"/>
      <c r="D471" s="58" t="n"/>
      <c r="E471" s="65" t="n"/>
      <c r="F471" s="65" t="n"/>
      <c r="K471" s="692" t="n"/>
      <c r="L471" s="692" t="n"/>
    </row>
    <row r="472">
      <c r="A472" s="545" t="n"/>
      <c r="B472" s="545" t="n"/>
      <c r="C472" s="546" t="n"/>
      <c r="D472" s="58" t="n"/>
      <c r="E472" s="65" t="n"/>
      <c r="F472" s="65" t="n"/>
      <c r="K472" s="692" t="n"/>
      <c r="L472" s="692" t="n"/>
    </row>
    <row r="473">
      <c r="A473" s="545" t="n"/>
      <c r="B473" s="545" t="n"/>
      <c r="C473" s="546" t="n"/>
      <c r="D473" s="58" t="n"/>
      <c r="E473" s="65" t="n"/>
      <c r="F473" s="65" t="n"/>
      <c r="K473" s="692" t="n"/>
      <c r="L473" s="692" t="n"/>
    </row>
    <row r="474">
      <c r="A474" s="545" t="n"/>
      <c r="B474" s="545" t="n"/>
      <c r="C474" s="546" t="n"/>
      <c r="D474" s="58" t="n"/>
      <c r="E474" s="65" t="n"/>
      <c r="F474" s="65" t="n"/>
      <c r="K474" s="692" t="n"/>
      <c r="L474" s="692" t="n"/>
    </row>
    <row r="475">
      <c r="A475" s="545" t="n"/>
      <c r="B475" s="545" t="n"/>
      <c r="C475" s="546" t="n"/>
      <c r="D475" s="58" t="n"/>
      <c r="E475" s="65" t="n"/>
      <c r="F475" s="65" t="n"/>
      <c r="K475" s="692" t="n"/>
      <c r="L475" s="692" t="n"/>
    </row>
    <row r="476">
      <c r="A476" s="545" t="n"/>
      <c r="B476" s="545" t="n"/>
      <c r="C476" s="546" t="n"/>
      <c r="D476" s="58" t="n"/>
      <c r="E476" s="65" t="n"/>
      <c r="F476" s="65" t="n"/>
      <c r="K476" s="692" t="n"/>
      <c r="L476" s="692" t="n"/>
    </row>
    <row r="477">
      <c r="A477" s="545" t="n"/>
      <c r="B477" s="545" t="n"/>
      <c r="C477" s="546" t="n"/>
      <c r="D477" s="58" t="n"/>
      <c r="E477" s="65" t="n"/>
      <c r="F477" s="65" t="n"/>
      <c r="K477" s="692" t="n"/>
      <c r="L477" s="692" t="n"/>
    </row>
    <row r="478">
      <c r="A478" s="545" t="n"/>
      <c r="B478" s="545" t="n"/>
      <c r="C478" s="546" t="n"/>
      <c r="D478" s="58" t="n"/>
      <c r="E478" s="65" t="n"/>
      <c r="F478" s="65" t="n"/>
      <c r="K478" s="692" t="n"/>
      <c r="L478" s="692" t="n"/>
    </row>
    <row r="479">
      <c r="A479" s="545" t="n"/>
      <c r="B479" s="545" t="n"/>
      <c r="C479" s="546" t="n"/>
      <c r="D479" s="58" t="n"/>
      <c r="E479" s="65" t="n"/>
      <c r="F479" s="65" t="n"/>
      <c r="K479" s="692" t="n"/>
      <c r="L479" s="692" t="n"/>
    </row>
    <row r="480">
      <c r="A480" s="545" t="n"/>
      <c r="B480" s="545" t="n"/>
      <c r="C480" s="546" t="n"/>
      <c r="D480" s="58" t="n"/>
      <c r="E480" s="65" t="n"/>
      <c r="F480" s="65" t="n"/>
      <c r="K480" s="692" t="n"/>
      <c r="L480" s="692" t="n"/>
    </row>
    <row r="481">
      <c r="A481" s="545" t="n"/>
      <c r="B481" s="545" t="n"/>
      <c r="C481" s="546" t="n"/>
      <c r="D481" s="58" t="n"/>
      <c r="E481" s="65" t="n"/>
      <c r="F481" s="65" t="n"/>
      <c r="K481" s="692" t="n"/>
      <c r="L481" s="692" t="n"/>
    </row>
    <row r="482">
      <c r="A482" s="545" t="n"/>
      <c r="B482" s="545" t="n"/>
      <c r="C482" s="546" t="n"/>
      <c r="D482" s="58" t="n"/>
      <c r="E482" s="65" t="n"/>
      <c r="F482" s="65" t="n"/>
      <c r="K482" s="692" t="n"/>
      <c r="L482" s="692" t="n"/>
    </row>
    <row r="483">
      <c r="A483" s="545" t="n"/>
      <c r="B483" s="545" t="n"/>
      <c r="C483" s="546" t="n"/>
      <c r="D483" s="58" t="n"/>
      <c r="E483" s="65" t="n"/>
      <c r="F483" s="65" t="n"/>
      <c r="K483" s="692" t="n"/>
      <c r="L483" s="692" t="n"/>
    </row>
    <row r="484">
      <c r="A484" s="545" t="n"/>
      <c r="B484" s="545" t="n"/>
      <c r="C484" s="546" t="n"/>
      <c r="D484" s="58" t="n"/>
      <c r="E484" s="65" t="n"/>
      <c r="F484" s="65" t="n"/>
      <c r="K484" s="692" t="n"/>
      <c r="L484" s="692" t="n"/>
    </row>
    <row r="485">
      <c r="A485" s="545" t="n"/>
      <c r="B485" s="545" t="n"/>
      <c r="C485" s="546" t="n"/>
      <c r="D485" s="58" t="n"/>
      <c r="E485" s="65" t="n"/>
      <c r="F485" s="65" t="n"/>
      <c r="K485" s="692" t="n"/>
      <c r="L485" s="692" t="n"/>
    </row>
    <row r="486">
      <c r="A486" s="545" t="n"/>
      <c r="B486" s="545" t="n"/>
      <c r="C486" s="546" t="n"/>
      <c r="D486" s="58" t="n"/>
      <c r="E486" s="65" t="n"/>
      <c r="F486" s="65" t="n"/>
      <c r="K486" s="692" t="n"/>
      <c r="L486" s="692" t="n"/>
    </row>
    <row r="487">
      <c r="A487" s="545" t="n"/>
      <c r="B487" s="545" t="n"/>
      <c r="C487" s="546" t="n"/>
      <c r="D487" s="58" t="n"/>
      <c r="E487" s="65" t="n"/>
      <c r="F487" s="65" t="n"/>
      <c r="K487" s="692" t="n"/>
      <c r="L487" s="692" t="n"/>
    </row>
    <row r="488">
      <c r="A488" s="545" t="n"/>
      <c r="B488" s="545" t="n"/>
      <c r="C488" s="546" t="n"/>
      <c r="D488" s="58" t="n"/>
      <c r="E488" s="65" t="n"/>
      <c r="F488" s="65" t="n"/>
      <c r="K488" s="692" t="n"/>
      <c r="L488" s="692" t="n"/>
    </row>
    <row r="489">
      <c r="A489" s="545" t="n"/>
      <c r="B489" s="545" t="n"/>
      <c r="C489" s="546" t="n"/>
      <c r="D489" s="58" t="n"/>
      <c r="E489" s="65" t="n"/>
      <c r="F489" s="65" t="n"/>
      <c r="K489" s="692" t="n"/>
      <c r="L489" s="692" t="n"/>
    </row>
    <row r="490">
      <c r="A490" s="545" t="n"/>
      <c r="B490" s="545" t="n"/>
      <c r="C490" s="546" t="n"/>
      <c r="D490" s="58" t="n"/>
      <c r="E490" s="65" t="n"/>
      <c r="F490" s="65" t="n"/>
      <c r="K490" s="692" t="n"/>
      <c r="L490" s="692" t="n"/>
    </row>
    <row r="491">
      <c r="A491" s="545" t="n"/>
      <c r="B491" s="545" t="n"/>
      <c r="C491" s="546" t="n"/>
      <c r="D491" s="58" t="n"/>
      <c r="E491" s="65" t="n"/>
      <c r="F491" s="65" t="n"/>
      <c r="K491" s="692" t="n"/>
      <c r="L491" s="692" t="n"/>
    </row>
    <row r="492">
      <c r="A492" s="545" t="n"/>
      <c r="B492" s="545" t="n"/>
      <c r="C492" s="546" t="n"/>
      <c r="D492" s="58" t="n"/>
      <c r="E492" s="65" t="n"/>
      <c r="F492" s="65" t="n"/>
      <c r="K492" s="692" t="n"/>
      <c r="L492" s="692" t="n"/>
    </row>
    <row r="493">
      <c r="A493" s="545" t="n"/>
      <c r="B493" s="545" t="n"/>
      <c r="C493" s="546" t="n"/>
      <c r="D493" s="58" t="n"/>
      <c r="E493" s="65" t="n"/>
      <c r="F493" s="65" t="n"/>
      <c r="K493" s="692" t="n"/>
      <c r="L493" s="692" t="n"/>
    </row>
    <row r="494">
      <c r="A494" s="545" t="n"/>
      <c r="B494" s="545" t="n"/>
      <c r="C494" s="546" t="n"/>
      <c r="D494" s="58" t="n"/>
      <c r="E494" s="65" t="n"/>
      <c r="F494" s="65" t="n"/>
      <c r="K494" s="692" t="n"/>
      <c r="L494" s="692" t="n"/>
    </row>
    <row r="495">
      <c r="A495" s="545" t="n"/>
      <c r="B495" s="545" t="n"/>
      <c r="C495" s="546" t="n"/>
      <c r="D495" s="58" t="n"/>
      <c r="E495" s="65" t="n"/>
      <c r="F495" s="65" t="n"/>
      <c r="K495" s="692" t="n"/>
      <c r="L495" s="692" t="n"/>
    </row>
    <row r="496">
      <c r="A496" s="545" t="n"/>
      <c r="B496" s="545" t="n"/>
      <c r="C496" s="546" t="n"/>
      <c r="D496" s="58" t="n"/>
      <c r="E496" s="65" t="n"/>
      <c r="F496" s="65" t="n"/>
      <c r="K496" s="692" t="n"/>
      <c r="L496" s="692" t="n"/>
    </row>
    <row r="497">
      <c r="A497" s="545" t="n"/>
      <c r="B497" s="545" t="n"/>
      <c r="C497" s="546" t="n"/>
      <c r="D497" s="58" t="n"/>
      <c r="E497" s="65" t="n"/>
      <c r="F497" s="65" t="n"/>
      <c r="K497" s="692" t="n"/>
      <c r="L497" s="692" t="n"/>
    </row>
    <row r="498">
      <c r="A498" s="545" t="n"/>
      <c r="B498" s="545" t="n"/>
      <c r="C498" s="546" t="n"/>
      <c r="D498" s="58" t="n"/>
      <c r="E498" s="65" t="n"/>
      <c r="F498" s="65" t="n"/>
      <c r="K498" s="692" t="n"/>
      <c r="L498" s="692" t="n"/>
    </row>
    <row r="499">
      <c r="A499" s="545" t="n"/>
      <c r="B499" s="545" t="n"/>
      <c r="C499" s="546" t="n"/>
      <c r="D499" s="58" t="n"/>
      <c r="E499" s="65" t="n"/>
      <c r="F499" s="65" t="n"/>
      <c r="K499" s="692" t="n"/>
      <c r="L499" s="692" t="n"/>
    </row>
    <row r="500">
      <c r="A500" s="545" t="n"/>
      <c r="B500" s="545" t="n"/>
      <c r="C500" s="546" t="n"/>
      <c r="D500" s="58" t="n"/>
      <c r="E500" s="65" t="n"/>
      <c r="F500" s="65" t="n"/>
      <c r="K500" s="692" t="n"/>
      <c r="L500" s="692" t="n"/>
    </row>
    <row r="501">
      <c r="A501" s="545" t="n"/>
      <c r="B501" s="545" t="n"/>
      <c r="C501" s="546" t="n"/>
      <c r="D501" s="58" t="n"/>
      <c r="E501" s="65" t="n"/>
      <c r="F501" s="65" t="n"/>
      <c r="K501" s="692" t="n"/>
      <c r="L501" s="692" t="n"/>
    </row>
    <row r="502">
      <c r="A502" s="545" t="n"/>
      <c r="B502" s="545" t="n"/>
      <c r="C502" s="546" t="n"/>
      <c r="D502" s="58" t="n"/>
      <c r="E502" s="65" t="n"/>
      <c r="F502" s="65" t="n"/>
      <c r="K502" s="692" t="n"/>
      <c r="L502" s="692" t="n"/>
    </row>
    <row r="503">
      <c r="A503" s="545" t="n"/>
      <c r="B503" s="545" t="n"/>
      <c r="C503" s="546" t="n"/>
      <c r="D503" s="58" t="n"/>
      <c r="E503" s="65" t="n"/>
      <c r="F503" s="65" t="n"/>
      <c r="K503" s="692" t="n"/>
      <c r="L503" s="692" t="n"/>
    </row>
    <row r="504">
      <c r="A504" s="545" t="n"/>
      <c r="B504" s="545" t="n"/>
      <c r="C504" s="546" t="n"/>
      <c r="D504" s="58" t="n"/>
      <c r="E504" s="65" t="n"/>
      <c r="F504" s="65" t="n"/>
      <c r="K504" s="692" t="n"/>
      <c r="L504" s="692" t="n"/>
    </row>
    <row r="505">
      <c r="A505" s="545" t="n"/>
      <c r="B505" s="545" t="n"/>
      <c r="C505" s="546" t="n"/>
      <c r="D505" s="58" t="n"/>
      <c r="E505" s="65" t="n"/>
      <c r="F505" s="65" t="n"/>
      <c r="K505" s="692" t="n"/>
      <c r="L505" s="692" t="n"/>
    </row>
    <row r="506">
      <c r="A506" s="545" t="n"/>
      <c r="B506" s="545" t="n"/>
      <c r="C506" s="546" t="n"/>
      <c r="D506" s="58" t="n"/>
      <c r="E506" s="65" t="n"/>
      <c r="F506" s="65" t="n"/>
      <c r="K506" s="692" t="n"/>
      <c r="L506" s="692" t="n"/>
    </row>
    <row r="507">
      <c r="A507" s="545" t="n"/>
      <c r="B507" s="545" t="n"/>
      <c r="C507" s="546" t="n"/>
      <c r="D507" s="58" t="n"/>
      <c r="E507" s="65" t="n"/>
      <c r="F507" s="65" t="n"/>
      <c r="K507" s="692" t="n"/>
      <c r="L507" s="692" t="n"/>
    </row>
    <row r="508">
      <c r="A508" s="545" t="n"/>
      <c r="B508" s="545" t="n"/>
      <c r="C508" s="546" t="n"/>
      <c r="D508" s="58" t="n"/>
      <c r="E508" s="65" t="n"/>
      <c r="F508" s="65" t="n"/>
      <c r="K508" s="692" t="n"/>
      <c r="L508" s="692" t="n"/>
    </row>
    <row r="509">
      <c r="A509" s="545" t="n"/>
      <c r="B509" s="545" t="n"/>
      <c r="C509" s="546" t="n"/>
      <c r="D509" s="58" t="n"/>
      <c r="E509" s="65" t="n"/>
      <c r="F509" s="65" t="n"/>
      <c r="K509" s="692" t="n"/>
      <c r="L509" s="692" t="n"/>
    </row>
    <row r="510">
      <c r="A510" s="545" t="n"/>
      <c r="B510" s="545" t="n"/>
      <c r="C510" s="546" t="n"/>
      <c r="D510" s="58" t="n"/>
      <c r="E510" s="65" t="n"/>
      <c r="F510" s="65" t="n"/>
      <c r="K510" s="692" t="n"/>
      <c r="L510" s="692" t="n"/>
    </row>
    <row r="511">
      <c r="A511" s="545" t="n"/>
      <c r="B511" s="545" t="n"/>
      <c r="C511" s="546" t="n"/>
      <c r="D511" s="58" t="n"/>
      <c r="E511" s="65" t="n"/>
      <c r="F511" s="65" t="n"/>
      <c r="K511" s="692" t="n"/>
      <c r="L511" s="692" t="n"/>
    </row>
    <row r="512">
      <c r="A512" s="545" t="n"/>
      <c r="B512" s="545" t="n"/>
      <c r="C512" s="546" t="n"/>
      <c r="D512" s="58" t="n"/>
      <c r="E512" s="65" t="n"/>
      <c r="F512" s="65" t="n"/>
      <c r="K512" s="692" t="n"/>
      <c r="L512" s="692" t="n"/>
    </row>
    <row r="513">
      <c r="A513" s="545" t="n"/>
      <c r="B513" s="545" t="n"/>
      <c r="C513" s="546" t="n"/>
      <c r="D513" s="58" t="n"/>
      <c r="E513" s="65" t="n"/>
      <c r="F513" s="65" t="n"/>
      <c r="K513" s="692" t="n"/>
      <c r="L513" s="692" t="n"/>
    </row>
    <row r="514">
      <c r="A514" s="545" t="n"/>
      <c r="B514" s="545" t="n"/>
      <c r="C514" s="546" t="n"/>
      <c r="D514" s="58" t="n"/>
      <c r="E514" s="65" t="n"/>
      <c r="F514" s="65" t="n"/>
      <c r="K514" s="692" t="n"/>
      <c r="L514" s="692" t="n"/>
    </row>
    <row r="515">
      <c r="A515" s="545" t="n"/>
      <c r="B515" s="545" t="n"/>
      <c r="C515" s="546" t="n"/>
      <c r="D515" s="58" t="n"/>
      <c r="E515" s="65" t="n"/>
      <c r="F515" s="65" t="n"/>
      <c r="K515" s="692" t="n"/>
      <c r="L515" s="692" t="n"/>
    </row>
    <row r="516">
      <c r="A516" s="545" t="n"/>
      <c r="B516" s="545" t="n"/>
      <c r="C516" s="546" t="n"/>
      <c r="D516" s="58" t="n"/>
      <c r="E516" s="65" t="n"/>
      <c r="F516" s="65" t="n"/>
      <c r="K516" s="692" t="n"/>
      <c r="L516" s="692" t="n"/>
    </row>
    <row r="517">
      <c r="A517" s="545" t="n"/>
      <c r="B517" s="545" t="n"/>
      <c r="C517" s="546" t="n"/>
      <c r="D517" s="58" t="n"/>
      <c r="E517" s="65" t="n"/>
      <c r="F517" s="65" t="n"/>
      <c r="K517" s="692" t="n"/>
      <c r="L517" s="692" t="n"/>
    </row>
    <row r="518">
      <c r="A518" s="545" t="n"/>
      <c r="B518" s="545" t="n"/>
      <c r="C518" s="546" t="n"/>
      <c r="D518" s="58" t="n"/>
      <c r="E518" s="65" t="n"/>
      <c r="F518" s="65" t="n"/>
      <c r="K518" s="692" t="n"/>
      <c r="L518" s="692" t="n"/>
    </row>
    <row r="519">
      <c r="A519" s="545" t="n"/>
      <c r="B519" s="545" t="n"/>
      <c r="C519" s="546" t="n"/>
      <c r="D519" s="58" t="n"/>
      <c r="E519" s="65" t="n"/>
      <c r="F519" s="65" t="n"/>
      <c r="K519" s="692" t="n"/>
      <c r="L519" s="692" t="n"/>
    </row>
    <row r="520">
      <c r="A520" s="545" t="n"/>
      <c r="B520" s="545" t="n"/>
      <c r="C520" s="546" t="n"/>
      <c r="D520" s="58" t="n"/>
      <c r="E520" s="65" t="n"/>
      <c r="F520" s="65" t="n"/>
      <c r="K520" s="692" t="n"/>
      <c r="L520" s="692" t="n"/>
    </row>
    <row r="521">
      <c r="A521" s="545" t="n"/>
      <c r="B521" s="545" t="n"/>
      <c r="C521" s="546" t="n"/>
      <c r="D521" s="58" t="n"/>
      <c r="E521" s="65" t="n"/>
      <c r="F521" s="65" t="n"/>
      <c r="K521" s="692" t="n"/>
      <c r="L521" s="692" t="n"/>
    </row>
    <row r="522">
      <c r="A522" s="545" t="n"/>
      <c r="B522" s="545" t="n"/>
      <c r="C522" s="546" t="n"/>
      <c r="D522" s="58" t="n"/>
      <c r="E522" s="65" t="n"/>
      <c r="F522" s="65" t="n"/>
      <c r="K522" s="692" t="n"/>
      <c r="L522" s="692" t="n"/>
    </row>
    <row r="523">
      <c r="A523" s="545" t="n"/>
      <c r="B523" s="545" t="n"/>
      <c r="C523" s="546" t="n"/>
      <c r="D523" s="58" t="n"/>
      <c r="E523" s="65" t="n"/>
      <c r="F523" s="65" t="n"/>
      <c r="K523" s="692" t="n"/>
      <c r="L523" s="692" t="n"/>
    </row>
    <row r="524">
      <c r="A524" s="545" t="n"/>
      <c r="B524" s="545" t="n"/>
      <c r="C524" s="546" t="n"/>
      <c r="D524" s="58" t="n"/>
      <c r="E524" s="65" t="n"/>
      <c r="F524" s="65" t="n"/>
      <c r="K524" s="692" t="n"/>
      <c r="L524" s="692" t="n"/>
    </row>
    <row r="525">
      <c r="A525" s="545" t="n"/>
      <c r="B525" s="545" t="n"/>
      <c r="C525" s="546" t="n"/>
      <c r="D525" s="58" t="n"/>
      <c r="E525" s="65" t="n"/>
      <c r="F525" s="65" t="n"/>
      <c r="K525" s="692" t="n"/>
      <c r="L525" s="692" t="n"/>
    </row>
    <row r="526">
      <c r="A526" s="545" t="n"/>
      <c r="B526" s="545" t="n"/>
      <c r="C526" s="546" t="n"/>
      <c r="D526" s="58" t="n"/>
      <c r="E526" s="65" t="n"/>
      <c r="F526" s="65" t="n"/>
      <c r="K526" s="692" t="n"/>
      <c r="L526" s="692" t="n"/>
    </row>
    <row r="527">
      <c r="A527" s="545" t="n"/>
      <c r="B527" s="545" t="n"/>
      <c r="C527" s="546" t="n"/>
      <c r="D527" s="58" t="n"/>
      <c r="E527" s="65" t="n"/>
      <c r="F527" s="65" t="n"/>
      <c r="K527" s="692" t="n"/>
      <c r="L527" s="692" t="n"/>
    </row>
    <row r="528">
      <c r="A528" s="545" t="n"/>
      <c r="B528" s="545" t="n"/>
      <c r="C528" s="546" t="n"/>
      <c r="D528" s="58" t="n"/>
      <c r="E528" s="65" t="n"/>
      <c r="F528" s="65" t="n"/>
      <c r="K528" s="692" t="n"/>
      <c r="L528" s="692" t="n"/>
    </row>
    <row r="529">
      <c r="A529" s="545" t="n"/>
      <c r="B529" s="545" t="n"/>
      <c r="C529" s="546" t="n"/>
      <c r="D529" s="58" t="n"/>
      <c r="E529" s="65" t="n"/>
      <c r="F529" s="65" t="n"/>
      <c r="K529" s="692" t="n"/>
      <c r="L529" s="692" t="n"/>
    </row>
    <row r="530">
      <c r="A530" s="545" t="n"/>
      <c r="B530" s="545" t="n"/>
      <c r="C530" s="546" t="n"/>
      <c r="D530" s="58" t="n"/>
      <c r="E530" s="65" t="n"/>
      <c r="F530" s="65" t="n"/>
      <c r="K530" s="692" t="n"/>
      <c r="L530" s="692" t="n"/>
    </row>
    <row r="531">
      <c r="A531" s="545" t="n"/>
      <c r="B531" s="545" t="n"/>
      <c r="C531" s="546" t="n"/>
      <c r="D531" s="58" t="n"/>
      <c r="E531" s="65" t="n"/>
      <c r="F531" s="65" t="n"/>
      <c r="K531" s="692" t="n"/>
      <c r="L531" s="692" t="n"/>
    </row>
    <row r="532">
      <c r="A532" s="545" t="n"/>
      <c r="B532" s="545" t="n"/>
      <c r="C532" s="546" t="n"/>
      <c r="D532" s="58" t="n"/>
      <c r="E532" s="65" t="n"/>
      <c r="F532" s="65" t="n"/>
      <c r="K532" s="692" t="n"/>
      <c r="L532" s="692" t="n"/>
    </row>
    <row r="533">
      <c r="A533" s="545" t="n"/>
      <c r="B533" s="545" t="n"/>
      <c r="C533" s="546" t="n"/>
      <c r="D533" s="58" t="n"/>
      <c r="E533" s="65" t="n"/>
      <c r="F533" s="65" t="n"/>
      <c r="K533" s="692" t="n"/>
      <c r="L533" s="692" t="n"/>
    </row>
    <row r="534">
      <c r="A534" s="545" t="n"/>
      <c r="B534" s="545" t="n"/>
      <c r="C534" s="546" t="n"/>
      <c r="D534" s="58" t="n"/>
      <c r="E534" s="65" t="n"/>
      <c r="F534" s="65" t="n"/>
      <c r="K534" s="692" t="n"/>
      <c r="L534" s="692" t="n"/>
    </row>
    <row r="535">
      <c r="A535" s="545" t="n"/>
      <c r="B535" s="545" t="n"/>
      <c r="C535" s="546" t="n"/>
      <c r="D535" s="58" t="n"/>
      <c r="E535" s="65" t="n"/>
      <c r="F535" s="65" t="n"/>
      <c r="K535" s="692" t="n"/>
      <c r="L535" s="692" t="n"/>
    </row>
    <row r="536">
      <c r="A536" s="545" t="n"/>
      <c r="B536" s="545" t="n"/>
      <c r="C536" s="546" t="n"/>
      <c r="D536" s="58" t="n"/>
      <c r="E536" s="65" t="n"/>
      <c r="F536" s="65" t="n"/>
      <c r="K536" s="692" t="n"/>
      <c r="L536" s="692" t="n"/>
    </row>
    <row r="537">
      <c r="A537" s="545" t="n"/>
      <c r="B537" s="545" t="n"/>
      <c r="C537" s="546" t="n"/>
      <c r="D537" s="58" t="n"/>
      <c r="E537" s="65" t="n"/>
      <c r="F537" s="65" t="n"/>
      <c r="K537" s="692" t="n"/>
      <c r="L537" s="692" t="n"/>
    </row>
    <row r="538">
      <c r="A538" s="545" t="n"/>
      <c r="B538" s="545" t="n"/>
      <c r="C538" s="546" t="n"/>
      <c r="D538" s="58" t="n"/>
      <c r="E538" s="65" t="n"/>
      <c r="F538" s="65" t="n"/>
      <c r="K538" s="692" t="n"/>
      <c r="L538" s="692" t="n"/>
    </row>
    <row r="539">
      <c r="A539" s="545" t="n"/>
      <c r="B539" s="545" t="n"/>
      <c r="C539" s="546" t="n"/>
      <c r="D539" s="58" t="n"/>
      <c r="E539" s="65" t="n"/>
      <c r="F539" s="65" t="n"/>
      <c r="K539" s="692" t="n"/>
      <c r="L539" s="692" t="n"/>
    </row>
    <row r="540">
      <c r="A540" s="545" t="n"/>
      <c r="B540" s="545" t="n"/>
      <c r="C540" s="546" t="n"/>
      <c r="D540" s="58" t="n"/>
      <c r="E540" s="65" t="n"/>
      <c r="F540" s="65" t="n"/>
      <c r="K540" s="692" t="n"/>
      <c r="L540" s="692" t="n"/>
    </row>
    <row r="541">
      <c r="A541" s="545" t="n"/>
      <c r="B541" s="545" t="n"/>
      <c r="C541" s="546" t="n"/>
      <c r="D541" s="58" t="n"/>
      <c r="E541" s="65" t="n"/>
      <c r="F541" s="65" t="n"/>
      <c r="K541" s="692" t="n"/>
      <c r="L541" s="692" t="n"/>
    </row>
    <row r="542">
      <c r="A542" s="545" t="n"/>
      <c r="B542" s="545" t="n"/>
      <c r="C542" s="546" t="n"/>
      <c r="D542" s="58" t="n"/>
      <c r="E542" s="65" t="n"/>
      <c r="F542" s="65" t="n"/>
      <c r="K542" s="692" t="n"/>
      <c r="L542" s="692" t="n"/>
    </row>
    <row r="543">
      <c r="A543" s="545" t="n"/>
      <c r="B543" s="545" t="n"/>
      <c r="C543" s="546" t="n"/>
      <c r="D543" s="58" t="n"/>
      <c r="E543" s="65" t="n"/>
      <c r="F543" s="65" t="n"/>
      <c r="K543" s="692" t="n"/>
      <c r="L543" s="692" t="n"/>
    </row>
    <row r="544">
      <c r="A544" s="545" t="n"/>
      <c r="B544" s="545" t="n"/>
      <c r="C544" s="546" t="n"/>
      <c r="D544" s="58" t="n"/>
      <c r="E544" s="65" t="n"/>
      <c r="F544" s="65" t="n"/>
      <c r="K544" s="692" t="n"/>
      <c r="L544" s="692" t="n"/>
    </row>
    <row r="545">
      <c r="A545" s="545" t="n"/>
      <c r="B545" s="545" t="n"/>
      <c r="C545" s="546" t="n"/>
      <c r="D545" s="58" t="n"/>
      <c r="E545" s="65" t="n"/>
      <c r="F545" s="65" t="n"/>
      <c r="K545" s="692" t="n"/>
      <c r="L545" s="692" t="n"/>
    </row>
    <row r="546">
      <c r="A546" s="545" t="n"/>
      <c r="B546" s="545" t="n"/>
      <c r="C546" s="546" t="n"/>
      <c r="D546" s="58" t="n"/>
      <c r="E546" s="65" t="n"/>
      <c r="F546" s="65" t="n"/>
      <c r="K546" s="692" t="n"/>
      <c r="L546" s="692" t="n"/>
    </row>
    <row r="547">
      <c r="A547" s="545" t="n"/>
      <c r="B547" s="545" t="n"/>
      <c r="C547" s="546" t="n"/>
      <c r="D547" s="58" t="n"/>
      <c r="E547" s="65" t="n"/>
      <c r="F547" s="65" t="n"/>
      <c r="K547" s="692" t="n"/>
      <c r="L547" s="692" t="n"/>
    </row>
    <row r="548">
      <c r="A548" s="545" t="n"/>
      <c r="B548" s="545" t="n"/>
      <c r="C548" s="546" t="n"/>
      <c r="D548" s="58" t="n"/>
      <c r="E548" s="65" t="n"/>
      <c r="F548" s="65" t="n"/>
      <c r="K548" s="692" t="n"/>
      <c r="L548" s="692" t="n"/>
    </row>
    <row r="549">
      <c r="A549" s="545" t="n"/>
      <c r="B549" s="545" t="n"/>
      <c r="C549" s="546" t="n"/>
      <c r="D549" s="58" t="n"/>
      <c r="E549" s="65" t="n"/>
      <c r="F549" s="65" t="n"/>
      <c r="K549" s="692" t="n"/>
      <c r="L549" s="692" t="n"/>
    </row>
    <row r="550">
      <c r="A550" s="545" t="n"/>
      <c r="B550" s="545" t="n"/>
      <c r="C550" s="546" t="n"/>
      <c r="D550" s="58" t="n"/>
      <c r="E550" s="65" t="n"/>
      <c r="F550" s="65" t="n"/>
      <c r="K550" s="692" t="n"/>
      <c r="L550" s="692" t="n"/>
    </row>
    <row r="551">
      <c r="A551" s="545" t="n"/>
      <c r="B551" s="545" t="n"/>
      <c r="C551" s="546" t="n"/>
      <c r="D551" s="58" t="n"/>
      <c r="E551" s="65" t="n"/>
      <c r="F551" s="65" t="n"/>
      <c r="K551" s="692" t="n"/>
      <c r="L551" s="692" t="n"/>
    </row>
    <row r="552">
      <c r="A552" s="545" t="n"/>
      <c r="B552" s="545" t="n"/>
      <c r="C552" s="546" t="n"/>
      <c r="D552" s="58" t="n"/>
      <c r="E552" s="65" t="n"/>
      <c r="F552" s="65" t="n"/>
      <c r="K552" s="692" t="n"/>
      <c r="L552" s="692" t="n"/>
    </row>
    <row r="553">
      <c r="A553" s="545" t="n"/>
      <c r="B553" s="545" t="n"/>
      <c r="C553" s="546" t="n"/>
      <c r="D553" s="58" t="n"/>
      <c r="E553" s="65" t="n"/>
      <c r="F553" s="65" t="n"/>
      <c r="K553" s="692" t="n"/>
      <c r="L553" s="692" t="n"/>
    </row>
    <row r="554">
      <c r="A554" s="545" t="n"/>
      <c r="B554" s="545" t="n"/>
      <c r="C554" s="546" t="n"/>
      <c r="D554" s="58" t="n"/>
      <c r="E554" s="65" t="n"/>
      <c r="F554" s="65" t="n"/>
      <c r="K554" s="692" t="n"/>
      <c r="L554" s="692" t="n"/>
    </row>
    <row r="555">
      <c r="A555" s="545" t="n"/>
      <c r="B555" s="545" t="n"/>
      <c r="C555" s="546" t="n"/>
      <c r="D555" s="58" t="n"/>
      <c r="E555" s="65" t="n"/>
      <c r="F555" s="65" t="n"/>
      <c r="K555" s="692" t="n"/>
      <c r="L555" s="692" t="n"/>
    </row>
    <row r="556">
      <c r="A556" s="545" t="n"/>
      <c r="B556" s="545" t="n"/>
      <c r="C556" s="546" t="n"/>
      <c r="D556" s="58" t="n"/>
      <c r="E556" s="65" t="n"/>
      <c r="F556" s="65" t="n"/>
      <c r="K556" s="692" t="n"/>
      <c r="L556" s="692" t="n"/>
    </row>
    <row r="557">
      <c r="A557" s="545" t="n"/>
      <c r="B557" s="545" t="n"/>
      <c r="C557" s="546" t="n"/>
      <c r="D557" s="58" t="n"/>
      <c r="E557" s="65" t="n"/>
      <c r="F557" s="65" t="n"/>
      <c r="K557" s="692" t="n"/>
      <c r="L557" s="692" t="n"/>
    </row>
    <row r="558">
      <c r="A558" s="545" t="n"/>
      <c r="B558" s="545" t="n"/>
      <c r="C558" s="546" t="n"/>
      <c r="D558" s="58" t="n"/>
      <c r="E558" s="65" t="n"/>
      <c r="F558" s="65" t="n"/>
      <c r="K558" s="692" t="n"/>
      <c r="L558" s="692" t="n"/>
    </row>
    <row r="559">
      <c r="A559" s="545" t="n"/>
      <c r="B559" s="545" t="n"/>
      <c r="C559" s="546" t="n"/>
      <c r="D559" s="58" t="n"/>
      <c r="E559" s="65" t="n"/>
      <c r="F559" s="65" t="n"/>
      <c r="K559" s="692" t="n"/>
      <c r="L559" s="692" t="n"/>
    </row>
    <row r="560">
      <c r="A560" s="545" t="n"/>
      <c r="B560" s="545" t="n"/>
      <c r="C560" s="546" t="n"/>
      <c r="D560" s="58" t="n"/>
      <c r="E560" s="65" t="n"/>
      <c r="F560" s="65" t="n"/>
      <c r="K560" s="692" t="n"/>
      <c r="L560" s="692" t="n"/>
    </row>
    <row r="561">
      <c r="A561" s="545" t="n"/>
      <c r="B561" s="545" t="n"/>
      <c r="C561" s="546" t="n"/>
      <c r="D561" s="58" t="n"/>
      <c r="E561" s="65" t="n"/>
      <c r="F561" s="65" t="n"/>
      <c r="K561" s="692" t="n"/>
      <c r="L561" s="692" t="n"/>
    </row>
    <row r="562">
      <c r="A562" s="545" t="n"/>
      <c r="B562" s="545" t="n"/>
      <c r="C562" s="546" t="n"/>
      <c r="D562" s="58" t="n"/>
      <c r="E562" s="65" t="n"/>
      <c r="F562" s="65" t="n"/>
      <c r="K562" s="692" t="n"/>
      <c r="L562" s="692" t="n"/>
    </row>
    <row r="563">
      <c r="A563" s="545" t="n"/>
      <c r="B563" s="545" t="n"/>
      <c r="C563" s="546" t="n"/>
      <c r="D563" s="58" t="n"/>
      <c r="E563" s="65" t="n"/>
      <c r="F563" s="65" t="n"/>
      <c r="K563" s="692" t="n"/>
      <c r="L563" s="692" t="n"/>
    </row>
    <row r="564">
      <c r="A564" s="545" t="n"/>
      <c r="B564" s="545" t="n"/>
      <c r="C564" s="546" t="n"/>
      <c r="D564" s="58" t="n"/>
      <c r="E564" s="65" t="n"/>
      <c r="F564" s="65" t="n"/>
      <c r="K564" s="692" t="n"/>
      <c r="L564" s="692" t="n"/>
    </row>
    <row r="565">
      <c r="A565" s="545" t="n"/>
      <c r="B565" s="545" t="n"/>
      <c r="C565" s="546" t="n"/>
      <c r="D565" s="58" t="n"/>
      <c r="E565" s="65" t="n"/>
      <c r="F565" s="65" t="n"/>
      <c r="K565" s="692" t="n"/>
      <c r="L565" s="692" t="n"/>
    </row>
    <row r="566">
      <c r="A566" s="545" t="n"/>
      <c r="B566" s="545" t="n"/>
      <c r="C566" s="546" t="n"/>
      <c r="D566" s="58" t="n"/>
      <c r="E566" s="65" t="n"/>
      <c r="F566" s="65" t="n"/>
      <c r="K566" s="692" t="n"/>
      <c r="L566" s="692" t="n"/>
    </row>
    <row r="567">
      <c r="A567" s="545" t="n"/>
      <c r="B567" s="545" t="n"/>
      <c r="C567" s="546" t="n"/>
      <c r="D567" s="58" t="n"/>
      <c r="E567" s="65" t="n"/>
      <c r="F567" s="65" t="n"/>
      <c r="K567" s="692" t="n"/>
      <c r="L567" s="692" t="n"/>
    </row>
    <row r="568">
      <c r="A568" s="545" t="n"/>
      <c r="B568" s="545" t="n"/>
      <c r="C568" s="546" t="n"/>
      <c r="D568" s="58" t="n"/>
      <c r="E568" s="65" t="n"/>
      <c r="F568" s="65" t="n"/>
      <c r="K568" s="692" t="n"/>
      <c r="L568" s="692" t="n"/>
    </row>
    <row r="569">
      <c r="A569" s="545" t="n"/>
      <c r="B569" s="545" t="n"/>
      <c r="C569" s="546" t="n"/>
      <c r="D569" s="58" t="n"/>
      <c r="E569" s="65" t="n"/>
      <c r="F569" s="65" t="n"/>
      <c r="K569" s="692" t="n"/>
      <c r="L569" s="692" t="n"/>
    </row>
    <row r="570">
      <c r="A570" s="545" t="n"/>
      <c r="B570" s="545" t="n"/>
      <c r="C570" s="546" t="n"/>
      <c r="D570" s="58" t="n"/>
      <c r="E570" s="65" t="n"/>
      <c r="F570" s="65" t="n"/>
      <c r="K570" s="692" t="n"/>
      <c r="L570" s="692" t="n"/>
    </row>
    <row r="571">
      <c r="A571" s="545" t="n"/>
      <c r="B571" s="545" t="n"/>
      <c r="C571" s="546" t="n"/>
      <c r="D571" s="58" t="n"/>
      <c r="E571" s="65" t="n"/>
      <c r="F571" s="65" t="n"/>
      <c r="K571" s="692" t="n"/>
      <c r="L571" s="692" t="n"/>
    </row>
    <row r="572">
      <c r="A572" s="545" t="n"/>
      <c r="B572" s="545" t="n"/>
      <c r="C572" s="546" t="n"/>
      <c r="D572" s="58" t="n"/>
      <c r="E572" s="65" t="n"/>
      <c r="F572" s="65" t="n"/>
      <c r="K572" s="692" t="n"/>
      <c r="L572" s="692" t="n"/>
    </row>
    <row r="573">
      <c r="A573" s="545" t="n"/>
      <c r="B573" s="545" t="n"/>
      <c r="C573" s="546" t="n"/>
      <c r="D573" s="58" t="n"/>
      <c r="E573" s="65" t="n"/>
      <c r="F573" s="65" t="n"/>
      <c r="K573" s="692" t="n"/>
      <c r="L573" s="692" t="n"/>
    </row>
    <row r="574">
      <c r="A574" s="545" t="n"/>
      <c r="B574" s="545" t="n"/>
      <c r="C574" s="546" t="n"/>
      <c r="D574" s="58" t="n"/>
      <c r="E574" s="65" t="n"/>
      <c r="F574" s="65" t="n"/>
      <c r="K574" s="692" t="n"/>
      <c r="L574" s="692" t="n"/>
    </row>
    <row r="575">
      <c r="A575" s="545" t="n"/>
      <c r="B575" s="545" t="n"/>
      <c r="C575" s="546" t="n"/>
      <c r="D575" s="58" t="n"/>
      <c r="E575" s="65" t="n"/>
      <c r="F575" s="65" t="n"/>
      <c r="K575" s="692" t="n"/>
      <c r="L575" s="692" t="n"/>
    </row>
    <row r="576">
      <c r="A576" s="545" t="n"/>
      <c r="B576" s="545" t="n"/>
      <c r="C576" s="546" t="n"/>
      <c r="D576" s="58" t="n"/>
      <c r="E576" s="65" t="n"/>
      <c r="F576" s="65" t="n"/>
      <c r="K576" s="692" t="n"/>
      <c r="L576" s="692" t="n"/>
    </row>
    <row r="577">
      <c r="A577" s="545" t="n"/>
      <c r="B577" s="545" t="n"/>
      <c r="C577" s="546" t="n"/>
      <c r="D577" s="58" t="n"/>
      <c r="E577" s="65" t="n"/>
      <c r="F577" s="65" t="n"/>
      <c r="K577" s="692" t="n"/>
      <c r="L577" s="692" t="n"/>
    </row>
    <row r="578">
      <c r="A578" s="545" t="n"/>
      <c r="B578" s="545" t="n"/>
      <c r="C578" s="546" t="n"/>
      <c r="D578" s="58" t="n"/>
      <c r="E578" s="65" t="n"/>
      <c r="F578" s="65" t="n"/>
      <c r="K578" s="692" t="n"/>
      <c r="L578" s="692" t="n"/>
    </row>
    <row r="579">
      <c r="A579" s="545" t="n"/>
      <c r="B579" s="545" t="n"/>
      <c r="C579" s="546" t="n"/>
      <c r="D579" s="58" t="n"/>
      <c r="E579" s="65" t="n"/>
      <c r="F579" s="65" t="n"/>
      <c r="K579" s="692" t="n"/>
      <c r="L579" s="692" t="n"/>
    </row>
    <row r="580">
      <c r="A580" s="545" t="n"/>
      <c r="B580" s="545" t="n"/>
      <c r="C580" s="546" t="n"/>
      <c r="D580" s="58" t="n"/>
      <c r="E580" s="65" t="n"/>
      <c r="F580" s="65" t="n"/>
      <c r="K580" s="692" t="n"/>
      <c r="L580" s="692" t="n"/>
    </row>
    <row r="581">
      <c r="A581" s="545" t="n"/>
      <c r="B581" s="545" t="n"/>
      <c r="C581" s="546" t="n"/>
      <c r="D581" s="58" t="n"/>
      <c r="E581" s="65" t="n"/>
      <c r="F581" s="65" t="n"/>
      <c r="K581" s="692" t="n"/>
      <c r="L581" s="692" t="n"/>
    </row>
    <row r="582">
      <c r="A582" s="545" t="n"/>
      <c r="B582" s="545" t="n"/>
      <c r="C582" s="546" t="n"/>
      <c r="D582" s="58" t="n"/>
      <c r="E582" s="65" t="n"/>
      <c r="F582" s="65" t="n"/>
      <c r="K582" s="692" t="n"/>
      <c r="L582" s="692" t="n"/>
    </row>
    <row r="583">
      <c r="A583" s="545" t="n"/>
      <c r="B583" s="545" t="n"/>
      <c r="C583" s="546" t="n"/>
      <c r="D583" s="58" t="n"/>
      <c r="E583" s="65" t="n"/>
      <c r="F583" s="65" t="n"/>
      <c r="K583" s="692" t="n"/>
      <c r="L583" s="692" t="n"/>
    </row>
    <row r="584">
      <c r="A584" s="545" t="n"/>
      <c r="B584" s="545" t="n"/>
      <c r="C584" s="546" t="n"/>
      <c r="D584" s="58" t="n"/>
      <c r="E584" s="65" t="n"/>
      <c r="F584" s="65" t="n"/>
      <c r="K584" s="692" t="n"/>
      <c r="L584" s="692" t="n"/>
    </row>
    <row r="585">
      <c r="A585" s="545" t="n"/>
      <c r="B585" s="545" t="n"/>
      <c r="C585" s="546" t="n"/>
      <c r="D585" s="58" t="n"/>
      <c r="E585" s="65" t="n"/>
      <c r="F585" s="65" t="n"/>
      <c r="K585" s="692" t="n"/>
      <c r="L585" s="692" t="n"/>
    </row>
    <row r="586">
      <c r="A586" s="545" t="n"/>
      <c r="B586" s="545" t="n"/>
      <c r="C586" s="546" t="n"/>
      <c r="D586" s="58" t="n"/>
      <c r="E586" s="65" t="n"/>
      <c r="F586" s="65" t="n"/>
      <c r="K586" s="692" t="n"/>
      <c r="L586" s="692" t="n"/>
    </row>
    <row r="587">
      <c r="A587" s="545" t="n"/>
      <c r="B587" s="545" t="n"/>
      <c r="C587" s="546" t="n"/>
      <c r="D587" s="58" t="n"/>
      <c r="E587" s="65" t="n"/>
      <c r="F587" s="65" t="n"/>
      <c r="K587" s="692" t="n"/>
      <c r="L587" s="692" t="n"/>
    </row>
    <row r="588">
      <c r="A588" s="545" t="n"/>
      <c r="B588" s="545" t="n"/>
      <c r="C588" s="546" t="n"/>
      <c r="D588" s="58" t="n"/>
      <c r="E588" s="65" t="n"/>
      <c r="F588" s="65" t="n"/>
      <c r="K588" s="692" t="n"/>
      <c r="L588" s="692" t="n"/>
    </row>
    <row r="589">
      <c r="A589" s="545" t="n"/>
      <c r="B589" s="545" t="n"/>
      <c r="C589" s="546" t="n"/>
      <c r="D589" s="58" t="n"/>
      <c r="E589" s="65" t="n"/>
      <c r="F589" s="65" t="n"/>
      <c r="K589" s="692" t="n"/>
      <c r="L589" s="692" t="n"/>
    </row>
    <row r="590">
      <c r="A590" s="545" t="n"/>
      <c r="B590" s="545" t="n"/>
      <c r="C590" s="546" t="n"/>
      <c r="D590" s="58" t="n"/>
      <c r="E590" s="65" t="n"/>
      <c r="F590" s="65" t="n"/>
      <c r="K590" s="692" t="n"/>
      <c r="L590" s="692" t="n"/>
    </row>
    <row r="591">
      <c r="A591" s="545" t="n"/>
      <c r="B591" s="545" t="n"/>
      <c r="C591" s="546" t="n"/>
      <c r="D591" s="58" t="n"/>
      <c r="E591" s="65" t="n"/>
      <c r="F591" s="65" t="n"/>
      <c r="K591" s="692" t="n"/>
      <c r="L591" s="692" t="n"/>
    </row>
    <row r="592">
      <c r="A592" s="545" t="n"/>
      <c r="B592" s="545" t="n"/>
      <c r="C592" s="546" t="n"/>
      <c r="D592" s="58" t="n"/>
      <c r="E592" s="65" t="n"/>
      <c r="F592" s="65" t="n"/>
      <c r="K592" s="692" t="n"/>
      <c r="L592" s="692" t="n"/>
    </row>
    <row r="593">
      <c r="A593" s="545" t="n"/>
      <c r="B593" s="545" t="n"/>
      <c r="C593" s="546" t="n"/>
      <c r="D593" s="58" t="n"/>
      <c r="E593" s="65" t="n"/>
      <c r="F593" s="65" t="n"/>
      <c r="K593" s="692" t="n"/>
      <c r="L593" s="692" t="n"/>
    </row>
    <row r="594">
      <c r="A594" s="545" t="n"/>
      <c r="B594" s="545" t="n"/>
      <c r="C594" s="546" t="n"/>
      <c r="D594" s="58" t="n"/>
      <c r="E594" s="65" t="n"/>
      <c r="F594" s="65" t="n"/>
      <c r="K594" s="692" t="n"/>
      <c r="L594" s="692" t="n"/>
    </row>
    <row r="595">
      <c r="A595" s="545" t="n"/>
      <c r="B595" s="545" t="n"/>
      <c r="C595" s="546" t="n"/>
      <c r="D595" s="58" t="n"/>
      <c r="E595" s="65" t="n"/>
      <c r="F595" s="65" t="n"/>
      <c r="K595" s="692" t="n"/>
      <c r="L595" s="692" t="n"/>
    </row>
    <row r="596">
      <c r="A596" s="545" t="n"/>
      <c r="B596" s="545" t="n"/>
      <c r="C596" s="546" t="n"/>
      <c r="D596" s="58" t="n"/>
      <c r="E596" s="65" t="n"/>
      <c r="F596" s="65" t="n"/>
      <c r="K596" s="692" t="n"/>
      <c r="L596" s="692" t="n"/>
    </row>
    <row r="597">
      <c r="A597" s="545" t="n"/>
      <c r="B597" s="545" t="n"/>
      <c r="C597" s="546" t="n"/>
      <c r="D597" s="58" t="n"/>
      <c r="E597" s="65" t="n"/>
      <c r="F597" s="65" t="n"/>
      <c r="K597" s="692" t="n"/>
      <c r="L597" s="692" t="n"/>
    </row>
    <row r="598">
      <c r="A598" s="545" t="n"/>
      <c r="B598" s="545" t="n"/>
      <c r="C598" s="546" t="n"/>
      <c r="D598" s="58" t="n"/>
      <c r="E598" s="65" t="n"/>
      <c r="F598" s="65" t="n"/>
      <c r="K598" s="692" t="n"/>
      <c r="L598" s="692" t="n"/>
    </row>
    <row r="599">
      <c r="A599" s="545" t="n"/>
      <c r="B599" s="545" t="n"/>
      <c r="C599" s="546" t="n"/>
      <c r="D599" s="58" t="n"/>
      <c r="E599" s="65" t="n"/>
      <c r="F599" s="65" t="n"/>
      <c r="K599" s="692" t="n"/>
      <c r="L599" s="692" t="n"/>
    </row>
    <row r="600">
      <c r="A600" s="545" t="n"/>
      <c r="B600" s="545" t="n"/>
      <c r="C600" s="546" t="n"/>
      <c r="D600" s="58" t="n"/>
      <c r="E600" s="65" t="n"/>
      <c r="F600" s="65" t="n"/>
      <c r="K600" s="692" t="n"/>
      <c r="L600" s="692" t="n"/>
    </row>
    <row r="601">
      <c r="A601" s="545" t="n"/>
      <c r="B601" s="545" t="n"/>
      <c r="C601" s="546" t="n"/>
      <c r="D601" s="58" t="n"/>
      <c r="E601" s="65" t="n"/>
      <c r="F601" s="65" t="n"/>
      <c r="K601" s="692" t="n"/>
      <c r="L601" s="692" t="n"/>
    </row>
    <row r="602">
      <c r="A602" s="545" t="n"/>
      <c r="B602" s="545" t="n"/>
      <c r="C602" s="546" t="n"/>
      <c r="D602" s="58" t="n"/>
      <c r="E602" s="65" t="n"/>
      <c r="F602" s="65" t="n"/>
      <c r="K602" s="692" t="n"/>
      <c r="L602" s="692" t="n"/>
    </row>
    <row r="603">
      <c r="A603" s="545" t="n"/>
      <c r="B603" s="545" t="n"/>
      <c r="C603" s="546" t="n"/>
      <c r="D603" s="58" t="n"/>
      <c r="E603" s="65" t="n"/>
      <c r="F603" s="65" t="n"/>
      <c r="K603" s="692" t="n"/>
      <c r="L603" s="692" t="n"/>
    </row>
    <row r="604">
      <c r="A604" s="545" t="n"/>
      <c r="B604" s="545" t="n"/>
      <c r="C604" s="546" t="n"/>
      <c r="D604" s="58" t="n"/>
      <c r="E604" s="65" t="n"/>
      <c r="F604" s="65" t="n"/>
      <c r="K604" s="692" t="n"/>
      <c r="L604" s="692" t="n"/>
    </row>
    <row r="605">
      <c r="A605" s="545" t="n"/>
      <c r="B605" s="545" t="n"/>
      <c r="C605" s="546" t="n"/>
      <c r="D605" s="58" t="n"/>
      <c r="E605" s="65" t="n"/>
      <c r="F605" s="65" t="n"/>
      <c r="K605" s="692" t="n"/>
      <c r="L605" s="692" t="n"/>
    </row>
    <row r="606">
      <c r="A606" s="545" t="n"/>
      <c r="B606" s="545" t="n"/>
      <c r="C606" s="546" t="n"/>
      <c r="D606" s="58" t="n"/>
      <c r="E606" s="65" t="n"/>
      <c r="F606" s="65" t="n"/>
      <c r="K606" s="692" t="n"/>
      <c r="L606" s="692" t="n"/>
    </row>
    <row r="607">
      <c r="A607" s="545" t="n"/>
      <c r="B607" s="545" t="n"/>
      <c r="C607" s="546" t="n"/>
      <c r="D607" s="58" t="n"/>
      <c r="E607" s="65" t="n"/>
      <c r="F607" s="65" t="n"/>
      <c r="K607" s="692" t="n"/>
      <c r="L607" s="692" t="n"/>
    </row>
    <row r="608">
      <c r="A608" s="545" t="n"/>
      <c r="B608" s="545" t="n"/>
      <c r="C608" s="546" t="n"/>
      <c r="D608" s="58" t="n"/>
      <c r="E608" s="65" t="n"/>
      <c r="F608" s="65" t="n"/>
      <c r="K608" s="692" t="n"/>
      <c r="L608" s="692" t="n"/>
    </row>
    <row r="609">
      <c r="A609" s="545" t="n"/>
      <c r="B609" s="545" t="n"/>
      <c r="C609" s="546" t="n"/>
      <c r="D609" s="58" t="n"/>
      <c r="E609" s="65" t="n"/>
      <c r="F609" s="65" t="n"/>
      <c r="K609" s="692" t="n"/>
      <c r="L609" s="692" t="n"/>
    </row>
    <row r="610">
      <c r="A610" s="545" t="n"/>
      <c r="B610" s="545" t="n"/>
      <c r="C610" s="546" t="n"/>
      <c r="D610" s="58" t="n"/>
      <c r="E610" s="65" t="n"/>
      <c r="F610" s="65" t="n"/>
      <c r="K610" s="692" t="n"/>
      <c r="L610" s="692" t="n"/>
    </row>
    <row r="611">
      <c r="A611" s="545" t="n"/>
      <c r="B611" s="545" t="n"/>
      <c r="C611" s="546" t="n"/>
      <c r="D611" s="58" t="n"/>
      <c r="E611" s="65" t="n"/>
      <c r="F611" s="65" t="n"/>
      <c r="K611" s="692" t="n"/>
      <c r="L611" s="692" t="n"/>
    </row>
    <row r="612">
      <c r="A612" s="545" t="n"/>
      <c r="B612" s="545" t="n"/>
      <c r="C612" s="546" t="n"/>
      <c r="D612" s="58" t="n"/>
      <c r="E612" s="65" t="n"/>
      <c r="F612" s="65" t="n"/>
      <c r="K612" s="692" t="n"/>
      <c r="L612" s="692" t="n"/>
    </row>
    <row r="613">
      <c r="A613" s="545" t="n"/>
      <c r="B613" s="545" t="n"/>
      <c r="C613" s="546" t="n"/>
      <c r="D613" s="58" t="n"/>
      <c r="E613" s="65" t="n"/>
      <c r="F613" s="65" t="n"/>
      <c r="K613" s="692" t="n"/>
      <c r="L613" s="692" t="n"/>
    </row>
    <row r="614">
      <c r="A614" s="545" t="n"/>
      <c r="B614" s="545" t="n"/>
      <c r="C614" s="546" t="n"/>
      <c r="D614" s="58" t="n"/>
      <c r="E614" s="65" t="n"/>
      <c r="F614" s="65" t="n"/>
      <c r="K614" s="692" t="n"/>
      <c r="L614" s="692" t="n"/>
    </row>
    <row r="615">
      <c r="A615" s="545" t="n"/>
      <c r="B615" s="545" t="n"/>
      <c r="C615" s="546" t="n"/>
      <c r="D615" s="58" t="n"/>
      <c r="E615" s="65" t="n"/>
      <c r="F615" s="65" t="n"/>
      <c r="K615" s="692" t="n"/>
      <c r="L615" s="692" t="n"/>
    </row>
    <row r="616">
      <c r="A616" s="545" t="n"/>
      <c r="B616" s="545" t="n"/>
      <c r="C616" s="546" t="n"/>
      <c r="D616" s="58" t="n"/>
      <c r="E616" s="65" t="n"/>
      <c r="F616" s="65" t="n"/>
      <c r="K616" s="692" t="n"/>
      <c r="L616" s="692" t="n"/>
    </row>
    <row r="617">
      <c r="A617" s="545" t="n"/>
      <c r="B617" s="545" t="n"/>
      <c r="C617" s="546" t="n"/>
      <c r="D617" s="58" t="n"/>
      <c r="E617" s="65" t="n"/>
      <c r="F617" s="65" t="n"/>
      <c r="K617" s="692" t="n"/>
      <c r="L617" s="692" t="n"/>
    </row>
    <row r="618">
      <c r="A618" s="545" t="n"/>
      <c r="B618" s="545" t="n"/>
      <c r="C618" s="546" t="n"/>
      <c r="D618" s="58" t="n"/>
      <c r="E618" s="65" t="n"/>
      <c r="F618" s="65" t="n"/>
      <c r="K618" s="692" t="n"/>
      <c r="L618" s="692" t="n"/>
    </row>
    <row r="619">
      <c r="A619" s="545" t="n"/>
      <c r="B619" s="545" t="n"/>
      <c r="C619" s="546" t="n"/>
      <c r="D619" s="58" t="n"/>
      <c r="E619" s="65" t="n"/>
      <c r="F619" s="65" t="n"/>
      <c r="K619" s="692" t="n"/>
      <c r="L619" s="692" t="n"/>
    </row>
    <row r="620">
      <c r="A620" s="545" t="n"/>
      <c r="B620" s="545" t="n"/>
      <c r="C620" s="546" t="n"/>
      <c r="D620" s="58" t="n"/>
      <c r="E620" s="65" t="n"/>
      <c r="F620" s="65" t="n"/>
      <c r="K620" s="692" t="n"/>
      <c r="L620" s="692" t="n"/>
    </row>
    <row r="621">
      <c r="A621" s="545" t="n"/>
      <c r="B621" s="545" t="n"/>
      <c r="C621" s="546" t="n"/>
      <c r="D621" s="58" t="n"/>
      <c r="E621" s="65" t="n"/>
      <c r="F621" s="65" t="n"/>
      <c r="K621" s="692" t="n"/>
      <c r="L621" s="692" t="n"/>
    </row>
    <row r="622">
      <c r="A622" s="545" t="n"/>
      <c r="B622" s="545" t="n"/>
      <c r="C622" s="546" t="n"/>
      <c r="D622" s="58" t="n"/>
      <c r="E622" s="65" t="n"/>
      <c r="F622" s="65" t="n"/>
      <c r="K622" s="692" t="n"/>
      <c r="L622" s="692" t="n"/>
    </row>
    <row r="623">
      <c r="A623" s="545" t="n"/>
      <c r="B623" s="545" t="n"/>
      <c r="C623" s="546" t="n"/>
      <c r="D623" s="58" t="n"/>
      <c r="E623" s="65" t="n"/>
      <c r="F623" s="65" t="n"/>
      <c r="K623" s="692" t="n"/>
      <c r="L623" s="692" t="n"/>
    </row>
    <row r="624">
      <c r="A624" s="545" t="n"/>
      <c r="B624" s="545" t="n"/>
      <c r="C624" s="546" t="n"/>
      <c r="D624" s="58" t="n"/>
      <c r="E624" s="65" t="n"/>
      <c r="F624" s="65" t="n"/>
      <c r="K624" s="692" t="n"/>
      <c r="L624" s="692" t="n"/>
    </row>
    <row r="625">
      <c r="A625" s="545" t="n"/>
      <c r="B625" s="545" t="n"/>
      <c r="C625" s="546" t="n"/>
      <c r="D625" s="58" t="n"/>
      <c r="E625" s="65" t="n"/>
      <c r="F625" s="65" t="n"/>
      <c r="K625" s="692" t="n"/>
      <c r="L625" s="692" t="n"/>
    </row>
    <row r="626">
      <c r="A626" s="545" t="n"/>
      <c r="B626" s="545" t="n"/>
      <c r="C626" s="546" t="n"/>
      <c r="D626" s="58" t="n"/>
      <c r="E626" s="65" t="n"/>
      <c r="F626" s="65" t="n"/>
      <c r="K626" s="692" t="n"/>
      <c r="L626" s="692" t="n"/>
    </row>
    <row r="627">
      <c r="A627" s="545" t="n"/>
      <c r="B627" s="545" t="n"/>
      <c r="C627" s="546" t="n"/>
      <c r="D627" s="58" t="n"/>
      <c r="E627" s="65" t="n"/>
      <c r="F627" s="65" t="n"/>
      <c r="K627" s="692" t="n"/>
      <c r="L627" s="692" t="n"/>
    </row>
    <row r="628">
      <c r="A628" s="545" t="n"/>
      <c r="B628" s="545" t="n"/>
      <c r="C628" s="546" t="n"/>
      <c r="D628" s="58" t="n"/>
      <c r="E628" s="65" t="n"/>
      <c r="F628" s="65" t="n"/>
      <c r="K628" s="692" t="n"/>
      <c r="L628" s="692" t="n"/>
    </row>
    <row r="629">
      <c r="A629" s="545" t="n"/>
      <c r="B629" s="545" t="n"/>
      <c r="C629" s="546" t="n"/>
      <c r="D629" s="58" t="n"/>
      <c r="E629" s="65" t="n"/>
      <c r="F629" s="65" t="n"/>
      <c r="K629" s="692" t="n"/>
      <c r="L629" s="692" t="n"/>
    </row>
    <row r="630">
      <c r="A630" s="545" t="n"/>
      <c r="B630" s="545" t="n"/>
      <c r="C630" s="546" t="n"/>
      <c r="D630" s="58" t="n"/>
      <c r="E630" s="65" t="n"/>
      <c r="F630" s="65" t="n"/>
      <c r="K630" s="692" t="n"/>
      <c r="L630" s="692" t="n"/>
    </row>
    <row r="631">
      <c r="A631" s="545" t="n"/>
      <c r="B631" s="545" t="n"/>
      <c r="C631" s="546" t="n"/>
      <c r="D631" s="58" t="n"/>
      <c r="E631" s="65" t="n"/>
      <c r="F631" s="65" t="n"/>
      <c r="K631" s="692" t="n"/>
      <c r="L631" s="692" t="n"/>
    </row>
    <row r="632">
      <c r="A632" s="545" t="n"/>
      <c r="B632" s="545" t="n"/>
      <c r="C632" s="546" t="n"/>
      <c r="D632" s="58" t="n"/>
      <c r="E632" s="65" t="n"/>
      <c r="F632" s="65" t="n"/>
      <c r="K632" s="692" t="n"/>
      <c r="L632" s="692" t="n"/>
    </row>
    <row r="633">
      <c r="A633" s="545" t="n"/>
      <c r="B633" s="545" t="n"/>
      <c r="C633" s="546" t="n"/>
      <c r="D633" s="58" t="n"/>
      <c r="E633" s="65" t="n"/>
      <c r="F633" s="65" t="n"/>
      <c r="K633" s="692" t="n"/>
      <c r="L633" s="692" t="n"/>
    </row>
    <row r="634">
      <c r="A634" s="545" t="n"/>
      <c r="B634" s="545" t="n"/>
      <c r="C634" s="546" t="n"/>
      <c r="D634" s="58" t="n"/>
      <c r="E634" s="65" t="n"/>
      <c r="F634" s="65" t="n"/>
      <c r="K634" s="692" t="n"/>
      <c r="L634" s="692" t="n"/>
    </row>
    <row r="635">
      <c r="A635" s="545" t="n"/>
      <c r="B635" s="545" t="n"/>
      <c r="C635" s="546" t="n"/>
      <c r="D635" s="58" t="n"/>
      <c r="E635" s="65" t="n"/>
      <c r="F635" s="65" t="n"/>
      <c r="K635" s="692" t="n"/>
      <c r="L635" s="692" t="n"/>
    </row>
    <row r="636">
      <c r="A636" s="545" t="n"/>
      <c r="B636" s="545" t="n"/>
      <c r="C636" s="546" t="n"/>
      <c r="D636" s="58" t="n"/>
      <c r="E636" s="65" t="n"/>
      <c r="F636" s="65" t="n"/>
      <c r="K636" s="692" t="n"/>
      <c r="L636" s="692" t="n"/>
    </row>
    <row r="637">
      <c r="A637" s="545" t="n"/>
      <c r="B637" s="545" t="n"/>
      <c r="C637" s="546" t="n"/>
      <c r="D637" s="58" t="n"/>
      <c r="E637" s="65" t="n"/>
      <c r="F637" s="65" t="n"/>
      <c r="K637" s="692" t="n"/>
      <c r="L637" s="692" t="n"/>
    </row>
    <row r="638">
      <c r="A638" s="545" t="n"/>
      <c r="B638" s="545" t="n"/>
      <c r="C638" s="546" t="n"/>
      <c r="D638" s="58" t="n"/>
      <c r="E638" s="65" t="n"/>
      <c r="F638" s="65" t="n"/>
      <c r="K638" s="692" t="n"/>
      <c r="L638" s="692" t="n"/>
    </row>
    <row r="639">
      <c r="A639" s="545" t="n"/>
      <c r="B639" s="545" t="n"/>
      <c r="C639" s="546" t="n"/>
      <c r="D639" s="58" t="n"/>
      <c r="E639" s="65" t="n"/>
      <c r="F639" s="65" t="n"/>
      <c r="K639" s="692" t="n"/>
      <c r="L639" s="692" t="n"/>
    </row>
    <row r="640">
      <c r="A640" s="545" t="n"/>
      <c r="B640" s="545" t="n"/>
      <c r="C640" s="546" t="n"/>
      <c r="D640" s="58" t="n"/>
      <c r="E640" s="65" t="n"/>
      <c r="F640" s="65" t="n"/>
      <c r="K640" s="692" t="n"/>
      <c r="L640" s="692" t="n"/>
    </row>
    <row r="641">
      <c r="A641" s="545" t="n"/>
      <c r="B641" s="545" t="n"/>
      <c r="C641" s="546" t="n"/>
      <c r="D641" s="58" t="n"/>
      <c r="E641" s="65" t="n"/>
      <c r="F641" s="65" t="n"/>
      <c r="K641" s="692" t="n"/>
      <c r="L641" s="692" t="n"/>
    </row>
    <row r="642">
      <c r="A642" s="545" t="n"/>
      <c r="B642" s="545" t="n"/>
      <c r="C642" s="546" t="n"/>
      <c r="D642" s="58" t="n"/>
      <c r="E642" s="65" t="n"/>
      <c r="F642" s="65" t="n"/>
      <c r="K642" s="692" t="n"/>
      <c r="L642" s="692" t="n"/>
    </row>
    <row r="643">
      <c r="A643" s="545" t="n"/>
      <c r="B643" s="545" t="n"/>
      <c r="C643" s="546" t="n"/>
      <c r="D643" s="58" t="n"/>
      <c r="E643" s="65" t="n"/>
      <c r="F643" s="65" t="n"/>
      <c r="K643" s="692" t="n"/>
      <c r="L643" s="692" t="n"/>
    </row>
    <row r="644">
      <c r="A644" s="545" t="n"/>
      <c r="B644" s="545" t="n"/>
      <c r="C644" s="546" t="n"/>
      <c r="D644" s="58" t="n"/>
      <c r="E644" s="65" t="n"/>
      <c r="F644" s="65" t="n"/>
      <c r="K644" s="692" t="n"/>
      <c r="L644" s="692" t="n"/>
    </row>
    <row r="645">
      <c r="A645" s="545" t="n"/>
      <c r="B645" s="545" t="n"/>
      <c r="C645" s="546" t="n"/>
      <c r="D645" s="58" t="n"/>
      <c r="E645" s="65" t="n"/>
      <c r="F645" s="65" t="n"/>
      <c r="K645" s="692" t="n"/>
      <c r="L645" s="692" t="n"/>
    </row>
    <row r="646">
      <c r="A646" s="545" t="n"/>
      <c r="B646" s="545" t="n"/>
      <c r="C646" s="546" t="n"/>
      <c r="D646" s="58" t="n"/>
      <c r="E646" s="65" t="n"/>
      <c r="F646" s="65" t="n"/>
      <c r="K646" s="692" t="n"/>
      <c r="L646" s="692" t="n"/>
    </row>
    <row r="647">
      <c r="A647" s="545" t="n"/>
      <c r="B647" s="545" t="n"/>
      <c r="C647" s="546" t="n"/>
      <c r="D647" s="58" t="n"/>
      <c r="E647" s="65" t="n"/>
      <c r="F647" s="65" t="n"/>
      <c r="K647" s="692" t="n"/>
      <c r="L647" s="692" t="n"/>
    </row>
    <row r="648">
      <c r="A648" s="545" t="n"/>
      <c r="B648" s="545" t="n"/>
      <c r="C648" s="546" t="n"/>
      <c r="D648" s="58" t="n"/>
      <c r="E648" s="65" t="n"/>
      <c r="F648" s="65" t="n"/>
      <c r="K648" s="692" t="n"/>
      <c r="L648" s="692" t="n"/>
    </row>
    <row r="649">
      <c r="A649" s="545" t="n"/>
      <c r="B649" s="545" t="n"/>
      <c r="C649" s="546" t="n"/>
      <c r="D649" s="58" t="n"/>
      <c r="E649" s="65" t="n"/>
      <c r="F649" s="65" t="n"/>
      <c r="K649" s="692" t="n"/>
      <c r="L649" s="692" t="n"/>
    </row>
    <row r="650">
      <c r="A650" s="545" t="n"/>
      <c r="B650" s="545" t="n"/>
      <c r="C650" s="546" t="n"/>
      <c r="D650" s="58" t="n"/>
      <c r="E650" s="65" t="n"/>
      <c r="F650" s="65" t="n"/>
      <c r="K650" s="692" t="n"/>
      <c r="L650" s="692" t="n"/>
    </row>
    <row r="651">
      <c r="A651" s="545" t="n"/>
      <c r="B651" s="545" t="n"/>
      <c r="C651" s="546" t="n"/>
      <c r="D651" s="58" t="n"/>
      <c r="E651" s="65" t="n"/>
      <c r="F651" s="65" t="n"/>
      <c r="K651" s="692" t="n"/>
      <c r="L651" s="692" t="n"/>
    </row>
    <row r="652">
      <c r="A652" s="545" t="n"/>
      <c r="B652" s="545" t="n"/>
      <c r="C652" s="546" t="n"/>
      <c r="D652" s="58" t="n"/>
      <c r="E652" s="65" t="n"/>
      <c r="F652" s="65" t="n"/>
      <c r="K652" s="692" t="n"/>
      <c r="L652" s="692" t="n"/>
    </row>
    <row r="653">
      <c r="A653" s="545" t="n"/>
      <c r="B653" s="545" t="n"/>
      <c r="C653" s="546" t="n"/>
      <c r="D653" s="58" t="n"/>
      <c r="E653" s="65" t="n"/>
      <c r="F653" s="65" t="n"/>
      <c r="K653" s="692" t="n"/>
      <c r="L653" s="692" t="n"/>
    </row>
    <row r="654">
      <c r="A654" s="545" t="n"/>
      <c r="B654" s="545" t="n"/>
      <c r="C654" s="546" t="n"/>
      <c r="D654" s="58" t="n"/>
      <c r="E654" s="65" t="n"/>
      <c r="F654" s="65" t="n"/>
      <c r="K654" s="692" t="n"/>
      <c r="L654" s="692" t="n"/>
    </row>
    <row r="655">
      <c r="A655" s="545" t="n"/>
      <c r="B655" s="545" t="n"/>
      <c r="C655" s="546" t="n"/>
      <c r="D655" s="58" t="n"/>
      <c r="E655" s="65" t="n"/>
      <c r="F655" s="65" t="n"/>
      <c r="K655" s="692" t="n"/>
      <c r="L655" s="692" t="n"/>
    </row>
    <row r="656">
      <c r="A656" s="545" t="n"/>
      <c r="B656" s="545" t="n"/>
      <c r="C656" s="546" t="n"/>
      <c r="D656" s="58" t="n"/>
      <c r="E656" s="65" t="n"/>
      <c r="F656" s="65" t="n"/>
      <c r="K656" s="692" t="n"/>
      <c r="L656" s="692" t="n"/>
    </row>
    <row r="657">
      <c r="A657" s="545" t="n"/>
      <c r="B657" s="545" t="n"/>
      <c r="C657" s="546" t="n"/>
      <c r="D657" s="58" t="n"/>
      <c r="E657" s="65" t="n"/>
      <c r="F657" s="65" t="n"/>
      <c r="K657" s="692" t="n"/>
      <c r="L657" s="692" t="n"/>
    </row>
    <row r="658">
      <c r="A658" s="545" t="n"/>
      <c r="B658" s="545" t="n"/>
      <c r="C658" s="546" t="n"/>
      <c r="D658" s="58" t="n"/>
      <c r="E658" s="65" t="n"/>
      <c r="F658" s="65" t="n"/>
      <c r="K658" s="692" t="n"/>
      <c r="L658" s="692" t="n"/>
    </row>
    <row r="659">
      <c r="A659" s="545" t="n"/>
      <c r="B659" s="545" t="n"/>
      <c r="C659" s="546" t="n"/>
      <c r="D659" s="58" t="n"/>
      <c r="E659" s="65" t="n"/>
      <c r="F659" s="65" t="n"/>
      <c r="K659" s="692" t="n"/>
      <c r="L659" s="692" t="n"/>
    </row>
    <row r="660">
      <c r="A660" s="545" t="n"/>
      <c r="B660" s="545" t="n"/>
      <c r="C660" s="546" t="n"/>
      <c r="D660" s="58" t="n"/>
      <c r="E660" s="65" t="n"/>
      <c r="F660" s="65" t="n"/>
      <c r="K660" s="692" t="n"/>
      <c r="L660" s="692" t="n"/>
    </row>
    <row r="661">
      <c r="A661" s="545" t="n"/>
      <c r="B661" s="545" t="n"/>
      <c r="C661" s="546" t="n"/>
      <c r="D661" s="58" t="n"/>
      <c r="E661" s="65" t="n"/>
      <c r="F661" s="65" t="n"/>
      <c r="K661" s="692" t="n"/>
      <c r="L661" s="692" t="n"/>
    </row>
    <row r="662">
      <c r="A662" s="545" t="n"/>
      <c r="B662" s="545" t="n"/>
      <c r="C662" s="546" t="n"/>
      <c r="D662" s="58" t="n"/>
      <c r="E662" s="65" t="n"/>
      <c r="F662" s="65" t="n"/>
      <c r="K662" s="692" t="n"/>
      <c r="L662" s="692" t="n"/>
    </row>
    <row r="663">
      <c r="A663" s="545" t="n"/>
      <c r="B663" s="545" t="n"/>
      <c r="C663" s="546" t="n"/>
      <c r="D663" s="58" t="n"/>
      <c r="E663" s="65" t="n"/>
      <c r="F663" s="65" t="n"/>
      <c r="K663" s="692" t="n"/>
      <c r="L663" s="692" t="n"/>
    </row>
    <row r="664">
      <c r="A664" s="545" t="n"/>
      <c r="B664" s="545" t="n"/>
      <c r="C664" s="546" t="n"/>
      <c r="D664" s="58" t="n"/>
      <c r="E664" s="65" t="n"/>
      <c r="F664" s="65" t="n"/>
      <c r="K664" s="692" t="n"/>
      <c r="L664" s="692" t="n"/>
    </row>
    <row r="665">
      <c r="A665" s="545" t="n"/>
      <c r="B665" s="545" t="n"/>
      <c r="C665" s="546" t="n"/>
      <c r="D665" s="58" t="n"/>
      <c r="E665" s="65" t="n"/>
      <c r="F665" s="65" t="n"/>
      <c r="K665" s="692" t="n"/>
      <c r="L665" s="692" t="n"/>
    </row>
    <row r="666">
      <c r="A666" s="545" t="n"/>
      <c r="B666" s="545" t="n"/>
      <c r="C666" s="546" t="n"/>
      <c r="D666" s="58" t="n"/>
      <c r="E666" s="65" t="n"/>
      <c r="F666" s="65" t="n"/>
      <c r="K666" s="692" t="n"/>
      <c r="L666" s="692" t="n"/>
    </row>
    <row r="667">
      <c r="A667" s="545" t="n"/>
      <c r="B667" s="545" t="n"/>
      <c r="C667" s="546" t="n"/>
      <c r="D667" s="58" t="n"/>
      <c r="E667" s="65" t="n"/>
      <c r="F667" s="65" t="n"/>
      <c r="K667" s="692" t="n"/>
      <c r="L667" s="692" t="n"/>
    </row>
    <row r="668">
      <c r="A668" s="545" t="n"/>
      <c r="B668" s="545" t="n"/>
      <c r="C668" s="546" t="n"/>
      <c r="D668" s="58" t="n"/>
      <c r="E668" s="65" t="n"/>
      <c r="F668" s="65" t="n"/>
      <c r="K668" s="692" t="n"/>
      <c r="L668" s="692" t="n"/>
    </row>
    <row r="669">
      <c r="A669" s="545" t="n"/>
      <c r="B669" s="545" t="n"/>
      <c r="C669" s="546" t="n"/>
      <c r="D669" s="58" t="n"/>
      <c r="E669" s="65" t="n"/>
      <c r="F669" s="65" t="n"/>
      <c r="K669" s="692" t="n"/>
      <c r="L669" s="692" t="n"/>
    </row>
    <row r="670">
      <c r="A670" s="545" t="n"/>
      <c r="B670" s="545" t="n"/>
      <c r="C670" s="546" t="n"/>
      <c r="D670" s="58" t="n"/>
      <c r="E670" s="65" t="n"/>
      <c r="F670" s="65" t="n"/>
      <c r="K670" s="692" t="n"/>
      <c r="L670" s="692" t="n"/>
    </row>
    <row r="671">
      <c r="A671" s="545" t="n"/>
      <c r="B671" s="545" t="n"/>
      <c r="C671" s="546" t="n"/>
      <c r="D671" s="58" t="n"/>
      <c r="E671" s="65" t="n"/>
      <c r="F671" s="65" t="n"/>
      <c r="K671" s="692" t="n"/>
      <c r="L671" s="692" t="n"/>
    </row>
    <row r="672">
      <c r="A672" s="545" t="n"/>
      <c r="B672" s="545" t="n"/>
      <c r="C672" s="546" t="n"/>
      <c r="D672" s="58" t="n"/>
      <c r="E672" s="65" t="n"/>
      <c r="F672" s="65" t="n"/>
      <c r="K672" s="692" t="n"/>
      <c r="L672" s="692" t="n"/>
    </row>
    <row r="673">
      <c r="A673" s="545" t="n"/>
      <c r="B673" s="545" t="n"/>
      <c r="C673" s="546" t="n"/>
      <c r="D673" s="58" t="n"/>
      <c r="E673" s="65" t="n"/>
      <c r="F673" s="65" t="n"/>
      <c r="K673" s="692" t="n"/>
      <c r="L673" s="692" t="n"/>
    </row>
    <row r="674">
      <c r="A674" s="545" t="n"/>
      <c r="B674" s="545" t="n"/>
      <c r="C674" s="546" t="n"/>
      <c r="D674" s="58" t="n"/>
      <c r="E674" s="65" t="n"/>
      <c r="F674" s="65" t="n"/>
      <c r="K674" s="692" t="n"/>
      <c r="L674" s="692" t="n"/>
    </row>
    <row r="675">
      <c r="A675" s="545" t="n"/>
      <c r="B675" s="545" t="n"/>
      <c r="C675" s="546" t="n"/>
      <c r="D675" s="58" t="n"/>
      <c r="E675" s="65" t="n"/>
      <c r="F675" s="65" t="n"/>
      <c r="K675" s="692" t="n"/>
      <c r="L675" s="692" t="n"/>
    </row>
    <row r="676">
      <c r="A676" s="545" t="n"/>
      <c r="B676" s="545" t="n"/>
      <c r="C676" s="546" t="n"/>
      <c r="D676" s="58" t="n"/>
      <c r="E676" s="65" t="n"/>
      <c r="F676" s="65" t="n"/>
      <c r="K676" s="692" t="n"/>
      <c r="L676" s="692" t="n"/>
    </row>
    <row r="677">
      <c r="A677" s="545" t="n"/>
      <c r="B677" s="545" t="n"/>
      <c r="C677" s="546" t="n"/>
      <c r="D677" s="58" t="n"/>
      <c r="E677" s="65" t="n"/>
      <c r="F677" s="65" t="n"/>
      <c r="K677" s="692" t="n"/>
      <c r="L677" s="692" t="n"/>
    </row>
    <row r="678">
      <c r="A678" s="545" t="n"/>
      <c r="B678" s="545" t="n"/>
      <c r="C678" s="546" t="n"/>
      <c r="D678" s="58" t="n"/>
      <c r="E678" s="65" t="n"/>
      <c r="F678" s="65" t="n"/>
      <c r="K678" s="692" t="n"/>
      <c r="L678" s="692" t="n"/>
    </row>
    <row r="679">
      <c r="A679" s="545" t="n"/>
      <c r="B679" s="545" t="n"/>
      <c r="C679" s="546" t="n"/>
      <c r="D679" s="58" t="n"/>
      <c r="E679" s="65" t="n"/>
      <c r="F679" s="65" t="n"/>
      <c r="K679" s="692" t="n"/>
      <c r="L679" s="692" t="n"/>
    </row>
    <row r="680">
      <c r="A680" s="545" t="n"/>
      <c r="B680" s="545" t="n"/>
      <c r="C680" s="546" t="n"/>
      <c r="D680" s="58" t="n"/>
      <c r="E680" s="65" t="n"/>
      <c r="F680" s="65" t="n"/>
      <c r="K680" s="692" t="n"/>
      <c r="L680" s="692" t="n"/>
    </row>
    <row r="681">
      <c r="A681" s="545" t="n"/>
      <c r="B681" s="545" t="n"/>
      <c r="C681" s="546" t="n"/>
      <c r="D681" s="58" t="n"/>
      <c r="E681" s="65" t="n"/>
      <c r="F681" s="65" t="n"/>
      <c r="K681" s="692" t="n"/>
      <c r="L681" s="692" t="n"/>
    </row>
    <row r="682">
      <c r="A682" s="545" t="n"/>
      <c r="B682" s="545" t="n"/>
      <c r="C682" s="546" t="n"/>
      <c r="D682" s="58" t="n"/>
      <c r="E682" s="65" t="n"/>
      <c r="F682" s="65" t="n"/>
      <c r="K682" s="692" t="n"/>
      <c r="L682" s="692" t="n"/>
    </row>
    <row r="683">
      <c r="A683" s="545" t="n"/>
      <c r="B683" s="545" t="n"/>
      <c r="C683" s="546" t="n"/>
      <c r="D683" s="58" t="n"/>
      <c r="E683" s="65" t="n"/>
      <c r="F683" s="65" t="n"/>
      <c r="K683" s="692" t="n"/>
      <c r="L683" s="692" t="n"/>
    </row>
    <row r="684">
      <c r="A684" s="545" t="n"/>
      <c r="B684" s="545" t="n"/>
      <c r="C684" s="546" t="n"/>
      <c r="D684" s="58" t="n"/>
      <c r="E684" s="65" t="n"/>
      <c r="F684" s="65" t="n"/>
      <c r="K684" s="692" t="n"/>
      <c r="L684" s="692" t="n"/>
    </row>
    <row r="685">
      <c r="A685" s="545" t="n"/>
      <c r="B685" s="545" t="n"/>
      <c r="C685" s="546" t="n"/>
      <c r="D685" s="58" t="n"/>
      <c r="E685" s="65" t="n"/>
      <c r="F685" s="65" t="n"/>
      <c r="K685" s="692" t="n"/>
      <c r="L685" s="692" t="n"/>
    </row>
    <row r="686">
      <c r="A686" s="545" t="n"/>
      <c r="B686" s="545" t="n"/>
      <c r="C686" s="546" t="n"/>
      <c r="D686" s="58" t="n"/>
      <c r="E686" s="65" t="n"/>
      <c r="F686" s="65" t="n"/>
      <c r="K686" s="692" t="n"/>
      <c r="L686" s="692" t="n"/>
    </row>
    <row r="687">
      <c r="A687" s="545" t="n"/>
      <c r="B687" s="545" t="n"/>
      <c r="C687" s="546" t="n"/>
      <c r="D687" s="58" t="n"/>
      <c r="E687" s="65" t="n"/>
      <c r="F687" s="65" t="n"/>
      <c r="K687" s="692" t="n"/>
      <c r="L687" s="692" t="n"/>
    </row>
    <row r="688">
      <c r="A688" s="545" t="n"/>
      <c r="B688" s="545" t="n"/>
      <c r="C688" s="546" t="n"/>
      <c r="D688" s="58" t="n"/>
      <c r="E688" s="65" t="n"/>
      <c r="F688" s="65" t="n"/>
      <c r="K688" s="692" t="n"/>
      <c r="L688" s="692" t="n"/>
    </row>
    <row r="689">
      <c r="A689" s="545" t="n"/>
      <c r="B689" s="545" t="n"/>
      <c r="C689" s="546" t="n"/>
      <c r="D689" s="58" t="n"/>
      <c r="E689" s="65" t="n"/>
      <c r="F689" s="65" t="n"/>
      <c r="K689" s="692" t="n"/>
      <c r="L689" s="692" t="n"/>
    </row>
    <row r="690">
      <c r="A690" s="545" t="n"/>
      <c r="B690" s="545" t="n"/>
      <c r="C690" s="546" t="n"/>
      <c r="D690" s="58" t="n"/>
      <c r="E690" s="65" t="n"/>
      <c r="F690" s="65" t="n"/>
      <c r="K690" s="692" t="n"/>
      <c r="L690" s="692" t="n"/>
    </row>
    <row r="691">
      <c r="A691" s="545" t="n"/>
      <c r="B691" s="545" t="n"/>
      <c r="C691" s="546" t="n"/>
      <c r="D691" s="58" t="n"/>
      <c r="E691" s="65" t="n"/>
      <c r="F691" s="65" t="n"/>
      <c r="K691" s="692" t="n"/>
      <c r="L691" s="692" t="n"/>
    </row>
    <row r="692">
      <c r="A692" s="545" t="n"/>
      <c r="B692" s="545" t="n"/>
      <c r="C692" s="546" t="n"/>
      <c r="D692" s="58" t="n"/>
      <c r="E692" s="65" t="n"/>
      <c r="F692" s="65" t="n"/>
      <c r="K692" s="692" t="n"/>
      <c r="L692" s="692" t="n"/>
    </row>
    <row r="693">
      <c r="A693" s="545" t="n"/>
      <c r="B693" s="545" t="n"/>
      <c r="C693" s="546" t="n"/>
      <c r="D693" s="58" t="n"/>
      <c r="E693" s="65" t="n"/>
      <c r="F693" s="65" t="n"/>
      <c r="K693" s="692" t="n"/>
      <c r="L693" s="692" t="n"/>
    </row>
    <row r="694">
      <c r="A694" s="545" t="n"/>
      <c r="B694" s="545" t="n"/>
      <c r="C694" s="546" t="n"/>
      <c r="D694" s="58" t="n"/>
      <c r="E694" s="65" t="n"/>
      <c r="F694" s="65" t="n"/>
      <c r="K694" s="692" t="n"/>
      <c r="L694" s="692" t="n"/>
    </row>
    <row r="695">
      <c r="A695" s="545" t="n"/>
      <c r="B695" s="545" t="n"/>
      <c r="C695" s="546" t="n"/>
      <c r="D695" s="58" t="n"/>
      <c r="E695" s="65" t="n"/>
      <c r="F695" s="65" t="n"/>
      <c r="K695" s="692" t="n"/>
      <c r="L695" s="692" t="n"/>
    </row>
    <row r="696">
      <c r="A696" s="545" t="n"/>
      <c r="B696" s="545" t="n"/>
      <c r="C696" s="546" t="n"/>
      <c r="D696" s="58" t="n"/>
      <c r="E696" s="65" t="n"/>
      <c r="F696" s="65" t="n"/>
      <c r="K696" s="692" t="n"/>
      <c r="L696" s="692" t="n"/>
    </row>
    <row r="697">
      <c r="A697" s="545" t="n"/>
      <c r="B697" s="545" t="n"/>
      <c r="C697" s="546" t="n"/>
      <c r="D697" s="58" t="n"/>
      <c r="E697" s="65" t="n"/>
      <c r="F697" s="65" t="n"/>
      <c r="K697" s="692" t="n"/>
      <c r="L697" s="692" t="n"/>
    </row>
    <row r="698">
      <c r="A698" s="545" t="n"/>
      <c r="B698" s="545" t="n"/>
      <c r="C698" s="546" t="n"/>
      <c r="D698" s="58" t="n"/>
      <c r="E698" s="65" t="n"/>
      <c r="F698" s="65" t="n"/>
      <c r="K698" s="692" t="n"/>
      <c r="L698" s="692" t="n"/>
    </row>
    <row r="699">
      <c r="A699" s="545" t="n"/>
      <c r="B699" s="545" t="n"/>
      <c r="C699" s="546" t="n"/>
      <c r="D699" s="58" t="n"/>
      <c r="E699" s="65" t="n"/>
      <c r="F699" s="65" t="n"/>
      <c r="K699" s="692" t="n"/>
      <c r="L699" s="692" t="n"/>
    </row>
    <row r="700">
      <c r="A700" s="545" t="n"/>
      <c r="B700" s="545" t="n"/>
      <c r="C700" s="546" t="n"/>
      <c r="D700" s="58" t="n"/>
      <c r="E700" s="65" t="n"/>
      <c r="F700" s="65" t="n"/>
      <c r="K700" s="692" t="n"/>
      <c r="L700" s="692" t="n"/>
    </row>
    <row r="701">
      <c r="A701" s="545" t="n"/>
      <c r="B701" s="545" t="n"/>
      <c r="C701" s="546" t="n"/>
      <c r="D701" s="58" t="n"/>
      <c r="E701" s="65" t="n"/>
      <c r="F701" s="65" t="n"/>
      <c r="K701" s="692" t="n"/>
      <c r="L701" s="692" t="n"/>
    </row>
    <row r="702">
      <c r="A702" s="545" t="n"/>
      <c r="B702" s="545" t="n"/>
      <c r="C702" s="546" t="n"/>
      <c r="D702" s="58" t="n"/>
      <c r="E702" s="65" t="n"/>
      <c r="F702" s="65" t="n"/>
      <c r="K702" s="692" t="n"/>
      <c r="L702" s="692" t="n"/>
    </row>
    <row r="703">
      <c r="A703" s="545" t="n"/>
      <c r="B703" s="545" t="n"/>
      <c r="C703" s="546" t="n"/>
      <c r="D703" s="58" t="n"/>
      <c r="E703" s="65" t="n"/>
      <c r="F703" s="65" t="n"/>
      <c r="K703" s="692" t="n"/>
      <c r="L703" s="692" t="n"/>
    </row>
    <row r="704">
      <c r="A704" s="545" t="n"/>
      <c r="B704" s="545" t="n"/>
      <c r="C704" s="546" t="n"/>
      <c r="D704" s="58" t="n"/>
      <c r="E704" s="65" t="n"/>
      <c r="F704" s="65" t="n"/>
      <c r="K704" s="692" t="n"/>
      <c r="L704" s="692" t="n"/>
    </row>
    <row r="705">
      <c r="A705" s="545" t="n"/>
      <c r="B705" s="545" t="n"/>
      <c r="C705" s="546" t="n"/>
      <c r="D705" s="58" t="n"/>
      <c r="E705" s="65" t="n"/>
      <c r="F705" s="65" t="n"/>
      <c r="K705" s="692" t="n"/>
      <c r="L705" s="692" t="n"/>
    </row>
    <row r="706">
      <c r="A706" s="545" t="n"/>
      <c r="B706" s="545" t="n"/>
      <c r="C706" s="546" t="n"/>
      <c r="D706" s="58" t="n"/>
      <c r="E706" s="65" t="n"/>
      <c r="F706" s="65" t="n"/>
      <c r="K706" s="692" t="n"/>
      <c r="L706" s="692" t="n"/>
    </row>
    <row r="707">
      <c r="A707" s="545" t="n"/>
      <c r="B707" s="545" t="n"/>
      <c r="C707" s="546" t="n"/>
      <c r="D707" s="58" t="n"/>
      <c r="E707" s="65" t="n"/>
      <c r="F707" s="65" t="n"/>
      <c r="K707" s="692" t="n"/>
      <c r="L707" s="692" t="n"/>
    </row>
    <row r="708">
      <c r="A708" s="545" t="n"/>
      <c r="B708" s="545" t="n"/>
      <c r="C708" s="546" t="n"/>
      <c r="D708" s="58" t="n"/>
      <c r="E708" s="65" t="n"/>
      <c r="F708" s="65" t="n"/>
      <c r="K708" s="692" t="n"/>
      <c r="L708" s="692" t="n"/>
    </row>
    <row r="709">
      <c r="A709" s="545" t="n"/>
      <c r="B709" s="545" t="n"/>
      <c r="C709" s="546" t="n"/>
      <c r="D709" s="58" t="n"/>
      <c r="E709" s="65" t="n"/>
      <c r="F709" s="65" t="n"/>
      <c r="K709" s="692" t="n"/>
      <c r="L709" s="692" t="n"/>
    </row>
    <row r="710">
      <c r="A710" s="545" t="n"/>
      <c r="B710" s="545" t="n"/>
      <c r="C710" s="546" t="n"/>
      <c r="D710" s="58" t="n"/>
      <c r="E710" s="65" t="n"/>
      <c r="F710" s="65" t="n"/>
      <c r="K710" s="692" t="n"/>
      <c r="L710" s="692" t="n"/>
    </row>
    <row r="711">
      <c r="A711" s="545" t="n"/>
      <c r="B711" s="545" t="n"/>
      <c r="C711" s="546" t="n"/>
      <c r="D711" s="58" t="n"/>
      <c r="E711" s="65" t="n"/>
      <c r="F711" s="65" t="n"/>
      <c r="K711" s="692" t="n"/>
      <c r="L711" s="692" t="n"/>
    </row>
    <row r="712">
      <c r="A712" s="545" t="n"/>
      <c r="B712" s="545" t="n"/>
      <c r="C712" s="546" t="n"/>
      <c r="D712" s="58" t="n"/>
      <c r="E712" s="65" t="n"/>
      <c r="F712" s="65" t="n"/>
      <c r="K712" s="692" t="n"/>
      <c r="L712" s="692" t="n"/>
    </row>
    <row r="713">
      <c r="A713" s="545" t="n"/>
      <c r="B713" s="545" t="n"/>
      <c r="C713" s="546" t="n"/>
      <c r="D713" s="58" t="n"/>
      <c r="E713" s="65" t="n"/>
      <c r="F713" s="65" t="n"/>
      <c r="K713" s="692" t="n"/>
      <c r="L713" s="692" t="n"/>
    </row>
    <row r="714">
      <c r="A714" s="545" t="n"/>
      <c r="B714" s="545" t="n"/>
      <c r="C714" s="546" t="n"/>
      <c r="D714" s="58" t="n"/>
      <c r="E714" s="65" t="n"/>
      <c r="F714" s="65" t="n"/>
      <c r="K714" s="692" t="n"/>
      <c r="L714" s="692" t="n"/>
    </row>
    <row r="715">
      <c r="A715" s="545" t="n"/>
      <c r="B715" s="545" t="n"/>
      <c r="C715" s="546" t="n"/>
      <c r="D715" s="58" t="n"/>
      <c r="E715" s="65" t="n"/>
      <c r="F715" s="65" t="n"/>
      <c r="K715" s="692" t="n"/>
      <c r="L715" s="692" t="n"/>
    </row>
    <row r="716">
      <c r="A716" s="545" t="n"/>
      <c r="B716" s="545" t="n"/>
      <c r="C716" s="546" t="n"/>
      <c r="D716" s="58" t="n"/>
      <c r="E716" s="65" t="n"/>
      <c r="F716" s="65" t="n"/>
      <c r="K716" s="692" t="n"/>
      <c r="L716" s="692" t="n"/>
    </row>
    <row r="717">
      <c r="A717" s="545" t="n"/>
      <c r="B717" s="545" t="n"/>
      <c r="C717" s="546" t="n"/>
      <c r="D717" s="58" t="n"/>
      <c r="E717" s="65" t="n"/>
      <c r="F717" s="65" t="n"/>
      <c r="K717" s="692" t="n"/>
      <c r="L717" s="692" t="n"/>
    </row>
    <row r="718">
      <c r="A718" s="545" t="n"/>
      <c r="B718" s="545" t="n"/>
      <c r="C718" s="546" t="n"/>
      <c r="D718" s="58" t="n"/>
      <c r="E718" s="65" t="n"/>
      <c r="F718" s="65" t="n"/>
      <c r="K718" s="692" t="n"/>
      <c r="L718" s="692" t="n"/>
    </row>
    <row r="719">
      <c r="A719" s="545" t="n"/>
      <c r="B719" s="545" t="n"/>
      <c r="C719" s="546" t="n"/>
      <c r="D719" s="58" t="n"/>
      <c r="E719" s="65" t="n"/>
      <c r="F719" s="65" t="n"/>
      <c r="K719" s="692" t="n"/>
      <c r="L719" s="692" t="n"/>
    </row>
    <row r="720">
      <c r="A720" s="545" t="n"/>
      <c r="B720" s="545" t="n"/>
      <c r="C720" s="546" t="n"/>
      <c r="D720" s="58" t="n"/>
      <c r="E720" s="65" t="n"/>
      <c r="F720" s="65" t="n"/>
      <c r="K720" s="692" t="n"/>
      <c r="L720" s="692" t="n"/>
    </row>
    <row r="721">
      <c r="A721" s="545" t="n"/>
      <c r="B721" s="545" t="n"/>
      <c r="C721" s="546" t="n"/>
      <c r="D721" s="58" t="n"/>
      <c r="E721" s="65" t="n"/>
      <c r="F721" s="65" t="n"/>
      <c r="K721" s="692" t="n"/>
      <c r="L721" s="692" t="n"/>
    </row>
    <row r="722">
      <c r="A722" s="545" t="n"/>
      <c r="B722" s="545" t="n"/>
      <c r="C722" s="546" t="n"/>
      <c r="D722" s="58" t="n"/>
      <c r="E722" s="65" t="n"/>
      <c r="F722" s="65" t="n"/>
      <c r="K722" s="692" t="n"/>
      <c r="L722" s="692" t="n"/>
    </row>
    <row r="723">
      <c r="A723" s="545" t="n"/>
      <c r="B723" s="545" t="n"/>
      <c r="C723" s="546" t="n"/>
      <c r="D723" s="58" t="n"/>
      <c r="E723" s="65" t="n"/>
      <c r="F723" s="65" t="n"/>
      <c r="K723" s="692" t="n"/>
      <c r="L723" s="692" t="n"/>
    </row>
    <row r="724">
      <c r="A724" s="545" t="n"/>
      <c r="B724" s="545" t="n"/>
      <c r="C724" s="546" t="n"/>
      <c r="D724" s="58" t="n"/>
      <c r="E724" s="65" t="n"/>
      <c r="F724" s="65" t="n"/>
      <c r="K724" s="692" t="n"/>
      <c r="L724" s="692" t="n"/>
    </row>
    <row r="725">
      <c r="A725" s="545" t="n"/>
      <c r="B725" s="545" t="n"/>
      <c r="C725" s="546" t="n"/>
      <c r="D725" s="58" t="n"/>
      <c r="E725" s="65" t="n"/>
      <c r="F725" s="65" t="n"/>
      <c r="K725" s="692" t="n"/>
      <c r="L725" s="692" t="n"/>
    </row>
    <row r="726">
      <c r="A726" s="545" t="n"/>
      <c r="B726" s="545" t="n"/>
      <c r="C726" s="546" t="n"/>
      <c r="D726" s="58" t="n"/>
      <c r="E726" s="65" t="n"/>
      <c r="F726" s="65" t="n"/>
      <c r="K726" s="692" t="n"/>
      <c r="L726" s="692" t="n"/>
    </row>
    <row r="727">
      <c r="A727" s="545" t="n"/>
      <c r="B727" s="545" t="n"/>
      <c r="C727" s="546" t="n"/>
      <c r="D727" s="58" t="n"/>
      <c r="E727" s="65" t="n"/>
      <c r="F727" s="65" t="n"/>
      <c r="K727" s="692" t="n"/>
      <c r="L727" s="692" t="n"/>
    </row>
    <row r="728">
      <c r="A728" s="545" t="n"/>
      <c r="B728" s="545" t="n"/>
      <c r="C728" s="546" t="n"/>
      <c r="D728" s="58" t="n"/>
      <c r="E728" s="65" t="n"/>
      <c r="F728" s="65" t="n"/>
      <c r="K728" s="692" t="n"/>
      <c r="L728" s="692" t="n"/>
    </row>
    <row r="729">
      <c r="A729" s="545" t="n"/>
      <c r="B729" s="545" t="n"/>
      <c r="C729" s="546" t="n"/>
      <c r="D729" s="58" t="n"/>
      <c r="E729" s="65" t="n"/>
      <c r="F729" s="65" t="n"/>
      <c r="K729" s="692" t="n"/>
      <c r="L729" s="692" t="n"/>
    </row>
    <row r="730">
      <c r="A730" s="545" t="n"/>
      <c r="B730" s="545" t="n"/>
      <c r="C730" s="546" t="n"/>
      <c r="D730" s="58" t="n"/>
      <c r="E730" s="65" t="n"/>
      <c r="F730" s="65" t="n"/>
      <c r="K730" s="692" t="n"/>
      <c r="L730" s="692" t="n"/>
    </row>
    <row r="731">
      <c r="A731" s="545" t="n"/>
      <c r="B731" s="545" t="n"/>
      <c r="C731" s="546" t="n"/>
      <c r="D731" s="58" t="n"/>
      <c r="E731" s="65" t="n"/>
      <c r="F731" s="65" t="n"/>
      <c r="K731" s="692" t="n"/>
      <c r="L731" s="692" t="n"/>
    </row>
    <row r="732">
      <c r="A732" s="545" t="n"/>
      <c r="B732" s="545" t="n"/>
      <c r="C732" s="546" t="n"/>
      <c r="D732" s="58" t="n"/>
      <c r="E732" s="65" t="n"/>
      <c r="F732" s="65" t="n"/>
      <c r="K732" s="692" t="n"/>
      <c r="L732" s="692" t="n"/>
    </row>
    <row r="733">
      <c r="A733" s="545" t="n"/>
      <c r="B733" s="545" t="n"/>
      <c r="C733" s="546" t="n"/>
      <c r="D733" s="58" t="n"/>
      <c r="E733" s="65" t="n"/>
      <c r="F733" s="65" t="n"/>
      <c r="K733" s="692" t="n"/>
      <c r="L733" s="692" t="n"/>
    </row>
    <row r="734">
      <c r="A734" s="545" t="n"/>
      <c r="B734" s="545" t="n"/>
      <c r="C734" s="546" t="n"/>
      <c r="D734" s="58" t="n"/>
      <c r="E734" s="65" t="n"/>
      <c r="F734" s="65" t="n"/>
      <c r="K734" s="692" t="n"/>
      <c r="L734" s="692" t="n"/>
    </row>
    <row r="735">
      <c r="A735" s="545" t="n"/>
      <c r="B735" s="545" t="n"/>
      <c r="C735" s="546" t="n"/>
      <c r="D735" s="58" t="n"/>
      <c r="E735" s="65" t="n"/>
      <c r="F735" s="65" t="n"/>
      <c r="K735" s="692" t="n"/>
      <c r="L735" s="692" t="n"/>
    </row>
    <row r="736">
      <c r="A736" s="545" t="n"/>
      <c r="B736" s="545" t="n"/>
      <c r="C736" s="546" t="n"/>
      <c r="D736" s="58" t="n"/>
      <c r="E736" s="65" t="n"/>
      <c r="F736" s="65" t="n"/>
      <c r="K736" s="692" t="n"/>
      <c r="L736" s="692" t="n"/>
    </row>
    <row r="737">
      <c r="A737" s="545" t="n"/>
      <c r="B737" s="545" t="n"/>
      <c r="C737" s="546" t="n"/>
      <c r="D737" s="58" t="n"/>
      <c r="E737" s="65" t="n"/>
      <c r="F737" s="65" t="n"/>
      <c r="K737" s="692" t="n"/>
      <c r="L737" s="692" t="n"/>
    </row>
    <row r="738">
      <c r="A738" s="545" t="n"/>
      <c r="B738" s="545" t="n"/>
      <c r="C738" s="546" t="n"/>
      <c r="D738" s="58" t="n"/>
      <c r="E738" s="65" t="n"/>
      <c r="F738" s="65" t="n"/>
      <c r="K738" s="692" t="n"/>
      <c r="L738" s="692" t="n"/>
    </row>
    <row r="739">
      <c r="A739" s="545" t="n"/>
      <c r="B739" s="545" t="n"/>
      <c r="C739" s="546" t="n"/>
      <c r="D739" s="58" t="n"/>
      <c r="E739" s="65" t="n"/>
      <c r="F739" s="65" t="n"/>
      <c r="K739" s="692" t="n"/>
      <c r="L739" s="692" t="n"/>
    </row>
    <row r="740">
      <c r="A740" s="545" t="n"/>
      <c r="B740" s="545" t="n"/>
      <c r="C740" s="546" t="n"/>
      <c r="D740" s="58" t="n"/>
      <c r="E740" s="65" t="n"/>
      <c r="F740" s="65" t="n"/>
      <c r="K740" s="692" t="n"/>
      <c r="L740" s="692" t="n"/>
    </row>
    <row r="741">
      <c r="A741" s="545" t="n"/>
      <c r="B741" s="545" t="n"/>
      <c r="C741" s="546" t="n"/>
      <c r="D741" s="58" t="n"/>
      <c r="E741" s="65" t="n"/>
      <c r="F741" s="65" t="n"/>
      <c r="K741" s="692" t="n"/>
      <c r="L741" s="692" t="n"/>
    </row>
    <row r="742">
      <c r="A742" s="545" t="n"/>
      <c r="B742" s="545" t="n"/>
      <c r="C742" s="546" t="n"/>
      <c r="D742" s="58" t="n"/>
      <c r="E742" s="65" t="n"/>
      <c r="F742" s="65" t="n"/>
      <c r="K742" s="692" t="n"/>
      <c r="L742" s="692" t="n"/>
    </row>
    <row r="743">
      <c r="A743" s="545" t="n"/>
      <c r="B743" s="545" t="n"/>
      <c r="C743" s="546" t="n"/>
      <c r="D743" s="58" t="n"/>
      <c r="E743" s="65" t="n"/>
      <c r="F743" s="65" t="n"/>
      <c r="K743" s="692" t="n"/>
      <c r="L743" s="692" t="n"/>
    </row>
    <row r="744">
      <c r="A744" s="545" t="n"/>
      <c r="B744" s="545" t="n"/>
      <c r="C744" s="546" t="n"/>
      <c r="D744" s="58" t="n"/>
      <c r="E744" s="65" t="n"/>
      <c r="F744" s="65" t="n"/>
      <c r="K744" s="692" t="n"/>
      <c r="L744" s="692" t="n"/>
    </row>
    <row r="745">
      <c r="A745" s="545" t="n"/>
      <c r="B745" s="545" t="n"/>
      <c r="C745" s="546" t="n"/>
      <c r="D745" s="58" t="n"/>
      <c r="E745" s="65" t="n"/>
      <c r="F745" s="65" t="n"/>
      <c r="K745" s="692" t="n"/>
      <c r="L745" s="692" t="n"/>
    </row>
    <row r="746">
      <c r="A746" s="545" t="n"/>
      <c r="B746" s="545" t="n"/>
      <c r="C746" s="546" t="n"/>
      <c r="D746" s="58" t="n"/>
      <c r="E746" s="65" t="n"/>
      <c r="F746" s="65" t="n"/>
      <c r="K746" s="692" t="n"/>
      <c r="L746" s="692" t="n"/>
    </row>
    <row r="747">
      <c r="A747" s="545" t="n"/>
      <c r="B747" s="545" t="n"/>
      <c r="C747" s="546" t="n"/>
      <c r="D747" s="58" t="n"/>
      <c r="E747" s="65" t="n"/>
      <c r="F747" s="65" t="n"/>
      <c r="K747" s="692" t="n"/>
      <c r="L747" s="692" t="n"/>
    </row>
    <row r="748">
      <c r="A748" s="545" t="n"/>
      <c r="B748" s="545" t="n"/>
      <c r="C748" s="546" t="n"/>
      <c r="D748" s="58" t="n"/>
      <c r="E748" s="65" t="n"/>
      <c r="F748" s="65" t="n"/>
      <c r="K748" s="692" t="n"/>
      <c r="L748" s="692" t="n"/>
    </row>
    <row r="749">
      <c r="A749" s="545" t="n"/>
      <c r="B749" s="545" t="n"/>
      <c r="C749" s="546" t="n"/>
      <c r="D749" s="58" t="n"/>
      <c r="E749" s="65" t="n"/>
      <c r="F749" s="65" t="n"/>
      <c r="K749" s="692" t="n"/>
      <c r="L749" s="692" t="n"/>
    </row>
    <row r="750">
      <c r="A750" s="545" t="n"/>
      <c r="B750" s="545" t="n"/>
      <c r="C750" s="546" t="n"/>
      <c r="D750" s="58" t="n"/>
      <c r="E750" s="65" t="n"/>
      <c r="F750" s="65" t="n"/>
      <c r="K750" s="692" t="n"/>
      <c r="L750" s="692" t="n"/>
    </row>
    <row r="751">
      <c r="A751" s="545" t="n"/>
      <c r="B751" s="545" t="n"/>
      <c r="C751" s="546" t="n"/>
      <c r="D751" s="58" t="n"/>
      <c r="E751" s="65" t="n"/>
      <c r="F751" s="65" t="n"/>
      <c r="K751" s="692" t="n"/>
      <c r="L751" s="692" t="n"/>
    </row>
    <row r="752">
      <c r="A752" s="545" t="n"/>
      <c r="B752" s="545" t="n"/>
      <c r="C752" s="546" t="n"/>
      <c r="D752" s="58" t="n"/>
      <c r="E752" s="65" t="n"/>
      <c r="F752" s="65" t="n"/>
      <c r="K752" s="692" t="n"/>
      <c r="L752" s="692" t="n"/>
    </row>
    <row r="753">
      <c r="A753" s="545" t="n"/>
      <c r="B753" s="545" t="n"/>
      <c r="C753" s="546" t="n"/>
      <c r="D753" s="58" t="n"/>
      <c r="E753" s="65" t="n"/>
      <c r="F753" s="65" t="n"/>
      <c r="K753" s="692" t="n"/>
      <c r="L753" s="692" t="n"/>
    </row>
    <row r="754">
      <c r="A754" s="545" t="n"/>
      <c r="B754" s="545" t="n"/>
      <c r="C754" s="546" t="n"/>
      <c r="D754" s="58" t="n"/>
      <c r="E754" s="65" t="n"/>
      <c r="F754" s="65" t="n"/>
      <c r="K754" s="692" t="n"/>
      <c r="L754" s="692" t="n"/>
    </row>
    <row r="755">
      <c r="A755" s="545" t="n"/>
      <c r="B755" s="545" t="n"/>
      <c r="C755" s="546" t="n"/>
      <c r="D755" s="58" t="n"/>
      <c r="E755" s="65" t="n"/>
      <c r="F755" s="65" t="n"/>
      <c r="K755" s="692" t="n"/>
      <c r="L755" s="692" t="n"/>
    </row>
    <row r="756">
      <c r="A756" s="545" t="n"/>
      <c r="B756" s="545" t="n"/>
      <c r="C756" s="546" t="n"/>
      <c r="D756" s="58" t="n"/>
      <c r="E756" s="65" t="n"/>
      <c r="F756" s="65" t="n"/>
      <c r="K756" s="692" t="n"/>
      <c r="L756" s="692" t="n"/>
    </row>
    <row r="757">
      <c r="A757" s="545" t="n"/>
      <c r="B757" s="545" t="n"/>
      <c r="C757" s="546" t="n"/>
      <c r="D757" s="58" t="n"/>
      <c r="E757" s="65" t="n"/>
      <c r="F757" s="65" t="n"/>
      <c r="K757" s="692" t="n"/>
      <c r="L757" s="692" t="n"/>
    </row>
    <row r="758">
      <c r="A758" s="545" t="n"/>
      <c r="B758" s="545" t="n"/>
      <c r="C758" s="546" t="n"/>
      <c r="D758" s="58" t="n"/>
      <c r="E758" s="65" t="n"/>
      <c r="F758" s="65" t="n"/>
      <c r="K758" s="692" t="n"/>
      <c r="L758" s="692" t="n"/>
    </row>
    <row r="759">
      <c r="A759" s="545" t="n"/>
      <c r="B759" s="545" t="n"/>
      <c r="C759" s="546" t="n"/>
      <c r="D759" s="58" t="n"/>
      <c r="E759" s="65" t="n"/>
      <c r="F759" s="65" t="n"/>
      <c r="K759" s="692" t="n"/>
      <c r="L759" s="692" t="n"/>
    </row>
    <row r="760">
      <c r="A760" s="545" t="n"/>
      <c r="B760" s="545" t="n"/>
      <c r="C760" s="546" t="n"/>
      <c r="D760" s="58" t="n"/>
      <c r="E760" s="65" t="n"/>
      <c r="F760" s="65" t="n"/>
      <c r="K760" s="692" t="n"/>
      <c r="L760" s="692" t="n"/>
    </row>
    <row r="761">
      <c r="A761" s="545" t="n"/>
      <c r="B761" s="545" t="n"/>
      <c r="C761" s="546" t="n"/>
      <c r="D761" s="58" t="n"/>
      <c r="E761" s="65" t="n"/>
      <c r="F761" s="65" t="n"/>
      <c r="K761" s="692" t="n"/>
      <c r="L761" s="692" t="n"/>
    </row>
    <row r="762">
      <c r="A762" s="545" t="n"/>
      <c r="B762" s="545" t="n"/>
      <c r="C762" s="546" t="n"/>
      <c r="D762" s="58" t="n"/>
      <c r="E762" s="65" t="n"/>
      <c r="F762" s="65" t="n"/>
      <c r="K762" s="692" t="n"/>
      <c r="L762" s="692" t="n"/>
    </row>
    <row r="763">
      <c r="A763" s="545" t="n"/>
      <c r="B763" s="545" t="n"/>
      <c r="C763" s="546" t="n"/>
      <c r="D763" s="58" t="n"/>
      <c r="E763" s="65" t="n"/>
      <c r="F763" s="65" t="n"/>
      <c r="K763" s="692" t="n"/>
      <c r="L763" s="692" t="n"/>
    </row>
    <row r="764">
      <c r="A764" s="545" t="n"/>
      <c r="B764" s="545" t="n"/>
      <c r="C764" s="546" t="n"/>
      <c r="D764" s="58" t="n"/>
      <c r="E764" s="65" t="n"/>
      <c r="F764" s="65" t="n"/>
      <c r="K764" s="692" t="n"/>
      <c r="L764" s="692" t="n"/>
    </row>
    <row r="765">
      <c r="A765" s="545" t="n"/>
      <c r="B765" s="545" t="n"/>
      <c r="C765" s="546" t="n"/>
      <c r="D765" s="58" t="n"/>
      <c r="E765" s="65" t="n"/>
      <c r="F765" s="65" t="n"/>
      <c r="K765" s="692" t="n"/>
      <c r="L765" s="692" t="n"/>
    </row>
    <row r="766">
      <c r="A766" s="545" t="n"/>
      <c r="B766" s="545" t="n"/>
      <c r="C766" s="546" t="n"/>
      <c r="D766" s="58" t="n"/>
      <c r="E766" s="65" t="n"/>
      <c r="F766" s="65" t="n"/>
      <c r="K766" s="692" t="n"/>
      <c r="L766" s="692" t="n"/>
    </row>
    <row r="767">
      <c r="A767" s="545" t="n"/>
      <c r="B767" s="545" t="n"/>
      <c r="C767" s="546" t="n"/>
      <c r="D767" s="58" t="n"/>
      <c r="E767" s="65" t="n"/>
      <c r="F767" s="65" t="n"/>
      <c r="K767" s="692" t="n"/>
      <c r="L767" s="692" t="n"/>
    </row>
    <row r="768">
      <c r="A768" s="545" t="n"/>
      <c r="B768" s="545" t="n"/>
      <c r="C768" s="546" t="n"/>
      <c r="D768" s="58" t="n"/>
      <c r="E768" s="65" t="n"/>
      <c r="F768" s="65" t="n"/>
      <c r="K768" s="692" t="n"/>
      <c r="L768" s="692" t="n"/>
    </row>
    <row r="769">
      <c r="A769" s="545" t="n"/>
      <c r="B769" s="545" t="n"/>
      <c r="C769" s="546" t="n"/>
      <c r="D769" s="58" t="n"/>
      <c r="E769" s="65" t="n"/>
      <c r="F769" s="65" t="n"/>
      <c r="K769" s="692" t="n"/>
      <c r="L769" s="692" t="n"/>
    </row>
    <row r="770">
      <c r="A770" s="545" t="n"/>
      <c r="B770" s="545" t="n"/>
      <c r="C770" s="546" t="n"/>
      <c r="D770" s="58" t="n"/>
      <c r="E770" s="65" t="n"/>
      <c r="F770" s="65" t="n"/>
      <c r="K770" s="692" t="n"/>
      <c r="L770" s="692" t="n"/>
    </row>
    <row r="771">
      <c r="A771" s="545" t="n"/>
      <c r="B771" s="545" t="n"/>
      <c r="C771" s="546" t="n"/>
      <c r="D771" s="58" t="n"/>
      <c r="E771" s="65" t="n"/>
      <c r="F771" s="65" t="n"/>
      <c r="K771" s="692" t="n"/>
      <c r="L771" s="692" t="n"/>
    </row>
    <row r="772">
      <c r="A772" s="545" t="n"/>
      <c r="B772" s="545" t="n"/>
      <c r="C772" s="546" t="n"/>
      <c r="D772" s="58" t="n"/>
      <c r="E772" s="65" t="n"/>
      <c r="F772" s="65" t="n"/>
      <c r="K772" s="692" t="n"/>
      <c r="L772" s="692" t="n"/>
    </row>
    <row r="773">
      <c r="A773" s="545" t="n"/>
      <c r="B773" s="545" t="n"/>
      <c r="C773" s="546" t="n"/>
      <c r="D773" s="58" t="n"/>
      <c r="E773" s="65" t="n"/>
      <c r="F773" s="65" t="n"/>
      <c r="K773" s="692" t="n"/>
      <c r="L773" s="692" t="n"/>
    </row>
    <row r="774">
      <c r="A774" s="545" t="n"/>
      <c r="B774" s="545" t="n"/>
      <c r="C774" s="546" t="n"/>
      <c r="D774" s="58" t="n"/>
      <c r="E774" s="65" t="n"/>
      <c r="F774" s="65" t="n"/>
      <c r="K774" s="692" t="n"/>
      <c r="L774" s="692" t="n"/>
    </row>
    <row r="775">
      <c r="A775" s="545" t="n"/>
      <c r="B775" s="545" t="n"/>
      <c r="C775" s="546" t="n"/>
      <c r="D775" s="58" t="n"/>
      <c r="E775" s="65" t="n"/>
      <c r="F775" s="65" t="n"/>
      <c r="K775" s="692" t="n"/>
      <c r="L775" s="692" t="n"/>
    </row>
    <row r="776">
      <c r="A776" s="545" t="n"/>
      <c r="B776" s="545" t="n"/>
      <c r="C776" s="546" t="n"/>
      <c r="D776" s="58" t="n"/>
      <c r="E776" s="65" t="n"/>
      <c r="F776" s="65" t="n"/>
      <c r="K776" s="692" t="n"/>
      <c r="L776" s="692" t="n"/>
    </row>
    <row r="777">
      <c r="A777" s="545" t="n"/>
      <c r="B777" s="545" t="n"/>
      <c r="C777" s="546" t="n"/>
      <c r="D777" s="58" t="n"/>
      <c r="E777" s="65" t="n"/>
      <c r="F777" s="65" t="n"/>
      <c r="K777" s="692" t="n"/>
      <c r="L777" s="692" t="n"/>
    </row>
    <row r="778">
      <c r="A778" s="545" t="n"/>
      <c r="B778" s="545" t="n"/>
      <c r="C778" s="546" t="n"/>
      <c r="D778" s="58" t="n"/>
      <c r="E778" s="65" t="n"/>
      <c r="F778" s="65" t="n"/>
      <c r="K778" s="692" t="n"/>
      <c r="L778" s="692" t="n"/>
    </row>
    <row r="779">
      <c r="A779" s="545" t="n"/>
      <c r="B779" s="545" t="n"/>
      <c r="C779" s="546" t="n"/>
      <c r="D779" s="58" t="n"/>
      <c r="E779" s="65" t="n"/>
      <c r="F779" s="65" t="n"/>
      <c r="K779" s="692" t="n"/>
      <c r="L779" s="692" t="n"/>
    </row>
    <row r="780">
      <c r="A780" s="545" t="n"/>
      <c r="B780" s="545" t="n"/>
      <c r="C780" s="546" t="n"/>
      <c r="D780" s="58" t="n"/>
      <c r="E780" s="65" t="n"/>
      <c r="F780" s="65" t="n"/>
      <c r="K780" s="692" t="n"/>
      <c r="L780" s="692" t="n"/>
    </row>
    <row r="781">
      <c r="A781" s="545" t="n"/>
      <c r="B781" s="545" t="n"/>
      <c r="C781" s="546" t="n"/>
      <c r="D781" s="58" t="n"/>
      <c r="E781" s="65" t="n"/>
      <c r="F781" s="65" t="n"/>
      <c r="K781" s="692" t="n"/>
      <c r="L781" s="692" t="n"/>
    </row>
    <row r="782">
      <c r="A782" s="545" t="n"/>
      <c r="B782" s="545" t="n"/>
      <c r="C782" s="546" t="n"/>
      <c r="D782" s="58" t="n"/>
      <c r="E782" s="65" t="n"/>
      <c r="F782" s="65" t="n"/>
      <c r="K782" s="692" t="n"/>
      <c r="L782" s="692" t="n"/>
    </row>
    <row r="783">
      <c r="A783" s="545" t="n"/>
      <c r="B783" s="545" t="n"/>
      <c r="C783" s="546" t="n"/>
      <c r="D783" s="58" t="n"/>
      <c r="E783" s="65" t="n"/>
      <c r="F783" s="65" t="n"/>
      <c r="K783" s="692" t="n"/>
      <c r="L783" s="692" t="n"/>
    </row>
    <row r="784">
      <c r="A784" s="545" t="n"/>
      <c r="B784" s="545" t="n"/>
      <c r="C784" s="546" t="n"/>
      <c r="D784" s="58" t="n"/>
      <c r="E784" s="65" t="n"/>
      <c r="F784" s="65" t="n"/>
      <c r="K784" s="692" t="n"/>
      <c r="L784" s="692" t="n"/>
    </row>
    <row r="785">
      <c r="A785" s="545" t="n"/>
      <c r="B785" s="545" t="n"/>
      <c r="C785" s="546" t="n"/>
      <c r="D785" s="58" t="n"/>
      <c r="E785" s="65" t="n"/>
      <c r="F785" s="65" t="n"/>
      <c r="K785" s="692" t="n"/>
      <c r="L785" s="692" t="n"/>
    </row>
    <row r="786">
      <c r="A786" s="545" t="n"/>
      <c r="B786" s="545" t="n"/>
      <c r="C786" s="546" t="n"/>
      <c r="D786" s="58" t="n"/>
      <c r="E786" s="65" t="n"/>
      <c r="F786" s="65" t="n"/>
      <c r="K786" s="692" t="n"/>
      <c r="L786" s="692" t="n"/>
    </row>
    <row r="787">
      <c r="A787" s="545" t="n"/>
      <c r="B787" s="545" t="n"/>
      <c r="C787" s="546" t="n"/>
      <c r="D787" s="58" t="n"/>
      <c r="E787" s="65" t="n"/>
      <c r="F787" s="65" t="n"/>
      <c r="K787" s="692" t="n"/>
      <c r="L787" s="692" t="n"/>
    </row>
    <row r="788">
      <c r="A788" s="545" t="n"/>
      <c r="B788" s="545" t="n"/>
      <c r="C788" s="546" t="n"/>
      <c r="D788" s="58" t="n"/>
      <c r="E788" s="65" t="n"/>
      <c r="F788" s="65" t="n"/>
      <c r="K788" s="692" t="n"/>
      <c r="L788" s="692" t="n"/>
    </row>
    <row r="789">
      <c r="A789" s="545" t="n"/>
      <c r="B789" s="545" t="n"/>
      <c r="C789" s="546" t="n"/>
      <c r="D789" s="58" t="n"/>
      <c r="E789" s="65" t="n"/>
      <c r="F789" s="65" t="n"/>
      <c r="K789" s="692" t="n"/>
      <c r="L789" s="692" t="n"/>
    </row>
    <row r="790">
      <c r="A790" s="545" t="n"/>
      <c r="B790" s="545" t="n"/>
      <c r="C790" s="546" t="n"/>
      <c r="D790" s="58" t="n"/>
      <c r="E790" s="65" t="n"/>
      <c r="F790" s="65" t="n"/>
      <c r="K790" s="692" t="n"/>
      <c r="L790" s="692" t="n"/>
    </row>
    <row r="791">
      <c r="A791" s="545" t="n"/>
      <c r="B791" s="545" t="n"/>
      <c r="C791" s="546" t="n"/>
      <c r="D791" s="58" t="n"/>
      <c r="E791" s="65" t="n"/>
      <c r="F791" s="65" t="n"/>
      <c r="K791" s="692" t="n"/>
      <c r="L791" s="692" t="n"/>
    </row>
    <row r="792">
      <c r="A792" s="545" t="n"/>
      <c r="B792" s="545" t="n"/>
      <c r="C792" s="546" t="n"/>
      <c r="D792" s="58" t="n"/>
      <c r="E792" s="65" t="n"/>
      <c r="F792" s="65" t="n"/>
      <c r="K792" s="692" t="n"/>
      <c r="L792" s="692" t="n"/>
    </row>
    <row r="793">
      <c r="A793" s="545" t="n"/>
      <c r="B793" s="545" t="n"/>
      <c r="C793" s="546" t="n"/>
      <c r="D793" s="58" t="n"/>
      <c r="E793" s="65" t="n"/>
      <c r="F793" s="65" t="n"/>
      <c r="K793" s="692" t="n"/>
      <c r="L793" s="692" t="n"/>
    </row>
    <row r="794">
      <c r="A794" s="545" t="n"/>
      <c r="B794" s="545" t="n"/>
      <c r="C794" s="546" t="n"/>
      <c r="D794" s="58" t="n"/>
      <c r="E794" s="65" t="n"/>
      <c r="F794" s="65" t="n"/>
      <c r="K794" s="692" t="n"/>
      <c r="L794" s="692" t="n"/>
    </row>
    <row r="795">
      <c r="A795" s="545" t="n"/>
      <c r="B795" s="545" t="n"/>
      <c r="C795" s="546" t="n"/>
      <c r="D795" s="58" t="n"/>
      <c r="E795" s="65" t="n"/>
      <c r="F795" s="65" t="n"/>
      <c r="K795" s="692" t="n"/>
      <c r="L795" s="692" t="n"/>
    </row>
    <row r="796">
      <c r="A796" s="545" t="n"/>
      <c r="B796" s="545" t="n"/>
      <c r="C796" s="546" t="n"/>
      <c r="D796" s="58" t="n"/>
      <c r="E796" s="65" t="n"/>
      <c r="F796" s="65" t="n"/>
      <c r="K796" s="692" t="n"/>
      <c r="L796" s="692" t="n"/>
    </row>
    <row r="797">
      <c r="A797" s="545" t="n"/>
      <c r="B797" s="545" t="n"/>
      <c r="C797" s="546" t="n"/>
      <c r="D797" s="58" t="n"/>
      <c r="E797" s="65" t="n"/>
      <c r="F797" s="65" t="n"/>
      <c r="K797" s="692" t="n"/>
      <c r="L797" s="692" t="n"/>
    </row>
    <row r="798">
      <c r="A798" s="545" t="n"/>
      <c r="B798" s="545" t="n"/>
      <c r="C798" s="546" t="n"/>
      <c r="D798" s="58" t="n"/>
      <c r="E798" s="65" t="n"/>
      <c r="F798" s="65" t="n"/>
      <c r="K798" s="692" t="n"/>
      <c r="L798" s="692" t="n"/>
    </row>
    <row r="799">
      <c r="A799" s="545" t="n"/>
      <c r="B799" s="545" t="n"/>
      <c r="C799" s="546" t="n"/>
      <c r="D799" s="58" t="n"/>
      <c r="E799" s="65" t="n"/>
      <c r="F799" s="65" t="n"/>
      <c r="K799" s="692" t="n"/>
      <c r="L799" s="692" t="n"/>
    </row>
    <row r="800">
      <c r="A800" s="545" t="n"/>
      <c r="B800" s="545" t="n"/>
      <c r="C800" s="546" t="n"/>
      <c r="D800" s="58" t="n"/>
      <c r="E800" s="65" t="n"/>
      <c r="F800" s="65" t="n"/>
      <c r="K800" s="692" t="n"/>
      <c r="L800" s="692" t="n"/>
    </row>
    <row r="801">
      <c r="A801" s="545" t="n"/>
      <c r="B801" s="545" t="n"/>
      <c r="C801" s="546" t="n"/>
      <c r="D801" s="58" t="n"/>
      <c r="E801" s="65" t="n"/>
      <c r="F801" s="65" t="n"/>
      <c r="K801" s="692" t="n"/>
      <c r="L801" s="692" t="n"/>
    </row>
    <row r="802">
      <c r="A802" s="545" t="n"/>
      <c r="B802" s="545" t="n"/>
      <c r="C802" s="546" t="n"/>
      <c r="D802" s="58" t="n"/>
      <c r="E802" s="65" t="n"/>
      <c r="F802" s="65" t="n"/>
      <c r="K802" s="692" t="n"/>
      <c r="L802" s="692" t="n"/>
    </row>
    <row r="803">
      <c r="A803" s="545" t="n"/>
      <c r="B803" s="545" t="n"/>
      <c r="C803" s="546" t="n"/>
      <c r="D803" s="58" t="n"/>
      <c r="E803" s="65" t="n"/>
      <c r="F803" s="65" t="n"/>
      <c r="K803" s="692" t="n"/>
      <c r="L803" s="692" t="n"/>
    </row>
    <row r="804">
      <c r="A804" s="545" t="n"/>
      <c r="B804" s="545" t="n"/>
      <c r="C804" s="546" t="n"/>
      <c r="D804" s="58" t="n"/>
      <c r="E804" s="65" t="n"/>
      <c r="F804" s="65" t="n"/>
      <c r="K804" s="692" t="n"/>
      <c r="L804" s="692" t="n"/>
    </row>
    <row r="805">
      <c r="A805" s="545" t="n"/>
      <c r="B805" s="545" t="n"/>
      <c r="C805" s="546" t="n"/>
      <c r="D805" s="58" t="n"/>
      <c r="E805" s="65" t="n"/>
      <c r="F805" s="65" t="n"/>
      <c r="K805" s="692" t="n"/>
      <c r="L805" s="692" t="n"/>
    </row>
    <row r="806">
      <c r="A806" s="545" t="n"/>
      <c r="B806" s="545" t="n"/>
      <c r="C806" s="546" t="n"/>
      <c r="D806" s="58" t="n"/>
      <c r="E806" s="65" t="n"/>
      <c r="F806" s="65" t="n"/>
      <c r="K806" s="692" t="n"/>
      <c r="L806" s="692" t="n"/>
    </row>
    <row r="807">
      <c r="A807" s="545" t="n"/>
      <c r="B807" s="545" t="n"/>
      <c r="C807" s="546" t="n"/>
      <c r="D807" s="58" t="n"/>
      <c r="E807" s="65" t="n"/>
      <c r="F807" s="65" t="n"/>
      <c r="K807" s="692" t="n"/>
      <c r="L807" s="692" t="n"/>
    </row>
    <row r="808">
      <c r="A808" s="545" t="n"/>
      <c r="B808" s="545" t="n"/>
      <c r="C808" s="546" t="n"/>
      <c r="D808" s="58" t="n"/>
      <c r="E808" s="65" t="n"/>
      <c r="F808" s="65" t="n"/>
      <c r="K808" s="692" t="n"/>
      <c r="L808" s="692" t="n"/>
    </row>
    <row r="809">
      <c r="A809" s="545" t="n"/>
      <c r="B809" s="545" t="n"/>
      <c r="C809" s="546" t="n"/>
      <c r="D809" s="58" t="n"/>
      <c r="E809" s="65" t="n"/>
      <c r="F809" s="65" t="n"/>
      <c r="K809" s="692" t="n"/>
      <c r="L809" s="692" t="n"/>
    </row>
    <row r="810">
      <c r="A810" s="545" t="n"/>
      <c r="B810" s="545" t="n"/>
      <c r="C810" s="546" t="n"/>
      <c r="D810" s="58" t="n"/>
      <c r="E810" s="65" t="n"/>
      <c r="F810" s="65" t="n"/>
      <c r="K810" s="692" t="n"/>
      <c r="L810" s="692" t="n"/>
    </row>
    <row r="811">
      <c r="A811" s="545" t="n"/>
      <c r="B811" s="545" t="n"/>
      <c r="C811" s="546" t="n"/>
      <c r="D811" s="58" t="n"/>
      <c r="E811" s="65" t="n"/>
      <c r="F811" s="65" t="n"/>
      <c r="K811" s="692" t="n"/>
      <c r="L811" s="692" t="n"/>
    </row>
    <row r="812">
      <c r="A812" s="545" t="n"/>
      <c r="B812" s="545" t="n"/>
      <c r="C812" s="546" t="n"/>
      <c r="D812" s="58" t="n"/>
      <c r="E812" s="65" t="n"/>
      <c r="F812" s="65" t="n"/>
      <c r="K812" s="692" t="n"/>
      <c r="L812" s="692" t="n"/>
    </row>
    <row r="813">
      <c r="A813" s="545" t="n"/>
      <c r="B813" s="545" t="n"/>
      <c r="C813" s="546" t="n"/>
      <c r="D813" s="58" t="n"/>
      <c r="E813" s="65" t="n"/>
      <c r="F813" s="65" t="n"/>
      <c r="K813" s="692" t="n"/>
      <c r="L813" s="692" t="n"/>
    </row>
    <row r="814">
      <c r="A814" s="545" t="n"/>
      <c r="B814" s="545" t="n"/>
      <c r="C814" s="546" t="n"/>
      <c r="D814" s="58" t="n"/>
      <c r="E814" s="65" t="n"/>
      <c r="F814" s="65" t="n"/>
      <c r="K814" s="692" t="n"/>
      <c r="L814" s="692" t="n"/>
    </row>
    <row r="815">
      <c r="A815" s="545" t="n"/>
      <c r="B815" s="545" t="n"/>
      <c r="C815" s="546" t="n"/>
      <c r="D815" s="58" t="n"/>
      <c r="E815" s="65" t="n"/>
      <c r="F815" s="65" t="n"/>
      <c r="K815" s="692" t="n"/>
      <c r="L815" s="692" t="n"/>
    </row>
    <row r="816">
      <c r="A816" s="545" t="n"/>
      <c r="B816" s="545" t="n"/>
      <c r="C816" s="546" t="n"/>
      <c r="D816" s="58" t="n"/>
      <c r="E816" s="65" t="n"/>
      <c r="F816" s="65" t="n"/>
      <c r="K816" s="692" t="n"/>
      <c r="L816" s="692" t="n"/>
    </row>
    <row r="817">
      <c r="A817" s="545" t="n"/>
      <c r="B817" s="545" t="n"/>
      <c r="C817" s="546" t="n"/>
      <c r="D817" s="58" t="n"/>
      <c r="E817" s="65" t="n"/>
      <c r="F817" s="65" t="n"/>
      <c r="K817" s="692" t="n"/>
      <c r="L817" s="692" t="n"/>
    </row>
    <row r="818">
      <c r="A818" s="545" t="n"/>
      <c r="B818" s="545" t="n"/>
      <c r="C818" s="546" t="n"/>
      <c r="D818" s="58" t="n"/>
      <c r="E818" s="65" t="n"/>
      <c r="F818" s="65" t="n"/>
      <c r="K818" s="692" t="n"/>
      <c r="L818" s="692" t="n"/>
    </row>
    <row r="819">
      <c r="A819" s="545" t="n"/>
      <c r="B819" s="545" t="n"/>
      <c r="C819" s="546" t="n"/>
      <c r="D819" s="58" t="n"/>
      <c r="E819" s="65" t="n"/>
      <c r="F819" s="65" t="n"/>
      <c r="K819" s="692" t="n"/>
      <c r="L819" s="692" t="n"/>
    </row>
    <row r="820">
      <c r="A820" s="545" t="n"/>
      <c r="B820" s="545" t="n"/>
      <c r="C820" s="546" t="n"/>
      <c r="D820" s="58" t="n"/>
      <c r="E820" s="65" t="n"/>
      <c r="F820" s="65" t="n"/>
      <c r="K820" s="692" t="n"/>
      <c r="L820" s="692" t="n"/>
    </row>
    <row r="821">
      <c r="A821" s="545" t="n"/>
      <c r="B821" s="545" t="n"/>
      <c r="C821" s="546" t="n"/>
      <c r="D821" s="58" t="n"/>
      <c r="E821" s="65" t="n"/>
      <c r="F821" s="65" t="n"/>
      <c r="K821" s="692" t="n"/>
      <c r="L821" s="692" t="n"/>
    </row>
    <row r="822">
      <c r="A822" s="545" t="n"/>
      <c r="B822" s="545" t="n"/>
      <c r="C822" s="546" t="n"/>
      <c r="D822" s="58" t="n"/>
      <c r="E822" s="65" t="n"/>
      <c r="F822" s="65" t="n"/>
      <c r="K822" s="692" t="n"/>
      <c r="L822" s="692" t="n"/>
    </row>
    <row r="823">
      <c r="A823" s="545" t="n"/>
      <c r="B823" s="545" t="n"/>
      <c r="C823" s="546" t="n"/>
      <c r="D823" s="58" t="n"/>
      <c r="E823" s="65" t="n"/>
      <c r="F823" s="65" t="n"/>
      <c r="K823" s="692" t="n"/>
      <c r="L823" s="692" t="n"/>
    </row>
    <row r="824">
      <c r="A824" s="545" t="n"/>
      <c r="B824" s="545" t="n"/>
      <c r="C824" s="546" t="n"/>
      <c r="D824" s="58" t="n"/>
      <c r="E824" s="65" t="n"/>
      <c r="F824" s="65" t="n"/>
      <c r="K824" s="692" t="n"/>
      <c r="L824" s="692" t="n"/>
    </row>
    <row r="825">
      <c r="A825" s="545" t="n"/>
      <c r="B825" s="545" t="n"/>
      <c r="C825" s="546" t="n"/>
      <c r="D825" s="58" t="n"/>
      <c r="E825" s="65" t="n"/>
      <c r="F825" s="65" t="n"/>
      <c r="K825" s="692" t="n"/>
      <c r="L825" s="692" t="n"/>
    </row>
    <row r="826">
      <c r="A826" s="545" t="n"/>
      <c r="B826" s="545" t="n"/>
      <c r="C826" s="546" t="n"/>
      <c r="D826" s="58" t="n"/>
      <c r="E826" s="65" t="n"/>
      <c r="F826" s="65" t="n"/>
      <c r="K826" s="692" t="n"/>
      <c r="L826" s="692" t="n"/>
    </row>
    <row r="827">
      <c r="A827" s="545" t="n"/>
      <c r="B827" s="545" t="n"/>
      <c r="C827" s="546" t="n"/>
      <c r="D827" s="58" t="n"/>
      <c r="E827" s="65" t="n"/>
      <c r="F827" s="65" t="n"/>
      <c r="K827" s="692" t="n"/>
      <c r="L827" s="692" t="n"/>
    </row>
    <row r="828">
      <c r="A828" s="545" t="n"/>
      <c r="B828" s="545" t="n"/>
      <c r="C828" s="546" t="n"/>
      <c r="D828" s="58" t="n"/>
      <c r="E828" s="65" t="n"/>
      <c r="F828" s="65" t="n"/>
      <c r="K828" s="692" t="n"/>
      <c r="L828" s="692" t="n"/>
    </row>
    <row r="829">
      <c r="A829" s="545" t="n"/>
      <c r="B829" s="545" t="n"/>
      <c r="C829" s="546" t="n"/>
      <c r="D829" s="58" t="n"/>
      <c r="E829" s="65" t="n"/>
      <c r="F829" s="65" t="n"/>
      <c r="K829" s="692" t="n"/>
      <c r="L829" s="692" t="n"/>
    </row>
    <row r="830">
      <c r="A830" s="545" t="n"/>
      <c r="B830" s="545" t="n"/>
      <c r="C830" s="546" t="n"/>
      <c r="D830" s="58" t="n"/>
      <c r="E830" s="65" t="n"/>
      <c r="F830" s="65" t="n"/>
      <c r="K830" s="692" t="n"/>
      <c r="L830" s="692" t="n"/>
    </row>
    <row r="831">
      <c r="A831" s="545" t="n"/>
      <c r="B831" s="545" t="n"/>
      <c r="C831" s="546" t="n"/>
      <c r="D831" s="58" t="n"/>
      <c r="E831" s="65" t="n"/>
      <c r="F831" s="65" t="n"/>
      <c r="K831" s="692" t="n"/>
      <c r="L831" s="692" t="n"/>
    </row>
    <row r="832">
      <c r="A832" s="545" t="n"/>
      <c r="B832" s="545" t="n"/>
      <c r="C832" s="546" t="n"/>
      <c r="D832" s="58" t="n"/>
      <c r="E832" s="65" t="n"/>
      <c r="F832" s="65" t="n"/>
      <c r="K832" s="692" t="n"/>
      <c r="L832" s="692" t="n"/>
    </row>
    <row r="833">
      <c r="A833" s="545" t="n"/>
      <c r="B833" s="545" t="n"/>
      <c r="C833" s="546" t="n"/>
      <c r="D833" s="58" t="n"/>
      <c r="E833" s="65" t="n"/>
      <c r="F833" s="65" t="n"/>
      <c r="K833" s="692" t="n"/>
      <c r="L833" s="692" t="n"/>
    </row>
    <row r="834">
      <c r="A834" s="545" t="n"/>
      <c r="B834" s="545" t="n"/>
      <c r="C834" s="546" t="n"/>
      <c r="D834" s="58" t="n"/>
      <c r="E834" s="65" t="n"/>
      <c r="F834" s="65" t="n"/>
      <c r="K834" s="692" t="n"/>
      <c r="L834" s="692" t="n"/>
    </row>
    <row r="835">
      <c r="A835" s="545" t="n"/>
      <c r="B835" s="545" t="n"/>
      <c r="C835" s="546" t="n"/>
      <c r="D835" s="58" t="n"/>
      <c r="E835" s="65" t="n"/>
      <c r="F835" s="65" t="n"/>
      <c r="K835" s="692" t="n"/>
      <c r="L835" s="692" t="n"/>
    </row>
    <row r="836">
      <c r="A836" s="545" t="n"/>
      <c r="B836" s="545" t="n"/>
      <c r="C836" s="546" t="n"/>
      <c r="D836" s="58" t="n"/>
      <c r="E836" s="65" t="n"/>
      <c r="F836" s="65" t="n"/>
      <c r="K836" s="692" t="n"/>
      <c r="L836" s="692" t="n"/>
    </row>
    <row r="837">
      <c r="A837" s="545" t="n"/>
      <c r="B837" s="545" t="n"/>
      <c r="C837" s="546" t="n"/>
      <c r="D837" s="58" t="n"/>
      <c r="E837" s="65" t="n"/>
      <c r="F837" s="65" t="n"/>
      <c r="K837" s="692" t="n"/>
      <c r="L837" s="692" t="n"/>
    </row>
    <row r="838">
      <c r="A838" s="545" t="n"/>
      <c r="B838" s="545" t="n"/>
      <c r="C838" s="546" t="n"/>
      <c r="D838" s="58" t="n"/>
      <c r="E838" s="65" t="n"/>
      <c r="F838" s="65" t="n"/>
      <c r="K838" s="692" t="n"/>
      <c r="L838" s="692" t="n"/>
    </row>
    <row r="839">
      <c r="A839" s="545" t="n"/>
      <c r="B839" s="545" t="n"/>
      <c r="C839" s="546" t="n"/>
      <c r="D839" s="58" t="n"/>
      <c r="E839" s="65" t="n"/>
      <c r="F839" s="65" t="n"/>
      <c r="K839" s="692" t="n"/>
      <c r="L839" s="692" t="n"/>
    </row>
    <row r="840">
      <c r="A840" s="545" t="n"/>
      <c r="B840" s="545" t="n"/>
      <c r="C840" s="546" t="n"/>
      <c r="D840" s="58" t="n"/>
      <c r="E840" s="65" t="n"/>
      <c r="F840" s="65" t="n"/>
      <c r="K840" s="692" t="n"/>
      <c r="L840" s="692" t="n"/>
    </row>
    <row r="841">
      <c r="A841" s="545" t="n"/>
      <c r="B841" s="545" t="n"/>
      <c r="C841" s="546" t="n"/>
      <c r="D841" s="58" t="n"/>
      <c r="E841" s="65" t="n"/>
      <c r="F841" s="65" t="n"/>
      <c r="K841" s="692" t="n"/>
      <c r="L841" s="692" t="n"/>
    </row>
    <row r="842">
      <c r="A842" s="545" t="n"/>
      <c r="B842" s="545" t="n"/>
      <c r="C842" s="546" t="n"/>
      <c r="D842" s="58" t="n"/>
      <c r="E842" s="65" t="n"/>
      <c r="F842" s="65" t="n"/>
      <c r="K842" s="692" t="n"/>
      <c r="L842" s="692" t="n"/>
    </row>
    <row r="843">
      <c r="A843" s="545" t="n"/>
      <c r="B843" s="545" t="n"/>
      <c r="C843" s="546" t="n"/>
      <c r="D843" s="58" t="n"/>
      <c r="E843" s="65" t="n"/>
      <c r="F843" s="65" t="n"/>
      <c r="K843" s="692" t="n"/>
      <c r="L843" s="692" t="n"/>
    </row>
    <row r="844">
      <c r="A844" s="545" t="n"/>
      <c r="B844" s="545" t="n"/>
      <c r="C844" s="546" t="n"/>
      <c r="D844" s="58" t="n"/>
      <c r="E844" s="65" t="n"/>
      <c r="F844" s="65" t="n"/>
      <c r="K844" s="692" t="n"/>
      <c r="L844" s="692" t="n"/>
    </row>
    <row r="845">
      <c r="A845" s="545" t="n"/>
      <c r="B845" s="545" t="n"/>
      <c r="C845" s="546" t="n"/>
      <c r="D845" s="58" t="n"/>
      <c r="E845" s="65" t="n"/>
      <c r="F845" s="65" t="n"/>
      <c r="K845" s="692" t="n"/>
      <c r="L845" s="692" t="n"/>
    </row>
    <row r="846">
      <c r="A846" s="545" t="n"/>
      <c r="B846" s="545" t="n"/>
      <c r="C846" s="546" t="n"/>
      <c r="D846" s="58" t="n"/>
      <c r="E846" s="65" t="n"/>
      <c r="F846" s="65" t="n"/>
      <c r="K846" s="692" t="n"/>
      <c r="L846" s="692" t="n"/>
    </row>
    <row r="847">
      <c r="A847" s="545" t="n"/>
      <c r="B847" s="545" t="n"/>
      <c r="C847" s="546" t="n"/>
      <c r="D847" s="58" t="n"/>
      <c r="E847" s="65" t="n"/>
      <c r="F847" s="65" t="n"/>
      <c r="K847" s="692" t="n"/>
      <c r="L847" s="692" t="n"/>
    </row>
    <row r="848">
      <c r="A848" s="545" t="n"/>
      <c r="B848" s="545" t="n"/>
      <c r="C848" s="546" t="n"/>
      <c r="D848" s="58" t="n"/>
      <c r="E848" s="65" t="n"/>
      <c r="F848" s="65" t="n"/>
      <c r="K848" s="692" t="n"/>
      <c r="L848" s="692" t="n"/>
    </row>
    <row r="849">
      <c r="A849" s="545" t="n"/>
      <c r="B849" s="545" t="n"/>
      <c r="C849" s="546" t="n"/>
      <c r="D849" s="58" t="n"/>
      <c r="E849" s="65" t="n"/>
      <c r="F849" s="65" t="n"/>
      <c r="K849" s="692" t="n"/>
      <c r="L849" s="692" t="n"/>
    </row>
    <row r="850">
      <c r="A850" s="545" t="n"/>
      <c r="B850" s="545" t="n"/>
      <c r="C850" s="546" t="n"/>
      <c r="D850" s="58" t="n"/>
      <c r="E850" s="65" t="n"/>
      <c r="F850" s="65" t="n"/>
      <c r="K850" s="692" t="n"/>
      <c r="L850" s="692" t="n"/>
    </row>
    <row r="851">
      <c r="A851" s="545" t="n"/>
      <c r="B851" s="545" t="n"/>
      <c r="C851" s="546" t="n"/>
      <c r="D851" s="58" t="n"/>
      <c r="E851" s="65" t="n"/>
      <c r="F851" s="65" t="n"/>
      <c r="K851" s="692" t="n"/>
      <c r="L851" s="692" t="n"/>
    </row>
    <row r="852">
      <c r="A852" s="545" t="n"/>
      <c r="B852" s="545" t="n"/>
      <c r="C852" s="546" t="n"/>
      <c r="D852" s="58" t="n"/>
      <c r="E852" s="65" t="n"/>
      <c r="F852" s="65" t="n"/>
      <c r="K852" s="692" t="n"/>
      <c r="L852" s="692" t="n"/>
    </row>
    <row r="853">
      <c r="A853" s="545" t="n"/>
      <c r="B853" s="545" t="n"/>
      <c r="C853" s="546" t="n"/>
      <c r="D853" s="58" t="n"/>
      <c r="E853" s="65" t="n"/>
      <c r="F853" s="65" t="n"/>
      <c r="K853" s="692" t="n"/>
      <c r="L853" s="692" t="n"/>
    </row>
    <row r="854">
      <c r="A854" s="545" t="n"/>
      <c r="B854" s="545" t="n"/>
      <c r="C854" s="546" t="n"/>
      <c r="D854" s="58" t="n"/>
      <c r="E854" s="65" t="n"/>
      <c r="F854" s="65" t="n"/>
      <c r="K854" s="692" t="n"/>
      <c r="L854" s="692" t="n"/>
    </row>
    <row r="855">
      <c r="A855" s="545" t="n"/>
      <c r="B855" s="545" t="n"/>
      <c r="C855" s="546" t="n"/>
      <c r="D855" s="58" t="n"/>
      <c r="E855" s="65" t="n"/>
      <c r="F855" s="65" t="n"/>
      <c r="K855" s="692" t="n"/>
      <c r="L855" s="692" t="n"/>
    </row>
    <row r="856">
      <c r="A856" s="545" t="n"/>
      <c r="B856" s="545" t="n"/>
      <c r="C856" s="546" t="n"/>
      <c r="D856" s="58" t="n"/>
      <c r="E856" s="65" t="n"/>
      <c r="F856" s="65" t="n"/>
      <c r="K856" s="692" t="n"/>
      <c r="L856" s="692" t="n"/>
    </row>
    <row r="857">
      <c r="A857" s="545" t="n"/>
      <c r="B857" s="545" t="n"/>
      <c r="C857" s="546" t="n"/>
      <c r="D857" s="58" t="n"/>
      <c r="E857" s="65" t="n"/>
      <c r="F857" s="65" t="n"/>
      <c r="K857" s="692" t="n"/>
      <c r="L857" s="692" t="n"/>
    </row>
    <row r="858">
      <c r="A858" s="545" t="n"/>
      <c r="B858" s="545" t="n"/>
      <c r="C858" s="546" t="n"/>
      <c r="D858" s="58" t="n"/>
      <c r="E858" s="65" t="n"/>
      <c r="F858" s="65" t="n"/>
      <c r="K858" s="692" t="n"/>
      <c r="L858" s="692" t="n"/>
    </row>
    <row r="859">
      <c r="A859" s="545" t="n"/>
      <c r="B859" s="545" t="n"/>
      <c r="C859" s="546" t="n"/>
      <c r="D859" s="58" t="n"/>
      <c r="E859" s="65" t="n"/>
      <c r="F859" s="65" t="n"/>
      <c r="K859" s="692" t="n"/>
      <c r="L859" s="692" t="n"/>
    </row>
    <row r="860">
      <c r="A860" s="545" t="n"/>
      <c r="B860" s="545" t="n"/>
      <c r="C860" s="546" t="n"/>
      <c r="D860" s="58" t="n"/>
      <c r="E860" s="65" t="n"/>
      <c r="F860" s="65" t="n"/>
      <c r="K860" s="692" t="n"/>
      <c r="L860" s="692" t="n"/>
    </row>
    <row r="861">
      <c r="A861" s="545" t="n"/>
      <c r="B861" s="545" t="n"/>
      <c r="C861" s="546" t="n"/>
      <c r="D861" s="58" t="n"/>
      <c r="E861" s="65" t="n"/>
      <c r="F861" s="65" t="n"/>
      <c r="K861" s="692" t="n"/>
      <c r="L861" s="692" t="n"/>
    </row>
    <row r="862">
      <c r="A862" s="545" t="n"/>
      <c r="B862" s="545" t="n"/>
      <c r="C862" s="546" t="n"/>
      <c r="D862" s="58" t="n"/>
      <c r="E862" s="65" t="n"/>
      <c r="F862" s="65" t="n"/>
      <c r="K862" s="692" t="n"/>
      <c r="L862" s="692" t="n"/>
    </row>
    <row r="863">
      <c r="A863" s="545" t="n"/>
      <c r="B863" s="545" t="n"/>
      <c r="C863" s="546" t="n"/>
      <c r="D863" s="58" t="n"/>
      <c r="E863" s="65" t="n"/>
      <c r="F863" s="65" t="n"/>
      <c r="K863" s="692" t="n"/>
      <c r="L863" s="692" t="n"/>
    </row>
    <row r="864">
      <c r="A864" s="545" t="n"/>
      <c r="B864" s="545" t="n"/>
      <c r="C864" s="546" t="n"/>
      <c r="D864" s="58" t="n"/>
      <c r="E864" s="65" t="n"/>
      <c r="F864" s="65" t="n"/>
      <c r="K864" s="692" t="n"/>
      <c r="L864" s="692" t="n"/>
    </row>
    <row r="865">
      <c r="A865" s="545" t="n"/>
      <c r="B865" s="545" t="n"/>
      <c r="C865" s="546" t="n"/>
      <c r="D865" s="58" t="n"/>
      <c r="E865" s="65" t="n"/>
      <c r="F865" s="65" t="n"/>
      <c r="K865" s="692" t="n"/>
      <c r="L865" s="692" t="n"/>
    </row>
    <row r="866">
      <c r="A866" s="545" t="n"/>
      <c r="B866" s="545" t="n"/>
      <c r="C866" s="546" t="n"/>
      <c r="D866" s="58" t="n"/>
      <c r="E866" s="65" t="n"/>
      <c r="F866" s="65" t="n"/>
      <c r="K866" s="692" t="n"/>
      <c r="L866" s="692" t="n"/>
    </row>
    <row r="867">
      <c r="A867" s="545" t="n"/>
      <c r="B867" s="545" t="n"/>
      <c r="C867" s="546" t="n"/>
      <c r="D867" s="58" t="n"/>
      <c r="E867" s="65" t="n"/>
      <c r="F867" s="65" t="n"/>
      <c r="K867" s="692" t="n"/>
      <c r="L867" s="692" t="n"/>
    </row>
    <row r="868">
      <c r="A868" s="545" t="n"/>
      <c r="B868" s="545" t="n"/>
      <c r="C868" s="546" t="n"/>
      <c r="D868" s="58" t="n"/>
      <c r="E868" s="65" t="n"/>
      <c r="F868" s="65" t="n"/>
      <c r="K868" s="692" t="n"/>
      <c r="L868" s="692" t="n"/>
    </row>
    <row r="869">
      <c r="A869" s="545" t="n"/>
      <c r="B869" s="545" t="n"/>
      <c r="C869" s="546" t="n"/>
      <c r="D869" s="58" t="n"/>
      <c r="E869" s="65" t="n"/>
      <c r="F869" s="65" t="n"/>
      <c r="K869" s="692" t="n"/>
      <c r="L869" s="692" t="n"/>
    </row>
    <row r="870">
      <c r="A870" s="545" t="n"/>
      <c r="B870" s="545" t="n"/>
      <c r="C870" s="546" t="n"/>
      <c r="D870" s="58" t="n"/>
      <c r="E870" s="65" t="n"/>
      <c r="F870" s="65" t="n"/>
      <c r="K870" s="692" t="n"/>
      <c r="L870" s="692" t="n"/>
    </row>
    <row r="871">
      <c r="A871" s="545" t="n"/>
      <c r="B871" s="545" t="n"/>
      <c r="C871" s="546" t="n"/>
      <c r="D871" s="58" t="n"/>
      <c r="E871" s="65" t="n"/>
      <c r="F871" s="65" t="n"/>
      <c r="K871" s="692" t="n"/>
      <c r="L871" s="692" t="n"/>
    </row>
    <row r="872">
      <c r="A872" s="545" t="n"/>
      <c r="B872" s="545" t="n"/>
      <c r="C872" s="546" t="n"/>
      <c r="D872" s="58" t="n"/>
      <c r="E872" s="65" t="n"/>
      <c r="F872" s="65" t="n"/>
      <c r="K872" s="692" t="n"/>
      <c r="L872" s="692" t="n"/>
    </row>
    <row r="873">
      <c r="A873" s="545" t="n"/>
      <c r="B873" s="545" t="n"/>
      <c r="C873" s="546" t="n"/>
      <c r="D873" s="58" t="n"/>
      <c r="E873" s="65" t="n"/>
      <c r="F873" s="65" t="n"/>
      <c r="K873" s="692" t="n"/>
      <c r="L873" s="692" t="n"/>
    </row>
    <row r="874">
      <c r="A874" s="545" t="n"/>
      <c r="B874" s="545" t="n"/>
      <c r="C874" s="546" t="n"/>
      <c r="D874" s="58" t="n"/>
      <c r="E874" s="65" t="n"/>
      <c r="F874" s="65" t="n"/>
      <c r="K874" s="692" t="n"/>
      <c r="L874" s="692" t="n"/>
    </row>
    <row r="875">
      <c r="A875" s="545" t="n"/>
      <c r="B875" s="545" t="n"/>
      <c r="C875" s="546" t="n"/>
      <c r="D875" s="58" t="n"/>
      <c r="E875" s="65" t="n"/>
      <c r="F875" s="65" t="n"/>
      <c r="K875" s="692" t="n"/>
      <c r="L875" s="692" t="n"/>
    </row>
    <row r="876">
      <c r="A876" s="545" t="n"/>
      <c r="B876" s="545" t="n"/>
      <c r="C876" s="546" t="n"/>
      <c r="D876" s="58" t="n"/>
      <c r="E876" s="65" t="n"/>
      <c r="F876" s="65" t="n"/>
      <c r="K876" s="692" t="n"/>
      <c r="L876" s="692" t="n"/>
    </row>
    <row r="877">
      <c r="A877" s="545" t="n"/>
      <c r="B877" s="545" t="n"/>
      <c r="C877" s="546" t="n"/>
      <c r="D877" s="58" t="n"/>
      <c r="E877" s="65" t="n"/>
      <c r="F877" s="65" t="n"/>
      <c r="K877" s="692" t="n"/>
      <c r="L877" s="692" t="n"/>
    </row>
    <row r="878">
      <c r="A878" s="545" t="n"/>
      <c r="B878" s="545" t="n"/>
      <c r="C878" s="546" t="n"/>
      <c r="D878" s="58" t="n"/>
      <c r="E878" s="65" t="n"/>
      <c r="F878" s="65" t="n"/>
      <c r="K878" s="692" t="n"/>
      <c r="L878" s="692" t="n"/>
    </row>
    <row r="879">
      <c r="A879" s="545" t="n"/>
      <c r="B879" s="545" t="n"/>
      <c r="C879" s="546" t="n"/>
      <c r="D879" s="58" t="n"/>
      <c r="E879" s="65" t="n"/>
      <c r="F879" s="65" t="n"/>
      <c r="K879" s="692" t="n"/>
      <c r="L879" s="692" t="n"/>
    </row>
    <row r="880">
      <c r="A880" s="545" t="n"/>
      <c r="B880" s="545" t="n"/>
      <c r="C880" s="546" t="n"/>
      <c r="D880" s="58" t="n"/>
      <c r="E880" s="65" t="n"/>
      <c r="F880" s="65" t="n"/>
      <c r="K880" s="692" t="n"/>
      <c r="L880" s="692" t="n"/>
    </row>
    <row r="881">
      <c r="A881" s="545" t="n"/>
      <c r="B881" s="545" t="n"/>
      <c r="C881" s="546" t="n"/>
      <c r="D881" s="58" t="n"/>
      <c r="E881" s="65" t="n"/>
      <c r="F881" s="65" t="n"/>
      <c r="K881" s="692" t="n"/>
      <c r="L881" s="692" t="n"/>
    </row>
    <row r="882">
      <c r="A882" s="545" t="n"/>
      <c r="B882" s="545" t="n"/>
      <c r="C882" s="546" t="n"/>
      <c r="D882" s="58" t="n"/>
      <c r="E882" s="65" t="n"/>
      <c r="F882" s="65" t="n"/>
      <c r="K882" s="692" t="n"/>
      <c r="L882" s="692" t="n"/>
    </row>
    <row r="883">
      <c r="A883" s="545" t="n"/>
      <c r="B883" s="545" t="n"/>
      <c r="C883" s="546" t="n"/>
      <c r="D883" s="58" t="n"/>
      <c r="E883" s="65" t="n"/>
      <c r="F883" s="65" t="n"/>
      <c r="K883" s="692" t="n"/>
      <c r="L883" s="692" t="n"/>
    </row>
    <row r="884">
      <c r="A884" s="545" t="n"/>
      <c r="B884" s="545" t="n"/>
      <c r="C884" s="546" t="n"/>
      <c r="D884" s="58" t="n"/>
      <c r="E884" s="65" t="n"/>
      <c r="F884" s="65" t="n"/>
      <c r="K884" s="692" t="n"/>
      <c r="L884" s="692" t="n"/>
    </row>
    <row r="885">
      <c r="A885" s="545" t="n"/>
      <c r="B885" s="545" t="n"/>
      <c r="C885" s="546" t="n"/>
      <c r="D885" s="58" t="n"/>
      <c r="E885" s="65" t="n"/>
      <c r="F885" s="65" t="n"/>
      <c r="K885" s="692" t="n"/>
      <c r="L885" s="692" t="n"/>
    </row>
    <row r="886">
      <c r="A886" s="545" t="n"/>
      <c r="B886" s="545" t="n"/>
      <c r="C886" s="546" t="n"/>
      <c r="D886" s="58" t="n"/>
      <c r="E886" s="65" t="n"/>
      <c r="F886" s="65" t="n"/>
      <c r="K886" s="692" t="n"/>
      <c r="L886" s="692" t="n"/>
    </row>
    <row r="887">
      <c r="A887" s="545" t="n"/>
      <c r="B887" s="545" t="n"/>
      <c r="C887" s="546" t="n"/>
      <c r="D887" s="58" t="n"/>
      <c r="E887" s="65" t="n"/>
      <c r="F887" s="65" t="n"/>
      <c r="K887" s="692" t="n"/>
      <c r="L887" s="692" t="n"/>
    </row>
    <row r="888">
      <c r="A888" s="545" t="n"/>
      <c r="B888" s="545" t="n"/>
      <c r="C888" s="546" t="n"/>
      <c r="D888" s="58" t="n"/>
      <c r="E888" s="65" t="n"/>
      <c r="F888" s="65" t="n"/>
      <c r="K888" s="692" t="n"/>
      <c r="L888" s="692" t="n"/>
    </row>
    <row r="889">
      <c r="A889" s="545" t="n"/>
      <c r="B889" s="545" t="n"/>
      <c r="C889" s="546" t="n"/>
      <c r="D889" s="58" t="n"/>
      <c r="E889" s="65" t="n"/>
      <c r="F889" s="65" t="n"/>
      <c r="K889" s="692" t="n"/>
      <c r="L889" s="692" t="n"/>
    </row>
    <row r="890">
      <c r="A890" s="545" t="n"/>
      <c r="B890" s="545" t="n"/>
      <c r="C890" s="546" t="n"/>
      <c r="D890" s="58" t="n"/>
      <c r="E890" s="65" t="n"/>
      <c r="F890" s="65" t="n"/>
      <c r="K890" s="692" t="n"/>
      <c r="L890" s="692" t="n"/>
    </row>
    <row r="891">
      <c r="A891" s="545" t="n"/>
      <c r="B891" s="545" t="n"/>
      <c r="C891" s="546" t="n"/>
      <c r="D891" s="58" t="n"/>
      <c r="E891" s="65" t="n"/>
      <c r="F891" s="65" t="n"/>
      <c r="K891" s="692" t="n"/>
      <c r="L891" s="692" t="n"/>
    </row>
    <row r="892">
      <c r="A892" s="545" t="n"/>
      <c r="B892" s="545" t="n"/>
      <c r="C892" s="546" t="n"/>
      <c r="D892" s="58" t="n"/>
      <c r="E892" s="65" t="n"/>
      <c r="F892" s="65" t="n"/>
      <c r="K892" s="692" t="n"/>
      <c r="L892" s="692" t="n"/>
    </row>
    <row r="893">
      <c r="A893" s="545" t="n"/>
      <c r="B893" s="545" t="n"/>
      <c r="C893" s="546" t="n"/>
      <c r="D893" s="58" t="n"/>
      <c r="E893" s="65" t="n"/>
      <c r="F893" s="65" t="n"/>
      <c r="K893" s="692" t="n"/>
      <c r="L893" s="692" t="n"/>
    </row>
    <row r="894">
      <c r="A894" s="545" t="n"/>
      <c r="B894" s="545" t="n"/>
      <c r="C894" s="546" t="n"/>
      <c r="D894" s="58" t="n"/>
      <c r="E894" s="65" t="n"/>
      <c r="F894" s="65" t="n"/>
      <c r="K894" s="692" t="n"/>
      <c r="L894" s="692" t="n"/>
    </row>
    <row r="895">
      <c r="A895" s="545" t="n"/>
      <c r="B895" s="545" t="n"/>
      <c r="C895" s="546" t="n"/>
      <c r="D895" s="58" t="n"/>
      <c r="E895" s="65" t="n"/>
      <c r="F895" s="65" t="n"/>
      <c r="K895" s="692" t="n"/>
      <c r="L895" s="692" t="n"/>
    </row>
    <row r="896">
      <c r="A896" s="545" t="n"/>
      <c r="B896" s="545" t="n"/>
      <c r="C896" s="546" t="n"/>
      <c r="D896" s="58" t="n"/>
      <c r="E896" s="65" t="n"/>
      <c r="F896" s="65" t="n"/>
      <c r="K896" s="692" t="n"/>
      <c r="L896" s="692" t="n"/>
    </row>
    <row r="897">
      <c r="A897" s="545" t="n"/>
      <c r="B897" s="545" t="n"/>
      <c r="C897" s="546" t="n"/>
      <c r="D897" s="58" t="n"/>
      <c r="E897" s="65" t="n"/>
      <c r="F897" s="65" t="n"/>
      <c r="K897" s="692" t="n"/>
      <c r="L897" s="692" t="n"/>
    </row>
    <row r="898">
      <c r="A898" s="545" t="n"/>
      <c r="B898" s="545" t="n"/>
      <c r="C898" s="546" t="n"/>
      <c r="D898" s="58" t="n"/>
      <c r="E898" s="65" t="n"/>
      <c r="F898" s="65" t="n"/>
      <c r="K898" s="692" t="n"/>
      <c r="L898" s="692" t="n"/>
    </row>
    <row r="899">
      <c r="A899" s="545" t="n"/>
      <c r="B899" s="545" t="n"/>
      <c r="C899" s="546" t="n"/>
      <c r="D899" s="58" t="n"/>
      <c r="E899" s="65" t="n"/>
      <c r="F899" s="65" t="n"/>
      <c r="K899" s="692" t="n"/>
      <c r="L899" s="692" t="n"/>
    </row>
    <row r="900">
      <c r="A900" s="545" t="n"/>
      <c r="B900" s="545" t="n"/>
      <c r="C900" s="546" t="n"/>
      <c r="D900" s="58" t="n"/>
      <c r="E900" s="65" t="n"/>
      <c r="F900" s="65" t="n"/>
      <c r="K900" s="692" t="n"/>
      <c r="L900" s="692" t="n"/>
    </row>
    <row r="901">
      <c r="A901" s="545" t="n"/>
      <c r="B901" s="545" t="n"/>
      <c r="C901" s="546" t="n"/>
      <c r="D901" s="58" t="n"/>
      <c r="E901" s="65" t="n"/>
      <c r="F901" s="65" t="n"/>
      <c r="K901" s="692" t="n"/>
      <c r="L901" s="692" t="n"/>
    </row>
    <row r="902">
      <c r="A902" s="545" t="n"/>
      <c r="B902" s="545" t="n"/>
      <c r="C902" s="546" t="n"/>
      <c r="D902" s="58" t="n"/>
      <c r="E902" s="65" t="n"/>
      <c r="F902" s="65" t="n"/>
      <c r="K902" s="692" t="n"/>
      <c r="L902" s="692" t="n"/>
    </row>
    <row r="903">
      <c r="A903" s="545" t="n"/>
      <c r="B903" s="545" t="n"/>
      <c r="C903" s="546" t="n"/>
      <c r="D903" s="58" t="n"/>
      <c r="E903" s="65" t="n"/>
      <c r="F903" s="65" t="n"/>
      <c r="K903" s="692" t="n"/>
      <c r="L903" s="692" t="n"/>
    </row>
    <row r="904">
      <c r="A904" s="545" t="n"/>
      <c r="B904" s="545" t="n"/>
      <c r="C904" s="546" t="n"/>
      <c r="D904" s="58" t="n"/>
      <c r="E904" s="65" t="n"/>
      <c r="F904" s="65" t="n"/>
      <c r="K904" s="692" t="n"/>
      <c r="L904" s="692" t="n"/>
    </row>
    <row r="905">
      <c r="A905" s="545" t="n"/>
      <c r="B905" s="545" t="n"/>
      <c r="C905" s="546" t="n"/>
      <c r="D905" s="58" t="n"/>
      <c r="E905" s="65" t="n"/>
      <c r="F905" s="65" t="n"/>
      <c r="K905" s="692" t="n"/>
      <c r="L905" s="692" t="n"/>
    </row>
    <row r="906">
      <c r="A906" s="545" t="n"/>
      <c r="B906" s="545" t="n"/>
      <c r="C906" s="546" t="n"/>
      <c r="D906" s="58" t="n"/>
      <c r="E906" s="65" t="n"/>
      <c r="F906" s="65" t="n"/>
      <c r="K906" s="692" t="n"/>
      <c r="L906" s="692" t="n"/>
    </row>
    <row r="907">
      <c r="A907" s="545" t="n"/>
      <c r="B907" s="545" t="n"/>
      <c r="C907" s="546" t="n"/>
      <c r="D907" s="58" t="n"/>
      <c r="E907" s="65" t="n"/>
      <c r="F907" s="65" t="n"/>
      <c r="K907" s="692" t="n"/>
      <c r="L907" s="692" t="n"/>
    </row>
    <row r="908">
      <c r="A908" s="545" t="n"/>
      <c r="B908" s="545" t="n"/>
      <c r="C908" s="546" t="n"/>
      <c r="D908" s="58" t="n"/>
      <c r="E908" s="65" t="n"/>
      <c r="F908" s="65" t="n"/>
      <c r="K908" s="692" t="n"/>
      <c r="L908" s="692" t="n"/>
    </row>
    <row r="909">
      <c r="A909" s="545" t="n"/>
      <c r="B909" s="545" t="n"/>
      <c r="C909" s="546" t="n"/>
      <c r="D909" s="58" t="n"/>
      <c r="E909" s="65" t="n"/>
      <c r="F909" s="65" t="n"/>
      <c r="K909" s="692" t="n"/>
      <c r="L909" s="692" t="n"/>
    </row>
    <row r="910">
      <c r="A910" s="545" t="n"/>
      <c r="B910" s="545" t="n"/>
      <c r="C910" s="546" t="n"/>
      <c r="D910" s="58" t="n"/>
      <c r="E910" s="65" t="n"/>
      <c r="F910" s="65" t="n"/>
      <c r="K910" s="692" t="n"/>
      <c r="L910" s="692" t="n"/>
    </row>
    <row r="911">
      <c r="A911" s="545" t="n"/>
      <c r="B911" s="545" t="n"/>
      <c r="C911" s="546" t="n"/>
      <c r="D911" s="58" t="n"/>
      <c r="E911" s="65" t="n"/>
      <c r="F911" s="65" t="n"/>
      <c r="K911" s="692" t="n"/>
      <c r="L911" s="692" t="n"/>
    </row>
    <row r="912">
      <c r="A912" s="545" t="n"/>
      <c r="B912" s="545" t="n"/>
      <c r="C912" s="546" t="n"/>
      <c r="D912" s="58" t="n"/>
      <c r="E912" s="65" t="n"/>
      <c r="F912" s="65" t="n"/>
      <c r="K912" s="692" t="n"/>
      <c r="L912" s="692" t="n"/>
    </row>
    <row r="913">
      <c r="A913" s="545" t="n"/>
      <c r="B913" s="545" t="n"/>
      <c r="C913" s="546" t="n"/>
      <c r="D913" s="58" t="n"/>
      <c r="E913" s="65" t="n"/>
      <c r="F913" s="65" t="n"/>
      <c r="K913" s="692" t="n"/>
      <c r="L913" s="692" t="n"/>
    </row>
    <row r="914">
      <c r="A914" s="545" t="n"/>
      <c r="B914" s="545" t="n"/>
      <c r="C914" s="546" t="n"/>
      <c r="D914" s="58" t="n"/>
      <c r="E914" s="65" t="n"/>
      <c r="F914" s="65" t="n"/>
      <c r="K914" s="692" t="n"/>
      <c r="L914" s="692" t="n"/>
    </row>
    <row r="915">
      <c r="A915" s="545" t="n"/>
      <c r="B915" s="545" t="n"/>
      <c r="C915" s="546" t="n"/>
      <c r="D915" s="58" t="n"/>
      <c r="E915" s="65" t="n"/>
      <c r="F915" s="65" t="n"/>
      <c r="K915" s="692" t="n"/>
      <c r="L915" s="692" t="n"/>
    </row>
    <row r="916">
      <c r="A916" s="545" t="n"/>
      <c r="B916" s="545" t="n"/>
      <c r="C916" s="546" t="n"/>
      <c r="D916" s="58" t="n"/>
      <c r="E916" s="65" t="n"/>
      <c r="F916" s="65" t="n"/>
      <c r="K916" s="692" t="n"/>
      <c r="L916" s="692" t="n"/>
    </row>
    <row r="917">
      <c r="A917" s="545" t="n"/>
      <c r="B917" s="545" t="n"/>
      <c r="C917" s="546" t="n"/>
      <c r="D917" s="58" t="n"/>
      <c r="E917" s="65" t="n"/>
      <c r="F917" s="65" t="n"/>
      <c r="K917" s="692" t="n"/>
      <c r="L917" s="692" t="n"/>
    </row>
    <row r="918">
      <c r="A918" s="545" t="n"/>
      <c r="B918" s="545" t="n"/>
      <c r="C918" s="546" t="n"/>
      <c r="D918" s="58" t="n"/>
      <c r="E918" s="65" t="n"/>
      <c r="F918" s="65" t="n"/>
      <c r="K918" s="692" t="n"/>
      <c r="L918" s="692" t="n"/>
    </row>
    <row r="919">
      <c r="A919" s="545" t="n"/>
      <c r="B919" s="545" t="n"/>
      <c r="C919" s="546" t="n"/>
      <c r="D919" s="58" t="n"/>
      <c r="E919" s="65" t="n"/>
      <c r="F919" s="65" t="n"/>
      <c r="K919" s="692" t="n"/>
      <c r="L919" s="692" t="n"/>
    </row>
    <row r="920">
      <c r="A920" s="545" t="n"/>
      <c r="B920" s="545" t="n"/>
      <c r="C920" s="546" t="n"/>
      <c r="D920" s="58" t="n"/>
      <c r="E920" s="65" t="n"/>
      <c r="F920" s="65" t="n"/>
      <c r="K920" s="692" t="n"/>
      <c r="L920" s="692" t="n"/>
    </row>
    <row r="921">
      <c r="A921" s="545" t="n"/>
      <c r="B921" s="545" t="n"/>
      <c r="C921" s="546" t="n"/>
      <c r="D921" s="58" t="n"/>
      <c r="E921" s="65" t="n"/>
      <c r="F921" s="65" t="n"/>
      <c r="K921" s="692" t="n"/>
      <c r="L921" s="692" t="n"/>
    </row>
    <row r="922">
      <c r="A922" s="545" t="n"/>
      <c r="B922" s="545" t="n"/>
      <c r="C922" s="546" t="n"/>
      <c r="D922" s="58" t="n"/>
      <c r="E922" s="65" t="n"/>
      <c r="F922" s="65" t="n"/>
      <c r="K922" s="692" t="n"/>
      <c r="L922" s="692" t="n"/>
    </row>
    <row r="923">
      <c r="A923" s="545" t="n"/>
      <c r="B923" s="545" t="n"/>
      <c r="C923" s="546" t="n"/>
      <c r="D923" s="58" t="n"/>
      <c r="E923" s="65" t="n"/>
      <c r="F923" s="65" t="n"/>
      <c r="K923" s="692" t="n"/>
      <c r="L923" s="692" t="n"/>
    </row>
    <row r="924">
      <c r="A924" s="545" t="n"/>
      <c r="B924" s="545" t="n"/>
      <c r="C924" s="546" t="n"/>
      <c r="D924" s="58" t="n"/>
      <c r="E924" s="65" t="n"/>
      <c r="F924" s="65" t="n"/>
      <c r="K924" s="692" t="n"/>
      <c r="L924" s="692" t="n"/>
    </row>
    <row r="925">
      <c r="A925" s="545" t="n"/>
      <c r="B925" s="545" t="n"/>
      <c r="C925" s="546" t="n"/>
      <c r="D925" s="58" t="n"/>
      <c r="E925" s="65" t="n"/>
      <c r="F925" s="65" t="n"/>
      <c r="K925" s="692" t="n"/>
      <c r="L925" s="692" t="n"/>
    </row>
    <row r="926">
      <c r="A926" s="545" t="n"/>
      <c r="B926" s="545" t="n"/>
      <c r="C926" s="546" t="n"/>
      <c r="D926" s="58" t="n"/>
      <c r="E926" s="65" t="n"/>
      <c r="F926" s="65" t="n"/>
      <c r="K926" s="692" t="n"/>
      <c r="L926" s="692" t="n"/>
    </row>
    <row r="927">
      <c r="A927" s="545" t="n"/>
      <c r="B927" s="545" t="n"/>
      <c r="C927" s="546" t="n"/>
      <c r="D927" s="58" t="n"/>
      <c r="E927" s="65" t="n"/>
      <c r="F927" s="65" t="n"/>
      <c r="K927" s="692" t="n"/>
      <c r="L927" s="692" t="n"/>
    </row>
    <row r="928">
      <c r="A928" s="545" t="n"/>
      <c r="B928" s="545" t="n"/>
      <c r="C928" s="546" t="n"/>
      <c r="D928" s="58" t="n"/>
      <c r="E928" s="65" t="n"/>
      <c r="F928" s="65" t="n"/>
      <c r="K928" s="692" t="n"/>
      <c r="L928" s="692" t="n"/>
    </row>
    <row r="929">
      <c r="A929" s="545" t="n"/>
      <c r="B929" s="545" t="n"/>
      <c r="C929" s="546" t="n"/>
      <c r="D929" s="58" t="n"/>
      <c r="E929" s="65" t="n"/>
      <c r="F929" s="65" t="n"/>
      <c r="K929" s="692" t="n"/>
      <c r="L929" s="692" t="n"/>
    </row>
    <row r="930">
      <c r="A930" s="545" t="n"/>
      <c r="B930" s="545" t="n"/>
      <c r="C930" s="546" t="n"/>
      <c r="D930" s="58" t="n"/>
      <c r="E930" s="65" t="n"/>
      <c r="F930" s="65" t="n"/>
      <c r="K930" s="692" t="n"/>
      <c r="L930" s="692" t="n"/>
    </row>
    <row r="931">
      <c r="A931" s="545" t="n"/>
      <c r="B931" s="545" t="n"/>
      <c r="C931" s="546" t="n"/>
      <c r="D931" s="58" t="n"/>
      <c r="E931" s="65" t="n"/>
      <c r="F931" s="65" t="n"/>
      <c r="K931" s="692" t="n"/>
      <c r="L931" s="692" t="n"/>
    </row>
    <row r="932">
      <c r="A932" s="545" t="n"/>
      <c r="B932" s="545" t="n"/>
      <c r="C932" s="546" t="n"/>
      <c r="D932" s="58" t="n"/>
      <c r="E932" s="65" t="n"/>
      <c r="F932" s="65" t="n"/>
      <c r="K932" s="692" t="n"/>
      <c r="L932" s="692" t="n"/>
    </row>
    <row r="933">
      <c r="A933" s="545" t="n"/>
      <c r="B933" s="545" t="n"/>
      <c r="C933" s="546" t="n"/>
      <c r="D933" s="58" t="n"/>
      <c r="E933" s="65" t="n"/>
      <c r="F933" s="65" t="n"/>
      <c r="K933" s="692" t="n"/>
      <c r="L933" s="692" t="n"/>
    </row>
    <row r="934">
      <c r="A934" s="545" t="n"/>
      <c r="B934" s="545" t="n"/>
      <c r="C934" s="546" t="n"/>
      <c r="D934" s="58" t="n"/>
      <c r="E934" s="65" t="n"/>
      <c r="F934" s="65" t="n"/>
      <c r="K934" s="692" t="n"/>
      <c r="L934" s="692" t="n"/>
    </row>
    <row r="935">
      <c r="A935" s="545" t="n"/>
      <c r="B935" s="545" t="n"/>
      <c r="C935" s="546" t="n"/>
      <c r="D935" s="58" t="n"/>
      <c r="E935" s="65" t="n"/>
      <c r="F935" s="65" t="n"/>
      <c r="K935" s="692" t="n"/>
      <c r="L935" s="692" t="n"/>
    </row>
    <row r="936">
      <c r="A936" s="545" t="n"/>
      <c r="B936" s="545" t="n"/>
      <c r="C936" s="546" t="n"/>
      <c r="D936" s="58" t="n"/>
      <c r="E936" s="65" t="n"/>
      <c r="F936" s="65" t="n"/>
      <c r="K936" s="692" t="n"/>
      <c r="L936" s="692" t="n"/>
    </row>
    <row r="937">
      <c r="A937" s="545" t="n"/>
      <c r="B937" s="545" t="n"/>
      <c r="C937" s="546" t="n"/>
      <c r="D937" s="58" t="n"/>
      <c r="E937" s="65" t="n"/>
      <c r="F937" s="65" t="n"/>
      <c r="K937" s="692" t="n"/>
      <c r="L937" s="692" t="n"/>
    </row>
    <row r="938">
      <c r="A938" s="545" t="n"/>
      <c r="B938" s="545" t="n"/>
      <c r="C938" s="546" t="n"/>
      <c r="D938" s="58" t="n"/>
      <c r="E938" s="65" t="n"/>
      <c r="F938" s="65" t="n"/>
      <c r="K938" s="692" t="n"/>
      <c r="L938" s="692" t="n"/>
    </row>
    <row r="939">
      <c r="A939" s="545" t="n"/>
      <c r="B939" s="545" t="n"/>
      <c r="C939" s="546" t="n"/>
      <c r="D939" s="58" t="n"/>
      <c r="E939" s="65" t="n"/>
      <c r="F939" s="65" t="n"/>
      <c r="K939" s="692" t="n"/>
      <c r="L939" s="692" t="n"/>
    </row>
    <row r="940">
      <c r="A940" s="545" t="n"/>
      <c r="B940" s="545" t="n"/>
      <c r="C940" s="546" t="n"/>
      <c r="D940" s="58" t="n"/>
      <c r="E940" s="65" t="n"/>
      <c r="F940" s="65" t="n"/>
      <c r="K940" s="692" t="n"/>
      <c r="L940" s="692" t="n"/>
    </row>
    <row r="941">
      <c r="A941" s="545" t="n"/>
      <c r="B941" s="545" t="n"/>
      <c r="C941" s="546" t="n"/>
      <c r="D941" s="58" t="n"/>
      <c r="E941" s="65" t="n"/>
      <c r="F941" s="65" t="n"/>
      <c r="K941" s="692" t="n"/>
      <c r="L941" s="692" t="n"/>
    </row>
    <row r="942">
      <c r="A942" s="545" t="n"/>
      <c r="B942" s="545" t="n"/>
      <c r="C942" s="546" t="n"/>
      <c r="D942" s="58" t="n"/>
      <c r="E942" s="65" t="n"/>
      <c r="F942" s="65" t="n"/>
      <c r="K942" s="692" t="n"/>
      <c r="L942" s="692" t="n"/>
    </row>
    <row r="943">
      <c r="A943" s="545" t="n"/>
      <c r="B943" s="545" t="n"/>
      <c r="C943" s="546" t="n"/>
      <c r="D943" s="58" t="n"/>
      <c r="E943" s="65" t="n"/>
      <c r="F943" s="65" t="n"/>
      <c r="K943" s="692" t="n"/>
      <c r="L943" s="692" t="n"/>
    </row>
    <row r="944">
      <c r="A944" s="545" t="n"/>
      <c r="B944" s="545" t="n"/>
      <c r="C944" s="546" t="n"/>
      <c r="D944" s="58" t="n"/>
      <c r="E944" s="65" t="n"/>
      <c r="F944" s="65" t="n"/>
      <c r="K944" s="692" t="n"/>
      <c r="L944" s="692" t="n"/>
    </row>
    <row r="945">
      <c r="A945" s="545" t="n"/>
      <c r="B945" s="545" t="n"/>
      <c r="C945" s="546" t="n"/>
      <c r="D945" s="58" t="n"/>
      <c r="E945" s="65" t="n"/>
      <c r="F945" s="65" t="n"/>
      <c r="K945" s="692" t="n"/>
      <c r="L945" s="692" t="n"/>
    </row>
    <row r="946">
      <c r="A946" s="545" t="n"/>
      <c r="B946" s="545" t="n"/>
      <c r="C946" s="546" t="n"/>
      <c r="D946" s="58" t="n"/>
      <c r="E946" s="65" t="n"/>
      <c r="F946" s="65" t="n"/>
      <c r="K946" s="692" t="n"/>
      <c r="L946" s="692" t="n"/>
    </row>
    <row r="947">
      <c r="A947" s="545" t="n"/>
      <c r="B947" s="545" t="n"/>
      <c r="C947" s="546" t="n"/>
      <c r="D947" s="58" t="n"/>
      <c r="E947" s="65" t="n"/>
      <c r="F947" s="65" t="n"/>
      <c r="K947" s="692" t="n"/>
      <c r="L947" s="692" t="n"/>
    </row>
    <row r="948">
      <c r="A948" s="545" t="n"/>
      <c r="B948" s="545" t="n"/>
      <c r="C948" s="546" t="n"/>
      <c r="D948" s="58" t="n"/>
      <c r="E948" s="65" t="n"/>
      <c r="F948" s="65" t="n"/>
      <c r="K948" s="692" t="n"/>
      <c r="L948" s="692" t="n"/>
    </row>
    <row r="949">
      <c r="A949" s="545" t="n"/>
      <c r="B949" s="545" t="n"/>
      <c r="C949" s="546" t="n"/>
      <c r="D949" s="58" t="n"/>
      <c r="E949" s="65" t="n"/>
      <c r="F949" s="65" t="n"/>
      <c r="K949" s="692" t="n"/>
      <c r="L949" s="692" t="n"/>
    </row>
    <row r="950">
      <c r="A950" s="545" t="n"/>
      <c r="B950" s="545" t="n"/>
      <c r="C950" s="546" t="n"/>
      <c r="D950" s="58" t="n"/>
      <c r="E950" s="65" t="n"/>
      <c r="F950" s="65" t="n"/>
      <c r="K950" s="692" t="n"/>
      <c r="L950" s="692" t="n"/>
    </row>
    <row r="951">
      <c r="A951" s="545" t="n"/>
      <c r="B951" s="545" t="n"/>
      <c r="C951" s="546" t="n"/>
      <c r="D951" s="58" t="n"/>
      <c r="E951" s="65" t="n"/>
      <c r="F951" s="65" t="n"/>
      <c r="K951" s="692" t="n"/>
      <c r="L951" s="692" t="n"/>
    </row>
    <row r="952">
      <c r="A952" s="545" t="n"/>
      <c r="B952" s="545" t="n"/>
      <c r="C952" s="546" t="n"/>
      <c r="D952" s="58" t="n"/>
      <c r="E952" s="65" t="n"/>
      <c r="F952" s="65" t="n"/>
      <c r="K952" s="692" t="n"/>
      <c r="L952" s="692" t="n"/>
    </row>
    <row r="953">
      <c r="A953" s="545" t="n"/>
      <c r="B953" s="545" t="n"/>
      <c r="C953" s="546" t="n"/>
      <c r="D953" s="58" t="n"/>
      <c r="E953" s="65" t="n"/>
      <c r="F953" s="65" t="n"/>
      <c r="K953" s="692" t="n"/>
      <c r="L953" s="692" t="n"/>
    </row>
    <row r="954">
      <c r="A954" s="545" t="n"/>
      <c r="B954" s="545" t="n"/>
      <c r="C954" s="546" t="n"/>
      <c r="D954" s="58" t="n"/>
      <c r="E954" s="65" t="n"/>
      <c r="F954" s="65" t="n"/>
      <c r="K954" s="692" t="n"/>
      <c r="L954" s="692" t="n"/>
    </row>
    <row r="955">
      <c r="A955" s="545" t="n"/>
      <c r="B955" s="545" t="n"/>
      <c r="C955" s="546" t="n"/>
      <c r="D955" s="58" t="n"/>
      <c r="E955" s="65" t="n"/>
      <c r="F955" s="65" t="n"/>
      <c r="K955" s="692" t="n"/>
      <c r="L955" s="692" t="n"/>
    </row>
    <row r="956">
      <c r="A956" s="545" t="n"/>
      <c r="B956" s="545" t="n"/>
      <c r="C956" s="546" t="n"/>
      <c r="D956" s="58" t="n"/>
      <c r="E956" s="65" t="n"/>
      <c r="F956" s="65" t="n"/>
      <c r="K956" s="692" t="n"/>
      <c r="L956" s="692" t="n"/>
    </row>
    <row r="957">
      <c r="A957" s="545" t="n"/>
      <c r="B957" s="545" t="n"/>
      <c r="C957" s="546" t="n"/>
      <c r="D957" s="58" t="n"/>
      <c r="E957" s="65" t="n"/>
      <c r="F957" s="65" t="n"/>
      <c r="K957" s="692" t="n"/>
      <c r="L957" s="692" t="n"/>
    </row>
    <row r="958">
      <c r="A958" s="545" t="n"/>
      <c r="B958" s="545" t="n"/>
      <c r="C958" s="546" t="n"/>
      <c r="D958" s="58" t="n"/>
      <c r="E958" s="65" t="n"/>
      <c r="F958" s="65" t="n"/>
      <c r="K958" s="692" t="n"/>
      <c r="L958" s="692" t="n"/>
    </row>
    <row r="959">
      <c r="A959" s="545" t="n"/>
      <c r="B959" s="545" t="n"/>
      <c r="C959" s="546" t="n"/>
      <c r="D959" s="58" t="n"/>
      <c r="E959" s="65" t="n"/>
      <c r="F959" s="65" t="n"/>
      <c r="K959" s="692" t="n"/>
      <c r="L959" s="692" t="n"/>
    </row>
    <row r="960">
      <c r="A960" s="545" t="n"/>
      <c r="B960" s="545" t="n"/>
      <c r="C960" s="546" t="n"/>
      <c r="D960" s="58" t="n"/>
      <c r="E960" s="65" t="n"/>
      <c r="F960" s="65" t="n"/>
      <c r="K960" s="692" t="n"/>
      <c r="L960" s="692" t="n"/>
    </row>
    <row r="961">
      <c r="A961" s="545" t="n"/>
      <c r="B961" s="545" t="n"/>
      <c r="C961" s="546" t="n"/>
      <c r="D961" s="58" t="n"/>
      <c r="E961" s="65" t="n"/>
      <c r="F961" s="65" t="n"/>
      <c r="K961" s="692" t="n"/>
      <c r="L961" s="692" t="n"/>
    </row>
    <row r="962">
      <c r="A962" s="545" t="n"/>
      <c r="B962" s="545" t="n"/>
      <c r="C962" s="546" t="n"/>
      <c r="D962" s="58" t="n"/>
      <c r="E962" s="65" t="n"/>
      <c r="F962" s="65" t="n"/>
      <c r="K962" s="692" t="n"/>
      <c r="L962" s="692" t="n"/>
    </row>
    <row r="963">
      <c r="A963" s="545" t="n"/>
      <c r="B963" s="545" t="n"/>
      <c r="C963" s="546" t="n"/>
      <c r="D963" s="58" t="n"/>
      <c r="E963" s="65" t="n"/>
      <c r="F963" s="65" t="n"/>
      <c r="K963" s="692" t="n"/>
      <c r="L963" s="692" t="n"/>
    </row>
    <row r="964">
      <c r="A964" s="545" t="n"/>
      <c r="B964" s="545" t="n"/>
      <c r="C964" s="546" t="n"/>
      <c r="D964" s="58" t="n"/>
      <c r="E964" s="65" t="n"/>
      <c r="F964" s="65" t="n"/>
      <c r="K964" s="692" t="n"/>
      <c r="L964" s="692" t="n"/>
    </row>
    <row r="965">
      <c r="A965" s="545" t="n"/>
      <c r="B965" s="545" t="n"/>
      <c r="C965" s="546" t="n"/>
      <c r="D965" s="58" t="n"/>
      <c r="E965" s="65" t="n"/>
      <c r="F965" s="65" t="n"/>
      <c r="K965" s="692" t="n"/>
      <c r="L965" s="692" t="n"/>
    </row>
    <row r="966">
      <c r="A966" s="545" t="n"/>
      <c r="B966" s="545" t="n"/>
      <c r="C966" s="546" t="n"/>
      <c r="D966" s="58" t="n"/>
      <c r="E966" s="65" t="n"/>
      <c r="F966" s="65" t="n"/>
      <c r="K966" s="692" t="n"/>
      <c r="L966" s="692" t="n"/>
    </row>
    <row r="967">
      <c r="A967" s="545" t="n"/>
      <c r="B967" s="545" t="n"/>
      <c r="C967" s="546" t="n"/>
      <c r="D967" s="58" t="n"/>
      <c r="E967" s="65" t="n"/>
      <c r="F967" s="65" t="n"/>
      <c r="K967" s="692" t="n"/>
      <c r="L967" s="692" t="n"/>
    </row>
    <row r="968">
      <c r="A968" s="545" t="n"/>
      <c r="B968" s="545" t="n"/>
      <c r="C968" s="546" t="n"/>
      <c r="D968" s="58" t="n"/>
      <c r="E968" s="65" t="n"/>
      <c r="F968" s="65" t="n"/>
      <c r="K968" s="692" t="n"/>
      <c r="L968" s="692" t="n"/>
    </row>
    <row r="969">
      <c r="A969" s="545" t="n"/>
      <c r="B969" s="545" t="n"/>
      <c r="C969" s="546" t="n"/>
      <c r="D969" s="58" t="n"/>
      <c r="E969" s="65" t="n"/>
      <c r="F969" s="65" t="n"/>
      <c r="K969" s="692" t="n"/>
      <c r="L969" s="692" t="n"/>
    </row>
    <row r="970">
      <c r="A970" s="545" t="n"/>
      <c r="B970" s="545" t="n"/>
      <c r="C970" s="546" t="n"/>
      <c r="D970" s="58" t="n"/>
      <c r="E970" s="65" t="n"/>
      <c r="F970" s="65" t="n"/>
      <c r="K970" s="692" t="n"/>
      <c r="L970" s="692" t="n"/>
    </row>
    <row r="971">
      <c r="A971" s="545" t="n"/>
      <c r="B971" s="545" t="n"/>
      <c r="C971" s="546" t="n"/>
      <c r="D971" s="58" t="n"/>
      <c r="E971" s="65" t="n"/>
      <c r="F971" s="65" t="n"/>
      <c r="K971" s="692" t="n"/>
      <c r="L971" s="692" t="n"/>
    </row>
    <row r="972">
      <c r="A972" s="545" t="n"/>
      <c r="B972" s="545" t="n"/>
      <c r="C972" s="546" t="n"/>
      <c r="D972" s="58" t="n"/>
      <c r="E972" s="65" t="n"/>
      <c r="F972" s="65" t="n"/>
      <c r="K972" s="692" t="n"/>
      <c r="L972" s="692" t="n"/>
    </row>
    <row r="973">
      <c r="A973" s="545" t="n"/>
      <c r="B973" s="545" t="n"/>
      <c r="C973" s="546" t="n"/>
      <c r="D973" s="58" t="n"/>
      <c r="E973" s="65" t="n"/>
      <c r="F973" s="65" t="n"/>
      <c r="K973" s="692" t="n"/>
      <c r="L973" s="692" t="n"/>
    </row>
    <row r="974">
      <c r="A974" s="545" t="n"/>
      <c r="B974" s="545" t="n"/>
      <c r="C974" s="546" t="n"/>
      <c r="D974" s="58" t="n"/>
      <c r="E974" s="65" t="n"/>
      <c r="F974" s="65" t="n"/>
      <c r="K974" s="692" t="n"/>
      <c r="L974" s="692" t="n"/>
    </row>
    <row r="975">
      <c r="A975" s="545" t="n"/>
      <c r="B975" s="545" t="n"/>
      <c r="C975" s="546" t="n"/>
      <c r="D975" s="58" t="n"/>
      <c r="E975" s="65" t="n"/>
      <c r="F975" s="65" t="n"/>
      <c r="K975" s="692" t="n"/>
      <c r="L975" s="692" t="n"/>
    </row>
    <row r="976">
      <c r="A976" s="545" t="n"/>
      <c r="B976" s="545" t="n"/>
      <c r="C976" s="546" t="n"/>
      <c r="D976" s="58" t="n"/>
      <c r="E976" s="65" t="n"/>
      <c r="F976" s="65" t="n"/>
      <c r="K976" s="692" t="n"/>
      <c r="L976" s="692" t="n"/>
    </row>
    <row r="977">
      <c r="A977" s="545" t="n"/>
      <c r="B977" s="545" t="n"/>
      <c r="C977" s="546" t="n"/>
      <c r="D977" s="58" t="n"/>
      <c r="E977" s="65" t="n"/>
      <c r="F977" s="65" t="n"/>
      <c r="K977" s="692" t="n"/>
      <c r="L977" s="692" t="n"/>
    </row>
    <row r="978">
      <c r="A978" s="545" t="n"/>
      <c r="B978" s="545" t="n"/>
      <c r="C978" s="546" t="n"/>
      <c r="D978" s="58" t="n"/>
      <c r="E978" s="65" t="n"/>
      <c r="F978" s="65" t="n"/>
      <c r="K978" s="692" t="n"/>
      <c r="L978" s="692" t="n"/>
    </row>
    <row r="979">
      <c r="A979" s="545" t="n"/>
      <c r="B979" s="545" t="n"/>
      <c r="C979" s="546" t="n"/>
      <c r="D979" s="58" t="n"/>
      <c r="E979" s="65" t="n"/>
      <c r="F979" s="65" t="n"/>
      <c r="K979" s="692" t="n"/>
      <c r="L979" s="692" t="n"/>
    </row>
    <row r="980">
      <c r="A980" s="545" t="n"/>
      <c r="B980" s="545" t="n"/>
      <c r="C980" s="546" t="n"/>
      <c r="D980" s="58" t="n"/>
      <c r="E980" s="65" t="n"/>
      <c r="F980" s="65" t="n"/>
      <c r="K980" s="692" t="n"/>
      <c r="L980" s="692" t="n"/>
    </row>
    <row r="981">
      <c r="A981" s="545" t="n"/>
      <c r="B981" s="545" t="n"/>
      <c r="C981" s="546" t="n"/>
      <c r="D981" s="58" t="n"/>
      <c r="E981" s="65" t="n"/>
      <c r="F981" s="65" t="n"/>
      <c r="K981" s="692" t="n"/>
      <c r="L981" s="692" t="n"/>
    </row>
    <row r="982">
      <c r="A982" s="545" t="n"/>
      <c r="B982" s="545" t="n"/>
      <c r="C982" s="546" t="n"/>
      <c r="D982" s="58" t="n"/>
      <c r="E982" s="65" t="n"/>
      <c r="F982" s="65" t="n"/>
      <c r="K982" s="692" t="n"/>
      <c r="L982" s="692" t="n"/>
    </row>
    <row r="983">
      <c r="A983" s="545" t="n"/>
      <c r="B983" s="545" t="n"/>
      <c r="C983" s="546" t="n"/>
      <c r="D983" s="58" t="n"/>
      <c r="E983" s="65" t="n"/>
      <c r="F983" s="65" t="n"/>
      <c r="K983" s="692" t="n"/>
      <c r="L983" s="692" t="n"/>
    </row>
    <row r="984">
      <c r="A984" s="545" t="n"/>
      <c r="B984" s="545" t="n"/>
      <c r="C984" s="546" t="n"/>
      <c r="D984" s="58" t="n"/>
      <c r="E984" s="65" t="n"/>
      <c r="F984" s="65" t="n"/>
      <c r="K984" s="692" t="n"/>
      <c r="L984" s="692" t="n"/>
    </row>
    <row r="985">
      <c r="A985" s="545" t="n"/>
      <c r="B985" s="545" t="n"/>
      <c r="C985" s="546" t="n"/>
      <c r="D985" s="58" t="n"/>
      <c r="E985" s="65" t="n"/>
      <c r="F985" s="65" t="n"/>
      <c r="K985" s="692" t="n"/>
      <c r="L985" s="692" t="n"/>
    </row>
    <row r="986">
      <c r="A986" s="545" t="n"/>
      <c r="B986" s="545" t="n"/>
      <c r="C986" s="546" t="n"/>
      <c r="D986" s="58" t="n"/>
      <c r="E986" s="65" t="n"/>
      <c r="F986" s="65" t="n"/>
      <c r="K986" s="692" t="n"/>
      <c r="L986" s="692" t="n"/>
    </row>
    <row r="987">
      <c r="A987" s="545" t="n"/>
      <c r="B987" s="545" t="n"/>
      <c r="C987" s="546" t="n"/>
      <c r="D987" s="58" t="n"/>
      <c r="E987" s="65" t="n"/>
      <c r="F987" s="65" t="n"/>
      <c r="K987" s="692" t="n"/>
      <c r="L987" s="692" t="n"/>
    </row>
    <row r="988">
      <c r="A988" s="545" t="n"/>
      <c r="B988" s="545" t="n"/>
      <c r="C988" s="546" t="n"/>
      <c r="D988" s="58" t="n"/>
      <c r="E988" s="65" t="n"/>
      <c r="F988" s="65" t="n"/>
      <c r="K988" s="692" t="n"/>
      <c r="L988" s="692" t="n"/>
    </row>
    <row r="989">
      <c r="A989" s="545" t="n"/>
      <c r="B989" s="545" t="n"/>
      <c r="C989" s="546" t="n"/>
      <c r="D989" s="58" t="n"/>
      <c r="E989" s="65" t="n"/>
      <c r="F989" s="65" t="n"/>
      <c r="K989" s="692" t="n"/>
      <c r="L989" s="692" t="n"/>
    </row>
    <row r="990">
      <c r="A990" s="545" t="n"/>
      <c r="B990" s="545" t="n"/>
      <c r="C990" s="546" t="n"/>
      <c r="D990" s="58" t="n"/>
      <c r="E990" s="65" t="n"/>
      <c r="F990" s="65" t="n"/>
      <c r="K990" s="692" t="n"/>
      <c r="L990" s="692" t="n"/>
    </row>
    <row r="991">
      <c r="A991" s="545" t="n"/>
      <c r="B991" s="545" t="n"/>
      <c r="C991" s="546" t="n"/>
      <c r="D991" s="58" t="n"/>
      <c r="E991" s="65" t="n"/>
      <c r="F991" s="65" t="n"/>
      <c r="K991" s="692" t="n"/>
      <c r="L991" s="692" t="n"/>
    </row>
    <row r="992">
      <c r="A992" s="545" t="n"/>
      <c r="B992" s="545" t="n"/>
      <c r="C992" s="546" t="n"/>
      <c r="D992" s="58" t="n"/>
      <c r="E992" s="65" t="n"/>
      <c r="F992" s="65" t="n"/>
      <c r="K992" s="692" t="n"/>
      <c r="L992" s="692" t="n"/>
    </row>
    <row r="993">
      <c r="A993" s="545" t="n"/>
      <c r="B993" s="545" t="n"/>
      <c r="C993" s="546" t="n"/>
      <c r="D993" s="58" t="n"/>
      <c r="E993" s="65" t="n"/>
      <c r="F993" s="65" t="n"/>
      <c r="K993" s="692" t="n"/>
      <c r="L993" s="692" t="n"/>
    </row>
    <row r="994">
      <c r="A994" s="545" t="n"/>
      <c r="B994" s="545" t="n"/>
      <c r="C994" s="546" t="n"/>
      <c r="D994" s="58" t="n"/>
      <c r="E994" s="65" t="n"/>
      <c r="F994" s="65" t="n"/>
      <c r="K994" s="692" t="n"/>
      <c r="L994" s="692" t="n"/>
    </row>
    <row r="995">
      <c r="A995" s="545" t="n"/>
      <c r="B995" s="545" t="n"/>
      <c r="C995" s="546" t="n"/>
      <c r="D995" s="58" t="n"/>
      <c r="E995" s="65" t="n"/>
      <c r="F995" s="65" t="n"/>
      <c r="K995" s="692" t="n"/>
      <c r="L995" s="692" t="n"/>
    </row>
    <row r="996">
      <c r="A996" s="545" t="n"/>
      <c r="B996" s="545" t="n"/>
      <c r="C996" s="546" t="n"/>
      <c r="D996" s="58" t="n"/>
      <c r="E996" s="65" t="n"/>
      <c r="F996" s="65" t="n"/>
      <c r="K996" s="692" t="n"/>
      <c r="L996" s="692" t="n"/>
    </row>
    <row r="997">
      <c r="A997" s="545" t="n"/>
      <c r="B997" s="545" t="n"/>
      <c r="C997" s="546" t="n"/>
      <c r="D997" s="58" t="n"/>
      <c r="E997" s="65" t="n"/>
      <c r="F997" s="65" t="n"/>
      <c r="K997" s="692" t="n"/>
      <c r="L997" s="692" t="n"/>
    </row>
    <row r="998">
      <c r="A998" s="545" t="n"/>
      <c r="B998" s="545" t="n"/>
      <c r="C998" s="546" t="n"/>
      <c r="D998" s="58" t="n"/>
      <c r="E998" s="65" t="n"/>
      <c r="F998" s="65" t="n"/>
      <c r="K998" s="692" t="n"/>
      <c r="L998" s="692" t="n"/>
    </row>
    <row r="999">
      <c r="A999" s="545" t="n"/>
      <c r="B999" s="545" t="n"/>
      <c r="C999" s="546" t="n"/>
      <c r="D999" s="58" t="n"/>
      <c r="E999" s="65" t="n"/>
      <c r="F999" s="65" t="n"/>
      <c r="K999" s="692" t="n"/>
      <c r="L999" s="692" t="n"/>
    </row>
    <row r="1000">
      <c r="A1000" s="545" t="n"/>
      <c r="B1000" s="545" t="n"/>
      <c r="C1000" s="546" t="n"/>
      <c r="D1000" s="58" t="n"/>
      <c r="E1000" s="65" t="n"/>
      <c r="F1000" s="65" t="n"/>
      <c r="K1000" s="692" t="n"/>
      <c r="L1000" s="692" t="n"/>
    </row>
    <row r="1001">
      <c r="A1001" s="545" t="n"/>
      <c r="B1001" s="545" t="n"/>
      <c r="C1001" s="546" t="n"/>
      <c r="D1001" s="58" t="n"/>
      <c r="E1001" s="65" t="n"/>
      <c r="F1001" s="65" t="n"/>
      <c r="K1001" s="692" t="n"/>
      <c r="L1001" s="692" t="n"/>
    </row>
    <row r="1002">
      <c r="A1002" s="545" t="n"/>
      <c r="B1002" s="545" t="n"/>
      <c r="C1002" s="546" t="n"/>
      <c r="D1002" s="58" t="n"/>
      <c r="E1002" s="65" t="n"/>
      <c r="F1002" s="65" t="n"/>
      <c r="K1002" s="692" t="n"/>
      <c r="L1002" s="692" t="n"/>
    </row>
    <row r="1003">
      <c r="A1003" s="545" t="n"/>
      <c r="B1003" s="545" t="n"/>
      <c r="C1003" s="546" t="n"/>
      <c r="D1003" s="58" t="n"/>
      <c r="E1003" s="65" t="n"/>
      <c r="F1003" s="65" t="n"/>
      <c r="K1003" s="692" t="n"/>
      <c r="L1003" s="692" t="n"/>
    </row>
    <row r="1004">
      <c r="A1004" s="545" t="n"/>
      <c r="B1004" s="545" t="n"/>
      <c r="C1004" s="546" t="n"/>
      <c r="D1004" s="58" t="n"/>
      <c r="E1004" s="65" t="n"/>
      <c r="F1004" s="65" t="n"/>
      <c r="K1004" s="692" t="n"/>
      <c r="L1004" s="692" t="n"/>
    </row>
    <row r="1005">
      <c r="A1005" s="545" t="n"/>
      <c r="B1005" s="545" t="n"/>
      <c r="C1005" s="546" t="n"/>
      <c r="D1005" s="58" t="n"/>
      <c r="E1005" s="65" t="n"/>
      <c r="F1005" s="65" t="n"/>
      <c r="K1005" s="692" t="n"/>
      <c r="L1005" s="692" t="n"/>
    </row>
    <row r="1006">
      <c r="A1006" s="545" t="n"/>
      <c r="B1006" s="545" t="n"/>
      <c r="C1006" s="546" t="n"/>
      <c r="D1006" s="58" t="n"/>
      <c r="E1006" s="65" t="n"/>
      <c r="F1006" s="65" t="n"/>
      <c r="K1006" s="692" t="n"/>
      <c r="L1006" s="692" t="n"/>
    </row>
    <row r="1007">
      <c r="A1007" s="545" t="n"/>
      <c r="B1007" s="545" t="n"/>
      <c r="C1007" s="546" t="n"/>
      <c r="D1007" s="58" t="n"/>
      <c r="E1007" s="65" t="n"/>
      <c r="F1007" s="65" t="n"/>
      <c r="K1007" s="692" t="n"/>
      <c r="L1007" s="692" t="n"/>
    </row>
    <row r="1008">
      <c r="A1008" s="545" t="n"/>
      <c r="B1008" s="545" t="n"/>
      <c r="C1008" s="546" t="n"/>
      <c r="D1008" s="58" t="n"/>
      <c r="E1008" s="65" t="n"/>
      <c r="F1008" s="65" t="n"/>
      <c r="K1008" s="692" t="n"/>
      <c r="L1008" s="692" t="n"/>
    </row>
    <row r="1009">
      <c r="A1009" s="545" t="n"/>
      <c r="B1009" s="545" t="n"/>
      <c r="C1009" s="546" t="n"/>
      <c r="D1009" s="58" t="n"/>
      <c r="E1009" s="65" t="n"/>
      <c r="F1009" s="65" t="n"/>
      <c r="K1009" s="692" t="n"/>
      <c r="L1009" s="692" t="n"/>
    </row>
    <row r="1010">
      <c r="A1010" s="545" t="n"/>
      <c r="B1010" s="545" t="n"/>
      <c r="C1010" s="546" t="n"/>
      <c r="D1010" s="58" t="n"/>
      <c r="E1010" s="65" t="n"/>
      <c r="F1010" s="65" t="n"/>
      <c r="K1010" s="692" t="n"/>
      <c r="L1010" s="692" t="n"/>
    </row>
    <row r="1011">
      <c r="A1011" s="545" t="n"/>
      <c r="B1011" s="545" t="n"/>
      <c r="C1011" s="546" t="n"/>
      <c r="D1011" s="58" t="n"/>
      <c r="E1011" s="65" t="n"/>
      <c r="F1011" s="65" t="n"/>
      <c r="K1011" s="692" t="n"/>
      <c r="L1011" s="692" t="n"/>
    </row>
    <row r="1012">
      <c r="A1012" s="545" t="n"/>
      <c r="B1012" s="545" t="n"/>
      <c r="C1012" s="546" t="n"/>
      <c r="D1012" s="58" t="n"/>
      <c r="E1012" s="65" t="n"/>
      <c r="F1012" s="65" t="n"/>
      <c r="K1012" s="692" t="n"/>
      <c r="L1012" s="692" t="n"/>
    </row>
    <row r="1013">
      <c r="A1013" s="545" t="n"/>
      <c r="B1013" s="545" t="n"/>
      <c r="C1013" s="546" t="n"/>
      <c r="D1013" s="58" t="n"/>
      <c r="E1013" s="65" t="n"/>
      <c r="F1013" s="65" t="n"/>
      <c r="K1013" s="692" t="n"/>
      <c r="L1013" s="692" t="n"/>
    </row>
    <row r="1014">
      <c r="A1014" s="545" t="n"/>
      <c r="B1014" s="545" t="n"/>
      <c r="C1014" s="546" t="n"/>
      <c r="D1014" s="58" t="n"/>
      <c r="E1014" s="65" t="n"/>
      <c r="F1014" s="65" t="n"/>
      <c r="K1014" s="692" t="n"/>
      <c r="L1014" s="692" t="n"/>
    </row>
    <row r="1015">
      <c r="A1015" s="545" t="n"/>
      <c r="B1015" s="545" t="n"/>
      <c r="C1015" s="546" t="n"/>
      <c r="D1015" s="58" t="n"/>
      <c r="E1015" s="65" t="n"/>
      <c r="F1015" s="65" t="n"/>
      <c r="K1015" s="692" t="n"/>
      <c r="L1015" s="692" t="n"/>
    </row>
    <row r="1016">
      <c r="A1016" s="545" t="n"/>
      <c r="B1016" s="545" t="n"/>
      <c r="C1016" s="546" t="n"/>
      <c r="D1016" s="58" t="n"/>
      <c r="E1016" s="65" t="n"/>
      <c r="F1016" s="65" t="n"/>
      <c r="K1016" s="692" t="n"/>
      <c r="L1016" s="692" t="n"/>
    </row>
    <row r="1017">
      <c r="A1017" s="545" t="n"/>
      <c r="B1017" s="545" t="n"/>
      <c r="C1017" s="546" t="n"/>
      <c r="D1017" s="58" t="n"/>
      <c r="E1017" s="65" t="n"/>
      <c r="F1017" s="65" t="n"/>
      <c r="K1017" s="692" t="n"/>
      <c r="L1017" s="692" t="n"/>
    </row>
    <row r="1018">
      <c r="A1018" s="545" t="n"/>
      <c r="B1018" s="545" t="n"/>
      <c r="C1018" s="546" t="n"/>
      <c r="D1018" s="58" t="n"/>
      <c r="E1018" s="65" t="n"/>
      <c r="F1018" s="65" t="n"/>
      <c r="K1018" s="692" t="n"/>
      <c r="L1018" s="692" t="n"/>
    </row>
    <row r="1019">
      <c r="A1019" s="545" t="n"/>
      <c r="B1019" s="545" t="n"/>
      <c r="C1019" s="546" t="n"/>
      <c r="D1019" s="58" t="n"/>
      <c r="E1019" s="65" t="n"/>
      <c r="F1019" s="65" t="n"/>
      <c r="K1019" s="692" t="n"/>
      <c r="L1019" s="692" t="n"/>
    </row>
    <row r="1020">
      <c r="A1020" s="545" t="n"/>
      <c r="B1020" s="545" t="n"/>
      <c r="C1020" s="546" t="n"/>
      <c r="D1020" s="58" t="n"/>
      <c r="E1020" s="65" t="n"/>
      <c r="F1020" s="65" t="n"/>
      <c r="K1020" s="692" t="n"/>
      <c r="L1020" s="692" t="n"/>
    </row>
    <row r="1021">
      <c r="A1021" s="545" t="n"/>
      <c r="B1021" s="545" t="n"/>
      <c r="C1021" s="546" t="n"/>
      <c r="D1021" s="58" t="n"/>
      <c r="E1021" s="65" t="n"/>
      <c r="F1021" s="65" t="n"/>
      <c r="K1021" s="692" t="n"/>
      <c r="L1021" s="692" t="n"/>
    </row>
    <row r="1022">
      <c r="A1022" s="545" t="n"/>
      <c r="B1022" s="545" t="n"/>
      <c r="C1022" s="546" t="n"/>
      <c r="D1022" s="58" t="n"/>
      <c r="E1022" s="65" t="n"/>
      <c r="F1022" s="65" t="n"/>
      <c r="K1022" s="692" t="n"/>
      <c r="L1022" s="692" t="n"/>
    </row>
    <row r="1023">
      <c r="A1023" s="545" t="n"/>
      <c r="B1023" s="545" t="n"/>
      <c r="C1023" s="546" t="n"/>
      <c r="D1023" s="58" t="n"/>
      <c r="E1023" s="65" t="n"/>
      <c r="F1023" s="65" t="n"/>
      <c r="K1023" s="692" t="n"/>
      <c r="L1023" s="692" t="n"/>
    </row>
    <row r="1024">
      <c r="A1024" s="545" t="n"/>
      <c r="B1024" s="545" t="n"/>
      <c r="C1024" s="546" t="n"/>
      <c r="D1024" s="58" t="n"/>
      <c r="E1024" s="65" t="n"/>
      <c r="F1024" s="65" t="n"/>
      <c r="K1024" s="692" t="n"/>
      <c r="L1024" s="692" t="n"/>
    </row>
    <row r="1025">
      <c r="A1025" s="545" t="n"/>
      <c r="B1025" s="545" t="n"/>
      <c r="C1025" s="546" t="n"/>
      <c r="D1025" s="58" t="n"/>
      <c r="E1025" s="65" t="n"/>
      <c r="F1025" s="65" t="n"/>
      <c r="K1025" s="692" t="n"/>
      <c r="L1025" s="692" t="n"/>
    </row>
    <row r="1026">
      <c r="A1026" s="545" t="n"/>
      <c r="B1026" s="545" t="n"/>
      <c r="C1026" s="546" t="n"/>
      <c r="D1026" s="58" t="n"/>
      <c r="E1026" s="65" t="n"/>
      <c r="F1026" s="65" t="n"/>
      <c r="K1026" s="692" t="n"/>
      <c r="L1026" s="692" t="n"/>
    </row>
    <row r="1027">
      <c r="A1027" s="545" t="n"/>
      <c r="B1027" s="545" t="n"/>
      <c r="C1027" s="546" t="n"/>
      <c r="D1027" s="58" t="n"/>
      <c r="E1027" s="65" t="n"/>
      <c r="F1027" s="65" t="n"/>
      <c r="K1027" s="692" t="n"/>
      <c r="L1027" s="692" t="n"/>
    </row>
    <row r="1028">
      <c r="A1028" s="545" t="n"/>
      <c r="B1028" s="545" t="n"/>
      <c r="C1028" s="546" t="n"/>
      <c r="D1028" s="58" t="n"/>
      <c r="E1028" s="65" t="n"/>
      <c r="F1028" s="65" t="n"/>
      <c r="K1028" s="692" t="n"/>
      <c r="L1028" s="692" t="n"/>
    </row>
    <row r="1029">
      <c r="A1029" s="545" t="n"/>
      <c r="B1029" s="545" t="n"/>
      <c r="C1029" s="546" t="n"/>
      <c r="D1029" s="58" t="n"/>
      <c r="E1029" s="65" t="n"/>
      <c r="F1029" s="65" t="n"/>
      <c r="K1029" s="692" t="n"/>
      <c r="L1029" s="692" t="n"/>
    </row>
    <row r="1030">
      <c r="A1030" s="545" t="n"/>
      <c r="B1030" s="545" t="n"/>
      <c r="C1030" s="546" t="n"/>
      <c r="D1030" s="58" t="n"/>
      <c r="E1030" s="65" t="n"/>
      <c r="F1030" s="65" t="n"/>
      <c r="K1030" s="692" t="n"/>
      <c r="L1030" s="692" t="n"/>
    </row>
    <row r="1031">
      <c r="A1031" s="545" t="n"/>
      <c r="B1031" s="545" t="n"/>
      <c r="C1031" s="546" t="n"/>
      <c r="D1031" s="58" t="n"/>
      <c r="E1031" s="65" t="n"/>
      <c r="F1031" s="65" t="n"/>
      <c r="K1031" s="692" t="n"/>
      <c r="L1031" s="692" t="n"/>
    </row>
    <row r="1032">
      <c r="A1032" s="545" t="n"/>
      <c r="B1032" s="545" t="n"/>
      <c r="C1032" s="546" t="n"/>
      <c r="D1032" s="58" t="n"/>
      <c r="E1032" s="65" t="n"/>
      <c r="F1032" s="65" t="n"/>
      <c r="K1032" s="692" t="n"/>
      <c r="L1032" s="692" t="n"/>
    </row>
    <row r="1033">
      <c r="A1033" s="545" t="n"/>
      <c r="B1033" s="545" t="n"/>
      <c r="C1033" s="546" t="n"/>
      <c r="D1033" s="58" t="n"/>
      <c r="E1033" s="65" t="n"/>
      <c r="F1033" s="65" t="n"/>
      <c r="K1033" s="692" t="n"/>
      <c r="L1033" s="692" t="n"/>
    </row>
    <row r="1034">
      <c r="A1034" s="545" t="n"/>
      <c r="B1034" s="545" t="n"/>
      <c r="C1034" s="546" t="n"/>
      <c r="D1034" s="58" t="n"/>
      <c r="E1034" s="65" t="n"/>
      <c r="F1034" s="65" t="n"/>
      <c r="K1034" s="692" t="n"/>
      <c r="L1034" s="692" t="n"/>
    </row>
    <row r="1035">
      <c r="A1035" s="545" t="n"/>
      <c r="B1035" s="545" t="n"/>
      <c r="C1035" s="546" t="n"/>
      <c r="D1035" s="58" t="n"/>
      <c r="E1035" s="65" t="n"/>
      <c r="F1035" s="65" t="n"/>
      <c r="K1035" s="692" t="n"/>
      <c r="L1035" s="692" t="n"/>
    </row>
    <row r="1036">
      <c r="A1036" s="545" t="n"/>
      <c r="B1036" s="545" t="n"/>
      <c r="C1036" s="546" t="n"/>
      <c r="D1036" s="58" t="n"/>
      <c r="E1036" s="65" t="n"/>
      <c r="F1036" s="65" t="n"/>
      <c r="K1036" s="692" t="n"/>
      <c r="L1036" s="692" t="n"/>
    </row>
    <row r="1037">
      <c r="A1037" s="545" t="n"/>
      <c r="B1037" s="545" t="n"/>
      <c r="C1037" s="546" t="n"/>
      <c r="D1037" s="58" t="n"/>
      <c r="E1037" s="65" t="n"/>
      <c r="F1037" s="65" t="n"/>
      <c r="K1037" s="692" t="n"/>
      <c r="L1037" s="692" t="n"/>
    </row>
    <row r="1038">
      <c r="A1038" s="545" t="n"/>
      <c r="B1038" s="545" t="n"/>
      <c r="C1038" s="546" t="n"/>
      <c r="D1038" s="58" t="n"/>
      <c r="E1038" s="65" t="n"/>
      <c r="F1038" s="65" t="n"/>
      <c r="K1038" s="692" t="n"/>
      <c r="L1038" s="692" t="n"/>
    </row>
    <row r="1039">
      <c r="A1039" s="545" t="n"/>
      <c r="B1039" s="545" t="n"/>
      <c r="C1039" s="546" t="n"/>
      <c r="D1039" s="58" t="n"/>
      <c r="E1039" s="65" t="n"/>
      <c r="F1039" s="65" t="n"/>
      <c r="K1039" s="692" t="n"/>
      <c r="L1039" s="692" t="n"/>
    </row>
    <row r="1040">
      <c r="A1040" s="545" t="n"/>
      <c r="B1040" s="545" t="n"/>
      <c r="C1040" s="546" t="n"/>
      <c r="D1040" s="58" t="n"/>
      <c r="E1040" s="65" t="n"/>
      <c r="F1040" s="65" t="n"/>
      <c r="K1040" s="692" t="n"/>
      <c r="L1040" s="692" t="n"/>
    </row>
    <row r="1041">
      <c r="A1041" s="545" t="n"/>
      <c r="B1041" s="545" t="n"/>
      <c r="C1041" s="546" t="n"/>
      <c r="D1041" s="58" t="n"/>
      <c r="E1041" s="65" t="n"/>
      <c r="F1041" s="65" t="n"/>
      <c r="K1041" s="692" t="n"/>
      <c r="L1041" s="692" t="n"/>
    </row>
    <row r="1042">
      <c r="A1042" s="545" t="n"/>
      <c r="B1042" s="545" t="n"/>
      <c r="C1042" s="546" t="n"/>
      <c r="D1042" s="58" t="n"/>
      <c r="E1042" s="65" t="n"/>
      <c r="F1042" s="65" t="n"/>
      <c r="K1042" s="692" t="n"/>
      <c r="L1042" s="692" t="n"/>
    </row>
    <row r="1043">
      <c r="A1043" s="545" t="n"/>
      <c r="B1043" s="545" t="n"/>
      <c r="C1043" s="546" t="n"/>
      <c r="D1043" s="58" t="n"/>
      <c r="E1043" s="65" t="n"/>
      <c r="F1043" s="65" t="n"/>
      <c r="K1043" s="692" t="n"/>
      <c r="L1043" s="692" t="n"/>
    </row>
    <row r="1044">
      <c r="A1044" s="545" t="n"/>
      <c r="B1044" s="545" t="n"/>
      <c r="C1044" s="546" t="n"/>
      <c r="D1044" s="58" t="n"/>
      <c r="E1044" s="65" t="n"/>
      <c r="F1044" s="65" t="n"/>
      <c r="K1044" s="692" t="n"/>
      <c r="L1044" s="692" t="n"/>
    </row>
    <row r="1045">
      <c r="A1045" s="545" t="n"/>
      <c r="B1045" s="545" t="n"/>
      <c r="C1045" s="546" t="n"/>
      <c r="D1045" s="58" t="n"/>
      <c r="E1045" s="65" t="n"/>
      <c r="F1045" s="65" t="n"/>
      <c r="K1045" s="692" t="n"/>
      <c r="L1045" s="692" t="n"/>
    </row>
    <row r="1046">
      <c r="A1046" s="545" t="n"/>
      <c r="B1046" s="545" t="n"/>
      <c r="C1046" s="546" t="n"/>
      <c r="D1046" s="58" t="n"/>
      <c r="E1046" s="65" t="n"/>
      <c r="F1046" s="65" t="n"/>
      <c r="K1046" s="692" t="n"/>
      <c r="L1046" s="692" t="n"/>
    </row>
    <row r="1047">
      <c r="A1047" s="545" t="n"/>
      <c r="B1047" s="545" t="n"/>
      <c r="C1047" s="546" t="n"/>
      <c r="D1047" s="58" t="n"/>
      <c r="E1047" s="65" t="n"/>
      <c r="F1047" s="65" t="n"/>
      <c r="K1047" s="692" t="n"/>
      <c r="L1047" s="692" t="n"/>
    </row>
    <row r="1048">
      <c r="A1048" s="545" t="n"/>
      <c r="B1048" s="545" t="n"/>
      <c r="C1048" s="546" t="n"/>
      <c r="D1048" s="58" t="n"/>
      <c r="E1048" s="65" t="n"/>
      <c r="F1048" s="65" t="n"/>
      <c r="K1048" s="692" t="n"/>
      <c r="L1048" s="692" t="n"/>
    </row>
    <row r="1049">
      <c r="A1049" s="545" t="n"/>
      <c r="B1049" s="545" t="n"/>
      <c r="C1049" s="546" t="n"/>
      <c r="D1049" s="58" t="n"/>
      <c r="E1049" s="65" t="n"/>
      <c r="F1049" s="65" t="n"/>
      <c r="K1049" s="692" t="n"/>
      <c r="L1049" s="692" t="n"/>
    </row>
    <row r="1050">
      <c r="A1050" s="545" t="n"/>
      <c r="B1050" s="545" t="n"/>
      <c r="C1050" s="546" t="n"/>
      <c r="D1050" s="58" t="n"/>
      <c r="E1050" s="65" t="n"/>
      <c r="F1050" s="65" t="n"/>
      <c r="K1050" s="692" t="n"/>
      <c r="L1050" s="692" t="n"/>
    </row>
    <row r="1051">
      <c r="A1051" s="545" t="n"/>
      <c r="B1051" s="545" t="n"/>
      <c r="C1051" s="546" t="n"/>
      <c r="D1051" s="58" t="n"/>
      <c r="E1051" s="65" t="n"/>
      <c r="F1051" s="65" t="n"/>
      <c r="K1051" s="692" t="n"/>
      <c r="L1051" s="692" t="n"/>
    </row>
    <row r="1052">
      <c r="A1052" s="545" t="n"/>
      <c r="B1052" s="545" t="n"/>
      <c r="C1052" s="546" t="n"/>
      <c r="D1052" s="58" t="n"/>
      <c r="E1052" s="65" t="n"/>
      <c r="F1052" s="65" t="n"/>
      <c r="K1052" s="692" t="n"/>
      <c r="L1052" s="692" t="n"/>
    </row>
    <row r="1053">
      <c r="A1053" s="545" t="n"/>
      <c r="B1053" s="545" t="n"/>
      <c r="C1053" s="546" t="n"/>
      <c r="D1053" s="58" t="n"/>
      <c r="E1053" s="65" t="n"/>
      <c r="F1053" s="65" t="n"/>
      <c r="K1053" s="692" t="n"/>
      <c r="L1053" s="692" t="n"/>
    </row>
    <row r="1054">
      <c r="A1054" s="545" t="n"/>
      <c r="B1054" s="545" t="n"/>
      <c r="C1054" s="546" t="n"/>
      <c r="D1054" s="58" t="n"/>
      <c r="E1054" s="65" t="n"/>
      <c r="F1054" s="65" t="n"/>
      <c r="K1054" s="692" t="n"/>
      <c r="L1054" s="692" t="n"/>
    </row>
    <row r="1055">
      <c r="A1055" s="545" t="n"/>
      <c r="B1055" s="545" t="n"/>
      <c r="C1055" s="546" t="n"/>
      <c r="D1055" s="58" t="n"/>
      <c r="E1055" s="65" t="n"/>
      <c r="F1055" s="65" t="n"/>
      <c r="K1055" s="692" t="n"/>
      <c r="L1055" s="692" t="n"/>
    </row>
    <row r="1056">
      <c r="A1056" s="545" t="n"/>
      <c r="B1056" s="545" t="n"/>
      <c r="C1056" s="546" t="n"/>
      <c r="D1056" s="58" t="n"/>
      <c r="E1056" s="65" t="n"/>
      <c r="F1056" s="65" t="n"/>
      <c r="K1056" s="692" t="n"/>
      <c r="L1056" s="692" t="n"/>
    </row>
    <row r="1057">
      <c r="A1057" s="545" t="n"/>
      <c r="B1057" s="545" t="n"/>
      <c r="C1057" s="546" t="n"/>
      <c r="D1057" s="58" t="n"/>
      <c r="E1057" s="65" t="n"/>
      <c r="F1057" s="65" t="n"/>
      <c r="K1057" s="692" t="n"/>
      <c r="L1057" s="692" t="n"/>
    </row>
    <row r="1058">
      <c r="A1058" s="545" t="n"/>
      <c r="B1058" s="545" t="n"/>
      <c r="C1058" s="546" t="n"/>
      <c r="D1058" s="58" t="n"/>
      <c r="E1058" s="65" t="n"/>
      <c r="F1058" s="65" t="n"/>
      <c r="K1058" s="692" t="n"/>
      <c r="L1058" s="692" t="n"/>
    </row>
    <row r="1059">
      <c r="A1059" s="545" t="n"/>
      <c r="B1059" s="545" t="n"/>
      <c r="C1059" s="546" t="n"/>
      <c r="D1059" s="58" t="n"/>
      <c r="E1059" s="65" t="n"/>
      <c r="F1059" s="65" t="n"/>
      <c r="K1059" s="692" t="n"/>
      <c r="L1059" s="692" t="n"/>
    </row>
    <row r="1060">
      <c r="A1060" s="545" t="n"/>
      <c r="B1060" s="545" t="n"/>
      <c r="C1060" s="546" t="n"/>
      <c r="D1060" s="58" t="n"/>
      <c r="E1060" s="65" t="n"/>
      <c r="F1060" s="65" t="n"/>
      <c r="K1060" s="692" t="n"/>
      <c r="L1060" s="692" t="n"/>
    </row>
    <row r="1061">
      <c r="A1061" s="545" t="n"/>
      <c r="B1061" s="545" t="n"/>
      <c r="C1061" s="546" t="n"/>
      <c r="D1061" s="58" t="n"/>
      <c r="E1061" s="65" t="n"/>
      <c r="F1061" s="65" t="n"/>
      <c r="K1061" s="692" t="n"/>
      <c r="L1061" s="692" t="n"/>
    </row>
    <row r="1062">
      <c r="A1062" s="545" t="n"/>
      <c r="B1062" s="545" t="n"/>
      <c r="C1062" s="546" t="n"/>
      <c r="D1062" s="58" t="n"/>
      <c r="E1062" s="65" t="n"/>
      <c r="F1062" s="65" t="n"/>
      <c r="K1062" s="692" t="n"/>
      <c r="L1062" s="692" t="n"/>
    </row>
    <row r="1063">
      <c r="A1063" s="545" t="n"/>
      <c r="B1063" s="545" t="n"/>
      <c r="C1063" s="546" t="n"/>
      <c r="D1063" s="58" t="n"/>
      <c r="E1063" s="65" t="n"/>
      <c r="F1063" s="65" t="n"/>
      <c r="K1063" s="692" t="n"/>
      <c r="L1063" s="692" t="n"/>
    </row>
    <row r="1064">
      <c r="A1064" s="545" t="n"/>
      <c r="B1064" s="545" t="n"/>
      <c r="C1064" s="546" t="n"/>
      <c r="D1064" s="58" t="n"/>
      <c r="E1064" s="65" t="n"/>
      <c r="F1064" s="65" t="n"/>
      <c r="K1064" s="692" t="n"/>
      <c r="L1064" s="692" t="n"/>
    </row>
    <row r="1065">
      <c r="A1065" s="545" t="n"/>
      <c r="B1065" s="545" t="n"/>
      <c r="C1065" s="546" t="n"/>
      <c r="D1065" s="58" t="n"/>
      <c r="E1065" s="65" t="n"/>
      <c r="F1065" s="65" t="n"/>
      <c r="K1065" s="692" t="n"/>
      <c r="L1065" s="692" t="n"/>
    </row>
    <row r="1066">
      <c r="A1066" s="545" t="n"/>
      <c r="B1066" s="545" t="n"/>
      <c r="C1066" s="546" t="n"/>
      <c r="D1066" s="58" t="n"/>
      <c r="E1066" s="65" t="n"/>
      <c r="F1066" s="65" t="n"/>
      <c r="K1066" s="692" t="n"/>
      <c r="L1066" s="692" t="n"/>
    </row>
    <row r="1067">
      <c r="A1067" s="545" t="n"/>
      <c r="B1067" s="545" t="n"/>
      <c r="C1067" s="546" t="n"/>
      <c r="D1067" s="58" t="n"/>
      <c r="E1067" s="65" t="n"/>
      <c r="F1067" s="65" t="n"/>
      <c r="K1067" s="692" t="n"/>
      <c r="L1067" s="692" t="n"/>
    </row>
    <row r="1068">
      <c r="A1068" s="545" t="n"/>
      <c r="B1068" s="545" t="n"/>
      <c r="C1068" s="546" t="n"/>
      <c r="D1068" s="58" t="n"/>
      <c r="E1068" s="65" t="n"/>
      <c r="F1068" s="65" t="n"/>
      <c r="K1068" s="692" t="n"/>
      <c r="L1068" s="692" t="n"/>
    </row>
    <row r="1069">
      <c r="A1069" s="545" t="n"/>
      <c r="B1069" s="545" t="n"/>
      <c r="C1069" s="546" t="n"/>
      <c r="D1069" s="58" t="n"/>
      <c r="E1069" s="65" t="n"/>
      <c r="F1069" s="65" t="n"/>
      <c r="K1069" s="692" t="n"/>
      <c r="L1069" s="692" t="n"/>
    </row>
    <row r="1070">
      <c r="A1070" s="545" t="n"/>
      <c r="B1070" s="545" t="n"/>
      <c r="C1070" s="546" t="n"/>
      <c r="D1070" s="58" t="n"/>
      <c r="E1070" s="65" t="n"/>
      <c r="F1070" s="65" t="n"/>
      <c r="K1070" s="692" t="n"/>
      <c r="L1070" s="692" t="n"/>
    </row>
    <row r="1071">
      <c r="A1071" s="545" t="n"/>
      <c r="B1071" s="545" t="n"/>
      <c r="C1071" s="546" t="n"/>
      <c r="D1071" s="58" t="n"/>
      <c r="E1071" s="65" t="n"/>
      <c r="F1071" s="65" t="n"/>
      <c r="K1071" s="692" t="n"/>
      <c r="L1071" s="692" t="n"/>
    </row>
    <row r="1072">
      <c r="A1072" s="545" t="n"/>
      <c r="B1072" s="545" t="n"/>
      <c r="C1072" s="546" t="n"/>
      <c r="D1072" s="58" t="n"/>
      <c r="E1072" s="65" t="n"/>
      <c r="F1072" s="65" t="n"/>
      <c r="K1072" s="692" t="n"/>
      <c r="L1072" s="692" t="n"/>
    </row>
    <row r="1073">
      <c r="A1073" s="545" t="n"/>
      <c r="B1073" s="545" t="n"/>
      <c r="C1073" s="546" t="n"/>
      <c r="D1073" s="58" t="n"/>
      <c r="E1073" s="65" t="n"/>
      <c r="F1073" s="65" t="n"/>
      <c r="K1073" s="692" t="n"/>
      <c r="L1073" s="692" t="n"/>
    </row>
    <row r="1074">
      <c r="A1074" s="545" t="n"/>
      <c r="B1074" s="545" t="n"/>
      <c r="C1074" s="546" t="n"/>
      <c r="D1074" s="58" t="n"/>
      <c r="E1074" s="65" t="n"/>
      <c r="F1074" s="65" t="n"/>
      <c r="K1074" s="692" t="n"/>
      <c r="L1074" s="692" t="n"/>
    </row>
    <row r="1075">
      <c r="A1075" s="545" t="n"/>
      <c r="B1075" s="545" t="n"/>
      <c r="C1075" s="546" t="n"/>
      <c r="D1075" s="58" t="n"/>
      <c r="E1075" s="65" t="n"/>
      <c r="F1075" s="65" t="n"/>
      <c r="K1075" s="692" t="n"/>
      <c r="L1075" s="692" t="n"/>
    </row>
    <row r="1076">
      <c r="A1076" s="545" t="n"/>
      <c r="B1076" s="545" t="n"/>
      <c r="C1076" s="546" t="n"/>
      <c r="D1076" s="58" t="n"/>
      <c r="E1076" s="65" t="n"/>
      <c r="F1076" s="65" t="n"/>
      <c r="K1076" s="692" t="n"/>
      <c r="L1076" s="692" t="n"/>
    </row>
    <row r="1077">
      <c r="A1077" s="545" t="n"/>
      <c r="B1077" s="545" t="n"/>
      <c r="C1077" s="546" t="n"/>
      <c r="D1077" s="58" t="n"/>
      <c r="E1077" s="65" t="n"/>
      <c r="F1077" s="65" t="n"/>
      <c r="K1077" s="692" t="n"/>
      <c r="L1077" s="692" t="n"/>
    </row>
    <row r="1078">
      <c r="A1078" s="545" t="n"/>
      <c r="B1078" s="545" t="n"/>
      <c r="C1078" s="546" t="n"/>
      <c r="D1078" s="58" t="n"/>
      <c r="E1078" s="65" t="n"/>
      <c r="F1078" s="65" t="n"/>
      <c r="K1078" s="692" t="n"/>
      <c r="L1078" s="692" t="n"/>
    </row>
    <row r="1079">
      <c r="A1079" s="545" t="n"/>
      <c r="B1079" s="545" t="n"/>
      <c r="C1079" s="546" t="n"/>
      <c r="D1079" s="58" t="n"/>
      <c r="E1079" s="65" t="n"/>
      <c r="F1079" s="65" t="n"/>
      <c r="K1079" s="692" t="n"/>
      <c r="L1079" s="692" t="n"/>
    </row>
    <row r="1080">
      <c r="A1080" s="545" t="n"/>
      <c r="B1080" s="545" t="n"/>
      <c r="C1080" s="546" t="n"/>
      <c r="D1080" s="58" t="n"/>
      <c r="E1080" s="65" t="n"/>
      <c r="F1080" s="65" t="n"/>
      <c r="K1080" s="692" t="n"/>
      <c r="L1080" s="692" t="n"/>
    </row>
    <row r="1081">
      <c r="A1081" s="545" t="n"/>
      <c r="B1081" s="545" t="n"/>
      <c r="C1081" s="546" t="n"/>
      <c r="D1081" s="58" t="n"/>
      <c r="E1081" s="65" t="n"/>
      <c r="F1081" s="65" t="n"/>
      <c r="K1081" s="692" t="n"/>
      <c r="L1081" s="692" t="n"/>
    </row>
    <row r="1082">
      <c r="A1082" s="545" t="n"/>
      <c r="B1082" s="545" t="n"/>
      <c r="C1082" s="546" t="n"/>
      <c r="D1082" s="58" t="n"/>
      <c r="E1082" s="65" t="n"/>
      <c r="F1082" s="65" t="n"/>
      <c r="K1082" s="692" t="n"/>
      <c r="L1082" s="692" t="n"/>
    </row>
    <row r="1083">
      <c r="A1083" s="545" t="n"/>
      <c r="B1083" s="545" t="n"/>
      <c r="C1083" s="546" t="n"/>
      <c r="D1083" s="58" t="n"/>
      <c r="E1083" s="65" t="n"/>
      <c r="F1083" s="65" t="n"/>
      <c r="K1083" s="692" t="n"/>
      <c r="L1083" s="692" t="n"/>
    </row>
    <row r="1084">
      <c r="A1084" s="545" t="n"/>
      <c r="B1084" s="545" t="n"/>
      <c r="C1084" s="546" t="n"/>
      <c r="D1084" s="58" t="n"/>
      <c r="E1084" s="65" t="n"/>
      <c r="F1084" s="65" t="n"/>
      <c r="K1084" s="692" t="n"/>
      <c r="L1084" s="692" t="n"/>
    </row>
    <row r="1085">
      <c r="A1085" s="545" t="n"/>
      <c r="B1085" s="545" t="n"/>
      <c r="C1085" s="546" t="n"/>
      <c r="D1085" s="58" t="n"/>
      <c r="E1085" s="65" t="n"/>
      <c r="F1085" s="65" t="n"/>
      <c r="K1085" s="692" t="n"/>
      <c r="L1085" s="692" t="n"/>
    </row>
    <row r="1086">
      <c r="A1086" s="545" t="n"/>
      <c r="B1086" s="545" t="n"/>
      <c r="C1086" s="546" t="n"/>
      <c r="D1086" s="58" t="n"/>
      <c r="E1086" s="65" t="n"/>
      <c r="F1086" s="65" t="n"/>
      <c r="K1086" s="692" t="n"/>
      <c r="L1086" s="692" t="n"/>
    </row>
    <row r="1087">
      <c r="A1087" s="545" t="n"/>
      <c r="B1087" s="545" t="n"/>
      <c r="C1087" s="546" t="n"/>
      <c r="D1087" s="58" t="n"/>
      <c r="E1087" s="65" t="n"/>
      <c r="F1087" s="65" t="n"/>
      <c r="K1087" s="692" t="n"/>
      <c r="L1087" s="692" t="n"/>
    </row>
    <row r="1088">
      <c r="A1088" s="545" t="n"/>
      <c r="B1088" s="545" t="n"/>
      <c r="C1088" s="546" t="n"/>
      <c r="D1088" s="58" t="n"/>
      <c r="E1088" s="65" t="n"/>
      <c r="F1088" s="65" t="n"/>
      <c r="K1088" s="692" t="n"/>
      <c r="L1088" s="692" t="n"/>
    </row>
    <row r="1089">
      <c r="A1089" s="545" t="n"/>
      <c r="B1089" s="545" t="n"/>
      <c r="C1089" s="546" t="n"/>
      <c r="D1089" s="58" t="n"/>
      <c r="E1089" s="65" t="n"/>
      <c r="F1089" s="65" t="n"/>
      <c r="K1089" s="692" t="n"/>
      <c r="L1089" s="692" t="n"/>
    </row>
    <row r="1090">
      <c r="A1090" s="545" t="n"/>
      <c r="B1090" s="545" t="n"/>
      <c r="C1090" s="546" t="n"/>
      <c r="D1090" s="58" t="n"/>
      <c r="E1090" s="65" t="n"/>
      <c r="F1090" s="65" t="n"/>
      <c r="K1090" s="692" t="n"/>
      <c r="L1090" s="692" t="n"/>
    </row>
    <row r="1091">
      <c r="A1091" s="545" t="n"/>
      <c r="B1091" s="545" t="n"/>
      <c r="C1091" s="546" t="n"/>
      <c r="D1091" s="58" t="n"/>
      <c r="E1091" s="65" t="n"/>
      <c r="F1091" s="65" t="n"/>
      <c r="K1091" s="692" t="n"/>
      <c r="L1091" s="692" t="n"/>
    </row>
    <row r="1092">
      <c r="A1092" s="545" t="n"/>
      <c r="B1092" s="545" t="n"/>
      <c r="C1092" s="546" t="n"/>
      <c r="D1092" s="58" t="n"/>
      <c r="E1092" s="65" t="n"/>
      <c r="F1092" s="65" t="n"/>
      <c r="K1092" s="692" t="n"/>
      <c r="L1092" s="692" t="n"/>
    </row>
    <row r="1093">
      <c r="A1093" s="545" t="n"/>
      <c r="B1093" s="545" t="n"/>
      <c r="C1093" s="546" t="n"/>
      <c r="D1093" s="58" t="n"/>
      <c r="E1093" s="65" t="n"/>
      <c r="F1093" s="65" t="n"/>
      <c r="K1093" s="692" t="n"/>
      <c r="L1093" s="692" t="n"/>
    </row>
    <row r="1094">
      <c r="A1094" s="545" t="n"/>
      <c r="B1094" s="545" t="n"/>
      <c r="C1094" s="546" t="n"/>
      <c r="D1094" s="58" t="n"/>
      <c r="E1094" s="65" t="n"/>
      <c r="F1094" s="65" t="n"/>
      <c r="K1094" s="692" t="n"/>
      <c r="L1094" s="692" t="n"/>
    </row>
    <row r="1095">
      <c r="A1095" s="545" t="n"/>
      <c r="B1095" s="545" t="n"/>
      <c r="C1095" s="546" t="n"/>
      <c r="D1095" s="58" t="n"/>
      <c r="E1095" s="65" t="n"/>
      <c r="F1095" s="65" t="n"/>
      <c r="K1095" s="692" t="n"/>
      <c r="L1095" s="692" t="n"/>
    </row>
    <row r="1096">
      <c r="A1096" s="545" t="n"/>
      <c r="B1096" s="545" t="n"/>
      <c r="C1096" s="546" t="n"/>
      <c r="D1096" s="58" t="n"/>
      <c r="E1096" s="65" t="n"/>
      <c r="F1096" s="65" t="n"/>
      <c r="K1096" s="692" t="n"/>
      <c r="L1096" s="692" t="n"/>
    </row>
    <row r="1097">
      <c r="A1097" s="545" t="n"/>
      <c r="B1097" s="545" t="n"/>
      <c r="C1097" s="546" t="n"/>
      <c r="D1097" s="58" t="n"/>
      <c r="E1097" s="65" t="n"/>
      <c r="F1097" s="65" t="n"/>
      <c r="K1097" s="692" t="n"/>
      <c r="L1097" s="692" t="n"/>
    </row>
    <row r="1098">
      <c r="A1098" s="545" t="n"/>
      <c r="B1098" s="545" t="n"/>
      <c r="C1098" s="546" t="n"/>
      <c r="D1098" s="58" t="n"/>
      <c r="E1098" s="65" t="n"/>
      <c r="F1098" s="65" t="n"/>
      <c r="K1098" s="692" t="n"/>
      <c r="L1098" s="692" t="n"/>
    </row>
    <row r="1099">
      <c r="A1099" s="545" t="n"/>
      <c r="B1099" s="545" t="n"/>
      <c r="C1099" s="546" t="n"/>
      <c r="D1099" s="58" t="n"/>
      <c r="E1099" s="65" t="n"/>
      <c r="F1099" s="65" t="n"/>
      <c r="K1099" s="692" t="n"/>
      <c r="L1099" s="692" t="n"/>
    </row>
    <row r="1100">
      <c r="A1100" s="545" t="n"/>
      <c r="B1100" s="545" t="n"/>
      <c r="C1100" s="546" t="n"/>
      <c r="D1100" s="58" t="n"/>
      <c r="E1100" s="65" t="n"/>
      <c r="F1100" s="65" t="n"/>
      <c r="K1100" s="692" t="n"/>
      <c r="L1100" s="692" t="n"/>
    </row>
    <row r="1101">
      <c r="A1101" s="545" t="n"/>
      <c r="B1101" s="545" t="n"/>
      <c r="C1101" s="546" t="n"/>
      <c r="D1101" s="58" t="n"/>
      <c r="E1101" s="65" t="n"/>
      <c r="F1101" s="65" t="n"/>
      <c r="K1101" s="692" t="n"/>
      <c r="L1101" s="692" t="n"/>
    </row>
    <row r="1102">
      <c r="A1102" s="545" t="n"/>
      <c r="B1102" s="545" t="n"/>
      <c r="C1102" s="546" t="n"/>
      <c r="D1102" s="58" t="n"/>
      <c r="E1102" s="65" t="n"/>
      <c r="F1102" s="65" t="n"/>
      <c r="K1102" s="692" t="n"/>
      <c r="L1102" s="692" t="n"/>
    </row>
    <row r="1103">
      <c r="A1103" s="545" t="n"/>
      <c r="B1103" s="545" t="n"/>
      <c r="C1103" s="546" t="n"/>
      <c r="D1103" s="58" t="n"/>
      <c r="E1103" s="65" t="n"/>
      <c r="F1103" s="65" t="n"/>
      <c r="K1103" s="692" t="n"/>
      <c r="L1103" s="692" t="n"/>
    </row>
    <row r="1104">
      <c r="A1104" s="545" t="n"/>
      <c r="B1104" s="545" t="n"/>
      <c r="C1104" s="546" t="n"/>
      <c r="D1104" s="58" t="n"/>
      <c r="E1104" s="65" t="n"/>
      <c r="F1104" s="65" t="n"/>
      <c r="K1104" s="692" t="n"/>
      <c r="L1104" s="692" t="n"/>
    </row>
    <row r="1105">
      <c r="A1105" s="545" t="n"/>
      <c r="B1105" s="545" t="n"/>
      <c r="C1105" s="546" t="n"/>
      <c r="D1105" s="58" t="n"/>
      <c r="E1105" s="65" t="n"/>
      <c r="F1105" s="65" t="n"/>
      <c r="K1105" s="692" t="n"/>
      <c r="L1105" s="692" t="n"/>
    </row>
    <row r="1106">
      <c r="A1106" s="545" t="n"/>
      <c r="B1106" s="545" t="n"/>
      <c r="C1106" s="546" t="n"/>
      <c r="D1106" s="58" t="n"/>
      <c r="E1106" s="65" t="n"/>
      <c r="F1106" s="65" t="n"/>
      <c r="K1106" s="692" t="n"/>
      <c r="L1106" s="692" t="n"/>
    </row>
    <row r="1107">
      <c r="A1107" s="545" t="n"/>
      <c r="B1107" s="545" t="n"/>
      <c r="C1107" s="546" t="n"/>
      <c r="D1107" s="58" t="n"/>
      <c r="E1107" s="65" t="n"/>
      <c r="F1107" s="65" t="n"/>
      <c r="K1107" s="692" t="n"/>
      <c r="L1107" s="692" t="n"/>
    </row>
    <row r="1108">
      <c r="A1108" s="545" t="n"/>
      <c r="B1108" s="545" t="n"/>
      <c r="C1108" s="546" t="n"/>
      <c r="D1108" s="58" t="n"/>
      <c r="E1108" s="65" t="n"/>
      <c r="F1108" s="65" t="n"/>
      <c r="K1108" s="692" t="n"/>
      <c r="L1108" s="692" t="n"/>
    </row>
    <row r="1109">
      <c r="A1109" s="545" t="n"/>
      <c r="B1109" s="545" t="n"/>
      <c r="C1109" s="546" t="n"/>
      <c r="D1109" s="58" t="n"/>
      <c r="E1109" s="65" t="n"/>
      <c r="F1109" s="65" t="n"/>
      <c r="K1109" s="692" t="n"/>
      <c r="L1109" s="692" t="n"/>
    </row>
    <row r="1110">
      <c r="A1110" s="545" t="n"/>
      <c r="B1110" s="545" t="n"/>
      <c r="C1110" s="546" t="n"/>
      <c r="D1110" s="58" t="n"/>
      <c r="E1110" s="65" t="n"/>
      <c r="F1110" s="65" t="n"/>
      <c r="K1110" s="692" t="n"/>
      <c r="L1110" s="692" t="n"/>
    </row>
    <row r="1111">
      <c r="A1111" s="545" t="n"/>
      <c r="B1111" s="545" t="n"/>
      <c r="C1111" s="546" t="n"/>
      <c r="D1111" s="58" t="n"/>
      <c r="E1111" s="65" t="n"/>
      <c r="F1111" s="65" t="n"/>
      <c r="K1111" s="692" t="n"/>
      <c r="L1111" s="692" t="n"/>
    </row>
    <row r="1112">
      <c r="A1112" s="545" t="n"/>
      <c r="B1112" s="545" t="n"/>
      <c r="C1112" s="546" t="n"/>
      <c r="D1112" s="58" t="n"/>
      <c r="E1112" s="65" t="n"/>
      <c r="F1112" s="65" t="n"/>
      <c r="K1112" s="692" t="n"/>
      <c r="L1112" s="692" t="n"/>
    </row>
    <row r="1113">
      <c r="A1113" s="545" t="n"/>
      <c r="B1113" s="545" t="n"/>
      <c r="C1113" s="546" t="n"/>
      <c r="D1113" s="58" t="n"/>
      <c r="E1113" s="65" t="n"/>
      <c r="F1113" s="65" t="n"/>
      <c r="K1113" s="692" t="n"/>
      <c r="L1113" s="692" t="n"/>
    </row>
    <row r="1114">
      <c r="A1114" s="545" t="n"/>
      <c r="B1114" s="545" t="n"/>
      <c r="C1114" s="546" t="n"/>
      <c r="D1114" s="58" t="n"/>
      <c r="E1114" s="65" t="n"/>
      <c r="F1114" s="65" t="n"/>
      <c r="K1114" s="692" t="n"/>
      <c r="L1114" s="692" t="n"/>
    </row>
    <row r="1115">
      <c r="A1115" s="545" t="n"/>
      <c r="B1115" s="545" t="n"/>
      <c r="C1115" s="546" t="n"/>
      <c r="D1115" s="58" t="n"/>
      <c r="E1115" s="65" t="n"/>
      <c r="F1115" s="65" t="n"/>
      <c r="K1115" s="692" t="n"/>
      <c r="L1115" s="692" t="n"/>
    </row>
    <row r="1116">
      <c r="A1116" s="545" t="n"/>
      <c r="B1116" s="545" t="n"/>
      <c r="C1116" s="546" t="n"/>
      <c r="D1116" s="58" t="n"/>
      <c r="E1116" s="65" t="n"/>
      <c r="F1116" s="65" t="n"/>
      <c r="K1116" s="692" t="n"/>
      <c r="L1116" s="692" t="n"/>
    </row>
  </sheetData>
  <mergeCells count="24">
    <mergeCell ref="P11:R11"/>
    <mergeCell ref="P2:R2"/>
    <mergeCell ref="R21:T21"/>
    <mergeCell ref="X3:Z3"/>
    <mergeCell ref="J20:L20"/>
    <mergeCell ref="R20:T20"/>
    <mergeCell ref="T11:V11"/>
    <mergeCell ref="T2:V2"/>
    <mergeCell ref="J31:L31"/>
    <mergeCell ref="P3:R3"/>
    <mergeCell ref="J21:L21"/>
    <mergeCell ref="X10:Z10"/>
    <mergeCell ref="J16:N16"/>
    <mergeCell ref="T3:V3"/>
    <mergeCell ref="N132:O132"/>
    <mergeCell ref="N20:P20"/>
    <mergeCell ref="K132:L132"/>
    <mergeCell ref="X11:Z11"/>
    <mergeCell ref="X2:Z2"/>
    <mergeCell ref="P10:R10"/>
    <mergeCell ref="J12:N12"/>
    <mergeCell ref="J30:L30"/>
    <mergeCell ref="N21:P21"/>
    <mergeCell ref="T10:V10"/>
  </mergeCells>
  <dataValidations count="1">
    <dataValidation sqref="C2:C197" showDropDown="1" showInputMessage="0" showErrorMessage="0" allowBlank="1" type="custom">
      <formula1>AND(ISNUMBER(C2),(NOT(OR(NOT(ISERROR(DATEVALUE(C2))), AND(ISNUMBER(C2), LEFT(CELL("format", C2))="D")))))</formula1>
    </dataValidation>
  </dataValidation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14.xml><?xml version="1.0" encoding="utf-8"?>
<worksheet xmlns="http://schemas.openxmlformats.org/spreadsheetml/2006/main">
  <sheetPr>
    <outlinePr summaryBelow="0" summaryRight="0"/>
    <pageSetUpPr fitToPage="1"/>
  </sheetPr>
  <dimension ref="A1:AZ934"/>
  <sheetViews>
    <sheetView workbookViewId="0">
      <pane ySplit="1" topLeftCell="A2" activePane="bottomLeft" state="frozen"/>
      <selection pane="bottomLeft" activeCell="B3" sqref="B3"/>
    </sheetView>
  </sheetViews>
  <sheetFormatPr baseColWidth="8" defaultColWidth="12.63" defaultRowHeight="15.75" customHeight="1"/>
  <cols>
    <col width="12.5" customWidth="1" style="763" min="1" max="1"/>
    <col width="14.13" customWidth="1" style="763" min="2" max="2"/>
    <col width="12.88" customWidth="1" style="763" min="3" max="3"/>
    <col width="11.63" customWidth="1" style="763" min="4" max="4"/>
    <col width="29.13" customWidth="1" style="763" min="5" max="5"/>
    <col hidden="1" width="12.63" customWidth="1" style="763" min="6" max="8"/>
    <col width="13.25" customWidth="1" style="763" min="9" max="9"/>
    <col hidden="1" width="12.63" customWidth="1" style="763" min="10" max="12"/>
    <col width="17" customWidth="1" style="763" min="13" max="13"/>
    <col width="16.75" customWidth="1" style="763" min="14" max="15"/>
    <col width="31.25" customWidth="1" style="763" min="16" max="17"/>
    <col width="33.5" customWidth="1" style="763" min="28" max="28"/>
    <col width="14.13" customWidth="1" style="763" min="34" max="34"/>
    <col width="12.88" customWidth="1" style="763" min="35" max="35"/>
    <col width="33.5" customWidth="1" style="763" min="37" max="37"/>
    <col width="16.5" customWidth="1" style="763" min="39" max="39"/>
    <col width="12.88" customWidth="1" style="763" min="40" max="40"/>
    <col width="16.75" customWidth="1" style="763" min="41" max="41"/>
    <col width="15.88" customWidth="1" style="763" min="42" max="42"/>
    <col width="29.13" customWidth="1" style="763" min="44" max="44"/>
    <col width="16.75" customWidth="1" style="763" min="45" max="46"/>
    <col width="11" customWidth="1" style="763" min="47" max="47"/>
    <col width="29.13" customWidth="1" style="763" min="48" max="48"/>
    <col width="16.75" customWidth="1" style="763" min="49" max="50"/>
  </cols>
  <sheetData>
    <row r="1">
      <c r="A1" s="547" t="inlineStr">
        <is>
          <t>Rank</t>
        </is>
      </c>
      <c r="B1" s="548" t="inlineStr">
        <is>
          <t>Gender</t>
        </is>
      </c>
      <c r="C1" s="549" t="inlineStr">
        <is>
          <t>Event</t>
        </is>
      </c>
      <c r="D1" s="550" t="inlineStr">
        <is>
          <t>Age</t>
        </is>
      </c>
      <c r="E1" s="549" t="inlineStr">
        <is>
          <t>ATHLETE</t>
        </is>
      </c>
      <c r="F1" s="549" t="inlineStr">
        <is>
          <t>Entry Time</t>
        </is>
      </c>
      <c r="G1" s="549" t="inlineStr">
        <is>
          <t>Entry AQUA</t>
        </is>
      </c>
      <c r="H1" s="549" t="inlineStr">
        <is>
          <t>% 2024 Gold</t>
        </is>
      </c>
      <c r="I1" s="551" t="inlineStr">
        <is>
          <t>Final Time</t>
        </is>
      </c>
      <c r="J1" s="552" t="inlineStr">
        <is>
          <t>Final AQUA</t>
        </is>
      </c>
      <c r="K1" s="552" t="inlineStr">
        <is>
          <t>% 2025 Gold</t>
        </is>
      </c>
      <c r="L1" s="553" t="inlineStr">
        <is>
          <t>2025 Seed</t>
        </is>
      </c>
      <c r="M1" s="554" t="inlineStr">
        <is>
          <t>2025 Place</t>
        </is>
      </c>
      <c r="N1" s="555" t="inlineStr">
        <is>
          <t>Age Points</t>
        </is>
      </c>
      <c r="O1" s="556" t="inlineStr">
        <is>
          <t>Time in Seconds</t>
        </is>
      </c>
      <c r="P1" s="557" t="n"/>
      <c r="Q1" s="558" t="inlineStr">
        <is>
          <t>Column 35</t>
        </is>
      </c>
      <c r="R1" s="559" t="inlineStr">
        <is>
          <t>Column 36</t>
        </is>
      </c>
      <c r="S1" s="559" t="inlineStr">
        <is>
          <t>Column 37</t>
        </is>
      </c>
      <c r="T1" s="559" t="inlineStr">
        <is>
          <t>Column 38</t>
        </is>
      </c>
      <c r="U1" s="559" t="inlineStr">
        <is>
          <t>Column 39</t>
        </is>
      </c>
      <c r="V1" s="560" t="inlineStr">
        <is>
          <t>Column 41</t>
        </is>
      </c>
      <c r="W1" s="557" t="n"/>
      <c r="X1" s="557" t="n"/>
      <c r="Y1" s="568" t="inlineStr">
        <is>
          <t>Gender</t>
        </is>
      </c>
      <c r="Z1" s="569" t="inlineStr">
        <is>
          <t>Event</t>
        </is>
      </c>
      <c r="AA1" s="570" t="inlineStr">
        <is>
          <t>Age</t>
        </is>
      </c>
      <c r="AB1" s="569" t="inlineStr">
        <is>
          <t>ATHLETE</t>
        </is>
      </c>
      <c r="AC1" s="572" t="inlineStr">
        <is>
          <t>Final Time</t>
        </is>
      </c>
      <c r="AD1" s="572" t="inlineStr">
        <is>
          <t>Final Time Seconds</t>
        </is>
      </c>
      <c r="AE1" s="570" t="inlineStr">
        <is>
          <t>2025 Place</t>
        </is>
      </c>
      <c r="AF1" s="566" t="inlineStr">
        <is>
          <t>Age Points</t>
        </is>
      </c>
      <c r="AG1" s="567" t="n"/>
      <c r="AH1" s="568" t="inlineStr">
        <is>
          <t>Gender</t>
        </is>
      </c>
      <c r="AI1" s="569" t="inlineStr">
        <is>
          <t>Event</t>
        </is>
      </c>
      <c r="AJ1" s="570" t="inlineStr">
        <is>
          <t>Age</t>
        </is>
      </c>
      <c r="AK1" s="569" t="inlineStr">
        <is>
          <t>ATHLETE</t>
        </is>
      </c>
      <c r="AL1" s="572" t="inlineStr">
        <is>
          <t>Final Time</t>
        </is>
      </c>
      <c r="AM1" s="572" t="inlineStr">
        <is>
          <t>Final Time Seconds</t>
        </is>
      </c>
      <c r="AN1" s="570" t="inlineStr">
        <is>
          <t>2025 Place</t>
        </is>
      </c>
      <c r="AO1" s="570" t="inlineStr">
        <is>
          <t>Age Points</t>
        </is>
      </c>
      <c r="AP1" s="573" t="inlineStr">
        <is>
          <t>Column 1</t>
        </is>
      </c>
      <c r="AQ1" s="89" t="inlineStr">
        <is>
          <t>Ages 14-17 not on Podium and not on Asian Champs Roster ?</t>
        </is>
      </c>
      <c r="AR1" s="601" t="inlineStr">
        <is>
          <t>Sorted By Total Age Points</t>
        </is>
      </c>
      <c r="AS1" s="764" t="n"/>
      <c r="AT1" s="765" t="n"/>
      <c r="AU1" s="514" t="n"/>
      <c r="AV1" s="601" t="inlineStr">
        <is>
          <t>Sorted By Total Age Points</t>
        </is>
      </c>
      <c r="AW1" s="764" t="n"/>
      <c r="AX1" s="765" t="n"/>
      <c r="AY1" s="567" t="inlineStr">
        <is>
          <t>Column 23</t>
        </is>
      </c>
      <c r="AZ1" s="567" t="inlineStr">
        <is>
          <t>Column 24</t>
        </is>
      </c>
    </row>
    <row r="2">
      <c r="A2" s="575" t="n">
        <v>1</v>
      </c>
      <c r="B2" s="710" t="inlineStr">
        <is>
          <t>M</t>
        </is>
      </c>
      <c r="C2" s="709" t="inlineStr">
        <is>
          <t>400 Free</t>
        </is>
      </c>
      <c r="D2" s="710" t="n">
        <v>17</v>
      </c>
      <c r="E2" s="590" t="inlineStr">
        <is>
          <t>MUHAMMAD DHUHA BIN ZULFIKRY</t>
        </is>
      </c>
      <c r="F2" s="707" t="inlineStr">
        <is>
          <t>3:55.59</t>
        </is>
      </c>
      <c r="G2"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 s="460">
        <f>G2/#REF!</f>
        <v/>
      </c>
      <c r="I2" s="591" t="inlineStr">
        <is>
          <t>3:57.99</t>
        </is>
      </c>
      <c r="J2"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 s="460">
        <f>J2/#REF!</f>
        <v/>
      </c>
      <c r="L2" s="709" t="n">
        <v>1</v>
      </c>
      <c r="M2" s="593" t="n">
        <v>2</v>
      </c>
      <c r="N2" s="581">
        <f t="array" ref="N2">1000*(INDEX('Bakat Base Times'!$E:$E,MATCH(1,('Bakat Base Times'!$A:$A=B2)*('Bakat Base Times'!$B:$B=C2)*('Bakat Base Times'!$C:$C=D2),0))/(VALUE(O2)))^3
</f>
        <v/>
      </c>
      <c r="O2" s="582">
        <f>IFERROR(__xludf.DUMMYFUNCTION("IF(ISNUMBER(I2), I2, IF(REGEXMATCH(I2, "":""), SUMPRODUCT(VALUE(SPLIT(I2, "":"")) * (60^(COUNTIF(SPLIT(I2, "":""), ""&lt;&gt;"")-COLUMN(OFFSET('MOT Tables 25'!$A$1,,,1,COUNTIF(SPLIT(I2, "":""),""&lt;&gt;"")))))), VALUE(I2)))"),237.99)</f>
        <v/>
      </c>
      <c r="P2" s="583" t="n"/>
      <c r="Q2" s="583" t="inlineStr">
        <is>
          <t>KAELYN CHEE WEI YI</t>
        </is>
      </c>
      <c r="R2" s="584" t="inlineStr">
        <is>
          <t>F</t>
        </is>
      </c>
      <c r="S2" s="584" t="n">
        <v>1</v>
      </c>
      <c r="T2" s="584" t="inlineStr">
        <is>
          <t>B1</t>
        </is>
      </c>
      <c r="U2" s="584" t="inlineStr">
        <is>
          <t>SGR</t>
        </is>
      </c>
      <c r="V2" s="585" t="n">
        <v>40103</v>
      </c>
      <c r="W2" s="689" t="n"/>
      <c r="X2" s="689" t="n"/>
      <c r="Y2" s="596" t="inlineStr">
        <is>
          <t>M</t>
        </is>
      </c>
      <c r="Z2" s="597" t="inlineStr">
        <is>
          <t>400 Free</t>
        </is>
      </c>
      <c r="AA2" s="589" t="n">
        <v>17</v>
      </c>
      <c r="AB2" s="590" t="inlineStr">
        <is>
          <t>MUHAMMAD DHUHA BIN ZULFIKRY</t>
        </is>
      </c>
      <c r="AC2" s="591" t="inlineStr">
        <is>
          <t>3:57.99</t>
        </is>
      </c>
      <c r="AD2" s="592">
        <f>IFERROR(__xludf.DUMMYFUNCTION("IF(ISNUMBER(AC2), AC2, IF(REGEXMATCH(AC2, "":""), SUMPRODUCT(VALUE(SPLIT(AC2, "":"")) * (60^(COUNTIF(SPLIT(AC2, "":""), ""&lt;&gt;"")-COLUMN(OFFSET('MOT Tables 25'!$A$1,,,1,COUNTIF(SPLIT(AC2, "":""),""&lt;&gt;"")))))), VALUE(AC2)))"),237.99)</f>
        <v/>
      </c>
      <c r="AE2" s="593" t="n">
        <v>2</v>
      </c>
      <c r="AF2" s="594">
        <f t="array" ref="AF2">1000*(INDEX('Bakat Base Times'!$E:$E,MATCH(1,('Bakat Base Times'!$A:$A=Y2)*('Bakat Base Times'!$B:$B=Z2)*('Bakat Base Times'!$C:$C=AA2),0))/(VALUE(AD2)))^3
</f>
        <v/>
      </c>
      <c r="AG2" s="693" t="n"/>
      <c r="AH2" s="596" t="inlineStr">
        <is>
          <t>M</t>
        </is>
      </c>
      <c r="AI2" s="597" t="inlineStr">
        <is>
          <t>400 Free</t>
        </is>
      </c>
      <c r="AJ2" s="597" t="n">
        <v>16</v>
      </c>
      <c r="AK2" s="590" t="inlineStr">
        <is>
          <t>ADAM MALIK BIN AZIZUR RIZA</t>
        </is>
      </c>
      <c r="AL2" s="661" t="inlineStr">
        <is>
          <t>4:18.86</t>
        </is>
      </c>
      <c r="AM2" s="517">
        <f>IFERROR(__xludf.DUMMYFUNCTION("IF(ISNUMBER(AL2), AL2, IF(REGEXMATCH(AL2, "":""), SUMPRODUCT(VALUE(SPLIT(AL2, "":"")) * (60^(COUNTIF(SPLIT(AL2, "":""), ""&lt;&gt;"")-COLUMN(OFFSET('MOT Tables 25'!$A$1,,,1,COUNTIF(SPLIT(AL2, "":""),""&lt;&gt;"")))))), VALUE(AL2)))"),258.86)</f>
        <v/>
      </c>
      <c r="AN2" s="590" t="n">
        <v>10</v>
      </c>
      <c r="AO2" s="599">
        <f t="array" ref="AO2">1000*(INDEX('Bakat Base Times'!$E:$E,MATCH(1,('Bakat Base Times'!$A:$A=AH2)*('Bakat Base Times'!$B:$B=AI2)*('Bakat Base Times'!$C:$C=AJ2),0))/(VALUE(AM2)))^3
</f>
        <v/>
      </c>
      <c r="AP2" s="600" t="n"/>
      <c r="AQ2" s="693" t="n"/>
      <c r="AR2" s="601" t="inlineStr">
        <is>
          <t xml:space="preserve"> Athlete Names</t>
        </is>
      </c>
      <c r="AS2" s="601" t="inlineStr">
        <is>
          <t>Total Age Points</t>
        </is>
      </c>
      <c r="AT2" s="601" t="inlineStr">
        <is>
          <t>Average Age Points</t>
        </is>
      </c>
      <c r="AU2" s="514" t="n"/>
      <c r="AV2" s="601" t="inlineStr">
        <is>
          <t xml:space="preserve"> Athlete Names</t>
        </is>
      </c>
      <c r="AW2" s="601" t="inlineStr">
        <is>
          <t>Total Age Points</t>
        </is>
      </c>
      <c r="AX2" s="601" t="inlineStr">
        <is>
          <t>Average Age Points</t>
        </is>
      </c>
      <c r="AY2" s="693" t="n"/>
      <c r="AZ2" s="693" t="n"/>
    </row>
    <row r="3">
      <c r="A3" s="602" t="n">
        <v>2</v>
      </c>
      <c r="B3" s="705" t="inlineStr">
        <is>
          <t>M</t>
        </is>
      </c>
      <c r="C3" s="704" t="inlineStr">
        <is>
          <t>200 Fly</t>
        </is>
      </c>
      <c r="D3" s="705" t="n">
        <v>14</v>
      </c>
      <c r="E3" s="613" t="inlineStr">
        <is>
          <t>CH'NG SAW HUAI</t>
        </is>
      </c>
      <c r="F3" s="701" t="inlineStr">
        <is>
          <t>2:10.79</t>
        </is>
      </c>
      <c r="G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 s="464">
        <f>G3/#REF!</f>
        <v/>
      </c>
      <c r="I3" s="614" t="inlineStr">
        <is>
          <t>2:09.21</t>
        </is>
      </c>
      <c r="J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 s="464">
        <f>J3/#REF!</f>
        <v/>
      </c>
      <c r="L3" s="704" t="n">
        <v>1</v>
      </c>
      <c r="M3" s="616" t="n">
        <v>1</v>
      </c>
      <c r="N3" s="608">
        <f t="array" ref="N3">1000*(INDEX('Bakat Base Times'!$E:$E,MATCH(1,('Bakat Base Times'!$A:$A=B3)*('Bakat Base Times'!$B:$B=C3)*('Bakat Base Times'!$C:$C=D3),0))/(VALUE(O3)))^3
</f>
        <v/>
      </c>
      <c r="O3" s="609">
        <f>IFERROR(__xludf.DUMMYFUNCTION("IF(ISNUMBER(I3), I3, IF(REGEXMATCH(I3, "":""), SUMPRODUCT(VALUE(SPLIT(I3, "":"")) * (60^(COUNTIF(SPLIT(I3, "":""), ""&lt;&gt;"")-COLUMN(OFFSET('MOT Tables 25'!$A$1,,,1,COUNTIF(SPLIT(I3, "":""),""&lt;&gt;"")))))), VALUE(I3)))"),129.21)</f>
        <v/>
      </c>
      <c r="P3" s="583" t="n"/>
      <c r="Q3" s="583" t="inlineStr">
        <is>
          <t>EUNICE PUA JIA HUI</t>
        </is>
      </c>
      <c r="R3" s="584" t="inlineStr">
        <is>
          <t>F</t>
        </is>
      </c>
      <c r="S3" s="584" t="n">
        <v>1</v>
      </c>
      <c r="T3" s="584" t="inlineStr">
        <is>
          <t>B1</t>
        </is>
      </c>
      <c r="U3" s="584" t="inlineStr">
        <is>
          <t>SGR</t>
        </is>
      </c>
      <c r="V3" s="585" t="n">
        <v>39459</v>
      </c>
      <c r="W3" s="689" t="n"/>
      <c r="X3" s="689" t="n"/>
      <c r="Y3" s="618" t="inlineStr">
        <is>
          <t>M</t>
        </is>
      </c>
      <c r="Z3" s="619" t="inlineStr">
        <is>
          <t>200 Fly</t>
        </is>
      </c>
      <c r="AA3" s="612" t="n">
        <v>14</v>
      </c>
      <c r="AB3" s="613" t="inlineStr">
        <is>
          <t>CH'NG SAW HUAI</t>
        </is>
      </c>
      <c r="AC3" s="614" t="inlineStr">
        <is>
          <t>2:09.21</t>
        </is>
      </c>
      <c r="AD3" s="628">
        <f>IFERROR(__xludf.DUMMYFUNCTION("IF(ISNUMBER(AC3), AC3, IF(REGEXMATCH(AC3, "":""), SUMPRODUCT(VALUE(SPLIT(AC3, "":"")) * (60^(COUNTIF(SPLIT(AC3, "":""), ""&lt;&gt;"")-COLUMN(OFFSET('MOT Tables 25'!$A$1,,,1,COUNTIF(SPLIT(AC3, "":""),""&lt;&gt;"")))))), VALUE(AC3)))"),129.21)</f>
        <v/>
      </c>
      <c r="AE3" s="616" t="n">
        <v>1</v>
      </c>
      <c r="AF3" s="617">
        <f t="array" ref="AF3">1000*(INDEX('Bakat Base Times'!$E:$E,MATCH(1,('Bakat Base Times'!$A:$A=Y3)*('Bakat Base Times'!$B:$B=Z3)*('Bakat Base Times'!$C:$C=AA3),0))/(VALUE(AD3)))^3
</f>
        <v/>
      </c>
      <c r="AG3" s="693" t="n"/>
      <c r="AH3" s="618" t="inlineStr">
        <is>
          <t>M</t>
        </is>
      </c>
      <c r="AI3" s="619" t="inlineStr">
        <is>
          <t>1500 Free</t>
        </is>
      </c>
      <c r="AJ3" s="619" t="n">
        <v>16</v>
      </c>
      <c r="AK3" s="613" t="inlineStr">
        <is>
          <t>ADAM MALIK BIN AZIZUR RIZA</t>
        </is>
      </c>
      <c r="AL3" s="614" t="inlineStr">
        <is>
          <t>17:15.69</t>
        </is>
      </c>
      <c r="AM3" s="505">
        <f>IFERROR(__xludf.DUMMYFUNCTION("IF(ISNUMBER(AL3), AL3, IF(REGEXMATCH(AL3, "":""), SUMPRODUCT(VALUE(SPLIT(AL3, "":"")) * (60^(COUNTIF(SPLIT(AL3, "":""), ""&lt;&gt;"")-COLUMN(OFFSET('MOT Tables 25'!$A$1,,,1,COUNTIF(SPLIT(AL3, "":""),""&lt;&gt;"")))))), VALUE(AL3)))"),1035.69)</f>
        <v/>
      </c>
      <c r="AN3" s="613" t="n">
        <v>9</v>
      </c>
      <c r="AO3" s="672">
        <f t="array" ref="AO3">1000*(INDEX('Bakat Base Times'!$E:$E,MATCH(1,('Bakat Base Times'!$A:$A=AH3)*('Bakat Base Times'!$B:$B=AI3)*('Bakat Base Times'!$C:$C=AJ3),0))/(VALUE(AM3)))^3
</f>
        <v/>
      </c>
      <c r="AP3" s="621" t="n"/>
      <c r="AQ3" s="693" t="n"/>
      <c r="AR3" s="622" t="inlineStr">
        <is>
          <t>SHANNON TAN YAN QING *</t>
        </is>
      </c>
      <c r="AS3" s="639">
        <f>SUMIF(AK:AK,AR3,AO:AO)</f>
        <v/>
      </c>
      <c r="AT3" s="624">
        <f>AVERAGEIF(AK:AK,AR3,AO:AO)</f>
        <v/>
      </c>
      <c r="AV3" s="622" t="inlineStr">
        <is>
          <t>KHONG ZI LIN</t>
        </is>
      </c>
      <c r="AW3" s="639">
        <f>SUMIF(AK:AK,AV3,AO:AO)</f>
        <v/>
      </c>
      <c r="AX3" s="624">
        <f>AVERAGEIF(AK:AK,AV3,AO:AO)</f>
        <v/>
      </c>
      <c r="AY3" s="693" t="n"/>
      <c r="AZ3" s="693" t="n"/>
    </row>
    <row r="4">
      <c r="A4" s="575" t="n">
        <v>3</v>
      </c>
      <c r="B4" s="710" t="inlineStr">
        <is>
          <t>M</t>
        </is>
      </c>
      <c r="C4" s="709" t="inlineStr">
        <is>
          <t>1500 Free</t>
        </is>
      </c>
      <c r="D4" s="710" t="n">
        <v>17</v>
      </c>
      <c r="E4" s="590" t="inlineStr">
        <is>
          <t>MUHAMMAD DHUHA BIN ZULFIKRY</t>
        </is>
      </c>
      <c r="F4" s="707" t="inlineStr">
        <is>
          <t>16:00.77</t>
        </is>
      </c>
      <c r="G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 s="460">
        <f>G4/#REF!</f>
        <v/>
      </c>
      <c r="I4" s="591" t="inlineStr">
        <is>
          <t>15:45.17</t>
        </is>
      </c>
      <c r="J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 s="460">
        <f>J4/#REF!</f>
        <v/>
      </c>
      <c r="L4" s="709" t="n">
        <v>3</v>
      </c>
      <c r="M4" s="593" t="n">
        <v>2</v>
      </c>
      <c r="N4" s="581">
        <f t="array" ref="N4">1000*(INDEX('Bakat Base Times'!$E:$E,MATCH(1,('Bakat Base Times'!$A:$A=B4)*('Bakat Base Times'!$B:$B=C4)*('Bakat Base Times'!$C:$C=D4),0))/(VALUE(O4)))^3
</f>
        <v/>
      </c>
      <c r="O4" s="582">
        <f>IFERROR(__xludf.DUMMYFUNCTION("IF(ISNUMBER(I4), I4, IF(REGEXMATCH(I4, "":""), SUMPRODUCT(VALUE(SPLIT(I4, "":"")) * (60^(COUNTIF(SPLIT(I4, "":""), ""&lt;&gt;"")-COLUMN(OFFSET('MOT Tables 25'!$A$1,,,1,COUNTIF(SPLIT(I4, "":""),""&lt;&gt;"")))))), VALUE(I4)))"),945.17)</f>
        <v/>
      </c>
      <c r="P4" s="583" t="n"/>
      <c r="Q4" s="583" t="inlineStr">
        <is>
          <t>MORGAN ELEVEN TEO KAI CHENG</t>
        </is>
      </c>
      <c r="R4" s="584" t="inlineStr">
        <is>
          <t>F</t>
        </is>
      </c>
      <c r="S4" s="584" t="n">
        <v>1</v>
      </c>
      <c r="T4" s="584" t="inlineStr">
        <is>
          <t>B1</t>
        </is>
      </c>
      <c r="U4" s="584" t="inlineStr">
        <is>
          <t>SGR</t>
        </is>
      </c>
      <c r="V4" s="585" t="n">
        <v>39186</v>
      </c>
      <c r="W4" s="689" t="n"/>
      <c r="X4" s="689" t="n"/>
      <c r="Y4" s="596" t="inlineStr">
        <is>
          <t>M</t>
        </is>
      </c>
      <c r="Z4" s="597" t="inlineStr">
        <is>
          <t>1500 Free</t>
        </is>
      </c>
      <c r="AA4" s="589" t="n">
        <v>17</v>
      </c>
      <c r="AB4" s="590" t="inlineStr">
        <is>
          <t>MUHAMMAD DHUHA BIN ZULFIKRY</t>
        </is>
      </c>
      <c r="AC4" s="591" t="inlineStr">
        <is>
          <t>15:45.17</t>
        </is>
      </c>
      <c r="AD4" s="592">
        <f>IFERROR(__xludf.DUMMYFUNCTION("IF(ISNUMBER(AC4), AC4, IF(REGEXMATCH(AC4, "":""), SUMPRODUCT(VALUE(SPLIT(AC4, "":"")) * (60^(COUNTIF(SPLIT(AC4, "":""), ""&lt;&gt;"")-COLUMN(OFFSET('MOT Tables 25'!$A$1,,,1,COUNTIF(SPLIT(AC4, "":""),""&lt;&gt;"")))))), VALUE(AC4)))"),945.17)</f>
        <v/>
      </c>
      <c r="AE4" s="593" t="n">
        <v>2</v>
      </c>
      <c r="AF4" s="594">
        <f t="array" ref="AF4">1000*(INDEX('Bakat Base Times'!$E:$E,MATCH(1,('Bakat Base Times'!$A:$A=Y4)*('Bakat Base Times'!$B:$B=Z4)*('Bakat Base Times'!$C:$C=AA4),0))/(VALUE(AD4)))^3
</f>
        <v/>
      </c>
      <c r="AG4" s="693" t="n"/>
      <c r="AH4" s="596" t="inlineStr">
        <is>
          <t>M</t>
        </is>
      </c>
      <c r="AI4" s="597" t="inlineStr">
        <is>
          <t>100 Fly</t>
        </is>
      </c>
      <c r="AJ4" s="597" t="n">
        <v>17</v>
      </c>
      <c r="AK4" s="590" t="inlineStr">
        <is>
          <t>ANG YONG JUN</t>
        </is>
      </c>
      <c r="AL4" s="591" t="inlineStr">
        <is>
          <t>58.03</t>
        </is>
      </c>
      <c r="AM4" s="517">
        <f>IFERROR(__xludf.DUMMYFUNCTION("IF(ISNUMBER(AL4), AL4, IF(REGEXMATCH(AL4, "":""), SUMPRODUCT(VALUE(SPLIT(AL4, "":"")) * (60^(COUNTIF(SPLIT(AL4, "":""), ""&lt;&gt;"")-COLUMN(OFFSET('MOT Tables 25'!$A$1,,,1,COUNTIF(SPLIT(AL4, "":""),""&lt;&gt;"")))))), VALUE(AL4)))"),58.03)</f>
        <v/>
      </c>
      <c r="AN4" s="590" t="n">
        <v>12</v>
      </c>
      <c r="AO4" s="599">
        <f t="array" ref="AO4">1000*(INDEX('Bakat Base Times'!$E:$E,MATCH(1,('Bakat Base Times'!$A:$A=AH4)*('Bakat Base Times'!$B:$B=AI4)*('Bakat Base Times'!$C:$C=AJ4),0))/(VALUE(AM4)))^3
</f>
        <v/>
      </c>
      <c r="AP4" s="600" t="n"/>
      <c r="AQ4" s="693" t="n"/>
      <c r="AR4" s="625" t="inlineStr">
        <is>
          <t>CHEREEN NGO YIRUI</t>
        </is>
      </c>
      <c r="AS4" s="693">
        <f>SUMIF(AK:AK,AR4,AO:AO)</f>
        <v/>
      </c>
      <c r="AT4" s="626">
        <f>AVERAGEIF(AK:AK,AR4,AO:AO)</f>
        <v/>
      </c>
      <c r="AV4" s="622" t="inlineStr">
        <is>
          <t>VIVIAN TEE XIN LING</t>
        </is>
      </c>
      <c r="AW4" s="639">
        <f>SUMIF(AK:AK,AV4,AO:AO)</f>
        <v/>
      </c>
      <c r="AX4" s="624">
        <f>AVERAGEIF(AK:AK,AV4,AO:AO)</f>
        <v/>
      </c>
      <c r="AY4" s="693" t="n"/>
      <c r="AZ4" s="693" t="n"/>
    </row>
    <row r="5">
      <c r="A5" s="602" t="n">
        <v>4</v>
      </c>
      <c r="B5" s="705" t="inlineStr">
        <is>
          <t>M</t>
        </is>
      </c>
      <c r="C5" s="704" t="inlineStr">
        <is>
          <t>50 Free</t>
        </is>
      </c>
      <c r="D5" s="705" t="n">
        <v>15</v>
      </c>
      <c r="E5" s="613" t="inlineStr">
        <is>
          <t>LOO CHENG FENG</t>
        </is>
      </c>
      <c r="F5" s="627" t="n">
        <v>24.43</v>
      </c>
      <c r="G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 s="464">
        <f>G5/#REF!</f>
        <v/>
      </c>
      <c r="I5" s="628" t="n">
        <v>24.1</v>
      </c>
      <c r="J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 s="464">
        <f>J5/#REF!</f>
        <v/>
      </c>
      <c r="L5" s="704" t="n">
        <v>1</v>
      </c>
      <c r="M5" s="616" t="n">
        <v>1</v>
      </c>
      <c r="N5" s="608">
        <f t="array" ref="N5">1000*(INDEX('Bakat Base Times'!$E:$E,MATCH(1,('Bakat Base Times'!$A:$A=B5)*('Bakat Base Times'!$B:$B=C5)*('Bakat Base Times'!$C:$C=D5),0))/(VALUE(O5)))^3
</f>
        <v/>
      </c>
      <c r="O5" s="609">
        <f>IFERROR(__xludf.DUMMYFUNCTION("IF(ISNUMBER(I5), I5, IF(REGEXMATCH(I5, "":""), SUMPRODUCT(VALUE(SPLIT(I5, "":"")) * (60^(COUNTIF(SPLIT(I5, "":""), ""&lt;&gt;"")-COLUMN(OFFSET('MOT Tables 25'!$A$1,,,1,COUNTIF(SPLIT(I5, "":""),""&lt;&gt;"")))))), VALUE(I5)))"),24.1)</f>
        <v/>
      </c>
      <c r="P5" s="583" t="n"/>
      <c r="Q5" s="583" t="inlineStr">
        <is>
          <t>YOONG JIA JIA</t>
        </is>
      </c>
      <c r="R5" s="584" t="inlineStr">
        <is>
          <t>F</t>
        </is>
      </c>
      <c r="S5" s="584" t="n">
        <v>1</v>
      </c>
      <c r="T5" s="584" t="inlineStr">
        <is>
          <t>B1</t>
        </is>
      </c>
      <c r="U5" s="584" t="inlineStr">
        <is>
          <t>SGR</t>
        </is>
      </c>
      <c r="V5" s="585" t="n">
        <v>39161</v>
      </c>
      <c r="W5" s="689" t="n"/>
      <c r="X5" s="689" t="n"/>
      <c r="Y5" s="618" t="inlineStr">
        <is>
          <t>M</t>
        </is>
      </c>
      <c r="Z5" s="619" t="inlineStr">
        <is>
          <t>50 Free</t>
        </is>
      </c>
      <c r="AA5" s="612" t="n">
        <v>15</v>
      </c>
      <c r="AB5" s="613" t="inlineStr">
        <is>
          <t>LOO CHENG FENG</t>
        </is>
      </c>
      <c r="AC5" s="628" t="n">
        <v>24.1</v>
      </c>
      <c r="AD5" s="628">
        <f>IFERROR(__xludf.DUMMYFUNCTION("IF(ISNUMBER(AC5), AC5, IF(REGEXMATCH(AC5, "":""), SUMPRODUCT(VALUE(SPLIT(AC5, "":"")) * (60^(COUNTIF(SPLIT(AC5, "":""), ""&lt;&gt;"")-COLUMN(OFFSET('MOT Tables 25'!$A$1,,,1,COUNTIF(SPLIT(AC5, "":""),""&lt;&gt;"")))))), VALUE(AC5)))"),24.1)</f>
        <v/>
      </c>
      <c r="AE5" s="616" t="n">
        <v>1</v>
      </c>
      <c r="AF5" s="617">
        <f t="array" ref="AF5">1000*(INDEX('Bakat Base Times'!$E:$E,MATCH(1,('Bakat Base Times'!$A:$A=Y5)*('Bakat Base Times'!$B:$B=Z5)*('Bakat Base Times'!$C:$C=AA5),0))/(VALUE(AD5)))^3
</f>
        <v/>
      </c>
      <c r="AG5" s="693" t="n"/>
      <c r="AH5" s="618" t="inlineStr">
        <is>
          <t>M</t>
        </is>
      </c>
      <c r="AI5" s="619" t="inlineStr">
        <is>
          <t>100 Free</t>
        </is>
      </c>
      <c r="AJ5" s="619" t="n">
        <v>17</v>
      </c>
      <c r="AK5" s="613" t="inlineStr">
        <is>
          <t>ASLAN ADNAN</t>
        </is>
      </c>
      <c r="AL5" s="614" t="inlineStr">
        <is>
          <t>53.57</t>
        </is>
      </c>
      <c r="AM5" s="505">
        <f>IFERROR(__xludf.DUMMYFUNCTION("IF(ISNUMBER(AL5), AL5, IF(REGEXMATCH(AL5, "":""), SUMPRODUCT(VALUE(SPLIT(AL5, "":"")) * (60^(COUNTIF(SPLIT(AL5, "":""), ""&lt;&gt;"")-COLUMN(OFFSET('MOT Tables 25'!$A$1,,,1,COUNTIF(SPLIT(AL5, "":""),""&lt;&gt;"")))))), VALUE(AL5)))"),53.57)</f>
        <v/>
      </c>
      <c r="AN5" s="613" t="n">
        <v>13</v>
      </c>
      <c r="AO5" s="672">
        <f t="array" ref="AO5">1000*(INDEX('Bakat Base Times'!$E:$E,MATCH(1,('Bakat Base Times'!$A:$A=AH5)*('Bakat Base Times'!$B:$B=AI5)*('Bakat Base Times'!$C:$C=AJ5),0))/(VALUE(AM5)))^3
</f>
        <v/>
      </c>
      <c r="AP5" s="621" t="n"/>
      <c r="AQ5" s="693" t="n"/>
      <c r="AR5" s="625" t="inlineStr">
        <is>
          <t>LYNNA YEOW YI JING</t>
        </is>
      </c>
      <c r="AS5" s="693">
        <f>SUMIF(AK:AK,AR5,AO:AO)</f>
        <v/>
      </c>
      <c r="AT5" s="626">
        <f>AVERAGEIF(AK:AK,AR5,AO:AO)</f>
        <v/>
      </c>
      <c r="AV5" s="625" t="inlineStr">
        <is>
          <t>DAMIAN SETH LIM</t>
        </is>
      </c>
      <c r="AW5" s="693">
        <f>SUMIF(AK:AK,AV5,AO:AO)</f>
        <v/>
      </c>
      <c r="AX5" s="626">
        <f>AVERAGEIF(AK:AK,AV5,AO:AO)</f>
        <v/>
      </c>
      <c r="AY5" s="693" t="n"/>
      <c r="AZ5" s="693" t="n"/>
    </row>
    <row r="6">
      <c r="A6" s="575" t="n">
        <v>5</v>
      </c>
      <c r="B6" s="710" t="inlineStr">
        <is>
          <t>M</t>
        </is>
      </c>
      <c r="C6" s="709" t="inlineStr">
        <is>
          <t>100 Free</t>
        </is>
      </c>
      <c r="D6" s="710" t="n">
        <v>15</v>
      </c>
      <c r="E6" s="590" t="inlineStr">
        <is>
          <t>LOO CHENG FENG</t>
        </is>
      </c>
      <c r="F6" s="707" t="inlineStr">
        <is>
          <t>53.40</t>
        </is>
      </c>
      <c r="G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 s="460">
        <f>G6/#REF!</f>
        <v/>
      </c>
      <c r="I6" s="591" t="inlineStr">
        <is>
          <t>52.68</t>
        </is>
      </c>
      <c r="J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 s="460">
        <f>J6/#REF!</f>
        <v/>
      </c>
      <c r="L6" s="709" t="n">
        <v>2</v>
      </c>
      <c r="M6" s="593" t="n">
        <v>2</v>
      </c>
      <c r="N6" s="581">
        <f t="array" ref="N6">1000*(INDEX('Bakat Base Times'!$E:$E,MATCH(1,('Bakat Base Times'!$A:$A=B6)*('Bakat Base Times'!$B:$B=C6)*('Bakat Base Times'!$C:$C=D6),0))/(VALUE(O6)))^3
</f>
        <v/>
      </c>
      <c r="O6" s="582">
        <f>IFERROR(__xludf.DUMMYFUNCTION("IF(ISNUMBER(I6), I6, IF(REGEXMATCH(I6, "":""), SUMPRODUCT(VALUE(SPLIT(I6, "":"")) * (60^(COUNTIF(SPLIT(I6, "":""), ""&lt;&gt;"")-COLUMN(OFFSET('MOT Tables 25'!$A$1,,,1,COUNTIF(SPLIT(I6, "":""),""&lt;&gt;"")))))), VALUE(I6)))"),52.68)</f>
        <v/>
      </c>
      <c r="P6" s="583" t="n"/>
      <c r="Q6" s="583" t="inlineStr">
        <is>
          <t>LEE YEN ERN</t>
        </is>
      </c>
      <c r="R6" s="584" t="inlineStr">
        <is>
          <t>F</t>
        </is>
      </c>
      <c r="S6" s="584" t="n">
        <v>1</v>
      </c>
      <c r="T6" s="584" t="inlineStr">
        <is>
          <t>B2</t>
        </is>
      </c>
      <c r="U6" s="584" t="inlineStr">
        <is>
          <t>PEN</t>
        </is>
      </c>
      <c r="V6" s="585" t="n">
        <v>39674</v>
      </c>
      <c r="W6" s="689" t="n"/>
      <c r="X6" s="689" t="n"/>
      <c r="Y6" s="596" t="inlineStr">
        <is>
          <t>M</t>
        </is>
      </c>
      <c r="Z6" s="597" t="inlineStr">
        <is>
          <t>100 Free</t>
        </is>
      </c>
      <c r="AA6" s="589" t="n">
        <v>15</v>
      </c>
      <c r="AB6" s="590" t="inlineStr">
        <is>
          <t>LOO CHENG FENG</t>
        </is>
      </c>
      <c r="AC6" s="591" t="inlineStr">
        <is>
          <t>52.68</t>
        </is>
      </c>
      <c r="AD6" s="592">
        <f>IFERROR(__xludf.DUMMYFUNCTION("IF(ISNUMBER(AC6), AC6, IF(REGEXMATCH(AC6, "":""), SUMPRODUCT(VALUE(SPLIT(AC6, "":"")) * (60^(COUNTIF(SPLIT(AC6, "":""), ""&lt;&gt;"")-COLUMN(OFFSET('MOT Tables 25'!$A$1,,,1,COUNTIF(SPLIT(AC6, "":""),""&lt;&gt;"")))))), VALUE(AC6)))"),52.68)</f>
        <v/>
      </c>
      <c r="AE6" s="593" t="n">
        <v>2</v>
      </c>
      <c r="AF6" s="594">
        <f t="array" ref="AF6">1000*(INDEX('Bakat Base Times'!$E:$E,MATCH(1,('Bakat Base Times'!$A:$A=Y6)*('Bakat Base Times'!$B:$B=Z6)*('Bakat Base Times'!$C:$C=AA6),0))/(VALUE(AD6)))^3
</f>
        <v/>
      </c>
      <c r="AG6" s="693" t="n"/>
      <c r="AH6" s="596" t="inlineStr">
        <is>
          <t>M</t>
        </is>
      </c>
      <c r="AI6" s="597" t="inlineStr">
        <is>
          <t>200 IM</t>
        </is>
      </c>
      <c r="AJ6" s="597" t="n">
        <v>17</v>
      </c>
      <c r="AK6" s="590" t="inlineStr">
        <is>
          <t>ASLAN ADNAN</t>
        </is>
      </c>
      <c r="AL6" s="591" t="inlineStr">
        <is>
          <t>2:11.42</t>
        </is>
      </c>
      <c r="AM6" s="517">
        <f>IFERROR(__xludf.DUMMYFUNCTION("IF(ISNUMBER(AL6), AL6, IF(REGEXMATCH(AL6, "":""), SUMPRODUCT(VALUE(SPLIT(AL6, "":"")) * (60^(COUNTIF(SPLIT(AL6, "":""), ""&lt;&gt;"")-COLUMN(OFFSET('MOT Tables 25'!$A$1,,,1,COUNTIF(SPLIT(AL6, "":""),""&lt;&gt;"")))))), VALUE(AL6)))"),131.42)</f>
        <v/>
      </c>
      <c r="AN6" s="590" t="n">
        <v>5</v>
      </c>
      <c r="AO6" s="599">
        <f t="array" ref="AO6">1000*(INDEX('Bakat Base Times'!$E:$E,MATCH(1,('Bakat Base Times'!$A:$A=AH6)*('Bakat Base Times'!$B:$B=AI6)*('Bakat Base Times'!$C:$C=AJ6),0))/(VALUE(AM6)))^3
</f>
        <v/>
      </c>
      <c r="AP6" s="600" t="n"/>
      <c r="AQ6" s="693" t="n"/>
      <c r="AR6" s="625" t="inlineStr">
        <is>
          <t>HERMANN TANG BOK YU</t>
        </is>
      </c>
      <c r="AS6" s="693">
        <f>SUMIF(AK:AK,AR6,AO:AO)</f>
        <v/>
      </c>
      <c r="AT6" s="626">
        <f>AVERAGEIF(AK:AK,AR6,AO:AO)</f>
        <v/>
      </c>
      <c r="AV6" s="622" t="inlineStr">
        <is>
          <t>AW YUET TING</t>
        </is>
      </c>
      <c r="AW6" s="639">
        <f>SUMIF(AK:AK,AV6,AO:AO)</f>
        <v/>
      </c>
      <c r="AX6" s="624">
        <f>AVERAGEIF(AK:AK,AV6,AO:AO)</f>
        <v/>
      </c>
      <c r="AY6" s="693" t="n"/>
      <c r="AZ6" s="693" t="n"/>
    </row>
    <row r="7">
      <c r="A7" s="602" t="n">
        <v>6</v>
      </c>
      <c r="B7" s="705" t="inlineStr">
        <is>
          <t>M</t>
        </is>
      </c>
      <c r="C7" s="704" t="inlineStr">
        <is>
          <t>200 Free</t>
        </is>
      </c>
      <c r="D7" s="705" t="n">
        <v>17</v>
      </c>
      <c r="E7" s="613" t="inlineStr">
        <is>
          <t>MUHAMMAD DHUHA BIN ZULFIKRY</t>
        </is>
      </c>
      <c r="F7" s="701" t="inlineStr">
        <is>
          <t>1:50.03</t>
        </is>
      </c>
      <c r="G7"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 s="464">
        <f>G7/#REF!</f>
        <v/>
      </c>
      <c r="I7" s="614" t="inlineStr">
        <is>
          <t>1:52.47</t>
        </is>
      </c>
      <c r="J7"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 s="464">
        <f>J7/#REF!</f>
        <v/>
      </c>
      <c r="L7" s="704" t="n">
        <v>1</v>
      </c>
      <c r="M7" s="616" t="n">
        <v>2</v>
      </c>
      <c r="N7" s="608">
        <f t="array" ref="N7">1000*(INDEX('Bakat Base Times'!$E:$E,MATCH(1,('Bakat Base Times'!$A:$A=B7)*('Bakat Base Times'!$B:$B=C7)*('Bakat Base Times'!$C:$C=D7),0))/(VALUE(O7)))^3
</f>
        <v/>
      </c>
      <c r="O7" s="609">
        <f>IFERROR(__xludf.DUMMYFUNCTION("IF(ISNUMBER(I7), I7, IF(REGEXMATCH(I7, "":""), SUMPRODUCT(VALUE(SPLIT(I7, "":"")) * (60^(COUNTIF(SPLIT(I7, "":""), ""&lt;&gt;"")-COLUMN(OFFSET('MOT Tables 25'!$A$1,,,1,COUNTIF(SPLIT(I7, "":""),""&lt;&gt;"")))))), VALUE(I7)))"),112.47)</f>
        <v/>
      </c>
      <c r="P7" s="583" t="n"/>
      <c r="Q7" s="583" t="inlineStr">
        <is>
          <t>KHEW ZI XIAN</t>
        </is>
      </c>
      <c r="R7" s="584" t="inlineStr">
        <is>
          <t>F</t>
        </is>
      </c>
      <c r="S7" s="584" t="n">
        <v>1</v>
      </c>
      <c r="T7" s="584" t="inlineStr">
        <is>
          <t>B2</t>
        </is>
      </c>
      <c r="U7" s="584" t="inlineStr">
        <is>
          <t>SGR</t>
        </is>
      </c>
      <c r="V7" s="585" t="n">
        <v>39610</v>
      </c>
      <c r="W7" s="689" t="n"/>
      <c r="X7" s="689" t="n"/>
      <c r="Y7" s="618" t="inlineStr">
        <is>
          <t>M</t>
        </is>
      </c>
      <c r="Z7" s="619" t="inlineStr">
        <is>
          <t>200 Free</t>
        </is>
      </c>
      <c r="AA7" s="612" t="n">
        <v>17</v>
      </c>
      <c r="AB7" s="613" t="inlineStr">
        <is>
          <t>MUHAMMAD DHUHA BIN ZULFIKRY</t>
        </is>
      </c>
      <c r="AC7" s="614" t="inlineStr">
        <is>
          <t>1:52.47</t>
        </is>
      </c>
      <c r="AD7" s="628">
        <f>IFERROR(__xludf.DUMMYFUNCTION("IF(ISNUMBER(AC7), AC7, IF(REGEXMATCH(AC7, "":""), SUMPRODUCT(VALUE(SPLIT(AC7, "":"")) * (60^(COUNTIF(SPLIT(AC7, "":""), ""&lt;&gt;"")-COLUMN(OFFSET('MOT Tables 25'!$A$1,,,1,COUNTIF(SPLIT(AC7, "":""),""&lt;&gt;"")))))), VALUE(AC7)))"),112.47)</f>
        <v/>
      </c>
      <c r="AE7" s="616" t="n">
        <v>2</v>
      </c>
      <c r="AF7" s="617">
        <f t="array" ref="AF7">1000*(INDEX('Bakat Base Times'!$E:$E,MATCH(1,('Bakat Base Times'!$A:$A=Y7)*('Bakat Base Times'!$B:$B=Z7)*('Bakat Base Times'!$C:$C=AA7),0))/(VALUE(AD7)))^3
</f>
        <v/>
      </c>
      <c r="AG7" s="693" t="n"/>
      <c r="AH7" s="618" t="inlineStr">
        <is>
          <t>M</t>
        </is>
      </c>
      <c r="AI7" s="619" t="inlineStr">
        <is>
          <t>200 Free</t>
        </is>
      </c>
      <c r="AJ7" s="619" t="n">
        <v>17</v>
      </c>
      <c r="AK7" s="613" t="inlineStr">
        <is>
          <t>ASLAN ADNAN</t>
        </is>
      </c>
      <c r="AL7" s="614" t="inlineStr">
        <is>
          <t>2:00.34</t>
        </is>
      </c>
      <c r="AM7" s="505">
        <f>IFERROR(__xludf.DUMMYFUNCTION("IF(ISNUMBER(AL7), AL7, IF(REGEXMATCH(AL7, "":""), SUMPRODUCT(VALUE(SPLIT(AL7, "":"")) * (60^(COUNTIF(SPLIT(AL7, "":""), ""&lt;&gt;"")-COLUMN(OFFSET('MOT Tables 25'!$A$1,,,1,COUNTIF(SPLIT(AL7, "":""),""&lt;&gt;"")))))), VALUE(AL7)))"),120.34)</f>
        <v/>
      </c>
      <c r="AN7" s="613" t="n">
        <v>13</v>
      </c>
      <c r="AO7" s="672">
        <f t="array" ref="AO7">1000*(INDEX('Bakat Base Times'!$E:$E,MATCH(1,('Bakat Base Times'!$A:$A=AH7)*('Bakat Base Times'!$B:$B=AI7)*('Bakat Base Times'!$C:$C=AJ7),0))/(VALUE(AM7)))^3
</f>
        <v/>
      </c>
      <c r="AP7" s="621" t="n"/>
      <c r="AQ7" s="693" t="n"/>
      <c r="AR7" s="622" t="inlineStr">
        <is>
          <t>CH'NG SAW HUAI</t>
        </is>
      </c>
      <c r="AS7" s="639">
        <f>SUMIF(AK:AK,AR7,AO:AO)</f>
        <v/>
      </c>
      <c r="AT7" s="624">
        <f>AVERAGEIF(AK:AK,AR7,AO:AO)</f>
        <v/>
      </c>
      <c r="AV7" s="622" t="inlineStr">
        <is>
          <t>CH'NG SAW HUAI</t>
        </is>
      </c>
      <c r="AW7" s="639">
        <f>SUMIF(AK:AK,AV7,AO:AO)</f>
        <v/>
      </c>
      <c r="AX7" s="624">
        <f>AVERAGEIF(AK:AK,AV7,AO:AO)</f>
        <v/>
      </c>
      <c r="AY7" s="693" t="n"/>
      <c r="AZ7" s="693" t="n"/>
    </row>
    <row r="8">
      <c r="A8" s="575" t="n">
        <v>7</v>
      </c>
      <c r="B8" s="710" t="inlineStr">
        <is>
          <t>M</t>
        </is>
      </c>
      <c r="C8" s="709" t="inlineStr">
        <is>
          <t>50 Free</t>
        </is>
      </c>
      <c r="D8" s="710" t="n">
        <v>14</v>
      </c>
      <c r="E8" s="590" t="inlineStr">
        <is>
          <t>DAMIAN SETH LIM</t>
        </is>
      </c>
      <c r="F8" s="629" t="n">
        <v>24.91</v>
      </c>
      <c r="G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 s="460">
        <f>G8/#REF!</f>
        <v/>
      </c>
      <c r="I8" s="591" t="n">
        <v>24.84</v>
      </c>
      <c r="J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 s="460">
        <f>J8/#REF!</f>
        <v/>
      </c>
      <c r="L8" s="709" t="n">
        <v>5</v>
      </c>
      <c r="M8" s="630" t="n">
        <v>6</v>
      </c>
      <c r="N8" s="581">
        <f t="array" ref="N8">1000*(INDEX('Bakat Base Times'!$E:$E,MATCH(1,('Bakat Base Times'!$A:$A=B8)*('Bakat Base Times'!$B:$B=C8)*('Bakat Base Times'!$C:$C=D8),0))/(VALUE(O8)))^3
</f>
        <v/>
      </c>
      <c r="O8" s="582">
        <f>IFERROR(__xludf.DUMMYFUNCTION("IF(ISNUMBER(I8), I8, IF(REGEXMATCH(I8, "":""), SUMPRODUCT(VALUE(SPLIT(I8, "":"")) * (60^(COUNTIF(SPLIT(I8, "":""), ""&lt;&gt;"")-COLUMN(OFFSET('MOT Tables 25'!$A$1,,,1,COUNTIF(SPLIT(I8, "":""),""&lt;&gt;"")))))), VALUE(I8)))"),24.84)</f>
        <v/>
      </c>
      <c r="P8" s="583" t="n"/>
      <c r="Q8" s="583" t="inlineStr">
        <is>
          <t>FELICIA LEE QIAN HUI</t>
        </is>
      </c>
      <c r="R8" s="584" t="inlineStr">
        <is>
          <t>F</t>
        </is>
      </c>
      <c r="S8" s="584" t="n">
        <v>1</v>
      </c>
      <c r="T8" s="584" t="inlineStr">
        <is>
          <t>C</t>
        </is>
      </c>
      <c r="U8" s="584" t="inlineStr">
        <is>
          <t>MLK</t>
        </is>
      </c>
      <c r="V8" s="585" t="n">
        <v>39876</v>
      </c>
      <c r="W8" s="689" t="n"/>
      <c r="X8" s="689" t="n"/>
      <c r="Y8" s="596" t="inlineStr">
        <is>
          <t>M</t>
        </is>
      </c>
      <c r="Z8" s="597" t="inlineStr">
        <is>
          <t>50 Free</t>
        </is>
      </c>
      <c r="AA8" s="589" t="n">
        <v>14</v>
      </c>
      <c r="AB8" s="590" t="inlineStr">
        <is>
          <t>DAMIAN SETH LIM</t>
        </is>
      </c>
      <c r="AC8" s="591" t="n">
        <v>24.84</v>
      </c>
      <c r="AD8" s="592">
        <f>IFERROR(__xludf.DUMMYFUNCTION("IF(ISNUMBER(AC8), AC8, IF(REGEXMATCH(AC8, "":""), SUMPRODUCT(VALUE(SPLIT(AC8, "":"")) * (60^(COUNTIF(SPLIT(AC8, "":""), ""&lt;&gt;"")-COLUMN(OFFSET('MOT Tables 25'!$A$1,,,1,COUNTIF(SPLIT(AC8, "":""),""&lt;&gt;"")))))), VALUE(AC8)))"),24.84)</f>
        <v/>
      </c>
      <c r="AE8" s="593" t="n">
        <v>6</v>
      </c>
      <c r="AF8" s="594">
        <f t="array" ref="AF8">1000*(INDEX('Bakat Base Times'!$E:$E,MATCH(1,('Bakat Base Times'!$A:$A=Y8)*('Bakat Base Times'!$B:$B=Z8)*('Bakat Base Times'!$C:$C=AA8),0))/(VALUE(AD8)))^3
</f>
        <v/>
      </c>
      <c r="AG8" s="693" t="n"/>
      <c r="AH8" s="596" t="inlineStr">
        <is>
          <t>M</t>
        </is>
      </c>
      <c r="AI8" s="597" t="inlineStr">
        <is>
          <t>200 Fly</t>
        </is>
      </c>
      <c r="AJ8" s="597" t="n">
        <v>17</v>
      </c>
      <c r="AK8" s="590" t="inlineStr">
        <is>
          <t>ASLAN ADNAN</t>
        </is>
      </c>
      <c r="AL8" s="661" t="inlineStr">
        <is>
          <t>2:11.70</t>
        </is>
      </c>
      <c r="AM8" s="517">
        <f>IFERROR(__xludf.DUMMYFUNCTION("IF(ISNUMBER(AL8), AL8, IF(REGEXMATCH(AL8, "":""), SUMPRODUCT(VALUE(SPLIT(AL8, "":"")) * (60^(COUNTIF(SPLIT(AL8, "":""), ""&lt;&gt;"")-COLUMN(OFFSET('MOT Tables 25'!$A$1,,,1,COUNTIF(SPLIT(AL8, "":""),""&lt;&gt;"")))))), VALUE(AL8)))"),131.7)</f>
        <v/>
      </c>
      <c r="AN8" s="590" t="n">
        <v>11</v>
      </c>
      <c r="AO8" s="599">
        <f t="array" ref="AO8">1000*(INDEX('Bakat Base Times'!$E:$E,MATCH(1,('Bakat Base Times'!$A:$A=AH8)*('Bakat Base Times'!$B:$B=AI8)*('Bakat Base Times'!$C:$C=AJ8),0))/(VALUE(AM8)))^3
</f>
        <v/>
      </c>
      <c r="AP8" s="600" t="n"/>
      <c r="AQ8" s="693" t="n"/>
      <c r="AR8" s="622" t="inlineStr">
        <is>
          <t>LOO CHENG FENG</t>
        </is>
      </c>
      <c r="AS8" s="639">
        <f>SUMIF(AK:AK,AR8,AO:AO)</f>
        <v/>
      </c>
      <c r="AT8" s="624">
        <f>AVERAGEIF(AK:AK,AR8,AO:AO)</f>
        <v/>
      </c>
      <c r="AV8" s="622" t="inlineStr">
        <is>
          <t>JOSHUA LIM JI SHEN</t>
        </is>
      </c>
      <c r="AW8" s="639">
        <f>SUMIF(AK:AK,AV8,AO:AO)</f>
        <v/>
      </c>
      <c r="AX8" s="624">
        <f>AVERAGEIF(AK:AK,AV8,AO:AO)</f>
        <v/>
      </c>
      <c r="AY8" s="693" t="n"/>
      <c r="AZ8" s="693" t="n"/>
    </row>
    <row r="9">
      <c r="A9" s="602" t="n">
        <v>8</v>
      </c>
      <c r="B9" s="705" t="inlineStr">
        <is>
          <t>F</t>
        </is>
      </c>
      <c r="C9" s="704" t="inlineStr">
        <is>
          <t>100 Back</t>
        </is>
      </c>
      <c r="D9" s="705" t="n">
        <v>14</v>
      </c>
      <c r="E9" s="613" t="inlineStr">
        <is>
          <t>VIVIAN TEE XIN LING</t>
        </is>
      </c>
      <c r="F9" s="701" t="inlineStr">
        <is>
          <t>1:05.89</t>
        </is>
      </c>
      <c r="G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 s="464">
        <f>G9/#REF!</f>
        <v/>
      </c>
      <c r="I9" s="614" t="inlineStr">
        <is>
          <t>1:04.90</t>
        </is>
      </c>
      <c r="J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 s="464">
        <f>J9/#REF!</f>
        <v/>
      </c>
      <c r="L9" s="704" t="n">
        <v>2</v>
      </c>
      <c r="M9" s="616" t="n">
        <v>2</v>
      </c>
      <c r="N9" s="608">
        <f t="array" ref="N9">1000*(INDEX('Bakat Base Times'!$E:$E,MATCH(1,('Bakat Base Times'!$A:$A=B9)*('Bakat Base Times'!$B:$B=C9)*('Bakat Base Times'!$C:$C=D9),0))/(VALUE(O9)))^3
</f>
        <v/>
      </c>
      <c r="O9" s="609">
        <f>IFERROR(__xludf.DUMMYFUNCTION("IF(ISNUMBER(I9), I9, IF(REGEXMATCH(I9, "":""), SUMPRODUCT(VALUE(SPLIT(I9, "":"")) * (60^(COUNTIF(SPLIT(I9, "":""), ""&lt;&gt;"")-COLUMN(OFFSET('MOT Tables 25'!$A$1,,,1,COUNTIF(SPLIT(I9, "":""),""&lt;&gt;"")))))), VALUE(I9)))"),64.9)</f>
        <v/>
      </c>
      <c r="P9" s="583" t="n"/>
      <c r="Q9" s="583" t="inlineStr">
        <is>
          <t>LAURA LEE YEN NIE</t>
        </is>
      </c>
      <c r="R9" s="584" t="inlineStr">
        <is>
          <t>F</t>
        </is>
      </c>
      <c r="S9" s="584" t="n">
        <v>1</v>
      </c>
      <c r="T9" s="584" t="inlineStr">
        <is>
          <t>C</t>
        </is>
      </c>
      <c r="U9" s="584" t="inlineStr">
        <is>
          <t>SBH</t>
        </is>
      </c>
      <c r="V9" s="585" t="n">
        <v>39878</v>
      </c>
      <c r="W9" s="689" t="n"/>
      <c r="X9" s="689" t="n"/>
      <c r="Y9" s="618" t="inlineStr">
        <is>
          <t>F</t>
        </is>
      </c>
      <c r="Z9" s="619" t="inlineStr">
        <is>
          <t>100 Back</t>
        </is>
      </c>
      <c r="AA9" s="612" t="n">
        <v>14</v>
      </c>
      <c r="AB9" s="613" t="inlineStr">
        <is>
          <t>VIVIAN TEE XIN LING</t>
        </is>
      </c>
      <c r="AC9" s="614" t="inlineStr">
        <is>
          <t>1:04.90</t>
        </is>
      </c>
      <c r="AD9" s="628">
        <f>IFERROR(__xludf.DUMMYFUNCTION("IF(ISNUMBER(AC9), AC9, IF(REGEXMATCH(AC9, "":""), SUMPRODUCT(VALUE(SPLIT(AC9, "":"")) * (60^(COUNTIF(SPLIT(AC9, "":""), ""&lt;&gt;"")-COLUMN(OFFSET('MOT Tables 25'!$A$1,,,1,COUNTIF(SPLIT(AC9, "":""),""&lt;&gt;"")))))), VALUE(AC9)))"),64.9)</f>
        <v/>
      </c>
      <c r="AE9" s="616" t="n">
        <v>2</v>
      </c>
      <c r="AF9" s="617">
        <f t="array" ref="AF9">1000*(INDEX('Bakat Base Times'!$E:$E,MATCH(1,('Bakat Base Times'!$A:$A=Y9)*('Bakat Base Times'!$B:$B=Z9)*('Bakat Base Times'!$C:$C=AA9),0))/(VALUE(AD9)))^3
</f>
        <v/>
      </c>
      <c r="AG9" s="693" t="n"/>
      <c r="AH9" s="618" t="inlineStr">
        <is>
          <t>M</t>
        </is>
      </c>
      <c r="AI9" s="619" t="inlineStr">
        <is>
          <t>100 Back</t>
        </is>
      </c>
      <c r="AJ9" s="619" t="n">
        <v>17</v>
      </c>
      <c r="AK9" s="613" t="inlineStr">
        <is>
          <t>ASLAN ADNAN</t>
        </is>
      </c>
      <c r="AL9" s="614" t="inlineStr">
        <is>
          <t>1:02.72</t>
        </is>
      </c>
      <c r="AM9" s="505">
        <f>IFERROR(__xludf.DUMMYFUNCTION("IF(ISNUMBER(AL9), AL9, IF(REGEXMATCH(AL9, "":""), SUMPRODUCT(VALUE(SPLIT(AL9, "":"")) * (60^(COUNTIF(SPLIT(AL9, "":""), ""&lt;&gt;"")-COLUMN(OFFSET('MOT Tables 25'!$A$1,,,1,COUNTIF(SPLIT(AL9, "":""),""&lt;&gt;"")))))), VALUE(AL9)))"),62.72)</f>
        <v/>
      </c>
      <c r="AN9" s="613" t="n">
        <v>12</v>
      </c>
      <c r="AO9" s="672">
        <f t="array" ref="AO9">1000*(INDEX('Bakat Base Times'!$E:$E,MATCH(1,('Bakat Base Times'!$A:$A=AH9)*('Bakat Base Times'!$B:$B=AI9)*('Bakat Base Times'!$C:$C=AJ9),0))/(VALUE(AM9)))^3
</f>
        <v/>
      </c>
      <c r="AP9" s="621" t="n"/>
      <c r="AQ9" s="693" t="n"/>
      <c r="AR9" s="625" t="inlineStr">
        <is>
          <t>TAN RUI NEE</t>
        </is>
      </c>
      <c r="AS9" s="693">
        <f>SUMIF(AK:AK,AR9,AO:AO)</f>
        <v/>
      </c>
      <c r="AT9" s="626">
        <f>AVERAGEIF(AK:AK,AR9,AO:AO)</f>
        <v/>
      </c>
      <c r="AV9" s="625" t="inlineStr">
        <is>
          <t>BRANDON YEOH HSIEN KAI</t>
        </is>
      </c>
      <c r="AW9" s="693">
        <f>SUMIF(AK:AK,AV9,AO:AO)</f>
        <v/>
      </c>
      <c r="AX9" s="626">
        <f>AVERAGEIF(AK:AK,AV9,AO:AO)</f>
        <v/>
      </c>
      <c r="AY9" s="693" t="n"/>
      <c r="AZ9" s="693" t="n"/>
    </row>
    <row r="10">
      <c r="A10" s="575" t="n">
        <v>9</v>
      </c>
      <c r="B10" s="710" t="inlineStr">
        <is>
          <t>M</t>
        </is>
      </c>
      <c r="C10" s="709" t="inlineStr">
        <is>
          <t>200 Fly</t>
        </is>
      </c>
      <c r="D10" s="710" t="n">
        <v>17</v>
      </c>
      <c r="E10" s="590" t="inlineStr">
        <is>
          <t>GOH LI JIE</t>
        </is>
      </c>
      <c r="F10" s="707" t="inlineStr">
        <is>
          <t>2:03.66</t>
        </is>
      </c>
      <c r="G1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 s="460">
        <f>G10/#REF!</f>
        <v/>
      </c>
      <c r="I10" s="591" t="inlineStr">
        <is>
          <t>2:03.34</t>
        </is>
      </c>
      <c r="J1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 s="460">
        <f>J10/#REF!</f>
        <v/>
      </c>
      <c r="L10" s="709" t="n">
        <v>4</v>
      </c>
      <c r="M10" s="593" t="n">
        <v>2</v>
      </c>
      <c r="N10" s="581">
        <f t="array" ref="N10">1000*(INDEX('Bakat Base Times'!$E:$E,MATCH(1,('Bakat Base Times'!$A:$A=B10)*('Bakat Base Times'!$B:$B=C10)*('Bakat Base Times'!$C:$C=D10),0))/(VALUE(O10)))^3
</f>
        <v/>
      </c>
      <c r="O10" s="582">
        <f>IFERROR(__xludf.DUMMYFUNCTION("IF(ISNUMBER(I10), I10, IF(REGEXMATCH(I10, "":""), SUMPRODUCT(VALUE(SPLIT(I10, "":"")) * (60^(COUNTIF(SPLIT(I10, "":""), ""&lt;&gt;"")-COLUMN(OFFSET('MOT Tables 25'!$A$1,,,1,COUNTIF(SPLIT(I10, "":""),""&lt;&gt;"")))))), VALUE(I10)))"),123.34)</f>
        <v/>
      </c>
      <c r="P10" s="583" t="n"/>
      <c r="Q10" s="583" t="inlineStr">
        <is>
          <t>CHONG YUAN YI</t>
        </is>
      </c>
      <c r="R10" s="584" t="inlineStr">
        <is>
          <t>F</t>
        </is>
      </c>
      <c r="S10" s="584" t="n">
        <v>1</v>
      </c>
      <c r="T10" s="584" t="inlineStr">
        <is>
          <t>C</t>
        </is>
      </c>
      <c r="U10" s="584" t="inlineStr">
        <is>
          <t>SGR</t>
        </is>
      </c>
      <c r="V10" s="585" t="n">
        <v>39908</v>
      </c>
      <c r="W10" s="689" t="n"/>
      <c r="X10" s="689" t="n"/>
      <c r="Y10" s="596" t="inlineStr">
        <is>
          <t>M</t>
        </is>
      </c>
      <c r="Z10" s="597" t="inlineStr">
        <is>
          <t>200 Fly</t>
        </is>
      </c>
      <c r="AA10" s="589" t="n">
        <v>17</v>
      </c>
      <c r="AB10" s="590" t="inlineStr">
        <is>
          <t>GOH LI JIE</t>
        </is>
      </c>
      <c r="AC10" s="591" t="inlineStr">
        <is>
          <t>2:03.34</t>
        </is>
      </c>
      <c r="AD10" s="592">
        <f>IFERROR(__xludf.DUMMYFUNCTION("IF(ISNUMBER(AC10), AC10, IF(REGEXMATCH(AC10, "":""), SUMPRODUCT(VALUE(SPLIT(AC10, "":"")) * (60^(COUNTIF(SPLIT(AC10, "":""), ""&lt;&gt;"")-COLUMN(OFFSET('MOT Tables 25'!$A$1,,,1,COUNTIF(SPLIT(AC10, "":""),""&lt;&gt;"")))))), VALUE(AC10)))"),123.34)</f>
        <v/>
      </c>
      <c r="AE10" s="593" t="n">
        <v>2</v>
      </c>
      <c r="AF10" s="594">
        <f t="array" ref="AF10">1000*(INDEX('Bakat Base Times'!$E:$E,MATCH(1,('Bakat Base Times'!$A:$A=Y10)*('Bakat Base Times'!$B:$B=Z10)*('Bakat Base Times'!$C:$C=AA10),0))/(VALUE(AD10)))^3
</f>
        <v/>
      </c>
      <c r="AG10" s="693" t="n"/>
      <c r="AH10" s="596" t="inlineStr">
        <is>
          <t>M</t>
        </is>
      </c>
      <c r="AI10" s="597" t="inlineStr">
        <is>
          <t>200 Back</t>
        </is>
      </c>
      <c r="AJ10" s="597" t="n">
        <v>17</v>
      </c>
      <c r="AK10" s="590" t="inlineStr">
        <is>
          <t>ASLAN ADNAN</t>
        </is>
      </c>
      <c r="AL10" s="591" t="inlineStr">
        <is>
          <t>2:17.72</t>
        </is>
      </c>
      <c r="AM10" s="517">
        <f>IFERROR(__xludf.DUMMYFUNCTION("IF(ISNUMBER(AL10), AL10, IF(REGEXMATCH(AL10, "":""), SUMPRODUCT(VALUE(SPLIT(AL10, "":"")) * (60^(COUNTIF(SPLIT(AL10, "":""), ""&lt;&gt;"")-COLUMN(OFFSET('MOT Tables 25'!$A$1,,,1,COUNTIF(SPLIT(AL10, "":""),""&lt;&gt;"")))))), VALUE(AL10)))"),137.72)</f>
        <v/>
      </c>
      <c r="AN10" s="590" t="n">
        <v>9</v>
      </c>
      <c r="AO10" s="599">
        <f t="array" ref="AO10">1000*(INDEX('Bakat Base Times'!$E:$E,MATCH(1,('Bakat Base Times'!$A:$A=AH10)*('Bakat Base Times'!$B:$B=AI10)*('Bakat Base Times'!$C:$C=AJ10),0))/(VALUE(AM10)))^3
</f>
        <v/>
      </c>
      <c r="AP10" s="600" t="n"/>
      <c r="AQ10" s="693" t="n"/>
      <c r="AR10" s="631" t="inlineStr">
        <is>
          <t>NADIA LIM</t>
        </is>
      </c>
      <c r="AS10" s="639">
        <f>SUMIF(AK:AK,AR10,AO:AO)</f>
        <v/>
      </c>
      <c r="AT10" s="624">
        <f>AVERAGEIF(AK:AK,AR10,AO:AO)</f>
        <v/>
      </c>
      <c r="AV10" s="625" t="inlineStr">
        <is>
          <t>RYAN COLBY KUEH POH YUAN</t>
        </is>
      </c>
      <c r="AW10" s="693">
        <f>SUMIF(AK:AK,AV10,AO:AO)</f>
        <v/>
      </c>
      <c r="AX10" s="626">
        <f>AVERAGEIF(AK:AK,AV10,AO:AO)</f>
        <v/>
      </c>
      <c r="AY10" s="693" t="n"/>
      <c r="AZ10" s="693" t="n"/>
    </row>
    <row r="11">
      <c r="A11" s="602" t="n">
        <v>10</v>
      </c>
      <c r="B11" s="705" t="inlineStr">
        <is>
          <t>M</t>
        </is>
      </c>
      <c r="C11" s="704" t="inlineStr">
        <is>
          <t>200 Breast</t>
        </is>
      </c>
      <c r="D11" s="705" t="n">
        <v>13</v>
      </c>
      <c r="E11" s="613" t="inlineStr">
        <is>
          <t>ETHAN TAN KHENG HONG</t>
        </is>
      </c>
      <c r="F11" s="701" t="inlineStr">
        <is>
          <t>2:33.72</t>
        </is>
      </c>
      <c r="G1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 s="464">
        <f>G11/#REF!</f>
        <v/>
      </c>
      <c r="I11" s="614" t="inlineStr">
        <is>
          <t>2:32.83</t>
        </is>
      </c>
      <c r="J1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 s="464">
        <f>J11/#REF!</f>
        <v/>
      </c>
      <c r="L11" s="704" t="n">
        <v>3</v>
      </c>
      <c r="M11" s="630" t="n">
        <v>4</v>
      </c>
      <c r="N11" s="608">
        <f t="array" ref="N11">1000*(INDEX('Bakat Base Times'!$E:$E,MATCH(1,('Bakat Base Times'!$A:$A=B11)*('Bakat Base Times'!$B:$B=C11)*('Bakat Base Times'!$C:$C=D11),0))/(VALUE(O11)))^3
</f>
        <v/>
      </c>
      <c r="O11" s="609">
        <f>IFERROR(__xludf.DUMMYFUNCTION("IF(ISNUMBER(I11), I11, IF(REGEXMATCH(I11, "":""), SUMPRODUCT(VALUE(SPLIT(I11, "":"")) * (60^(COUNTIF(SPLIT(I11, "":""), ""&lt;&gt;"")-COLUMN(OFFSET('MOT Tables 25'!$A$1,,,1,COUNTIF(SPLIT(I11, "":""),""&lt;&gt;"")))))), VALUE(I11)))"),152.82999999999998)</f>
        <v/>
      </c>
      <c r="P11" s="583" t="n"/>
      <c r="Q11" s="583" t="inlineStr">
        <is>
          <t>KHONG ZI LIN</t>
        </is>
      </c>
      <c r="R11" s="584" t="inlineStr">
        <is>
          <t>F</t>
        </is>
      </c>
      <c r="S11" s="584" t="n">
        <v>2</v>
      </c>
      <c r="T11" s="584" t="inlineStr">
        <is>
          <t>A1</t>
        </is>
      </c>
      <c r="U11" s="584" t="inlineStr">
        <is>
          <t>PRK</t>
        </is>
      </c>
      <c r="V11" s="585" t="n">
        <v>40388</v>
      </c>
      <c r="W11" s="689" t="n"/>
      <c r="X11" s="689" t="n"/>
      <c r="Y11" s="618" t="inlineStr">
        <is>
          <t>M</t>
        </is>
      </c>
      <c r="Z11" s="619" t="inlineStr">
        <is>
          <t>200 Breast</t>
        </is>
      </c>
      <c r="AA11" s="612" t="n">
        <v>13</v>
      </c>
      <c r="AB11" s="613" t="inlineStr">
        <is>
          <t>ETHAN TAN KHENG HONG</t>
        </is>
      </c>
      <c r="AC11" s="614" t="inlineStr">
        <is>
          <t>2:32.83</t>
        </is>
      </c>
      <c r="AD11" s="628">
        <f>IFERROR(__xludf.DUMMYFUNCTION("IF(ISNUMBER(AC11), AC11, IF(REGEXMATCH(AC11, "":""), SUMPRODUCT(VALUE(SPLIT(AC11, "":"")) * (60^(COUNTIF(SPLIT(AC11, "":""), ""&lt;&gt;"")-COLUMN(OFFSET('MOT Tables 25'!$A$1,,,1,COUNTIF(SPLIT(AC11, "":""),""&lt;&gt;"")))))), VALUE(AC11)))"),152.82999999999998)</f>
        <v/>
      </c>
      <c r="AE11" s="616" t="n">
        <v>4</v>
      </c>
      <c r="AF11" s="617">
        <f t="array" ref="AF11">1000*(INDEX('Bakat Base Times'!$E:$E,MATCH(1,('Bakat Base Times'!$A:$A=Y11)*('Bakat Base Times'!$B:$B=Z11)*('Bakat Base Times'!$C:$C=AA11),0))/(VALUE(AD11)))^3
</f>
        <v/>
      </c>
      <c r="AG11" s="693" t="n"/>
      <c r="AH11" s="632" t="inlineStr">
        <is>
          <t>F</t>
        </is>
      </c>
      <c r="AI11" s="633" t="inlineStr">
        <is>
          <t>200 IM</t>
        </is>
      </c>
      <c r="AJ11" s="633" t="n">
        <v>14</v>
      </c>
      <c r="AK11" s="634" t="inlineStr">
        <is>
          <t>AW YUET TING</t>
        </is>
      </c>
      <c r="AL11" s="635" t="inlineStr">
        <is>
          <t>2:24.90</t>
        </is>
      </c>
      <c r="AM11" s="636">
        <f>IFERROR(__xludf.DUMMYFUNCTION("IF(ISNUMBER(AL11), AL11, IF(REGEXMATCH(AL11, "":""), SUMPRODUCT(VALUE(SPLIT(AL11, "":"")) * (60^(COUNTIF(SPLIT(AL11, "":""), ""&lt;&gt;"")-COLUMN(OFFSET('MOT Tables 25'!$A$1,,,1,COUNTIF(SPLIT(AL11, "":""),""&lt;&gt;"")))))), VALUE(AL11)))"),144.9)</f>
        <v/>
      </c>
      <c r="AN11" s="634" t="n">
        <v>4</v>
      </c>
      <c r="AO11" s="637">
        <f t="array" ref="AO11">1000*(INDEX('Bakat Base Times'!$E:$E,MATCH(1,('Bakat Base Times'!$A:$A=AH11)*('Bakat Base Times'!$B:$B=AI11)*('Bakat Base Times'!$C:$C=AJ11),0))/(VALUE(AM11)))^3
</f>
        <v/>
      </c>
      <c r="AP11" s="638" t="inlineStr">
        <is>
          <t>A</t>
        </is>
      </c>
      <c r="AQ11" s="639" t="n"/>
      <c r="AR11" s="625" t="inlineStr">
        <is>
          <t>DAMIAN SETH LIM</t>
        </is>
      </c>
      <c r="AS11" s="693">
        <f>SUMIF(AK:AK,AR11,AO:AO)</f>
        <v/>
      </c>
      <c r="AT11" s="626">
        <f>AVERAGEIF(AK:AK,AR11,AO:AO)</f>
        <v/>
      </c>
      <c r="AV11" s="622" t="inlineStr">
        <is>
          <t>LOO CHENG FENG</t>
        </is>
      </c>
      <c r="AW11" s="639">
        <f>SUMIF(AK:AK,AV11,AO:AO)</f>
        <v/>
      </c>
      <c r="AX11" s="624">
        <f>AVERAGEIF(AK:AK,AV11,AO:AO)</f>
        <v/>
      </c>
      <c r="AY11" s="693" t="n"/>
      <c r="AZ11" s="693" t="n"/>
    </row>
    <row r="12">
      <c r="A12" s="575" t="n">
        <v>11</v>
      </c>
      <c r="B12" s="710" t="inlineStr">
        <is>
          <t>F</t>
        </is>
      </c>
      <c r="C12" s="709" t="inlineStr">
        <is>
          <t>50 Free</t>
        </is>
      </c>
      <c r="D12" s="710" t="n">
        <v>15</v>
      </c>
      <c r="E12" s="590" t="inlineStr">
        <is>
          <t>KHONG ZI LIN</t>
        </is>
      </c>
      <c r="F12" s="629" t="n">
        <v>26.87</v>
      </c>
      <c r="G1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 s="460">
        <f>G12/#REF!</f>
        <v/>
      </c>
      <c r="I12" s="591" t="n">
        <v>26.67</v>
      </c>
      <c r="J1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 s="460">
        <f>J12/#REF!</f>
        <v/>
      </c>
      <c r="L12" s="709" t="n">
        <v>2</v>
      </c>
      <c r="M12" s="593" t="n">
        <v>2</v>
      </c>
      <c r="N12" s="581">
        <f t="array" ref="N12">1000*(INDEX('Bakat Base Times'!$E:$E,MATCH(1,('Bakat Base Times'!$A:$A=B12)*('Bakat Base Times'!$B:$B=C12)*('Bakat Base Times'!$C:$C=D12),0))/(VALUE(O12)))^3
</f>
        <v/>
      </c>
      <c r="O12" s="582">
        <f>IFERROR(__xludf.DUMMYFUNCTION("IF(ISNUMBER(I12), I12, IF(REGEXMATCH(I12, "":""), SUMPRODUCT(VALUE(SPLIT(I12, "":"")) * (60^(COUNTIF(SPLIT(I12, "":""), ""&lt;&gt;"")-COLUMN(OFFSET('MOT Tables 25'!$A$1,,,1,COUNTIF(SPLIT(I12, "":""),""&lt;&gt;"")))))), VALUE(I12)))"),26.67)</f>
        <v/>
      </c>
      <c r="P12" s="583" t="n"/>
      <c r="Q12" s="640" t="inlineStr">
        <is>
          <t>HO WEI YAN</t>
        </is>
      </c>
      <c r="R12" s="584" t="inlineStr">
        <is>
          <t>F</t>
        </is>
      </c>
      <c r="S12" s="584" t="n">
        <v>2</v>
      </c>
      <c r="T12" s="584" t="inlineStr">
        <is>
          <t>A1</t>
        </is>
      </c>
      <c r="U12" s="584" t="inlineStr">
        <is>
          <t>WPKL</t>
        </is>
      </c>
      <c r="V12" s="585" t="n">
        <v>40228</v>
      </c>
      <c r="W12" s="689" t="n"/>
      <c r="X12" s="689" t="n"/>
      <c r="Y12" s="596" t="inlineStr">
        <is>
          <t>F</t>
        </is>
      </c>
      <c r="Z12" s="597" t="inlineStr">
        <is>
          <t>50 Free</t>
        </is>
      </c>
      <c r="AA12" s="589" t="n">
        <v>15</v>
      </c>
      <c r="AB12" s="590" t="inlineStr">
        <is>
          <t>KHONG ZI LIN</t>
        </is>
      </c>
      <c r="AC12" s="591" t="n">
        <v>26.67</v>
      </c>
      <c r="AD12" s="592">
        <f>IFERROR(__xludf.DUMMYFUNCTION("IF(ISNUMBER(AC12), AC12, IF(REGEXMATCH(AC12, "":""), SUMPRODUCT(VALUE(SPLIT(AC12, "":"")) * (60^(COUNTIF(SPLIT(AC12, "":""), ""&lt;&gt;"")-COLUMN(OFFSET('MOT Tables 25'!$A$1,,,1,COUNTIF(SPLIT(AC12, "":""),""&lt;&gt;"")))))), VALUE(AC12)))"),26.67)</f>
        <v/>
      </c>
      <c r="AE12" s="593" t="n">
        <v>2</v>
      </c>
      <c r="AF12" s="594">
        <f t="array" ref="AF12">1000*(INDEX('Bakat Base Times'!$E:$E,MATCH(1,('Bakat Base Times'!$A:$A=Y12)*('Bakat Base Times'!$B:$B=Z12)*('Bakat Base Times'!$C:$C=AA12),0))/(VALUE(AD12)))^3
</f>
        <v/>
      </c>
      <c r="AG12" s="693" t="n"/>
      <c r="AH12" s="632" t="inlineStr">
        <is>
          <t>F</t>
        </is>
      </c>
      <c r="AI12" s="633" t="inlineStr">
        <is>
          <t>200 Breast</t>
        </is>
      </c>
      <c r="AJ12" s="633" t="n">
        <v>14</v>
      </c>
      <c r="AK12" s="634" t="inlineStr">
        <is>
          <t>AW YUET TING</t>
        </is>
      </c>
      <c r="AL12" s="635" t="inlineStr">
        <is>
          <t>2:41.54</t>
        </is>
      </c>
      <c r="AM12" s="636">
        <f>IFERROR(__xludf.DUMMYFUNCTION("IF(ISNUMBER(AL12), AL12, IF(REGEXMATCH(AL12, "":""), SUMPRODUCT(VALUE(SPLIT(AL12, "":"")) * (60^(COUNTIF(SPLIT(AL12, "":""), ""&lt;&gt;"")-COLUMN(OFFSET('MOT Tables 25'!$A$1,,,1,COUNTIF(SPLIT(AL12, "":""),""&lt;&gt;"")))))), VALUE(AL12)))"),161.54)</f>
        <v/>
      </c>
      <c r="AN12" s="634" t="n">
        <v>4</v>
      </c>
      <c r="AO12" s="637">
        <f t="array" ref="AO12">1000*(INDEX('Bakat Base Times'!$E:$E,MATCH(1,('Bakat Base Times'!$A:$A=AH12)*('Bakat Base Times'!$B:$B=AI12)*('Bakat Base Times'!$C:$C=AJ12),0))/(VALUE(AM12)))^3
</f>
        <v/>
      </c>
      <c r="AP12" s="638" t="inlineStr">
        <is>
          <t>A</t>
        </is>
      </c>
      <c r="AQ12" s="639" t="n"/>
      <c r="AR12" s="622" t="inlineStr">
        <is>
          <t>AW YUET TING</t>
        </is>
      </c>
      <c r="AS12" s="639">
        <f>SUMIF(AK:AK,AR12,AO:AO)</f>
        <v/>
      </c>
      <c r="AT12" s="624">
        <f>AVERAGEIF(AK:AK,AR12,AO:AO)</f>
        <v/>
      </c>
      <c r="AV12" s="625" t="inlineStr">
        <is>
          <t>NATHANIEL SHU JIA JUN</t>
        </is>
      </c>
      <c r="AW12" s="693">
        <f>SUMIF(AK:AK,AV12,AO:AO)</f>
        <v/>
      </c>
      <c r="AX12" s="626">
        <f>AVERAGEIF(AK:AK,AV12,AO:AO)</f>
        <v/>
      </c>
      <c r="AY12" s="693" t="n"/>
      <c r="AZ12" s="693" t="n"/>
    </row>
    <row r="13">
      <c r="A13" s="602" t="n">
        <v>12</v>
      </c>
      <c r="B13" s="705" t="inlineStr">
        <is>
          <t>M</t>
        </is>
      </c>
      <c r="C13" s="704" t="inlineStr">
        <is>
          <t>200 Free</t>
        </is>
      </c>
      <c r="D13" s="705" t="n">
        <v>17</v>
      </c>
      <c r="E13" s="613" t="inlineStr">
        <is>
          <t>GOH LI JIE</t>
        </is>
      </c>
      <c r="F13" s="701" t="inlineStr">
        <is>
          <t>1:52.19</t>
        </is>
      </c>
      <c r="G1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 s="464">
        <f>G13/#REF!</f>
        <v/>
      </c>
      <c r="I13" s="614" t="inlineStr">
        <is>
          <t>1:53.50</t>
        </is>
      </c>
      <c r="J1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 s="464">
        <f>J13/#REF!</f>
        <v/>
      </c>
      <c r="L13" s="704" t="n">
        <v>3</v>
      </c>
      <c r="M13" s="630" t="n">
        <v>4</v>
      </c>
      <c r="N13" s="608">
        <f t="array" ref="N13">1000*(INDEX('Bakat Base Times'!$E:$E,MATCH(1,('Bakat Base Times'!$A:$A=B13)*('Bakat Base Times'!$B:$B=C13)*('Bakat Base Times'!$C:$C=D13),0))/(VALUE(O13)))^3
</f>
        <v/>
      </c>
      <c r="O13" s="609">
        <f>IFERROR(__xludf.DUMMYFUNCTION("IF(ISNUMBER(I13), I13, IF(REGEXMATCH(I13, "":""), SUMPRODUCT(VALUE(SPLIT(I13, "":"")) * (60^(COUNTIF(SPLIT(I13, "":""), ""&lt;&gt;"")-COLUMN(OFFSET('MOT Tables 25'!$A$1,,,1,COUNTIF(SPLIT(I13, "":""),""&lt;&gt;"")))))), VALUE(I13)))"),113.5)</f>
        <v/>
      </c>
      <c r="P13" s="583" t="n"/>
      <c r="Q13" s="583" t="inlineStr">
        <is>
          <t>AW YUET TING</t>
        </is>
      </c>
      <c r="R13" s="584" t="inlineStr">
        <is>
          <t>F</t>
        </is>
      </c>
      <c r="S13" s="584" t="n">
        <v>2</v>
      </c>
      <c r="T13" s="584" t="inlineStr">
        <is>
          <t>A2</t>
        </is>
      </c>
      <c r="U13" s="584" t="inlineStr">
        <is>
          <t>PEN</t>
        </is>
      </c>
      <c r="V13" s="585" t="n">
        <v>40785</v>
      </c>
      <c r="W13" s="689" t="n"/>
      <c r="X13" s="689" t="n"/>
      <c r="Y13" s="618" t="inlineStr">
        <is>
          <t>M</t>
        </is>
      </c>
      <c r="Z13" s="619" t="inlineStr">
        <is>
          <t>200 Free</t>
        </is>
      </c>
      <c r="AA13" s="612" t="n">
        <v>17</v>
      </c>
      <c r="AB13" s="613" t="inlineStr">
        <is>
          <t>GOH LI JIE</t>
        </is>
      </c>
      <c r="AC13" s="614" t="inlineStr">
        <is>
          <t>1:53.50</t>
        </is>
      </c>
      <c r="AD13" s="628">
        <f>IFERROR(__xludf.DUMMYFUNCTION("IF(ISNUMBER(AC13), AC13, IF(REGEXMATCH(AC13, "":""), SUMPRODUCT(VALUE(SPLIT(AC13, "":"")) * (60^(COUNTIF(SPLIT(AC13, "":""), ""&lt;&gt;"")-COLUMN(OFFSET('MOT Tables 25'!$A$1,,,1,COUNTIF(SPLIT(AC13, "":""),""&lt;&gt;"")))))), VALUE(AC13)))"),113.5)</f>
        <v/>
      </c>
      <c r="AE13" s="616" t="n">
        <v>4</v>
      </c>
      <c r="AF13" s="617">
        <f t="array" ref="AF13">1000*(INDEX('Bakat Base Times'!$E:$E,MATCH(1,('Bakat Base Times'!$A:$A=Y13)*('Bakat Base Times'!$B:$B=Z13)*('Bakat Base Times'!$C:$C=AA13),0))/(VALUE(AD13)))^3
</f>
        <v/>
      </c>
      <c r="AG13" s="693" t="n"/>
      <c r="AH13" s="632" t="inlineStr">
        <is>
          <t>F</t>
        </is>
      </c>
      <c r="AI13" s="633" t="inlineStr">
        <is>
          <t>100 Breast</t>
        </is>
      </c>
      <c r="AJ13" s="633" t="n">
        <v>14</v>
      </c>
      <c r="AK13" s="634" t="inlineStr">
        <is>
          <t>AW YUET TING</t>
        </is>
      </c>
      <c r="AL13" s="635" t="inlineStr">
        <is>
          <t>1:15.16</t>
        </is>
      </c>
      <c r="AM13" s="636">
        <f>IFERROR(__xludf.DUMMYFUNCTION("IF(ISNUMBER(AL13), AL13, IF(REGEXMATCH(AL13, "":""), SUMPRODUCT(VALUE(SPLIT(AL13, "":"")) * (60^(COUNTIF(SPLIT(AL13, "":""), ""&lt;&gt;"")-COLUMN(OFFSET('MOT Tables 25'!$A$1,,,1,COUNTIF(SPLIT(AL13, "":""),""&lt;&gt;"")))))), VALUE(AL13)))"),75.16)</f>
        <v/>
      </c>
      <c r="AN13" s="634" t="n">
        <v>3</v>
      </c>
      <c r="AO13" s="637">
        <f t="array" ref="AO13">1000*(INDEX('Bakat Base Times'!$E:$E,MATCH(1,('Bakat Base Times'!$A:$A=AH13)*('Bakat Base Times'!$B:$B=AI13)*('Bakat Base Times'!$C:$C=AJ13),0))/(VALUE(AM13)))^3
</f>
        <v/>
      </c>
      <c r="AP13" s="638" t="inlineStr">
        <is>
          <t>A</t>
        </is>
      </c>
      <c r="AQ13" s="639" t="n"/>
      <c r="AR13" s="625" t="inlineStr">
        <is>
          <t>DYLAN LEONG YI QUAN</t>
        </is>
      </c>
      <c r="AS13" s="693">
        <f>SUMIF(AK:AK,AR13,AO:AO)</f>
        <v/>
      </c>
      <c r="AT13" s="626">
        <f>AVERAGEIF(AK:AK,AR13,AO:AO)</f>
        <v/>
      </c>
      <c r="AV13" s="625" t="inlineStr">
        <is>
          <t>EMMANUEL LOH YUNG MING</t>
        </is>
      </c>
      <c r="AW13" s="693">
        <f>SUMIF(AK:AK,AV13,AO:AO)</f>
        <v/>
      </c>
      <c r="AX13" s="626">
        <f>AVERAGEIF(AK:AK,AV13,AO:AO)</f>
        <v/>
      </c>
      <c r="AY13" s="693" t="n"/>
      <c r="AZ13" s="693" t="n"/>
    </row>
    <row r="14">
      <c r="A14" s="575" t="n">
        <v>13</v>
      </c>
      <c r="B14" s="710" t="inlineStr">
        <is>
          <t>M</t>
        </is>
      </c>
      <c r="C14" s="709" t="inlineStr">
        <is>
          <t>100 Free</t>
        </is>
      </c>
      <c r="D14" s="710" t="n">
        <v>13</v>
      </c>
      <c r="E14" s="590" t="inlineStr">
        <is>
          <t>SHEAMUS CHEW HENG YI</t>
        </is>
      </c>
      <c r="F14" s="707" t="inlineStr">
        <is>
          <t>56.97</t>
        </is>
      </c>
      <c r="G1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 s="460">
        <f>G14/#REF!</f>
        <v/>
      </c>
      <c r="I14" s="591" t="inlineStr">
        <is>
          <t>56.06</t>
        </is>
      </c>
      <c r="J1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 s="460">
        <f>J14/#REF!</f>
        <v/>
      </c>
      <c r="L14" s="709" t="n">
        <v>1</v>
      </c>
      <c r="M14" s="593" t="n">
        <v>1</v>
      </c>
      <c r="N14" s="581">
        <f t="array" ref="N14">1000*(INDEX('Bakat Base Times'!$E:$E,MATCH(1,('Bakat Base Times'!$A:$A=B14)*('Bakat Base Times'!$B:$B=C14)*('Bakat Base Times'!$C:$C=D14),0))/(VALUE(O14)))^3
</f>
        <v/>
      </c>
      <c r="O14" s="582">
        <f>IFERROR(__xludf.DUMMYFUNCTION("IF(ISNUMBER(I14), I14, IF(REGEXMATCH(I14, "":""), SUMPRODUCT(VALUE(SPLIT(I14, "":"")) * (60^(COUNTIF(SPLIT(I14, "":""), ""&lt;&gt;"")-COLUMN(OFFSET('MOT Tables 25'!$A$1,,,1,COUNTIF(SPLIT(I14, "":""),""&lt;&gt;"")))))), VALUE(I14)))"),56.06)</f>
        <v/>
      </c>
      <c r="P14" s="583" t="n"/>
      <c r="Q14" s="583" t="inlineStr">
        <is>
          <t>TAN RUI NEE</t>
        </is>
      </c>
      <c r="R14" s="584" t="inlineStr">
        <is>
          <t>F</t>
        </is>
      </c>
      <c r="S14" s="584" t="n">
        <v>2</v>
      </c>
      <c r="T14" s="584" t="inlineStr">
        <is>
          <t>A2</t>
        </is>
      </c>
      <c r="U14" s="584" t="inlineStr">
        <is>
          <t>PEN</t>
        </is>
      </c>
      <c r="V14" s="585" t="n">
        <v>40847</v>
      </c>
      <c r="W14" s="689" t="n"/>
      <c r="X14" s="689" t="n"/>
      <c r="Y14" s="596" t="inlineStr">
        <is>
          <t>M</t>
        </is>
      </c>
      <c r="Z14" s="597" t="inlineStr">
        <is>
          <t>100 Free</t>
        </is>
      </c>
      <c r="AA14" s="589" t="n">
        <v>13</v>
      </c>
      <c r="AB14" s="590" t="inlineStr">
        <is>
          <t>SHEAMUS CHEW HENG YI</t>
        </is>
      </c>
      <c r="AC14" s="591" t="inlineStr">
        <is>
          <t>56.06</t>
        </is>
      </c>
      <c r="AD14" s="592">
        <f>IFERROR(__xludf.DUMMYFUNCTION("IF(ISNUMBER(AC14), AC14, IF(REGEXMATCH(AC14, "":""), SUMPRODUCT(VALUE(SPLIT(AC14, "":"")) * (60^(COUNTIF(SPLIT(AC14, "":""), ""&lt;&gt;"")-COLUMN(OFFSET('MOT Tables 25'!$A$1,,,1,COUNTIF(SPLIT(AC14, "":""),""&lt;&gt;"")))))), VALUE(AC14)))"),56.06)</f>
        <v/>
      </c>
      <c r="AE14" s="593" t="n">
        <v>1</v>
      </c>
      <c r="AF14" s="594">
        <f t="array" ref="AF14">1000*(INDEX('Bakat Base Times'!$E:$E,MATCH(1,('Bakat Base Times'!$A:$A=Y14)*('Bakat Base Times'!$B:$B=Z14)*('Bakat Base Times'!$C:$C=AA14),0))/(VALUE(AD14)))^3
</f>
        <v/>
      </c>
      <c r="AG14" s="693" t="n"/>
      <c r="AH14" s="596" t="inlineStr">
        <is>
          <t>M</t>
        </is>
      </c>
      <c r="AI14" s="597" t="inlineStr">
        <is>
          <t>1500 Free</t>
        </is>
      </c>
      <c r="AJ14" s="597" t="n">
        <v>14</v>
      </c>
      <c r="AK14" s="590" t="inlineStr">
        <is>
          <t>BONG YI XIANG</t>
        </is>
      </c>
      <c r="AL14" s="591" t="inlineStr">
        <is>
          <t>18:18.96</t>
        </is>
      </c>
      <c r="AM14" s="517">
        <f>IFERROR(__xludf.DUMMYFUNCTION("IF(ISNUMBER(AL14), AL14, IF(REGEXMATCH(AL14, "":""), SUMPRODUCT(VALUE(SPLIT(AL14, "":"")) * (60^(COUNTIF(SPLIT(AL14, "":""), ""&lt;&gt;"")-COLUMN(OFFSET('MOT Tables 25'!$A$1,,,1,COUNTIF(SPLIT(AL14, "":""),""&lt;&gt;"")))))), VALUE(AL14)))"),1098.96)</f>
        <v/>
      </c>
      <c r="AN14" s="590" t="n">
        <v>11</v>
      </c>
      <c r="AO14" s="599">
        <f t="array" ref="AO14">1000*(INDEX('Bakat Base Times'!$E:$E,MATCH(1,('Bakat Base Times'!$A:$A=AH14)*('Bakat Base Times'!$B:$B=AI14)*('Bakat Base Times'!$C:$C=AJ14),0))/(VALUE(AM14)))^3
</f>
        <v/>
      </c>
      <c r="AP14" s="600" t="n"/>
      <c r="AQ14" s="693" t="n"/>
      <c r="AR14" s="622" t="inlineStr">
        <is>
          <t>HO WEI YAN</t>
        </is>
      </c>
      <c r="AS14" s="639">
        <f>SUMIF(AK:AK,AR14,AO:AO)</f>
        <v/>
      </c>
      <c r="AT14" s="624">
        <f>AVERAGEIF(AK:AK,AR14,AO:AO)</f>
        <v/>
      </c>
      <c r="AV14" s="625" t="inlineStr">
        <is>
          <t>TAN RUI NEE</t>
        </is>
      </c>
      <c r="AW14" s="693">
        <f>SUMIF(AK:AK,AV14,AO:AO)</f>
        <v/>
      </c>
      <c r="AX14" s="626">
        <f>AVERAGEIF(AK:AK,AV14,AO:AO)</f>
        <v/>
      </c>
      <c r="AY14" s="693" t="n"/>
      <c r="AZ14" s="693" t="n"/>
    </row>
    <row r="15">
      <c r="A15" s="602" t="n">
        <v>14</v>
      </c>
      <c r="B15" s="705" t="inlineStr">
        <is>
          <t>M</t>
        </is>
      </c>
      <c r="C15" s="704" t="inlineStr">
        <is>
          <t>100 Fly</t>
        </is>
      </c>
      <c r="D15" s="705" t="n">
        <v>17</v>
      </c>
      <c r="E15" s="613" t="inlineStr">
        <is>
          <t>GOH LI JIE</t>
        </is>
      </c>
      <c r="F15" s="701" t="inlineStr">
        <is>
          <t>55.34</t>
        </is>
      </c>
      <c r="G1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 s="464">
        <f>G15/#REF!</f>
        <v/>
      </c>
      <c r="I15" s="614" t="inlineStr">
        <is>
          <t>55.64</t>
        </is>
      </c>
      <c r="J1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 s="464">
        <f>J15/#REF!</f>
        <v/>
      </c>
      <c r="L15" s="704" t="n">
        <v>2</v>
      </c>
      <c r="M15" s="616" t="n">
        <v>1</v>
      </c>
      <c r="N15" s="608">
        <f t="array" ref="N15">1000*(INDEX('Bakat Base Times'!$E:$E,MATCH(1,('Bakat Base Times'!$A:$A=B15)*('Bakat Base Times'!$B:$B=C15)*('Bakat Base Times'!$C:$C=D15),0))/(VALUE(O15)))^3
</f>
        <v/>
      </c>
      <c r="O15" s="609">
        <f>IFERROR(__xludf.DUMMYFUNCTION("IF(ISNUMBER(I15), I15, IF(REGEXMATCH(I15, "":""), SUMPRODUCT(VALUE(SPLIT(I15, "":"")) * (60^(COUNTIF(SPLIT(I15, "":""), ""&lt;&gt;"")-COLUMN(OFFSET('MOT Tables 25'!$A$1,,,1,COUNTIF(SPLIT(I15, "":""),""&lt;&gt;"")))))), VALUE(I15)))"),55.64)</f>
        <v/>
      </c>
      <c r="P15" s="583" t="n"/>
      <c r="Q15" s="583" t="inlineStr">
        <is>
          <t>VIVIAN TEE XIN LING</t>
        </is>
      </c>
      <c r="R15" s="584" t="inlineStr">
        <is>
          <t>F</t>
        </is>
      </c>
      <c r="S15" s="584" t="n">
        <v>2</v>
      </c>
      <c r="T15" s="584" t="inlineStr">
        <is>
          <t>A2</t>
        </is>
      </c>
      <c r="U15" s="584" t="inlineStr">
        <is>
          <t>PEN</t>
        </is>
      </c>
      <c r="V15" s="585" t="n">
        <v>40605</v>
      </c>
      <c r="W15" s="689" t="n"/>
      <c r="X15" s="689" t="n"/>
      <c r="Y15" s="618" t="inlineStr">
        <is>
          <t>M</t>
        </is>
      </c>
      <c r="Z15" s="619" t="inlineStr">
        <is>
          <t>100 Fly</t>
        </is>
      </c>
      <c r="AA15" s="612" t="n">
        <v>17</v>
      </c>
      <c r="AB15" s="613" t="inlineStr">
        <is>
          <t>GOH LI JIE</t>
        </is>
      </c>
      <c r="AC15" s="614" t="inlineStr">
        <is>
          <t>55.64</t>
        </is>
      </c>
      <c r="AD15" s="628">
        <f>IFERROR(__xludf.DUMMYFUNCTION("IF(ISNUMBER(AC15), AC15, IF(REGEXMATCH(AC15, "":""), SUMPRODUCT(VALUE(SPLIT(AC15, "":"")) * (60^(COUNTIF(SPLIT(AC15, "":""), ""&lt;&gt;"")-COLUMN(OFFSET('MOT Tables 25'!$A$1,,,1,COUNTIF(SPLIT(AC15, "":""),""&lt;&gt;"")))))), VALUE(AC15)))"),55.64)</f>
        <v/>
      </c>
      <c r="AE15" s="616" t="n">
        <v>1</v>
      </c>
      <c r="AF15" s="617">
        <f t="array" ref="AF15">1000*(INDEX('Bakat Base Times'!$E:$E,MATCH(1,('Bakat Base Times'!$A:$A=Y15)*('Bakat Base Times'!$B:$B=Z15)*('Bakat Base Times'!$C:$C=AA15),0))/(VALUE(AD15)))^3
</f>
        <v/>
      </c>
      <c r="AG15" s="693" t="n"/>
      <c r="AH15" s="618" t="inlineStr">
        <is>
          <t>M</t>
        </is>
      </c>
      <c r="AI15" s="619" t="inlineStr">
        <is>
          <t>100 Breast</t>
        </is>
      </c>
      <c r="AJ15" s="619" t="n">
        <v>15</v>
      </c>
      <c r="AK15" s="613" t="inlineStr">
        <is>
          <t>BRANDON YEOH HSIEN KAI</t>
        </is>
      </c>
      <c r="AL15" s="614" t="inlineStr">
        <is>
          <t>1:07.25</t>
        </is>
      </c>
      <c r="AM15" s="505">
        <f>IFERROR(__xludf.DUMMYFUNCTION("IF(ISNUMBER(AL15), AL15, IF(REGEXMATCH(AL15, "":""), SUMPRODUCT(VALUE(SPLIT(AL15, "":"")) * (60^(COUNTIF(SPLIT(AL15, "":""), ""&lt;&gt;"")-COLUMN(OFFSET('MOT Tables 25'!$A$1,,,1,COUNTIF(SPLIT(AL15, "":""),""&lt;&gt;"")))))), VALUE(AL15)))"),67.25)</f>
        <v/>
      </c>
      <c r="AN15" s="613" t="n">
        <v>4</v>
      </c>
      <c r="AO15" s="672">
        <f t="array" ref="AO15">1000*(INDEX('Bakat Base Times'!$E:$E,MATCH(1,('Bakat Base Times'!$A:$A=AH15)*('Bakat Base Times'!$B:$B=AI15)*('Bakat Base Times'!$C:$C=AJ15),0))/(VALUE(AM15)))^3
</f>
        <v/>
      </c>
      <c r="AP15" s="621" t="n"/>
      <c r="AQ15" s="693" t="n"/>
      <c r="AR15" s="625" t="inlineStr">
        <is>
          <t>NGUI JING</t>
        </is>
      </c>
      <c r="AS15" s="693">
        <f>SUMIF(AK:AK,AR15,AO:AO)</f>
        <v/>
      </c>
      <c r="AT15" s="626">
        <f>AVERAGEIF(AK:AK,AR15,AO:AO)</f>
        <v/>
      </c>
      <c r="AV15" s="625" t="inlineStr">
        <is>
          <t>OSWALD LIM</t>
        </is>
      </c>
      <c r="AW15" s="693">
        <f>SUMIF(AK:AK,AV15,AO:AO)</f>
        <v/>
      </c>
      <c r="AX15" s="626">
        <f>AVERAGEIF(AK:AK,AV15,AO:AO)</f>
        <v/>
      </c>
      <c r="AY15" s="693" t="n"/>
      <c r="AZ15" s="693" t="n"/>
    </row>
    <row r="16">
      <c r="A16" s="641" t="n">
        <v>15</v>
      </c>
      <c r="B16" s="642" t="inlineStr">
        <is>
          <t>M</t>
        </is>
      </c>
      <c r="C16" s="643" t="inlineStr">
        <is>
          <t>50 Free</t>
        </is>
      </c>
      <c r="D16" s="642" t="n">
        <v>15</v>
      </c>
      <c r="E16" s="644" t="inlineStr">
        <is>
          <t>LEE E-AN</t>
        </is>
      </c>
      <c r="F16" s="645" t="n">
        <v>24.88</v>
      </c>
      <c r="G16" s="646">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 s="647">
        <f>G16/#REF!</f>
        <v/>
      </c>
      <c r="I16" s="648" t="n">
        <v>24.49</v>
      </c>
      <c r="J16" s="646">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 s="647">
        <f>J16/#REF!</f>
        <v/>
      </c>
      <c r="L16" s="643" t="n">
        <v>4</v>
      </c>
      <c r="M16" s="649" t="n">
        <v>5</v>
      </c>
      <c r="N16" s="650">
        <f t="array" ref="N16">1000*(INDEX('Bakat Base Times'!$E:$E,MATCH(1,('Bakat Base Times'!$A:$A=B16)*('Bakat Base Times'!$B:$B=C16)*('Bakat Base Times'!$C:$C=D16),0))/(VALUE(O16)))^3
</f>
        <v/>
      </c>
      <c r="O16" s="582">
        <f>IFERROR(__xludf.DUMMYFUNCTION("IF(ISNUMBER(I16), I16, IF(REGEXMATCH(I16, "":""), SUMPRODUCT(VALUE(SPLIT(I16, "":"")) * (60^(COUNTIF(SPLIT(I16, "":""), ""&lt;&gt;"")-COLUMN(OFFSET('MOT Tables 25'!$A$1,,,1,COUNTIF(SPLIT(I16, "":""),""&lt;&gt;"")))))), VALUE(I16)))"),24.49)</f>
        <v/>
      </c>
      <c r="P16" s="583" t="n"/>
      <c r="Q16" s="640" t="inlineStr">
        <is>
          <t>SEOW CUI YING</t>
        </is>
      </c>
      <c r="R16" s="584" t="inlineStr">
        <is>
          <t>F</t>
        </is>
      </c>
      <c r="S16" s="584" t="n">
        <v>2</v>
      </c>
      <c r="T16" s="584" t="inlineStr">
        <is>
          <t>A2</t>
        </is>
      </c>
      <c r="U16" s="584" t="inlineStr">
        <is>
          <t>WPKL</t>
        </is>
      </c>
      <c r="V16" s="585" t="n">
        <v>40607</v>
      </c>
      <c r="W16" s="689" t="n"/>
      <c r="X16" s="689" t="n"/>
      <c r="Y16" s="596" t="inlineStr">
        <is>
          <t>M</t>
        </is>
      </c>
      <c r="Z16" s="597" t="inlineStr">
        <is>
          <t>50 Free</t>
        </is>
      </c>
      <c r="AA16" s="589" t="n">
        <v>15</v>
      </c>
      <c r="AB16" s="590" t="inlineStr">
        <is>
          <t>LEE E-AN</t>
        </is>
      </c>
      <c r="AC16" s="591" t="n">
        <v>24.49</v>
      </c>
      <c r="AD16" s="592">
        <f>IFERROR(__xludf.DUMMYFUNCTION("IF(ISNUMBER(AC16), AC16, IF(REGEXMATCH(AC16, "":""), SUMPRODUCT(VALUE(SPLIT(AC16, "":"")) * (60^(COUNTIF(SPLIT(AC16, "":""), ""&lt;&gt;"")-COLUMN(OFFSET('MOT Tables 25'!$A$1,,,1,COUNTIF(SPLIT(AC16, "":""),""&lt;&gt;"")))))), VALUE(AC16)))"),24.49)</f>
        <v/>
      </c>
      <c r="AE16" s="593" t="n">
        <v>5</v>
      </c>
      <c r="AF16" s="594">
        <f t="array" ref="AF16">1000*(INDEX('Bakat Base Times'!$E:$E,MATCH(1,('Bakat Base Times'!$A:$A=Y16)*('Bakat Base Times'!$B:$B=Z16)*('Bakat Base Times'!$C:$C=AA16),0))/(VALUE(AD16)))^3
</f>
        <v/>
      </c>
      <c r="AG16" s="693" t="n"/>
      <c r="AH16" s="596" t="inlineStr">
        <is>
          <t>M</t>
        </is>
      </c>
      <c r="AI16" s="597" t="inlineStr">
        <is>
          <t>200 Breast</t>
        </is>
      </c>
      <c r="AJ16" s="597" t="n">
        <v>15</v>
      </c>
      <c r="AK16" s="590" t="inlineStr">
        <is>
          <t>BRANDON YEOH HSIEN KAI</t>
        </is>
      </c>
      <c r="AL16" s="591" t="inlineStr">
        <is>
          <t>2:29.62</t>
        </is>
      </c>
      <c r="AM16" s="517">
        <f>IFERROR(__xludf.DUMMYFUNCTION("IF(ISNUMBER(AL16), AL16, IF(REGEXMATCH(AL16, "":""), SUMPRODUCT(VALUE(SPLIT(AL16, "":"")) * (60^(COUNTIF(SPLIT(AL16, "":""), ""&lt;&gt;"")-COLUMN(OFFSET('MOT Tables 25'!$A$1,,,1,COUNTIF(SPLIT(AL16, "":""),""&lt;&gt;"")))))), VALUE(AL16)))"),149.62)</f>
        <v/>
      </c>
      <c r="AN16" s="590" t="n">
        <v>8</v>
      </c>
      <c r="AO16" s="599">
        <f t="array" ref="AO16">1000*(INDEX('Bakat Base Times'!$E:$E,MATCH(1,('Bakat Base Times'!$A:$A=AH16)*('Bakat Base Times'!$B:$B=AI16)*('Bakat Base Times'!$C:$C=AJ16),0))/(VALUE(AM16)))^3
</f>
        <v/>
      </c>
      <c r="AP16" s="600" t="n"/>
      <c r="AQ16" s="693" t="n"/>
      <c r="AR16" s="625" t="inlineStr">
        <is>
          <t>SEOW CUI YING</t>
        </is>
      </c>
      <c r="AS16" s="693">
        <f>SUMIF(AK:AK,AR16,AO:AO)</f>
        <v/>
      </c>
      <c r="AT16" s="626">
        <f>AVERAGEIF(AK:AK,AR16,AO:AO)</f>
        <v/>
      </c>
      <c r="AV16" s="625" t="inlineStr">
        <is>
          <t>SEAH SHU HUI</t>
        </is>
      </c>
      <c r="AW16" s="693">
        <f>SUMIF(AK:AK,AV16,AO:AO)</f>
        <v/>
      </c>
      <c r="AX16" s="626">
        <f>AVERAGEIF(AK:AK,AV16,AO:AO)</f>
        <v/>
      </c>
      <c r="AY16" s="693" t="n"/>
      <c r="AZ16" s="693" t="n"/>
    </row>
    <row r="17">
      <c r="A17" s="651" t="n">
        <v>16</v>
      </c>
      <c r="B17" s="705" t="inlineStr">
        <is>
          <t>F</t>
        </is>
      </c>
      <c r="C17" s="704" t="inlineStr">
        <is>
          <t>100 Fly</t>
        </is>
      </c>
      <c r="D17" s="705" t="n">
        <v>15</v>
      </c>
      <c r="E17" s="613" t="inlineStr">
        <is>
          <t>HO WEI YAN</t>
        </is>
      </c>
      <c r="F17" s="701" t="inlineStr">
        <is>
          <t>1:03.33</t>
        </is>
      </c>
      <c r="G1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 s="464">
        <f>G17/#REF!</f>
        <v/>
      </c>
      <c r="I17" s="614" t="inlineStr">
        <is>
          <t>1:02.99</t>
        </is>
      </c>
      <c r="J1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 s="464">
        <f>J17/#REF!</f>
        <v/>
      </c>
      <c r="L17" s="704" t="n">
        <v>3</v>
      </c>
      <c r="M17" s="616" t="n">
        <v>3</v>
      </c>
      <c r="N17" s="652">
        <f t="array" ref="N17">1000*(INDEX('Bakat Base Times'!$E:$E,MATCH(1,('Bakat Base Times'!$A:$A=B17)*('Bakat Base Times'!$B:$B=C17)*('Bakat Base Times'!$C:$C=D17),0))/(VALUE(O17)))^3
</f>
        <v/>
      </c>
      <c r="O17" s="609">
        <f>IFERROR(__xludf.DUMMYFUNCTION("IF(ISNUMBER(I17), I17, IF(REGEXMATCH(I17, "":""), SUMPRODUCT(VALUE(SPLIT(I17, "":"")) * (60^(COUNTIF(SPLIT(I17, "":""), ""&lt;&gt;"")-COLUMN(OFFSET('MOT Tables 25'!$A$1,,,1,COUNTIF(SPLIT(I17, "":""),""&lt;&gt;"")))))), VALUE(I17)))"),62.99)</f>
        <v/>
      </c>
      <c r="P17" s="583" t="n"/>
      <c r="Q17" s="583" t="inlineStr">
        <is>
          <t>CHEREEN NGO YIRUI</t>
        </is>
      </c>
      <c r="R17" s="584" t="inlineStr">
        <is>
          <t>F</t>
        </is>
      </c>
      <c r="S17" s="584" t="n">
        <v>2</v>
      </c>
      <c r="T17" s="584" t="inlineStr">
        <is>
          <t>A3</t>
        </is>
      </c>
      <c r="U17" s="584" t="inlineStr">
        <is>
          <t>SWK</t>
        </is>
      </c>
      <c r="V17" s="585" t="n">
        <v>40439</v>
      </c>
      <c r="W17" s="689" t="n"/>
      <c r="X17" s="689" t="n"/>
      <c r="Y17" s="618" t="inlineStr">
        <is>
          <t>F</t>
        </is>
      </c>
      <c r="Z17" s="619" t="inlineStr">
        <is>
          <t>100 Fly</t>
        </is>
      </c>
      <c r="AA17" s="612" t="n">
        <v>15</v>
      </c>
      <c r="AB17" s="613" t="inlineStr">
        <is>
          <t>HO WEI YAN</t>
        </is>
      </c>
      <c r="AC17" s="614" t="inlineStr">
        <is>
          <t>1:02.99</t>
        </is>
      </c>
      <c r="AD17" s="628">
        <f>IFERROR(__xludf.DUMMYFUNCTION("IF(ISNUMBER(AC17), AC17, IF(REGEXMATCH(AC17, "":""), SUMPRODUCT(VALUE(SPLIT(AC17, "":"")) * (60^(COUNTIF(SPLIT(AC17, "":""), ""&lt;&gt;"")-COLUMN(OFFSET('MOT Tables 25'!$A$1,,,1,COUNTIF(SPLIT(AC17, "":""),""&lt;&gt;"")))))), VALUE(AC17)))"),62.99)</f>
        <v/>
      </c>
      <c r="AE17" s="616" t="n">
        <v>3</v>
      </c>
      <c r="AF17" s="617">
        <f t="array" ref="AF17">1000*(INDEX('Bakat Base Times'!$E:$E,MATCH(1,('Bakat Base Times'!$A:$A=Y17)*('Bakat Base Times'!$B:$B=Z17)*('Bakat Base Times'!$C:$C=AA17),0))/(VALUE(AD17)))^3
</f>
        <v/>
      </c>
      <c r="AG17" s="693" t="n"/>
      <c r="AH17" s="618" t="inlineStr">
        <is>
          <t>M</t>
        </is>
      </c>
      <c r="AI17" s="619" t="inlineStr">
        <is>
          <t>1500 Free</t>
        </is>
      </c>
      <c r="AJ17" s="619" t="n">
        <v>14</v>
      </c>
      <c r="AK17" s="613" t="inlineStr">
        <is>
          <t>BRYSTON LEE KHAI CHENG</t>
        </is>
      </c>
      <c r="AL17" s="696" t="inlineStr">
        <is>
          <t>18:15.75</t>
        </is>
      </c>
      <c r="AM17" s="505">
        <f>IFERROR(__xludf.DUMMYFUNCTION("IF(ISNUMBER(AL17), AL17, IF(REGEXMATCH(AL17, "":""), SUMPRODUCT(VALUE(SPLIT(AL17, "":"")) * (60^(COUNTIF(SPLIT(AL17, "":""), ""&lt;&gt;"")-COLUMN(OFFSET('MOT Tables 25'!$A$1,,,1,COUNTIF(SPLIT(AL17, "":""),""&lt;&gt;"")))))), VALUE(AL17)))"),1095.75)</f>
        <v/>
      </c>
      <c r="AN17" s="613" t="n">
        <v>10</v>
      </c>
      <c r="AO17" s="672">
        <f t="array" ref="AO17">1000*(INDEX('Bakat Base Times'!$E:$E,MATCH(1,('Bakat Base Times'!$A:$A=AH17)*('Bakat Base Times'!$B:$B=AI17)*('Bakat Base Times'!$C:$C=AJ17),0))/(VALUE(AM17)))^3
</f>
        <v/>
      </c>
      <c r="AP17" s="621" t="n"/>
      <c r="AQ17" s="693" t="n"/>
      <c r="AR17" s="625" t="inlineStr">
        <is>
          <t>YAP ZHEN KOK</t>
        </is>
      </c>
      <c r="AS17" s="693">
        <f>SUMIF(AK:AK,AR17,AO:AO)</f>
        <v/>
      </c>
      <c r="AT17" s="626">
        <f>AVERAGEIF(AK:AK,AR17,AO:AO)</f>
        <v/>
      </c>
      <c r="AV17" s="625" t="inlineStr">
        <is>
          <t>DYLAN LEONG YI QUAN</t>
        </is>
      </c>
      <c r="AW17" s="693">
        <f>SUMIF(AK:AK,AV17,AO:AO)</f>
        <v/>
      </c>
      <c r="AX17" s="626">
        <f>AVERAGEIF(AK:AK,AV17,AO:AO)</f>
        <v/>
      </c>
      <c r="AY17" s="693" t="n"/>
      <c r="AZ17" s="693" t="n"/>
    </row>
    <row r="18">
      <c r="A18" s="654" t="n">
        <v>17</v>
      </c>
      <c r="B18" s="710" t="inlineStr">
        <is>
          <t>M</t>
        </is>
      </c>
      <c r="C18" s="709" t="inlineStr">
        <is>
          <t>100 Fly</t>
        </is>
      </c>
      <c r="D18" s="710" t="n">
        <v>14</v>
      </c>
      <c r="E18" s="590" t="inlineStr">
        <is>
          <t>DAMIAN SETH LIM</t>
        </is>
      </c>
      <c r="F18" s="707" t="inlineStr">
        <is>
          <t>58.49</t>
        </is>
      </c>
      <c r="G1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 s="460">
        <f>G18/#REF!</f>
        <v/>
      </c>
      <c r="I18" s="591" t="inlineStr">
        <is>
          <t>59.40</t>
        </is>
      </c>
      <c r="J1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 s="460">
        <f>J18/#REF!</f>
        <v/>
      </c>
      <c r="L18" s="709" t="n">
        <v>4</v>
      </c>
      <c r="M18" s="593" t="n">
        <v>6</v>
      </c>
      <c r="N18" s="655">
        <f t="array" ref="N18">1000*(INDEX('Bakat Base Times'!$E:$E,MATCH(1,('Bakat Base Times'!$A:$A=B18)*('Bakat Base Times'!$B:$B=C18)*('Bakat Base Times'!$C:$C=D18),0))/(VALUE(O18)))^3
</f>
        <v/>
      </c>
      <c r="O18" s="582">
        <f>IFERROR(__xludf.DUMMYFUNCTION("IF(ISNUMBER(I18), I18, IF(REGEXMATCH(I18, "":""), SUMPRODUCT(VALUE(SPLIT(I18, "":"")) * (60^(COUNTIF(SPLIT(I18, "":""), ""&lt;&gt;"")-COLUMN(OFFSET('MOT Tables 25'!$A$1,,,1,COUNTIF(SPLIT(I18, "":""),""&lt;&gt;"")))))), VALUE(I18)))"),59.4)</f>
        <v/>
      </c>
      <c r="P18" s="583" t="n"/>
      <c r="Q18" s="583" t="inlineStr">
        <is>
          <t>SHANNON TAN YAN QING *</t>
        </is>
      </c>
      <c r="R18" s="584" t="inlineStr">
        <is>
          <t>F</t>
        </is>
      </c>
      <c r="S18" s="584" t="n">
        <v>2</v>
      </c>
      <c r="T18" s="584" t="inlineStr">
        <is>
          <t>A3</t>
        </is>
      </c>
      <c r="U18" s="584" t="inlineStr">
        <is>
          <t>SGR</t>
        </is>
      </c>
      <c r="V18" s="585" t="n">
        <v>40530</v>
      </c>
      <c r="W18" s="689" t="n"/>
      <c r="X18" s="689" t="n"/>
      <c r="Y18" s="596" t="inlineStr">
        <is>
          <t>M</t>
        </is>
      </c>
      <c r="Z18" s="597" t="inlineStr">
        <is>
          <t>100 Fly</t>
        </is>
      </c>
      <c r="AA18" s="589" t="n">
        <v>14</v>
      </c>
      <c r="AB18" s="590" t="inlineStr">
        <is>
          <t>DAMIAN SETH LIM</t>
        </is>
      </c>
      <c r="AC18" s="591" t="inlineStr">
        <is>
          <t>59.40</t>
        </is>
      </c>
      <c r="AD18" s="592">
        <f>IFERROR(__xludf.DUMMYFUNCTION("IF(ISNUMBER(AC18), AC18, IF(REGEXMATCH(AC18, "":""), SUMPRODUCT(VALUE(SPLIT(AC18, "":"")) * (60^(COUNTIF(SPLIT(AC18, "":""), ""&lt;&gt;"")-COLUMN(OFFSET('MOT Tables 25'!$A$1,,,1,COUNTIF(SPLIT(AC18, "":""),""&lt;&gt;"")))))), VALUE(AC18)))"),59.4)</f>
        <v/>
      </c>
      <c r="AE18" s="593" t="n">
        <v>6</v>
      </c>
      <c r="AF18" s="594">
        <f t="array" ref="AF18">1000*(INDEX('Bakat Base Times'!$E:$E,MATCH(1,('Bakat Base Times'!$A:$A=Y18)*('Bakat Base Times'!$B:$B=Z18)*('Bakat Base Times'!$C:$C=AA18),0))/(VALUE(AD18)))^3
</f>
        <v/>
      </c>
      <c r="AG18" s="693" t="n"/>
      <c r="AH18" s="596" t="inlineStr">
        <is>
          <t>M</t>
        </is>
      </c>
      <c r="AI18" s="597" t="inlineStr">
        <is>
          <t>200 Breast</t>
        </is>
      </c>
      <c r="AJ18" s="597" t="n">
        <v>15</v>
      </c>
      <c r="AK18" s="590" t="inlineStr">
        <is>
          <t>CAYDEN TEO KAE-C</t>
        </is>
      </c>
      <c r="AL18" s="591" t="inlineStr">
        <is>
          <t>2:30.31</t>
        </is>
      </c>
      <c r="AM18" s="517">
        <f>IFERROR(__xludf.DUMMYFUNCTION("IF(ISNUMBER(AL18), AL18, IF(REGEXMATCH(AL18, "":""), SUMPRODUCT(VALUE(SPLIT(AL18, "":"")) * (60^(COUNTIF(SPLIT(AL18, "":""), ""&lt;&gt;"")-COLUMN(OFFSET('MOT Tables 25'!$A$1,,,1,COUNTIF(SPLIT(AL18, "":""),""&lt;&gt;"")))))), VALUE(AL18)))"),150.31)</f>
        <v/>
      </c>
      <c r="AN18" s="590" t="n">
        <v>9</v>
      </c>
      <c r="AO18" s="599">
        <f t="array" ref="AO18">1000*(INDEX('Bakat Base Times'!$E:$E,MATCH(1,('Bakat Base Times'!$A:$A=AH18)*('Bakat Base Times'!$B:$B=AI18)*('Bakat Base Times'!$C:$C=AJ18),0))/(VALUE(AM18)))^3
</f>
        <v/>
      </c>
      <c r="AP18" s="600" t="n"/>
      <c r="AQ18" s="693" t="n"/>
      <c r="AR18" s="625" t="inlineStr">
        <is>
          <t>CAYDEN TEO KAE-C</t>
        </is>
      </c>
      <c r="AS18" s="693">
        <f>SUMIF(AK:AK,AR18,AO:AO)</f>
        <v/>
      </c>
      <c r="AT18" s="626">
        <f>AVERAGEIF(AK:AK,AR18,AO:AO)</f>
        <v/>
      </c>
      <c r="AV18" s="625" t="inlineStr">
        <is>
          <t>WAN KHAI HERN</t>
        </is>
      </c>
      <c r="AW18" s="693">
        <f>SUMIF(AK:AK,AV18,AO:AO)</f>
        <v/>
      </c>
      <c r="AX18" s="626">
        <f>AVERAGEIF(AK:AK,AV18,AO:AO)</f>
        <v/>
      </c>
      <c r="AY18" s="693" t="n"/>
      <c r="AZ18" s="693" t="n"/>
    </row>
    <row r="19">
      <c r="A19" s="651" t="n">
        <v>18</v>
      </c>
      <c r="B19" s="705" t="inlineStr">
        <is>
          <t>M</t>
        </is>
      </c>
      <c r="C19" s="704" t="inlineStr">
        <is>
          <t>200 IM</t>
        </is>
      </c>
      <c r="D19" s="705" t="n">
        <v>13</v>
      </c>
      <c r="E19" s="613" t="inlineStr">
        <is>
          <t>SHEAMUS CHEW HENG YI</t>
        </is>
      </c>
      <c r="F19" s="704" t="inlineStr">
        <is>
          <t>2:16.55</t>
        </is>
      </c>
      <c r="G1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 s="464">
        <f>G19/#REF!</f>
        <v/>
      </c>
      <c r="I19" s="614" t="inlineStr">
        <is>
          <t>2:18.87</t>
        </is>
      </c>
      <c r="J1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 s="464">
        <f>J19/#REF!</f>
        <v/>
      </c>
      <c r="L19" s="704" t="n">
        <v>2</v>
      </c>
      <c r="M19" s="616" t="n">
        <v>2</v>
      </c>
      <c r="N19" s="652">
        <f t="array" ref="N19">1000*(INDEX('Bakat Base Times'!$E:$E,MATCH(1,('Bakat Base Times'!$A:$A=B19)*('Bakat Base Times'!$B:$B=C19)*('Bakat Base Times'!$C:$C=D19),0))/(VALUE(O19)))^3
</f>
        <v/>
      </c>
      <c r="O19" s="609">
        <f>IFERROR(__xludf.DUMMYFUNCTION("IF(ISNUMBER(I19), I19, IF(REGEXMATCH(I19, "":""), SUMPRODUCT(VALUE(SPLIT(I19, "":"")) * (60^(COUNTIF(SPLIT(I19, "":""), ""&lt;&gt;"")-COLUMN(OFFSET('MOT Tables 25'!$A$1,,,1,COUNTIF(SPLIT(I19, "":""),""&lt;&gt;"")))))), VALUE(I19)))"),138.87)</f>
        <v/>
      </c>
      <c r="P19" s="656" t="n"/>
      <c r="Q19" s="656" t="n"/>
      <c r="R19" s="656" t="n"/>
      <c r="S19" s="656" t="n"/>
      <c r="T19" s="656" t="n"/>
      <c r="U19" s="656" t="n"/>
      <c r="V19" s="585" t="n">
        <v>40493</v>
      </c>
      <c r="W19" s="689" t="n"/>
      <c r="X19" s="689" t="n"/>
      <c r="Y19" s="618" t="inlineStr">
        <is>
          <t>M</t>
        </is>
      </c>
      <c r="Z19" s="619" t="inlineStr">
        <is>
          <t>200 IM</t>
        </is>
      </c>
      <c r="AA19" s="612" t="n">
        <v>13</v>
      </c>
      <c r="AB19" s="613" t="inlineStr">
        <is>
          <t>SHEAMUS CHEW HENG YI</t>
        </is>
      </c>
      <c r="AC19" s="614" t="inlineStr">
        <is>
          <t>2:18.87</t>
        </is>
      </c>
      <c r="AD19" s="628">
        <f>IFERROR(__xludf.DUMMYFUNCTION("IF(ISNUMBER(AC19), AC19, IF(REGEXMATCH(AC19, "":""), SUMPRODUCT(VALUE(SPLIT(AC19, "":"")) * (60^(COUNTIF(SPLIT(AC19, "":""), ""&lt;&gt;"")-COLUMN(OFFSET('MOT Tables 25'!$A$1,,,1,COUNTIF(SPLIT(AC19, "":""),""&lt;&gt;"")))))), VALUE(AC19)))"),138.87)</f>
        <v/>
      </c>
      <c r="AE19" s="616" t="n">
        <v>2</v>
      </c>
      <c r="AF19" s="617">
        <f t="array" ref="AF19">1000*(INDEX('Bakat Base Times'!$E:$E,MATCH(1,('Bakat Base Times'!$A:$A=Y19)*('Bakat Base Times'!$B:$B=Z19)*('Bakat Base Times'!$C:$C=AA19),0))/(VALUE(AD19)))^3
</f>
        <v/>
      </c>
      <c r="AG19" s="693" t="n"/>
      <c r="AH19" s="618" t="inlineStr">
        <is>
          <t>M</t>
        </is>
      </c>
      <c r="AI19" s="619" t="inlineStr">
        <is>
          <t>100 Breast</t>
        </is>
      </c>
      <c r="AJ19" s="619" t="n">
        <v>15</v>
      </c>
      <c r="AK19" s="613" t="inlineStr">
        <is>
          <t>CAYDEN TEO KAE-C</t>
        </is>
      </c>
      <c r="AL19" s="665" t="inlineStr">
        <is>
          <t>1:09.66</t>
        </is>
      </c>
      <c r="AM19" s="505">
        <f>IFERROR(__xludf.DUMMYFUNCTION("IF(ISNUMBER(AL19), AL19, IF(REGEXMATCH(AL19, "":""), SUMPRODUCT(VALUE(SPLIT(AL19, "":"")) * (60^(COUNTIF(SPLIT(AL19, "":""), ""&lt;&gt;"")-COLUMN(OFFSET('MOT Tables 25'!$A$1,,,1,COUNTIF(SPLIT(AL19, "":""),""&lt;&gt;"")))))), VALUE(AL19)))"),69.66)</f>
        <v/>
      </c>
      <c r="AN19" s="613" t="n">
        <v>11</v>
      </c>
      <c r="AO19" s="672">
        <f t="array" ref="AO19">1000*(INDEX('Bakat Base Times'!$E:$E,MATCH(1,('Bakat Base Times'!$A:$A=AH19)*('Bakat Base Times'!$B:$B=AI19)*('Bakat Base Times'!$C:$C=AJ19),0))/(VALUE(AM19)))^3
</f>
        <v/>
      </c>
      <c r="AP19" s="621" t="n"/>
      <c r="AQ19" s="693" t="n"/>
      <c r="AR19" s="622" t="inlineStr">
        <is>
          <t>KHOO SUE ENN</t>
        </is>
      </c>
      <c r="AS19" s="639">
        <f>SUMIF(AK:AK,AR19,AO:AO)</f>
        <v/>
      </c>
      <c r="AT19" s="624">
        <f>AVERAGEIF(AK:AK,AR19,AO:AO)</f>
        <v/>
      </c>
      <c r="AV19" s="622" t="inlineStr">
        <is>
          <t>HO WEI YAN</t>
        </is>
      </c>
      <c r="AW19" s="639">
        <f>SUMIF(AK:AK,AV19,AO:AO)</f>
        <v/>
      </c>
      <c r="AX19" s="624">
        <f>AVERAGEIF(AK:AK,AV19,AO:AO)</f>
        <v/>
      </c>
      <c r="AY19" s="693" t="n"/>
      <c r="AZ19" s="693" t="n"/>
    </row>
    <row r="20">
      <c r="A20" s="654" t="n">
        <v>19</v>
      </c>
      <c r="B20" s="710" t="inlineStr">
        <is>
          <t>F</t>
        </is>
      </c>
      <c r="C20" s="709" t="inlineStr">
        <is>
          <t>100 Free</t>
        </is>
      </c>
      <c r="D20" s="710" t="n">
        <v>15</v>
      </c>
      <c r="E20" s="707" t="inlineStr">
        <is>
          <t>NADIA LIM</t>
        </is>
      </c>
      <c r="F20" s="707" t="inlineStr">
        <is>
          <t>58.62</t>
        </is>
      </c>
      <c r="G2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 s="460">
        <f>G20/#REF!</f>
        <v/>
      </c>
      <c r="I20" s="591" t="inlineStr">
        <is>
          <t>58.58</t>
        </is>
      </c>
      <c r="J20"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 s="460">
        <f>J20/#REF!</f>
        <v/>
      </c>
      <c r="L20" s="709" t="n">
        <v>3</v>
      </c>
      <c r="M20" s="593" t="n">
        <v>2</v>
      </c>
      <c r="N20" s="655">
        <f t="array" ref="N20">1000*(INDEX('Bakat Base Times'!$E:$E,MATCH(1,('Bakat Base Times'!$A:$A=B20)*('Bakat Base Times'!$B:$B=C20)*('Bakat Base Times'!$C:$C=D20),0))/(VALUE(O20)))^3
</f>
        <v/>
      </c>
      <c r="O20" s="582">
        <f>IFERROR(__xludf.DUMMYFUNCTION("IF(ISNUMBER(I20), I20, IF(REGEXMATCH(I20, "":""), SUMPRODUCT(VALUE(SPLIT(I20, "":"")) * (60^(COUNTIF(SPLIT(I20, "":""), ""&lt;&gt;"")-COLUMN(OFFSET('MOT Tables 25'!$A$1,,,1,COUNTIF(SPLIT(I20, "":""),""&lt;&gt;"")))))), VALUE(I20)))"),58.58)</f>
        <v/>
      </c>
      <c r="P20" s="583" t="n"/>
      <c r="Q20" s="583" t="inlineStr">
        <is>
          <t>KAYLEIGH ANG ZHI XUAN</t>
        </is>
      </c>
      <c r="R20" s="584" t="inlineStr">
        <is>
          <t>F</t>
        </is>
      </c>
      <c r="S20" s="584" t="n">
        <v>2</v>
      </c>
      <c r="T20" s="584" t="inlineStr">
        <is>
          <t>B1</t>
        </is>
      </c>
      <c r="U20" s="584" t="inlineStr">
        <is>
          <t>SWK</t>
        </is>
      </c>
      <c r="V20" s="585" t="n">
        <v>40357</v>
      </c>
      <c r="W20" s="689" t="n"/>
      <c r="X20" s="689" t="n"/>
      <c r="Y20" s="596" t="inlineStr">
        <is>
          <t>F</t>
        </is>
      </c>
      <c r="Z20" s="597" t="inlineStr">
        <is>
          <t>100 Free</t>
        </is>
      </c>
      <c r="AA20" s="589" t="n">
        <v>15</v>
      </c>
      <c r="AB20" s="707" t="inlineStr">
        <is>
          <t>NADIA LIM</t>
        </is>
      </c>
      <c r="AC20" s="591" t="inlineStr">
        <is>
          <t>58.58</t>
        </is>
      </c>
      <c r="AD20" s="592">
        <f>IFERROR(__xludf.DUMMYFUNCTION("IF(ISNUMBER(AC20), AC20, IF(REGEXMATCH(AC20, "":""), SUMPRODUCT(VALUE(SPLIT(AC20, "":"")) * (60^(COUNTIF(SPLIT(AC20, "":""), ""&lt;&gt;"")-COLUMN(OFFSET('MOT Tables 25'!$A$1,,,1,COUNTIF(SPLIT(AC20, "":""),""&lt;&gt;"")))))), VALUE(AC20)))"),58.58)</f>
        <v/>
      </c>
      <c r="AE20" s="593" t="n">
        <v>2</v>
      </c>
      <c r="AF20" s="594">
        <f t="array" ref="AF20">1000*(INDEX('Bakat Base Times'!$E:$E,MATCH(1,('Bakat Base Times'!$A:$A=Y20)*('Bakat Base Times'!$B:$B=Z20)*('Bakat Base Times'!$C:$C=AA20),0))/(VALUE(AD20)))^3
</f>
        <v/>
      </c>
      <c r="AG20" s="693" t="n"/>
      <c r="AH20" s="596" t="inlineStr">
        <is>
          <t>M</t>
        </is>
      </c>
      <c r="AI20" s="597" t="inlineStr">
        <is>
          <t>200 IM</t>
        </is>
      </c>
      <c r="AJ20" s="597" t="n">
        <v>15</v>
      </c>
      <c r="AK20" s="590" t="inlineStr">
        <is>
          <t>CAYDEN TEO KAE-C</t>
        </is>
      </c>
      <c r="AL20" s="591" t="inlineStr">
        <is>
          <t>2:21.07</t>
        </is>
      </c>
      <c r="AM20" s="517">
        <f>IFERROR(__xludf.DUMMYFUNCTION("IF(ISNUMBER(AL20), AL20, IF(REGEXMATCH(AL20, "":""), SUMPRODUCT(VALUE(SPLIT(AL20, "":"")) * (60^(COUNTIF(SPLIT(AL20, "":""), ""&lt;&gt;"")-COLUMN(OFFSET('MOT Tables 25'!$A$1,,,1,COUNTIF(SPLIT(AL20, "":""),""&lt;&gt;"")))))), VALUE(AL20)))"),141.07)</f>
        <v/>
      </c>
      <c r="AN20" s="590" t="n">
        <v>10</v>
      </c>
      <c r="AO20" s="599">
        <f t="array" ref="AO20">1000*(INDEX('Bakat Base Times'!$E:$E,MATCH(1,('Bakat Base Times'!$A:$A=AH20)*('Bakat Base Times'!$B:$B=AI20)*('Bakat Base Times'!$C:$C=AJ20),0))/(VALUE(AM20)))^3
</f>
        <v/>
      </c>
      <c r="AP20" s="600" t="n"/>
      <c r="AQ20" s="693" t="n"/>
      <c r="AR20" s="625" t="inlineStr">
        <is>
          <t>KAYLEIGH ANG ZHI XUAN</t>
        </is>
      </c>
      <c r="AS20" s="693">
        <f>SUMIF(AK:AK,AR20,AO:AO)</f>
        <v/>
      </c>
      <c r="AT20" s="626">
        <f>AVERAGEIF(AK:AK,AR20,AO:AO)</f>
        <v/>
      </c>
      <c r="AV20" s="625" t="inlineStr">
        <is>
          <t>KHOR YUE LYNN</t>
        </is>
      </c>
      <c r="AW20" s="693">
        <f>SUMIF(AK:AK,AV20,AO:AO)</f>
        <v/>
      </c>
      <c r="AX20" s="626">
        <f>AVERAGEIF(AK:AK,AV20,AO:AO)</f>
        <v/>
      </c>
      <c r="AY20" s="693" t="n"/>
      <c r="AZ20" s="693" t="n"/>
    </row>
    <row r="21">
      <c r="A21" s="651" t="n">
        <v>20</v>
      </c>
      <c r="B21" s="705" t="inlineStr">
        <is>
          <t>M</t>
        </is>
      </c>
      <c r="C21" s="704" t="inlineStr">
        <is>
          <t>100 Breast</t>
        </is>
      </c>
      <c r="D21" s="705" t="n">
        <v>15</v>
      </c>
      <c r="E21" s="613" t="inlineStr">
        <is>
          <t>BRANDON YEOH HSIEN KAI</t>
        </is>
      </c>
      <c r="F21" s="701" t="inlineStr">
        <is>
          <t>1:06.84</t>
        </is>
      </c>
      <c r="G2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 s="464">
        <f>G21/#REF!</f>
        <v/>
      </c>
      <c r="I21" s="614" t="inlineStr">
        <is>
          <t>1:07.25</t>
        </is>
      </c>
      <c r="J2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 s="464">
        <f>J21/#REF!</f>
        <v/>
      </c>
      <c r="L21" s="704" t="n">
        <v>3</v>
      </c>
      <c r="M21" s="616" t="n">
        <v>4</v>
      </c>
      <c r="N21" s="652">
        <f t="array" ref="N21">1000*(INDEX('Bakat Base Times'!$E:$E,MATCH(1,('Bakat Base Times'!$A:$A=B21)*('Bakat Base Times'!$B:$B=C21)*('Bakat Base Times'!$C:$C=D21),0))/(VALUE(O21)))^3
</f>
        <v/>
      </c>
      <c r="O21" s="609">
        <f>IFERROR(__xludf.DUMMYFUNCTION("IF(ISNUMBER(I21), I21, IF(REGEXMATCH(I21, "":""), SUMPRODUCT(VALUE(SPLIT(I21, "":"")) * (60^(COUNTIF(SPLIT(I21, "":""), ""&lt;&gt;"")-COLUMN(OFFSET('MOT Tables 25'!$A$1,,,1,COUNTIF(SPLIT(I21, "":""),""&lt;&gt;"")))))), VALUE(I21)))"),67.25)</f>
        <v/>
      </c>
      <c r="P21" s="583" t="n"/>
      <c r="Q21" s="583" t="inlineStr">
        <is>
          <t>ONG YHA ROU NATASHA</t>
        </is>
      </c>
      <c r="R21" s="584" t="inlineStr">
        <is>
          <t>F</t>
        </is>
      </c>
      <c r="S21" s="584" t="n">
        <v>2</v>
      </c>
      <c r="T21" s="584" t="inlineStr">
        <is>
          <t>C</t>
        </is>
      </c>
      <c r="U21" s="584" t="inlineStr">
        <is>
          <t>PEN</t>
        </is>
      </c>
      <c r="V21" s="585" t="n">
        <v>40226</v>
      </c>
      <c r="W21" s="689" t="n"/>
      <c r="X21" s="689" t="n"/>
      <c r="Y21" s="618" t="inlineStr">
        <is>
          <t>M</t>
        </is>
      </c>
      <c r="Z21" s="619" t="inlineStr">
        <is>
          <t>100 Breast</t>
        </is>
      </c>
      <c r="AA21" s="612" t="n">
        <v>15</v>
      </c>
      <c r="AB21" s="613" t="inlineStr">
        <is>
          <t>BRANDON YEOH HSIEN KAI</t>
        </is>
      </c>
      <c r="AC21" s="614" t="inlineStr">
        <is>
          <t>1:07.25</t>
        </is>
      </c>
      <c r="AD21" s="628">
        <f>IFERROR(__xludf.DUMMYFUNCTION("IF(ISNUMBER(AC21), AC21, IF(REGEXMATCH(AC21, "":""), SUMPRODUCT(VALUE(SPLIT(AC21, "":"")) * (60^(COUNTIF(SPLIT(AC21, "":""), ""&lt;&gt;"")-COLUMN(OFFSET('MOT Tables 25'!$A$1,,,1,COUNTIF(SPLIT(AC21, "":""),""&lt;&gt;"")))))), VALUE(AC21)))"),67.25)</f>
        <v/>
      </c>
      <c r="AE21" s="616" t="n">
        <v>4</v>
      </c>
      <c r="AF21" s="617">
        <f t="array" ref="AF21">1000*(INDEX('Bakat Base Times'!$E:$E,MATCH(1,('Bakat Base Times'!$A:$A=Y21)*('Bakat Base Times'!$B:$B=Z21)*('Bakat Base Times'!$C:$C=AA21),0))/(VALUE(AD21)))^3
</f>
        <v/>
      </c>
      <c r="AG21" s="693" t="n"/>
      <c r="AH21" s="632" t="inlineStr">
        <is>
          <t>M</t>
        </is>
      </c>
      <c r="AI21" s="633" t="inlineStr">
        <is>
          <t>200 Fly</t>
        </is>
      </c>
      <c r="AJ21" s="633" t="n">
        <v>14</v>
      </c>
      <c r="AK21" s="634" t="inlineStr">
        <is>
          <t>CH'NG SAW HUAI</t>
        </is>
      </c>
      <c r="AL21" s="635" t="inlineStr">
        <is>
          <t>2:09.21</t>
        </is>
      </c>
      <c r="AM21" s="636">
        <f>IFERROR(__xludf.DUMMYFUNCTION("IF(ISNUMBER(AL21), AL21, IF(REGEXMATCH(AL21, "":""), SUMPRODUCT(VALUE(SPLIT(AL21, "":"")) * (60^(COUNTIF(SPLIT(AL21, "":""), ""&lt;&gt;"")-COLUMN(OFFSET('MOT Tables 25'!$A$1,,,1,COUNTIF(SPLIT(AL21, "":""),""&lt;&gt;"")))))), VALUE(AL21)))"),129.21)</f>
        <v/>
      </c>
      <c r="AN21" s="634" t="n">
        <v>1</v>
      </c>
      <c r="AO21" s="637">
        <f t="array" ref="AO21">1000*(INDEX('Bakat Base Times'!$E:$E,MATCH(1,('Bakat Base Times'!$A:$A=AH21)*('Bakat Base Times'!$B:$B=AI21)*('Bakat Base Times'!$C:$C=AJ21),0))/(VALUE(AM21)))^3
</f>
        <v/>
      </c>
      <c r="AP21" s="638" t="inlineStr">
        <is>
          <t>A</t>
        </is>
      </c>
      <c r="AQ21" s="639" t="n"/>
      <c r="AR21" s="622" t="inlineStr">
        <is>
          <t>VIVIAN TEE XIN LING</t>
        </is>
      </c>
      <c r="AS21" s="639">
        <f>SUMIF(AK:AK,AR21,AO:AO)</f>
        <v/>
      </c>
      <c r="AT21" s="624">
        <f>AVERAGEIF(AK:AK,AR21,AO:AO)</f>
        <v/>
      </c>
      <c r="AV21" s="625" t="inlineStr">
        <is>
          <t>ANG YONG JUN</t>
        </is>
      </c>
      <c r="AW21" s="693">
        <f>SUMIF(AK:AK,AV21,AO:AO)</f>
        <v/>
      </c>
      <c r="AX21" s="626">
        <f>AVERAGEIF(AK:AK,AV21,AO:AO)</f>
        <v/>
      </c>
      <c r="AY21" s="693" t="n"/>
      <c r="AZ21" s="693" t="n"/>
    </row>
    <row r="22">
      <c r="A22" s="654" t="n"/>
      <c r="B22" s="710" t="inlineStr">
        <is>
          <t>F</t>
        </is>
      </c>
      <c r="C22" s="709" t="inlineStr">
        <is>
          <t>200 Fly</t>
        </is>
      </c>
      <c r="D22" s="710" t="n">
        <v>15</v>
      </c>
      <c r="E22" s="590" t="inlineStr">
        <is>
          <t>SHANNON TAN YAN QING *</t>
        </is>
      </c>
      <c r="F22" s="707" t="inlineStr">
        <is>
          <t>2:23.48</t>
        </is>
      </c>
      <c r="G2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 s="460">
        <f>G22/#REF!</f>
        <v/>
      </c>
      <c r="I22" s="591" t="inlineStr">
        <is>
          <t>2:19.69</t>
        </is>
      </c>
      <c r="J22"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 s="460">
        <f>J22/#REF!</f>
        <v/>
      </c>
      <c r="L22" s="709" t="n">
        <v>4</v>
      </c>
      <c r="M22" s="593" t="n">
        <v>2</v>
      </c>
      <c r="N22" s="655">
        <f t="array" ref="N22">1000*(INDEX('Bakat Base Times'!$E:$E,MATCH(1,('Bakat Base Times'!$A:$A=B22)*('Bakat Base Times'!$B:$B=C22)*('Bakat Base Times'!$C:$C=D22),0))/(VALUE(O22)))^3
</f>
        <v/>
      </c>
      <c r="O22" s="582">
        <f>IFERROR(__xludf.DUMMYFUNCTION("IF(ISNUMBER(I22), I22, IF(REGEXMATCH(I22, "":""), SUMPRODUCT(VALUE(SPLIT(I22, "":"")) * (60^(COUNTIF(SPLIT(I22, "":""), ""&lt;&gt;"")-COLUMN(OFFSET('MOT Tables 25'!$A$1,,,1,COUNTIF(SPLIT(I22, "":""),""&lt;&gt;"")))))), VALUE(I22)))"),139.69)</f>
        <v/>
      </c>
      <c r="P22" s="583" t="n"/>
      <c r="Q22" s="583" t="inlineStr">
        <is>
          <t>YAP KE HUI</t>
        </is>
      </c>
      <c r="R22" s="584" t="inlineStr">
        <is>
          <t>F</t>
        </is>
      </c>
      <c r="S22" s="584" t="n">
        <v>2</v>
      </c>
      <c r="T22" s="584" t="inlineStr">
        <is>
          <t>C</t>
        </is>
      </c>
      <c r="U22" s="584" t="inlineStr">
        <is>
          <t>SGR</t>
        </is>
      </c>
      <c r="V22" s="585" t="n">
        <v>40499</v>
      </c>
      <c r="W22" s="689" t="n"/>
      <c r="X22" s="689" t="n"/>
      <c r="Y22" s="596" t="inlineStr">
        <is>
          <t>F</t>
        </is>
      </c>
      <c r="Z22" s="597" t="inlineStr">
        <is>
          <t>200 Fly</t>
        </is>
      </c>
      <c r="AA22" s="589" t="n">
        <v>15</v>
      </c>
      <c r="AB22" s="590" t="inlineStr">
        <is>
          <t>SHANNON TAN YAN QING *</t>
        </is>
      </c>
      <c r="AC22" s="591" t="inlineStr">
        <is>
          <t>2:19.69</t>
        </is>
      </c>
      <c r="AD22" s="592">
        <f>IFERROR(__xludf.DUMMYFUNCTION("IF(ISNUMBER(AC22), AC22, IF(REGEXMATCH(AC22, "":""), SUMPRODUCT(VALUE(SPLIT(AC22, "":"")) * (60^(COUNTIF(SPLIT(AC22, "":""), ""&lt;&gt;"")-COLUMN(OFFSET('MOT Tables 25'!$A$1,,,1,COUNTIF(SPLIT(AC22, "":""),""&lt;&gt;"")))))), VALUE(AC22)))"),139.69)</f>
        <v/>
      </c>
      <c r="AE22" s="593" t="n">
        <v>2</v>
      </c>
      <c r="AF22" s="594">
        <f t="array" ref="AF22">1000*(INDEX('Bakat Base Times'!$E:$E,MATCH(1,('Bakat Base Times'!$A:$A=Y22)*('Bakat Base Times'!$B:$B=Z22)*('Bakat Base Times'!$C:$C=AA22),0))/(VALUE(AD22)))^3
</f>
        <v/>
      </c>
      <c r="AG22" s="693" t="n"/>
      <c r="AH22" s="632" t="inlineStr">
        <is>
          <t>M</t>
        </is>
      </c>
      <c r="AI22" s="633" t="inlineStr">
        <is>
          <t>200 Free</t>
        </is>
      </c>
      <c r="AJ22" s="633" t="n">
        <v>14</v>
      </c>
      <c r="AK22" s="634" t="inlineStr">
        <is>
          <t>CH'NG SAW HUAI</t>
        </is>
      </c>
      <c r="AL22" s="635" t="inlineStr">
        <is>
          <t>2:02.06</t>
        </is>
      </c>
      <c r="AM22" s="636">
        <f>IFERROR(__xludf.DUMMYFUNCTION("IF(ISNUMBER(AL22), AL22, IF(REGEXMATCH(AL22, "":""), SUMPRODUCT(VALUE(SPLIT(AL22, "":"")) * (60^(COUNTIF(SPLIT(AL22, "":""), ""&lt;&gt;"")-COLUMN(OFFSET('MOT Tables 25'!$A$1,,,1,COUNTIF(SPLIT(AL22, "":""),""&lt;&gt;"")))))), VALUE(AL22)))"),122.06)</f>
        <v/>
      </c>
      <c r="AN22" s="634" t="n">
        <v>8</v>
      </c>
      <c r="AO22" s="637">
        <f t="array" ref="AO22">1000*(INDEX('Bakat Base Times'!$E:$E,MATCH(1,('Bakat Base Times'!$A:$A=AH22)*('Bakat Base Times'!$B:$B=AI22)*('Bakat Base Times'!$C:$C=AJ22),0))/(VALUE(AM22)))^3
</f>
        <v/>
      </c>
      <c r="AP22" s="638" t="inlineStr">
        <is>
          <t>A</t>
        </is>
      </c>
      <c r="AQ22" s="639" t="n"/>
      <c r="AR22" s="625" t="inlineStr">
        <is>
          <t>BRANDON YEOH HSIEN KAI</t>
        </is>
      </c>
      <c r="AS22" s="693">
        <f>SUMIF(AK:AK,AR22,AO:AO)</f>
        <v/>
      </c>
      <c r="AT22" s="626">
        <f>AVERAGEIF(AK:AK,AR22,AO:AO)</f>
        <v/>
      </c>
      <c r="AV22" s="631" t="inlineStr">
        <is>
          <t>NADIA LIM</t>
        </is>
      </c>
      <c r="AW22" s="639">
        <f>SUMIF(AK:AK,AV22,AO:AO)</f>
        <v/>
      </c>
      <c r="AX22" s="624">
        <f>AVERAGEIF(AK:AK,AV22,AO:AO)</f>
        <v/>
      </c>
      <c r="AY22" s="693" t="n"/>
      <c r="AZ22" s="693" t="n"/>
    </row>
    <row r="23">
      <c r="A23" s="651" t="n"/>
      <c r="B23" s="705" t="inlineStr">
        <is>
          <t>F</t>
        </is>
      </c>
      <c r="C23" s="704" t="inlineStr">
        <is>
          <t>200 IM</t>
        </is>
      </c>
      <c r="D23" s="705" t="n">
        <v>14</v>
      </c>
      <c r="E23" s="613" t="inlineStr">
        <is>
          <t>AW YUET TING</t>
        </is>
      </c>
      <c r="F23" s="704" t="inlineStr">
        <is>
          <t>2:25.61</t>
        </is>
      </c>
      <c r="G2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 s="464">
        <f>G23/#REF!</f>
        <v/>
      </c>
      <c r="I23" s="614" t="inlineStr">
        <is>
          <t>2:24.90</t>
        </is>
      </c>
      <c r="J2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 s="464">
        <f>J23/#REF!</f>
        <v/>
      </c>
      <c r="L23" s="704" t="n">
        <v>3</v>
      </c>
      <c r="M23" s="616" t="n">
        <v>4</v>
      </c>
      <c r="N23" s="652">
        <f t="array" ref="N23">1000*(INDEX('Bakat Base Times'!$E:$E,MATCH(1,('Bakat Base Times'!$A:$A=B23)*('Bakat Base Times'!$B:$B=C23)*('Bakat Base Times'!$C:$C=D23),0))/(VALUE(O23)))^3
</f>
        <v/>
      </c>
      <c r="O23" s="609">
        <f>IFERROR(__xludf.DUMMYFUNCTION("IF(ISNUMBER(I23), I23, IF(REGEXMATCH(I23, "":""), SUMPRODUCT(VALUE(SPLIT(I23, "":"")) * (60^(COUNTIF(SPLIT(I23, "":""), ""&lt;&gt;"")-COLUMN(OFFSET('MOT Tables 25'!$A$1,,,1,COUNTIF(SPLIT(I23, "":""),""&lt;&gt;"")))))), VALUE(I23)))"),144.9)</f>
        <v/>
      </c>
      <c r="P23" s="583" t="n"/>
      <c r="Q23" s="583" t="inlineStr">
        <is>
          <t>ISABELLE KAM ZI ZHEN</t>
        </is>
      </c>
      <c r="R23" s="584" t="inlineStr">
        <is>
          <t>F</t>
        </is>
      </c>
      <c r="S23" s="584" t="n">
        <v>2</v>
      </c>
      <c r="T23" s="584" t="inlineStr">
        <is>
          <t>C</t>
        </is>
      </c>
      <c r="U23" s="584" t="inlineStr">
        <is>
          <t>WPKL</t>
        </is>
      </c>
      <c r="V23" s="585" t="n">
        <v>40182</v>
      </c>
      <c r="W23" s="689" t="n"/>
      <c r="X23" s="689" t="n"/>
      <c r="Y23" s="618" t="inlineStr">
        <is>
          <t>F</t>
        </is>
      </c>
      <c r="Z23" s="619" t="inlineStr">
        <is>
          <t>200 IM</t>
        </is>
      </c>
      <c r="AA23" s="612" t="n">
        <v>14</v>
      </c>
      <c r="AB23" s="613" t="inlineStr">
        <is>
          <t>AW YUET TING</t>
        </is>
      </c>
      <c r="AC23" s="614" t="inlineStr">
        <is>
          <t>2:24.90</t>
        </is>
      </c>
      <c r="AD23" s="628">
        <f>IFERROR(__xludf.DUMMYFUNCTION("IF(ISNUMBER(AC23), AC23, IF(REGEXMATCH(AC23, "":""), SUMPRODUCT(VALUE(SPLIT(AC23, "":"")) * (60^(COUNTIF(SPLIT(AC23, "":""), ""&lt;&gt;"")-COLUMN(OFFSET('MOT Tables 25'!$A$1,,,1,COUNTIF(SPLIT(AC23, "":""),""&lt;&gt;"")))))), VALUE(AC23)))"),144.9)</f>
        <v/>
      </c>
      <c r="AE23" s="616" t="n">
        <v>4</v>
      </c>
      <c r="AF23" s="617">
        <f t="array" ref="AF23">1000*(INDEX('Bakat Base Times'!$E:$E,MATCH(1,('Bakat Base Times'!$A:$A=Y23)*('Bakat Base Times'!$B:$B=Z23)*('Bakat Base Times'!$C:$C=AA23),0))/(VALUE(AD23)))^3
</f>
        <v/>
      </c>
      <c r="AG23" s="693" t="n"/>
      <c r="AH23" s="632" t="inlineStr">
        <is>
          <t>M</t>
        </is>
      </c>
      <c r="AI23" s="633" t="inlineStr">
        <is>
          <t>400 IM</t>
        </is>
      </c>
      <c r="AJ23" s="633" t="n">
        <v>14</v>
      </c>
      <c r="AK23" s="634" t="inlineStr">
        <is>
          <t>CH'NG SAW HUAI</t>
        </is>
      </c>
      <c r="AL23" s="635" t="inlineStr">
        <is>
          <t>4:51.86</t>
        </is>
      </c>
      <c r="AM23" s="636">
        <f>IFERROR(__xludf.DUMMYFUNCTION("IF(ISNUMBER(AL23), AL23, IF(REGEXMATCH(AL23, "":""), SUMPRODUCT(VALUE(SPLIT(AL23, "":"")) * (60^(COUNTIF(SPLIT(AL23, "":""), ""&lt;&gt;"")-COLUMN(OFFSET('MOT Tables 25'!$A$1,,,1,COUNTIF(SPLIT(AL23, "":""),""&lt;&gt;"")))))), VALUE(AL23)))"),291.86)</f>
        <v/>
      </c>
      <c r="AN23" s="634" t="n">
        <v>5</v>
      </c>
      <c r="AO23" s="637">
        <f t="array" ref="AO23">1000*(INDEX('Bakat Base Times'!$E:$E,MATCH(1,('Bakat Base Times'!$A:$A=AH23)*('Bakat Base Times'!$B:$B=AI23)*('Bakat Base Times'!$C:$C=AJ23),0))/(VALUE(AM23)))^3
</f>
        <v/>
      </c>
      <c r="AP23" s="638" t="inlineStr">
        <is>
          <t>A</t>
        </is>
      </c>
      <c r="AQ23" s="639" t="n"/>
      <c r="AR23" s="625" t="inlineStr">
        <is>
          <t>NATHANIEL SHU JIA JUN</t>
        </is>
      </c>
      <c r="AS23" s="693">
        <f>SUMIF(AK:AK,AR23,AO:AO)</f>
        <v/>
      </c>
      <c r="AT23" s="626">
        <f>AVERAGEIF(AK:AK,AR23,AO:AO)</f>
        <v/>
      </c>
      <c r="AV23" s="625" t="inlineStr">
        <is>
          <t>YAP KE HUI</t>
        </is>
      </c>
      <c r="AW23" s="693">
        <f>SUMIF(AK:AK,AV23,AO:AO)</f>
        <v/>
      </c>
      <c r="AX23" s="626">
        <f>AVERAGEIF(AK:AK,AV23,AO:AO)</f>
        <v/>
      </c>
      <c r="AY23" s="693" t="n"/>
      <c r="AZ23" s="693" t="n"/>
    </row>
    <row r="24">
      <c r="A24" s="654" t="n"/>
      <c r="B24" s="710" t="inlineStr">
        <is>
          <t>F</t>
        </is>
      </c>
      <c r="C24" s="709" t="inlineStr">
        <is>
          <t>200 Breast</t>
        </is>
      </c>
      <c r="D24" s="710" t="n">
        <v>14</v>
      </c>
      <c r="E24" s="590" t="inlineStr">
        <is>
          <t>AW YUET TING</t>
        </is>
      </c>
      <c r="F24" s="707" t="inlineStr">
        <is>
          <t>2:40.10</t>
        </is>
      </c>
      <c r="G2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 s="460">
        <f>G24/#REF!</f>
        <v/>
      </c>
      <c r="I24" s="591" t="inlineStr">
        <is>
          <t>2:41.54</t>
        </is>
      </c>
      <c r="J2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 s="460">
        <f>J24/#REF!</f>
        <v/>
      </c>
      <c r="L24" s="709" t="n">
        <v>3</v>
      </c>
      <c r="M24" s="593" t="n">
        <v>4</v>
      </c>
      <c r="N24" s="655">
        <f t="array" ref="N24">1000*(INDEX('Bakat Base Times'!$E:$E,MATCH(1,('Bakat Base Times'!$A:$A=B24)*('Bakat Base Times'!$B:$B=C24)*('Bakat Base Times'!$C:$C=D24),0))/(VALUE(O24)))^3
</f>
        <v/>
      </c>
      <c r="O24" s="582">
        <f>IFERROR(__xludf.DUMMYFUNCTION("IF(ISNUMBER(I24), I24, IF(REGEXMATCH(I24, "":""), SUMPRODUCT(VALUE(SPLIT(I24, "":"")) * (60^(COUNTIF(SPLIT(I24, "":""), ""&lt;&gt;"")-COLUMN(OFFSET('MOT Tables 25'!$A$1,,,1,COUNTIF(SPLIT(I24, "":""),""&lt;&gt;"")))))), VALUE(I24)))"),161.54)</f>
        <v/>
      </c>
      <c r="P24" s="583" t="n"/>
      <c r="Q24" s="583" t="inlineStr">
        <is>
          <t>EVITA TAN EE LIN</t>
        </is>
      </c>
      <c r="R24" s="584" t="inlineStr">
        <is>
          <t>F</t>
        </is>
      </c>
      <c r="S24" s="584" t="n">
        <v>2</v>
      </c>
      <c r="T24" s="584" t="inlineStr">
        <is>
          <t>CR</t>
        </is>
      </c>
      <c r="U24" s="584" t="inlineStr">
        <is>
          <t>WPKL</t>
        </is>
      </c>
      <c r="V24" s="585" t="n">
        <v>40610</v>
      </c>
      <c r="W24" s="689" t="n"/>
      <c r="X24" s="689" t="n"/>
      <c r="Y24" s="596" t="inlineStr">
        <is>
          <t>F</t>
        </is>
      </c>
      <c r="Z24" s="597" t="inlineStr">
        <is>
          <t>200 Breast</t>
        </is>
      </c>
      <c r="AA24" s="589" t="n">
        <v>14</v>
      </c>
      <c r="AB24" s="590" t="inlineStr">
        <is>
          <t>AW YUET TING</t>
        </is>
      </c>
      <c r="AC24" s="591" t="inlineStr">
        <is>
          <t>2:41.54</t>
        </is>
      </c>
      <c r="AD24" s="592">
        <f>IFERROR(__xludf.DUMMYFUNCTION("IF(ISNUMBER(AC24), AC24, IF(REGEXMATCH(AC24, "":""), SUMPRODUCT(VALUE(SPLIT(AC24, "":"")) * (60^(COUNTIF(SPLIT(AC24, "":""), ""&lt;&gt;"")-COLUMN(OFFSET('MOT Tables 25'!$A$1,,,1,COUNTIF(SPLIT(AC24, "":""),""&lt;&gt;"")))))), VALUE(AC24)))"),161.54)</f>
        <v/>
      </c>
      <c r="AE24" s="593" t="n">
        <v>4</v>
      </c>
      <c r="AF24" s="594">
        <f t="array" ref="AF24">1000*(INDEX('Bakat Base Times'!$E:$E,MATCH(1,('Bakat Base Times'!$A:$A=Y24)*('Bakat Base Times'!$B:$B=Z24)*('Bakat Base Times'!$C:$C=AA24),0))/(VALUE(AD24)))^3
</f>
        <v/>
      </c>
      <c r="AG24" s="693" t="n"/>
      <c r="AH24" s="632" t="inlineStr">
        <is>
          <t>M</t>
        </is>
      </c>
      <c r="AI24" s="633" t="inlineStr">
        <is>
          <t>400 Free</t>
        </is>
      </c>
      <c r="AJ24" s="633" t="n">
        <v>14</v>
      </c>
      <c r="AK24" s="634" t="inlineStr">
        <is>
          <t>CH'NG SAW HUAI</t>
        </is>
      </c>
      <c r="AL24" s="635" t="inlineStr">
        <is>
          <t>4:22.13</t>
        </is>
      </c>
      <c r="AM24" s="636">
        <f>IFERROR(__xludf.DUMMYFUNCTION("IF(ISNUMBER(AL24), AL24, IF(REGEXMATCH(AL24, "":""), SUMPRODUCT(VALUE(SPLIT(AL24, "":"")) * (60^(COUNTIF(SPLIT(AL24, "":""), ""&lt;&gt;"")-COLUMN(OFFSET('MOT Tables 25'!$A$1,,,1,COUNTIF(SPLIT(AL24, "":""),""&lt;&gt;"")))))), VALUE(AL24)))"),262.13)</f>
        <v/>
      </c>
      <c r="AN24" s="634" t="n">
        <v>11</v>
      </c>
      <c r="AO24" s="637">
        <f t="array" ref="AO24">1000*(INDEX('Bakat Base Times'!$E:$E,MATCH(1,('Bakat Base Times'!$A:$A=AH24)*('Bakat Base Times'!$B:$B=AI24)*('Bakat Base Times'!$C:$C=AJ24),0))/(VALUE(AM24)))^3
</f>
        <v/>
      </c>
      <c r="AP24" s="638" t="inlineStr">
        <is>
          <t>A</t>
        </is>
      </c>
      <c r="AQ24" s="639" t="n"/>
      <c r="AR24" s="625" t="inlineStr">
        <is>
          <t>WAN KHAI HERN</t>
        </is>
      </c>
      <c r="AS24" s="693">
        <f>SUMIF(AK:AK,AR24,AO:AO)</f>
        <v/>
      </c>
      <c r="AT24" s="626">
        <f>AVERAGEIF(AK:AK,AR24,AO:AO)</f>
        <v/>
      </c>
      <c r="AV24" s="625" t="inlineStr">
        <is>
          <t>KAELYN CHEE WEI YI</t>
        </is>
      </c>
      <c r="AW24" s="693">
        <f>SUMIF(AK:AK,AV24,AO:AO)</f>
        <v/>
      </c>
      <c r="AX24" s="626">
        <f>AVERAGEIF(AK:AK,AV24,AO:AO)</f>
        <v/>
      </c>
      <c r="AY24" s="693" t="n"/>
      <c r="AZ24" s="693" t="n"/>
    </row>
    <row r="25">
      <c r="A25" s="651" t="n"/>
      <c r="B25" s="705" t="inlineStr">
        <is>
          <t>M</t>
        </is>
      </c>
      <c r="C25" s="704" t="inlineStr">
        <is>
          <t>100 Free</t>
        </is>
      </c>
      <c r="D25" s="705" t="n">
        <v>17</v>
      </c>
      <c r="E25" s="613" t="inlineStr">
        <is>
          <t>MUHAMMAD DHUHA BIN ZULFIKRY</t>
        </is>
      </c>
      <c r="F25" s="701" t="inlineStr">
        <is>
          <t>51.83</t>
        </is>
      </c>
      <c r="G2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 s="464">
        <f>G25/#REF!</f>
        <v/>
      </c>
      <c r="I25" s="614" t="inlineStr">
        <is>
          <t>52.71</t>
        </is>
      </c>
      <c r="J2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 s="464">
        <f>J25/#REF!</f>
        <v/>
      </c>
      <c r="L25" s="704" t="n">
        <v>5</v>
      </c>
      <c r="M25" s="616" t="n">
        <v>9</v>
      </c>
      <c r="N25" s="652">
        <f t="array" ref="N25">1000*(INDEX('Bakat Base Times'!$E:$E,MATCH(1,('Bakat Base Times'!$A:$A=B25)*('Bakat Base Times'!$B:$B=C25)*('Bakat Base Times'!$C:$C=D25),0))/(VALUE(O25)))^3
</f>
        <v/>
      </c>
      <c r="O25" s="609">
        <f>IFERROR(__xludf.DUMMYFUNCTION("IF(ISNUMBER(I25), I25, IF(REGEXMATCH(I25, "":""), SUMPRODUCT(VALUE(SPLIT(I25, "":"")) * (60^(COUNTIF(SPLIT(I25, "":""), ""&lt;&gt;"")-COLUMN(OFFSET('MOT Tables 25'!$A$1,,,1,COUNTIF(SPLIT(I25, "":""),""&lt;&gt;"")))))), VALUE(I25)))"),52.71)</f>
        <v/>
      </c>
      <c r="P25" s="583" t="n"/>
      <c r="Q25" s="583" t="inlineStr">
        <is>
          <t>JODIE YIP JI SHIN</t>
        </is>
      </c>
      <c r="R25" s="584" t="inlineStr">
        <is>
          <t>F</t>
        </is>
      </c>
      <c r="S25" s="584" t="n">
        <v>3</v>
      </c>
      <c r="T25" s="584" t="inlineStr">
        <is>
          <t>B1</t>
        </is>
      </c>
      <c r="U25" s="584" t="inlineStr">
        <is>
          <t>MLK</t>
        </is>
      </c>
      <c r="V25" s="585" t="n">
        <v>40931</v>
      </c>
      <c r="W25" s="689" t="n"/>
      <c r="X25" s="689" t="n"/>
      <c r="Y25" s="618" t="inlineStr">
        <is>
          <t>M</t>
        </is>
      </c>
      <c r="Z25" s="619" t="inlineStr">
        <is>
          <t>100 Free</t>
        </is>
      </c>
      <c r="AA25" s="612" t="n">
        <v>17</v>
      </c>
      <c r="AB25" s="613" t="inlineStr">
        <is>
          <t>MUHAMMAD DHUHA BIN ZULFIKRY</t>
        </is>
      </c>
      <c r="AC25" s="614" t="inlineStr">
        <is>
          <t>52.71</t>
        </is>
      </c>
      <c r="AD25" s="628">
        <f>IFERROR(__xludf.DUMMYFUNCTION("IF(ISNUMBER(AC25), AC25, IF(REGEXMATCH(AC25, "":""), SUMPRODUCT(VALUE(SPLIT(AC25, "":"")) * (60^(COUNTIF(SPLIT(AC25, "":""), ""&lt;&gt;"")-COLUMN(OFFSET('MOT Tables 25'!$A$1,,,1,COUNTIF(SPLIT(AC25, "":""),""&lt;&gt;"")))))), VALUE(AC25)))"),52.71)</f>
        <v/>
      </c>
      <c r="AE25" s="616" t="n">
        <v>9</v>
      </c>
      <c r="AF25" s="617">
        <f t="array" ref="AF25">1000*(INDEX('Bakat Base Times'!$E:$E,MATCH(1,('Bakat Base Times'!$A:$A=Y25)*('Bakat Base Times'!$B:$B=Z25)*('Bakat Base Times'!$C:$C=AA25),0))/(VALUE(AD25)))^3
</f>
        <v/>
      </c>
      <c r="AG25" s="693" t="n"/>
      <c r="AH25" s="618" t="inlineStr">
        <is>
          <t>F</t>
        </is>
      </c>
      <c r="AI25" s="619" t="inlineStr">
        <is>
          <t>400 Free</t>
        </is>
      </c>
      <c r="AJ25" s="619" t="n">
        <v>15</v>
      </c>
      <c r="AK25" s="613" t="inlineStr">
        <is>
          <t>CHEREEN NGO YIRUI</t>
        </is>
      </c>
      <c r="AL25" s="614" t="inlineStr">
        <is>
          <t>4:37.04</t>
        </is>
      </c>
      <c r="AM25" s="505">
        <f>IFERROR(__xludf.DUMMYFUNCTION("IF(ISNUMBER(AL25), AL25, IF(REGEXMATCH(AL25, "":""), SUMPRODUCT(VALUE(SPLIT(AL25, "":"")) * (60^(COUNTIF(SPLIT(AL25, "":""), ""&lt;&gt;"")-COLUMN(OFFSET('MOT Tables 25'!$A$1,,,1,COUNTIF(SPLIT(AL25, "":""),""&lt;&gt;"")))))), VALUE(AL25)))"),277.04)</f>
        <v/>
      </c>
      <c r="AN25" s="613" t="n">
        <v>6</v>
      </c>
      <c r="AO25" s="672">
        <f t="array" ref="AO25">1000*(INDEX('Bakat Base Times'!$E:$E,MATCH(1,('Bakat Base Times'!$A:$A=AH25)*('Bakat Base Times'!$B:$B=AI25)*('Bakat Base Times'!$C:$C=AJ25),0))/(VALUE(AM25)))^3
</f>
        <v/>
      </c>
      <c r="AP25" s="621" t="n"/>
      <c r="AQ25" s="693" t="n"/>
      <c r="AR25" s="625" t="inlineStr">
        <is>
          <t>KHOR YUE LYNN</t>
        </is>
      </c>
      <c r="AS25" s="693">
        <f>SUMIF(AK:AK,AR25,AO:AO)</f>
        <v/>
      </c>
      <c r="AT25" s="626">
        <f>AVERAGEIF(AK:AK,AR25,AO:AO)</f>
        <v/>
      </c>
      <c r="AV25" s="625" t="inlineStr">
        <is>
          <t>NGUI JING</t>
        </is>
      </c>
      <c r="AW25" s="693">
        <f>SUMIF(AK:AK,AV25,AO:AO)</f>
        <v/>
      </c>
      <c r="AX25" s="626">
        <f>AVERAGEIF(AK:AK,AV25,AO:AO)</f>
        <v/>
      </c>
      <c r="AY25" s="693" t="n"/>
      <c r="AZ25" s="693" t="n"/>
    </row>
    <row r="26">
      <c r="A26" s="654" t="n"/>
      <c r="B26" s="710" t="inlineStr">
        <is>
          <t>F</t>
        </is>
      </c>
      <c r="C26" s="709" t="inlineStr">
        <is>
          <t>100 Breast</t>
        </is>
      </c>
      <c r="D26" s="710" t="n">
        <v>14</v>
      </c>
      <c r="E26" s="590" t="inlineStr">
        <is>
          <t>AW YUET TING</t>
        </is>
      </c>
      <c r="F26" s="707" t="inlineStr">
        <is>
          <t>1:13.34</t>
        </is>
      </c>
      <c r="G2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 s="460">
        <f>G26/#REF!</f>
        <v/>
      </c>
      <c r="I26" s="591" t="inlineStr">
        <is>
          <t>1:15.16</t>
        </is>
      </c>
      <c r="J2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 s="460">
        <f>J26/#REF!</f>
        <v/>
      </c>
      <c r="L26" s="709" t="n">
        <v>1</v>
      </c>
      <c r="M26" s="593" t="n">
        <v>3</v>
      </c>
      <c r="N26" s="655">
        <f t="array" ref="N26">1000*(INDEX('Bakat Base Times'!$E:$E,MATCH(1,('Bakat Base Times'!$A:$A=B26)*('Bakat Base Times'!$B:$B=C26)*('Bakat Base Times'!$C:$C=D26),0))/(VALUE(O26)))^3
</f>
        <v/>
      </c>
      <c r="O26" s="582">
        <f>IFERROR(__xludf.DUMMYFUNCTION("IF(ISNUMBER(I26), I26, IF(REGEXMATCH(I26, "":""), SUMPRODUCT(VALUE(SPLIT(I26, "":"")) * (60^(COUNTIF(SPLIT(I26, "":""), ""&lt;&gt;"")-COLUMN(OFFSET('MOT Tables 25'!$A$1,,,1,COUNTIF(SPLIT(I26, "":""),""&lt;&gt;"")))))), VALUE(I26)))"),75.16)</f>
        <v/>
      </c>
      <c r="P26" s="583" t="n"/>
      <c r="Q26" s="583" t="inlineStr">
        <is>
          <t>LEE XUE WEN</t>
        </is>
      </c>
      <c r="R26" s="584" t="inlineStr">
        <is>
          <t>F</t>
        </is>
      </c>
      <c r="S26" s="584" t="n">
        <v>3</v>
      </c>
      <c r="T26" s="584" t="inlineStr">
        <is>
          <t>B1</t>
        </is>
      </c>
      <c r="U26" s="584" t="inlineStr">
        <is>
          <t>SBH</t>
        </is>
      </c>
      <c r="V26" s="585" t="n">
        <v>40927</v>
      </c>
      <c r="W26" s="689" t="n"/>
      <c r="X26" s="689" t="n"/>
      <c r="Y26" s="596" t="inlineStr">
        <is>
          <t>F</t>
        </is>
      </c>
      <c r="Z26" s="597" t="inlineStr">
        <is>
          <t>100 Breast</t>
        </is>
      </c>
      <c r="AA26" s="589" t="n">
        <v>14</v>
      </c>
      <c r="AB26" s="590" t="inlineStr">
        <is>
          <t>AW YUET TING</t>
        </is>
      </c>
      <c r="AC26" s="591" t="inlineStr">
        <is>
          <t>1:15.16</t>
        </is>
      </c>
      <c r="AD26" s="592">
        <f>IFERROR(__xludf.DUMMYFUNCTION("IF(ISNUMBER(AC26), AC26, IF(REGEXMATCH(AC26, "":""), SUMPRODUCT(VALUE(SPLIT(AC26, "":"")) * (60^(COUNTIF(SPLIT(AC26, "":""), ""&lt;&gt;"")-COLUMN(OFFSET('MOT Tables 25'!$A$1,,,1,COUNTIF(SPLIT(AC26, "":""),""&lt;&gt;"")))))), VALUE(AC26)))"),75.16)</f>
        <v/>
      </c>
      <c r="AE26" s="593" t="n">
        <v>3</v>
      </c>
      <c r="AF26" s="594">
        <f t="array" ref="AF26">1000*(INDEX('Bakat Base Times'!$E:$E,MATCH(1,('Bakat Base Times'!$A:$A=Y26)*('Bakat Base Times'!$B:$B=Z26)*('Bakat Base Times'!$C:$C=AA26),0))/(VALUE(AD26)))^3
</f>
        <v/>
      </c>
      <c r="AG26" s="693" t="n"/>
      <c r="AH26" s="596" t="inlineStr">
        <is>
          <t>F</t>
        </is>
      </c>
      <c r="AI26" s="597" t="inlineStr">
        <is>
          <t>800 Free</t>
        </is>
      </c>
      <c r="AJ26" s="597" t="n">
        <v>15</v>
      </c>
      <c r="AK26" s="590" t="inlineStr">
        <is>
          <t>CHEREEN NGO YIRUI</t>
        </is>
      </c>
      <c r="AL26" s="591" t="inlineStr">
        <is>
          <t>9:30.10</t>
        </is>
      </c>
      <c r="AM26" s="517">
        <f>IFERROR(__xludf.DUMMYFUNCTION("IF(ISNUMBER(AL26), AL26, IF(REGEXMATCH(AL26, "":""), SUMPRODUCT(VALUE(SPLIT(AL26, "":"")) * (60^(COUNTIF(SPLIT(AL26, "":""), ""&lt;&gt;"")-COLUMN(OFFSET('MOT Tables 25'!$A$1,,,1,COUNTIF(SPLIT(AL26, "":""),""&lt;&gt;"")))))), VALUE(AL26)))"),570.1)</f>
        <v/>
      </c>
      <c r="AN26" s="590" t="n">
        <v>6</v>
      </c>
      <c r="AO26" s="599">
        <f t="array" ref="AO26">1000*(INDEX('Bakat Base Times'!$E:$E,MATCH(1,('Bakat Base Times'!$A:$A=AH26)*('Bakat Base Times'!$B:$B=AI26)*('Bakat Base Times'!$C:$C=AJ26),0))/(VALUE(AM26)))^3
</f>
        <v/>
      </c>
      <c r="AP26" s="600" t="n"/>
      <c r="AQ26" s="693" t="n"/>
      <c r="AR26" s="625" t="inlineStr">
        <is>
          <t>KAELYN CHEE WEI YI</t>
        </is>
      </c>
      <c r="AS26" s="693">
        <f>SUMIF(AK:AK,AR26,AO:AO)</f>
        <v/>
      </c>
      <c r="AT26" s="626">
        <f>AVERAGEIF(AK:AK,AR26,AO:AO)</f>
        <v/>
      </c>
      <c r="AV26" s="625" t="inlineStr">
        <is>
          <t>SEOW CUI YING</t>
        </is>
      </c>
      <c r="AW26" s="693">
        <f>SUMIF(AK:AK,AV26,AO:AO)</f>
        <v/>
      </c>
      <c r="AX26" s="626">
        <f>AVERAGEIF(AK:AK,AV26,AO:AO)</f>
        <v/>
      </c>
      <c r="AY26" s="693" t="n"/>
      <c r="AZ26" s="693" t="n"/>
    </row>
    <row r="27">
      <c r="A27" s="651" t="n"/>
      <c r="B27" s="705" t="inlineStr">
        <is>
          <t>M</t>
        </is>
      </c>
      <c r="C27" s="704" t="inlineStr">
        <is>
          <t>100 Fly</t>
        </is>
      </c>
      <c r="D27" s="705" t="n">
        <v>15</v>
      </c>
      <c r="E27" s="613" t="inlineStr">
        <is>
          <t>JOSHUA LIM JI SHEN</t>
        </is>
      </c>
      <c r="F27" s="701" t="inlineStr">
        <is>
          <t>58.15</t>
        </is>
      </c>
      <c r="G2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 s="464">
        <f>G27/#REF!</f>
        <v/>
      </c>
      <c r="I27" s="614" t="inlineStr">
        <is>
          <t>58.27</t>
        </is>
      </c>
      <c r="J2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 s="464">
        <f>J27/#REF!</f>
        <v/>
      </c>
      <c r="L27" s="704" t="n">
        <v>3</v>
      </c>
      <c r="M27" s="616" t="n">
        <v>3</v>
      </c>
      <c r="N27" s="652">
        <f t="array" ref="N27">1000*(INDEX('Bakat Base Times'!$E:$E,MATCH(1,('Bakat Base Times'!$A:$A=B27)*('Bakat Base Times'!$B:$B=C27)*('Bakat Base Times'!$C:$C=D27),0))/(VALUE(O27)))^3
</f>
        <v/>
      </c>
      <c r="O27" s="609">
        <f>IFERROR(__xludf.DUMMYFUNCTION("IF(ISNUMBER(I27), I27, IF(REGEXMATCH(I27, "":""), SUMPRODUCT(VALUE(SPLIT(I27, "":"")) * (60^(COUNTIF(SPLIT(I27, "":""), ""&lt;&gt;"")-COLUMN(OFFSET('MOT Tables 25'!$A$1,,,1,COUNTIF(SPLIT(I27, "":""),""&lt;&gt;"")))))), VALUE(I27)))"),58.27)</f>
        <v/>
      </c>
      <c r="P27" s="583" t="n"/>
      <c r="Q27" s="583" t="inlineStr">
        <is>
          <t>KAYLER NGAN KANG YI</t>
        </is>
      </c>
      <c r="R27" s="584" t="inlineStr">
        <is>
          <t>F</t>
        </is>
      </c>
      <c r="S27" s="584" t="n">
        <v>3</v>
      </c>
      <c r="T27" s="584" t="inlineStr">
        <is>
          <t>B1</t>
        </is>
      </c>
      <c r="U27" s="584" t="inlineStr">
        <is>
          <t>SGR</t>
        </is>
      </c>
      <c r="V27" s="585" t="n">
        <v>40969</v>
      </c>
      <c r="W27" s="689" t="n"/>
      <c r="X27" s="689" t="n"/>
      <c r="Y27" s="618" t="inlineStr">
        <is>
          <t>M</t>
        </is>
      </c>
      <c r="Z27" s="619" t="inlineStr">
        <is>
          <t>100 Fly</t>
        </is>
      </c>
      <c r="AA27" s="612" t="n">
        <v>15</v>
      </c>
      <c r="AB27" s="613" t="inlineStr">
        <is>
          <t>JOSHUA LIM JI SHEN</t>
        </is>
      </c>
      <c r="AC27" s="614" t="inlineStr">
        <is>
          <t>58.27</t>
        </is>
      </c>
      <c r="AD27" s="628">
        <f>IFERROR(__xludf.DUMMYFUNCTION("IF(ISNUMBER(AC27), AC27, IF(REGEXMATCH(AC27, "":""), SUMPRODUCT(VALUE(SPLIT(AC27, "":"")) * (60^(COUNTIF(SPLIT(AC27, "":""), ""&lt;&gt;"")-COLUMN(OFFSET('MOT Tables 25'!$A$1,,,1,COUNTIF(SPLIT(AC27, "":""),""&lt;&gt;"")))))), VALUE(AC27)))"),58.27)</f>
        <v/>
      </c>
      <c r="AE27" s="616" t="n">
        <v>3</v>
      </c>
      <c r="AF27" s="617">
        <f t="array" ref="AF27">1000*(INDEX('Bakat Base Times'!$E:$E,MATCH(1,('Bakat Base Times'!$A:$A=Y27)*('Bakat Base Times'!$B:$B=Z27)*('Bakat Base Times'!$C:$C=AA27),0))/(VALUE(AD27)))^3
</f>
        <v/>
      </c>
      <c r="AG27" s="693" t="n"/>
      <c r="AH27" s="618" t="inlineStr">
        <is>
          <t>F</t>
        </is>
      </c>
      <c r="AI27" s="619" t="inlineStr">
        <is>
          <t>200 IM</t>
        </is>
      </c>
      <c r="AJ27" s="619" t="n">
        <v>15</v>
      </c>
      <c r="AK27" s="613" t="inlineStr">
        <is>
          <t>CHEREEN NGO YIRUI</t>
        </is>
      </c>
      <c r="AL27" s="665" t="inlineStr">
        <is>
          <t>2:29.60</t>
        </is>
      </c>
      <c r="AM27" s="505">
        <f>IFERROR(__xludf.DUMMYFUNCTION("IF(ISNUMBER(AL27), AL27, IF(REGEXMATCH(AL27, "":""), SUMPRODUCT(VALUE(SPLIT(AL27, "":"")) * (60^(COUNTIF(SPLIT(AL27, "":""), ""&lt;&gt;"")-COLUMN(OFFSET('MOT Tables 25'!$A$1,,,1,COUNTIF(SPLIT(AL27, "":""),""&lt;&gt;"")))))), VALUE(AL27)))"),149.6)</f>
        <v/>
      </c>
      <c r="AN27" s="613" t="n">
        <v>10</v>
      </c>
      <c r="AO27" s="672">
        <f t="array" ref="AO27">1000*(INDEX('Bakat Base Times'!$E:$E,MATCH(1,('Bakat Base Times'!$A:$A=AH27)*('Bakat Base Times'!$B:$B=AI27)*('Bakat Base Times'!$C:$C=AJ27),0))/(VALUE(AM27)))^3
</f>
        <v/>
      </c>
      <c r="AP27" s="621" t="n"/>
      <c r="AQ27" s="693" t="n"/>
      <c r="AR27" s="625" t="inlineStr">
        <is>
          <t>LEE E-AN</t>
        </is>
      </c>
      <c r="AS27" s="693">
        <f>SUMIF(AK:AK,AR27,AO:AO)</f>
        <v/>
      </c>
      <c r="AT27" s="626">
        <f>AVERAGEIF(AK:AK,AR27,AO:AO)</f>
        <v/>
      </c>
      <c r="AV27" s="625" t="inlineStr">
        <is>
          <t>HERMANN TANG BOK YU</t>
        </is>
      </c>
      <c r="AW27" s="693">
        <f>SUMIF(AK:AK,AV27,AO:AO)</f>
        <v/>
      </c>
      <c r="AX27" s="626">
        <f>AVERAGEIF(AK:AK,AV27,AO:AO)</f>
        <v/>
      </c>
      <c r="AY27" s="693" t="n"/>
      <c r="AZ27" s="693" t="n"/>
    </row>
    <row r="28">
      <c r="A28" s="654" t="n"/>
      <c r="B28" s="710" t="inlineStr">
        <is>
          <t>M</t>
        </is>
      </c>
      <c r="C28" s="709" t="inlineStr">
        <is>
          <t>200 Back</t>
        </is>
      </c>
      <c r="D28" s="710" t="n">
        <v>12</v>
      </c>
      <c r="E28" s="590" t="inlineStr">
        <is>
          <t>AYAZ ZAHIN BIN AZHAR</t>
        </is>
      </c>
      <c r="F28" s="707" t="inlineStr">
        <is>
          <t>2:34.37</t>
        </is>
      </c>
      <c r="G2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 s="460">
        <f>G28/#REF!</f>
        <v/>
      </c>
      <c r="I28" s="591" t="inlineStr">
        <is>
          <t>2:27.46</t>
        </is>
      </c>
      <c r="J2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 s="460">
        <f>J28/#REF!</f>
        <v/>
      </c>
      <c r="L28" s="709" t="n">
        <v>14</v>
      </c>
      <c r="M28" s="593" t="n">
        <v>10</v>
      </c>
      <c r="N28" s="655">
        <f t="array" ref="N28">1000*(INDEX('Bakat Base Times'!$E:$E,MATCH(1,('Bakat Base Times'!$A:$A=B28)*('Bakat Base Times'!$B:$B=C28)*('Bakat Base Times'!$C:$C=D28),0))/(VALUE(O28)))^3
</f>
        <v/>
      </c>
      <c r="O28" s="582">
        <f>IFERROR(__xludf.DUMMYFUNCTION("IF(ISNUMBER(I28), I28, IF(REGEXMATCH(I28, "":""), SUMPRODUCT(VALUE(SPLIT(I28, "":"")) * (60^(COUNTIF(SPLIT(I28, "":""), ""&lt;&gt;"")-COLUMN(OFFSET('MOT Tables 25'!$A$1,,,1,COUNTIF(SPLIT(I28, "":""),""&lt;&gt;"")))))), VALUE(I28)))"),147.46)</f>
        <v/>
      </c>
      <c r="P28" s="583" t="n"/>
      <c r="Q28" s="583" t="inlineStr">
        <is>
          <t>NG XI EN</t>
        </is>
      </c>
      <c r="R28" s="584" t="inlineStr">
        <is>
          <t>F</t>
        </is>
      </c>
      <c r="S28" s="584" t="n">
        <v>3</v>
      </c>
      <c r="T28" s="584" t="inlineStr">
        <is>
          <t>C</t>
        </is>
      </c>
      <c r="U28" s="584" t="inlineStr">
        <is>
          <t>JHR</t>
        </is>
      </c>
      <c r="V28" s="585" t="n">
        <v>41663</v>
      </c>
      <c r="W28" s="689" t="n"/>
      <c r="X28" s="689" t="n"/>
      <c r="Y28" s="596" t="inlineStr">
        <is>
          <t>M</t>
        </is>
      </c>
      <c r="Z28" s="597" t="inlineStr">
        <is>
          <t>200 Back</t>
        </is>
      </c>
      <c r="AA28" s="589" t="n">
        <v>12</v>
      </c>
      <c r="AB28" s="590" t="inlineStr">
        <is>
          <t>AYAZ ZAHIN BIN AZHAR</t>
        </is>
      </c>
      <c r="AC28" s="591" t="inlineStr">
        <is>
          <t>2:27.46</t>
        </is>
      </c>
      <c r="AD28" s="592">
        <f>IFERROR(__xludf.DUMMYFUNCTION("IF(ISNUMBER(AC28), AC28, IF(REGEXMATCH(AC28, "":""), SUMPRODUCT(VALUE(SPLIT(AC28, "":"")) * (60^(COUNTIF(SPLIT(AC28, "":""), ""&lt;&gt;"")-COLUMN(OFFSET('MOT Tables 25'!$A$1,,,1,COUNTIF(SPLIT(AC28, "":""),""&lt;&gt;"")))))), VALUE(AC28)))"),147.46)</f>
        <v/>
      </c>
      <c r="AE28" s="593" t="n">
        <v>10</v>
      </c>
      <c r="AF28" s="594">
        <f t="array" ref="AF28">1000*(INDEX('Bakat Base Times'!$E:$E,MATCH(1,('Bakat Base Times'!$A:$A=Y28)*('Bakat Base Times'!$B:$B=Z28)*('Bakat Base Times'!$C:$C=AA28),0))/(VALUE(AD28)))^3
</f>
        <v/>
      </c>
      <c r="AG28" s="693" t="n"/>
      <c r="AH28" s="596" t="inlineStr">
        <is>
          <t>F</t>
        </is>
      </c>
      <c r="AI28" s="597" t="inlineStr">
        <is>
          <t>400 IM</t>
        </is>
      </c>
      <c r="AJ28" s="597" t="n">
        <v>15</v>
      </c>
      <c r="AK28" s="590" t="inlineStr">
        <is>
          <t>CHEREEN NGO YIRUI</t>
        </is>
      </c>
      <c r="AL28" s="661" t="inlineStr">
        <is>
          <t>5:15.99</t>
        </is>
      </c>
      <c r="AM28" s="517">
        <f>IFERROR(__xludf.DUMMYFUNCTION("IF(ISNUMBER(AL28), AL28, IF(REGEXMATCH(AL28, "":""), SUMPRODUCT(VALUE(SPLIT(AL28, "":"")) * (60^(COUNTIF(SPLIT(AL28, "":""), ""&lt;&gt;"")-COLUMN(OFFSET('MOT Tables 25'!$A$1,,,1,COUNTIF(SPLIT(AL28, "":""),""&lt;&gt;"")))))), VALUE(AL28)))"),315.99)</f>
        <v/>
      </c>
      <c r="AN28" s="590" t="n">
        <v>7</v>
      </c>
      <c r="AO28" s="599">
        <f t="array" ref="AO28">1000*(INDEX('Bakat Base Times'!$E:$E,MATCH(1,('Bakat Base Times'!$A:$A=AH28)*('Bakat Base Times'!$B:$B=AI28)*('Bakat Base Times'!$C:$C=AJ28),0))/(VALUE(AM28)))^3
</f>
        <v/>
      </c>
      <c r="AP28" s="600" t="n"/>
      <c r="AQ28" s="693" t="n"/>
      <c r="AR28" s="625" t="inlineStr">
        <is>
          <t>SOPHOCLES NG XINXIAN</t>
        </is>
      </c>
      <c r="AS28" s="693">
        <f>SUMIF(AK:AK,AR28,AO:AO)</f>
        <v/>
      </c>
      <c r="AT28" s="626">
        <f>AVERAGEIF(AK:AK,AR28,AO:AO)</f>
        <v/>
      </c>
      <c r="AV28" s="625" t="inlineStr">
        <is>
          <t>LEE E-AN</t>
        </is>
      </c>
      <c r="AW28" s="693">
        <f>SUMIF(AK:AK,AV28,AO:AO)</f>
        <v/>
      </c>
      <c r="AX28" s="626">
        <f>AVERAGEIF(AK:AK,AV28,AO:AO)</f>
        <v/>
      </c>
      <c r="AY28" s="693" t="n"/>
      <c r="AZ28" s="693" t="n"/>
    </row>
    <row r="29">
      <c r="A29" s="651" t="n"/>
      <c r="B29" s="705" t="inlineStr">
        <is>
          <t>M</t>
        </is>
      </c>
      <c r="C29" s="704" t="inlineStr">
        <is>
          <t>100 Breast</t>
        </is>
      </c>
      <c r="D29" s="705" t="n">
        <v>17</v>
      </c>
      <c r="E29" s="613" t="inlineStr">
        <is>
          <t>WAN KHAI HERN</t>
        </is>
      </c>
      <c r="F29" s="701" t="inlineStr">
        <is>
          <t>1:06.66</t>
        </is>
      </c>
      <c r="G2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 s="464">
        <f>G29/#REF!</f>
        <v/>
      </c>
      <c r="I29" s="614" t="inlineStr">
        <is>
          <t>1:05.89</t>
        </is>
      </c>
      <c r="J2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 s="464">
        <f>J29/#REF!</f>
        <v/>
      </c>
      <c r="L29" s="704" t="n">
        <v>13</v>
      </c>
      <c r="M29" s="616" t="n">
        <v>8</v>
      </c>
      <c r="N29" s="652">
        <f t="array" ref="N29">1000*(INDEX('Bakat Base Times'!$E:$E,MATCH(1,('Bakat Base Times'!$A:$A=B29)*('Bakat Base Times'!$B:$B=C29)*('Bakat Base Times'!$C:$C=D29),0))/(VALUE(O29)))^3
</f>
        <v/>
      </c>
      <c r="O29" s="609">
        <f>IFERROR(__xludf.DUMMYFUNCTION("IF(ISNUMBER(I29), I29, IF(REGEXMATCH(I29, "":""), SUMPRODUCT(VALUE(SPLIT(I29, "":"")) * (60^(COUNTIF(SPLIT(I29, "":""), ""&lt;&gt;"")-COLUMN(OFFSET('MOT Tables 25'!$A$1,,,1,COUNTIF(SPLIT(I29, "":""),""&lt;&gt;"")))))), VALUE(I29)))"),65.89)</f>
        <v/>
      </c>
      <c r="P29" s="583" t="n"/>
      <c r="Q29" s="583" t="inlineStr">
        <is>
          <t>LAI WEN AN</t>
        </is>
      </c>
      <c r="R29" s="584" t="inlineStr">
        <is>
          <t>F</t>
        </is>
      </c>
      <c r="S29" s="584" t="n">
        <v>3</v>
      </c>
      <c r="T29" s="584" t="inlineStr">
        <is>
          <t>C</t>
        </is>
      </c>
      <c r="U29" s="584" t="inlineStr">
        <is>
          <t>MLK</t>
        </is>
      </c>
      <c r="V29" s="585" t="n">
        <v>41755</v>
      </c>
      <c r="W29" s="689" t="n"/>
      <c r="X29" s="689" t="n"/>
      <c r="Y29" s="618" t="inlineStr">
        <is>
          <t>M</t>
        </is>
      </c>
      <c r="Z29" s="619" t="inlineStr">
        <is>
          <t>100 Breast</t>
        </is>
      </c>
      <c r="AA29" s="612" t="n">
        <v>17</v>
      </c>
      <c r="AB29" s="613" t="inlineStr">
        <is>
          <t>WAN KHAI HERN</t>
        </is>
      </c>
      <c r="AC29" s="614" t="inlineStr">
        <is>
          <t>1:05.89</t>
        </is>
      </c>
      <c r="AD29" s="628">
        <f>IFERROR(__xludf.DUMMYFUNCTION("IF(ISNUMBER(AC29), AC29, IF(REGEXMATCH(AC29, "":""), SUMPRODUCT(VALUE(SPLIT(AC29, "":"")) * (60^(COUNTIF(SPLIT(AC29, "":""), ""&lt;&gt;"")-COLUMN(OFFSET('MOT Tables 25'!$A$1,,,1,COUNTIF(SPLIT(AC29, "":""),""&lt;&gt;"")))))), VALUE(AC29)))"),65.89)</f>
        <v/>
      </c>
      <c r="AE29" s="616" t="n">
        <v>8</v>
      </c>
      <c r="AF29" s="617">
        <f t="array" ref="AF29">1000*(INDEX('Bakat Base Times'!$E:$E,MATCH(1,('Bakat Base Times'!$A:$A=Y29)*('Bakat Base Times'!$B:$B=Z29)*('Bakat Base Times'!$C:$C=AA29),0))/(VALUE(AD29)))^3
</f>
        <v/>
      </c>
      <c r="AG29" s="693" t="n"/>
      <c r="AH29" s="618" t="inlineStr">
        <is>
          <t>F</t>
        </is>
      </c>
      <c r="AI29" s="619" t="inlineStr">
        <is>
          <t>200 Free</t>
        </is>
      </c>
      <c r="AJ29" s="619" t="n">
        <v>15</v>
      </c>
      <c r="AK29" s="613" t="inlineStr">
        <is>
          <t>CHEREEN NGO YIRUI</t>
        </is>
      </c>
      <c r="AL29" s="614" t="inlineStr">
        <is>
          <t>2:14.31</t>
        </is>
      </c>
      <c r="AM29" s="505">
        <f>IFERROR(__xludf.DUMMYFUNCTION("IF(ISNUMBER(AL29), AL29, IF(REGEXMATCH(AL29, "":""), SUMPRODUCT(VALUE(SPLIT(AL29, "":"")) * (60^(COUNTIF(SPLIT(AL29, "":""), ""&lt;&gt;"")-COLUMN(OFFSET('MOT Tables 25'!$A$1,,,1,COUNTIF(SPLIT(AL29, "":""),""&lt;&gt;"")))))), VALUE(AL29)))"),134.31)</f>
        <v/>
      </c>
      <c r="AN29" s="613" t="n">
        <v>13</v>
      </c>
      <c r="AO29" s="672">
        <f t="array" ref="AO29">1000*(INDEX('Bakat Base Times'!$E:$E,MATCH(1,('Bakat Base Times'!$A:$A=AH29)*('Bakat Base Times'!$B:$B=AI29)*('Bakat Base Times'!$C:$C=AJ29),0))/(VALUE(AM29)))^3
</f>
        <v/>
      </c>
      <c r="AP29" s="621" t="n"/>
      <c r="AQ29" s="693" t="n"/>
      <c r="AR29" s="625" t="inlineStr">
        <is>
          <t>ADAM MALIK BIN AZIZUR RIZA</t>
        </is>
      </c>
      <c r="AS29" s="693">
        <f>SUMIF(AK:AK,AR29,AO:AO)</f>
        <v/>
      </c>
      <c r="AT29" s="626">
        <f>AVERAGEIF(AK:AK,AR29,AO:AO)</f>
        <v/>
      </c>
      <c r="AV29" s="625" t="inlineStr">
        <is>
          <t>YAP ZHEN KOK</t>
        </is>
      </c>
      <c r="AW29" s="693">
        <f>SUMIF(AK:AK,AV29,AO:AO)</f>
        <v/>
      </c>
      <c r="AX29" s="626">
        <f>AVERAGEIF(AK:AK,AV29,AO:AO)</f>
        <v/>
      </c>
      <c r="AY29" s="693" t="n"/>
      <c r="AZ29" s="693" t="n"/>
    </row>
    <row r="30">
      <c r="A30" s="654" t="n"/>
      <c r="B30" s="710" t="inlineStr">
        <is>
          <t>M</t>
        </is>
      </c>
      <c r="C30" s="709" t="inlineStr">
        <is>
          <t>100 Back</t>
        </is>
      </c>
      <c r="D30" s="710" t="n">
        <v>14</v>
      </c>
      <c r="E30" s="590" t="inlineStr">
        <is>
          <t>NATHANIEL SHU JIA JUN</t>
        </is>
      </c>
      <c r="F30" s="707" t="inlineStr">
        <is>
          <t>1:02.76</t>
        </is>
      </c>
      <c r="G3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 s="460">
        <f>G30/#REF!</f>
        <v/>
      </c>
      <c r="I30" s="591" t="inlineStr">
        <is>
          <t>1:02.09</t>
        </is>
      </c>
      <c r="J3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 s="460">
        <f>J30/#REF!</f>
        <v/>
      </c>
      <c r="L30" s="709" t="n">
        <v>7</v>
      </c>
      <c r="M30" s="593" t="n">
        <v>5</v>
      </c>
      <c r="N30" s="655">
        <f t="array" ref="N30">1000*(INDEX('Bakat Base Times'!$E:$E,MATCH(1,('Bakat Base Times'!$A:$A=B30)*('Bakat Base Times'!$B:$B=C30)*('Bakat Base Times'!$C:$C=D30),0))/(VALUE(O30)))^3
</f>
        <v/>
      </c>
      <c r="O30" s="582">
        <f>IFERROR(__xludf.DUMMYFUNCTION("IF(ISNUMBER(I30), I30, IF(REGEXMATCH(I30, "":""), SUMPRODUCT(VALUE(SPLIT(I30, "":"")) * (60^(COUNTIF(SPLIT(I30, "":""), ""&lt;&gt;"")-COLUMN(OFFSET('MOT Tables 25'!$A$1,,,1,COUNTIF(SPLIT(I30, "":""),""&lt;&gt;"")))))), VALUE(I30)))"),62.09)</f>
        <v/>
      </c>
      <c r="P30" s="583" t="n"/>
      <c r="Q30" s="583" t="inlineStr">
        <is>
          <t>NATALIE LIM RONG LI</t>
        </is>
      </c>
      <c r="R30" s="584" t="inlineStr">
        <is>
          <t>F</t>
        </is>
      </c>
      <c r="S30" s="584" t="n">
        <v>3</v>
      </c>
      <c r="T30" s="584" t="inlineStr">
        <is>
          <t>C</t>
        </is>
      </c>
      <c r="U30" s="584" t="inlineStr">
        <is>
          <t>MLK</t>
        </is>
      </c>
      <c r="V30" s="585" t="n">
        <v>41166</v>
      </c>
      <c r="W30" s="689" t="n"/>
      <c r="X30" s="689" t="n"/>
      <c r="Y30" s="596" t="inlineStr">
        <is>
          <t>M</t>
        </is>
      </c>
      <c r="Z30" s="597" t="inlineStr">
        <is>
          <t>100 Back</t>
        </is>
      </c>
      <c r="AA30" s="589" t="n">
        <v>14</v>
      </c>
      <c r="AB30" s="590" t="inlineStr">
        <is>
          <t>NATHANIEL SHU JIA JUN</t>
        </is>
      </c>
      <c r="AC30" s="591" t="inlineStr">
        <is>
          <t>1:02.09</t>
        </is>
      </c>
      <c r="AD30" s="592">
        <f>IFERROR(__xludf.DUMMYFUNCTION("IF(ISNUMBER(AC30), AC30, IF(REGEXMATCH(AC30, "":""), SUMPRODUCT(VALUE(SPLIT(AC30, "":"")) * (60^(COUNTIF(SPLIT(AC30, "":""), ""&lt;&gt;"")-COLUMN(OFFSET('MOT Tables 25'!$A$1,,,1,COUNTIF(SPLIT(AC30, "":""),""&lt;&gt;"")))))), VALUE(AC30)))"),62.09)</f>
        <v/>
      </c>
      <c r="AE30" s="593" t="n">
        <v>5</v>
      </c>
      <c r="AF30" s="594">
        <f t="array" ref="AF30">1000*(INDEX('Bakat Base Times'!$E:$E,MATCH(1,('Bakat Base Times'!$A:$A=Y30)*('Bakat Base Times'!$B:$B=Z30)*('Bakat Base Times'!$C:$C=AA30),0))/(VALUE(AD30)))^3
</f>
        <v/>
      </c>
      <c r="AG30" s="693" t="n"/>
      <c r="AH30" s="596" t="inlineStr">
        <is>
          <t>F</t>
        </is>
      </c>
      <c r="AI30" s="597" t="inlineStr">
        <is>
          <t>200 Breast</t>
        </is>
      </c>
      <c r="AJ30" s="597" t="n">
        <v>15</v>
      </c>
      <c r="AK30" s="590" t="inlineStr">
        <is>
          <t>CHEREEN NGO YIRUI</t>
        </is>
      </c>
      <c r="AL30" s="591" t="inlineStr">
        <is>
          <t>2:50.71</t>
        </is>
      </c>
      <c r="AM30" s="517">
        <f>IFERROR(__xludf.DUMMYFUNCTION("IF(ISNUMBER(AL30), AL30, IF(REGEXMATCH(AL30, "":""), SUMPRODUCT(VALUE(SPLIT(AL30, "":"")) * (60^(COUNTIF(SPLIT(AL30, "":""), ""&lt;&gt;"")-COLUMN(OFFSET('MOT Tables 25'!$A$1,,,1,COUNTIF(SPLIT(AL30, "":""),""&lt;&gt;"")))))), VALUE(AL30)))"),170.71)</f>
        <v/>
      </c>
      <c r="AN30" s="590" t="n">
        <v>7</v>
      </c>
      <c r="AO30" s="599">
        <f t="array" ref="AO30">1000*(INDEX('Bakat Base Times'!$E:$E,MATCH(1,('Bakat Base Times'!$A:$A=AH30)*('Bakat Base Times'!$B:$B=AI30)*('Bakat Base Times'!$C:$C=AJ30),0))/(VALUE(AM30)))^3
</f>
        <v/>
      </c>
      <c r="AP30" s="600" t="n"/>
      <c r="AQ30" s="693" t="n"/>
      <c r="AR30" s="625" t="inlineStr">
        <is>
          <t>RYAN LIAW CHEE HENG</t>
        </is>
      </c>
      <c r="AS30" s="693">
        <f>SUMIF(AK:AK,AR30,AO:AO)</f>
        <v/>
      </c>
      <c r="AT30" s="626">
        <f>AVERAGEIF(AK:AK,AR30,AO:AO)</f>
        <v/>
      </c>
      <c r="AV30" s="625" t="inlineStr">
        <is>
          <t>CAYDEN TEO KAE-C</t>
        </is>
      </c>
      <c r="AW30" s="693">
        <f>SUMIF(AK:AK,AV30,AO:AO)</f>
        <v/>
      </c>
      <c r="AX30" s="626">
        <f>AVERAGEIF(AK:AK,AV30,AO:AO)</f>
        <v/>
      </c>
      <c r="AY30" s="693" t="n"/>
      <c r="AZ30" s="693" t="n"/>
    </row>
    <row r="31">
      <c r="A31" s="651" t="n"/>
      <c r="B31" s="705" t="inlineStr">
        <is>
          <t>M</t>
        </is>
      </c>
      <c r="C31" s="704" t="inlineStr">
        <is>
          <t>100 Back</t>
        </is>
      </c>
      <c r="D31" s="705" t="n">
        <v>13</v>
      </c>
      <c r="E31" s="613" t="inlineStr">
        <is>
          <t>SHEAMUS CHEW HENG YI</t>
        </is>
      </c>
      <c r="F31" s="701" t="inlineStr">
        <is>
          <t>1:04.46</t>
        </is>
      </c>
      <c r="G3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 s="464">
        <f>G31/#REF!</f>
        <v/>
      </c>
      <c r="I31" s="614" t="inlineStr">
        <is>
          <t>1:04.13</t>
        </is>
      </c>
      <c r="J3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 s="464">
        <f>J31/#REF!</f>
        <v/>
      </c>
      <c r="L31" s="704" t="n">
        <v>3</v>
      </c>
      <c r="M31" s="616" t="n">
        <v>3</v>
      </c>
      <c r="N31" s="652">
        <f t="array" ref="N31">1000*(INDEX('Bakat Base Times'!$E:$E,MATCH(1,('Bakat Base Times'!$A:$A=B31)*('Bakat Base Times'!$B:$B=C31)*('Bakat Base Times'!$C:$C=D31),0))/(VALUE(O31)))^3
</f>
        <v/>
      </c>
      <c r="O31" s="609">
        <f>IFERROR(__xludf.DUMMYFUNCTION("IF(ISNUMBER(I31), I31, IF(REGEXMATCH(I31, "":""), SUMPRODUCT(VALUE(SPLIT(I31, "":"")) * (60^(COUNTIF(SPLIT(I31, "":""), ""&lt;&gt;"")-COLUMN(OFFSET('MOT Tables 25'!$A$1,,,1,COUNTIF(SPLIT(I31, "":""),""&lt;&gt;"")))))), VALUE(I31)))"),64.13)</f>
        <v/>
      </c>
      <c r="P31" s="583" t="n"/>
      <c r="Q31" s="583" t="inlineStr">
        <is>
          <t>KOK YUN YI</t>
        </is>
      </c>
      <c r="R31" s="584" t="inlineStr">
        <is>
          <t>F</t>
        </is>
      </c>
      <c r="S31" s="584" t="n">
        <v>3</v>
      </c>
      <c r="T31" s="584" t="inlineStr">
        <is>
          <t>C</t>
        </is>
      </c>
      <c r="U31" s="584" t="inlineStr">
        <is>
          <t>NSE</t>
        </is>
      </c>
      <c r="V31" s="585" t="n">
        <v>41073</v>
      </c>
      <c r="W31" s="689" t="n"/>
      <c r="X31" s="689" t="n"/>
      <c r="Y31" s="618" t="inlineStr">
        <is>
          <t>M</t>
        </is>
      </c>
      <c r="Z31" s="619" t="inlineStr">
        <is>
          <t>100 Back</t>
        </is>
      </c>
      <c r="AA31" s="612" t="n">
        <v>13</v>
      </c>
      <c r="AB31" s="613" t="inlineStr">
        <is>
          <t>SHEAMUS CHEW HENG YI</t>
        </is>
      </c>
      <c r="AC31" s="614" t="inlineStr">
        <is>
          <t>1:04.13</t>
        </is>
      </c>
      <c r="AD31" s="628">
        <f>IFERROR(__xludf.DUMMYFUNCTION("IF(ISNUMBER(AC31), AC31, IF(REGEXMATCH(AC31, "":""), SUMPRODUCT(VALUE(SPLIT(AC31, "":"")) * (60^(COUNTIF(SPLIT(AC31, "":""), ""&lt;&gt;"")-COLUMN(OFFSET('MOT Tables 25'!$A$1,,,1,COUNTIF(SPLIT(AC31, "":""),""&lt;&gt;"")))))), VALUE(AC31)))"),64.13)</f>
        <v/>
      </c>
      <c r="AE31" s="616" t="n">
        <v>3</v>
      </c>
      <c r="AF31" s="617">
        <f t="array" ref="AF31">1000*(INDEX('Bakat Base Times'!$E:$E,MATCH(1,('Bakat Base Times'!$A:$A=Y31)*('Bakat Base Times'!$B:$B=Z31)*('Bakat Base Times'!$C:$C=AA31),0))/(VALUE(AD31)))^3
</f>
        <v/>
      </c>
      <c r="AG31" s="693" t="n"/>
      <c r="AH31" s="618" t="inlineStr">
        <is>
          <t>F</t>
        </is>
      </c>
      <c r="AI31" s="619" t="inlineStr">
        <is>
          <t>800 Free</t>
        </is>
      </c>
      <c r="AJ31" s="619" t="n">
        <v>16</v>
      </c>
      <c r="AK31" s="613" t="inlineStr">
        <is>
          <t>CHONG YUAN YI</t>
        </is>
      </c>
      <c r="AL31" s="614" t="inlineStr">
        <is>
          <t>9:57.66</t>
        </is>
      </c>
      <c r="AM31" s="505">
        <f>IFERROR(__xludf.DUMMYFUNCTION("IF(ISNUMBER(AL31), AL31, IF(REGEXMATCH(AL31, "":""), SUMPRODUCT(VALUE(SPLIT(AL31, "":"")) * (60^(COUNTIF(SPLIT(AL31, "":""), ""&lt;&gt;"")-COLUMN(OFFSET('MOT Tables 25'!$A$1,,,1,COUNTIF(SPLIT(AL31, "":""),""&lt;&gt;"")))))), VALUE(AL31)))"),597.66)</f>
        <v/>
      </c>
      <c r="AN31" s="613" t="n">
        <v>8</v>
      </c>
      <c r="AO31" s="672">
        <f t="array" ref="AO31">1000*(INDEX('Bakat Base Times'!$E:$E,MATCH(1,('Bakat Base Times'!$A:$A=AH31)*('Bakat Base Times'!$B:$B=AI31)*('Bakat Base Times'!$C:$C=AJ31),0))/(VALUE(AM31)))^3
</f>
        <v/>
      </c>
      <c r="AP31" s="621" t="n"/>
      <c r="AQ31" s="693" t="n"/>
      <c r="AR31" s="625" t="inlineStr">
        <is>
          <t>RAINNE FOO JIE XIN</t>
        </is>
      </c>
      <c r="AS31" s="693">
        <f>SUMIF(AK:AK,AR31,AO:AO)</f>
        <v/>
      </c>
      <c r="AT31" s="626">
        <f>AVERAGEIF(AK:AK,AR31,AO:AO)</f>
        <v/>
      </c>
      <c r="AV31" s="622" t="inlineStr">
        <is>
          <t>SHANNON TAN YAN QING *</t>
        </is>
      </c>
      <c r="AW31" s="639">
        <f>SUMIF(AK:AK,AV31,AO:AO)</f>
        <v/>
      </c>
      <c r="AX31" s="624">
        <f>AVERAGEIF(AK:AK,AV31,AO:AO)</f>
        <v/>
      </c>
      <c r="AY31" s="693" t="n"/>
      <c r="AZ31" s="693" t="n"/>
    </row>
    <row r="32">
      <c r="A32" s="654" t="n"/>
      <c r="B32" s="710" t="inlineStr">
        <is>
          <t>F</t>
        </is>
      </c>
      <c r="C32" s="709" t="inlineStr">
        <is>
          <t>200 Back</t>
        </is>
      </c>
      <c r="D32" s="710" t="n">
        <v>14</v>
      </c>
      <c r="E32" s="590" t="inlineStr">
        <is>
          <t>VIVIAN TEE XIN LING</t>
        </is>
      </c>
      <c r="F32" s="707" t="inlineStr">
        <is>
          <t>2:24.27</t>
        </is>
      </c>
      <c r="G32" s="62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 s="460">
        <f>G32/#REF!</f>
        <v/>
      </c>
      <c r="I32" s="591" t="inlineStr">
        <is>
          <t>2:23.10</t>
        </is>
      </c>
      <c r="J3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 s="460">
        <f>J32/#REF!</f>
        <v/>
      </c>
      <c r="L32" s="709" t="n">
        <v>5</v>
      </c>
      <c r="M32" s="593" t="n">
        <v>5</v>
      </c>
      <c r="N32" s="655">
        <f t="array" ref="N32">1000*(INDEX('Bakat Base Times'!$E:$E,MATCH(1,('Bakat Base Times'!$A:$A=B32)*('Bakat Base Times'!$B:$B=C32)*('Bakat Base Times'!$C:$C=D32),0))/(VALUE(O32)))^3
</f>
        <v/>
      </c>
      <c r="O32" s="582">
        <f>IFERROR(__xludf.DUMMYFUNCTION("IF(ISNUMBER(I32), I32, IF(REGEXMATCH(I32, "":""), SUMPRODUCT(VALUE(SPLIT(I32, "":"")) * (60^(COUNTIF(SPLIT(I32, "":""), ""&lt;&gt;"")-COLUMN(OFFSET('MOT Tables 25'!$A$1,,,1,COUNTIF(SPLIT(I32, "":""),""&lt;&gt;"")))))), VALUE(I32)))"),143.1)</f>
        <v/>
      </c>
      <c r="P32" s="583" t="n"/>
      <c r="Q32" s="583" t="inlineStr">
        <is>
          <t>AVERIE SENG YUE</t>
        </is>
      </c>
      <c r="R32" s="584" t="inlineStr">
        <is>
          <t>F</t>
        </is>
      </c>
      <c r="S32" s="584" t="n">
        <v>3</v>
      </c>
      <c r="T32" s="584" t="inlineStr">
        <is>
          <t>C</t>
        </is>
      </c>
      <c r="U32" s="584" t="inlineStr">
        <is>
          <t>NSE</t>
        </is>
      </c>
      <c r="V32" s="585" t="n">
        <v>40926</v>
      </c>
      <c r="W32" s="689" t="n"/>
      <c r="X32" s="689" t="n"/>
      <c r="Y32" s="596" t="inlineStr">
        <is>
          <t>F</t>
        </is>
      </c>
      <c r="Z32" s="597" t="inlineStr">
        <is>
          <t>200 Back</t>
        </is>
      </c>
      <c r="AA32" s="589" t="n">
        <v>14</v>
      </c>
      <c r="AB32" s="590" t="inlineStr">
        <is>
          <t>VIVIAN TEE XIN LING</t>
        </is>
      </c>
      <c r="AC32" s="591" t="inlineStr">
        <is>
          <t>2:23.10</t>
        </is>
      </c>
      <c r="AD32" s="592">
        <f>IFERROR(__xludf.DUMMYFUNCTION("IF(ISNUMBER(AC32), AC32, IF(REGEXMATCH(AC32, "":""), SUMPRODUCT(VALUE(SPLIT(AC32, "":"")) * (60^(COUNTIF(SPLIT(AC32, "":""), ""&lt;&gt;"")-COLUMN(OFFSET('MOT Tables 25'!$A$1,,,1,COUNTIF(SPLIT(AC32, "":""),""&lt;&gt;"")))))), VALUE(AC32)))"),143.1)</f>
        <v/>
      </c>
      <c r="AE32" s="593" t="n">
        <v>5</v>
      </c>
      <c r="AF32" s="594">
        <f t="array" ref="AF32">1000*(INDEX('Bakat Base Times'!$E:$E,MATCH(1,('Bakat Base Times'!$A:$A=Y32)*('Bakat Base Times'!$B:$B=Z32)*('Bakat Base Times'!$C:$C=AA32),0))/(VALUE(AD32)))^3
</f>
        <v/>
      </c>
      <c r="AG32" s="693" t="n"/>
      <c r="AH32" s="596" t="inlineStr">
        <is>
          <t>M</t>
        </is>
      </c>
      <c r="AI32" s="597" t="inlineStr">
        <is>
          <t>50 Free</t>
        </is>
      </c>
      <c r="AJ32" s="597" t="n">
        <v>14</v>
      </c>
      <c r="AK32" s="590" t="inlineStr">
        <is>
          <t>DAMIAN SETH LIM</t>
        </is>
      </c>
      <c r="AL32" s="591" t="n">
        <v>24.84</v>
      </c>
      <c r="AM32" s="517">
        <f>IFERROR(__xludf.DUMMYFUNCTION("IF(ISNUMBER(AL32), AL32, IF(REGEXMATCH(AL32, "":""), SUMPRODUCT(VALUE(SPLIT(AL32, "":"")) * (60^(COUNTIF(SPLIT(AL32, "":""), ""&lt;&gt;"")-COLUMN(OFFSET('MOT Tables 25'!$A$1,,,1,COUNTIF(SPLIT(AL32, "":""),""&lt;&gt;"")))))), VALUE(AL32)))"),24.84)</f>
        <v/>
      </c>
      <c r="AN32" s="590" t="n">
        <v>6</v>
      </c>
      <c r="AO32" s="599">
        <f t="array" ref="AO32">1000*(INDEX('Bakat Base Times'!$E:$E,MATCH(1,('Bakat Base Times'!$A:$A=AH32)*('Bakat Base Times'!$B:$B=AI32)*('Bakat Base Times'!$C:$C=AJ32),0))/(VALUE(AM32)))^3
</f>
        <v/>
      </c>
      <c r="AP32" s="600" t="n"/>
      <c r="AQ32" s="693" t="n"/>
      <c r="AR32" s="625" t="inlineStr">
        <is>
          <t>JOELLE CHAN ZU EE</t>
        </is>
      </c>
      <c r="AS32" s="693">
        <f>SUMIF(AK:AK,AR32,AO:AO)</f>
        <v/>
      </c>
      <c r="AT32" s="626">
        <f>AVERAGEIF(AK:AK,AR32,AO:AO)</f>
        <v/>
      </c>
      <c r="AV32" s="625" t="inlineStr">
        <is>
          <t>SOPHOCLES NG XINXIAN</t>
        </is>
      </c>
      <c r="AW32" s="693">
        <f>SUMIF(AK:AK,AV32,AO:AO)</f>
        <v/>
      </c>
      <c r="AX32" s="626">
        <f>AVERAGEIF(AK:AK,AV32,AO:AO)</f>
        <v/>
      </c>
      <c r="AY32" s="693" t="n"/>
      <c r="AZ32" s="693" t="n"/>
    </row>
    <row r="33">
      <c r="A33" s="651" t="n"/>
      <c r="B33" s="705" t="inlineStr">
        <is>
          <t>F</t>
        </is>
      </c>
      <c r="C33" s="704" t="inlineStr">
        <is>
          <t>100 Breast</t>
        </is>
      </c>
      <c r="D33" s="705" t="n">
        <v>16</v>
      </c>
      <c r="E33" s="613" t="inlineStr">
        <is>
          <t>ISABELLE CHIYI BUCKLEY</t>
        </is>
      </c>
      <c r="F33" s="701" t="inlineStr">
        <is>
          <t>1:12.52</t>
        </is>
      </c>
      <c r="G3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 s="464">
        <f>G33/#REF!</f>
        <v/>
      </c>
      <c r="I33" s="614" t="inlineStr">
        <is>
          <t>1:13.80</t>
        </is>
      </c>
      <c r="J3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 s="464">
        <f>J33/#REF!</f>
        <v/>
      </c>
      <c r="L33" s="704" t="n">
        <v>3</v>
      </c>
      <c r="M33" s="616" t="n">
        <v>4</v>
      </c>
      <c r="N33" s="652">
        <f t="array" ref="N33">1000*(INDEX('Bakat Base Times'!$E:$E,MATCH(1,('Bakat Base Times'!$A:$A=B33)*('Bakat Base Times'!$B:$B=C33)*('Bakat Base Times'!$C:$C=D33),0))/(VALUE(O33)))^3
</f>
        <v/>
      </c>
      <c r="O33" s="609">
        <f>IFERROR(__xludf.DUMMYFUNCTION("IF(ISNUMBER(I33), I33, IF(REGEXMATCH(I33, "":""), SUMPRODUCT(VALUE(SPLIT(I33, "":"")) * (60^(COUNTIF(SPLIT(I33, "":""), ""&lt;&gt;"")-COLUMN(OFFSET('MOT Tables 25'!$A$1,,,1,COUNTIF(SPLIT(I33, "":""),""&lt;&gt;"")))))), VALUE(I33)))"),73.8)</f>
        <v/>
      </c>
      <c r="P33" s="583" t="n"/>
      <c r="Q33" s="583" t="inlineStr">
        <is>
          <t>CHENG VALERIE</t>
        </is>
      </c>
      <c r="R33" s="584" t="inlineStr">
        <is>
          <t>F</t>
        </is>
      </c>
      <c r="S33" s="584" t="n">
        <v>3</v>
      </c>
      <c r="T33" s="584" t="inlineStr">
        <is>
          <t>C</t>
        </is>
      </c>
      <c r="U33" s="584" t="inlineStr">
        <is>
          <t>PEN</t>
        </is>
      </c>
      <c r="V33" s="585" t="n">
        <v>41160</v>
      </c>
      <c r="W33" s="689" t="n"/>
      <c r="X33" s="689" t="n"/>
      <c r="Y33" s="618" t="inlineStr">
        <is>
          <t>F</t>
        </is>
      </c>
      <c r="Z33" s="619" t="inlineStr">
        <is>
          <t>100 Breast</t>
        </is>
      </c>
      <c r="AA33" s="612" t="n">
        <v>16</v>
      </c>
      <c r="AB33" s="613" t="inlineStr">
        <is>
          <t>ISABELLE CHIYI BUCKLEY</t>
        </is>
      </c>
      <c r="AC33" s="614" t="inlineStr">
        <is>
          <t>1:13.80</t>
        </is>
      </c>
      <c r="AD33" s="628">
        <f>IFERROR(__xludf.DUMMYFUNCTION("IF(ISNUMBER(AC33), AC33, IF(REGEXMATCH(AC33, "":""), SUMPRODUCT(VALUE(SPLIT(AC33, "":"")) * (60^(COUNTIF(SPLIT(AC33, "":""), ""&lt;&gt;"")-COLUMN(OFFSET('MOT Tables 25'!$A$1,,,1,COUNTIF(SPLIT(AC33, "":""),""&lt;&gt;"")))))), VALUE(AC33)))"),73.8)</f>
        <v/>
      </c>
      <c r="AE33" s="616" t="n">
        <v>4</v>
      </c>
      <c r="AF33" s="617">
        <f t="array" ref="AF33">1000*(INDEX('Bakat Base Times'!$E:$E,MATCH(1,('Bakat Base Times'!$A:$A=Y33)*('Bakat Base Times'!$B:$B=Z33)*('Bakat Base Times'!$C:$C=AA33),0))/(VALUE(AD33)))^3
</f>
        <v/>
      </c>
      <c r="AG33" s="693" t="n"/>
      <c r="AH33" s="618" t="inlineStr">
        <is>
          <t>M</t>
        </is>
      </c>
      <c r="AI33" s="619" t="inlineStr">
        <is>
          <t>100 Fly</t>
        </is>
      </c>
      <c r="AJ33" s="619" t="n">
        <v>14</v>
      </c>
      <c r="AK33" s="613" t="inlineStr">
        <is>
          <t>DAMIAN SETH LIM</t>
        </is>
      </c>
      <c r="AL33" s="614" t="inlineStr">
        <is>
          <t>59.40</t>
        </is>
      </c>
      <c r="AM33" s="505">
        <f>IFERROR(__xludf.DUMMYFUNCTION("IF(ISNUMBER(AL33), AL33, IF(REGEXMATCH(AL33, "":""), SUMPRODUCT(VALUE(SPLIT(AL33, "":"")) * (60^(COUNTIF(SPLIT(AL33, "":""), ""&lt;&gt;"")-COLUMN(OFFSET('MOT Tables 25'!$A$1,,,1,COUNTIF(SPLIT(AL33, "":""),""&lt;&gt;"")))))), VALUE(AL33)))"),59.4)</f>
        <v/>
      </c>
      <c r="AN33" s="613" t="n">
        <v>6</v>
      </c>
      <c r="AO33" s="672">
        <f t="array" ref="AO33">1000*(INDEX('Bakat Base Times'!$E:$E,MATCH(1,('Bakat Base Times'!$A:$A=AH33)*('Bakat Base Times'!$B:$B=AI33)*('Bakat Base Times'!$C:$C=AJ33),0))/(VALUE(AM33)))^3
</f>
        <v/>
      </c>
      <c r="AP33" s="621" t="n"/>
      <c r="AQ33" s="693" t="n"/>
      <c r="AR33" s="625" t="inlineStr">
        <is>
          <t>LEE YEN ERN</t>
        </is>
      </c>
      <c r="AS33" s="693">
        <f>SUMIF(AK:AK,AR33,AO:AO)</f>
        <v/>
      </c>
      <c r="AT33" s="626">
        <f>AVERAGEIF(AK:AK,AR33,AO:AO)</f>
        <v/>
      </c>
      <c r="AV33" s="622" t="inlineStr">
        <is>
          <t>KHOO SUE ENN</t>
        </is>
      </c>
      <c r="AW33" s="639">
        <f>SUMIF(AK:AK,AV33,AO:AO)</f>
        <v/>
      </c>
      <c r="AX33" s="624">
        <f>AVERAGEIF(AK:AK,AV33,AO:AO)</f>
        <v/>
      </c>
      <c r="AY33" s="693" t="n"/>
      <c r="AZ33" s="693" t="n"/>
    </row>
    <row r="34">
      <c r="A34" s="654" t="n"/>
      <c r="B34" s="710" t="inlineStr">
        <is>
          <t>M</t>
        </is>
      </c>
      <c r="C34" s="709" t="inlineStr">
        <is>
          <t>50 Free</t>
        </is>
      </c>
      <c r="D34" s="710" t="n">
        <v>13</v>
      </c>
      <c r="E34" s="590" t="inlineStr">
        <is>
          <t>MUHAMMAD IRIEL DARWISH LIM</t>
        </is>
      </c>
      <c r="F34" s="629" t="n">
        <v>26.16</v>
      </c>
      <c r="G3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 s="460">
        <f>G34/#REF!</f>
        <v/>
      </c>
      <c r="I34" s="591" t="n">
        <v>26.24</v>
      </c>
      <c r="J3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 s="460">
        <f>J34/#REF!</f>
        <v/>
      </c>
      <c r="L34" s="709" t="n">
        <v>2</v>
      </c>
      <c r="M34" s="593" t="n">
        <v>3</v>
      </c>
      <c r="N34" s="655">
        <f t="array" ref="N34">1000*(INDEX('Bakat Base Times'!$E:$E,MATCH(1,('Bakat Base Times'!$A:$A=B34)*('Bakat Base Times'!$B:$B=C34)*('Bakat Base Times'!$C:$C=D34),0))/(VALUE(O34)))^3
</f>
        <v/>
      </c>
      <c r="O34" s="582">
        <f>IFERROR(__xludf.DUMMYFUNCTION("IF(ISNUMBER(I34), I34, IF(REGEXMATCH(I34, "":""), SUMPRODUCT(VALUE(SPLIT(I34, "":"")) * (60^(COUNTIF(SPLIT(I34, "":""), ""&lt;&gt;"")-COLUMN(OFFSET('MOT Tables 25'!$A$1,,,1,COUNTIF(SPLIT(I34, "":""),""&lt;&gt;"")))))), VALUE(I34)))"),26.24)</f>
        <v/>
      </c>
      <c r="P34" s="583" t="n"/>
      <c r="Q34" s="583" t="inlineStr">
        <is>
          <t>JOVIAL CHAN ZEN EE</t>
        </is>
      </c>
      <c r="R34" s="584" t="inlineStr">
        <is>
          <t>F</t>
        </is>
      </c>
      <c r="S34" s="584" t="n">
        <v>3</v>
      </c>
      <c r="T34" s="584" t="inlineStr">
        <is>
          <t>C</t>
        </is>
      </c>
      <c r="U34" s="584" t="inlineStr">
        <is>
          <t>PRK</t>
        </is>
      </c>
      <c r="V34" s="585" t="n">
        <v>41150</v>
      </c>
      <c r="W34" s="689" t="n"/>
      <c r="X34" s="689" t="n"/>
      <c r="Y34" s="596" t="inlineStr">
        <is>
          <t>M</t>
        </is>
      </c>
      <c r="Z34" s="597" t="inlineStr">
        <is>
          <t>50 Free</t>
        </is>
      </c>
      <c r="AA34" s="589" t="n">
        <v>13</v>
      </c>
      <c r="AB34" s="659" t="inlineStr">
        <is>
          <t>MUHAMMAD IRIEL DARWISH LIM</t>
        </is>
      </c>
      <c r="AC34" s="591" t="n">
        <v>26.24</v>
      </c>
      <c r="AD34" s="592">
        <f>IFERROR(__xludf.DUMMYFUNCTION("IF(ISNUMBER(AC34), AC34, IF(REGEXMATCH(AC34, "":""), SUMPRODUCT(VALUE(SPLIT(AC34, "":"")) * (60^(COUNTIF(SPLIT(AC34, "":""), ""&lt;&gt;"")-COLUMN(OFFSET('MOT Tables 25'!$A$1,,,1,COUNTIF(SPLIT(AC34, "":""),""&lt;&gt;"")))))), VALUE(AC34)))"),26.24)</f>
        <v/>
      </c>
      <c r="AE34" s="593" t="n">
        <v>3</v>
      </c>
      <c r="AF34" s="594">
        <f t="array" ref="AF34">1000*(INDEX('Bakat Base Times'!$E:$E,MATCH(1,('Bakat Base Times'!$A:$A=Y34)*('Bakat Base Times'!$B:$B=Z34)*('Bakat Base Times'!$C:$C=AA34),0))/(VALUE(AD34)))^3
</f>
        <v/>
      </c>
      <c r="AG34" s="693" t="n"/>
      <c r="AH34" s="596" t="inlineStr">
        <is>
          <t>M</t>
        </is>
      </c>
      <c r="AI34" s="597" t="inlineStr">
        <is>
          <t>100 Free</t>
        </is>
      </c>
      <c r="AJ34" s="597" t="n">
        <v>14</v>
      </c>
      <c r="AK34" s="590" t="inlineStr">
        <is>
          <t>DAMIAN SETH LIM</t>
        </is>
      </c>
      <c r="AL34" s="591" t="inlineStr">
        <is>
          <t>56.29</t>
        </is>
      </c>
      <c r="AM34" s="517">
        <f>IFERROR(__xludf.DUMMYFUNCTION("IF(ISNUMBER(AL34), AL34, IF(REGEXMATCH(AL34, "":""), SUMPRODUCT(VALUE(SPLIT(AL34, "":"")) * (60^(COUNTIF(SPLIT(AL34, "":""), ""&lt;&gt;"")-COLUMN(OFFSET('MOT Tables 25'!$A$1,,,1,COUNTIF(SPLIT(AL34, "":""),""&lt;&gt;"")))))), VALUE(AL34)))"),56.29)</f>
        <v/>
      </c>
      <c r="AN34" s="590" t="n">
        <v>11</v>
      </c>
      <c r="AO34" s="599">
        <f t="array" ref="AO34">1000*(INDEX('Bakat Base Times'!$E:$E,MATCH(1,('Bakat Base Times'!$A:$A=AH34)*('Bakat Base Times'!$B:$B=AI34)*('Bakat Base Times'!$C:$C=AJ34),0))/(VALUE(AM34)))^3
</f>
        <v/>
      </c>
      <c r="AP34" s="600" t="n"/>
      <c r="AQ34" s="693" t="n"/>
      <c r="AR34" s="625" t="inlineStr">
        <is>
          <t>LAURA LEE YEN NIE</t>
        </is>
      </c>
      <c r="AS34" s="693">
        <f>SUMIF(AK:AK,AR34,AO:AO)</f>
        <v/>
      </c>
      <c r="AT34" s="626">
        <f>AVERAGEIF(AK:AK,AR34,AO:AO)</f>
        <v/>
      </c>
      <c r="AV34" s="625" t="inlineStr">
        <is>
          <t>CHEREEN NGO YIRUI</t>
        </is>
      </c>
      <c r="AW34" s="693">
        <f>SUMIF(AK:AK,AV34,AO:AO)</f>
        <v/>
      </c>
      <c r="AX34" s="626">
        <f>AVERAGEIF(AK:AK,AV34,AO:AO)</f>
        <v/>
      </c>
      <c r="AY34" s="693" t="n"/>
      <c r="AZ34" s="693" t="n"/>
    </row>
    <row r="35">
      <c r="A35" s="651" t="n"/>
      <c r="B35" s="705" t="inlineStr">
        <is>
          <t>M</t>
        </is>
      </c>
      <c r="C35" s="704" t="inlineStr">
        <is>
          <t>1500 Free</t>
        </is>
      </c>
      <c r="D35" s="705" t="n">
        <v>13</v>
      </c>
      <c r="E35" s="613" t="inlineStr">
        <is>
          <t>EU JUN LIN</t>
        </is>
      </c>
      <c r="F35" s="701" t="inlineStr">
        <is>
          <t>18:15.68</t>
        </is>
      </c>
      <c r="G3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 s="464">
        <f>G35/#REF!</f>
        <v/>
      </c>
      <c r="I35" s="614" t="inlineStr">
        <is>
          <t>17:37.62</t>
        </is>
      </c>
      <c r="J3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 s="464">
        <f>J35/#REF!</f>
        <v/>
      </c>
      <c r="L35" s="704" t="n">
        <v>13</v>
      </c>
      <c r="M35" s="616" t="n">
        <v>7</v>
      </c>
      <c r="N35" s="652">
        <f t="array" ref="N35">1000*(INDEX('Bakat Base Times'!$E:$E,MATCH(1,('Bakat Base Times'!$A:$A=B35)*('Bakat Base Times'!$B:$B=C35)*('Bakat Base Times'!$C:$C=D35),0))/(VALUE(O35)))^3
</f>
        <v/>
      </c>
      <c r="O35" s="609">
        <f>IFERROR(__xludf.DUMMYFUNCTION("IF(ISNUMBER(I35), I35, IF(REGEXMATCH(I35, "":""), SUMPRODUCT(VALUE(SPLIT(I35, "":"")) * (60^(COUNTIF(SPLIT(I35, "":""), ""&lt;&gt;"")-COLUMN(OFFSET('MOT Tables 25'!$A$1,,,1,COUNTIF(SPLIT(I35, "":""),""&lt;&gt;"")))))), VALUE(I35)))"),1057.62)</f>
        <v/>
      </c>
      <c r="P35" s="583" t="n"/>
      <c r="Q35" s="583" t="inlineStr">
        <is>
          <t>CAREYNA BULAWAN JOSEPH</t>
        </is>
      </c>
      <c r="R35" s="584" t="inlineStr">
        <is>
          <t>F</t>
        </is>
      </c>
      <c r="S35" s="584" t="n">
        <v>3</v>
      </c>
      <c r="T35" s="584" t="inlineStr">
        <is>
          <t>C</t>
        </is>
      </c>
      <c r="U35" s="584" t="inlineStr">
        <is>
          <t>SBH</t>
        </is>
      </c>
      <c r="V35" s="585" t="n">
        <v>41246</v>
      </c>
      <c r="W35" s="689" t="n"/>
      <c r="X35" s="689" t="n"/>
      <c r="Y35" s="618" t="inlineStr">
        <is>
          <t>M</t>
        </is>
      </c>
      <c r="Z35" s="619" t="inlineStr">
        <is>
          <t>1500 Free</t>
        </is>
      </c>
      <c r="AA35" s="612" t="n">
        <v>13</v>
      </c>
      <c r="AB35" s="613" t="inlineStr">
        <is>
          <t>EU JUN LIN</t>
        </is>
      </c>
      <c r="AC35" s="614" t="inlineStr">
        <is>
          <t>17:37.62</t>
        </is>
      </c>
      <c r="AD35" s="628">
        <f>IFERROR(__xludf.DUMMYFUNCTION("IF(ISNUMBER(AC35), AC35, IF(REGEXMATCH(AC35, "":""), SUMPRODUCT(VALUE(SPLIT(AC35, "":"")) * (60^(COUNTIF(SPLIT(AC35, "":""), ""&lt;&gt;"")-COLUMN(OFFSET('MOT Tables 25'!$A$1,,,1,COUNTIF(SPLIT(AC35, "":""),""&lt;&gt;"")))))), VALUE(AC35)))"),1057.62)</f>
        <v/>
      </c>
      <c r="AE35" s="616" t="n">
        <v>7</v>
      </c>
      <c r="AF35" s="617">
        <f t="array" ref="AF35">1000*(INDEX('Bakat Base Times'!$E:$E,MATCH(1,('Bakat Base Times'!$A:$A=Y35)*('Bakat Base Times'!$B:$B=Z35)*('Bakat Base Times'!$C:$C=AA35),0))/(VALUE(AD35)))^3
</f>
        <v/>
      </c>
      <c r="AG35" s="693" t="n"/>
      <c r="AH35" s="618" t="inlineStr">
        <is>
          <t>M</t>
        </is>
      </c>
      <c r="AI35" s="619" t="inlineStr">
        <is>
          <t>100 Back</t>
        </is>
      </c>
      <c r="AJ35" s="619" t="n">
        <v>16</v>
      </c>
      <c r="AK35" s="613" t="inlineStr">
        <is>
          <t>DYLAN LEONG YI QUAN</t>
        </is>
      </c>
      <c r="AL35" s="614" t="inlineStr">
        <is>
          <t>1:00.07</t>
        </is>
      </c>
      <c r="AM35" s="505">
        <f>IFERROR(__xludf.DUMMYFUNCTION("IF(ISNUMBER(AL35), AL35, IF(REGEXMATCH(AL35, "":""), SUMPRODUCT(VALUE(SPLIT(AL35, "":"")) * (60^(COUNTIF(SPLIT(AL35, "":""), ""&lt;&gt;"")-COLUMN(OFFSET('MOT Tables 25'!$A$1,,,1,COUNTIF(SPLIT(AL35, "":""),""&lt;&gt;"")))))), VALUE(AL35)))"),60.07)</f>
        <v/>
      </c>
      <c r="AN35" s="613" t="n">
        <v>10</v>
      </c>
      <c r="AO35" s="672">
        <f t="array" ref="AO35">1000*(INDEX('Bakat Base Times'!$E:$E,MATCH(1,('Bakat Base Times'!$A:$A=AH35)*('Bakat Base Times'!$B:$B=AI35)*('Bakat Base Times'!$C:$C=AJ35),0))/(VALUE(AM35)))^3
</f>
        <v/>
      </c>
      <c r="AP35" s="621" t="n"/>
      <c r="AQ35" s="693" t="n"/>
      <c r="AR35" s="625" t="inlineStr">
        <is>
          <t>FELICIA LEE QIAN HUI</t>
        </is>
      </c>
      <c r="AS35" s="693">
        <f>SUMIF(AK:AK,AR35,AO:AO)</f>
        <v/>
      </c>
      <c r="AT35" s="626">
        <f>AVERAGEIF(AK:AK,AR35,AO:AO)</f>
        <v/>
      </c>
      <c r="AV35" s="625" t="inlineStr">
        <is>
          <t>ADAM MALIK BIN AZIZUR RIZA</t>
        </is>
      </c>
      <c r="AW35" s="693">
        <f>SUMIF(AK:AK,AV35,AO:AO)</f>
        <v/>
      </c>
      <c r="AX35" s="626">
        <f>AVERAGEIF(AK:AK,AV35,AO:AO)</f>
        <v/>
      </c>
      <c r="AY35" s="693" t="n"/>
      <c r="AZ35" s="693" t="n"/>
    </row>
    <row r="36">
      <c r="A36" s="654" t="n"/>
      <c r="B36" s="710" t="inlineStr">
        <is>
          <t>M</t>
        </is>
      </c>
      <c r="C36" s="709" t="inlineStr">
        <is>
          <t>200 Free</t>
        </is>
      </c>
      <c r="D36" s="710" t="n">
        <v>14</v>
      </c>
      <c r="E36" s="590" t="inlineStr">
        <is>
          <t>CH'NG SAW HUAI</t>
        </is>
      </c>
      <c r="F36" s="707" t="inlineStr">
        <is>
          <t>1:59.72</t>
        </is>
      </c>
      <c r="G36"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 s="460">
        <f>G36/#REF!</f>
        <v/>
      </c>
      <c r="I36" s="591" t="inlineStr">
        <is>
          <t>2:02.06</t>
        </is>
      </c>
      <c r="J36"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 s="460">
        <f>J36/#REF!</f>
        <v/>
      </c>
      <c r="L36" s="709" t="n">
        <v>10</v>
      </c>
      <c r="M36" s="593" t="n">
        <v>8</v>
      </c>
      <c r="N36" s="655">
        <f t="array" ref="N36">1000*(INDEX('Bakat Base Times'!$E:$E,MATCH(1,('Bakat Base Times'!$A:$A=B36)*('Bakat Base Times'!$B:$B=C36)*('Bakat Base Times'!$C:$C=D36),0))/(VALUE(O36)))^3
</f>
        <v/>
      </c>
      <c r="O36" s="582">
        <f>IFERROR(__xludf.DUMMYFUNCTION("IF(ISNUMBER(I36), I36, IF(REGEXMATCH(I36, "":""), SUMPRODUCT(VALUE(SPLIT(I36, "":"")) * (60^(COUNTIF(SPLIT(I36, "":""), ""&lt;&gt;"")-COLUMN(OFFSET('MOT Tables 25'!$A$1,,,1,COUNTIF(SPLIT(I36, "":""),""&lt;&gt;"")))))), VALUE(I36)))"),122.06)</f>
        <v/>
      </c>
      <c r="P36" s="583" t="n"/>
      <c r="Q36" s="583" t="inlineStr">
        <is>
          <t>HANNAH WONG YA TING</t>
        </is>
      </c>
      <c r="R36" s="584" t="inlineStr">
        <is>
          <t>F</t>
        </is>
      </c>
      <c r="S36" s="584" t="n">
        <v>3</v>
      </c>
      <c r="T36" s="584" t="inlineStr">
        <is>
          <t>C</t>
        </is>
      </c>
      <c r="U36" s="584" t="inlineStr">
        <is>
          <t>SBH</t>
        </is>
      </c>
      <c r="V36" s="585" t="n">
        <v>41106</v>
      </c>
      <c r="W36" s="689" t="n"/>
      <c r="X36" s="689" t="n"/>
      <c r="Y36" s="596" t="inlineStr">
        <is>
          <t>M</t>
        </is>
      </c>
      <c r="Z36" s="597" t="inlineStr">
        <is>
          <t>200 Free</t>
        </is>
      </c>
      <c r="AA36" s="589" t="n">
        <v>14</v>
      </c>
      <c r="AB36" s="590" t="inlineStr">
        <is>
          <t>CH'NG SAW HUAI</t>
        </is>
      </c>
      <c r="AC36" s="591" t="inlineStr">
        <is>
          <t>2:02.06</t>
        </is>
      </c>
      <c r="AD36" s="592">
        <f>IFERROR(__xludf.DUMMYFUNCTION("IF(ISNUMBER(AC36), AC36, IF(REGEXMATCH(AC36, "":""), SUMPRODUCT(VALUE(SPLIT(AC36, "":"")) * (60^(COUNTIF(SPLIT(AC36, "":""), ""&lt;&gt;"")-COLUMN(OFFSET('MOT Tables 25'!$A$1,,,1,COUNTIF(SPLIT(AC36, "":""),""&lt;&gt;"")))))), VALUE(AC36)))"),122.06)</f>
        <v/>
      </c>
      <c r="AE36" s="593" t="n">
        <v>8</v>
      </c>
      <c r="AF36" s="594">
        <f t="array" ref="AF36">1000*(INDEX('Bakat Base Times'!$E:$E,MATCH(1,('Bakat Base Times'!$A:$A=Y36)*('Bakat Base Times'!$B:$B=Z36)*('Bakat Base Times'!$C:$C=AA36),0))/(VALUE(AD36)))^3
</f>
        <v/>
      </c>
      <c r="AG36" s="693" t="n"/>
      <c r="AH36" s="596" t="inlineStr">
        <is>
          <t>M</t>
        </is>
      </c>
      <c r="AI36" s="597" t="inlineStr">
        <is>
          <t>200 Back</t>
        </is>
      </c>
      <c r="AJ36" s="597" t="n">
        <v>16</v>
      </c>
      <c r="AK36" s="590" t="inlineStr">
        <is>
          <t>DYLAN LEONG YI QUAN</t>
        </is>
      </c>
      <c r="AL36" s="591" t="inlineStr">
        <is>
          <t>2:11.35</t>
        </is>
      </c>
      <c r="AM36" s="517">
        <f>IFERROR(__xludf.DUMMYFUNCTION("IF(ISNUMBER(AL36), AL36, IF(REGEXMATCH(AL36, "":""), SUMPRODUCT(VALUE(SPLIT(AL36, "":"")) * (60^(COUNTIF(SPLIT(AL36, "":""), ""&lt;&gt;"")-COLUMN(OFFSET('MOT Tables 25'!$A$1,,,1,COUNTIF(SPLIT(AL36, "":""),""&lt;&gt;"")))))), VALUE(AL36)))"),131.35)</f>
        <v/>
      </c>
      <c r="AN36" s="590" t="n">
        <v>5</v>
      </c>
      <c r="AO36" s="599">
        <f t="array" ref="AO36">1000*(INDEX('Bakat Base Times'!$E:$E,MATCH(1,('Bakat Base Times'!$A:$A=AH36)*('Bakat Base Times'!$B:$B=AI36)*('Bakat Base Times'!$C:$C=AJ36),0))/(VALUE(AM36)))^3
</f>
        <v/>
      </c>
      <c r="AP36" s="600" t="n"/>
      <c r="AQ36" s="693" t="n"/>
      <c r="AR36" s="622" t="inlineStr">
        <is>
          <t>KHONG ZI LIN</t>
        </is>
      </c>
      <c r="AS36" s="639">
        <f>SUMIF(AK:AK,AR36,AO:AO)</f>
        <v/>
      </c>
      <c r="AT36" s="624">
        <f>AVERAGEIF(AK:AK,AR36,AO:AO)</f>
        <v/>
      </c>
      <c r="AV36" s="625" t="inlineStr">
        <is>
          <t>RYAN LIAW CHEE HENG</t>
        </is>
      </c>
      <c r="AW36" s="693">
        <f>SUMIF(AK:AK,AV36,AO:AO)</f>
        <v/>
      </c>
      <c r="AX36" s="626">
        <f>AVERAGEIF(AK:AK,AV36,AO:AO)</f>
        <v/>
      </c>
      <c r="AY36" s="693" t="n"/>
      <c r="AZ36" s="693" t="n"/>
    </row>
    <row r="37">
      <c r="A37" s="651" t="n"/>
      <c r="B37" s="705" t="inlineStr">
        <is>
          <t>F</t>
        </is>
      </c>
      <c r="C37" s="704" t="inlineStr">
        <is>
          <t>200 Free</t>
        </is>
      </c>
      <c r="D37" s="705" t="n">
        <v>14</v>
      </c>
      <c r="E37" s="613" t="inlineStr">
        <is>
          <t>TAN RUI NEE</t>
        </is>
      </c>
      <c r="F37" s="701" t="inlineStr">
        <is>
          <t>2:09.35</t>
        </is>
      </c>
      <c r="G37"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 s="464">
        <f>G37/#REF!</f>
        <v/>
      </c>
      <c r="I37" s="614" t="inlineStr">
        <is>
          <t>2:09.90</t>
        </is>
      </c>
      <c r="J37"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 s="464">
        <f>J37/#REF!</f>
        <v/>
      </c>
      <c r="L37" s="704" t="n">
        <v>2</v>
      </c>
      <c r="M37" s="616" t="n">
        <v>5</v>
      </c>
      <c r="N37" s="652">
        <f t="array" ref="N37">1000*(INDEX('Bakat Base Times'!$E:$E,MATCH(1,('Bakat Base Times'!$A:$A=B37)*('Bakat Base Times'!$B:$B=C37)*('Bakat Base Times'!$C:$C=D37),0))/(VALUE(O37)))^3
</f>
        <v/>
      </c>
      <c r="O37" s="609">
        <f>IFERROR(__xludf.DUMMYFUNCTION("IF(ISNUMBER(I37), I37, IF(REGEXMATCH(I37, "":""), SUMPRODUCT(VALUE(SPLIT(I37, "":"")) * (60^(COUNTIF(SPLIT(I37, "":""), ""&lt;&gt;"")-COLUMN(OFFSET('MOT Tables 25'!$A$1,,,1,COUNTIF(SPLIT(I37, "":""),""&lt;&gt;"")))))), VALUE(I37)))"),129.9)</f>
        <v/>
      </c>
      <c r="P37" s="583" t="n"/>
      <c r="Q37" s="583" t="inlineStr">
        <is>
          <t>ELISHA LEE ERN</t>
        </is>
      </c>
      <c r="R37" s="584" t="inlineStr">
        <is>
          <t>F</t>
        </is>
      </c>
      <c r="S37" s="584" t="n">
        <v>3</v>
      </c>
      <c r="T37" s="584" t="inlineStr">
        <is>
          <t>C</t>
        </is>
      </c>
      <c r="U37" s="584" t="inlineStr">
        <is>
          <t>SWK</t>
        </is>
      </c>
      <c r="V37" s="585" t="n">
        <v>40954</v>
      </c>
      <c r="W37" s="689" t="n"/>
      <c r="X37" s="689" t="n"/>
      <c r="Y37" s="618" t="inlineStr">
        <is>
          <t>F</t>
        </is>
      </c>
      <c r="Z37" s="619" t="inlineStr">
        <is>
          <t>200 Free</t>
        </is>
      </c>
      <c r="AA37" s="612" t="n">
        <v>14</v>
      </c>
      <c r="AB37" s="613" t="inlineStr">
        <is>
          <t>TAN RUI NEE</t>
        </is>
      </c>
      <c r="AC37" s="614" t="inlineStr">
        <is>
          <t>2:09.90</t>
        </is>
      </c>
      <c r="AD37" s="628">
        <f>IFERROR(__xludf.DUMMYFUNCTION("IF(ISNUMBER(AC37), AC37, IF(REGEXMATCH(AC37, "":""), SUMPRODUCT(VALUE(SPLIT(AC37, "":"")) * (60^(COUNTIF(SPLIT(AC37, "":""), ""&lt;&gt;"")-COLUMN(OFFSET('MOT Tables 25'!$A$1,,,1,COUNTIF(SPLIT(AC37, "":""),""&lt;&gt;"")))))), VALUE(AC37)))"),129.9)</f>
        <v/>
      </c>
      <c r="AE37" s="616" t="n">
        <v>5</v>
      </c>
      <c r="AF37" s="617">
        <f t="array" ref="AF37">1000*(INDEX('Bakat Base Times'!$E:$E,MATCH(1,('Bakat Base Times'!$A:$A=Y37)*('Bakat Base Times'!$B:$B=Z37)*('Bakat Base Times'!$C:$C=AA37),0))/(VALUE(AD37)))^3
</f>
        <v/>
      </c>
      <c r="AG37" s="693" t="n"/>
      <c r="AH37" s="618" t="inlineStr">
        <is>
          <t>M</t>
        </is>
      </c>
      <c r="AI37" s="619" t="inlineStr">
        <is>
          <t>200 IM</t>
        </is>
      </c>
      <c r="AJ37" s="619" t="n">
        <v>16</v>
      </c>
      <c r="AK37" s="613" t="inlineStr">
        <is>
          <t>DYLAN LEONG YI QUAN</t>
        </is>
      </c>
      <c r="AL37" s="665" t="inlineStr">
        <is>
          <t>2:14.62</t>
        </is>
      </c>
      <c r="AM37" s="505">
        <f>IFERROR(__xludf.DUMMYFUNCTION("IF(ISNUMBER(AL37), AL37, IF(REGEXMATCH(AL37, "":""), SUMPRODUCT(VALUE(SPLIT(AL37, "":"")) * (60^(COUNTIF(SPLIT(AL37, "":""), ""&lt;&gt;"")-COLUMN(OFFSET('MOT Tables 25'!$A$1,,,1,COUNTIF(SPLIT(AL37, "":""),""&lt;&gt;"")))))), VALUE(AL37)))"),134.62)</f>
        <v/>
      </c>
      <c r="AN37" s="613" t="n">
        <v>11</v>
      </c>
      <c r="AO37" s="672">
        <f t="array" ref="AO37">1000*(INDEX('Bakat Base Times'!$E:$E,MATCH(1,('Bakat Base Times'!$A:$A=AH37)*('Bakat Base Times'!$B:$B=AI37)*('Bakat Base Times'!$C:$C=AJ37),0))/(VALUE(AM37)))^3
</f>
        <v/>
      </c>
      <c r="AP37" s="621" t="n"/>
      <c r="AQ37" s="693" t="n"/>
      <c r="AR37" s="622" t="inlineStr">
        <is>
          <t>JOSHUA LIM JI SHEN</t>
        </is>
      </c>
      <c r="AS37" s="639">
        <f>SUMIF(AK:AK,AR37,AO:AO)</f>
        <v/>
      </c>
      <c r="AT37" s="624">
        <f>AVERAGEIF(AK:AK,AR37,AO:AO)</f>
        <v/>
      </c>
      <c r="AV37" s="625" t="inlineStr">
        <is>
          <t>LYNNA YEOW YI JING</t>
        </is>
      </c>
      <c r="AW37" s="693">
        <f>SUMIF(AK:AK,AV37,AO:AO)</f>
        <v/>
      </c>
      <c r="AX37" s="626">
        <f>AVERAGEIF(AK:AK,AV37,AO:AO)</f>
        <v/>
      </c>
      <c r="AY37" s="693" t="n"/>
      <c r="AZ37" s="693" t="n"/>
    </row>
    <row r="38">
      <c r="A38" s="654" t="n"/>
      <c r="B38" s="710" t="inlineStr">
        <is>
          <t>M</t>
        </is>
      </c>
      <c r="C38" s="709" t="inlineStr">
        <is>
          <t>1500 Free</t>
        </is>
      </c>
      <c r="D38" s="710" t="n">
        <v>14</v>
      </c>
      <c r="E38" s="590" t="inlineStr">
        <is>
          <t>HERMANN TANG BOK YU</t>
        </is>
      </c>
      <c r="F38" s="707" t="inlineStr">
        <is>
          <t>17:05.64</t>
        </is>
      </c>
      <c r="G3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 s="460">
        <f>G38/#REF!</f>
        <v/>
      </c>
      <c r="I38" s="591" t="inlineStr">
        <is>
          <t>17:05.41</t>
        </is>
      </c>
      <c r="J3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 s="460">
        <f>J38/#REF!</f>
        <v/>
      </c>
      <c r="L38" s="709" t="n">
        <v>7</v>
      </c>
      <c r="M38" s="593" t="n">
        <v>7</v>
      </c>
      <c r="N38" s="655">
        <f t="array" ref="N38">1000*(INDEX('Bakat Base Times'!$E:$E,MATCH(1,('Bakat Base Times'!$A:$A=B38)*('Bakat Base Times'!$B:$B=C38)*('Bakat Base Times'!$C:$C=D38),0))/(VALUE(O38)))^3
</f>
        <v/>
      </c>
      <c r="O38" s="582">
        <f>IFERROR(__xludf.DUMMYFUNCTION("IF(ISNUMBER(I38), I38, IF(REGEXMATCH(I38, "":""), SUMPRODUCT(VALUE(SPLIT(I38, "":"")) * (60^(COUNTIF(SPLIT(I38, "":""), ""&lt;&gt;"")-COLUMN(OFFSET('MOT Tables 25'!$A$1,,,1,COUNTIF(SPLIT(I38, "":""),""&lt;&gt;"")))))), VALUE(I38)))"),1025.41)</f>
        <v/>
      </c>
      <c r="P38" s="583" t="n"/>
      <c r="Q38" s="583" t="inlineStr">
        <is>
          <t>RYANNE YEONG ZI TING</t>
        </is>
      </c>
      <c r="R38" s="584" t="inlineStr">
        <is>
          <t>F</t>
        </is>
      </c>
      <c r="S38" s="584" t="n">
        <v>3</v>
      </c>
      <c r="T38" s="584" t="inlineStr">
        <is>
          <t>CR</t>
        </is>
      </c>
      <c r="U38" s="584" t="inlineStr">
        <is>
          <t>JHR</t>
        </is>
      </c>
      <c r="V38" s="585" t="n">
        <v>41235</v>
      </c>
      <c r="W38" s="689" t="n"/>
      <c r="X38" s="689" t="n"/>
      <c r="Y38" s="596" t="inlineStr">
        <is>
          <t>M</t>
        </is>
      </c>
      <c r="Z38" s="597" t="inlineStr">
        <is>
          <t>1500 Free</t>
        </is>
      </c>
      <c r="AA38" s="589" t="n">
        <v>14</v>
      </c>
      <c r="AB38" s="590" t="inlineStr">
        <is>
          <t>HERMANN TANG BOK YU</t>
        </is>
      </c>
      <c r="AC38" s="591" t="inlineStr">
        <is>
          <t>17:05.41</t>
        </is>
      </c>
      <c r="AD38" s="592">
        <f>IFERROR(__xludf.DUMMYFUNCTION("IF(ISNUMBER(AC38), AC38, IF(REGEXMATCH(AC38, "":""), SUMPRODUCT(VALUE(SPLIT(AC38, "":"")) * (60^(COUNTIF(SPLIT(AC38, "":""), ""&lt;&gt;"")-COLUMN(OFFSET('MOT Tables 25'!$A$1,,,1,COUNTIF(SPLIT(AC38, "":""),""&lt;&gt;"")))))), VALUE(AC38)))"),1025.41)</f>
        <v/>
      </c>
      <c r="AE38" s="593" t="n">
        <v>7</v>
      </c>
      <c r="AF38" s="594">
        <f t="array" ref="AF38">1000*(INDEX('Bakat Base Times'!$E:$E,MATCH(1,('Bakat Base Times'!$A:$A=Y38)*('Bakat Base Times'!$B:$B=Z38)*('Bakat Base Times'!$C:$C=AA38),0))/(VALUE(AD38)))^3
</f>
        <v/>
      </c>
      <c r="AG38" s="693" t="n"/>
      <c r="AH38" s="596" t="inlineStr">
        <is>
          <t>M</t>
        </is>
      </c>
      <c r="AI38" s="597" t="inlineStr">
        <is>
          <t>100 Breast</t>
        </is>
      </c>
      <c r="AJ38" s="597" t="n">
        <v>16</v>
      </c>
      <c r="AK38" s="599" t="inlineStr">
        <is>
          <t>EMMANUEL LOH YUNG MING</t>
        </is>
      </c>
      <c r="AL38" s="591" t="inlineStr">
        <is>
          <t>1:07.62</t>
        </is>
      </c>
      <c r="AM38" s="517">
        <f>IFERROR(__xludf.DUMMYFUNCTION("IF(ISNUMBER(AL38), AL38, IF(REGEXMATCH(AL38, "":""), SUMPRODUCT(VALUE(SPLIT(AL38, "":"")) * (60^(COUNTIF(SPLIT(AL38, "":""), ""&lt;&gt;"")-COLUMN(OFFSET('MOT Tables 25'!$A$1,,,1,COUNTIF(SPLIT(AL38, "":""),""&lt;&gt;"")))))), VALUE(AL38)))"),67.62)</f>
        <v/>
      </c>
      <c r="AN38" s="590" t="n">
        <v>13</v>
      </c>
      <c r="AO38" s="599">
        <f t="array" ref="AO38">1000*(INDEX('Bakat Base Times'!$E:$E,MATCH(1,('Bakat Base Times'!$A:$A=AH38)*('Bakat Base Times'!$B:$B=AI38)*('Bakat Base Times'!$C:$C=AJ38),0))/(VALUE(AM38)))^3
</f>
        <v/>
      </c>
      <c r="AP38" s="600" t="n"/>
      <c r="AQ38" s="693" t="n"/>
      <c r="AR38" s="625" t="inlineStr">
        <is>
          <t>RYAN COLBY KUEH POH YUAN</t>
        </is>
      </c>
      <c r="AS38" s="693">
        <f>SUMIF(AK:AK,AR38,AO:AO)</f>
        <v/>
      </c>
      <c r="AT38" s="626">
        <f>AVERAGEIF(AK:AK,AR38,AO:AO)</f>
        <v/>
      </c>
      <c r="AV38" s="625" t="inlineStr">
        <is>
          <t>KAYLEIGH ANG ZHI XUAN</t>
        </is>
      </c>
      <c r="AW38" s="693">
        <f>SUMIF(AK:AK,AV38,AO:AO)</f>
        <v/>
      </c>
      <c r="AX38" s="626">
        <f>AVERAGEIF(AK:AK,AV38,AO:AO)</f>
        <v/>
      </c>
      <c r="AY38" s="693" t="n"/>
      <c r="AZ38" s="693" t="n"/>
    </row>
    <row r="39">
      <c r="A39" s="651" t="n"/>
      <c r="B39" s="705" t="inlineStr">
        <is>
          <t>M</t>
        </is>
      </c>
      <c r="C39" s="704" t="inlineStr">
        <is>
          <t>400 IM</t>
        </is>
      </c>
      <c r="D39" s="705" t="n">
        <v>14</v>
      </c>
      <c r="E39" s="613" t="inlineStr">
        <is>
          <t>CH'NG SAW HUAI</t>
        </is>
      </c>
      <c r="F39" s="701" t="inlineStr">
        <is>
          <t>4:55.81</t>
        </is>
      </c>
      <c r="G3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 s="464">
        <f>G39/#REF!</f>
        <v/>
      </c>
      <c r="I39" s="614" t="inlineStr">
        <is>
          <t>4:51.86</t>
        </is>
      </c>
      <c r="J3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 s="464">
        <f>J39/#REF!</f>
        <v/>
      </c>
      <c r="L39" s="704" t="n">
        <v>8</v>
      </c>
      <c r="M39" s="616" t="n">
        <v>5</v>
      </c>
      <c r="N39" s="652">
        <f t="array" ref="N39">1000*(INDEX('Bakat Base Times'!$E:$E,MATCH(1,('Bakat Base Times'!$A:$A=B39)*('Bakat Base Times'!$B:$B=C39)*('Bakat Base Times'!$C:$C=D39),0))/(VALUE(O39)))^3
</f>
        <v/>
      </c>
      <c r="O39" s="609">
        <f>IFERROR(__xludf.DUMMYFUNCTION("IF(ISNUMBER(I39), I39, IF(REGEXMATCH(I39, "":""), SUMPRODUCT(VALUE(SPLIT(I39, "":"")) * (60^(COUNTIF(SPLIT(I39, "":""), ""&lt;&gt;"")-COLUMN(OFFSET('MOT Tables 25'!$A$1,,,1,COUNTIF(SPLIT(I39, "":""),""&lt;&gt;"")))))), VALUE(I39)))"),291.86)</f>
        <v/>
      </c>
      <c r="P39" s="583" t="n"/>
      <c r="Q39" s="583" t="inlineStr">
        <is>
          <t>KAMILA IRIS GHANI-SAYER</t>
        </is>
      </c>
      <c r="R39" s="584" t="inlineStr">
        <is>
          <t>F</t>
        </is>
      </c>
      <c r="S39" s="584" t="n">
        <v>3</v>
      </c>
      <c r="T39" s="584" t="inlineStr">
        <is>
          <t>CR</t>
        </is>
      </c>
      <c r="U39" s="584" t="inlineStr">
        <is>
          <t>SGR</t>
        </is>
      </c>
      <c r="V39" s="585" t="n">
        <v>41012</v>
      </c>
      <c r="W39" s="689" t="n"/>
      <c r="X39" s="689" t="n"/>
      <c r="Y39" s="618" t="inlineStr">
        <is>
          <t>M</t>
        </is>
      </c>
      <c r="Z39" s="619" t="inlineStr">
        <is>
          <t>400 IM</t>
        </is>
      </c>
      <c r="AA39" s="612" t="n">
        <v>14</v>
      </c>
      <c r="AB39" s="613" t="inlineStr">
        <is>
          <t>CH'NG SAW HUAI</t>
        </is>
      </c>
      <c r="AC39" s="614" t="inlineStr">
        <is>
          <t>4:51.86</t>
        </is>
      </c>
      <c r="AD39" s="628">
        <f>IFERROR(__xludf.DUMMYFUNCTION("IF(ISNUMBER(AC39), AC39, IF(REGEXMATCH(AC39, "":""), SUMPRODUCT(VALUE(SPLIT(AC39, "":"")) * (60^(COUNTIF(SPLIT(AC39, "":""), ""&lt;&gt;"")-COLUMN(OFFSET('MOT Tables 25'!$A$1,,,1,COUNTIF(SPLIT(AC39, "":""),""&lt;&gt;"")))))), VALUE(AC39)))"),291.86)</f>
        <v/>
      </c>
      <c r="AE39" s="616" t="n">
        <v>5</v>
      </c>
      <c r="AF39" s="617">
        <f t="array" ref="AF39">1000*(INDEX('Bakat Base Times'!$E:$E,MATCH(1,('Bakat Base Times'!$A:$A=Y39)*('Bakat Base Times'!$B:$B=Z39)*('Bakat Base Times'!$C:$C=AA39),0))/(VALUE(AD39)))^3
</f>
        <v/>
      </c>
      <c r="AG39" s="693" t="n"/>
      <c r="AH39" s="618" t="inlineStr">
        <is>
          <t>F</t>
        </is>
      </c>
      <c r="AI39" s="619" t="inlineStr">
        <is>
          <t>100 Fly</t>
        </is>
      </c>
      <c r="AJ39" s="619" t="n">
        <v>17</v>
      </c>
      <c r="AK39" s="613" t="inlineStr">
        <is>
          <t>EUNICE PUA JIA HUI</t>
        </is>
      </c>
      <c r="AL39" s="665" t="inlineStr">
        <is>
          <t>1:06.36</t>
        </is>
      </c>
      <c r="AM39" s="505">
        <f>IFERROR(__xludf.DUMMYFUNCTION("IF(ISNUMBER(AL39), AL39, IF(REGEXMATCH(AL39, "":""), SUMPRODUCT(VALUE(SPLIT(AL39, "":"")) * (60^(COUNTIF(SPLIT(AL39, "":""), ""&lt;&gt;"")-COLUMN(OFFSET('MOT Tables 25'!$A$1,,,1,COUNTIF(SPLIT(AL39, "":""),""&lt;&gt;"")))))), VALUE(AL39)))"),66.36)</f>
        <v/>
      </c>
      <c r="AN39" s="613" t="n">
        <v>14</v>
      </c>
      <c r="AO39" s="672">
        <f t="array" ref="AO39">1000*(INDEX('Bakat Base Times'!$E:$E,MATCH(1,('Bakat Base Times'!$A:$A=AH39)*('Bakat Base Times'!$B:$B=AI39)*('Bakat Base Times'!$C:$C=AJ39),0))/(VALUE(AM39)))^3
</f>
        <v/>
      </c>
      <c r="AP39" s="621" t="n"/>
      <c r="AQ39" s="693" t="n"/>
      <c r="AR39" s="625" t="inlineStr">
        <is>
          <t>EMMANUEL LOH YUNG MING</t>
        </is>
      </c>
      <c r="AS39" s="693">
        <f>SUMIF(AK:AK,AR39,AO:AO)</f>
        <v/>
      </c>
      <c r="AT39" s="626">
        <f>AVERAGEIF(AK:AK,AR39,AO:AO)</f>
        <v/>
      </c>
      <c r="AV39" s="625" t="inlineStr">
        <is>
          <t>KHEW ZI XIAN</t>
        </is>
      </c>
      <c r="AW39" s="693">
        <f>SUMIF(AK:AK,AV39,AO:AO)</f>
        <v/>
      </c>
      <c r="AX39" s="626">
        <f>AVERAGEIF(AK:AK,AV39,AO:AO)</f>
        <v/>
      </c>
      <c r="AY39" s="693" t="n"/>
      <c r="AZ39" s="693" t="n"/>
    </row>
    <row r="40">
      <c r="A40" s="654" t="n"/>
      <c r="B40" s="710" t="inlineStr">
        <is>
          <t>M</t>
        </is>
      </c>
      <c r="C40" s="709" t="inlineStr">
        <is>
          <t>50 Free</t>
        </is>
      </c>
      <c r="D40" s="710" t="n">
        <v>16</v>
      </c>
      <c r="E40" s="590" t="inlineStr">
        <is>
          <t>RYAN COLBY KUEH POH YUAN</t>
        </is>
      </c>
      <c r="F40" s="629" t="n">
        <v>24.74</v>
      </c>
      <c r="G4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 s="460">
        <f>G40/#REF!</f>
        <v/>
      </c>
      <c r="I40" s="661" t="n">
        <v>24.62</v>
      </c>
      <c r="J4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 s="460">
        <f>J40/#REF!</f>
        <v/>
      </c>
      <c r="L40" s="709" t="n">
        <v>16</v>
      </c>
      <c r="M40" s="593" t="n">
        <v>14</v>
      </c>
      <c r="N40" s="655">
        <f t="array" ref="N40">1000*(INDEX('Bakat Base Times'!$E:$E,MATCH(1,('Bakat Base Times'!$A:$A=B40)*('Bakat Base Times'!$B:$B=C40)*('Bakat Base Times'!$C:$C=D40),0))/(VALUE(O40)))^3
</f>
        <v/>
      </c>
      <c r="O40" s="582">
        <f>IFERROR(__xludf.DUMMYFUNCTION("IF(ISNUMBER(I40), I40, IF(REGEXMATCH(I40, "":""), SUMPRODUCT(VALUE(SPLIT(I40, "":"")) * (60^(COUNTIF(SPLIT(I40, "":""), ""&lt;&gt;"")-COLUMN(OFFSET('MOT Tables 25'!$A$1,,,1,COUNTIF(SPLIT(I40, "":""),""&lt;&gt;"")))))), VALUE(I40)))"),24.62)</f>
        <v/>
      </c>
      <c r="P40" s="689" t="n"/>
      <c r="Q40" s="689" t="n"/>
      <c r="R40" s="689" t="n"/>
      <c r="S40" s="689" t="n"/>
      <c r="T40" s="689" t="n"/>
      <c r="U40" s="689" t="n"/>
      <c r="V40" s="689" t="n"/>
      <c r="W40" s="689" t="n"/>
      <c r="X40" s="689" t="n"/>
      <c r="Y40" s="596" t="inlineStr">
        <is>
          <t>M</t>
        </is>
      </c>
      <c r="Z40" s="597" t="inlineStr">
        <is>
          <t>50 Free</t>
        </is>
      </c>
      <c r="AA40" s="589" t="n">
        <v>16</v>
      </c>
      <c r="AB40" s="590" t="inlineStr">
        <is>
          <t>RYAN COLBY KUEH POH YUAN</t>
        </is>
      </c>
      <c r="AC40" s="661" t="n">
        <v>24.62</v>
      </c>
      <c r="AD40" s="592">
        <f>IFERROR(__xludf.DUMMYFUNCTION("IF(ISNUMBER(AC40), AC40, IF(REGEXMATCH(AC40, "":""), SUMPRODUCT(VALUE(SPLIT(AC40, "":"")) * (60^(COUNTIF(SPLIT(AC40, "":""), ""&lt;&gt;"")-COLUMN(OFFSET('MOT Tables 25'!$A$1,,,1,COUNTIF(SPLIT(AC40, "":""),""&lt;&gt;"")))))), VALUE(AC40)))"),24.62)</f>
        <v/>
      </c>
      <c r="AE40" s="593" t="n">
        <v>14</v>
      </c>
      <c r="AF40" s="594">
        <f t="array" ref="AF40">1000*(INDEX('Bakat Base Times'!$E:$E,MATCH(1,('Bakat Base Times'!$A:$A=Y40)*('Bakat Base Times'!$B:$B=Z40)*('Bakat Base Times'!$C:$C=AA40),0))/(VALUE(AD40)))^3
</f>
        <v/>
      </c>
      <c r="AG40" s="693" t="n"/>
      <c r="AH40" s="596" t="inlineStr">
        <is>
          <t>F</t>
        </is>
      </c>
      <c r="AI40" s="597" t="inlineStr">
        <is>
          <t>200 Back</t>
        </is>
      </c>
      <c r="AJ40" s="597" t="n">
        <v>14</v>
      </c>
      <c r="AK40" s="590" t="inlineStr">
        <is>
          <t>EVITA TAN EE LIN</t>
        </is>
      </c>
      <c r="AL40" s="591" t="inlineStr">
        <is>
          <t>2:34.28</t>
        </is>
      </c>
      <c r="AM40" s="517">
        <f>IFERROR(__xludf.DUMMYFUNCTION("IF(ISNUMBER(AL40), AL40, IF(REGEXMATCH(AL40, "":""), SUMPRODUCT(VALUE(SPLIT(AL40, "":"")) * (60^(COUNTIF(SPLIT(AL40, "":""), ""&lt;&gt;"")-COLUMN(OFFSET('MOT Tables 25'!$A$1,,,1,COUNTIF(SPLIT(AL40, "":""),""&lt;&gt;"")))))), VALUE(AL40)))"),154.28)</f>
        <v/>
      </c>
      <c r="AN40" s="590" t="n">
        <v>13</v>
      </c>
      <c r="AO40" s="599">
        <f t="array" ref="AO40">1000*(INDEX('Bakat Base Times'!$E:$E,MATCH(1,('Bakat Base Times'!$A:$A=AH40)*('Bakat Base Times'!$B:$B=AI40)*('Bakat Base Times'!$C:$C=AJ40),0))/(VALUE(AM40)))^3
</f>
        <v/>
      </c>
      <c r="AP40" s="600" t="n"/>
      <c r="AQ40" s="693" t="n"/>
      <c r="AR40" s="625" t="inlineStr">
        <is>
          <t>OSWALD LIM</t>
        </is>
      </c>
      <c r="AS40" s="693">
        <f>SUMIF(AK:AK,AR40,AO:AO)</f>
        <v/>
      </c>
      <c r="AT40" s="626">
        <f>AVERAGEIF(AK:AK,AR40,AO:AO)</f>
        <v/>
      </c>
      <c r="AV40" s="625" t="inlineStr">
        <is>
          <t>EUNICE PUA JIA HUI</t>
        </is>
      </c>
      <c r="AW40" s="693">
        <f>SUMIF(AK:AK,AV40,AO:AO)</f>
        <v/>
      </c>
      <c r="AX40" s="626">
        <f>AVERAGEIF(AK:AK,AV40,AO:AO)</f>
        <v/>
      </c>
      <c r="AY40" s="693" t="n"/>
      <c r="AZ40" s="693" t="n"/>
    </row>
    <row r="41">
      <c r="A41" s="651" t="n"/>
      <c r="B41" s="705" t="inlineStr">
        <is>
          <t>M</t>
        </is>
      </c>
      <c r="C41" s="704" t="inlineStr">
        <is>
          <t>50 Free</t>
        </is>
      </c>
      <c r="D41" s="705" t="n">
        <v>18</v>
      </c>
      <c r="E41" s="613" t="inlineStr">
        <is>
          <t>RYAN EE TIAN AYMES</t>
        </is>
      </c>
      <c r="F41" s="627" t="n">
        <v>24.2</v>
      </c>
      <c r="G4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 s="464">
        <f>G41/#REF!</f>
        <v/>
      </c>
      <c r="I41" s="614" t="n">
        <v>24.11</v>
      </c>
      <c r="J4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 s="464">
        <f>J41/#REF!</f>
        <v/>
      </c>
      <c r="L41" s="704" t="n">
        <v>11</v>
      </c>
      <c r="M41" s="616" t="n">
        <v>11</v>
      </c>
      <c r="N41" s="652">
        <f t="array" ref="N41">1000*(INDEX('Bakat Base Times'!$E:$E,MATCH(1,('Bakat Base Times'!$A:$A=B41)*('Bakat Base Times'!$B:$B=C41)*('Bakat Base Times'!$C:$C=D41),0))/(VALUE(O41)))^3
</f>
        <v/>
      </c>
      <c r="O41" s="609">
        <f>IFERROR(__xludf.DUMMYFUNCTION("IF(ISNUMBER(I41), I41, IF(REGEXMATCH(I41, "":""), SUMPRODUCT(VALUE(SPLIT(I41, "":"")) * (60^(COUNTIF(SPLIT(I41, "":""), ""&lt;&gt;"")-COLUMN(OFFSET('MOT Tables 25'!$A$1,,,1,COUNTIF(SPLIT(I41, "":""),""&lt;&gt;"")))))), VALUE(I41)))"),24.11)</f>
        <v/>
      </c>
      <c r="P41" s="689" t="n"/>
      <c r="Q41" s="689" t="n"/>
      <c r="R41" s="689" t="n"/>
      <c r="S41" s="689" t="n"/>
      <c r="T41" s="689" t="n"/>
      <c r="U41" s="689" t="n"/>
      <c r="V41" s="689" t="n"/>
      <c r="W41" s="689" t="n"/>
      <c r="X41" s="689" t="n"/>
      <c r="Y41" s="618" t="inlineStr">
        <is>
          <t>M</t>
        </is>
      </c>
      <c r="Z41" s="619" t="inlineStr">
        <is>
          <t>50 Free</t>
        </is>
      </c>
      <c r="AA41" s="612" t="n">
        <v>18</v>
      </c>
      <c r="AB41" s="613" t="inlineStr">
        <is>
          <t>RYAN EE TIAN AYMES</t>
        </is>
      </c>
      <c r="AC41" s="614" t="n">
        <v>24.11</v>
      </c>
      <c r="AD41" s="628">
        <f>IFERROR(__xludf.DUMMYFUNCTION("IF(ISNUMBER(AC41), AC41, IF(REGEXMATCH(AC41, "":""), SUMPRODUCT(VALUE(SPLIT(AC41, "":"")) * (60^(COUNTIF(SPLIT(AC41, "":""), ""&lt;&gt;"")-COLUMN(OFFSET('MOT Tables 25'!$A$1,,,1,COUNTIF(SPLIT(AC41, "":""),""&lt;&gt;"")))))), VALUE(AC41)))"),24.11)</f>
        <v/>
      </c>
      <c r="AE41" s="616" t="n">
        <v>11</v>
      </c>
      <c r="AF41" s="617">
        <f t="array" ref="AF41">1000*(INDEX('Bakat Base Times'!$E:$E,MATCH(1,('Bakat Base Times'!$A:$A=Y41)*('Bakat Base Times'!$B:$B=Z41)*('Bakat Base Times'!$C:$C=AA41),0))/(VALUE(AD41)))^3
</f>
        <v/>
      </c>
      <c r="AG41" s="693" t="n"/>
      <c r="AH41" s="618" t="inlineStr">
        <is>
          <t>F</t>
        </is>
      </c>
      <c r="AI41" s="619" t="inlineStr">
        <is>
          <t>400 IM</t>
        </is>
      </c>
      <c r="AJ41" s="619" t="n">
        <v>16</v>
      </c>
      <c r="AK41" s="613" t="inlineStr">
        <is>
          <t>FELICIA LEE QIAN HUI</t>
        </is>
      </c>
      <c r="AL41" s="665" t="inlineStr">
        <is>
          <t>5:31.31</t>
        </is>
      </c>
      <c r="AM41" s="505">
        <f>IFERROR(__xludf.DUMMYFUNCTION("IF(ISNUMBER(AL41), AL41, IF(REGEXMATCH(AL41, "":""), SUMPRODUCT(VALUE(SPLIT(AL41, "":"")) * (60^(COUNTIF(SPLIT(AL41, "":""), ""&lt;&gt;"")-COLUMN(OFFSET('MOT Tables 25'!$A$1,,,1,COUNTIF(SPLIT(AL41, "":""),""&lt;&gt;"")))))), VALUE(AL41)))"),331.31)</f>
        <v/>
      </c>
      <c r="AN41" s="613" t="n">
        <v>9</v>
      </c>
      <c r="AO41" s="672">
        <f t="array" ref="AO41">1000*(INDEX('Bakat Base Times'!$E:$E,MATCH(1,('Bakat Base Times'!$A:$A=AH41)*('Bakat Base Times'!$B:$B=AI41)*('Bakat Base Times'!$C:$C=AJ41),0))/(VALUE(AM41)))^3
</f>
        <v/>
      </c>
      <c r="AP41" s="621" t="n"/>
      <c r="AQ41" s="693" t="n"/>
      <c r="AR41" s="625" t="inlineStr">
        <is>
          <t>SEAH SHU HUI</t>
        </is>
      </c>
      <c r="AS41" s="693">
        <f>SUMIF(AK:AK,AR41,AO:AO)</f>
        <v/>
      </c>
      <c r="AT41" s="626">
        <f>AVERAGEIF(AK:AK,AR41,AO:AO)</f>
        <v/>
      </c>
      <c r="AV41" s="625" t="inlineStr">
        <is>
          <t>ONG YHA ROU NATASHA</t>
        </is>
      </c>
      <c r="AW41" s="693">
        <f>SUMIF(AK:AK,AV41,AO:AO)</f>
        <v/>
      </c>
      <c r="AX41" s="626">
        <f>AVERAGEIF(AK:AK,AV41,AO:AO)</f>
        <v/>
      </c>
      <c r="AY41" s="693" t="n"/>
      <c r="AZ41" s="693" t="n"/>
    </row>
    <row r="42">
      <c r="A42" s="654" t="n"/>
      <c r="B42" s="710" t="inlineStr">
        <is>
          <t>M</t>
        </is>
      </c>
      <c r="C42" s="709" t="inlineStr">
        <is>
          <t>100 Free</t>
        </is>
      </c>
      <c r="D42" s="710" t="n">
        <v>14</v>
      </c>
      <c r="E42" s="590" t="inlineStr">
        <is>
          <t>DAMIAN SETH LIM</t>
        </is>
      </c>
      <c r="F42" s="707" t="inlineStr">
        <is>
          <t>55.76</t>
        </is>
      </c>
      <c r="G4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 s="460">
        <f>G42/#REF!</f>
        <v/>
      </c>
      <c r="I42" s="591" t="inlineStr">
        <is>
          <t>56.29</t>
        </is>
      </c>
      <c r="J4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 s="460">
        <f>J42/#REF!</f>
        <v/>
      </c>
      <c r="L42" s="709" t="n">
        <v>10</v>
      </c>
      <c r="M42" s="593" t="n">
        <v>11</v>
      </c>
      <c r="N42" s="655">
        <f t="array" ref="N42">1000*(INDEX('Bakat Base Times'!$E:$E,MATCH(1,('Bakat Base Times'!$A:$A=B42)*('Bakat Base Times'!$B:$B=C42)*('Bakat Base Times'!$C:$C=D42),0))/(VALUE(O42)))^3
</f>
        <v/>
      </c>
      <c r="O42" s="582">
        <f>IFERROR(__xludf.DUMMYFUNCTION("IF(ISNUMBER(I42), I42, IF(REGEXMATCH(I42, "":""), SUMPRODUCT(VALUE(SPLIT(I42, "":"")) * (60^(COUNTIF(SPLIT(I42, "":""), ""&lt;&gt;"")-COLUMN(OFFSET('MOT Tables 25'!$A$1,,,1,COUNTIF(SPLIT(I42, "":""),""&lt;&gt;"")))))), VALUE(I42)))"),56.29)</f>
        <v/>
      </c>
      <c r="P42" s="689" t="n"/>
      <c r="Q42" s="689" t="n"/>
      <c r="R42" s="689" t="n"/>
      <c r="S42" s="689" t="n"/>
      <c r="T42" s="689" t="n"/>
      <c r="U42" s="689" t="n"/>
      <c r="V42" s="689" t="n"/>
      <c r="W42" s="689" t="n"/>
      <c r="X42" s="689" t="n"/>
      <c r="Y42" s="596" t="inlineStr">
        <is>
          <t>M</t>
        </is>
      </c>
      <c r="Z42" s="597" t="inlineStr">
        <is>
          <t>100 Free</t>
        </is>
      </c>
      <c r="AA42" s="589" t="n">
        <v>14</v>
      </c>
      <c r="AB42" s="590" t="inlineStr">
        <is>
          <t>DAMIAN SETH LIM</t>
        </is>
      </c>
      <c r="AC42" s="591" t="inlineStr">
        <is>
          <t>56.29</t>
        </is>
      </c>
      <c r="AD42" s="592">
        <f>IFERROR(__xludf.DUMMYFUNCTION("IF(ISNUMBER(AC42), AC42, IF(REGEXMATCH(AC42, "":""), SUMPRODUCT(VALUE(SPLIT(AC42, "":"")) * (60^(COUNTIF(SPLIT(AC42, "":""), ""&lt;&gt;"")-COLUMN(OFFSET('MOT Tables 25'!$A$1,,,1,COUNTIF(SPLIT(AC42, "":""),""&lt;&gt;"")))))), VALUE(AC42)))"),56.29)</f>
        <v/>
      </c>
      <c r="AE42" s="593" t="n">
        <v>11</v>
      </c>
      <c r="AF42" s="594">
        <f t="array" ref="AF42">1000*(INDEX('Bakat Base Times'!$E:$E,MATCH(1,('Bakat Base Times'!$A:$A=Y42)*('Bakat Base Times'!$B:$B=Z42)*('Bakat Base Times'!$C:$C=AA42),0))/(VALUE(AD42)))^3
</f>
        <v/>
      </c>
      <c r="AG42" s="693" t="n"/>
      <c r="AH42" s="596" t="inlineStr">
        <is>
          <t>F</t>
        </is>
      </c>
      <c r="AI42" s="597" t="inlineStr">
        <is>
          <t>800 Free</t>
        </is>
      </c>
      <c r="AJ42" s="597" t="n">
        <v>16</v>
      </c>
      <c r="AK42" s="590" t="inlineStr">
        <is>
          <t>FELICIA LEE QIAN HUI</t>
        </is>
      </c>
      <c r="AL42" s="698" t="inlineStr">
        <is>
          <t>10:12.63</t>
        </is>
      </c>
      <c r="AM42" s="517">
        <f>IFERROR(__xludf.DUMMYFUNCTION("IF(ISNUMBER(AL42), AL42, IF(REGEXMATCH(AL42, "":""), SUMPRODUCT(VALUE(SPLIT(AL42, "":"")) * (60^(COUNTIF(SPLIT(AL42, "":""), ""&lt;&gt;"")-COLUMN(OFFSET('MOT Tables 25'!$A$1,,,1,COUNTIF(SPLIT(AL42, "":""),""&lt;&gt;"")))))), VALUE(AL42)))"),612.63)</f>
        <v/>
      </c>
      <c r="AN42" s="590" t="n">
        <v>11</v>
      </c>
      <c r="AO42" s="599">
        <f t="array" ref="AO42">1000*(INDEX('Bakat Base Times'!$E:$E,MATCH(1,('Bakat Base Times'!$A:$A=AH42)*('Bakat Base Times'!$B:$B=AI42)*('Bakat Base Times'!$C:$C=AJ42),0))/(VALUE(AM42)))^3
</f>
        <v/>
      </c>
      <c r="AP42" s="600" t="n"/>
      <c r="AQ42" s="693" t="n"/>
      <c r="AR42" s="625" t="inlineStr">
        <is>
          <t>ANG YONG JUN</t>
        </is>
      </c>
      <c r="AS42" s="693">
        <f>SUMIF(AK:AK,AR42,AO:AO)</f>
        <v/>
      </c>
      <c r="AT42" s="626">
        <f>AVERAGEIF(AK:AK,AR42,AO:AO)</f>
        <v/>
      </c>
      <c r="AV42" s="625" t="inlineStr">
        <is>
          <t>RAINNE FOO JIE XIN</t>
        </is>
      </c>
      <c r="AW42" s="693">
        <f>SUMIF(AK:AK,AV42,AO:AO)</f>
        <v/>
      </c>
      <c r="AX42" s="626">
        <f>AVERAGEIF(AK:AK,AV42,AO:AO)</f>
        <v/>
      </c>
      <c r="AY42" s="693" t="n"/>
      <c r="AZ42" s="693" t="n"/>
    </row>
    <row r="43">
      <c r="A43" s="651" t="n"/>
      <c r="B43" s="705" t="inlineStr">
        <is>
          <t>M</t>
        </is>
      </c>
      <c r="C43" s="704" t="inlineStr">
        <is>
          <t>100 Back</t>
        </is>
      </c>
      <c r="D43" s="705" t="n">
        <v>16</v>
      </c>
      <c r="E43" s="613" t="inlineStr">
        <is>
          <t>DYLAN LEONG YI QUAN</t>
        </is>
      </c>
      <c r="F43" s="701" t="inlineStr">
        <is>
          <t>59.24</t>
        </is>
      </c>
      <c r="G4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 s="464">
        <f>G43/#REF!</f>
        <v/>
      </c>
      <c r="I43" s="614" t="inlineStr">
        <is>
          <t>1:00.07</t>
        </is>
      </c>
      <c r="J4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 s="464">
        <f>J43/#REF!</f>
        <v/>
      </c>
      <c r="L43" s="704" t="n">
        <v>7</v>
      </c>
      <c r="M43" s="616" t="n">
        <v>10</v>
      </c>
      <c r="N43" s="652">
        <f t="array" ref="N43">1000*(INDEX('Bakat Base Times'!$E:$E,MATCH(1,('Bakat Base Times'!$A:$A=B43)*('Bakat Base Times'!$B:$B=C43)*('Bakat Base Times'!$C:$C=D43),0))/(VALUE(O43)))^3
</f>
        <v/>
      </c>
      <c r="O43" s="609">
        <f>IFERROR(__xludf.DUMMYFUNCTION("IF(ISNUMBER(I43), I43, IF(REGEXMATCH(I43, "":""), SUMPRODUCT(VALUE(SPLIT(I43, "":"")) * (60^(COUNTIF(SPLIT(I43, "":""), ""&lt;&gt;"")-COLUMN(OFFSET('MOT Tables 25'!$A$1,,,1,COUNTIF(SPLIT(I43, "":""),""&lt;&gt;"")))))), VALUE(I43)))"),60.07)</f>
        <v/>
      </c>
      <c r="P43" s="689" t="n"/>
      <c r="Q43" s="689" t="n"/>
      <c r="R43" s="689" t="n"/>
      <c r="S43" s="689" t="n"/>
      <c r="T43" s="689" t="n"/>
      <c r="U43" s="689" t="n"/>
      <c r="V43" s="689" t="n"/>
      <c r="W43" s="689" t="n"/>
      <c r="X43" s="689" t="n"/>
      <c r="Y43" s="618" t="inlineStr">
        <is>
          <t>M</t>
        </is>
      </c>
      <c r="Z43" s="619" t="inlineStr">
        <is>
          <t>100 Back</t>
        </is>
      </c>
      <c r="AA43" s="612" t="n">
        <v>16</v>
      </c>
      <c r="AB43" s="613" t="inlineStr">
        <is>
          <t>DYLAN LEONG YI QUAN</t>
        </is>
      </c>
      <c r="AC43" s="614" t="inlineStr">
        <is>
          <t>1:00.07</t>
        </is>
      </c>
      <c r="AD43" s="628">
        <f>IFERROR(__xludf.DUMMYFUNCTION("IF(ISNUMBER(AC43), AC43, IF(REGEXMATCH(AC43, "":""), SUMPRODUCT(VALUE(SPLIT(AC43, "":"")) * (60^(COUNTIF(SPLIT(AC43, "":""), ""&lt;&gt;"")-COLUMN(OFFSET('MOT Tables 25'!$A$1,,,1,COUNTIF(SPLIT(AC43, "":""),""&lt;&gt;"")))))), VALUE(AC43)))"),60.07)</f>
        <v/>
      </c>
      <c r="AE43" s="616" t="n">
        <v>10</v>
      </c>
      <c r="AF43" s="617">
        <f t="array" ref="AF43">1000*(INDEX('Bakat Base Times'!$E:$E,MATCH(1,('Bakat Base Times'!$A:$A=Y43)*('Bakat Base Times'!$B:$B=Z43)*('Bakat Base Times'!$C:$C=AA43),0))/(VALUE(AD43)))^3
</f>
        <v/>
      </c>
      <c r="AG43" s="693" t="n"/>
      <c r="AH43" s="618" t="inlineStr">
        <is>
          <t>M</t>
        </is>
      </c>
      <c r="AI43" s="619" t="inlineStr">
        <is>
          <t>1500 Free</t>
        </is>
      </c>
      <c r="AJ43" s="619" t="n">
        <v>14</v>
      </c>
      <c r="AK43" s="613" t="inlineStr">
        <is>
          <t>HERMANN TANG BOK YU</t>
        </is>
      </c>
      <c r="AL43" s="614" t="inlineStr">
        <is>
          <t>17:05.41</t>
        </is>
      </c>
      <c r="AM43" s="505">
        <f>IFERROR(__xludf.DUMMYFUNCTION("IF(ISNUMBER(AL43), AL43, IF(REGEXMATCH(AL43, "":""), SUMPRODUCT(VALUE(SPLIT(AL43, "":"")) * (60^(COUNTIF(SPLIT(AL43, "":""), ""&lt;&gt;"")-COLUMN(OFFSET('MOT Tables 25'!$A$1,,,1,COUNTIF(SPLIT(AL43, "":""),""&lt;&gt;"")))))), VALUE(AL43)))"),1025.41)</f>
        <v/>
      </c>
      <c r="AN43" s="613" t="n">
        <v>7</v>
      </c>
      <c r="AO43" s="672">
        <f t="array" ref="AO43">1000*(INDEX('Bakat Base Times'!$E:$E,MATCH(1,('Bakat Base Times'!$A:$A=AH43)*('Bakat Base Times'!$B:$B=AI43)*('Bakat Base Times'!$C:$C=AJ43),0))/(VALUE(AM43)))^3
</f>
        <v/>
      </c>
      <c r="AP43" s="621" t="n"/>
      <c r="AQ43" s="693" t="n"/>
      <c r="AR43" s="625" t="inlineStr">
        <is>
          <t>YAP KE HUI</t>
        </is>
      </c>
      <c r="AS43" s="693">
        <f>SUMIF(AK:AK,AR43,AO:AO)</f>
        <v/>
      </c>
      <c r="AT43" s="626">
        <f>AVERAGEIF(AK:AK,AR43,AO:AO)</f>
        <v/>
      </c>
      <c r="AV43" s="622" t="inlineStr">
        <is>
          <t>NISHAN CHRISTOPHER MANUEL</t>
        </is>
      </c>
      <c r="AW43" s="639">
        <f>SUMIF(AK:AK,AV43,AO:AO)</f>
        <v/>
      </c>
      <c r="AX43" s="624">
        <f>AVERAGEIF(AK:AK,AV43,AO:AO)</f>
        <v/>
      </c>
      <c r="AY43" s="693" t="n"/>
      <c r="AZ43" s="693" t="n"/>
    </row>
    <row r="44">
      <c r="A44" s="654" t="n"/>
      <c r="B44" s="710" t="inlineStr">
        <is>
          <t>M</t>
        </is>
      </c>
      <c r="C44" s="709" t="inlineStr">
        <is>
          <t>200 Breast</t>
        </is>
      </c>
      <c r="D44" s="710" t="n">
        <v>17</v>
      </c>
      <c r="E44" s="590" t="inlineStr">
        <is>
          <t>SOPHOCLES NG XINXIAN</t>
        </is>
      </c>
      <c r="F44" s="707" t="inlineStr">
        <is>
          <t>2:25.24</t>
        </is>
      </c>
      <c r="G4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 s="460">
        <f>G44/#REF!</f>
        <v/>
      </c>
      <c r="I44" s="591" t="inlineStr">
        <is>
          <t>2:24.82</t>
        </is>
      </c>
      <c r="J4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 s="460">
        <f>J44/#REF!</f>
        <v/>
      </c>
      <c r="L44" s="709" t="n">
        <v>7</v>
      </c>
      <c r="M44" s="593" t="n">
        <v>8</v>
      </c>
      <c r="N44" s="655">
        <f t="array" ref="N44">1000*(INDEX('Bakat Base Times'!$E:$E,MATCH(1,('Bakat Base Times'!$A:$A=B44)*('Bakat Base Times'!$B:$B=C44)*('Bakat Base Times'!$C:$C=D44),0))/(VALUE(O44)))^3
</f>
        <v/>
      </c>
      <c r="O44" s="582">
        <f>IFERROR(__xludf.DUMMYFUNCTION("IF(ISNUMBER(I44), I44, IF(REGEXMATCH(I44, "":""), SUMPRODUCT(VALUE(SPLIT(I44, "":"")) * (60^(COUNTIF(SPLIT(I44, "":""), ""&lt;&gt;"")-COLUMN(OFFSET('MOT Tables 25'!$A$1,,,1,COUNTIF(SPLIT(I44, "":""),""&lt;&gt;"")))))), VALUE(I44)))"),144.82)</f>
        <v/>
      </c>
      <c r="P44" s="689" t="n"/>
      <c r="Q44" s="689" t="n"/>
      <c r="R44" s="689" t="n"/>
      <c r="S44" s="689" t="n"/>
      <c r="T44" s="689" t="n"/>
      <c r="U44" s="689" t="n"/>
      <c r="V44" s="689" t="n"/>
      <c r="W44" s="689" t="n"/>
      <c r="X44" s="689" t="n"/>
      <c r="Y44" s="596" t="inlineStr">
        <is>
          <t>M</t>
        </is>
      </c>
      <c r="Z44" s="597" t="inlineStr">
        <is>
          <t>200 Breast</t>
        </is>
      </c>
      <c r="AA44" s="589" t="n">
        <v>17</v>
      </c>
      <c r="AB44" s="590" t="inlineStr">
        <is>
          <t>SOPHOCLES NG XINXIAN</t>
        </is>
      </c>
      <c r="AC44" s="591" t="inlineStr">
        <is>
          <t>2:24.82</t>
        </is>
      </c>
      <c r="AD44" s="592">
        <f>IFERROR(__xludf.DUMMYFUNCTION("IF(ISNUMBER(AC44), AC44, IF(REGEXMATCH(AC44, "":""), SUMPRODUCT(VALUE(SPLIT(AC44, "":"")) * (60^(COUNTIF(SPLIT(AC44, "":""), ""&lt;&gt;"")-COLUMN(OFFSET('MOT Tables 25'!$A$1,,,1,COUNTIF(SPLIT(AC44, "":""),""&lt;&gt;"")))))), VALUE(AC44)))"),144.82)</f>
        <v/>
      </c>
      <c r="AE44" s="593" t="n">
        <v>8</v>
      </c>
      <c r="AF44" s="594">
        <f t="array" ref="AF44">1000*(INDEX('Bakat Base Times'!$E:$E,MATCH(1,('Bakat Base Times'!$A:$A=Y44)*('Bakat Base Times'!$B:$B=Z44)*('Bakat Base Times'!$C:$C=AA44),0))/(VALUE(AD44)))^3
</f>
        <v/>
      </c>
      <c r="AG44" s="693" t="n"/>
      <c r="AH44" s="596" t="inlineStr">
        <is>
          <t>M</t>
        </is>
      </c>
      <c r="AI44" s="597" t="inlineStr">
        <is>
          <t>400 Free</t>
        </is>
      </c>
      <c r="AJ44" s="597" t="n">
        <v>14</v>
      </c>
      <c r="AK44" s="590" t="inlineStr">
        <is>
          <t>HERMANN TANG BOK YU</t>
        </is>
      </c>
      <c r="AL44" s="591" t="inlineStr">
        <is>
          <t>4:20.70</t>
        </is>
      </c>
      <c r="AM44" s="517">
        <f>IFERROR(__xludf.DUMMYFUNCTION("IF(ISNUMBER(AL44), AL44, IF(REGEXMATCH(AL44, "":""), SUMPRODUCT(VALUE(SPLIT(AL44, "":"")) * (60^(COUNTIF(SPLIT(AL44, "":""), ""&lt;&gt;"")-COLUMN(OFFSET('MOT Tables 25'!$A$1,,,1,COUNTIF(SPLIT(AL44, "":""),""&lt;&gt;"")))))), VALUE(AL44)))"),260.7)</f>
        <v/>
      </c>
      <c r="AN44" s="590" t="n">
        <v>9</v>
      </c>
      <c r="AO44" s="599">
        <f t="array" ref="AO44">1000*(INDEX('Bakat Base Times'!$E:$E,MATCH(1,('Bakat Base Times'!$A:$A=AH44)*('Bakat Base Times'!$B:$B=AI44)*('Bakat Base Times'!$C:$C=AJ44),0))/(VALUE(AM44)))^3
</f>
        <v/>
      </c>
      <c r="AP44" s="600" t="n"/>
      <c r="AQ44" s="693" t="n"/>
      <c r="AR44" s="625" t="inlineStr">
        <is>
          <t>KHEW ZI XIAN</t>
        </is>
      </c>
      <c r="AS44" s="693">
        <f>SUMIF(AK:AK,AR44,AO:AO)</f>
        <v/>
      </c>
      <c r="AT44" s="626">
        <f>AVERAGEIF(AK:AK,AR44,AO:AO)</f>
        <v/>
      </c>
      <c r="AV44" s="625" t="inlineStr">
        <is>
          <t>ISABELLE KAM ZI ZHEN</t>
        </is>
      </c>
      <c r="AW44" s="693">
        <f>SUMIF(AK:AK,AV44,AO:AO)</f>
        <v/>
      </c>
      <c r="AX44" s="626">
        <f>AVERAGEIF(AK:AK,AV44,AO:AO)</f>
        <v/>
      </c>
      <c r="AY44" s="693" t="n"/>
      <c r="AZ44" s="693" t="n"/>
    </row>
    <row r="45">
      <c r="A45" s="651" t="n"/>
      <c r="B45" s="705" t="inlineStr">
        <is>
          <t>M</t>
        </is>
      </c>
      <c r="C45" s="704" t="inlineStr">
        <is>
          <t>400 Free</t>
        </is>
      </c>
      <c r="D45" s="705" t="n">
        <v>14</v>
      </c>
      <c r="E45" s="613" t="inlineStr">
        <is>
          <t>HERMANN TANG BOK YU</t>
        </is>
      </c>
      <c r="F45" s="701" t="inlineStr">
        <is>
          <t>4:20.66</t>
        </is>
      </c>
      <c r="G4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 s="464">
        <f>G45/#REF!</f>
        <v/>
      </c>
      <c r="I45" s="614" t="inlineStr">
        <is>
          <t>4:20.70</t>
        </is>
      </c>
      <c r="J4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 s="464">
        <f>J45/#REF!</f>
        <v/>
      </c>
      <c r="L45" s="704" t="n">
        <v>9</v>
      </c>
      <c r="M45" s="616" t="n">
        <v>9</v>
      </c>
      <c r="N45" s="652">
        <f t="array" ref="N45">1000*(INDEX('Bakat Base Times'!$E:$E,MATCH(1,('Bakat Base Times'!$A:$A=B45)*('Bakat Base Times'!$B:$B=C45)*('Bakat Base Times'!$C:$C=D45),0))/(VALUE(O45)))^3
</f>
        <v/>
      </c>
      <c r="O45" s="609">
        <f>IFERROR(__xludf.DUMMYFUNCTION("IF(ISNUMBER(I45), I45, IF(REGEXMATCH(I45, "":""), SUMPRODUCT(VALUE(SPLIT(I45, "":"")) * (60^(COUNTIF(SPLIT(I45, "":""), ""&lt;&gt;"")-COLUMN(OFFSET('MOT Tables 25'!$A$1,,,1,COUNTIF(SPLIT(I45, "":""),""&lt;&gt;"")))))), VALUE(I45)))"),260.7)</f>
        <v/>
      </c>
      <c r="P45" s="689" t="n"/>
      <c r="Q45" s="689" t="n"/>
      <c r="R45" s="689" t="n"/>
      <c r="S45" s="689" t="n"/>
      <c r="T45" s="689" t="n"/>
      <c r="U45" s="689" t="n"/>
      <c r="V45" s="689" t="n"/>
      <c r="W45" s="689" t="n"/>
      <c r="X45" s="689" t="n"/>
      <c r="Y45" s="618" t="inlineStr">
        <is>
          <t>M</t>
        </is>
      </c>
      <c r="Z45" s="619" t="inlineStr">
        <is>
          <t>400 Free</t>
        </is>
      </c>
      <c r="AA45" s="612" t="n">
        <v>14</v>
      </c>
      <c r="AB45" s="613" t="inlineStr">
        <is>
          <t>HERMANN TANG BOK YU</t>
        </is>
      </c>
      <c r="AC45" s="614" t="inlineStr">
        <is>
          <t>4:20.70</t>
        </is>
      </c>
      <c r="AD45" s="628">
        <f>IFERROR(__xludf.DUMMYFUNCTION("IF(ISNUMBER(AC45), AC45, IF(REGEXMATCH(AC45, "":""), SUMPRODUCT(VALUE(SPLIT(AC45, "":"")) * (60^(COUNTIF(SPLIT(AC45, "":""), ""&lt;&gt;"")-COLUMN(OFFSET('MOT Tables 25'!$A$1,,,1,COUNTIF(SPLIT(AC45, "":""),""&lt;&gt;"")))))), VALUE(AC45)))"),260.7)</f>
        <v/>
      </c>
      <c r="AE45" s="616" t="n">
        <v>9</v>
      </c>
      <c r="AF45" s="617">
        <f t="array" ref="AF45">1000*(INDEX('Bakat Base Times'!$E:$E,MATCH(1,('Bakat Base Times'!$A:$A=Y45)*('Bakat Base Times'!$B:$B=Z45)*('Bakat Base Times'!$C:$C=AA45),0))/(VALUE(AD45)))^3
</f>
        <v/>
      </c>
      <c r="AG45" s="693" t="n"/>
      <c r="AH45" s="618" t="inlineStr">
        <is>
          <t>M</t>
        </is>
      </c>
      <c r="AI45" s="619" t="inlineStr">
        <is>
          <t>400 IM</t>
        </is>
      </c>
      <c r="AJ45" s="619" t="n">
        <v>14</v>
      </c>
      <c r="AK45" s="613" t="inlineStr">
        <is>
          <t>HERMANN TANG BOK YU</t>
        </is>
      </c>
      <c r="AL45" s="614" t="inlineStr">
        <is>
          <t>4:56.92</t>
        </is>
      </c>
      <c r="AM45" s="505">
        <f>IFERROR(__xludf.DUMMYFUNCTION("IF(ISNUMBER(AL45), AL45, IF(REGEXMATCH(AL45, "":""), SUMPRODUCT(VALUE(SPLIT(AL45, "":"")) * (60^(COUNTIF(SPLIT(AL45, "":""), ""&lt;&gt;"")-COLUMN(OFFSET('MOT Tables 25'!$A$1,,,1,COUNTIF(SPLIT(AL45, "":""),""&lt;&gt;"")))))), VALUE(AL45)))"),296.92)</f>
        <v/>
      </c>
      <c r="AN45" s="613" t="n">
        <v>10</v>
      </c>
      <c r="AO45" s="672">
        <f t="array" ref="AO45">1000*(INDEX('Bakat Base Times'!$E:$E,MATCH(1,('Bakat Base Times'!$A:$A=AH45)*('Bakat Base Times'!$B:$B=AI45)*('Bakat Base Times'!$C:$C=AJ45),0))/(VALUE(AM45)))^3
</f>
        <v/>
      </c>
      <c r="AP45" s="621" t="n"/>
      <c r="AQ45" s="693" t="n"/>
      <c r="AR45" s="625" t="inlineStr">
        <is>
          <t>EUNICE PUA JIA HUI</t>
        </is>
      </c>
      <c r="AS45" s="693">
        <f>SUMIF(AK:AK,AR45,AO:AO)</f>
        <v/>
      </c>
      <c r="AT45" s="626">
        <f>AVERAGEIF(AK:AK,AR45,AO:AO)</f>
        <v/>
      </c>
      <c r="AV45" s="625" t="inlineStr">
        <is>
          <t>LIM CHEE WAI</t>
        </is>
      </c>
      <c r="AW45" s="693">
        <f>SUMIF(AK:AK,AV45,AO:AO)</f>
        <v/>
      </c>
      <c r="AX45" s="626">
        <f>AVERAGEIF(AK:AK,AV45,AO:AO)</f>
        <v/>
      </c>
      <c r="AY45" s="693" t="n"/>
      <c r="AZ45" s="693" t="n"/>
    </row>
    <row r="46">
      <c r="A46" s="654" t="n"/>
      <c r="B46" s="710" t="inlineStr">
        <is>
          <t>F</t>
        </is>
      </c>
      <c r="C46" s="709" t="inlineStr">
        <is>
          <t>200 Breast</t>
        </is>
      </c>
      <c r="D46" s="710" t="n">
        <v>16</v>
      </c>
      <c r="E46" s="590" t="inlineStr">
        <is>
          <t>KHOO SUE ENN</t>
        </is>
      </c>
      <c r="F46" s="707" t="inlineStr">
        <is>
          <t>2:37.90</t>
        </is>
      </c>
      <c r="G4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 s="460">
        <f>G46/#REF!</f>
        <v/>
      </c>
      <c r="I46" s="591" t="inlineStr">
        <is>
          <t>2:40.61</t>
        </is>
      </c>
      <c r="J4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 s="460">
        <f>J46/#REF!</f>
        <v/>
      </c>
      <c r="L46" s="709" t="n">
        <v>1</v>
      </c>
      <c r="M46" s="593" t="n">
        <v>2</v>
      </c>
      <c r="N46" s="655">
        <f t="array" ref="N46">1000*(INDEX('Bakat Base Times'!$E:$E,MATCH(1,('Bakat Base Times'!$A:$A=B46)*('Bakat Base Times'!$B:$B=C46)*('Bakat Base Times'!$C:$C=D46),0))/(VALUE(O46)))^3
</f>
        <v/>
      </c>
      <c r="O46" s="582">
        <f>IFERROR(__xludf.DUMMYFUNCTION("IF(ISNUMBER(I46), I46, IF(REGEXMATCH(I46, "":""), SUMPRODUCT(VALUE(SPLIT(I46, "":"")) * (60^(COUNTIF(SPLIT(I46, "":""), ""&lt;&gt;"")-COLUMN(OFFSET('MOT Tables 25'!$A$1,,,1,COUNTIF(SPLIT(I46, "":""),""&lt;&gt;"")))))), VALUE(I46)))"),160.61)</f>
        <v/>
      </c>
      <c r="P46" s="689" t="n"/>
      <c r="Q46" s="689" t="n"/>
      <c r="R46" s="689" t="n"/>
      <c r="S46" s="689" t="n"/>
      <c r="T46" s="689" t="n"/>
      <c r="U46" s="689" t="n"/>
      <c r="V46" s="689" t="n"/>
      <c r="W46" s="689" t="n"/>
      <c r="X46" s="689" t="n"/>
      <c r="Y46" s="596" t="inlineStr">
        <is>
          <t>F</t>
        </is>
      </c>
      <c r="Z46" s="597" t="inlineStr">
        <is>
          <t>200 Breast</t>
        </is>
      </c>
      <c r="AA46" s="589" t="n">
        <v>16</v>
      </c>
      <c r="AB46" s="590" t="inlineStr">
        <is>
          <t>KHOO SUE ENN</t>
        </is>
      </c>
      <c r="AC46" s="591" t="inlineStr">
        <is>
          <t>2:40.61</t>
        </is>
      </c>
      <c r="AD46" s="592">
        <f>IFERROR(__xludf.DUMMYFUNCTION("IF(ISNUMBER(AC46), AC46, IF(REGEXMATCH(AC46, "":""), SUMPRODUCT(VALUE(SPLIT(AC46, "":"")) * (60^(COUNTIF(SPLIT(AC46, "":""), ""&lt;&gt;"")-COLUMN(OFFSET('MOT Tables 25'!$A$1,,,1,COUNTIF(SPLIT(AC46, "":""),""&lt;&gt;"")))))), VALUE(AC46)))"),160.61)</f>
        <v/>
      </c>
      <c r="AE46" s="593" t="n">
        <v>2</v>
      </c>
      <c r="AF46" s="594">
        <f t="array" ref="AF46">1000*(INDEX('Bakat Base Times'!$E:$E,MATCH(1,('Bakat Base Times'!$A:$A=Y46)*('Bakat Base Times'!$B:$B=Z46)*('Bakat Base Times'!$C:$C=AA46),0))/(VALUE(AD46)))^3
</f>
        <v/>
      </c>
      <c r="AG46" s="693" t="n"/>
      <c r="AH46" s="596" t="inlineStr">
        <is>
          <t>M</t>
        </is>
      </c>
      <c r="AI46" s="597" t="inlineStr">
        <is>
          <t>200 IM</t>
        </is>
      </c>
      <c r="AJ46" s="597" t="n">
        <v>14</v>
      </c>
      <c r="AK46" s="590" t="inlineStr">
        <is>
          <t>HERMANN TANG BOK YU</t>
        </is>
      </c>
      <c r="AL46" s="667" t="inlineStr">
        <is>
          <t>2:24.58</t>
        </is>
      </c>
      <c r="AM46" s="517">
        <f>IFERROR(__xludf.DUMMYFUNCTION("IF(ISNUMBER(AL46), AL46, IF(REGEXMATCH(AL46, "":""), SUMPRODUCT(VALUE(SPLIT(AL46, "":"")) * (60^(COUNTIF(SPLIT(AL46, "":""), ""&lt;&gt;"")-COLUMN(OFFSET('MOT Tables 25'!$A$1,,,1,COUNTIF(SPLIT(AL46, "":""),""&lt;&gt;"")))))), VALUE(AL46)))"),144.57999999999998)</f>
        <v/>
      </c>
      <c r="AN46" s="590" t="n">
        <v>13</v>
      </c>
      <c r="AO46" s="599">
        <f t="array" ref="AO46">1000*(INDEX('Bakat Base Times'!$E:$E,MATCH(1,('Bakat Base Times'!$A:$A=AH46)*('Bakat Base Times'!$B:$B=AI46)*('Bakat Base Times'!$C:$C=AJ46),0))/(VALUE(AM46)))^3
</f>
        <v/>
      </c>
      <c r="AP46" s="600" t="n"/>
      <c r="AQ46" s="693" t="n"/>
      <c r="AR46" s="625" t="inlineStr">
        <is>
          <t>ONG YHA ROU NATASHA</t>
        </is>
      </c>
      <c r="AS46" s="693">
        <f>SUMIF(AK:AK,AR46,AO:AO)</f>
        <v/>
      </c>
      <c r="AT46" s="626">
        <f>AVERAGEIF(AK:AK,AR46,AO:AO)</f>
        <v/>
      </c>
      <c r="AV46" s="625" t="inlineStr">
        <is>
          <t>JOELLE CHAN ZU EE</t>
        </is>
      </c>
      <c r="AW46" s="693">
        <f>SUMIF(AK:AK,AV46,AO:AO)</f>
        <v/>
      </c>
      <c r="AX46" s="626">
        <f>AVERAGEIF(AK:AK,AV46,AO:AO)</f>
        <v/>
      </c>
      <c r="AY46" s="693" t="n"/>
      <c r="AZ46" s="693" t="n"/>
    </row>
    <row r="47">
      <c r="A47" s="651" t="n"/>
      <c r="B47" s="705" t="inlineStr">
        <is>
          <t>M</t>
        </is>
      </c>
      <c r="C47" s="704" t="inlineStr">
        <is>
          <t>400 Free</t>
        </is>
      </c>
      <c r="D47" s="705" t="n">
        <v>18</v>
      </c>
      <c r="E47" s="613" t="inlineStr">
        <is>
          <t>SAMUEL LAI CHONG WENG</t>
        </is>
      </c>
      <c r="F47" s="701" t="inlineStr">
        <is>
          <t>4:06.88</t>
        </is>
      </c>
      <c r="G47"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 s="464">
        <f>G47/#REF!</f>
        <v/>
      </c>
      <c r="I47" s="614" t="inlineStr">
        <is>
          <t>4:07.84</t>
        </is>
      </c>
      <c r="J47"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 s="464">
        <f>J47/#REF!</f>
        <v/>
      </c>
      <c r="L47" s="704" t="n">
        <v>6</v>
      </c>
      <c r="M47" s="616" t="n">
        <v>5</v>
      </c>
      <c r="N47" s="652">
        <f t="array" ref="N47">1000*(INDEX('Bakat Base Times'!$E:$E,MATCH(1,('Bakat Base Times'!$A:$A=B47)*('Bakat Base Times'!$B:$B=C47)*('Bakat Base Times'!$C:$C=D47),0))/(VALUE(O47)))^3
</f>
        <v/>
      </c>
      <c r="O47" s="609">
        <f>IFERROR(__xludf.DUMMYFUNCTION("IF(ISNUMBER(I47), I47, IF(REGEXMATCH(I47, "":""), SUMPRODUCT(VALUE(SPLIT(I47, "":"")) * (60^(COUNTIF(SPLIT(I47, "":""), ""&lt;&gt;"")-COLUMN(OFFSET('MOT Tables 25'!$A$1,,,1,COUNTIF(SPLIT(I47, "":""),""&lt;&gt;"")))))), VALUE(I47)))"),247.84)</f>
        <v/>
      </c>
      <c r="P47" s="689" t="n"/>
      <c r="Q47" s="689" t="n"/>
      <c r="R47" s="689" t="n"/>
      <c r="S47" s="689" t="n"/>
      <c r="T47" s="689" t="n"/>
      <c r="U47" s="689" t="n"/>
      <c r="V47" s="689" t="n"/>
      <c r="W47" s="689" t="n"/>
      <c r="X47" s="689" t="n"/>
      <c r="Y47" s="618" t="inlineStr">
        <is>
          <t>M</t>
        </is>
      </c>
      <c r="Z47" s="619" t="inlineStr">
        <is>
          <t>400 Free</t>
        </is>
      </c>
      <c r="AA47" s="612" t="n">
        <v>18</v>
      </c>
      <c r="AB47" s="613" t="inlineStr">
        <is>
          <t>SAMUEL LAI CHONG WENG</t>
        </is>
      </c>
      <c r="AC47" s="614" t="inlineStr">
        <is>
          <t>4:07.84</t>
        </is>
      </c>
      <c r="AD47" s="628">
        <f>IFERROR(__xludf.DUMMYFUNCTION("IF(ISNUMBER(AC47), AC47, IF(REGEXMATCH(AC47, "":""), SUMPRODUCT(VALUE(SPLIT(AC47, "":"")) * (60^(COUNTIF(SPLIT(AC47, "":""), ""&lt;&gt;"")-COLUMN(OFFSET('MOT Tables 25'!$A$1,,,1,COUNTIF(SPLIT(AC47, "":""),""&lt;&gt;"")))))), VALUE(AC47)))"),247.84)</f>
        <v/>
      </c>
      <c r="AE47" s="616" t="n">
        <v>5</v>
      </c>
      <c r="AF47" s="617">
        <f t="array" ref="AF47">1000*(INDEX('Bakat Base Times'!$E:$E,MATCH(1,('Bakat Base Times'!$A:$A=Y47)*('Bakat Base Times'!$B:$B=Z47)*('Bakat Base Times'!$C:$C=AA47),0))/(VALUE(AD47)))^3
</f>
        <v/>
      </c>
      <c r="AG47" s="693" t="n"/>
      <c r="AH47" s="618" t="inlineStr">
        <is>
          <t>M</t>
        </is>
      </c>
      <c r="AI47" s="619" t="inlineStr">
        <is>
          <t>200 Back</t>
        </is>
      </c>
      <c r="AJ47" s="619" t="n">
        <v>14</v>
      </c>
      <c r="AK47" s="613" t="inlineStr">
        <is>
          <t>HERMANN TANG BOK YU</t>
        </is>
      </c>
      <c r="AL47" s="614" t="inlineStr">
        <is>
          <t>2:24.18</t>
        </is>
      </c>
      <c r="AM47" s="505">
        <f>IFERROR(__xludf.DUMMYFUNCTION("IF(ISNUMBER(AL47), AL47, IF(REGEXMATCH(AL47, "":""), SUMPRODUCT(VALUE(SPLIT(AL47, "":"")) * (60^(COUNTIF(SPLIT(AL47, "":""), ""&lt;&gt;"")-COLUMN(OFFSET('MOT Tables 25'!$A$1,,,1,COUNTIF(SPLIT(AL47, "":""),""&lt;&gt;"")))))), VALUE(AL47)))"),144.18)</f>
        <v/>
      </c>
      <c r="AN47" s="613" t="n">
        <v>13</v>
      </c>
      <c r="AO47" s="672">
        <f t="array" ref="AO47">1000*(INDEX('Bakat Base Times'!$E:$E,MATCH(1,('Bakat Base Times'!$A:$A=AH47)*('Bakat Base Times'!$B:$B=AI47)*('Bakat Base Times'!$C:$C=AJ47),0))/(VALUE(AM47)))^3
</f>
        <v/>
      </c>
      <c r="AP47" s="621" t="n"/>
      <c r="AQ47" s="693" t="n"/>
      <c r="AR47" s="622" t="inlineStr">
        <is>
          <t>NISHAN CHRISTOPHER MANUEL</t>
        </is>
      </c>
      <c r="AS47" s="639">
        <f>SUMIF(AK:AK,AR47,AO:AO)</f>
        <v/>
      </c>
      <c r="AT47" s="624">
        <f>AVERAGEIF(AK:AK,AR47,AO:AO)</f>
        <v/>
      </c>
      <c r="AV47" s="625" t="inlineStr">
        <is>
          <t>BRYSTON LEE KHAI CHENG</t>
        </is>
      </c>
      <c r="AW47" s="693">
        <f>SUMIF(AK:AK,AV47,AO:AO)</f>
        <v/>
      </c>
      <c r="AX47" s="626">
        <f>AVERAGEIF(AK:AK,AV47,AO:AO)</f>
        <v/>
      </c>
      <c r="AY47" s="693" t="n"/>
      <c r="AZ47" s="693" t="n"/>
    </row>
    <row r="48">
      <c r="A48" s="654" t="n"/>
      <c r="B48" s="710" t="inlineStr">
        <is>
          <t>F</t>
        </is>
      </c>
      <c r="C48" s="709" t="inlineStr">
        <is>
          <t>200 Free</t>
        </is>
      </c>
      <c r="D48" s="710" t="n">
        <v>15</v>
      </c>
      <c r="E48" s="590" t="inlineStr">
        <is>
          <t>SHANNON TAN YAN QING *</t>
        </is>
      </c>
      <c r="F48" s="707" t="inlineStr">
        <is>
          <t>2:09.48</t>
        </is>
      </c>
      <c r="G4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 s="460">
        <f>G48/#REF!</f>
        <v/>
      </c>
      <c r="I48" s="591" t="inlineStr">
        <is>
          <t>2:09.34</t>
        </is>
      </c>
      <c r="J4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 s="460">
        <f>J48/#REF!</f>
        <v/>
      </c>
      <c r="L48" s="709" t="n">
        <v>3</v>
      </c>
      <c r="M48" s="593" t="n">
        <v>3</v>
      </c>
      <c r="N48" s="655">
        <f t="array" ref="N48">1000*(INDEX('Bakat Base Times'!$E:$E,MATCH(1,('Bakat Base Times'!$A:$A=B48)*('Bakat Base Times'!$B:$B=C48)*('Bakat Base Times'!$C:$C=D48),0))/(VALUE(O48)))^3
</f>
        <v/>
      </c>
      <c r="O48" s="582">
        <f>IFERROR(__xludf.DUMMYFUNCTION("IF(ISNUMBER(I48), I48, IF(REGEXMATCH(I48, "":""), SUMPRODUCT(VALUE(SPLIT(I48, "":"")) * (60^(COUNTIF(SPLIT(I48, "":""), ""&lt;&gt;"")-COLUMN(OFFSET('MOT Tables 25'!$A$1,,,1,COUNTIF(SPLIT(I48, "":""),""&lt;&gt;"")))))), VALUE(I48)))"),129.34)</f>
        <v/>
      </c>
      <c r="P48" s="689" t="n"/>
      <c r="Q48" s="689" t="n"/>
      <c r="R48" s="689" t="n"/>
      <c r="S48" s="689" t="n"/>
      <c r="T48" s="689" t="n"/>
      <c r="U48" s="689" t="n"/>
      <c r="V48" s="689" t="n"/>
      <c r="W48" s="689" t="n"/>
      <c r="X48" s="689" t="n"/>
      <c r="Y48" s="596" t="inlineStr">
        <is>
          <t>F</t>
        </is>
      </c>
      <c r="Z48" s="597" t="inlineStr">
        <is>
          <t>200 Free</t>
        </is>
      </c>
      <c r="AA48" s="589" t="n">
        <v>15</v>
      </c>
      <c r="AB48" s="590" t="inlineStr">
        <is>
          <t>SHANNON TAN YAN QING *</t>
        </is>
      </c>
      <c r="AC48" s="591" t="inlineStr">
        <is>
          <t>2:09.34</t>
        </is>
      </c>
      <c r="AD48" s="592">
        <f>IFERROR(__xludf.DUMMYFUNCTION("IF(ISNUMBER(AC48), AC48, IF(REGEXMATCH(AC48, "":""), SUMPRODUCT(VALUE(SPLIT(AC48, "":"")) * (60^(COUNTIF(SPLIT(AC48, "":""), ""&lt;&gt;"")-COLUMN(OFFSET('MOT Tables 25'!$A$1,,,1,COUNTIF(SPLIT(AC48, "":""),""&lt;&gt;"")))))), VALUE(AC48)))"),129.34)</f>
        <v/>
      </c>
      <c r="AE48" s="593" t="n">
        <v>3</v>
      </c>
      <c r="AF48" s="594">
        <f t="array" ref="AF48">1000*(INDEX('Bakat Base Times'!$E:$E,MATCH(1,('Bakat Base Times'!$A:$A=Y48)*('Bakat Base Times'!$B:$B=Z48)*('Bakat Base Times'!$C:$C=AA48),0))/(VALUE(AD48)))^3
</f>
        <v/>
      </c>
      <c r="AG48" s="693" t="n"/>
      <c r="AH48" s="632" t="inlineStr">
        <is>
          <t>F</t>
        </is>
      </c>
      <c r="AI48" s="633" t="inlineStr">
        <is>
          <t>100 Fly</t>
        </is>
      </c>
      <c r="AJ48" s="633" t="n">
        <v>15</v>
      </c>
      <c r="AK48" s="634" t="inlineStr">
        <is>
          <t>HO WEI YAN</t>
        </is>
      </c>
      <c r="AL48" s="635" t="inlineStr">
        <is>
          <t>1:02.99</t>
        </is>
      </c>
      <c r="AM48" s="636">
        <f>IFERROR(__xludf.DUMMYFUNCTION("IF(ISNUMBER(AL48), AL48, IF(REGEXMATCH(AL48, "":""), SUMPRODUCT(VALUE(SPLIT(AL48, "":"")) * (60^(COUNTIF(SPLIT(AL48, "":""), ""&lt;&gt;"")-COLUMN(OFFSET('MOT Tables 25'!$A$1,,,1,COUNTIF(SPLIT(AL48, "":""),""&lt;&gt;"")))))), VALUE(AL48)))"),62.99)</f>
        <v/>
      </c>
      <c r="AN48" s="634" t="n">
        <v>3</v>
      </c>
      <c r="AO48" s="637">
        <f t="array" ref="AO48">1000*(INDEX('Bakat Base Times'!$E:$E,MATCH(1,('Bakat Base Times'!$A:$A=AH48)*('Bakat Base Times'!$B:$B=AI48)*('Bakat Base Times'!$C:$C=AJ48),0))/(VALUE(AM48)))^3
</f>
        <v/>
      </c>
      <c r="AP48" s="638" t="inlineStr">
        <is>
          <t>A</t>
        </is>
      </c>
      <c r="AQ48" s="639" t="n"/>
      <c r="AR48" s="625" t="inlineStr">
        <is>
          <t>ISABELLE KAM ZI ZHEN</t>
        </is>
      </c>
      <c r="AS48" s="693">
        <f>SUMIF(AK:AK,AR48,AO:AO)</f>
        <v/>
      </c>
      <c r="AT48" s="626">
        <f>AVERAGEIF(AK:AK,AR48,AO:AO)</f>
        <v/>
      </c>
      <c r="AV48" s="625" t="inlineStr">
        <is>
          <t>LAI BO ZHENG</t>
        </is>
      </c>
      <c r="AW48" s="693">
        <f>SUMIF(AK:AK,AV48,AO:AO)</f>
        <v/>
      </c>
      <c r="AX48" s="626">
        <f>AVERAGEIF(AK:AK,AV48,AO:AO)</f>
        <v/>
      </c>
      <c r="AY48" s="693" t="n"/>
      <c r="AZ48" s="693" t="n"/>
    </row>
    <row r="49">
      <c r="A49" s="651" t="n"/>
      <c r="B49" s="705" t="inlineStr">
        <is>
          <t>M</t>
        </is>
      </c>
      <c r="C49" s="704" t="inlineStr">
        <is>
          <t>100 Breast</t>
        </is>
      </c>
      <c r="D49" s="705" t="n">
        <v>18</v>
      </c>
      <c r="E49" s="613" t="inlineStr">
        <is>
          <t>OOI YUEN ZER</t>
        </is>
      </c>
      <c r="F49" s="701" t="inlineStr">
        <is>
          <t>1:06.45</t>
        </is>
      </c>
      <c r="G4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 s="464">
        <f>G49/#REF!</f>
        <v/>
      </c>
      <c r="I49" s="665" t="inlineStr">
        <is>
          <t>1:06.18</t>
        </is>
      </c>
      <c r="J4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 s="464">
        <f>J49/#REF!</f>
        <v/>
      </c>
      <c r="L49" s="704" t="n">
        <v>12</v>
      </c>
      <c r="M49" s="616" t="n">
        <v>9</v>
      </c>
      <c r="N49" s="652">
        <f t="array" ref="N49">1000*(INDEX('Bakat Base Times'!$E:$E,MATCH(1,('Bakat Base Times'!$A:$A=B49)*('Bakat Base Times'!$B:$B=C49)*('Bakat Base Times'!$C:$C=D49),0))/(VALUE(O49)))^3
</f>
        <v/>
      </c>
      <c r="O49" s="609">
        <f>IFERROR(__xludf.DUMMYFUNCTION("IF(ISNUMBER(I49), I49, IF(REGEXMATCH(I49, "":""), SUMPRODUCT(VALUE(SPLIT(I49, "":"")) * (60^(COUNTIF(SPLIT(I49, "":""), ""&lt;&gt;"")-COLUMN(OFFSET('MOT Tables 25'!$A$1,,,1,COUNTIF(SPLIT(I49, "":""),""&lt;&gt;"")))))), VALUE(I49)))"),66.18)</f>
        <v/>
      </c>
      <c r="P49" s="689" t="n"/>
      <c r="Q49" s="689" t="n"/>
      <c r="R49" s="689" t="n"/>
      <c r="S49" s="689" t="n"/>
      <c r="T49" s="689" t="n"/>
      <c r="U49" s="689" t="n"/>
      <c r="V49" s="689" t="n"/>
      <c r="W49" s="689" t="n"/>
      <c r="X49" s="689" t="n"/>
      <c r="Y49" s="618" t="inlineStr">
        <is>
          <t>M</t>
        </is>
      </c>
      <c r="Z49" s="619" t="inlineStr">
        <is>
          <t>100 Breast</t>
        </is>
      </c>
      <c r="AA49" s="612" t="n">
        <v>18</v>
      </c>
      <c r="AB49" s="613" t="inlineStr">
        <is>
          <t>OOI YUEN ZER</t>
        </is>
      </c>
      <c r="AC49" s="665" t="inlineStr">
        <is>
          <t>1:06.18</t>
        </is>
      </c>
      <c r="AD49" s="628">
        <f>IFERROR(__xludf.DUMMYFUNCTION("IF(ISNUMBER(AC49), AC49, IF(REGEXMATCH(AC49, "":""), SUMPRODUCT(VALUE(SPLIT(AC49, "":"")) * (60^(COUNTIF(SPLIT(AC49, "":""), ""&lt;&gt;"")-COLUMN(OFFSET('MOT Tables 25'!$A$1,,,1,COUNTIF(SPLIT(AC49, "":""),""&lt;&gt;"")))))), VALUE(AC49)))"),66.18)</f>
        <v/>
      </c>
      <c r="AE49" s="616" t="n">
        <v>9</v>
      </c>
      <c r="AF49" s="617">
        <f t="array" ref="AF49">1000*(INDEX('Bakat Base Times'!$E:$E,MATCH(1,('Bakat Base Times'!$A:$A=Y49)*('Bakat Base Times'!$B:$B=Z49)*('Bakat Base Times'!$C:$C=AA49),0))/(VALUE(AD49)))^3
</f>
        <v/>
      </c>
      <c r="AG49" s="693" t="n"/>
      <c r="AH49" s="632" t="inlineStr">
        <is>
          <t>F</t>
        </is>
      </c>
      <c r="AI49" s="633" t="inlineStr">
        <is>
          <t>50 Free</t>
        </is>
      </c>
      <c r="AJ49" s="633" t="n">
        <v>15</v>
      </c>
      <c r="AK49" s="634" t="inlineStr">
        <is>
          <t>HO WEI YAN</t>
        </is>
      </c>
      <c r="AL49" s="635" t="n">
        <v>28.17</v>
      </c>
      <c r="AM49" s="636">
        <f>IFERROR(__xludf.DUMMYFUNCTION("IF(ISNUMBER(AL49), AL49, IF(REGEXMATCH(AL49, "":""), SUMPRODUCT(VALUE(SPLIT(AL49, "":"")) * (60^(COUNTIF(SPLIT(AL49, "":""), ""&lt;&gt;"")-COLUMN(OFFSET('MOT Tables 25'!$A$1,,,1,COUNTIF(SPLIT(AL49, "":""),""&lt;&gt;"")))))), VALUE(AL49)))"),28.17)</f>
        <v/>
      </c>
      <c r="AN49" s="634" t="n">
        <v>11</v>
      </c>
      <c r="AO49" s="637">
        <f t="array" ref="AO49">1000*(INDEX('Bakat Base Times'!$E:$E,MATCH(1,('Bakat Base Times'!$A:$A=AH49)*('Bakat Base Times'!$B:$B=AI49)*('Bakat Base Times'!$C:$C=AJ49),0))/(VALUE(AM49)))^3
</f>
        <v/>
      </c>
      <c r="AP49" s="638" t="inlineStr">
        <is>
          <t>A</t>
        </is>
      </c>
      <c r="AQ49" s="639" t="n"/>
      <c r="AR49" s="625" t="inlineStr">
        <is>
          <t>LIM CHEE WAI</t>
        </is>
      </c>
      <c r="AS49" s="693">
        <f>SUMIF(AK:AK,AR49,AO:AO)</f>
        <v/>
      </c>
      <c r="AT49" s="626">
        <f>AVERAGEIF(AK:AK,AR49,AO:AO)</f>
        <v/>
      </c>
      <c r="AU49" s="699" t="n"/>
      <c r="AV49" s="625" t="inlineStr">
        <is>
          <t>BONG YI XIANG</t>
        </is>
      </c>
      <c r="AW49" s="693">
        <f>SUMIF(AK:AK,AV49,AO:AO)</f>
        <v/>
      </c>
      <c r="AX49" s="626">
        <f>AVERAGEIF(AK:AK,AV49,AO:AO)</f>
        <v/>
      </c>
      <c r="AY49" s="693" t="n"/>
      <c r="AZ49" s="693" t="n"/>
    </row>
    <row r="50">
      <c r="A50" s="654" t="n"/>
      <c r="B50" s="710" t="inlineStr">
        <is>
          <t>F</t>
        </is>
      </c>
      <c r="C50" s="709" t="inlineStr">
        <is>
          <t>100 Free</t>
        </is>
      </c>
      <c r="D50" s="710" t="n">
        <v>16</v>
      </c>
      <c r="E50" s="590" t="inlineStr">
        <is>
          <t>LYNNA YEOW YI JING</t>
        </is>
      </c>
      <c r="F50" s="707" t="inlineStr">
        <is>
          <t>58.61</t>
        </is>
      </c>
      <c r="G50" s="62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 s="460">
        <f>G50/#REF!</f>
        <v/>
      </c>
      <c r="I50" s="591" t="inlineStr">
        <is>
          <t>59.41</t>
        </is>
      </c>
      <c r="J5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 s="460">
        <f>J50/#REF!</f>
        <v/>
      </c>
      <c r="L50" s="709" t="n">
        <v>6</v>
      </c>
      <c r="M50" s="593" t="n">
        <v>9</v>
      </c>
      <c r="N50" s="655">
        <f t="array" ref="N50">1000*(INDEX('Bakat Base Times'!$E:$E,MATCH(1,('Bakat Base Times'!$A:$A=B50)*('Bakat Base Times'!$B:$B=C50)*('Bakat Base Times'!$C:$C=D50),0))/(VALUE(O50)))^3
</f>
        <v/>
      </c>
      <c r="O50" s="582">
        <f>IFERROR(__xludf.DUMMYFUNCTION("IF(ISNUMBER(I50), I50, IF(REGEXMATCH(I50, "":""), SUMPRODUCT(VALUE(SPLIT(I50, "":"")) * (60^(COUNTIF(SPLIT(I50, "":""), ""&lt;&gt;"")-COLUMN(OFFSET('MOT Tables 25'!$A$1,,,1,COUNTIF(SPLIT(I50, "":""),""&lt;&gt;"")))))), VALUE(I50)))"),59.41)</f>
        <v/>
      </c>
      <c r="P50" s="689" t="n"/>
      <c r="Q50" s="689" t="n"/>
      <c r="R50" s="689" t="n"/>
      <c r="S50" s="689" t="n"/>
      <c r="T50" s="689" t="n"/>
      <c r="U50" s="689" t="n"/>
      <c r="V50" s="689" t="n"/>
      <c r="W50" s="689" t="n"/>
      <c r="X50" s="689" t="n"/>
      <c r="Y50" s="596" t="inlineStr">
        <is>
          <t>F</t>
        </is>
      </c>
      <c r="Z50" s="597" t="inlineStr">
        <is>
          <t>100 Free</t>
        </is>
      </c>
      <c r="AA50" s="589" t="n">
        <v>16</v>
      </c>
      <c r="AB50" s="590" t="inlineStr">
        <is>
          <t>LYNNA YEOW YI JING</t>
        </is>
      </c>
      <c r="AC50" s="591" t="inlineStr">
        <is>
          <t>59.41</t>
        </is>
      </c>
      <c r="AD50" s="592">
        <f>IFERROR(__xludf.DUMMYFUNCTION("IF(ISNUMBER(AC50), AC50, IF(REGEXMATCH(AC50, "":""), SUMPRODUCT(VALUE(SPLIT(AC50, "":"")) * (60^(COUNTIF(SPLIT(AC50, "":""), ""&lt;&gt;"")-COLUMN(OFFSET('MOT Tables 25'!$A$1,,,1,COUNTIF(SPLIT(AC50, "":""),""&lt;&gt;"")))))), VALUE(AC50)))"),59.41)</f>
        <v/>
      </c>
      <c r="AE50" s="593" t="n">
        <v>9</v>
      </c>
      <c r="AF50" s="594">
        <f t="array" ref="AF50">1000*(INDEX('Bakat Base Times'!$E:$E,MATCH(1,('Bakat Base Times'!$A:$A=Y50)*('Bakat Base Times'!$B:$B=Z50)*('Bakat Base Times'!$C:$C=AA50),0))/(VALUE(AD50)))^3
</f>
        <v/>
      </c>
      <c r="AG50" s="693" t="n"/>
      <c r="AH50" s="632" t="inlineStr">
        <is>
          <t>F</t>
        </is>
      </c>
      <c r="AI50" s="633" t="inlineStr">
        <is>
          <t>200 Fly</t>
        </is>
      </c>
      <c r="AJ50" s="633" t="n">
        <v>15</v>
      </c>
      <c r="AK50" s="634" t="inlineStr">
        <is>
          <t>HO WEI YAN</t>
        </is>
      </c>
      <c r="AL50" s="635" t="inlineStr">
        <is>
          <t>2:27.44</t>
        </is>
      </c>
      <c r="AM50" s="636">
        <f>IFERROR(__xludf.DUMMYFUNCTION("IF(ISNUMBER(AL50), AL50, IF(REGEXMATCH(AL50, "":""), SUMPRODUCT(VALUE(SPLIT(AL50, "":"")) * (60^(COUNTIF(SPLIT(AL50, "":""), ""&lt;&gt;"")-COLUMN(OFFSET('MOT Tables 25'!$A$1,,,1,COUNTIF(SPLIT(AL50, "":""),""&lt;&gt;"")))))), VALUE(AL50)))"),147.44)</f>
        <v/>
      </c>
      <c r="AN50" s="634" t="n">
        <v>8</v>
      </c>
      <c r="AO50" s="637">
        <f t="array" ref="AO50">1000*(INDEX('Bakat Base Times'!$E:$E,MATCH(1,('Bakat Base Times'!$A:$A=AH50)*('Bakat Base Times'!$B:$B=AI50)*('Bakat Base Times'!$C:$C=AJ50),0))/(VALUE(AM50)))^3
</f>
        <v/>
      </c>
      <c r="AP50" s="638" t="inlineStr">
        <is>
          <t>A</t>
        </is>
      </c>
      <c r="AQ50" s="639" t="n"/>
      <c r="AR50" s="625" t="inlineStr">
        <is>
          <t>BRYSTON LEE KHAI CHENG</t>
        </is>
      </c>
      <c r="AS50" s="693">
        <f>SUMIF(AK:AK,AR50,AO:AO)</f>
        <v/>
      </c>
      <c r="AT50" s="626">
        <f>AVERAGEIF(AK:AK,AR50,AO:AO)</f>
        <v/>
      </c>
      <c r="AU50" s="699" t="n"/>
      <c r="AV50" s="625" t="inlineStr">
        <is>
          <t>EVITA TAN EE LIN</t>
        </is>
      </c>
      <c r="AW50" s="693">
        <f>SUMIF(AK:AK,AV50,AO:AO)</f>
        <v/>
      </c>
      <c r="AX50" s="626">
        <f>AVERAGEIF(AK:AK,AV50,AO:AO)</f>
        <v/>
      </c>
      <c r="AY50" s="693" t="n"/>
      <c r="AZ50" s="693" t="n"/>
    </row>
    <row r="51">
      <c r="A51" s="651" t="n"/>
      <c r="B51" s="705" t="inlineStr">
        <is>
          <t>M</t>
        </is>
      </c>
      <c r="C51" s="704" t="inlineStr">
        <is>
          <t>100 Free</t>
        </is>
      </c>
      <c r="D51" s="705" t="n">
        <v>17</v>
      </c>
      <c r="E51" s="613" t="inlineStr">
        <is>
          <t>ASLAN ADNAN</t>
        </is>
      </c>
      <c r="F51" s="701" t="inlineStr">
        <is>
          <t>53.08</t>
        </is>
      </c>
      <c r="G5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 s="464">
        <f>G51/#REF!</f>
        <v/>
      </c>
      <c r="I51" s="614" t="inlineStr">
        <is>
          <t>53.57</t>
        </is>
      </c>
      <c r="J5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 s="464">
        <f>J51/#REF!</f>
        <v/>
      </c>
      <c r="L51" s="704" t="n">
        <v>13</v>
      </c>
      <c r="M51" s="616" t="n">
        <v>13</v>
      </c>
      <c r="N51" s="652">
        <f t="array" ref="N51">1000*(INDEX('Bakat Base Times'!$E:$E,MATCH(1,('Bakat Base Times'!$A:$A=B51)*('Bakat Base Times'!$B:$B=C51)*('Bakat Base Times'!$C:$C=D51),0))/(VALUE(O51)))^3
</f>
        <v/>
      </c>
      <c r="O51" s="609">
        <f>IFERROR(__xludf.DUMMYFUNCTION("IF(ISNUMBER(I51), I51, IF(REGEXMATCH(I51, "":""), SUMPRODUCT(VALUE(SPLIT(I51, "":"")) * (60^(COUNTIF(SPLIT(I51, "":""), ""&lt;&gt;"")-COLUMN(OFFSET('MOT Tables 25'!$A$1,,,1,COUNTIF(SPLIT(I51, "":""),""&lt;&gt;"")))))), VALUE(I51)))"),53.57)</f>
        <v/>
      </c>
      <c r="P51" s="689" t="n"/>
      <c r="Q51" s="689" t="n"/>
      <c r="R51" s="689" t="n"/>
      <c r="S51" s="689" t="n"/>
      <c r="T51" s="689" t="n"/>
      <c r="U51" s="689" t="n"/>
      <c r="V51" s="689" t="n"/>
      <c r="W51" s="689" t="n"/>
      <c r="X51" s="689" t="n"/>
      <c r="Y51" s="618" t="inlineStr">
        <is>
          <t>M</t>
        </is>
      </c>
      <c r="Z51" s="619" t="inlineStr">
        <is>
          <t>100 Free</t>
        </is>
      </c>
      <c r="AA51" s="612" t="n">
        <v>17</v>
      </c>
      <c r="AB51" s="613" t="inlineStr">
        <is>
          <t>ASLAN ADNAN</t>
        </is>
      </c>
      <c r="AC51" s="614" t="inlineStr">
        <is>
          <t>53.57</t>
        </is>
      </c>
      <c r="AD51" s="628">
        <f>IFERROR(__xludf.DUMMYFUNCTION("IF(ISNUMBER(AC51), AC51, IF(REGEXMATCH(AC51, "":""), SUMPRODUCT(VALUE(SPLIT(AC51, "":"")) * (60^(COUNTIF(SPLIT(AC51, "":""), ""&lt;&gt;"")-COLUMN(OFFSET('MOT Tables 25'!$A$1,,,1,COUNTIF(SPLIT(AC51, "":""),""&lt;&gt;"")))))), VALUE(AC51)))"),53.57)</f>
        <v/>
      </c>
      <c r="AE51" s="616" t="n">
        <v>13</v>
      </c>
      <c r="AF51" s="617">
        <f t="array" ref="AF51">1000*(INDEX('Bakat Base Times'!$E:$E,MATCH(1,('Bakat Base Times'!$A:$A=Y51)*('Bakat Base Times'!$B:$B=Z51)*('Bakat Base Times'!$C:$C=AA51),0))/(VALUE(AD51)))^3
</f>
        <v/>
      </c>
      <c r="AG51" s="693" t="n"/>
      <c r="AH51" s="618" t="inlineStr">
        <is>
          <t>F</t>
        </is>
      </c>
      <c r="AI51" s="619" t="inlineStr">
        <is>
          <t>100 Breast</t>
        </is>
      </c>
      <c r="AJ51" s="619" t="n">
        <v>15</v>
      </c>
      <c r="AK51" s="613" t="inlineStr">
        <is>
          <t>ISABELLE KAM ZI ZHEN</t>
        </is>
      </c>
      <c r="AL51" s="665" t="inlineStr">
        <is>
          <t>1:19.48</t>
        </is>
      </c>
      <c r="AM51" s="505">
        <f>IFERROR(__xludf.DUMMYFUNCTION("IF(ISNUMBER(AL51), AL51, IF(REGEXMATCH(AL51, "":""), SUMPRODUCT(VALUE(SPLIT(AL51, "":"")) * (60^(COUNTIF(SPLIT(AL51, "":""), ""&lt;&gt;"")-COLUMN(OFFSET('MOT Tables 25'!$A$1,,,1,COUNTIF(SPLIT(AL51, "":""),""&lt;&gt;"")))))), VALUE(AL51)))"),79.48)</f>
        <v/>
      </c>
      <c r="AN51" s="613" t="n">
        <v>11</v>
      </c>
      <c r="AO51" s="672">
        <f t="array" ref="AO51">1000*(INDEX('Bakat Base Times'!$E:$E,MATCH(1,('Bakat Base Times'!$A:$A=AH51)*('Bakat Base Times'!$B:$B=AI51)*('Bakat Base Times'!$C:$C=AJ51),0))/(VALUE(AM51)))^3
</f>
        <v/>
      </c>
      <c r="AP51" s="621" t="n"/>
      <c r="AQ51" s="693" t="n"/>
      <c r="AR51" s="625" t="inlineStr">
        <is>
          <t>LAI BO ZHENG</t>
        </is>
      </c>
      <c r="AS51" s="693">
        <f>SUMIF(AK:AK,AR51,AO:AO)</f>
        <v/>
      </c>
      <c r="AT51" s="626">
        <f>AVERAGEIF(AK:AK,AR51,AO:AO)</f>
        <v/>
      </c>
      <c r="AU51" s="699" t="n"/>
      <c r="AV51" s="625" t="inlineStr">
        <is>
          <t>LEE YEN ERN</t>
        </is>
      </c>
      <c r="AW51" s="693">
        <f>SUMIF(AK:AK,AV51,AO:AO)</f>
        <v/>
      </c>
      <c r="AX51" s="626">
        <f>AVERAGEIF(AK:AK,AV51,AO:AO)</f>
        <v/>
      </c>
      <c r="AY51" s="693" t="n"/>
      <c r="AZ51" s="693" t="n"/>
    </row>
    <row r="52">
      <c r="A52" s="654" t="n"/>
      <c r="B52" s="710" t="inlineStr">
        <is>
          <t>M</t>
        </is>
      </c>
      <c r="C52" s="709" t="inlineStr">
        <is>
          <t>200 IM</t>
        </is>
      </c>
      <c r="D52" s="710" t="n">
        <v>17</v>
      </c>
      <c r="E52" s="590" t="inlineStr">
        <is>
          <t>ASLAN ADNAN</t>
        </is>
      </c>
      <c r="F52" s="707" t="inlineStr">
        <is>
          <t>2:10.40</t>
        </is>
      </c>
      <c r="G5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 s="460">
        <f>G52/#REF!</f>
        <v/>
      </c>
      <c r="I52" s="591" t="inlineStr">
        <is>
          <t>2:11.42</t>
        </is>
      </c>
      <c r="J5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 s="460">
        <f>J52/#REF!</f>
        <v/>
      </c>
      <c r="L52" s="709" t="n">
        <v>5</v>
      </c>
      <c r="M52" s="593" t="n">
        <v>5</v>
      </c>
      <c r="N52" s="655">
        <f t="array" ref="N52">1000*(INDEX('Bakat Base Times'!$E:$E,MATCH(1,('Bakat Base Times'!$A:$A=B52)*('Bakat Base Times'!$B:$B=C52)*('Bakat Base Times'!$C:$C=D52),0))/(VALUE(O52)))^3
</f>
        <v/>
      </c>
      <c r="O52" s="582">
        <f>IFERROR(__xludf.DUMMYFUNCTION("IF(ISNUMBER(I52), I52, IF(REGEXMATCH(I52, "":""), SUMPRODUCT(VALUE(SPLIT(I52, "":"")) * (60^(COUNTIF(SPLIT(I52, "":""), ""&lt;&gt;"")-COLUMN(OFFSET('MOT Tables 25'!$A$1,,,1,COUNTIF(SPLIT(I52, "":""),""&lt;&gt;"")))))), VALUE(I52)))"),131.42)</f>
        <v/>
      </c>
      <c r="P52" s="689" t="n"/>
      <c r="Q52" s="689" t="n"/>
      <c r="R52" s="689" t="n"/>
      <c r="S52" s="689" t="n"/>
      <c r="T52" s="689" t="n"/>
      <c r="U52" s="689" t="n"/>
      <c r="V52" s="689" t="n"/>
      <c r="W52" s="689" t="n"/>
      <c r="X52" s="689" t="n"/>
      <c r="Y52" s="596" t="inlineStr">
        <is>
          <t>M</t>
        </is>
      </c>
      <c r="Z52" s="597" t="inlineStr">
        <is>
          <t>200 IM</t>
        </is>
      </c>
      <c r="AA52" s="589" t="n">
        <v>17</v>
      </c>
      <c r="AB52" s="590" t="inlineStr">
        <is>
          <t>ASLAN ADNAN</t>
        </is>
      </c>
      <c r="AC52" s="591" t="inlineStr">
        <is>
          <t>2:11.42</t>
        </is>
      </c>
      <c r="AD52" s="592">
        <f>IFERROR(__xludf.DUMMYFUNCTION("IF(ISNUMBER(AC52), AC52, IF(REGEXMATCH(AC52, "":""), SUMPRODUCT(VALUE(SPLIT(AC52, "":"")) * (60^(COUNTIF(SPLIT(AC52, "":""), ""&lt;&gt;"")-COLUMN(OFFSET('MOT Tables 25'!$A$1,,,1,COUNTIF(SPLIT(AC52, "":""),""&lt;&gt;"")))))), VALUE(AC52)))"),131.42)</f>
        <v/>
      </c>
      <c r="AE52" s="593" t="n">
        <v>5</v>
      </c>
      <c r="AF52" s="594">
        <f t="array" ref="AF52">1000*(INDEX('Bakat Base Times'!$E:$E,MATCH(1,('Bakat Base Times'!$A:$A=Y52)*('Bakat Base Times'!$B:$B=Z52)*('Bakat Base Times'!$C:$C=AA52),0))/(VALUE(AD52)))^3
</f>
        <v/>
      </c>
      <c r="AG52" s="693" t="n"/>
      <c r="AH52" s="596" t="inlineStr">
        <is>
          <t>F</t>
        </is>
      </c>
      <c r="AI52" s="597" t="inlineStr">
        <is>
          <t>100 Back</t>
        </is>
      </c>
      <c r="AJ52" s="597" t="n">
        <v>16</v>
      </c>
      <c r="AK52" s="590" t="inlineStr">
        <is>
          <t>JOELLE CHAN ZU EE</t>
        </is>
      </c>
      <c r="AL52" s="661" t="inlineStr">
        <is>
          <t>1:09.24</t>
        </is>
      </c>
      <c r="AM52" s="517">
        <f>IFERROR(__xludf.DUMMYFUNCTION("IF(ISNUMBER(AL52), AL52, IF(REGEXMATCH(AL52, "":""), SUMPRODUCT(VALUE(SPLIT(AL52, "":"")) * (60^(COUNTIF(SPLIT(AL52, "":""), ""&lt;&gt;"")-COLUMN(OFFSET('MOT Tables 25'!$A$1,,,1,COUNTIF(SPLIT(AL52, "":""),""&lt;&gt;"")))))), VALUE(AL52)))"),69.24)</f>
        <v/>
      </c>
      <c r="AN52" s="590" t="n">
        <v>11</v>
      </c>
      <c r="AO52" s="599">
        <f t="array" ref="AO52">1000*(INDEX('Bakat Base Times'!$E:$E,MATCH(1,('Bakat Base Times'!$A:$A=AH52)*('Bakat Base Times'!$B:$B=AI52)*('Bakat Base Times'!$C:$C=AJ52),0))/(VALUE(AM52)))^3
</f>
        <v/>
      </c>
      <c r="AP52" s="600" t="n"/>
      <c r="AQ52" s="693" t="n"/>
      <c r="AR52" s="625" t="inlineStr">
        <is>
          <t>BONG YI XIANG</t>
        </is>
      </c>
      <c r="AS52" s="693">
        <f>SUMIF(AK:AK,AR52,AO:AO)</f>
        <v/>
      </c>
      <c r="AT52" s="626">
        <f>AVERAGEIF(AK:AK,AR52,AO:AO)</f>
        <v/>
      </c>
      <c r="AU52" s="699" t="n"/>
      <c r="AV52" s="625" t="inlineStr">
        <is>
          <t>LAURA LEE YEN NIE</t>
        </is>
      </c>
      <c r="AW52" s="693">
        <f>SUMIF(AK:AK,AV52,AO:AO)</f>
        <v/>
      </c>
      <c r="AX52" s="626">
        <f>AVERAGEIF(AK:AK,AV52,AO:AO)</f>
        <v/>
      </c>
      <c r="AY52" s="693" t="n"/>
      <c r="AZ52" s="693" t="n"/>
    </row>
    <row r="53">
      <c r="A53" s="651" t="n"/>
      <c r="B53" s="705" t="inlineStr">
        <is>
          <t>M</t>
        </is>
      </c>
      <c r="C53" s="704" t="inlineStr">
        <is>
          <t>400 IM</t>
        </is>
      </c>
      <c r="D53" s="705" t="n">
        <v>16</v>
      </c>
      <c r="E53" s="613" t="inlineStr">
        <is>
          <t>NGUI JING</t>
        </is>
      </c>
      <c r="F53" s="701" t="inlineStr">
        <is>
          <t>4:43.54</t>
        </is>
      </c>
      <c r="G5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 s="464">
        <f>G53/#REF!</f>
        <v/>
      </c>
      <c r="I53" s="614" t="inlineStr">
        <is>
          <t>4:42.64</t>
        </is>
      </c>
      <c r="J5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 s="464">
        <f>J53/#REF!</f>
        <v/>
      </c>
      <c r="L53" s="704" t="n">
        <v>5</v>
      </c>
      <c r="M53" s="616" t="n">
        <v>6</v>
      </c>
      <c r="N53" s="652">
        <f t="array" ref="N53">1000*(INDEX('Bakat Base Times'!$E:$E,MATCH(1,('Bakat Base Times'!$A:$A=B53)*('Bakat Base Times'!$B:$B=C53)*('Bakat Base Times'!$C:$C=D53),0))/(VALUE(O53)))^3
</f>
        <v/>
      </c>
      <c r="O53" s="609">
        <f>IFERROR(__xludf.DUMMYFUNCTION("IF(ISNUMBER(I53), I53, IF(REGEXMATCH(I53, "":""), SUMPRODUCT(VALUE(SPLIT(I53, "":"")) * (60^(COUNTIF(SPLIT(I53, "":""), ""&lt;&gt;"")-COLUMN(OFFSET('MOT Tables 25'!$A$1,,,1,COUNTIF(SPLIT(I53, "":""),""&lt;&gt;"")))))), VALUE(I53)))"),282.64)</f>
        <v/>
      </c>
      <c r="P53" s="689" t="n"/>
      <c r="Q53" s="689" t="n"/>
      <c r="R53" s="689" t="n"/>
      <c r="S53" s="689" t="n"/>
      <c r="T53" s="689" t="n"/>
      <c r="U53" s="689" t="n"/>
      <c r="V53" s="689" t="n"/>
      <c r="W53" s="689" t="n"/>
      <c r="X53" s="689" t="n"/>
      <c r="Y53" s="618" t="inlineStr">
        <is>
          <t>M</t>
        </is>
      </c>
      <c r="Z53" s="619" t="inlineStr">
        <is>
          <t>400 IM</t>
        </is>
      </c>
      <c r="AA53" s="612" t="n">
        <v>16</v>
      </c>
      <c r="AB53" s="613" t="inlineStr">
        <is>
          <t>NGUI JING</t>
        </is>
      </c>
      <c r="AC53" s="614" t="inlineStr">
        <is>
          <t>4:42.64</t>
        </is>
      </c>
      <c r="AD53" s="628">
        <f>IFERROR(__xludf.DUMMYFUNCTION("IF(ISNUMBER(AC53), AC53, IF(REGEXMATCH(AC53, "":""), SUMPRODUCT(VALUE(SPLIT(AC53, "":"")) * (60^(COUNTIF(SPLIT(AC53, "":""), ""&lt;&gt;"")-COLUMN(OFFSET('MOT Tables 25'!$A$1,,,1,COUNTIF(SPLIT(AC53, "":""),""&lt;&gt;"")))))), VALUE(AC53)))"),282.64)</f>
        <v/>
      </c>
      <c r="AE53" s="616" t="n">
        <v>6</v>
      </c>
      <c r="AF53" s="617">
        <f t="array" ref="AF53">1000*(INDEX('Bakat Base Times'!$E:$E,MATCH(1,('Bakat Base Times'!$A:$A=Y53)*('Bakat Base Times'!$B:$B=Z53)*('Bakat Base Times'!$C:$C=AA53),0))/(VALUE(AD53)))^3
</f>
        <v/>
      </c>
      <c r="AG53" s="693" t="n"/>
      <c r="AH53" s="618" t="inlineStr">
        <is>
          <t>F</t>
        </is>
      </c>
      <c r="AI53" s="619" t="inlineStr">
        <is>
          <t>200 Back</t>
        </is>
      </c>
      <c r="AJ53" s="619" t="n">
        <v>16</v>
      </c>
      <c r="AK53" s="613" t="inlineStr">
        <is>
          <t>JOELLE CHAN ZU EE</t>
        </is>
      </c>
      <c r="AL53" s="614" t="inlineStr">
        <is>
          <t>2:30.85</t>
        </is>
      </c>
      <c r="AM53" s="505">
        <f>IFERROR(__xludf.DUMMYFUNCTION("IF(ISNUMBER(AL53), AL53, IF(REGEXMATCH(AL53, "":""), SUMPRODUCT(VALUE(SPLIT(AL53, "":"")) * (60^(COUNTIF(SPLIT(AL53, "":""), ""&lt;&gt;"")-COLUMN(OFFSET('MOT Tables 25'!$A$1,,,1,COUNTIF(SPLIT(AL53, "":""),""&lt;&gt;"")))))), VALUE(AL53)))"),150.85)</f>
        <v/>
      </c>
      <c r="AN53" s="613" t="n">
        <v>8</v>
      </c>
      <c r="AO53" s="672">
        <f t="array" ref="AO53">1000*(INDEX('Bakat Base Times'!$E:$E,MATCH(1,('Bakat Base Times'!$A:$A=AH53)*('Bakat Base Times'!$B:$B=AI53)*('Bakat Base Times'!$C:$C=AJ53),0))/(VALUE(AM53)))^3
</f>
        <v/>
      </c>
      <c r="AP53" s="621" t="n"/>
      <c r="AQ53" s="693" t="n"/>
      <c r="AR53" s="625" t="inlineStr">
        <is>
          <t>EVITA TAN EE LIN</t>
        </is>
      </c>
      <c r="AS53" s="693">
        <f>SUMIF(AK:AK,AR53,AO:AO)</f>
        <v/>
      </c>
      <c r="AT53" s="626">
        <f>AVERAGEIF(AK:AK,AR53,AO:AO)</f>
        <v/>
      </c>
      <c r="AU53" s="699" t="n"/>
      <c r="AV53" s="625" t="inlineStr">
        <is>
          <t>CHONG YUAN YI</t>
        </is>
      </c>
      <c r="AW53" s="693">
        <f>SUMIF(AK:AK,AV53,AO:AO)</f>
        <v/>
      </c>
      <c r="AX53" s="626">
        <f>AVERAGEIF(AK:AK,AV53,AO:AO)</f>
        <v/>
      </c>
      <c r="AY53" s="693" t="n"/>
      <c r="AZ53" s="693" t="n"/>
    </row>
    <row r="54">
      <c r="A54" s="654" t="n"/>
      <c r="B54" s="710" t="inlineStr">
        <is>
          <t>F</t>
        </is>
      </c>
      <c r="C54" s="709" t="inlineStr">
        <is>
          <t>100 Breast</t>
        </is>
      </c>
      <c r="D54" s="710" t="n">
        <v>14</v>
      </c>
      <c r="E54" s="590" t="inlineStr">
        <is>
          <t>SEOW CUI YING</t>
        </is>
      </c>
      <c r="F54" s="707" t="inlineStr">
        <is>
          <t>1:16.28</t>
        </is>
      </c>
      <c r="G5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 s="460">
        <f>G54/#REF!</f>
        <v/>
      </c>
      <c r="I54" s="667" t="inlineStr">
        <is>
          <t>1:16.46</t>
        </is>
      </c>
      <c r="J5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 s="460">
        <f>J54/#REF!</f>
        <v/>
      </c>
      <c r="L54" s="709" t="n">
        <v>5</v>
      </c>
      <c r="M54" s="593" t="n">
        <v>6</v>
      </c>
      <c r="N54" s="655">
        <f t="array" ref="N54">1000*(INDEX('Bakat Base Times'!$E:$E,MATCH(1,('Bakat Base Times'!$A:$A=B54)*('Bakat Base Times'!$B:$B=C54)*('Bakat Base Times'!$C:$C=D54),0))/(VALUE(O54)))^3
</f>
        <v/>
      </c>
      <c r="O54" s="582">
        <f>IFERROR(__xludf.DUMMYFUNCTION("IF(ISNUMBER(I54), I54, IF(REGEXMATCH(I54, "":""), SUMPRODUCT(VALUE(SPLIT(I54, "":"")) * (60^(COUNTIF(SPLIT(I54, "":""), ""&lt;&gt;"")-COLUMN(OFFSET('MOT Tables 25'!$A$1,,,1,COUNTIF(SPLIT(I54, "":""),""&lt;&gt;"")))))), VALUE(I54)))"),76.46000000000001)</f>
        <v/>
      </c>
      <c r="P54" s="689" t="n"/>
      <c r="Q54" s="689" t="n"/>
      <c r="R54" s="689" t="n"/>
      <c r="S54" s="689" t="n"/>
      <c r="T54" s="689" t="n"/>
      <c r="U54" s="689" t="n"/>
      <c r="V54" s="689" t="n"/>
      <c r="W54" s="689" t="n"/>
      <c r="X54" s="689" t="n"/>
      <c r="Y54" s="596" t="inlineStr">
        <is>
          <t>F</t>
        </is>
      </c>
      <c r="Z54" s="597" t="inlineStr">
        <is>
          <t>100 Breast</t>
        </is>
      </c>
      <c r="AA54" s="589" t="n">
        <v>14</v>
      </c>
      <c r="AB54" s="590" t="inlineStr">
        <is>
          <t>SEOW CUI YING</t>
        </is>
      </c>
      <c r="AC54" s="667" t="inlineStr">
        <is>
          <t>1:16.46</t>
        </is>
      </c>
      <c r="AD54" s="592">
        <f>IFERROR(__xludf.DUMMYFUNCTION("IF(ISNUMBER(AC54), AC54, IF(REGEXMATCH(AC54, "":""), SUMPRODUCT(VALUE(SPLIT(AC54, "":"")) * (60^(COUNTIF(SPLIT(AC54, "":""), ""&lt;&gt;"")-COLUMN(OFFSET('MOT Tables 25'!$A$1,,,1,COUNTIF(SPLIT(AC54, "":""),""&lt;&gt;"")))))), VALUE(AC54)))"),76.46000000000001)</f>
        <v/>
      </c>
      <c r="AE54" s="593" t="n">
        <v>6</v>
      </c>
      <c r="AF54" s="594">
        <f t="array" ref="AF54">1000*(INDEX('Bakat Base Times'!$E:$E,MATCH(1,('Bakat Base Times'!$A:$A=Y54)*('Bakat Base Times'!$B:$B=Z54)*('Bakat Base Times'!$C:$C=AA54),0))/(VALUE(AD54)))^3
</f>
        <v/>
      </c>
      <c r="AG54" s="693" t="n"/>
      <c r="AH54" s="632" t="inlineStr">
        <is>
          <t>M</t>
        </is>
      </c>
      <c r="AI54" s="633" t="inlineStr">
        <is>
          <t>100 Fly</t>
        </is>
      </c>
      <c r="AJ54" s="633" t="n">
        <v>15</v>
      </c>
      <c r="AK54" s="634" t="inlineStr">
        <is>
          <t>JOSHUA LIM JI SHEN</t>
        </is>
      </c>
      <c r="AL54" s="635" t="inlineStr">
        <is>
          <t>58.27</t>
        </is>
      </c>
      <c r="AM54" s="636">
        <f>IFERROR(__xludf.DUMMYFUNCTION("IF(ISNUMBER(AL54), AL54, IF(REGEXMATCH(AL54, "":""), SUMPRODUCT(VALUE(SPLIT(AL54, "":"")) * (60^(COUNTIF(SPLIT(AL54, "":""), ""&lt;&gt;"")-COLUMN(OFFSET('MOT Tables 25'!$A$1,,,1,COUNTIF(SPLIT(AL54, "":""),""&lt;&gt;"")))))), VALUE(AL54)))"),58.27)</f>
        <v/>
      </c>
      <c r="AN54" s="634" t="n">
        <v>3</v>
      </c>
      <c r="AO54" s="637">
        <f t="array" ref="AO54">1000*(INDEX('Bakat Base Times'!$E:$E,MATCH(1,('Bakat Base Times'!$A:$A=AH54)*('Bakat Base Times'!$B:$B=AI54)*('Bakat Base Times'!$C:$C=AJ54),0))/(VALUE(AM54)))^3
</f>
        <v/>
      </c>
      <c r="AP54" s="668" t="inlineStr">
        <is>
          <t>A</t>
        </is>
      </c>
      <c r="AQ54" s="639" t="n"/>
      <c r="AR54" s="669" t="inlineStr">
        <is>
          <t>CHONG YUAN YI</t>
        </is>
      </c>
      <c r="AS54" s="670">
        <f>SUMIF(AK:AK,AR54,AO:AO)</f>
        <v/>
      </c>
      <c r="AT54" s="671">
        <f>AVERAGEIF(AK:AK,AR54,AO:AO)</f>
        <v/>
      </c>
      <c r="AU54" s="699" t="n"/>
      <c r="AV54" s="669" t="inlineStr">
        <is>
          <t>FELICIA LEE QIAN HUI</t>
        </is>
      </c>
      <c r="AW54" s="670">
        <f>SUMIF(AK:AK,AV54,AO:AO)</f>
        <v/>
      </c>
      <c r="AX54" s="671">
        <f>AVERAGEIF(AK:AK,AV54,AO:AO)</f>
        <v/>
      </c>
      <c r="AY54" s="693" t="n"/>
      <c r="AZ54" s="693" t="n"/>
    </row>
    <row r="55">
      <c r="A55" s="651" t="n"/>
      <c r="B55" s="705" t="inlineStr">
        <is>
          <t>M</t>
        </is>
      </c>
      <c r="C55" s="704" t="inlineStr">
        <is>
          <t>100 Breast</t>
        </is>
      </c>
      <c r="D55" s="705" t="n">
        <v>16</v>
      </c>
      <c r="E55" s="672" t="inlineStr">
        <is>
          <t>EMMANUEL LOH YUNG MING</t>
        </is>
      </c>
      <c r="F55" s="701" t="inlineStr">
        <is>
          <t>1:04.98</t>
        </is>
      </c>
      <c r="G5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 s="464">
        <f>G55/#REF!</f>
        <v/>
      </c>
      <c r="I55" s="614" t="inlineStr">
        <is>
          <t>1:07.62</t>
        </is>
      </c>
      <c r="J5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 s="464">
        <f>J55/#REF!</f>
        <v/>
      </c>
      <c r="L55" s="704" t="n">
        <v>6</v>
      </c>
      <c r="M55" s="616" t="n">
        <v>13</v>
      </c>
      <c r="N55" s="652">
        <f t="array" ref="N55">1000*(INDEX('Bakat Base Times'!$E:$E,MATCH(1,('Bakat Base Times'!$A:$A=B55)*('Bakat Base Times'!$B:$B=C55)*('Bakat Base Times'!$C:$C=D55),0))/(VALUE(O55)))^3
</f>
        <v/>
      </c>
      <c r="O55" s="609">
        <f>IFERROR(__xludf.DUMMYFUNCTION("IF(ISNUMBER(I55), I55, IF(REGEXMATCH(I55, "":""), SUMPRODUCT(VALUE(SPLIT(I55, "":"")) * (60^(COUNTIF(SPLIT(I55, "":""), ""&lt;&gt;"")-COLUMN(OFFSET('MOT Tables 25'!$A$1,,,1,COUNTIF(SPLIT(I55, "":""),""&lt;&gt;"")))))), VALUE(I55)))"),67.62)</f>
        <v/>
      </c>
      <c r="P55" s="689" t="n"/>
      <c r="Q55" s="689" t="n"/>
      <c r="R55" s="689" t="n"/>
      <c r="S55" s="689" t="n"/>
      <c r="T55" s="689" t="n"/>
      <c r="U55" s="689" t="n"/>
      <c r="V55" s="689" t="n"/>
      <c r="W55" s="689" t="n"/>
      <c r="X55" s="689" t="n"/>
      <c r="Y55" s="618" t="inlineStr">
        <is>
          <t>M</t>
        </is>
      </c>
      <c r="Z55" s="619" t="inlineStr">
        <is>
          <t>100 Breast</t>
        </is>
      </c>
      <c r="AA55" s="612" t="n">
        <v>16</v>
      </c>
      <c r="AB55" s="672" t="inlineStr">
        <is>
          <t>EMMANUEL LOH YUNG MING</t>
        </is>
      </c>
      <c r="AC55" s="614" t="inlineStr">
        <is>
          <t>1:07.62</t>
        </is>
      </c>
      <c r="AD55" s="628">
        <f>IFERROR(__xludf.DUMMYFUNCTION("IF(ISNUMBER(AC55), AC55, IF(REGEXMATCH(AC55, "":""), SUMPRODUCT(VALUE(SPLIT(AC55, "":"")) * (60^(COUNTIF(SPLIT(AC55, "":""), ""&lt;&gt;"")-COLUMN(OFFSET('MOT Tables 25'!$A$1,,,1,COUNTIF(SPLIT(AC55, "":""),""&lt;&gt;"")))))), VALUE(AC55)))"),67.62)</f>
        <v/>
      </c>
      <c r="AE55" s="616" t="n">
        <v>13</v>
      </c>
      <c r="AF55" s="617">
        <f t="array" ref="AF55">1000*(INDEX('Bakat Base Times'!$E:$E,MATCH(1,('Bakat Base Times'!$A:$A=Y55)*('Bakat Base Times'!$B:$B=Z55)*('Bakat Base Times'!$C:$C=AA55),0))/(VALUE(AD55)))^3
</f>
        <v/>
      </c>
      <c r="AG55" s="693" t="n"/>
      <c r="AH55" s="618" t="inlineStr">
        <is>
          <t>F</t>
        </is>
      </c>
      <c r="AI55" s="619" t="inlineStr">
        <is>
          <t>100 Free</t>
        </is>
      </c>
      <c r="AJ55" s="619" t="n">
        <v>16</v>
      </c>
      <c r="AK55" s="613" t="inlineStr">
        <is>
          <t>KAELYN CHEE WEI YI</t>
        </is>
      </c>
      <c r="AL55" s="614" t="inlineStr">
        <is>
          <t>59.98</t>
        </is>
      </c>
      <c r="AM55" s="505">
        <f>IFERROR(__xludf.DUMMYFUNCTION("IF(ISNUMBER(AL55), AL55, IF(REGEXMATCH(AL55, "":""), SUMPRODUCT(VALUE(SPLIT(AL55, "":"")) * (60^(COUNTIF(SPLIT(AL55, "":""), ""&lt;&gt;"")-COLUMN(OFFSET('MOT Tables 25'!$A$1,,,1,COUNTIF(SPLIT(AL55, "":""),""&lt;&gt;"")))))), VALUE(AL55)))"),59.98)</f>
        <v/>
      </c>
      <c r="AN55" s="613" t="n">
        <v>11</v>
      </c>
      <c r="AO55" s="672">
        <f t="array" ref="AO55">1000*(INDEX('Bakat Base Times'!$E:$E,MATCH(1,('Bakat Base Times'!$A:$A=AH55)*('Bakat Base Times'!$B:$B=AI55)*('Bakat Base Times'!$C:$C=AJ55),0))/(VALUE(AM55)))^3
</f>
        <v/>
      </c>
      <c r="AP55" s="621" t="n"/>
      <c r="AQ55" s="693" t="n"/>
      <c r="AR55" s="699" t="n"/>
      <c r="AS55" s="693" t="n"/>
      <c r="AT55" s="693" t="n"/>
      <c r="AU55" s="699" t="n"/>
      <c r="AV55" s="699" t="n"/>
      <c r="AW55" s="693" t="n"/>
      <c r="AX55" s="693" t="n"/>
      <c r="AY55" s="693" t="n"/>
      <c r="AZ55" s="693" t="n"/>
    </row>
    <row r="56">
      <c r="A56" s="654" t="n"/>
      <c r="B56" s="710" t="inlineStr">
        <is>
          <t>M</t>
        </is>
      </c>
      <c r="C56" s="709" t="inlineStr">
        <is>
          <t>200 Breast</t>
        </is>
      </c>
      <c r="D56" s="710" t="n">
        <v>15</v>
      </c>
      <c r="E56" s="590" t="inlineStr">
        <is>
          <t>BRANDON YEOH HSIEN KAI</t>
        </is>
      </c>
      <c r="F56" s="707" t="inlineStr">
        <is>
          <t>2:26.83</t>
        </is>
      </c>
      <c r="G5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 s="460">
        <f>G56/#REF!</f>
        <v/>
      </c>
      <c r="I56" s="591" t="inlineStr">
        <is>
          <t>2:29.62</t>
        </is>
      </c>
      <c r="J5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 s="460">
        <f>J56/#REF!</f>
        <v/>
      </c>
      <c r="L56" s="709" t="n">
        <v>6</v>
      </c>
      <c r="M56" s="593" t="n">
        <v>8</v>
      </c>
      <c r="N56" s="655">
        <f t="array" ref="N56">1000*(INDEX('Bakat Base Times'!$E:$E,MATCH(1,('Bakat Base Times'!$A:$A=B56)*('Bakat Base Times'!$B:$B=C56)*('Bakat Base Times'!$C:$C=D56),0))/(VALUE(O56)))^3
</f>
        <v/>
      </c>
      <c r="O56" s="582">
        <f>IFERROR(__xludf.DUMMYFUNCTION("IF(ISNUMBER(I56), I56, IF(REGEXMATCH(I56, "":""), SUMPRODUCT(VALUE(SPLIT(I56, "":"")) * (60^(COUNTIF(SPLIT(I56, "":""), ""&lt;&gt;"")-COLUMN(OFFSET('MOT Tables 25'!$A$1,,,1,COUNTIF(SPLIT(I56, "":""),""&lt;&gt;"")))))), VALUE(I56)))"),149.62)</f>
        <v/>
      </c>
      <c r="P56" s="689" t="n"/>
      <c r="Q56" s="689" t="n"/>
      <c r="R56" s="689" t="n"/>
      <c r="S56" s="689" t="n"/>
      <c r="T56" s="689" t="n"/>
      <c r="U56" s="689" t="n"/>
      <c r="V56" s="689" t="n"/>
      <c r="W56" s="689" t="n"/>
      <c r="X56" s="689" t="n"/>
      <c r="Y56" s="596" t="inlineStr">
        <is>
          <t>M</t>
        </is>
      </c>
      <c r="Z56" s="597" t="inlineStr">
        <is>
          <t>200 Breast</t>
        </is>
      </c>
      <c r="AA56" s="589" t="n">
        <v>15</v>
      </c>
      <c r="AB56" s="590" t="inlineStr">
        <is>
          <t>BRANDON YEOH HSIEN KAI</t>
        </is>
      </c>
      <c r="AC56" s="591" t="inlineStr">
        <is>
          <t>2:29.62</t>
        </is>
      </c>
      <c r="AD56" s="592">
        <f>IFERROR(__xludf.DUMMYFUNCTION("IF(ISNUMBER(AC56), AC56, IF(REGEXMATCH(AC56, "":""), SUMPRODUCT(VALUE(SPLIT(AC56, "":"")) * (60^(COUNTIF(SPLIT(AC56, "":""), ""&lt;&gt;"")-COLUMN(OFFSET('MOT Tables 25'!$A$1,,,1,COUNTIF(SPLIT(AC56, "":""),""&lt;&gt;"")))))), VALUE(AC56)))"),149.62)</f>
        <v/>
      </c>
      <c r="AE56" s="593" t="n">
        <v>8</v>
      </c>
      <c r="AF56" s="594">
        <f t="array" ref="AF56">1000*(INDEX('Bakat Base Times'!$E:$E,MATCH(1,('Bakat Base Times'!$A:$A=Y56)*('Bakat Base Times'!$B:$B=Z56)*('Bakat Base Times'!$C:$C=AA56),0))/(VALUE(AD56)))^3
</f>
        <v/>
      </c>
      <c r="AG56" s="693" t="n"/>
      <c r="AH56" s="596" t="inlineStr">
        <is>
          <t>F</t>
        </is>
      </c>
      <c r="AI56" s="597" t="inlineStr">
        <is>
          <t>50 Free</t>
        </is>
      </c>
      <c r="AJ56" s="597" t="n">
        <v>16</v>
      </c>
      <c r="AK56" s="590" t="inlineStr">
        <is>
          <t>KAELYN CHEE WEI YI</t>
        </is>
      </c>
      <c r="AL56" s="661" t="n">
        <v>28.11</v>
      </c>
      <c r="AM56" s="517">
        <f>IFERROR(__xludf.DUMMYFUNCTION("IF(ISNUMBER(AL56), AL56, IF(REGEXMATCH(AL56, "":""), SUMPRODUCT(VALUE(SPLIT(AL56, "":"")) * (60^(COUNTIF(SPLIT(AL56, "":""), ""&lt;&gt;"")-COLUMN(OFFSET('MOT Tables 25'!$A$1,,,1,COUNTIF(SPLIT(AL56, "":""),""&lt;&gt;"")))))), VALUE(AL56)))"),28.11)</f>
        <v/>
      </c>
      <c r="AN56" s="590" t="n">
        <v>12</v>
      </c>
      <c r="AO56" s="599">
        <f t="array" ref="AO56">1000*(INDEX('Bakat Base Times'!$E:$E,MATCH(1,('Bakat Base Times'!$A:$A=AH56)*('Bakat Base Times'!$B:$B=AI56)*('Bakat Base Times'!$C:$C=AJ56),0))/(VALUE(AM56)))^3
</f>
        <v/>
      </c>
      <c r="AP56" s="600" t="n"/>
      <c r="AQ56" s="693" t="n"/>
      <c r="AR56" s="699" t="n"/>
      <c r="AS56" s="693" t="n"/>
      <c r="AT56" s="693" t="n"/>
      <c r="AU56" s="699" t="n"/>
      <c r="AV56" s="699" t="n"/>
      <c r="AW56" s="693" t="n"/>
      <c r="AX56" s="693" t="n"/>
      <c r="AY56" s="693" t="n"/>
      <c r="AZ56" s="693" t="n"/>
    </row>
    <row r="57">
      <c r="A57" s="651" t="n"/>
      <c r="B57" s="705" t="inlineStr">
        <is>
          <t>M</t>
        </is>
      </c>
      <c r="C57" s="704" t="inlineStr">
        <is>
          <t>50 Free</t>
        </is>
      </c>
      <c r="D57" s="705" t="n">
        <v>17</v>
      </c>
      <c r="E57" s="613" t="inlineStr">
        <is>
          <t>OSWALD LIM</t>
        </is>
      </c>
      <c r="F57" s="627" t="n">
        <v>24.63</v>
      </c>
      <c r="G5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 s="464">
        <f>G57/#REF!</f>
        <v/>
      </c>
      <c r="I57" s="665" t="n">
        <v>24.57</v>
      </c>
      <c r="J5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 s="464">
        <f>J57/#REF!</f>
        <v/>
      </c>
      <c r="L57" s="704" t="n">
        <v>15</v>
      </c>
      <c r="M57" s="616" t="n">
        <v>13</v>
      </c>
      <c r="N57" s="652">
        <f t="array" ref="N57">1000*(INDEX('Bakat Base Times'!$E:$E,MATCH(1,('Bakat Base Times'!$A:$A=B57)*('Bakat Base Times'!$B:$B=C57)*('Bakat Base Times'!$C:$C=D57),0))/(VALUE(O57)))^3
</f>
        <v/>
      </c>
      <c r="O57" s="609">
        <f>IFERROR(__xludf.DUMMYFUNCTION("IF(ISNUMBER(I57), I57, IF(REGEXMATCH(I57, "":""), SUMPRODUCT(VALUE(SPLIT(I57, "":"")) * (60^(COUNTIF(SPLIT(I57, "":""), ""&lt;&gt;"")-COLUMN(OFFSET('MOT Tables 25'!$A$1,,,1,COUNTIF(SPLIT(I57, "":""),""&lt;&gt;"")))))), VALUE(I57)))"),24.57)</f>
        <v/>
      </c>
      <c r="P57" s="689" t="n"/>
      <c r="Q57" s="689" t="n"/>
      <c r="R57" s="689" t="n"/>
      <c r="S57" s="689" t="n"/>
      <c r="T57" s="689" t="n"/>
      <c r="U57" s="689" t="n"/>
      <c r="V57" s="689" t="n"/>
      <c r="W57" s="689" t="n"/>
      <c r="X57" s="689" t="n"/>
      <c r="Y57" s="618" t="inlineStr">
        <is>
          <t>M</t>
        </is>
      </c>
      <c r="Z57" s="619" t="inlineStr">
        <is>
          <t>50 Free</t>
        </is>
      </c>
      <c r="AA57" s="612" t="n">
        <v>17</v>
      </c>
      <c r="AB57" s="613" t="inlineStr">
        <is>
          <t>OSWALD LIM</t>
        </is>
      </c>
      <c r="AC57" s="665" t="n">
        <v>24.57</v>
      </c>
      <c r="AD57" s="628">
        <f>IFERROR(__xludf.DUMMYFUNCTION("IF(ISNUMBER(AC57), AC57, IF(REGEXMATCH(AC57, "":""), SUMPRODUCT(VALUE(SPLIT(AC57, "":"")) * (60^(COUNTIF(SPLIT(AC57, "":""), ""&lt;&gt;"")-COLUMN(OFFSET('MOT Tables 25'!$A$1,,,1,COUNTIF(SPLIT(AC57, "":""),""&lt;&gt;"")))))), VALUE(AC57)))"),24.57)</f>
        <v/>
      </c>
      <c r="AE57" s="616" t="n">
        <v>13</v>
      </c>
      <c r="AF57" s="617">
        <f t="array" ref="AF57">1000*(INDEX('Bakat Base Times'!$E:$E,MATCH(1,('Bakat Base Times'!$A:$A=Y57)*('Bakat Base Times'!$B:$B=Z57)*('Bakat Base Times'!$C:$C=AA57),0))/(VALUE(AD57)))^3
</f>
        <v/>
      </c>
      <c r="AG57" s="693" t="n"/>
      <c r="AH57" s="618" t="inlineStr">
        <is>
          <t>F</t>
        </is>
      </c>
      <c r="AI57" s="619" t="inlineStr">
        <is>
          <t>200 Fly</t>
        </is>
      </c>
      <c r="AJ57" s="619" t="n">
        <v>15</v>
      </c>
      <c r="AK57" s="613" t="inlineStr">
        <is>
          <t>KAYLEIGH ANG ZHI XUAN</t>
        </is>
      </c>
      <c r="AL57" s="695" t="inlineStr">
        <is>
          <t>2:25.87</t>
        </is>
      </c>
      <c r="AM57" s="505">
        <f>IFERROR(__xludf.DUMMYFUNCTION("IF(ISNUMBER(AL57), AL57, IF(REGEXMATCH(AL57, "":""), SUMPRODUCT(VALUE(SPLIT(AL57, "":"")) * (60^(COUNTIF(SPLIT(AL57, "":""), ""&lt;&gt;"")-COLUMN(OFFSET('MOT Tables 25'!$A$1,,,1,COUNTIF(SPLIT(AL57, "":""),""&lt;&gt;"")))))), VALUE(AL57)))"),145.87)</f>
        <v/>
      </c>
      <c r="AN57" s="613" t="n">
        <v>6</v>
      </c>
      <c r="AO57" s="672">
        <f t="array" ref="AO57">1000*(INDEX('Bakat Base Times'!$E:$E,MATCH(1,('Bakat Base Times'!$A:$A=AH57)*('Bakat Base Times'!$B:$B=AI57)*('Bakat Base Times'!$C:$C=AJ57),0))/(VALUE(AM57)))^3
</f>
        <v/>
      </c>
      <c r="AP57" s="621" t="n"/>
      <c r="AQ57" s="693" t="n"/>
      <c r="AR57" s="699" t="n"/>
      <c r="AS57" s="693" t="n"/>
      <c r="AT57" s="693" t="n"/>
      <c r="AU57" s="699" t="n"/>
      <c r="AV57" s="699" t="n"/>
      <c r="AW57" s="693" t="n"/>
      <c r="AX57" s="693" t="n"/>
      <c r="AY57" s="693" t="n"/>
      <c r="AZ57" s="693" t="n"/>
    </row>
    <row r="58">
      <c r="A58" s="654" t="n"/>
      <c r="B58" s="710" t="inlineStr">
        <is>
          <t>F</t>
        </is>
      </c>
      <c r="C58" s="709" t="inlineStr">
        <is>
          <t>400 Free</t>
        </is>
      </c>
      <c r="D58" s="710" t="n">
        <v>14</v>
      </c>
      <c r="E58" s="590" t="inlineStr">
        <is>
          <t>TAN RUI NEE</t>
        </is>
      </c>
      <c r="F58" s="707" t="inlineStr">
        <is>
          <t>4:31.89</t>
        </is>
      </c>
      <c r="G5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 s="460">
        <f>G58/#REF!</f>
        <v/>
      </c>
      <c r="I58" s="591" t="inlineStr">
        <is>
          <t>4:35.36</t>
        </is>
      </c>
      <c r="J5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 s="460">
        <f>J58/#REF!</f>
        <v/>
      </c>
      <c r="L58" s="709" t="n">
        <v>2</v>
      </c>
      <c r="M58" s="593" t="n">
        <v>4</v>
      </c>
      <c r="N58" s="655">
        <f t="array" ref="N58">1000*(INDEX('Bakat Base Times'!$E:$E,MATCH(1,('Bakat Base Times'!$A:$A=B58)*('Bakat Base Times'!$B:$B=C58)*('Bakat Base Times'!$C:$C=D58),0))/(VALUE(O58)))^3
</f>
        <v/>
      </c>
      <c r="O58" s="582">
        <f>IFERROR(__xludf.DUMMYFUNCTION("IF(ISNUMBER(I58), I58, IF(REGEXMATCH(I58, "":""), SUMPRODUCT(VALUE(SPLIT(I58, "":"")) * (60^(COUNTIF(SPLIT(I58, "":""), ""&lt;&gt;"")-COLUMN(OFFSET('MOT Tables 25'!$A$1,,,1,COUNTIF(SPLIT(I58, "":""),""&lt;&gt;"")))))), VALUE(I58)))"),275.36)</f>
        <v/>
      </c>
      <c r="P58" s="689" t="n"/>
      <c r="Q58" s="689" t="n"/>
      <c r="R58" s="689" t="n"/>
      <c r="S58" s="689" t="n"/>
      <c r="T58" s="689" t="n"/>
      <c r="U58" s="689" t="n"/>
      <c r="V58" s="689" t="n"/>
      <c r="W58" s="689" t="n"/>
      <c r="X58" s="689" t="n"/>
      <c r="Y58" s="596" t="inlineStr">
        <is>
          <t>F</t>
        </is>
      </c>
      <c r="Z58" s="597" t="inlineStr">
        <is>
          <t>400 Free</t>
        </is>
      </c>
      <c r="AA58" s="589" t="n">
        <v>14</v>
      </c>
      <c r="AB58" s="590" t="inlineStr">
        <is>
          <t>TAN RUI NEE</t>
        </is>
      </c>
      <c r="AC58" s="591" t="inlineStr">
        <is>
          <t>4:35.36</t>
        </is>
      </c>
      <c r="AD58" s="592">
        <f>IFERROR(__xludf.DUMMYFUNCTION("IF(ISNUMBER(AC58), AC58, IF(REGEXMATCH(AC58, "":""), SUMPRODUCT(VALUE(SPLIT(AC58, "":"")) * (60^(COUNTIF(SPLIT(AC58, "":""), ""&lt;&gt;"")-COLUMN(OFFSET('MOT Tables 25'!$A$1,,,1,COUNTIF(SPLIT(AC58, "":""),""&lt;&gt;"")))))), VALUE(AC58)))"),275.36)</f>
        <v/>
      </c>
      <c r="AE58" s="593" t="n">
        <v>4</v>
      </c>
      <c r="AF58" s="594">
        <f t="array" ref="AF58">1000*(INDEX('Bakat Base Times'!$E:$E,MATCH(1,('Bakat Base Times'!$A:$A=Y58)*('Bakat Base Times'!$B:$B=Z58)*('Bakat Base Times'!$C:$C=AA58),0))/(VALUE(AD58)))^3
</f>
        <v/>
      </c>
      <c r="AG58" s="693" t="n"/>
      <c r="AH58" s="596" t="inlineStr">
        <is>
          <t>F</t>
        </is>
      </c>
      <c r="AI58" s="597" t="inlineStr">
        <is>
          <t>100 Fly</t>
        </is>
      </c>
      <c r="AJ58" s="597" t="n">
        <v>15</v>
      </c>
      <c r="AK58" s="590" t="inlineStr">
        <is>
          <t>KAYLEIGH ANG ZHI XUAN</t>
        </is>
      </c>
      <c r="AL58" s="591" t="inlineStr">
        <is>
          <t>1:07.13</t>
        </is>
      </c>
      <c r="AM58" s="517">
        <f>IFERROR(__xludf.DUMMYFUNCTION("IF(ISNUMBER(AL58), AL58, IF(REGEXMATCH(AL58, "":""), SUMPRODUCT(VALUE(SPLIT(AL58, "":"")) * (60^(COUNTIF(SPLIT(AL58, "":""), ""&lt;&gt;"")-COLUMN(OFFSET('MOT Tables 25'!$A$1,,,1,COUNTIF(SPLIT(AL58, "":""),""&lt;&gt;"")))))), VALUE(AL58)))"),67.13)</f>
        <v/>
      </c>
      <c r="AN58" s="590" t="n">
        <v>13</v>
      </c>
      <c r="AO58" s="599">
        <f t="array" ref="AO58">1000*(INDEX('Bakat Base Times'!$E:$E,MATCH(1,('Bakat Base Times'!$A:$A=AH58)*('Bakat Base Times'!$B:$B=AI58)*('Bakat Base Times'!$C:$C=AJ58),0))/(VALUE(AM58)))^3
</f>
        <v/>
      </c>
      <c r="AP58" s="600" t="n"/>
      <c r="AQ58" s="693" t="n"/>
      <c r="AR58" s="699" t="n"/>
      <c r="AS58" s="693" t="n"/>
      <c r="AT58" s="693" t="n"/>
      <c r="AU58" s="699" t="n"/>
      <c r="AV58" s="699" t="n"/>
      <c r="AW58" s="693" t="n"/>
      <c r="AX58" s="693" t="n"/>
      <c r="AY58" s="693" t="n"/>
      <c r="AZ58" s="693" t="n"/>
    </row>
    <row r="59">
      <c r="A59" s="651" t="n"/>
      <c r="B59" s="705" t="inlineStr">
        <is>
          <t>M</t>
        </is>
      </c>
      <c r="C59" s="704" t="inlineStr">
        <is>
          <t>400 Free</t>
        </is>
      </c>
      <c r="D59" s="705" t="n">
        <v>14</v>
      </c>
      <c r="E59" s="613" t="inlineStr">
        <is>
          <t>CH'NG SAW HUAI</t>
        </is>
      </c>
      <c r="F59" s="701" t="inlineStr">
        <is>
          <t>4:17.86</t>
        </is>
      </c>
      <c r="G59"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 s="464">
        <f>G59/#REF!</f>
        <v/>
      </c>
      <c r="I59" s="614" t="inlineStr">
        <is>
          <t>4:22.13</t>
        </is>
      </c>
      <c r="J59"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 s="464">
        <f>J59/#REF!</f>
        <v/>
      </c>
      <c r="L59" s="704" t="n">
        <v>8</v>
      </c>
      <c r="M59" s="616" t="n">
        <v>11</v>
      </c>
      <c r="N59" s="652">
        <f t="array" ref="N59">1000*(INDEX('Bakat Base Times'!$E:$E,MATCH(1,('Bakat Base Times'!$A:$A=B59)*('Bakat Base Times'!$B:$B=C59)*('Bakat Base Times'!$C:$C=D59),0))/(VALUE(O59)))^3
</f>
        <v/>
      </c>
      <c r="O59" s="609">
        <f>IFERROR(__xludf.DUMMYFUNCTION("IF(ISNUMBER(I59), I59, IF(REGEXMATCH(I59, "":""), SUMPRODUCT(VALUE(SPLIT(I59, "":"")) * (60^(COUNTIF(SPLIT(I59, "":""), ""&lt;&gt;"")-COLUMN(OFFSET('MOT Tables 25'!$A$1,,,1,COUNTIF(SPLIT(I59, "":""),""&lt;&gt;"")))))), VALUE(I59)))"),262.13)</f>
        <v/>
      </c>
      <c r="P59" s="689" t="n"/>
      <c r="Q59" s="689" t="n"/>
      <c r="R59" s="689" t="n"/>
      <c r="S59" s="689" t="n"/>
      <c r="T59" s="689" t="n"/>
      <c r="U59" s="689" t="n"/>
      <c r="V59" s="689" t="n"/>
      <c r="W59" s="689" t="n"/>
      <c r="X59" s="689" t="n"/>
      <c r="Y59" s="618" t="inlineStr">
        <is>
          <t>M</t>
        </is>
      </c>
      <c r="Z59" s="619" t="inlineStr">
        <is>
          <t>400 Free</t>
        </is>
      </c>
      <c r="AA59" s="612" t="n">
        <v>14</v>
      </c>
      <c r="AB59" s="613" t="inlineStr">
        <is>
          <t>CH'NG SAW HUAI</t>
        </is>
      </c>
      <c r="AC59" s="614" t="inlineStr">
        <is>
          <t>4:22.13</t>
        </is>
      </c>
      <c r="AD59" s="628">
        <f>IFERROR(__xludf.DUMMYFUNCTION("IF(ISNUMBER(AC59), AC59, IF(REGEXMATCH(AC59, "":""), SUMPRODUCT(VALUE(SPLIT(AC59, "":"")) * (60^(COUNTIF(SPLIT(AC59, "":""), ""&lt;&gt;"")-COLUMN(OFFSET('MOT Tables 25'!$A$1,,,1,COUNTIF(SPLIT(AC59, "":""),""&lt;&gt;"")))))), VALUE(AC59)))"),262.13)</f>
        <v/>
      </c>
      <c r="AE59" s="616" t="n">
        <v>11</v>
      </c>
      <c r="AF59" s="617">
        <f t="array" ref="AF59">1000*(INDEX('Bakat Base Times'!$E:$E,MATCH(1,('Bakat Base Times'!$A:$A=Y59)*('Bakat Base Times'!$B:$B=Z59)*('Bakat Base Times'!$C:$C=AA59),0))/(VALUE(AD59)))^3
</f>
        <v/>
      </c>
      <c r="AG59" s="693" t="n"/>
      <c r="AH59" s="618" t="inlineStr">
        <is>
          <t>F</t>
        </is>
      </c>
      <c r="AI59" s="619" t="inlineStr">
        <is>
          <t>400 IM</t>
        </is>
      </c>
      <c r="AJ59" s="619" t="n">
        <v>15</v>
      </c>
      <c r="AK59" s="613" t="inlineStr">
        <is>
          <t>KAYLEIGH ANG ZHI XUAN</t>
        </is>
      </c>
      <c r="AL59" s="665" t="inlineStr">
        <is>
          <t>5:24.11</t>
        </is>
      </c>
      <c r="AM59" s="505">
        <f>IFERROR(__xludf.DUMMYFUNCTION("IF(ISNUMBER(AL59), AL59, IF(REGEXMATCH(AL59, "":""), SUMPRODUCT(VALUE(SPLIT(AL59, "":"")) * (60^(COUNTIF(SPLIT(AL59, "":""), ""&lt;&gt;"")-COLUMN(OFFSET('MOT Tables 25'!$A$1,,,1,COUNTIF(SPLIT(AL59, "":""),""&lt;&gt;"")))))), VALUE(AL59)))"),324.11)</f>
        <v/>
      </c>
      <c r="AN59" s="613" t="n">
        <v>11</v>
      </c>
      <c r="AO59" s="672">
        <f t="array" ref="AO59">1000*(INDEX('Bakat Base Times'!$E:$E,MATCH(1,('Bakat Base Times'!$A:$A=AH59)*('Bakat Base Times'!$B:$B=AI59)*('Bakat Base Times'!$C:$C=AJ59),0))/(VALUE(AM59)))^3
</f>
        <v/>
      </c>
      <c r="AP59" s="621" t="n"/>
      <c r="AQ59" s="693" t="n"/>
      <c r="AR59" s="699" t="n"/>
      <c r="AS59" s="693" t="n"/>
      <c r="AT59" s="693" t="n"/>
      <c r="AU59" s="699" t="n"/>
      <c r="AV59" s="699" t="n"/>
      <c r="AW59" s="693" t="n"/>
      <c r="AX59" s="693" t="n"/>
      <c r="AY59" s="693" t="n"/>
      <c r="AZ59" s="693" t="n"/>
    </row>
    <row r="60">
      <c r="A60" s="654" t="n"/>
      <c r="B60" s="710" t="inlineStr">
        <is>
          <t>F</t>
        </is>
      </c>
      <c r="C60" s="709" t="inlineStr">
        <is>
          <t>50 Free</t>
        </is>
      </c>
      <c r="D60" s="710" t="n">
        <v>16</v>
      </c>
      <c r="E60" s="590" t="inlineStr">
        <is>
          <t>SEAH SHU HUI</t>
        </is>
      </c>
      <c r="F60" s="629" t="n">
        <v>27.14</v>
      </c>
      <c r="G6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 s="460">
        <f>G60/#REF!</f>
        <v/>
      </c>
      <c r="I60" s="667" t="n">
        <v>27.52</v>
      </c>
      <c r="J6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 s="460">
        <f>J60/#REF!</f>
        <v/>
      </c>
      <c r="L60" s="709" t="n">
        <v>8</v>
      </c>
      <c r="M60" s="593" t="n">
        <v>10</v>
      </c>
      <c r="N60" s="655">
        <f t="array" ref="N60">1000*(INDEX('Bakat Base Times'!$E:$E,MATCH(1,('Bakat Base Times'!$A:$A=B60)*('Bakat Base Times'!$B:$B=C60)*('Bakat Base Times'!$C:$C=D60),0))/(VALUE(O60)))^3
</f>
        <v/>
      </c>
      <c r="O60" s="582">
        <f>IFERROR(__xludf.DUMMYFUNCTION("IF(ISNUMBER(I60), I60, IF(REGEXMATCH(I60, "":""), SUMPRODUCT(VALUE(SPLIT(I60, "":"")) * (60^(COUNTIF(SPLIT(I60, "":""), ""&lt;&gt;"")-COLUMN(OFFSET('MOT Tables 25'!$A$1,,,1,COUNTIF(SPLIT(I60, "":""),""&lt;&gt;"")))))), VALUE(I60)))"),27.52)</f>
        <v/>
      </c>
      <c r="P60" s="689" t="n"/>
      <c r="Q60" s="689" t="n"/>
      <c r="R60" s="689" t="n"/>
      <c r="S60" s="689" t="n"/>
      <c r="T60" s="689" t="n"/>
      <c r="U60" s="689" t="n"/>
      <c r="V60" s="689" t="n"/>
      <c r="W60" s="689" t="n"/>
      <c r="X60" s="689" t="n"/>
      <c r="Y60" s="596" t="inlineStr">
        <is>
          <t>F</t>
        </is>
      </c>
      <c r="Z60" s="597" t="inlineStr">
        <is>
          <t>50 Free</t>
        </is>
      </c>
      <c r="AA60" s="589" t="n">
        <v>16</v>
      </c>
      <c r="AB60" s="590" t="inlineStr">
        <is>
          <t>SEAH SHU HUI</t>
        </is>
      </c>
      <c r="AC60" s="667" t="n">
        <v>27.52</v>
      </c>
      <c r="AD60" s="592">
        <f>IFERROR(__xludf.DUMMYFUNCTION("IF(ISNUMBER(AC60), AC60, IF(REGEXMATCH(AC60, "":""), SUMPRODUCT(VALUE(SPLIT(AC60, "":"")) * (60^(COUNTIF(SPLIT(AC60, "":""), ""&lt;&gt;"")-COLUMN(OFFSET('MOT Tables 25'!$A$1,,,1,COUNTIF(SPLIT(AC60, "":""),""&lt;&gt;"")))))), VALUE(AC60)))"),27.52)</f>
        <v/>
      </c>
      <c r="AE60" s="593" t="n">
        <v>10</v>
      </c>
      <c r="AF60" s="594">
        <f t="array" ref="AF60">1000*(INDEX('Bakat Base Times'!$E:$E,MATCH(1,('Bakat Base Times'!$A:$A=Y60)*('Bakat Base Times'!$B:$B=Z60)*('Bakat Base Times'!$C:$C=AA60),0))/(VALUE(AD60)))^3
</f>
        <v/>
      </c>
      <c r="AG60" s="693" t="n"/>
      <c r="AH60" s="596" t="inlineStr">
        <is>
          <t>F</t>
        </is>
      </c>
      <c r="AI60" s="597" t="inlineStr">
        <is>
          <t>200 Free</t>
        </is>
      </c>
      <c r="AJ60" s="597" t="n">
        <v>17</v>
      </c>
      <c r="AK60" s="590" t="inlineStr">
        <is>
          <t>KHEW ZI XIAN</t>
        </is>
      </c>
      <c r="AL60" s="591" t="inlineStr">
        <is>
          <t>2:12.76</t>
        </is>
      </c>
      <c r="AM60" s="517">
        <f>IFERROR(__xludf.DUMMYFUNCTION("IF(ISNUMBER(AL60), AL60, IF(REGEXMATCH(AL60, "":""), SUMPRODUCT(VALUE(SPLIT(AL60, "":"")) * (60^(COUNTIF(SPLIT(AL60, "":""), ""&lt;&gt;"")-COLUMN(OFFSET('MOT Tables 25'!$A$1,,,1,COUNTIF(SPLIT(AL60, "":""),""&lt;&gt;"")))))), VALUE(AL60)))"),132.76)</f>
        <v/>
      </c>
      <c r="AN60" s="590" t="n">
        <v>13</v>
      </c>
      <c r="AO60" s="599">
        <f t="array" ref="AO60">1000*(INDEX('Bakat Base Times'!$E:$E,MATCH(1,('Bakat Base Times'!$A:$A=AH60)*('Bakat Base Times'!$B:$B=AI60)*('Bakat Base Times'!$C:$C=AJ60),0))/(VALUE(AM60)))^3
</f>
        <v/>
      </c>
      <c r="AP60" s="600" t="n"/>
      <c r="AQ60" s="693" t="n"/>
      <c r="AR60" s="693" t="n"/>
      <c r="AS60" s="693" t="n"/>
      <c r="AT60" s="693" t="n"/>
      <c r="AU60" s="699" t="n"/>
      <c r="AV60" s="693" t="n"/>
      <c r="AW60" s="693" t="n"/>
      <c r="AX60" s="693" t="n"/>
      <c r="AY60" s="693" t="n"/>
      <c r="AZ60" s="693" t="n"/>
    </row>
    <row r="61">
      <c r="A61" s="651" t="n"/>
      <c r="B61" s="705" t="inlineStr">
        <is>
          <t>F</t>
        </is>
      </c>
      <c r="C61" s="704" t="inlineStr">
        <is>
          <t>100 Back</t>
        </is>
      </c>
      <c r="D61" s="705" t="n">
        <v>18</v>
      </c>
      <c r="E61" s="613" t="inlineStr">
        <is>
          <t>CHONG XIN LIN</t>
        </is>
      </c>
      <c r="F61" s="701" t="inlineStr">
        <is>
          <t>1:04.29</t>
        </is>
      </c>
      <c r="G6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 s="464">
        <f>G61/#REF!</f>
        <v/>
      </c>
      <c r="I61" s="614" t="inlineStr">
        <is>
          <t>1:05.68</t>
        </is>
      </c>
      <c r="J6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 s="464">
        <f>J61/#REF!</f>
        <v/>
      </c>
      <c r="L61" s="704" t="n">
        <v>2</v>
      </c>
      <c r="M61" s="616" t="n">
        <v>5</v>
      </c>
      <c r="N61" s="652">
        <f t="array" ref="N61">1000*(INDEX('Bakat Base Times'!$E:$E,MATCH(1,('Bakat Base Times'!$A:$A=B61)*('Bakat Base Times'!$B:$B=C61)*('Bakat Base Times'!$C:$C=D61),0))/(VALUE(O61)))^3
</f>
        <v/>
      </c>
      <c r="O61" s="609">
        <f>IFERROR(__xludf.DUMMYFUNCTION("IF(ISNUMBER(I61), I61, IF(REGEXMATCH(I61, "":""), SUMPRODUCT(VALUE(SPLIT(I61, "":"")) * (60^(COUNTIF(SPLIT(I61, "":""), ""&lt;&gt;"")-COLUMN(OFFSET('MOT Tables 25'!$A$1,,,1,COUNTIF(SPLIT(I61, "":""),""&lt;&gt;"")))))), VALUE(I61)))"),65.68)</f>
        <v/>
      </c>
      <c r="P61" s="689" t="n"/>
      <c r="Q61" s="689" t="n"/>
      <c r="R61" s="689" t="n"/>
      <c r="S61" s="689" t="n"/>
      <c r="T61" s="689" t="n"/>
      <c r="U61" s="689" t="n"/>
      <c r="V61" s="689" t="n"/>
      <c r="W61" s="689" t="n"/>
      <c r="X61" s="689" t="n"/>
      <c r="Y61" s="618" t="inlineStr">
        <is>
          <t>F</t>
        </is>
      </c>
      <c r="Z61" s="619" t="inlineStr">
        <is>
          <t>100 Back</t>
        </is>
      </c>
      <c r="AA61" s="612" t="n">
        <v>18</v>
      </c>
      <c r="AB61" s="613" t="inlineStr">
        <is>
          <t>CHONG XIN LIN</t>
        </is>
      </c>
      <c r="AC61" s="614" t="inlineStr">
        <is>
          <t>1:05.68</t>
        </is>
      </c>
      <c r="AD61" s="628">
        <f>IFERROR(__xludf.DUMMYFUNCTION("IF(ISNUMBER(AC61), AC61, IF(REGEXMATCH(AC61, "":""), SUMPRODUCT(VALUE(SPLIT(AC61, "":"")) * (60^(COUNTIF(SPLIT(AC61, "":""), ""&lt;&gt;"")-COLUMN(OFFSET('MOT Tables 25'!$A$1,,,1,COUNTIF(SPLIT(AC61, "":""),""&lt;&gt;"")))))), VALUE(AC61)))"),65.68)</f>
        <v/>
      </c>
      <c r="AE61" s="616" t="n">
        <v>5</v>
      </c>
      <c r="AF61" s="617">
        <f t="array" ref="AF61">1000*(INDEX('Bakat Base Times'!$E:$E,MATCH(1,('Bakat Base Times'!$A:$A=Y61)*('Bakat Base Times'!$B:$B=Z61)*('Bakat Base Times'!$C:$C=AA61),0))/(VALUE(AD61)))^3
</f>
        <v/>
      </c>
      <c r="AG61" s="693" t="n"/>
      <c r="AH61" s="632" t="inlineStr">
        <is>
          <t>F</t>
        </is>
      </c>
      <c r="AI61" s="633" t="inlineStr">
        <is>
          <t>50 Free</t>
        </is>
      </c>
      <c r="AJ61" s="633" t="n">
        <v>15</v>
      </c>
      <c r="AK61" s="634" t="inlineStr">
        <is>
          <t>KHONG ZI LIN</t>
        </is>
      </c>
      <c r="AL61" s="635" t="n">
        <v>26.67</v>
      </c>
      <c r="AM61" s="636">
        <f>IFERROR(__xludf.DUMMYFUNCTION("IF(ISNUMBER(AL61), AL61, IF(REGEXMATCH(AL61, "":""), SUMPRODUCT(VALUE(SPLIT(AL61, "":"")) * (60^(COUNTIF(SPLIT(AL61, "":""), ""&lt;&gt;"")-COLUMN(OFFSET('MOT Tables 25'!$A$1,,,1,COUNTIF(SPLIT(AL61, "":""),""&lt;&gt;"")))))), VALUE(AL61)))"),26.67)</f>
        <v/>
      </c>
      <c r="AN61" s="634" t="n">
        <v>2</v>
      </c>
      <c r="AO61" s="637">
        <f t="array" ref="AO61">1000*(INDEX('Bakat Base Times'!$E:$E,MATCH(1,('Bakat Base Times'!$A:$A=AH61)*('Bakat Base Times'!$B:$B=AI61)*('Bakat Base Times'!$C:$C=AJ61),0))/(VALUE(AM61)))^3
</f>
        <v/>
      </c>
      <c r="AP61" s="668" t="inlineStr">
        <is>
          <t>A</t>
        </is>
      </c>
      <c r="AQ61" s="639" t="n"/>
      <c r="AR61" s="693" t="n"/>
      <c r="AS61" s="693" t="n"/>
      <c r="AT61" s="693" t="n"/>
      <c r="AU61" s="699" t="n"/>
      <c r="AV61" s="693" t="n"/>
      <c r="AW61" s="693" t="n"/>
      <c r="AX61" s="693" t="n"/>
      <c r="AY61" s="693" t="n"/>
      <c r="AZ61" s="693" t="n"/>
    </row>
    <row r="62">
      <c r="A62" s="654" t="n"/>
      <c r="B62" s="710" t="inlineStr">
        <is>
          <t>M</t>
        </is>
      </c>
      <c r="C62" s="709" t="inlineStr">
        <is>
          <t>200 Back</t>
        </is>
      </c>
      <c r="D62" s="710" t="n">
        <v>16</v>
      </c>
      <c r="E62" s="590" t="inlineStr">
        <is>
          <t>DYLAN LEONG YI QUAN</t>
        </is>
      </c>
      <c r="F62" s="707" t="inlineStr">
        <is>
          <t>2:10.67</t>
        </is>
      </c>
      <c r="G6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 s="460">
        <f>G62/#REF!</f>
        <v/>
      </c>
      <c r="I62" s="591" t="inlineStr">
        <is>
          <t>2:11.35</t>
        </is>
      </c>
      <c r="J6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 s="460">
        <f>J62/#REF!</f>
        <v/>
      </c>
      <c r="L62" s="709" t="n">
        <v>6</v>
      </c>
      <c r="M62" s="593" t="n">
        <v>5</v>
      </c>
      <c r="N62" s="655">
        <f t="array" ref="N62">1000*(INDEX('Bakat Base Times'!$E:$E,MATCH(1,('Bakat Base Times'!$A:$A=B62)*('Bakat Base Times'!$B:$B=C62)*('Bakat Base Times'!$C:$C=D62),0))/(VALUE(O62)))^3
</f>
        <v/>
      </c>
      <c r="O62" s="582">
        <f>IFERROR(__xludf.DUMMYFUNCTION("IF(ISNUMBER(I62), I62, IF(REGEXMATCH(I62, "":""), SUMPRODUCT(VALUE(SPLIT(I62, "":"")) * (60^(COUNTIF(SPLIT(I62, "":""), ""&lt;&gt;"")-COLUMN(OFFSET('MOT Tables 25'!$A$1,,,1,COUNTIF(SPLIT(I62, "":""),""&lt;&gt;"")))))), VALUE(I62)))"),131.35)</f>
        <v/>
      </c>
      <c r="P62" s="689" t="n"/>
      <c r="Q62" s="689" t="n"/>
      <c r="R62" s="689" t="n"/>
      <c r="S62" s="689" t="n"/>
      <c r="T62" s="689" t="n"/>
      <c r="U62" s="689" t="n"/>
      <c r="V62" s="689" t="n"/>
      <c r="W62" s="689" t="n"/>
      <c r="X62" s="689" t="n"/>
      <c r="Y62" s="596" t="inlineStr">
        <is>
          <t>M</t>
        </is>
      </c>
      <c r="Z62" s="597" t="inlineStr">
        <is>
          <t>200 Back</t>
        </is>
      </c>
      <c r="AA62" s="589" t="n">
        <v>16</v>
      </c>
      <c r="AB62" s="590" t="inlineStr">
        <is>
          <t>DYLAN LEONG YI QUAN</t>
        </is>
      </c>
      <c r="AC62" s="591" t="inlineStr">
        <is>
          <t>2:11.35</t>
        </is>
      </c>
      <c r="AD62" s="592">
        <f>IFERROR(__xludf.DUMMYFUNCTION("IF(ISNUMBER(AC62), AC62, IF(REGEXMATCH(AC62, "":""), SUMPRODUCT(VALUE(SPLIT(AC62, "":"")) * (60^(COUNTIF(SPLIT(AC62, "":""), ""&lt;&gt;"")-COLUMN(OFFSET('MOT Tables 25'!$A$1,,,1,COUNTIF(SPLIT(AC62, "":""),""&lt;&gt;"")))))), VALUE(AC62)))"),131.35)</f>
        <v/>
      </c>
      <c r="AE62" s="593" t="n">
        <v>5</v>
      </c>
      <c r="AF62" s="594">
        <f t="array" ref="AF62">1000*(INDEX('Bakat Base Times'!$E:$E,MATCH(1,('Bakat Base Times'!$A:$A=Y62)*('Bakat Base Times'!$B:$B=Z62)*('Bakat Base Times'!$C:$C=AA62),0))/(VALUE(AD62)))^3
</f>
        <v/>
      </c>
      <c r="AG62" s="693" t="n"/>
      <c r="AH62" s="632" t="inlineStr">
        <is>
          <t>F</t>
        </is>
      </c>
      <c r="AI62" s="633" t="inlineStr">
        <is>
          <t>200 Breast</t>
        </is>
      </c>
      <c r="AJ62" s="633" t="n">
        <v>16</v>
      </c>
      <c r="AK62" s="634" t="inlineStr">
        <is>
          <t>KHOO SUE ENN</t>
        </is>
      </c>
      <c r="AL62" s="635" t="inlineStr">
        <is>
          <t>2:40.61</t>
        </is>
      </c>
      <c r="AM62" s="636">
        <f>IFERROR(__xludf.DUMMYFUNCTION("IF(ISNUMBER(AL62), AL62, IF(REGEXMATCH(AL62, "":""), SUMPRODUCT(VALUE(SPLIT(AL62, "":"")) * (60^(COUNTIF(SPLIT(AL62, "":""), ""&lt;&gt;"")-COLUMN(OFFSET('MOT Tables 25'!$A$1,,,1,COUNTIF(SPLIT(AL62, "":""),""&lt;&gt;"")))))), VALUE(AL62)))"),160.61)</f>
        <v/>
      </c>
      <c r="AN62" s="634" t="n">
        <v>2</v>
      </c>
      <c r="AO62" s="637">
        <f t="array" ref="AO62">1000*(INDEX('Bakat Base Times'!$E:$E,MATCH(1,('Bakat Base Times'!$A:$A=AH62)*('Bakat Base Times'!$B:$B=AI62)*('Bakat Base Times'!$C:$C=AJ62),0))/(VALUE(AM62)))^3
</f>
        <v/>
      </c>
      <c r="AP62" s="638" t="inlineStr">
        <is>
          <t>A</t>
        </is>
      </c>
      <c r="AQ62" s="639" t="n"/>
      <c r="AR62" s="693" t="n"/>
      <c r="AS62" s="693" t="n"/>
      <c r="AT62" s="693" t="n"/>
      <c r="AU62" s="699" t="n"/>
      <c r="AV62" s="693" t="n"/>
      <c r="AW62" s="693" t="n"/>
      <c r="AX62" s="693" t="n"/>
      <c r="AY62" s="693" t="n"/>
      <c r="AZ62" s="693" t="n"/>
    </row>
    <row r="63">
      <c r="A63" s="651" t="n"/>
      <c r="B63" s="705" t="inlineStr">
        <is>
          <t>M</t>
        </is>
      </c>
      <c r="C63" s="704" t="inlineStr">
        <is>
          <t>200 Fly</t>
        </is>
      </c>
      <c r="D63" s="705" t="n">
        <v>15</v>
      </c>
      <c r="E63" s="613" t="inlineStr">
        <is>
          <t>YAP ZHEN KOK</t>
        </is>
      </c>
      <c r="F63" s="701" t="inlineStr">
        <is>
          <t>2:12.58</t>
        </is>
      </c>
      <c r="G6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 s="464">
        <f>G63/#REF!</f>
        <v/>
      </c>
      <c r="I63" s="614" t="inlineStr">
        <is>
          <t>2:12.52</t>
        </is>
      </c>
      <c r="J6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 s="464">
        <f>J63/#REF!</f>
        <v/>
      </c>
      <c r="L63" s="704" t="n">
        <v>3</v>
      </c>
      <c r="M63" s="616" t="n">
        <v>5</v>
      </c>
      <c r="N63" s="652">
        <f t="array" ref="N63">1000*(INDEX('Bakat Base Times'!$E:$E,MATCH(1,('Bakat Base Times'!$A:$A=B63)*('Bakat Base Times'!$B:$B=C63)*('Bakat Base Times'!$C:$C=D63),0))/(VALUE(O63)))^3
</f>
        <v/>
      </c>
      <c r="O63" s="609">
        <f>IFERROR(__xludf.DUMMYFUNCTION("IF(ISNUMBER(I63), I63, IF(REGEXMATCH(I63, "":""), SUMPRODUCT(VALUE(SPLIT(I63, "":"")) * (60^(COUNTIF(SPLIT(I63, "":""), ""&lt;&gt;"")-COLUMN(OFFSET('MOT Tables 25'!$A$1,,,1,COUNTIF(SPLIT(I63, "":""),""&lt;&gt;"")))))), VALUE(I63)))"),132.52)</f>
        <v/>
      </c>
      <c r="P63" s="689" t="n"/>
      <c r="Q63" s="689" t="n"/>
      <c r="R63" s="689" t="n"/>
      <c r="S63" s="689" t="n"/>
      <c r="T63" s="689" t="n"/>
      <c r="U63" s="689" t="n"/>
      <c r="V63" s="689" t="n"/>
      <c r="W63" s="689" t="n"/>
      <c r="X63" s="689" t="n"/>
      <c r="Y63" s="618" t="inlineStr">
        <is>
          <t>M</t>
        </is>
      </c>
      <c r="Z63" s="619" t="inlineStr">
        <is>
          <t>200 Fly</t>
        </is>
      </c>
      <c r="AA63" s="612" t="n">
        <v>15</v>
      </c>
      <c r="AB63" s="613" t="inlineStr">
        <is>
          <t>YAP ZHEN KOK</t>
        </is>
      </c>
      <c r="AC63" s="614" t="inlineStr">
        <is>
          <t>2:12.52</t>
        </is>
      </c>
      <c r="AD63" s="628">
        <f>IFERROR(__xludf.DUMMYFUNCTION("IF(ISNUMBER(AC63), AC63, IF(REGEXMATCH(AC63, "":""), SUMPRODUCT(VALUE(SPLIT(AC63, "":"")) * (60^(COUNTIF(SPLIT(AC63, "":""), ""&lt;&gt;"")-COLUMN(OFFSET('MOT Tables 25'!$A$1,,,1,COUNTIF(SPLIT(AC63, "":""),""&lt;&gt;"")))))), VALUE(AC63)))"),132.52)</f>
        <v/>
      </c>
      <c r="AE63" s="616" t="n">
        <v>5</v>
      </c>
      <c r="AF63" s="617">
        <f t="array" ref="AF63">1000*(INDEX('Bakat Base Times'!$E:$E,MATCH(1,('Bakat Base Times'!$A:$A=Y63)*('Bakat Base Times'!$B:$B=Z63)*('Bakat Base Times'!$C:$C=AA63),0))/(VALUE(AD63)))^3
</f>
        <v/>
      </c>
      <c r="AG63" s="693" t="n"/>
      <c r="AH63" s="632" t="inlineStr">
        <is>
          <t>F</t>
        </is>
      </c>
      <c r="AI63" s="633" t="inlineStr">
        <is>
          <t>100 Breast</t>
        </is>
      </c>
      <c r="AJ63" s="633" t="n">
        <v>16</v>
      </c>
      <c r="AK63" s="634" t="inlineStr">
        <is>
          <t>KHOO SUE ENN</t>
        </is>
      </c>
      <c r="AL63" s="674" t="inlineStr">
        <is>
          <t>1:16.73</t>
        </is>
      </c>
      <c r="AM63" s="636">
        <f>IFERROR(__xludf.DUMMYFUNCTION("IF(ISNUMBER(AL63), AL63, IF(REGEXMATCH(AL63, "":""), SUMPRODUCT(VALUE(SPLIT(AL63, "":"")) * (60^(COUNTIF(SPLIT(AL63, "":""), ""&lt;&gt;"")-COLUMN(OFFSET('MOT Tables 25'!$A$1,,,1,COUNTIF(SPLIT(AL63, "":""),""&lt;&gt;"")))))), VALUE(AL63)))"),76.73)</f>
        <v/>
      </c>
      <c r="AN63" s="634" t="n">
        <v>11</v>
      </c>
      <c r="AO63" s="637">
        <f t="array" ref="AO63">1000*(INDEX('Bakat Base Times'!$E:$E,MATCH(1,('Bakat Base Times'!$A:$A=AH63)*('Bakat Base Times'!$B:$B=AI63)*('Bakat Base Times'!$C:$C=AJ63),0))/(VALUE(AM63)))^3
</f>
        <v/>
      </c>
      <c r="AP63" s="638" t="inlineStr">
        <is>
          <t>A</t>
        </is>
      </c>
      <c r="AQ63" s="639" t="n"/>
      <c r="AR63" s="693" t="n"/>
      <c r="AS63" s="693" t="n"/>
      <c r="AT63" s="693" t="n"/>
      <c r="AU63" s="699" t="n"/>
      <c r="AV63" s="693" t="n"/>
      <c r="AW63" s="693" t="n"/>
      <c r="AX63" s="693" t="n"/>
      <c r="AY63" s="693" t="n"/>
      <c r="AZ63" s="693" t="n"/>
    </row>
    <row r="64">
      <c r="A64" s="654" t="n"/>
      <c r="B64" s="710" t="inlineStr">
        <is>
          <t>M</t>
        </is>
      </c>
      <c r="C64" s="709" t="inlineStr">
        <is>
          <t>200 Breast</t>
        </is>
      </c>
      <c r="D64" s="710" t="n">
        <v>15</v>
      </c>
      <c r="E64" s="590" t="inlineStr">
        <is>
          <t>CAYDEN TEO KAE-C</t>
        </is>
      </c>
      <c r="F64" s="707" t="inlineStr">
        <is>
          <t>2:26.78</t>
        </is>
      </c>
      <c r="G6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 s="460">
        <f>G64/#REF!</f>
        <v/>
      </c>
      <c r="I64" s="591" t="inlineStr">
        <is>
          <t>2:30.31</t>
        </is>
      </c>
      <c r="J6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 s="460">
        <f>J64/#REF!</f>
        <v/>
      </c>
      <c r="L64" s="709" t="n">
        <v>5</v>
      </c>
      <c r="M64" s="593" t="n">
        <v>9</v>
      </c>
      <c r="N64" s="655">
        <f t="array" ref="N64">1000*(INDEX('Bakat Base Times'!$E:$E,MATCH(1,('Bakat Base Times'!$A:$A=B64)*('Bakat Base Times'!$B:$B=C64)*('Bakat Base Times'!$C:$C=D64),0))/(VALUE(O64)))^3
</f>
        <v/>
      </c>
      <c r="O64" s="582">
        <f>IFERROR(__xludf.DUMMYFUNCTION("IF(ISNUMBER(I64), I64, IF(REGEXMATCH(I64, "":""), SUMPRODUCT(VALUE(SPLIT(I64, "":"")) * (60^(COUNTIF(SPLIT(I64, "":""), ""&lt;&gt;"")-COLUMN(OFFSET('MOT Tables 25'!$A$1,,,1,COUNTIF(SPLIT(I64, "":""),""&lt;&gt;"")))))), VALUE(I64)))"),150.31)</f>
        <v/>
      </c>
      <c r="P64" s="689" t="n"/>
      <c r="Q64" s="689" t="n"/>
      <c r="R64" s="689" t="n"/>
      <c r="S64" s="689" t="n"/>
      <c r="T64" s="689" t="n"/>
      <c r="U64" s="689" t="n"/>
      <c r="V64" s="689" t="n"/>
      <c r="W64" s="689" t="n"/>
      <c r="X64" s="689" t="n"/>
      <c r="Y64" s="596" t="inlineStr">
        <is>
          <t>M</t>
        </is>
      </c>
      <c r="Z64" s="597" t="inlineStr">
        <is>
          <t>200 Breast</t>
        </is>
      </c>
      <c r="AA64" s="589" t="n">
        <v>15</v>
      </c>
      <c r="AB64" s="590" t="inlineStr">
        <is>
          <t>CAYDEN TEO KAE-C</t>
        </is>
      </c>
      <c r="AC64" s="591" t="inlineStr">
        <is>
          <t>2:30.31</t>
        </is>
      </c>
      <c r="AD64" s="592">
        <f>IFERROR(__xludf.DUMMYFUNCTION("IF(ISNUMBER(AC64), AC64, IF(REGEXMATCH(AC64, "":""), SUMPRODUCT(VALUE(SPLIT(AC64, "":"")) * (60^(COUNTIF(SPLIT(AC64, "":""), ""&lt;&gt;"")-COLUMN(OFFSET('MOT Tables 25'!$A$1,,,1,COUNTIF(SPLIT(AC64, "":""),""&lt;&gt;"")))))), VALUE(AC64)))"),150.31)</f>
        <v/>
      </c>
      <c r="AE64" s="593" t="n">
        <v>9</v>
      </c>
      <c r="AF64" s="594">
        <f t="array" ref="AF64">1000*(INDEX('Bakat Base Times'!$E:$E,MATCH(1,('Bakat Base Times'!$A:$A=Y64)*('Bakat Base Times'!$B:$B=Z64)*('Bakat Base Times'!$C:$C=AA64),0))/(VALUE(AD64)))^3
</f>
        <v/>
      </c>
      <c r="AG64" s="693" t="n"/>
      <c r="AH64" s="632" t="inlineStr">
        <is>
          <t>F</t>
        </is>
      </c>
      <c r="AI64" s="633" t="inlineStr">
        <is>
          <t>200 IM</t>
        </is>
      </c>
      <c r="AJ64" s="633" t="n">
        <v>16</v>
      </c>
      <c r="AK64" s="634" t="inlineStr">
        <is>
          <t>KHOO SUE ENN</t>
        </is>
      </c>
      <c r="AL64" s="635" t="inlineStr">
        <is>
          <t>2:32.33</t>
        </is>
      </c>
      <c r="AM64" s="636">
        <f>IFERROR(__xludf.DUMMYFUNCTION("IF(ISNUMBER(AL64), AL64, IF(REGEXMATCH(AL64, "":""), SUMPRODUCT(VALUE(SPLIT(AL64, "":"")) * (60^(COUNTIF(SPLIT(AL64, "":""), ""&lt;&gt;"")-COLUMN(OFFSET('MOT Tables 25'!$A$1,,,1,COUNTIF(SPLIT(AL64, "":""),""&lt;&gt;"")))))), VALUE(AL64)))"),152.32999999999998)</f>
        <v/>
      </c>
      <c r="AN64" s="634" t="n">
        <v>11</v>
      </c>
      <c r="AO64" s="637">
        <f t="array" ref="AO64">1000*(INDEX('Bakat Base Times'!$E:$E,MATCH(1,('Bakat Base Times'!$A:$A=AH64)*('Bakat Base Times'!$B:$B=AI64)*('Bakat Base Times'!$C:$C=AJ64),0))/(VALUE(AM64)))^3
</f>
        <v/>
      </c>
      <c r="AP64" s="638" t="inlineStr">
        <is>
          <t>A</t>
        </is>
      </c>
      <c r="AQ64" s="639" t="n"/>
      <c r="AR64" s="693" t="n"/>
      <c r="AS64" s="693" t="n"/>
      <c r="AT64" s="693" t="n"/>
      <c r="AU64" s="699" t="n"/>
      <c r="AV64" s="693" t="n"/>
      <c r="AW64" s="693" t="n"/>
      <c r="AX64" s="693" t="n"/>
      <c r="AY64" s="693" t="n"/>
      <c r="AZ64" s="693" t="n"/>
    </row>
    <row r="65">
      <c r="A65" s="651" t="n"/>
      <c r="B65" s="705" t="inlineStr">
        <is>
          <t>M</t>
        </is>
      </c>
      <c r="C65" s="704" t="inlineStr">
        <is>
          <t>100 Fly</t>
        </is>
      </c>
      <c r="D65" s="705" t="n">
        <v>12</v>
      </c>
      <c r="E65" s="613" t="inlineStr">
        <is>
          <t>AYAZ ZAHIN BIN AZHAR</t>
        </is>
      </c>
      <c r="F65" s="701" t="inlineStr">
        <is>
          <t>1:07.88</t>
        </is>
      </c>
      <c r="G6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 s="464">
        <f>G65/#REF!</f>
        <v/>
      </c>
      <c r="I65" s="614" t="inlineStr">
        <is>
          <t>1:06.75</t>
        </is>
      </c>
      <c r="J6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 s="464">
        <f>J65/#REF!</f>
        <v/>
      </c>
      <c r="L65" s="704" t="n">
        <v>14</v>
      </c>
      <c r="M65" s="616" t="n">
        <v>13</v>
      </c>
      <c r="N65" s="652">
        <f t="array" ref="N65">1000*(INDEX('Bakat Base Times'!$E:$E,MATCH(1,('Bakat Base Times'!$A:$A=B65)*('Bakat Base Times'!$B:$B=C65)*('Bakat Base Times'!$C:$C=D65),0))/(VALUE(O65)))^3
</f>
        <v/>
      </c>
      <c r="O65" s="609">
        <f>IFERROR(__xludf.DUMMYFUNCTION("IF(ISNUMBER(I65), I65, IF(REGEXMATCH(I65, "":""), SUMPRODUCT(VALUE(SPLIT(I65, "":"")) * (60^(COUNTIF(SPLIT(I65, "":""), ""&lt;&gt;"")-COLUMN(OFFSET('MOT Tables 25'!$A$1,,,1,COUNTIF(SPLIT(I65, "":""),""&lt;&gt;"")))))), VALUE(I65)))"),66.75)</f>
        <v/>
      </c>
      <c r="P65" s="689" t="n"/>
      <c r="Q65" s="689" t="n"/>
      <c r="R65" s="689" t="n"/>
      <c r="S65" s="689" t="n"/>
      <c r="T65" s="689" t="n"/>
      <c r="U65" s="689" t="n"/>
      <c r="V65" s="689" t="n"/>
      <c r="W65" s="689" t="n"/>
      <c r="X65" s="689" t="n"/>
      <c r="Y65" s="618" t="inlineStr">
        <is>
          <t>M</t>
        </is>
      </c>
      <c r="Z65" s="619" t="inlineStr">
        <is>
          <t>100 Fly</t>
        </is>
      </c>
      <c r="AA65" s="612" t="n">
        <v>12</v>
      </c>
      <c r="AB65" s="613" t="inlineStr">
        <is>
          <t>AYAZ ZAHIN BIN AZHAR</t>
        </is>
      </c>
      <c r="AC65" s="614" t="inlineStr">
        <is>
          <t>1:06.75</t>
        </is>
      </c>
      <c r="AD65" s="628">
        <f>IFERROR(__xludf.DUMMYFUNCTION("IF(ISNUMBER(AC65), AC65, IF(REGEXMATCH(AC65, "":""), SUMPRODUCT(VALUE(SPLIT(AC65, "":"")) * (60^(COUNTIF(SPLIT(AC65, "":""), ""&lt;&gt;"")-COLUMN(OFFSET('MOT Tables 25'!$A$1,,,1,COUNTIF(SPLIT(AC65, "":""),""&lt;&gt;"")))))), VALUE(AC65)))"),66.75)</f>
        <v/>
      </c>
      <c r="AE65" s="616" t="n">
        <v>13</v>
      </c>
      <c r="AF65" s="617">
        <f t="array" ref="AF65">1000*(INDEX('Bakat Base Times'!$E:$E,MATCH(1,('Bakat Base Times'!$A:$A=Y65)*('Bakat Base Times'!$B:$B=Z65)*('Bakat Base Times'!$C:$C=AA65),0))/(VALUE(AD65)))^3
</f>
        <v/>
      </c>
      <c r="AG65" s="693" t="n"/>
      <c r="AH65" s="618" t="inlineStr">
        <is>
          <t>F</t>
        </is>
      </c>
      <c r="AI65" s="619" t="inlineStr">
        <is>
          <t>100 Fly</t>
        </is>
      </c>
      <c r="AJ65" s="619" t="n">
        <v>16</v>
      </c>
      <c r="AK65" s="613" t="inlineStr">
        <is>
          <t>KHOR YUE LYNN</t>
        </is>
      </c>
      <c r="AL65" s="614" t="inlineStr">
        <is>
          <t>1:04.42</t>
        </is>
      </c>
      <c r="AM65" s="505">
        <f>IFERROR(__xludf.DUMMYFUNCTION("IF(ISNUMBER(AL65), AL65, IF(REGEXMATCH(AL65, "":""), SUMPRODUCT(VALUE(SPLIT(AL65, "":"")) * (60^(COUNTIF(SPLIT(AL65, "":""), ""&lt;&gt;"")-COLUMN(OFFSET('MOT Tables 25'!$A$1,,,1,COUNTIF(SPLIT(AL65, "":""),""&lt;&gt;"")))))), VALUE(AL65)))"),64.42)</f>
        <v/>
      </c>
      <c r="AN65" s="613" t="n">
        <v>5</v>
      </c>
      <c r="AO65" s="672">
        <f t="array" ref="AO65">1000*(INDEX('Bakat Base Times'!$E:$E,MATCH(1,('Bakat Base Times'!$A:$A=AH65)*('Bakat Base Times'!$B:$B=AI65)*('Bakat Base Times'!$C:$C=AJ65),0))/(VALUE(AM65)))^3
</f>
        <v/>
      </c>
      <c r="AP65" s="621" t="n"/>
      <c r="AQ65" s="693" t="n"/>
      <c r="AR65" s="693" t="n"/>
      <c r="AS65" s="693" t="n"/>
      <c r="AT65" s="693" t="n"/>
      <c r="AU65" s="699" t="n"/>
      <c r="AV65" s="693" t="n"/>
      <c r="AW65" s="693" t="n"/>
      <c r="AX65" s="693" t="n"/>
      <c r="AY65" s="693" t="n"/>
      <c r="AZ65" s="693" t="n"/>
    </row>
    <row r="66">
      <c r="A66" s="654" t="n"/>
      <c r="B66" s="710" t="inlineStr">
        <is>
          <t>F</t>
        </is>
      </c>
      <c r="C66" s="709" t="inlineStr">
        <is>
          <t>100 Fly</t>
        </is>
      </c>
      <c r="D66" s="710" t="n">
        <v>16</v>
      </c>
      <c r="E66" s="590" t="inlineStr">
        <is>
          <t>KHOR YUE LYNN</t>
        </is>
      </c>
      <c r="F66" s="707" t="inlineStr">
        <is>
          <t>1:04.20</t>
        </is>
      </c>
      <c r="G6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 s="460">
        <f>G66/#REF!</f>
        <v/>
      </c>
      <c r="I66" s="591" t="inlineStr">
        <is>
          <t>1:04.42</t>
        </is>
      </c>
      <c r="J6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 s="460">
        <f>J66/#REF!</f>
        <v/>
      </c>
      <c r="L66" s="709" t="n">
        <v>9</v>
      </c>
      <c r="M66" s="593" t="n">
        <v>5</v>
      </c>
      <c r="N66" s="655">
        <f t="array" ref="N66">1000*(INDEX('Bakat Base Times'!$E:$E,MATCH(1,('Bakat Base Times'!$A:$A=B66)*('Bakat Base Times'!$B:$B=C66)*('Bakat Base Times'!$C:$C=D66),0))/(VALUE(O66)))^3
</f>
        <v/>
      </c>
      <c r="O66" s="582">
        <f>IFERROR(__xludf.DUMMYFUNCTION("IF(ISNUMBER(I66), I66, IF(REGEXMATCH(I66, "":""), SUMPRODUCT(VALUE(SPLIT(I66, "":"")) * (60^(COUNTIF(SPLIT(I66, "":""), ""&lt;&gt;"")-COLUMN(OFFSET('MOT Tables 25'!$A$1,,,1,COUNTIF(SPLIT(I66, "":""),""&lt;&gt;"")))))), VALUE(I66)))"),64.42)</f>
        <v/>
      </c>
      <c r="P66" s="689" t="n"/>
      <c r="Q66" s="689" t="n"/>
      <c r="R66" s="689" t="n"/>
      <c r="S66" s="689" t="n"/>
      <c r="T66" s="689" t="n"/>
      <c r="U66" s="689" t="n"/>
      <c r="V66" s="689" t="n"/>
      <c r="W66" s="689" t="n"/>
      <c r="X66" s="689" t="n"/>
      <c r="Y66" s="596" t="inlineStr">
        <is>
          <t>F</t>
        </is>
      </c>
      <c r="Z66" s="597" t="inlineStr">
        <is>
          <t>100 Fly</t>
        </is>
      </c>
      <c r="AA66" s="589" t="n">
        <v>16</v>
      </c>
      <c r="AB66" s="590" t="inlineStr">
        <is>
          <t>KHOR YUE LYNN</t>
        </is>
      </c>
      <c r="AC66" s="591" t="inlineStr">
        <is>
          <t>1:04.42</t>
        </is>
      </c>
      <c r="AD66" s="592">
        <f>IFERROR(__xludf.DUMMYFUNCTION("IF(ISNUMBER(AC66), AC66, IF(REGEXMATCH(AC66, "":""), SUMPRODUCT(VALUE(SPLIT(AC66, "":"")) * (60^(COUNTIF(SPLIT(AC66, "":""), ""&lt;&gt;"")-COLUMN(OFFSET('MOT Tables 25'!$A$1,,,1,COUNTIF(SPLIT(AC66, "":""),""&lt;&gt;"")))))), VALUE(AC66)))"),64.42)</f>
        <v/>
      </c>
      <c r="AE66" s="593" t="n">
        <v>5</v>
      </c>
      <c r="AF66" s="594">
        <f t="array" ref="AF66">1000*(INDEX('Bakat Base Times'!$E:$E,MATCH(1,('Bakat Base Times'!$A:$A=Y66)*('Bakat Base Times'!$B:$B=Z66)*('Bakat Base Times'!$C:$C=AA66),0))/(VALUE(AD66)))^3
</f>
        <v/>
      </c>
      <c r="AG66" s="693" t="n"/>
      <c r="AH66" s="596" t="inlineStr">
        <is>
          <t>F</t>
        </is>
      </c>
      <c r="AI66" s="597" t="inlineStr">
        <is>
          <t>200 Fly</t>
        </is>
      </c>
      <c r="AJ66" s="597" t="n">
        <v>16</v>
      </c>
      <c r="AK66" s="590" t="inlineStr">
        <is>
          <t>KHOR YUE LYNN</t>
        </is>
      </c>
      <c r="AL66" s="591" t="inlineStr">
        <is>
          <t>2:22.78</t>
        </is>
      </c>
      <c r="AM66" s="517">
        <f>IFERROR(__xludf.DUMMYFUNCTION("IF(ISNUMBER(AL66), AL66, IF(REGEXMATCH(AL66, "":""), SUMPRODUCT(VALUE(SPLIT(AL66, "":"")) * (60^(COUNTIF(SPLIT(AL66, "":""), ""&lt;&gt;"")-COLUMN(OFFSET('MOT Tables 25'!$A$1,,,1,COUNTIF(SPLIT(AL66, "":""),""&lt;&gt;"")))))), VALUE(AL66)))"),142.78)</f>
        <v/>
      </c>
      <c r="AN66" s="590" t="n">
        <v>6</v>
      </c>
      <c r="AO66" s="599">
        <f t="array" ref="AO66">1000*(INDEX('Bakat Base Times'!$E:$E,MATCH(1,('Bakat Base Times'!$A:$A=AH66)*('Bakat Base Times'!$B:$B=AI66)*('Bakat Base Times'!$C:$C=AJ66),0))/(VALUE(AM66)))^3
</f>
        <v/>
      </c>
      <c r="AP66" s="600" t="n"/>
      <c r="AQ66" s="693" t="n"/>
      <c r="AR66" s="693" t="n"/>
      <c r="AS66" s="693" t="n"/>
      <c r="AT66" s="693" t="n"/>
      <c r="AU66" s="699" t="n"/>
      <c r="AV66" s="693" t="n"/>
      <c r="AW66" s="693" t="n"/>
      <c r="AX66" s="693" t="n"/>
      <c r="AY66" s="693" t="n"/>
      <c r="AZ66" s="693" t="n"/>
    </row>
    <row r="67">
      <c r="A67" s="651" t="n"/>
      <c r="B67" s="705" t="inlineStr">
        <is>
          <t>F</t>
        </is>
      </c>
      <c r="C67" s="704" t="inlineStr">
        <is>
          <t>800 Free</t>
        </is>
      </c>
      <c r="D67" s="705" t="n">
        <v>14</v>
      </c>
      <c r="E67" s="613" t="inlineStr">
        <is>
          <t>TAN RUI NEE</t>
        </is>
      </c>
      <c r="F67" s="701" t="inlineStr">
        <is>
          <t>9:25.27</t>
        </is>
      </c>
      <c r="G67"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 s="464">
        <f>G67/#REF!</f>
        <v/>
      </c>
      <c r="I67" s="614" t="inlineStr">
        <is>
          <t>9:27.84</t>
        </is>
      </c>
      <c r="J67"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 s="464">
        <f>J67/#REF!</f>
        <v/>
      </c>
      <c r="L67" s="704" t="n">
        <v>6</v>
      </c>
      <c r="M67" s="616" t="n">
        <v>5</v>
      </c>
      <c r="N67" s="652">
        <f t="array" ref="N67">1000*(INDEX('Bakat Base Times'!$E:$E,MATCH(1,('Bakat Base Times'!$A:$A=B67)*('Bakat Base Times'!$B:$B=C67)*('Bakat Base Times'!$C:$C=D67),0))/(VALUE(O67)))^3
</f>
        <v/>
      </c>
      <c r="O67" s="609">
        <f>IFERROR(__xludf.DUMMYFUNCTION("IF(ISNUMBER(I67), I67, IF(REGEXMATCH(I67, "":""), SUMPRODUCT(VALUE(SPLIT(I67, "":"")) * (60^(COUNTIF(SPLIT(I67, "":""), ""&lt;&gt;"")-COLUMN(OFFSET('MOT Tables 25'!$A$1,,,1,COUNTIF(SPLIT(I67, "":""),""&lt;&gt;"")))))), VALUE(I67)))"),567.84)</f>
        <v/>
      </c>
      <c r="P67" s="689" t="n"/>
      <c r="Q67" s="689" t="n"/>
      <c r="R67" s="689" t="n"/>
      <c r="S67" s="689" t="n"/>
      <c r="T67" s="689" t="n"/>
      <c r="U67" s="689" t="n"/>
      <c r="V67" s="689" t="n"/>
      <c r="W67" s="689" t="n"/>
      <c r="X67" s="689" t="n"/>
      <c r="Y67" s="618" t="inlineStr">
        <is>
          <t>F</t>
        </is>
      </c>
      <c r="Z67" s="619" t="inlineStr">
        <is>
          <t>800 Free</t>
        </is>
      </c>
      <c r="AA67" s="612" t="n">
        <v>14</v>
      </c>
      <c r="AB67" s="613" t="inlineStr">
        <is>
          <t>TAN RUI NEE</t>
        </is>
      </c>
      <c r="AC67" s="614" t="inlineStr">
        <is>
          <t>9:27.84</t>
        </is>
      </c>
      <c r="AD67" s="628">
        <f>IFERROR(__xludf.DUMMYFUNCTION("IF(ISNUMBER(AC67), AC67, IF(REGEXMATCH(AC67, "":""), SUMPRODUCT(VALUE(SPLIT(AC67, "":"")) * (60^(COUNTIF(SPLIT(AC67, "":""), ""&lt;&gt;"")-COLUMN(OFFSET('MOT Tables 25'!$A$1,,,1,COUNTIF(SPLIT(AC67, "":""),""&lt;&gt;"")))))), VALUE(AC67)))"),567.84)</f>
        <v/>
      </c>
      <c r="AE67" s="616" t="n">
        <v>5</v>
      </c>
      <c r="AF67" s="617">
        <f t="array" ref="AF67">1000*(INDEX('Bakat Base Times'!$E:$E,MATCH(1,('Bakat Base Times'!$A:$A=Y67)*('Bakat Base Times'!$B:$B=Z67)*('Bakat Base Times'!$C:$C=AA67),0))/(VALUE(AD67)))^3
</f>
        <v/>
      </c>
      <c r="AG67" s="693" t="n"/>
      <c r="AH67" s="618" t="inlineStr">
        <is>
          <t>M</t>
        </is>
      </c>
      <c r="AI67" s="619" t="inlineStr">
        <is>
          <t>100 Back</t>
        </is>
      </c>
      <c r="AJ67" s="619" t="n">
        <v>17</v>
      </c>
      <c r="AK67" s="613" t="inlineStr">
        <is>
          <t>LAI BO ZHENG</t>
        </is>
      </c>
      <c r="AL67" s="614" t="inlineStr">
        <is>
          <t>1:03.24</t>
        </is>
      </c>
      <c r="AM67" s="505">
        <f>IFERROR(__xludf.DUMMYFUNCTION("IF(ISNUMBER(AL67), AL67, IF(REGEXMATCH(AL67, "":""), SUMPRODUCT(VALUE(SPLIT(AL67, "":"")) * (60^(COUNTIF(SPLIT(AL67, "":""), ""&lt;&gt;"")-COLUMN(OFFSET('MOT Tables 25'!$A$1,,,1,COUNTIF(SPLIT(AL67, "":""),""&lt;&gt;"")))))), VALUE(AL67)))"),63.24)</f>
        <v/>
      </c>
      <c r="AN67" s="613" t="n">
        <v>13</v>
      </c>
      <c r="AO67" s="672">
        <f t="array" ref="AO67">1000*(INDEX('Bakat Base Times'!$E:$E,MATCH(1,('Bakat Base Times'!$A:$A=AH67)*('Bakat Base Times'!$B:$B=AI67)*('Bakat Base Times'!$C:$C=AJ67),0))/(VALUE(AM67)))^3
</f>
        <v/>
      </c>
      <c r="AP67" s="621" t="n"/>
      <c r="AQ67" s="693" t="n"/>
      <c r="AR67" s="693" t="n"/>
      <c r="AS67" s="693" t="n"/>
      <c r="AT67" s="693" t="n"/>
      <c r="AU67" s="699" t="n"/>
      <c r="AV67" s="693" t="n"/>
      <c r="AW67" s="693" t="n"/>
      <c r="AX67" s="693" t="n"/>
      <c r="AY67" s="693" t="n"/>
      <c r="AZ67" s="693" t="n"/>
    </row>
    <row r="68">
      <c r="A68" s="654" t="n"/>
      <c r="B68" s="710" t="inlineStr">
        <is>
          <t>M</t>
        </is>
      </c>
      <c r="C68" s="709" t="inlineStr">
        <is>
          <t>50 Free</t>
        </is>
      </c>
      <c r="D68" s="710" t="n">
        <v>13</v>
      </c>
      <c r="E68" s="590" t="inlineStr">
        <is>
          <t>NOAH BIN ABDUL RIZAL</t>
        </is>
      </c>
      <c r="F68" s="629" t="n">
        <v>26.6</v>
      </c>
      <c r="G6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 s="460">
        <f>G68/#REF!</f>
        <v/>
      </c>
      <c r="I68" s="591" t="n">
        <v>26.77</v>
      </c>
      <c r="J6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 s="460">
        <f>J68/#REF!</f>
        <v/>
      </c>
      <c r="L68" s="709" t="n">
        <v>6</v>
      </c>
      <c r="M68" s="593" t="n">
        <v>5</v>
      </c>
      <c r="N68" s="655">
        <f t="array" ref="N68">1000*(INDEX('Bakat Base Times'!$E:$E,MATCH(1,('Bakat Base Times'!$A:$A=B68)*('Bakat Base Times'!$B:$B=C68)*('Bakat Base Times'!$C:$C=D68),0))/(VALUE(O68)))^3
</f>
        <v/>
      </c>
      <c r="O68" s="582">
        <f>IFERROR(__xludf.DUMMYFUNCTION("IF(ISNUMBER(I68), I68, IF(REGEXMATCH(I68, "":""), SUMPRODUCT(VALUE(SPLIT(I68, "":"")) * (60^(COUNTIF(SPLIT(I68, "":""), ""&lt;&gt;"")-COLUMN(OFFSET('MOT Tables 25'!$A$1,,,1,COUNTIF(SPLIT(I68, "":""),""&lt;&gt;"")))))), VALUE(I68)))"),26.77)</f>
        <v/>
      </c>
      <c r="P68" s="689" t="n"/>
      <c r="Q68" s="689" t="n"/>
      <c r="R68" s="689" t="n"/>
      <c r="S68" s="689" t="n"/>
      <c r="T68" s="689" t="n"/>
      <c r="U68" s="689" t="n"/>
      <c r="V68" s="689" t="n"/>
      <c r="W68" s="689" t="n"/>
      <c r="X68" s="689" t="n"/>
      <c r="Y68" s="596" t="inlineStr">
        <is>
          <t>M</t>
        </is>
      </c>
      <c r="Z68" s="597" t="inlineStr">
        <is>
          <t>50 Free</t>
        </is>
      </c>
      <c r="AA68" s="589" t="n">
        <v>13</v>
      </c>
      <c r="AB68" s="590" t="inlineStr">
        <is>
          <t>NOAH BIN ABDUL RIZAL</t>
        </is>
      </c>
      <c r="AC68" s="591" t="n">
        <v>26.77</v>
      </c>
      <c r="AD68" s="592">
        <f>IFERROR(__xludf.DUMMYFUNCTION("IF(ISNUMBER(AC68), AC68, IF(REGEXMATCH(AC68, "":""), SUMPRODUCT(VALUE(SPLIT(AC68, "":"")) * (60^(COUNTIF(SPLIT(AC68, "":""), ""&lt;&gt;"")-COLUMN(OFFSET('MOT Tables 25'!$A$1,,,1,COUNTIF(SPLIT(AC68, "":""),""&lt;&gt;"")))))), VALUE(AC68)))"),26.77)</f>
        <v/>
      </c>
      <c r="AE68" s="593" t="n">
        <v>5</v>
      </c>
      <c r="AF68" s="594">
        <f t="array" ref="AF68">1000*(INDEX('Bakat Base Times'!$E:$E,MATCH(1,('Bakat Base Times'!$A:$A=Y68)*('Bakat Base Times'!$B:$B=Z68)*('Bakat Base Times'!$C:$C=AA68),0))/(VALUE(AD68)))^3
</f>
        <v/>
      </c>
      <c r="AG68" s="693" t="n"/>
      <c r="AH68" s="596" t="inlineStr">
        <is>
          <t>F</t>
        </is>
      </c>
      <c r="AI68" s="597" t="inlineStr">
        <is>
          <t>400 Free</t>
        </is>
      </c>
      <c r="AJ68" s="597" t="n">
        <v>16</v>
      </c>
      <c r="AK68" s="590" t="inlineStr">
        <is>
          <t>LAURA LEE YEN NIE</t>
        </is>
      </c>
      <c r="AL68" s="661" t="inlineStr">
        <is>
          <t>4:44.24</t>
        </is>
      </c>
      <c r="AM68" s="517">
        <f>IFERROR(__xludf.DUMMYFUNCTION("IF(ISNUMBER(AL68), AL68, IF(REGEXMATCH(AL68, "":""), SUMPRODUCT(VALUE(SPLIT(AL68, "":"")) * (60^(COUNTIF(SPLIT(AL68, "":""), ""&lt;&gt;"")-COLUMN(OFFSET('MOT Tables 25'!$A$1,,,1,COUNTIF(SPLIT(AL68, "":""),""&lt;&gt;"")))))), VALUE(AL68)))"),284.24)</f>
        <v/>
      </c>
      <c r="AN68" s="590" t="n">
        <v>10</v>
      </c>
      <c r="AO68" s="599">
        <f t="array" ref="AO68">1000*(INDEX('Bakat Base Times'!$E:$E,MATCH(1,('Bakat Base Times'!$A:$A=AH68)*('Bakat Base Times'!$B:$B=AI68)*('Bakat Base Times'!$C:$C=AJ68),0))/(VALUE(AM68)))^3
</f>
        <v/>
      </c>
      <c r="AP68" s="600" t="n"/>
      <c r="AQ68" s="693" t="n"/>
      <c r="AR68" s="693" t="n"/>
      <c r="AS68" s="693" t="n"/>
      <c r="AT68" s="693" t="n"/>
      <c r="AU68" s="699" t="n"/>
      <c r="AV68" s="693" t="n"/>
      <c r="AW68" s="693" t="n"/>
      <c r="AX68" s="693" t="n"/>
      <c r="AY68" s="693" t="n"/>
      <c r="AZ68" s="693" t="n"/>
    </row>
    <row r="69">
      <c r="A69" s="651" t="n"/>
      <c r="B69" s="705" t="inlineStr">
        <is>
          <t>M</t>
        </is>
      </c>
      <c r="C69" s="704" t="inlineStr">
        <is>
          <t>400 IM</t>
        </is>
      </c>
      <c r="D69" s="705" t="n">
        <v>14</v>
      </c>
      <c r="E69" s="613" t="inlineStr">
        <is>
          <t>HERMANN TANG BOK YU</t>
        </is>
      </c>
      <c r="F69" s="701" t="inlineStr">
        <is>
          <t>4:55.61</t>
        </is>
      </c>
      <c r="G6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 s="464">
        <f>G69/#REF!</f>
        <v/>
      </c>
      <c r="I69" s="614" t="inlineStr">
        <is>
          <t>4:56.92</t>
        </is>
      </c>
      <c r="J6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 s="464">
        <f>J69/#REF!</f>
        <v/>
      </c>
      <c r="L69" s="704" t="n">
        <v>7</v>
      </c>
      <c r="M69" s="616" t="n">
        <v>10</v>
      </c>
      <c r="N69" s="652">
        <f t="array" ref="N69">1000*(INDEX('Bakat Base Times'!$E:$E,MATCH(1,('Bakat Base Times'!$A:$A=B69)*('Bakat Base Times'!$B:$B=C69)*('Bakat Base Times'!$C:$C=D69),0))/(VALUE(O69)))^3
</f>
        <v/>
      </c>
      <c r="O69" s="609">
        <f>IFERROR(__xludf.DUMMYFUNCTION("IF(ISNUMBER(I69), I69, IF(REGEXMATCH(I69, "":""), SUMPRODUCT(VALUE(SPLIT(I69, "":"")) * (60^(COUNTIF(SPLIT(I69, "":""), ""&lt;&gt;"")-COLUMN(OFFSET('MOT Tables 25'!$A$1,,,1,COUNTIF(SPLIT(I69, "":""),""&lt;&gt;"")))))), VALUE(I69)))"),296.92)</f>
        <v/>
      </c>
      <c r="P69" s="689" t="n"/>
      <c r="Q69" s="689" t="n"/>
      <c r="R69" s="689" t="n"/>
      <c r="S69" s="689" t="n"/>
      <c r="T69" s="689" t="n"/>
      <c r="U69" s="689" t="n"/>
      <c r="V69" s="689" t="n"/>
      <c r="W69" s="689" t="n"/>
      <c r="X69" s="689" t="n"/>
      <c r="Y69" s="618" t="inlineStr">
        <is>
          <t>M</t>
        </is>
      </c>
      <c r="Z69" s="619" t="inlineStr">
        <is>
          <t>400 IM</t>
        </is>
      </c>
      <c r="AA69" s="612" t="n">
        <v>14</v>
      </c>
      <c r="AB69" s="613" t="inlineStr">
        <is>
          <t>HERMANN TANG BOK YU</t>
        </is>
      </c>
      <c r="AC69" s="614" t="inlineStr">
        <is>
          <t>4:56.92</t>
        </is>
      </c>
      <c r="AD69" s="628">
        <f>IFERROR(__xludf.DUMMYFUNCTION("IF(ISNUMBER(AC69), AC69, IF(REGEXMATCH(AC69, "":""), SUMPRODUCT(VALUE(SPLIT(AC69, "":"")) * (60^(COUNTIF(SPLIT(AC69, "":""), ""&lt;&gt;"")-COLUMN(OFFSET('MOT Tables 25'!$A$1,,,1,COUNTIF(SPLIT(AC69, "":""),""&lt;&gt;"")))))), VALUE(AC69)))"),296.92)</f>
        <v/>
      </c>
      <c r="AE69" s="616" t="n">
        <v>10</v>
      </c>
      <c r="AF69" s="617">
        <f t="array" ref="AF69">1000*(INDEX('Bakat Base Times'!$E:$E,MATCH(1,('Bakat Base Times'!$A:$A=Y69)*('Bakat Base Times'!$B:$B=Z69)*('Bakat Base Times'!$C:$C=AA69),0))/(VALUE(AD69)))^3
</f>
        <v/>
      </c>
      <c r="AG69" s="693" t="n"/>
      <c r="AH69" s="618" t="inlineStr">
        <is>
          <t>F</t>
        </is>
      </c>
      <c r="AI69" s="619" t="inlineStr">
        <is>
          <t>800 Free</t>
        </is>
      </c>
      <c r="AJ69" s="619" t="n">
        <v>16</v>
      </c>
      <c r="AK69" s="613" t="inlineStr">
        <is>
          <t>LAURA LEE YEN NIE</t>
        </is>
      </c>
      <c r="AL69" s="695" t="inlineStr">
        <is>
          <t>10:06.32</t>
        </is>
      </c>
      <c r="AM69" s="505">
        <f>IFERROR(__xludf.DUMMYFUNCTION("IF(ISNUMBER(AL69), AL69, IF(REGEXMATCH(AL69, "":""), SUMPRODUCT(VALUE(SPLIT(AL69, "":"")) * (60^(COUNTIF(SPLIT(AL69, "":""), ""&lt;&gt;"")-COLUMN(OFFSET('MOT Tables 25'!$A$1,,,1,COUNTIF(SPLIT(AL69, "":""),""&lt;&gt;"")))))), VALUE(AL69)))"),606.32)</f>
        <v/>
      </c>
      <c r="AN69" s="613" t="n">
        <v>10</v>
      </c>
      <c r="AO69" s="672">
        <f t="array" ref="AO69">1000*(INDEX('Bakat Base Times'!$E:$E,MATCH(1,('Bakat Base Times'!$A:$A=AH69)*('Bakat Base Times'!$B:$B=AI69)*('Bakat Base Times'!$C:$C=AJ69),0))/(VALUE(AM69)))^3
</f>
        <v/>
      </c>
      <c r="AP69" s="621" t="n"/>
      <c r="AQ69" s="693" t="n"/>
      <c r="AR69" s="693" t="n"/>
      <c r="AS69" s="693" t="n"/>
      <c r="AT69" s="693" t="n"/>
      <c r="AU69" s="699" t="n"/>
      <c r="AV69" s="693" t="n"/>
      <c r="AW69" s="693" t="n"/>
      <c r="AX69" s="693" t="n"/>
      <c r="AY69" s="693" t="n"/>
      <c r="AZ69" s="693" t="n"/>
    </row>
    <row r="70">
      <c r="A70" s="654" t="n"/>
      <c r="B70" s="710" t="inlineStr">
        <is>
          <t>F</t>
        </is>
      </c>
      <c r="C70" s="709" t="inlineStr">
        <is>
          <t>100 Free</t>
        </is>
      </c>
      <c r="D70" s="710" t="n">
        <v>16</v>
      </c>
      <c r="E70" s="590" t="inlineStr">
        <is>
          <t>KAELYN CHEE WEI YI</t>
        </is>
      </c>
      <c r="F70" s="707" t="inlineStr">
        <is>
          <t>59.63</t>
        </is>
      </c>
      <c r="G7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 s="460">
        <f>G70/#REF!</f>
        <v/>
      </c>
      <c r="I70" s="591" t="inlineStr">
        <is>
          <t>59.98</t>
        </is>
      </c>
      <c r="J7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 s="460">
        <f>J70/#REF!</f>
        <v/>
      </c>
      <c r="L70" s="709" t="n">
        <v>13</v>
      </c>
      <c r="M70" s="593" t="n">
        <v>11</v>
      </c>
      <c r="N70" s="655">
        <f t="array" ref="N70">1000*(INDEX('Bakat Base Times'!$E:$E,MATCH(1,('Bakat Base Times'!$A:$A=B70)*('Bakat Base Times'!$B:$B=C70)*('Bakat Base Times'!$C:$C=D70),0))/(VALUE(O70)))^3
</f>
        <v/>
      </c>
      <c r="O70" s="582">
        <f>IFERROR(__xludf.DUMMYFUNCTION("IF(ISNUMBER(I70), I70, IF(REGEXMATCH(I70, "":""), SUMPRODUCT(VALUE(SPLIT(I70, "":"")) * (60^(COUNTIF(SPLIT(I70, "":""), ""&lt;&gt;"")-COLUMN(OFFSET('MOT Tables 25'!$A$1,,,1,COUNTIF(SPLIT(I70, "":""),""&lt;&gt;"")))))), VALUE(I70)))"),59.98)</f>
        <v/>
      </c>
      <c r="P70" s="689" t="n"/>
      <c r="Q70" s="689" t="n"/>
      <c r="R70" s="689" t="n"/>
      <c r="S70" s="689" t="n"/>
      <c r="T70" s="689" t="n"/>
      <c r="U70" s="689" t="n"/>
      <c r="V70" s="689" t="n"/>
      <c r="W70" s="689" t="n"/>
      <c r="X70" s="689" t="n"/>
      <c r="Y70" s="596" t="inlineStr">
        <is>
          <t>F</t>
        </is>
      </c>
      <c r="Z70" s="597" t="inlineStr">
        <is>
          <t>100 Free</t>
        </is>
      </c>
      <c r="AA70" s="589" t="n">
        <v>16</v>
      </c>
      <c r="AB70" s="590" t="inlineStr">
        <is>
          <t>KAELYN CHEE WEI YI</t>
        </is>
      </c>
      <c r="AC70" s="591" t="inlineStr">
        <is>
          <t>59.98</t>
        </is>
      </c>
      <c r="AD70" s="592">
        <f>IFERROR(__xludf.DUMMYFUNCTION("IF(ISNUMBER(AC70), AC70, IF(REGEXMATCH(AC70, "":""), SUMPRODUCT(VALUE(SPLIT(AC70, "":"")) * (60^(COUNTIF(SPLIT(AC70, "":""), ""&lt;&gt;"")-COLUMN(OFFSET('MOT Tables 25'!$A$1,,,1,COUNTIF(SPLIT(AC70, "":""),""&lt;&gt;"")))))), VALUE(AC70)))"),59.98)</f>
        <v/>
      </c>
      <c r="AE70" s="593" t="n">
        <v>11</v>
      </c>
      <c r="AF70" s="594">
        <f t="array" ref="AF70">1000*(INDEX('Bakat Base Times'!$E:$E,MATCH(1,('Bakat Base Times'!$A:$A=Y70)*('Bakat Base Times'!$B:$B=Z70)*('Bakat Base Times'!$C:$C=AA70),0))/(VALUE(AD70)))^3
</f>
        <v/>
      </c>
      <c r="AG70" s="693" t="n"/>
      <c r="AH70" s="596" t="inlineStr">
        <is>
          <t>M</t>
        </is>
      </c>
      <c r="AI70" s="597" t="inlineStr">
        <is>
          <t>50 Free</t>
        </is>
      </c>
      <c r="AJ70" s="597" t="n">
        <v>15</v>
      </c>
      <c r="AK70" s="590" t="inlineStr">
        <is>
          <t>LEE E-AN</t>
        </is>
      </c>
      <c r="AL70" s="591" t="n">
        <v>24.49</v>
      </c>
      <c r="AM70" s="517">
        <f>IFERROR(__xludf.DUMMYFUNCTION("IF(ISNUMBER(AL70), AL70, IF(REGEXMATCH(AL70, "":""), SUMPRODUCT(VALUE(SPLIT(AL70, "":"")) * (60^(COUNTIF(SPLIT(AL70, "":""), ""&lt;&gt;"")-COLUMN(OFFSET('MOT Tables 25'!$A$1,,,1,COUNTIF(SPLIT(AL70, "":""),""&lt;&gt;"")))))), VALUE(AL70)))"),24.49)</f>
        <v/>
      </c>
      <c r="AN70" s="590" t="n">
        <v>5</v>
      </c>
      <c r="AO70" s="599">
        <f t="array" ref="AO70">1000*(INDEX('Bakat Base Times'!$E:$E,MATCH(1,('Bakat Base Times'!$A:$A=AH70)*('Bakat Base Times'!$B:$B=AI70)*('Bakat Base Times'!$C:$C=AJ70),0))/(VALUE(AM70)))^3
</f>
        <v/>
      </c>
      <c r="AP70" s="600" t="n"/>
      <c r="AQ70" s="693" t="n"/>
      <c r="AR70" s="693" t="n"/>
      <c r="AS70" s="693" t="n"/>
      <c r="AT70" s="693" t="n"/>
      <c r="AU70" s="699" t="n"/>
      <c r="AV70" s="693" t="n"/>
      <c r="AW70" s="693" t="n"/>
      <c r="AX70" s="693" t="n"/>
      <c r="AY70" s="693" t="n"/>
      <c r="AZ70" s="693" t="n"/>
    </row>
    <row r="71">
      <c r="A71" s="651" t="n"/>
      <c r="B71" s="705" t="inlineStr">
        <is>
          <t>M</t>
        </is>
      </c>
      <c r="C71" s="704" t="inlineStr">
        <is>
          <t>100 Fly</t>
        </is>
      </c>
      <c r="D71" s="705" t="n">
        <v>17</v>
      </c>
      <c r="E71" s="613" t="inlineStr">
        <is>
          <t>MUHAMMAD DHUHA BIN ZULFIKRY</t>
        </is>
      </c>
      <c r="F71" s="701" t="inlineStr">
        <is>
          <t>56.33</t>
        </is>
      </c>
      <c r="G7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 s="464">
        <f>G71/#REF!</f>
        <v/>
      </c>
      <c r="I71" s="614" t="inlineStr">
        <is>
          <t>57.94</t>
        </is>
      </c>
      <c r="J7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 s="464">
        <f>J71/#REF!</f>
        <v/>
      </c>
      <c r="L71" s="704" t="n">
        <v>7</v>
      </c>
      <c r="M71" s="616" t="n">
        <v>10</v>
      </c>
      <c r="N71" s="652">
        <f t="array" ref="N71">1000*(INDEX('Bakat Base Times'!$E:$E,MATCH(1,('Bakat Base Times'!$A:$A=B71)*('Bakat Base Times'!$B:$B=C71)*('Bakat Base Times'!$C:$C=D71),0))/(VALUE(O71)))^3
</f>
        <v/>
      </c>
      <c r="O71" s="609">
        <f>IFERROR(__xludf.DUMMYFUNCTION("IF(ISNUMBER(I71), I71, IF(REGEXMATCH(I71, "":""), SUMPRODUCT(VALUE(SPLIT(I71, "":"")) * (60^(COUNTIF(SPLIT(I71, "":""), ""&lt;&gt;"")-COLUMN(OFFSET('MOT Tables 25'!$A$1,,,1,COUNTIF(SPLIT(I71, "":""),""&lt;&gt;"")))))), VALUE(I71)))"),57.94)</f>
        <v/>
      </c>
      <c r="P71" s="689" t="n"/>
      <c r="Q71" s="689" t="n"/>
      <c r="R71" s="689" t="n"/>
      <c r="S71" s="689" t="n"/>
      <c r="T71" s="689" t="n"/>
      <c r="U71" s="689" t="n"/>
      <c r="V71" s="689" t="n"/>
      <c r="W71" s="689" t="n"/>
      <c r="X71" s="689" t="n"/>
      <c r="Y71" s="618" t="inlineStr">
        <is>
          <t>M</t>
        </is>
      </c>
      <c r="Z71" s="619" t="inlineStr">
        <is>
          <t>100 Fly</t>
        </is>
      </c>
      <c r="AA71" s="612" t="n">
        <v>17</v>
      </c>
      <c r="AB71" s="613" t="inlineStr">
        <is>
          <t>MUHAMMAD DHUHA BIN ZULFIKRY</t>
        </is>
      </c>
      <c r="AC71" s="614" t="inlineStr">
        <is>
          <t>57.94</t>
        </is>
      </c>
      <c r="AD71" s="628">
        <f>IFERROR(__xludf.DUMMYFUNCTION("IF(ISNUMBER(AC71), AC71, IF(REGEXMATCH(AC71, "":""), SUMPRODUCT(VALUE(SPLIT(AC71, "":"")) * (60^(COUNTIF(SPLIT(AC71, "":""), ""&lt;&gt;"")-COLUMN(OFFSET('MOT Tables 25'!$A$1,,,1,COUNTIF(SPLIT(AC71, "":""),""&lt;&gt;"")))))), VALUE(AC71)))"),57.94)</f>
        <v/>
      </c>
      <c r="AE71" s="616" t="n">
        <v>10</v>
      </c>
      <c r="AF71" s="617">
        <f t="array" ref="AF71">1000*(INDEX('Bakat Base Times'!$E:$E,MATCH(1,('Bakat Base Times'!$A:$A=Y71)*('Bakat Base Times'!$B:$B=Z71)*('Bakat Base Times'!$C:$C=AA71),0))/(VALUE(AD71)))^3
</f>
        <v/>
      </c>
      <c r="AG71" s="693" t="n"/>
      <c r="AH71" s="618" t="inlineStr">
        <is>
          <t>M</t>
        </is>
      </c>
      <c r="AI71" s="619" t="inlineStr">
        <is>
          <t>200 Back</t>
        </is>
      </c>
      <c r="AJ71" s="619" t="n">
        <v>15</v>
      </c>
      <c r="AK71" s="613" t="inlineStr">
        <is>
          <t>LEE E-AN</t>
        </is>
      </c>
      <c r="AL71" s="614" t="inlineStr">
        <is>
          <t>2:23.70</t>
        </is>
      </c>
      <c r="AM71" s="505">
        <f>IFERROR(__xludf.DUMMYFUNCTION("IF(ISNUMBER(AL71), AL71, IF(REGEXMATCH(AL71, "":""), SUMPRODUCT(VALUE(SPLIT(AL71, "":"")) * (60^(COUNTIF(SPLIT(AL71, "":""), ""&lt;&gt;"")-COLUMN(OFFSET('MOT Tables 25'!$A$1,,,1,COUNTIF(SPLIT(AL71, "":""),""&lt;&gt;"")))))), VALUE(AL71)))"),143.7)</f>
        <v/>
      </c>
      <c r="AN71" s="613" t="n">
        <v>12</v>
      </c>
      <c r="AO71" s="672">
        <f t="array" ref="AO71">1000*(INDEX('Bakat Base Times'!$E:$E,MATCH(1,('Bakat Base Times'!$A:$A=AH71)*('Bakat Base Times'!$B:$B=AI71)*('Bakat Base Times'!$C:$C=AJ71),0))/(VALUE(AM71)))^3
</f>
        <v/>
      </c>
      <c r="AP71" s="621" t="n"/>
      <c r="AQ71" s="693" t="n"/>
      <c r="AR71" s="693" t="n"/>
      <c r="AS71" s="693" t="n"/>
      <c r="AT71" s="693" t="n"/>
      <c r="AU71" s="699" t="n"/>
      <c r="AV71" s="693" t="n"/>
      <c r="AW71" s="693" t="n"/>
      <c r="AX71" s="693" t="n"/>
      <c r="AY71" s="693" t="n"/>
      <c r="AZ71" s="693" t="n"/>
    </row>
    <row r="72">
      <c r="A72" s="654" t="n"/>
      <c r="B72" s="710" t="inlineStr">
        <is>
          <t>F</t>
        </is>
      </c>
      <c r="C72" s="709" t="inlineStr">
        <is>
          <t>200 IM</t>
        </is>
      </c>
      <c r="D72" s="710" t="n">
        <v>15</v>
      </c>
      <c r="E72" s="707" t="inlineStr">
        <is>
          <t>NADIA LIM</t>
        </is>
      </c>
      <c r="F72" s="707" t="inlineStr">
        <is>
          <t>2:26.17</t>
        </is>
      </c>
      <c r="G7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 s="460">
        <f>G72/#REF!</f>
        <v/>
      </c>
      <c r="I72" s="591" t="inlineStr">
        <is>
          <t>2:27.23</t>
        </is>
      </c>
      <c r="J7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 s="460">
        <f>J72/#REF!</f>
        <v/>
      </c>
      <c r="L72" s="709" t="n">
        <v>5</v>
      </c>
      <c r="M72" s="593" t="n">
        <v>5</v>
      </c>
      <c r="N72" s="655">
        <f t="array" ref="N72">1000*(INDEX('Bakat Base Times'!$E:$E,MATCH(1,('Bakat Base Times'!$A:$A=B72)*('Bakat Base Times'!$B:$B=C72)*('Bakat Base Times'!$C:$C=D72),0))/(VALUE(O72)))^3
</f>
        <v/>
      </c>
      <c r="O72" s="582">
        <f>IFERROR(__xludf.DUMMYFUNCTION("IF(ISNUMBER(I72), I72, IF(REGEXMATCH(I72, "":""), SUMPRODUCT(VALUE(SPLIT(I72, "":"")) * (60^(COUNTIF(SPLIT(I72, "":""), ""&lt;&gt;"")-COLUMN(OFFSET('MOT Tables 25'!$A$1,,,1,COUNTIF(SPLIT(I72, "":""),""&lt;&gt;"")))))), VALUE(I72)))"),147.23)</f>
        <v/>
      </c>
      <c r="P72" s="689" t="n"/>
      <c r="Q72" s="689" t="n"/>
      <c r="R72" s="689" t="n"/>
      <c r="S72" s="689" t="n"/>
      <c r="T72" s="689" t="n"/>
      <c r="U72" s="689" t="n"/>
      <c r="V72" s="689" t="n"/>
      <c r="W72" s="689" t="n"/>
      <c r="X72" s="689" t="n"/>
      <c r="Y72" s="596" t="inlineStr">
        <is>
          <t>F</t>
        </is>
      </c>
      <c r="Z72" s="597" t="inlineStr">
        <is>
          <t>200 IM</t>
        </is>
      </c>
      <c r="AA72" s="589" t="n">
        <v>15</v>
      </c>
      <c r="AB72" s="707" t="inlineStr">
        <is>
          <t>NADIA LIM</t>
        </is>
      </c>
      <c r="AC72" s="591" t="inlineStr">
        <is>
          <t>2:27.23</t>
        </is>
      </c>
      <c r="AD72" s="592">
        <f>IFERROR(__xludf.DUMMYFUNCTION("IF(ISNUMBER(AC72), AC72, IF(REGEXMATCH(AC72, "":""), SUMPRODUCT(VALUE(SPLIT(AC72, "":"")) * (60^(COUNTIF(SPLIT(AC72, "":""), ""&lt;&gt;"")-COLUMN(OFFSET('MOT Tables 25'!$A$1,,,1,COUNTIF(SPLIT(AC72, "":""),""&lt;&gt;"")))))), VALUE(AC72)))"),147.23)</f>
        <v/>
      </c>
      <c r="AE72" s="593" t="n">
        <v>5</v>
      </c>
      <c r="AF72" s="594">
        <f t="array" ref="AF72">1000*(INDEX('Bakat Base Times'!$E:$E,MATCH(1,('Bakat Base Times'!$A:$A=Y72)*('Bakat Base Times'!$B:$B=Z72)*('Bakat Base Times'!$C:$C=AA72),0))/(VALUE(AD72)))^3
</f>
        <v/>
      </c>
      <c r="AG72" s="693" t="n"/>
      <c r="AH72" s="596" t="inlineStr">
        <is>
          <t>F</t>
        </is>
      </c>
      <c r="AI72" s="597" t="inlineStr">
        <is>
          <t>200 Fly</t>
        </is>
      </c>
      <c r="AJ72" s="597" t="n">
        <v>17</v>
      </c>
      <c r="AK72" s="590" t="inlineStr">
        <is>
          <t>LEE YEN ERN</t>
        </is>
      </c>
      <c r="AL72" s="591" t="inlineStr">
        <is>
          <t>2:28.94</t>
        </is>
      </c>
      <c r="AM72" s="517">
        <f>IFERROR(__xludf.DUMMYFUNCTION("IF(ISNUMBER(AL72), AL72, IF(REGEXMATCH(AL72, "":""), SUMPRODUCT(VALUE(SPLIT(AL72, "":"")) * (60^(COUNTIF(SPLIT(AL72, "":""), ""&lt;&gt;"")-COLUMN(OFFSET('MOT Tables 25'!$A$1,,,1,COUNTIF(SPLIT(AL72, "":""),""&lt;&gt;"")))))), VALUE(AL72)))"),148.94)</f>
        <v/>
      </c>
      <c r="AN72" s="590" t="n">
        <v>8</v>
      </c>
      <c r="AO72" s="599">
        <f t="array" ref="AO72">1000*(INDEX('Bakat Base Times'!$E:$E,MATCH(1,('Bakat Base Times'!$A:$A=AH72)*('Bakat Base Times'!$B:$B=AI72)*('Bakat Base Times'!$C:$C=AJ72),0))/(VALUE(AM72)))^3
</f>
        <v/>
      </c>
      <c r="AP72" s="600" t="n"/>
      <c r="AQ72" s="693" t="n"/>
      <c r="AR72" s="693" t="n"/>
      <c r="AS72" s="693" t="n"/>
      <c r="AT72" s="693" t="n"/>
      <c r="AU72" s="699" t="n"/>
      <c r="AV72" s="693" t="n"/>
      <c r="AW72" s="693" t="n"/>
      <c r="AX72" s="693" t="n"/>
      <c r="AY72" s="693" t="n"/>
      <c r="AZ72" s="693" t="n"/>
    </row>
    <row r="73">
      <c r="A73" s="651" t="n"/>
      <c r="B73" s="705" t="inlineStr">
        <is>
          <t>F</t>
        </is>
      </c>
      <c r="C73" s="704" t="inlineStr">
        <is>
          <t>100 Free</t>
        </is>
      </c>
      <c r="D73" s="705" t="n">
        <v>14</v>
      </c>
      <c r="E73" s="613" t="inlineStr">
        <is>
          <t>TAN RUI NEE</t>
        </is>
      </c>
      <c r="F73" s="701" t="inlineStr">
        <is>
          <t>59.99</t>
        </is>
      </c>
      <c r="G7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 s="464">
        <f>G73/#REF!</f>
        <v/>
      </c>
      <c r="I73" s="614" t="inlineStr">
        <is>
          <t>1:01.41</t>
        </is>
      </c>
      <c r="J7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 s="464">
        <f>J73/#REF!</f>
        <v/>
      </c>
      <c r="L73" s="704" t="n">
        <v>9</v>
      </c>
      <c r="M73" s="616" t="n">
        <v>14</v>
      </c>
      <c r="N73" s="652">
        <f t="array" ref="N73">1000*(INDEX('Bakat Base Times'!$E:$E,MATCH(1,('Bakat Base Times'!$A:$A=B73)*('Bakat Base Times'!$B:$B=C73)*('Bakat Base Times'!$C:$C=D73),0))/(VALUE(O73)))^3
</f>
        <v/>
      </c>
      <c r="O73" s="609">
        <f>IFERROR(__xludf.DUMMYFUNCTION("IF(ISNUMBER(I73), I73, IF(REGEXMATCH(I73, "":""), SUMPRODUCT(VALUE(SPLIT(I73, "":"")) * (60^(COUNTIF(SPLIT(I73, "":""), ""&lt;&gt;"")-COLUMN(OFFSET('MOT Tables 25'!$A$1,,,1,COUNTIF(SPLIT(I73, "":""),""&lt;&gt;"")))))), VALUE(I73)))"),61.41)</f>
        <v/>
      </c>
      <c r="P73" s="689" t="n"/>
      <c r="Q73" s="689" t="n"/>
      <c r="R73" s="689" t="n"/>
      <c r="S73" s="689" t="n"/>
      <c r="T73" s="689" t="n"/>
      <c r="U73" s="689" t="n"/>
      <c r="V73" s="689" t="n"/>
      <c r="W73" s="689" t="n"/>
      <c r="X73" s="689" t="n"/>
      <c r="Y73" s="618" t="inlineStr">
        <is>
          <t>F</t>
        </is>
      </c>
      <c r="Z73" s="619" t="inlineStr">
        <is>
          <t>100 Free</t>
        </is>
      </c>
      <c r="AA73" s="612" t="n">
        <v>14</v>
      </c>
      <c r="AB73" s="613" t="inlineStr">
        <is>
          <t>TAN RUI NEE</t>
        </is>
      </c>
      <c r="AC73" s="614" t="inlineStr">
        <is>
          <t>1:01.41</t>
        </is>
      </c>
      <c r="AD73" s="628">
        <f>IFERROR(__xludf.DUMMYFUNCTION("IF(ISNUMBER(AC73), AC73, IF(REGEXMATCH(AC73, "":""), SUMPRODUCT(VALUE(SPLIT(AC73, "":"")) * (60^(COUNTIF(SPLIT(AC73, "":""), ""&lt;&gt;"")-COLUMN(OFFSET('MOT Tables 25'!$A$1,,,1,COUNTIF(SPLIT(AC73, "":""),""&lt;&gt;"")))))), VALUE(AC73)))"),61.41)</f>
        <v/>
      </c>
      <c r="AE73" s="616" t="n">
        <v>14</v>
      </c>
      <c r="AF73" s="617">
        <f t="array" ref="AF73">1000*(INDEX('Bakat Base Times'!$E:$E,MATCH(1,('Bakat Base Times'!$A:$A=Y73)*('Bakat Base Times'!$B:$B=Z73)*('Bakat Base Times'!$C:$C=AA73),0))/(VALUE(AD73)))^3
</f>
        <v/>
      </c>
      <c r="AG73" s="693" t="n"/>
      <c r="AH73" s="618" t="inlineStr">
        <is>
          <t>F</t>
        </is>
      </c>
      <c r="AI73" s="619" t="inlineStr">
        <is>
          <t>400 IM</t>
        </is>
      </c>
      <c r="AJ73" s="619" t="n">
        <v>17</v>
      </c>
      <c r="AK73" s="613" t="inlineStr">
        <is>
          <t>LEE YEN ERN</t>
        </is>
      </c>
      <c r="AL73" s="614" t="inlineStr">
        <is>
          <t>5:27.92</t>
        </is>
      </c>
      <c r="AM73" s="505">
        <f>IFERROR(__xludf.DUMMYFUNCTION("IF(ISNUMBER(AL73), AL73, IF(REGEXMATCH(AL73, "":""), SUMPRODUCT(VALUE(SPLIT(AL73, "":"")) * (60^(COUNTIF(SPLIT(AL73, "":""), ""&lt;&gt;"")-COLUMN(OFFSET('MOT Tables 25'!$A$1,,,1,COUNTIF(SPLIT(AL73, "":""),""&lt;&gt;"")))))), VALUE(AL73)))"),327.92)</f>
        <v/>
      </c>
      <c r="AN73" s="613" t="n">
        <v>8</v>
      </c>
      <c r="AO73" s="672">
        <f t="array" ref="AO73">1000*(INDEX('Bakat Base Times'!$E:$E,MATCH(1,('Bakat Base Times'!$A:$A=AH73)*('Bakat Base Times'!$B:$B=AI73)*('Bakat Base Times'!$C:$C=AJ73),0))/(VALUE(AM73)))^3
</f>
        <v/>
      </c>
      <c r="AP73" s="621" t="n"/>
      <c r="AQ73" s="693" t="n"/>
      <c r="AR73" s="693" t="n"/>
      <c r="AS73" s="693" t="n"/>
      <c r="AT73" s="693" t="n"/>
      <c r="AU73" s="699" t="n"/>
      <c r="AV73" s="693" t="n"/>
      <c r="AW73" s="693" t="n"/>
      <c r="AX73" s="693" t="n"/>
      <c r="AY73" s="693" t="n"/>
      <c r="AZ73" s="693" t="n"/>
    </row>
    <row r="74">
      <c r="A74" s="654" t="n"/>
      <c r="B74" s="710" t="inlineStr">
        <is>
          <t>M</t>
        </is>
      </c>
      <c r="C74" s="709" t="inlineStr">
        <is>
          <t>100 Breast</t>
        </is>
      </c>
      <c r="D74" s="710" t="n">
        <v>13</v>
      </c>
      <c r="E74" s="590" t="inlineStr">
        <is>
          <t>JEFF LO WEI ZHE</t>
        </is>
      </c>
      <c r="F74" s="707" t="inlineStr">
        <is>
          <t>1:13.82</t>
        </is>
      </c>
      <c r="G7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 s="460">
        <f>G74/#REF!</f>
        <v/>
      </c>
      <c r="I74" s="591" t="inlineStr">
        <is>
          <t>1:13.73</t>
        </is>
      </c>
      <c r="J7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 s="460">
        <f>J74/#REF!</f>
        <v/>
      </c>
      <c r="L74" s="709" t="n">
        <v>9</v>
      </c>
      <c r="M74" s="593" t="n">
        <v>7</v>
      </c>
      <c r="N74" s="655">
        <f t="array" ref="N74">1000*(INDEX('Bakat Base Times'!$E:$E,MATCH(1,('Bakat Base Times'!$A:$A=B74)*('Bakat Base Times'!$B:$B=C74)*('Bakat Base Times'!$C:$C=D74),0))/(VALUE(O74)))^3
</f>
        <v/>
      </c>
      <c r="O74" s="582">
        <f>IFERROR(__xludf.DUMMYFUNCTION("IF(ISNUMBER(I74), I74, IF(REGEXMATCH(I74, "":""), SUMPRODUCT(VALUE(SPLIT(I74, "":"")) * (60^(COUNTIF(SPLIT(I74, "":""), ""&lt;&gt;"")-COLUMN(OFFSET('MOT Tables 25'!$A$1,,,1,COUNTIF(SPLIT(I74, "":""),""&lt;&gt;"")))))), VALUE(I74)))"),73.73)</f>
        <v/>
      </c>
      <c r="P74" s="689" t="n"/>
      <c r="Q74" s="689" t="n"/>
      <c r="R74" s="689" t="n"/>
      <c r="S74" s="689" t="n"/>
      <c r="T74" s="689" t="n"/>
      <c r="U74" s="689" t="n"/>
      <c r="V74" s="689" t="n"/>
      <c r="W74" s="689" t="n"/>
      <c r="X74" s="689" t="n"/>
      <c r="Y74" s="596" t="inlineStr">
        <is>
          <t>M</t>
        </is>
      </c>
      <c r="Z74" s="597" t="inlineStr">
        <is>
          <t>100 Breast</t>
        </is>
      </c>
      <c r="AA74" s="589" t="n">
        <v>13</v>
      </c>
      <c r="AB74" s="590" t="inlineStr">
        <is>
          <t>JEFF LO WEI ZHE</t>
        </is>
      </c>
      <c r="AC74" s="591" t="inlineStr">
        <is>
          <t>1:13.73</t>
        </is>
      </c>
      <c r="AD74" s="592">
        <f>IFERROR(__xludf.DUMMYFUNCTION("IF(ISNUMBER(AC74), AC74, IF(REGEXMATCH(AC74, "":""), SUMPRODUCT(VALUE(SPLIT(AC74, "":"")) * (60^(COUNTIF(SPLIT(AC74, "":""), ""&lt;&gt;"")-COLUMN(OFFSET('MOT Tables 25'!$A$1,,,1,COUNTIF(SPLIT(AC74, "":""),""&lt;&gt;"")))))), VALUE(AC74)))"),73.73)</f>
        <v/>
      </c>
      <c r="AE74" s="593" t="n">
        <v>7</v>
      </c>
      <c r="AF74" s="594">
        <f t="array" ref="AF74">1000*(INDEX('Bakat Base Times'!$E:$E,MATCH(1,('Bakat Base Times'!$A:$A=Y74)*('Bakat Base Times'!$B:$B=Z74)*('Bakat Base Times'!$C:$C=AA74),0))/(VALUE(AD74)))^3
</f>
        <v/>
      </c>
      <c r="AG74" s="693" t="n"/>
      <c r="AH74" s="596" t="inlineStr">
        <is>
          <t>M</t>
        </is>
      </c>
      <c r="AI74" s="597" t="inlineStr">
        <is>
          <t>100 Back</t>
        </is>
      </c>
      <c r="AJ74" s="597" t="n">
        <v>15</v>
      </c>
      <c r="AK74" s="590" t="inlineStr">
        <is>
          <t>LIM CHEE WAI</t>
        </is>
      </c>
      <c r="AL74" s="591" t="inlineStr">
        <is>
          <t>1:04.80</t>
        </is>
      </c>
      <c r="AM74" s="517">
        <f>IFERROR(__xludf.DUMMYFUNCTION("IF(ISNUMBER(AL74), AL74, IF(REGEXMATCH(AL74, "":""), SUMPRODUCT(VALUE(SPLIT(AL74, "":"")) * (60^(COUNTIF(SPLIT(AL74, "":""), ""&lt;&gt;"")-COLUMN(OFFSET('MOT Tables 25'!$A$1,,,1,COUNTIF(SPLIT(AL74, "":""),""&lt;&gt;"")))))), VALUE(AL74)))"),64.8)</f>
        <v/>
      </c>
      <c r="AN74" s="590" t="n">
        <v>11</v>
      </c>
      <c r="AO74" s="599">
        <f t="array" ref="AO74">1000*(INDEX('Bakat Base Times'!$E:$E,MATCH(1,('Bakat Base Times'!$A:$A=AH74)*('Bakat Base Times'!$B:$B=AI74)*('Bakat Base Times'!$C:$C=AJ74),0))/(VALUE(AM74)))^3
</f>
        <v/>
      </c>
      <c r="AP74" s="600" t="n"/>
      <c r="AQ74" s="693" t="n"/>
      <c r="AR74" s="693" t="n"/>
      <c r="AS74" s="693" t="n"/>
      <c r="AT74" s="693" t="n"/>
      <c r="AU74" s="699" t="n"/>
      <c r="AV74" s="693" t="n"/>
      <c r="AW74" s="693" t="n"/>
      <c r="AX74" s="693" t="n"/>
      <c r="AY74" s="693" t="n"/>
      <c r="AZ74" s="693" t="n"/>
    </row>
    <row r="75">
      <c r="A75" s="651" t="n"/>
      <c r="B75" s="705" t="inlineStr">
        <is>
          <t>M</t>
        </is>
      </c>
      <c r="C75" s="704" t="inlineStr">
        <is>
          <t>100 Fly</t>
        </is>
      </c>
      <c r="D75" s="705" t="n">
        <v>17</v>
      </c>
      <c r="E75" s="613" t="inlineStr">
        <is>
          <t>ANG YONG JUN</t>
        </is>
      </c>
      <c r="F75" s="701" t="inlineStr">
        <is>
          <t>57.44</t>
        </is>
      </c>
      <c r="G7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 s="464">
        <f>G75/#REF!</f>
        <v/>
      </c>
      <c r="I75" s="614" t="inlineStr">
        <is>
          <t>58.03</t>
        </is>
      </c>
      <c r="J7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 s="464">
        <f>J75/#REF!</f>
        <v/>
      </c>
      <c r="L75" s="704" t="n">
        <v>12</v>
      </c>
      <c r="M75" s="616" t="n">
        <v>12</v>
      </c>
      <c r="N75" s="652">
        <f t="array" ref="N75">1000*(INDEX('Bakat Base Times'!$E:$E,MATCH(1,('Bakat Base Times'!$A:$A=B75)*('Bakat Base Times'!$B:$B=C75)*('Bakat Base Times'!$C:$C=D75),0))/(VALUE(O75)))^3
</f>
        <v/>
      </c>
      <c r="O75" s="609">
        <f>IFERROR(__xludf.DUMMYFUNCTION("IF(ISNUMBER(I75), I75, IF(REGEXMATCH(I75, "":""), SUMPRODUCT(VALUE(SPLIT(I75, "":"")) * (60^(COUNTIF(SPLIT(I75, "":""), ""&lt;&gt;"")-COLUMN(OFFSET('MOT Tables 25'!$A$1,,,1,COUNTIF(SPLIT(I75, "":""),""&lt;&gt;"")))))), VALUE(I75)))"),58.03)</f>
        <v/>
      </c>
      <c r="P75" s="689" t="n"/>
      <c r="Q75" s="689" t="n"/>
      <c r="R75" s="689" t="n"/>
      <c r="S75" s="689" t="n"/>
      <c r="T75" s="689" t="n"/>
      <c r="U75" s="689" t="n"/>
      <c r="V75" s="689" t="n"/>
      <c r="W75" s="689" t="n"/>
      <c r="X75" s="689" t="n"/>
      <c r="Y75" s="618" t="inlineStr">
        <is>
          <t>M</t>
        </is>
      </c>
      <c r="Z75" s="619" t="inlineStr">
        <is>
          <t>100 Fly</t>
        </is>
      </c>
      <c r="AA75" s="612" t="n">
        <v>17</v>
      </c>
      <c r="AB75" s="613" t="inlineStr">
        <is>
          <t>ANG YONG JUN</t>
        </is>
      </c>
      <c r="AC75" s="614" t="inlineStr">
        <is>
          <t>58.03</t>
        </is>
      </c>
      <c r="AD75" s="628">
        <f>IFERROR(__xludf.DUMMYFUNCTION("IF(ISNUMBER(AC75), AC75, IF(REGEXMATCH(AC75, "":""), SUMPRODUCT(VALUE(SPLIT(AC75, "":"")) * (60^(COUNTIF(SPLIT(AC75, "":""), ""&lt;&gt;"")-COLUMN(OFFSET('MOT Tables 25'!$A$1,,,1,COUNTIF(SPLIT(AC75, "":""),""&lt;&gt;"")))))), VALUE(AC75)))"),58.03)</f>
        <v/>
      </c>
      <c r="AE75" s="616" t="n">
        <v>12</v>
      </c>
      <c r="AF75" s="617">
        <f t="array" ref="AF75">1000*(INDEX('Bakat Base Times'!$E:$E,MATCH(1,('Bakat Base Times'!$A:$A=Y75)*('Bakat Base Times'!$B:$B=Z75)*('Bakat Base Times'!$C:$C=AA75),0))/(VALUE(AD75)))^3
</f>
        <v/>
      </c>
      <c r="AG75" s="693" t="n"/>
      <c r="AH75" s="632" t="inlineStr">
        <is>
          <t>M</t>
        </is>
      </c>
      <c r="AI75" s="633" t="inlineStr">
        <is>
          <t>50 Free</t>
        </is>
      </c>
      <c r="AJ75" s="633" t="n">
        <v>15</v>
      </c>
      <c r="AK75" s="634" t="inlineStr">
        <is>
          <t>LOO CHENG FENG</t>
        </is>
      </c>
      <c r="AL75" s="675" t="n">
        <v>24.1</v>
      </c>
      <c r="AM75" s="636">
        <f>IFERROR(__xludf.DUMMYFUNCTION("IF(ISNUMBER(AL75), AL75, IF(REGEXMATCH(AL75, "":""), SUMPRODUCT(VALUE(SPLIT(AL75, "":"")) * (60^(COUNTIF(SPLIT(AL75, "":""), ""&lt;&gt;"")-COLUMN(OFFSET('MOT Tables 25'!$A$1,,,1,COUNTIF(SPLIT(AL75, "":""),""&lt;&gt;"")))))), VALUE(AL75)))"),24.1)</f>
        <v/>
      </c>
      <c r="AN75" s="634" t="n">
        <v>1</v>
      </c>
      <c r="AO75" s="637">
        <f t="array" ref="AO75">1000*(INDEX('Bakat Base Times'!$E:$E,MATCH(1,('Bakat Base Times'!$A:$A=AH75)*('Bakat Base Times'!$B:$B=AI75)*('Bakat Base Times'!$C:$C=AJ75),0))/(VALUE(AM75)))^3
</f>
        <v/>
      </c>
      <c r="AP75" s="638" t="inlineStr">
        <is>
          <t>A</t>
        </is>
      </c>
      <c r="AQ75" s="639" t="n"/>
      <c r="AR75" s="693" t="n"/>
      <c r="AS75" s="693" t="n"/>
      <c r="AT75" s="693" t="n"/>
      <c r="AU75" s="699" t="n"/>
      <c r="AV75" s="693" t="n"/>
      <c r="AW75" s="693" t="n"/>
      <c r="AX75" s="693" t="n"/>
      <c r="AY75" s="693" t="n"/>
      <c r="AZ75" s="693" t="n"/>
    </row>
    <row r="76">
      <c r="A76" s="654" t="n"/>
      <c r="B76" s="710" t="inlineStr">
        <is>
          <t>M</t>
        </is>
      </c>
      <c r="C76" s="709" t="inlineStr">
        <is>
          <t>200 IM</t>
        </is>
      </c>
      <c r="D76" s="710" t="n">
        <v>16</v>
      </c>
      <c r="E76" s="590" t="inlineStr">
        <is>
          <t>NGUI JING</t>
        </is>
      </c>
      <c r="F76" s="707" t="inlineStr">
        <is>
          <t>2:11.55</t>
        </is>
      </c>
      <c r="G7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 s="460">
        <f>G76/#REF!</f>
        <v/>
      </c>
      <c r="I76" s="591" t="inlineStr">
        <is>
          <t>2:14.39</t>
        </is>
      </c>
      <c r="J7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 s="460">
        <f>J76/#REF!</f>
        <v/>
      </c>
      <c r="L76" s="709" t="n">
        <v>8</v>
      </c>
      <c r="M76" s="593" t="n">
        <v>10</v>
      </c>
      <c r="N76" s="655">
        <f t="array" ref="N76">1000*(INDEX('Bakat Base Times'!$E:$E,MATCH(1,('Bakat Base Times'!$A:$A=B76)*('Bakat Base Times'!$B:$B=C76)*('Bakat Base Times'!$C:$C=D76),0))/(VALUE(O76)))^3
</f>
        <v/>
      </c>
      <c r="O76" s="582">
        <f>IFERROR(__xludf.DUMMYFUNCTION("IF(ISNUMBER(I76), I76, IF(REGEXMATCH(I76, "":""), SUMPRODUCT(VALUE(SPLIT(I76, "":"")) * (60^(COUNTIF(SPLIT(I76, "":""), ""&lt;&gt;"")-COLUMN(OFFSET('MOT Tables 25'!$A$1,,,1,COUNTIF(SPLIT(I76, "":""),""&lt;&gt;"")))))), VALUE(I76)))"),134.39)</f>
        <v/>
      </c>
      <c r="P76" s="689" t="n"/>
      <c r="Q76" s="689" t="n"/>
      <c r="R76" s="689" t="n"/>
      <c r="S76" s="689" t="n"/>
      <c r="T76" s="689" t="n"/>
      <c r="U76" s="689" t="n"/>
      <c r="V76" s="689" t="n"/>
      <c r="W76" s="689" t="n"/>
      <c r="X76" s="689" t="n"/>
      <c r="Y76" s="596" t="inlineStr">
        <is>
          <t>M</t>
        </is>
      </c>
      <c r="Z76" s="597" t="inlineStr">
        <is>
          <t>200 IM</t>
        </is>
      </c>
      <c r="AA76" s="589" t="n">
        <v>16</v>
      </c>
      <c r="AB76" s="590" t="inlineStr">
        <is>
          <t>NGUI JING</t>
        </is>
      </c>
      <c r="AC76" s="591" t="inlineStr">
        <is>
          <t>2:14.39</t>
        </is>
      </c>
      <c r="AD76" s="592">
        <f>IFERROR(__xludf.DUMMYFUNCTION("IF(ISNUMBER(AC76), AC76, IF(REGEXMATCH(AC76, "":""), SUMPRODUCT(VALUE(SPLIT(AC76, "":"")) * (60^(COUNTIF(SPLIT(AC76, "":""), ""&lt;&gt;"")-COLUMN(OFFSET('MOT Tables 25'!$A$1,,,1,COUNTIF(SPLIT(AC76, "":""),""&lt;&gt;"")))))), VALUE(AC76)))"),134.39)</f>
        <v/>
      </c>
      <c r="AE76" s="593" t="n">
        <v>10</v>
      </c>
      <c r="AF76" s="594">
        <f t="array" ref="AF76">1000*(INDEX('Bakat Base Times'!$E:$E,MATCH(1,('Bakat Base Times'!$A:$A=Y76)*('Bakat Base Times'!$B:$B=Z76)*('Bakat Base Times'!$C:$C=AA76),0))/(VALUE(AD76)))^3
</f>
        <v/>
      </c>
      <c r="AG76" s="693" t="n"/>
      <c r="AH76" s="632" t="inlineStr">
        <is>
          <t>M</t>
        </is>
      </c>
      <c r="AI76" s="633" t="inlineStr">
        <is>
          <t>100 Free</t>
        </is>
      </c>
      <c r="AJ76" s="633" t="n">
        <v>15</v>
      </c>
      <c r="AK76" s="634" t="inlineStr">
        <is>
          <t>LOO CHENG FENG</t>
        </is>
      </c>
      <c r="AL76" s="635" t="inlineStr">
        <is>
          <t>52.68</t>
        </is>
      </c>
      <c r="AM76" s="636">
        <f>IFERROR(__xludf.DUMMYFUNCTION("IF(ISNUMBER(AL76), AL76, IF(REGEXMATCH(AL76, "":""), SUMPRODUCT(VALUE(SPLIT(AL76, "":"")) * (60^(COUNTIF(SPLIT(AL76, "":""), ""&lt;&gt;"")-COLUMN(OFFSET('MOT Tables 25'!$A$1,,,1,COUNTIF(SPLIT(AL76, "":""),""&lt;&gt;"")))))), VALUE(AL76)))"),52.68)</f>
        <v/>
      </c>
      <c r="AN76" s="634" t="n">
        <v>2</v>
      </c>
      <c r="AO76" s="637">
        <f t="array" ref="AO76">1000*(INDEX('Bakat Base Times'!$E:$E,MATCH(1,('Bakat Base Times'!$A:$A=AH76)*('Bakat Base Times'!$B:$B=AI76)*('Bakat Base Times'!$C:$C=AJ76),0))/(VALUE(AM76)))^3
</f>
        <v/>
      </c>
      <c r="AP76" s="638" t="inlineStr">
        <is>
          <t>A</t>
        </is>
      </c>
      <c r="AQ76" s="639" t="n"/>
      <c r="AR76" s="693" t="n"/>
      <c r="AS76" s="693" t="n"/>
      <c r="AT76" s="693" t="n"/>
      <c r="AU76" s="699" t="n"/>
      <c r="AV76" s="693" t="n"/>
      <c r="AW76" s="693" t="n"/>
      <c r="AX76" s="693" t="n"/>
      <c r="AY76" s="693" t="n"/>
      <c r="AZ76" s="693" t="n"/>
    </row>
    <row r="77">
      <c r="A77" s="651" t="n"/>
      <c r="B77" s="705" t="inlineStr">
        <is>
          <t>M</t>
        </is>
      </c>
      <c r="C77" s="704" t="inlineStr">
        <is>
          <t>200 Back</t>
        </is>
      </c>
      <c r="D77" s="705" t="n">
        <v>14</v>
      </c>
      <c r="E77" s="613" t="inlineStr">
        <is>
          <t>NATHANIEL SHU JIA JUN</t>
        </is>
      </c>
      <c r="F77" s="701" t="inlineStr">
        <is>
          <t>2:16.69</t>
        </is>
      </c>
      <c r="G7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 s="464">
        <f>G77/#REF!</f>
        <v/>
      </c>
      <c r="I77" s="614" t="inlineStr">
        <is>
          <t>2:18.05</t>
        </is>
      </c>
      <c r="J7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 s="464">
        <f>J77/#REF!</f>
        <v/>
      </c>
      <c r="L77" s="704" t="n">
        <v>9</v>
      </c>
      <c r="M77" s="616" t="n">
        <v>8</v>
      </c>
      <c r="N77" s="652">
        <f t="array" ref="N77">1000*(INDEX('Bakat Base Times'!$E:$E,MATCH(1,('Bakat Base Times'!$A:$A=B77)*('Bakat Base Times'!$B:$B=C77)*('Bakat Base Times'!$C:$C=D77),0))/(VALUE(O77)))^3
</f>
        <v/>
      </c>
      <c r="O77" s="609">
        <f>IFERROR(__xludf.DUMMYFUNCTION("IF(ISNUMBER(I77), I77, IF(REGEXMATCH(I77, "":""), SUMPRODUCT(VALUE(SPLIT(I77, "":"")) * (60^(COUNTIF(SPLIT(I77, "":""), ""&lt;&gt;"")-COLUMN(OFFSET('MOT Tables 25'!$A$1,,,1,COUNTIF(SPLIT(I77, "":""),""&lt;&gt;"")))))), VALUE(I77)))"),138.05)</f>
        <v/>
      </c>
      <c r="P77" s="689" t="n"/>
      <c r="Q77" s="689" t="n"/>
      <c r="R77" s="689" t="n"/>
      <c r="S77" s="689" t="n"/>
      <c r="T77" s="689" t="n"/>
      <c r="U77" s="689" t="n"/>
      <c r="V77" s="689" t="n"/>
      <c r="W77" s="689" t="n"/>
      <c r="X77" s="689" t="n"/>
      <c r="Y77" s="618" t="inlineStr">
        <is>
          <t>M</t>
        </is>
      </c>
      <c r="Z77" s="619" t="inlineStr">
        <is>
          <t>200 Back</t>
        </is>
      </c>
      <c r="AA77" s="612" t="n">
        <v>14</v>
      </c>
      <c r="AB77" s="613" t="inlineStr">
        <is>
          <t>NATHANIEL SHU JIA JUN</t>
        </is>
      </c>
      <c r="AC77" s="614" t="inlineStr">
        <is>
          <t>2:18.05</t>
        </is>
      </c>
      <c r="AD77" s="628">
        <f>IFERROR(__xludf.DUMMYFUNCTION("IF(ISNUMBER(AC77), AC77, IF(REGEXMATCH(AC77, "":""), SUMPRODUCT(VALUE(SPLIT(AC77, "":"")) * (60^(COUNTIF(SPLIT(AC77, "":""), ""&lt;&gt;"")-COLUMN(OFFSET('MOT Tables 25'!$A$1,,,1,COUNTIF(SPLIT(AC77, "":""),""&lt;&gt;"")))))), VALUE(AC77)))"),138.05)</f>
        <v/>
      </c>
      <c r="AE77" s="616" t="n">
        <v>8</v>
      </c>
      <c r="AF77" s="617">
        <f t="array" ref="AF77">1000*(INDEX('Bakat Base Times'!$E:$E,MATCH(1,('Bakat Base Times'!$A:$A=Y77)*('Bakat Base Times'!$B:$B=Z77)*('Bakat Base Times'!$C:$C=AA77),0))/(VALUE(AD77)))^3
</f>
        <v/>
      </c>
      <c r="AG77" s="693" t="n"/>
      <c r="AH77" s="632" t="inlineStr">
        <is>
          <t>M</t>
        </is>
      </c>
      <c r="AI77" s="633" t="inlineStr">
        <is>
          <t>100 Fly</t>
        </is>
      </c>
      <c r="AJ77" s="633" t="n">
        <v>15</v>
      </c>
      <c r="AK77" s="634" t="inlineStr">
        <is>
          <t>LOO CHENG FENG</t>
        </is>
      </c>
      <c r="AL77" s="635" t="inlineStr">
        <is>
          <t>1:00.14</t>
        </is>
      </c>
      <c r="AM77" s="636">
        <f>IFERROR(__xludf.DUMMYFUNCTION("IF(ISNUMBER(AL77), AL77, IF(REGEXMATCH(AL77, "":""), SUMPRODUCT(VALUE(SPLIT(AL77, "":"")) * (60^(COUNTIF(SPLIT(AL77, "":""), ""&lt;&gt;"")-COLUMN(OFFSET('MOT Tables 25'!$A$1,,,1,COUNTIF(SPLIT(AL77, "":""),""&lt;&gt;"")))))), VALUE(AL77)))"),60.14)</f>
        <v/>
      </c>
      <c r="AN77" s="634" t="n">
        <v>8</v>
      </c>
      <c r="AO77" s="637">
        <f t="array" ref="AO77">1000*(INDEX('Bakat Base Times'!$E:$E,MATCH(1,('Bakat Base Times'!$A:$A=AH77)*('Bakat Base Times'!$B:$B=AI77)*('Bakat Base Times'!$C:$C=AJ77),0))/(VALUE(AM77)))^3
</f>
        <v/>
      </c>
      <c r="AP77" s="638" t="inlineStr">
        <is>
          <t>A</t>
        </is>
      </c>
      <c r="AQ77" s="639" t="n"/>
      <c r="AR77" s="693" t="n"/>
      <c r="AS77" s="693" t="n"/>
      <c r="AT77" s="693" t="n"/>
      <c r="AU77" s="699" t="n"/>
      <c r="AV77" s="693" t="n"/>
      <c r="AW77" s="693" t="n"/>
      <c r="AX77" s="693" t="n"/>
      <c r="AY77" s="693" t="n"/>
      <c r="AZ77" s="693" t="n"/>
    </row>
    <row r="78">
      <c r="A78" s="654" t="n"/>
      <c r="B78" s="710" t="inlineStr">
        <is>
          <t>F</t>
        </is>
      </c>
      <c r="C78" s="709" t="inlineStr">
        <is>
          <t>200 Fly</t>
        </is>
      </c>
      <c r="D78" s="710" t="n">
        <v>16</v>
      </c>
      <c r="E78" s="590" t="inlineStr">
        <is>
          <t>KHOR YUE LYNN</t>
        </is>
      </c>
      <c r="F78" s="707" t="inlineStr">
        <is>
          <t>2:21.97</t>
        </is>
      </c>
      <c r="G7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 s="460">
        <f>G78/#REF!</f>
        <v/>
      </c>
      <c r="I78" s="591" t="inlineStr">
        <is>
          <t>2:22.78</t>
        </is>
      </c>
      <c r="J7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 s="460">
        <f>J78/#REF!</f>
        <v/>
      </c>
      <c r="L78" s="709" t="n">
        <v>4</v>
      </c>
      <c r="M78" s="593" t="n">
        <v>6</v>
      </c>
      <c r="N78" s="655">
        <f t="array" ref="N78">1000*(INDEX('Bakat Base Times'!$E:$E,MATCH(1,('Bakat Base Times'!$A:$A=B78)*('Bakat Base Times'!$B:$B=C78)*('Bakat Base Times'!$C:$C=D78),0))/(VALUE(O78)))^3
</f>
        <v/>
      </c>
      <c r="O78" s="582">
        <f>IFERROR(__xludf.DUMMYFUNCTION("IF(ISNUMBER(I78), I78, IF(REGEXMATCH(I78, "":""), SUMPRODUCT(VALUE(SPLIT(I78, "":"")) * (60^(COUNTIF(SPLIT(I78, "":""), ""&lt;&gt;"")-COLUMN(OFFSET('MOT Tables 25'!$A$1,,,1,COUNTIF(SPLIT(I78, "":""),""&lt;&gt;"")))))), VALUE(I78)))"),142.78)</f>
        <v/>
      </c>
      <c r="P78" s="689" t="n"/>
      <c r="Q78" s="689" t="n"/>
      <c r="R78" s="689" t="n"/>
      <c r="S78" s="689" t="n"/>
      <c r="T78" s="689" t="n"/>
      <c r="U78" s="689" t="n"/>
      <c r="V78" s="689" t="n"/>
      <c r="W78" s="689" t="n"/>
      <c r="X78" s="689" t="n"/>
      <c r="Y78" s="596" t="inlineStr">
        <is>
          <t>F</t>
        </is>
      </c>
      <c r="Z78" s="597" t="inlineStr">
        <is>
          <t>200 Fly</t>
        </is>
      </c>
      <c r="AA78" s="589" t="n">
        <v>16</v>
      </c>
      <c r="AB78" s="590" t="inlineStr">
        <is>
          <t>KHOR YUE LYNN</t>
        </is>
      </c>
      <c r="AC78" s="591" t="inlineStr">
        <is>
          <t>2:22.78</t>
        </is>
      </c>
      <c r="AD78" s="592">
        <f>IFERROR(__xludf.DUMMYFUNCTION("IF(ISNUMBER(AC78), AC78, IF(REGEXMATCH(AC78, "":""), SUMPRODUCT(VALUE(SPLIT(AC78, "":"")) * (60^(COUNTIF(SPLIT(AC78, "":""), ""&lt;&gt;"")-COLUMN(OFFSET('MOT Tables 25'!$A$1,,,1,COUNTIF(SPLIT(AC78, "":""),""&lt;&gt;"")))))), VALUE(AC78)))"),142.78)</f>
        <v/>
      </c>
      <c r="AE78" s="593" t="n">
        <v>6</v>
      </c>
      <c r="AF78" s="594">
        <f t="array" ref="AF78">1000*(INDEX('Bakat Base Times'!$E:$E,MATCH(1,('Bakat Base Times'!$A:$A=Y78)*('Bakat Base Times'!$B:$B=Z78)*('Bakat Base Times'!$C:$C=AA78),0))/(VALUE(AD78)))^3
</f>
        <v/>
      </c>
      <c r="AG78" s="693" t="n"/>
      <c r="AH78" s="632" t="inlineStr">
        <is>
          <t>M</t>
        </is>
      </c>
      <c r="AI78" s="633" t="inlineStr">
        <is>
          <t>200 Free</t>
        </is>
      </c>
      <c r="AJ78" s="633" t="n">
        <v>15</v>
      </c>
      <c r="AK78" s="634" t="inlineStr">
        <is>
          <t>LOO CHENG FENG</t>
        </is>
      </c>
      <c r="AL78" s="635" t="inlineStr">
        <is>
          <t>2:09.05</t>
        </is>
      </c>
      <c r="AM78" s="636">
        <f>IFERROR(__xludf.DUMMYFUNCTION("IF(ISNUMBER(AL78), AL78, IF(REGEXMATCH(AL78, "":""), SUMPRODUCT(VALUE(SPLIT(AL78, "":"")) * (60^(COUNTIF(SPLIT(AL78, "":""), ""&lt;&gt;"")-COLUMN(OFFSET('MOT Tables 25'!$A$1,,,1,COUNTIF(SPLIT(AL78, "":""),""&lt;&gt;"")))))), VALUE(AL78)))"),129.05)</f>
        <v/>
      </c>
      <c r="AN78" s="634" t="n">
        <v>10</v>
      </c>
      <c r="AO78" s="637">
        <f t="array" ref="AO78">1000*(INDEX('Bakat Base Times'!$E:$E,MATCH(1,('Bakat Base Times'!$A:$A=AH78)*('Bakat Base Times'!$B:$B=AI78)*('Bakat Base Times'!$C:$C=AJ78),0))/(VALUE(AM78)))^3
</f>
        <v/>
      </c>
      <c r="AP78" s="638" t="inlineStr">
        <is>
          <t>A</t>
        </is>
      </c>
      <c r="AQ78" s="639" t="n"/>
      <c r="AR78" s="693" t="n"/>
      <c r="AS78" s="693" t="n"/>
      <c r="AT78" s="693" t="n"/>
      <c r="AU78" s="699" t="n"/>
      <c r="AV78" s="693" t="n"/>
      <c r="AW78" s="693" t="n"/>
      <c r="AX78" s="693" t="n"/>
      <c r="AY78" s="693" t="n"/>
      <c r="AZ78" s="693" t="n"/>
    </row>
    <row r="79">
      <c r="A79" s="651" t="n"/>
      <c r="B79" s="705" t="inlineStr">
        <is>
          <t>M</t>
        </is>
      </c>
      <c r="C79" s="704" t="inlineStr">
        <is>
          <t>100 Breast</t>
        </is>
      </c>
      <c r="D79" s="705" t="n">
        <v>13</v>
      </c>
      <c r="E79" s="613" t="inlineStr">
        <is>
          <t>ETHAN TAN KHENG HONG</t>
        </is>
      </c>
      <c r="F79" s="701" t="inlineStr">
        <is>
          <t>1:13.57</t>
        </is>
      </c>
      <c r="G7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 s="464">
        <f>G79/#REF!</f>
        <v/>
      </c>
      <c r="I79" s="614" t="inlineStr">
        <is>
          <t>1:13.83</t>
        </is>
      </c>
      <c r="J7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 s="464">
        <f>J79/#REF!</f>
        <v/>
      </c>
      <c r="L79" s="704" t="n">
        <v>7</v>
      </c>
      <c r="M79" s="616" t="n">
        <v>8</v>
      </c>
      <c r="N79" s="652">
        <f t="array" ref="N79">1000*(INDEX('Bakat Base Times'!$E:$E,MATCH(1,('Bakat Base Times'!$A:$A=B79)*('Bakat Base Times'!$B:$B=C79)*('Bakat Base Times'!$C:$C=D79),0))/(VALUE(O79)))^3
</f>
        <v/>
      </c>
      <c r="O79" s="609">
        <f>IFERROR(__xludf.DUMMYFUNCTION("IF(ISNUMBER(I79), I79, IF(REGEXMATCH(I79, "":""), SUMPRODUCT(VALUE(SPLIT(I79, "":"")) * (60^(COUNTIF(SPLIT(I79, "":""), ""&lt;&gt;"")-COLUMN(OFFSET('MOT Tables 25'!$A$1,,,1,COUNTIF(SPLIT(I79, "":""),""&lt;&gt;"")))))), VALUE(I79)))"),73.83)</f>
        <v/>
      </c>
      <c r="P79" s="689" t="n"/>
      <c r="Q79" s="689" t="n"/>
      <c r="R79" s="689" t="n"/>
      <c r="S79" s="689" t="n"/>
      <c r="T79" s="689" t="n"/>
      <c r="U79" s="689" t="n"/>
      <c r="V79" s="689" t="n"/>
      <c r="W79" s="689" t="n"/>
      <c r="X79" s="689" t="n"/>
      <c r="Y79" s="618" t="inlineStr">
        <is>
          <t>M</t>
        </is>
      </c>
      <c r="Z79" s="619" t="inlineStr">
        <is>
          <t>100 Breast</t>
        </is>
      </c>
      <c r="AA79" s="612" t="n">
        <v>13</v>
      </c>
      <c r="AB79" s="613" t="inlineStr">
        <is>
          <t>ETHAN TAN KHENG HONG</t>
        </is>
      </c>
      <c r="AC79" s="614" t="inlineStr">
        <is>
          <t>1:13.83</t>
        </is>
      </c>
      <c r="AD79" s="628">
        <f>IFERROR(__xludf.DUMMYFUNCTION("IF(ISNUMBER(AC79), AC79, IF(REGEXMATCH(AC79, "":""), SUMPRODUCT(VALUE(SPLIT(AC79, "":"")) * (60^(COUNTIF(SPLIT(AC79, "":""), ""&lt;&gt;"")-COLUMN(OFFSET('MOT Tables 25'!$A$1,,,1,COUNTIF(SPLIT(AC79, "":""),""&lt;&gt;"")))))), VALUE(AC79)))"),73.83)</f>
        <v/>
      </c>
      <c r="AE79" s="616" t="n">
        <v>8</v>
      </c>
      <c r="AF79" s="617">
        <f t="array" ref="AF79">1000*(INDEX('Bakat Base Times'!$E:$E,MATCH(1,('Bakat Base Times'!$A:$A=Y79)*('Bakat Base Times'!$B:$B=Z79)*('Bakat Base Times'!$C:$C=AA79),0))/(VALUE(AD79)))^3
</f>
        <v/>
      </c>
      <c r="AG79" s="693" t="n"/>
      <c r="AH79" s="618" t="inlineStr">
        <is>
          <t>F</t>
        </is>
      </c>
      <c r="AI79" s="619" t="inlineStr">
        <is>
          <t>100 Free</t>
        </is>
      </c>
      <c r="AJ79" s="619" t="n">
        <v>16</v>
      </c>
      <c r="AK79" s="613" t="inlineStr">
        <is>
          <t>LYNNA YEOW YI JING</t>
        </is>
      </c>
      <c r="AL79" s="614" t="inlineStr">
        <is>
          <t>59.41</t>
        </is>
      </c>
      <c r="AM79" s="505">
        <f>IFERROR(__xludf.DUMMYFUNCTION("IF(ISNUMBER(AL79), AL79, IF(REGEXMATCH(AL79, "":""), SUMPRODUCT(VALUE(SPLIT(AL79, "":"")) * (60^(COUNTIF(SPLIT(AL79, "":""), ""&lt;&gt;"")-COLUMN(OFFSET('MOT Tables 25'!$A$1,,,1,COUNTIF(SPLIT(AL79, "":""),""&lt;&gt;"")))))), VALUE(AL79)))"),59.41)</f>
        <v/>
      </c>
      <c r="AN79" s="613" t="n">
        <v>9</v>
      </c>
      <c r="AO79" s="672">
        <f t="array" ref="AO79">1000*(INDEX('Bakat Base Times'!$E:$E,MATCH(1,('Bakat Base Times'!$A:$A=AH79)*('Bakat Base Times'!$B:$B=AI79)*('Bakat Base Times'!$C:$C=AJ79),0))/(VALUE(AM79)))^3
</f>
        <v/>
      </c>
      <c r="AP79" s="621" t="n"/>
      <c r="AQ79" s="693" t="n"/>
      <c r="AR79" s="693" t="n"/>
      <c r="AS79" s="693" t="n"/>
      <c r="AT79" s="693" t="n"/>
      <c r="AU79" s="699" t="n"/>
      <c r="AV79" s="693" t="n"/>
      <c r="AW79" s="693" t="n"/>
      <c r="AX79" s="693" t="n"/>
      <c r="AY79" s="693" t="n"/>
      <c r="AZ79" s="693" t="n"/>
    </row>
    <row r="80">
      <c r="A80" s="654" t="n"/>
      <c r="B80" s="710" t="inlineStr">
        <is>
          <t>M</t>
        </is>
      </c>
      <c r="C80" s="709" t="inlineStr">
        <is>
          <t>1500 Free</t>
        </is>
      </c>
      <c r="D80" s="710" t="n">
        <v>18</v>
      </c>
      <c r="E80" s="590" t="inlineStr">
        <is>
          <t>SAMUEL LAI CHONG WENG</t>
        </is>
      </c>
      <c r="F80" s="707" t="inlineStr">
        <is>
          <t>16:50.17</t>
        </is>
      </c>
      <c r="G8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 s="460">
        <f>G80/#REF!</f>
        <v/>
      </c>
      <c r="I80" s="591" t="inlineStr">
        <is>
          <t>16:35.92</t>
        </is>
      </c>
      <c r="J8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 s="460">
        <f>J80/#REF!</f>
        <v/>
      </c>
      <c r="L80" s="709" t="n">
        <v>8</v>
      </c>
      <c r="M80" s="593" t="n">
        <v>5</v>
      </c>
      <c r="N80" s="655">
        <f t="array" ref="N80">1000*(INDEX('Bakat Base Times'!$E:$E,MATCH(1,('Bakat Base Times'!$A:$A=B80)*('Bakat Base Times'!$B:$B=C80)*('Bakat Base Times'!$C:$C=D80),0))/(VALUE(O80)))^3
</f>
        <v/>
      </c>
      <c r="O80" s="582">
        <f>IFERROR(__xludf.DUMMYFUNCTION("IF(ISNUMBER(I80), I80, IF(REGEXMATCH(I80, "":""), SUMPRODUCT(VALUE(SPLIT(I80, "":"")) * (60^(COUNTIF(SPLIT(I80, "":""), ""&lt;&gt;"")-COLUMN(OFFSET('MOT Tables 25'!$A$1,,,1,COUNTIF(SPLIT(I80, "":""),""&lt;&gt;"")))))), VALUE(I80)))"),995.92)</f>
        <v/>
      </c>
      <c r="P80" s="689" t="n"/>
      <c r="Q80" s="689" t="n"/>
      <c r="R80" s="689" t="n"/>
      <c r="S80" s="689" t="n"/>
      <c r="T80" s="689" t="n"/>
      <c r="U80" s="689" t="n"/>
      <c r="V80" s="689" t="n"/>
      <c r="W80" s="689" t="n"/>
      <c r="X80" s="689" t="n"/>
      <c r="Y80" s="596" t="inlineStr">
        <is>
          <t>M</t>
        </is>
      </c>
      <c r="Z80" s="597" t="inlineStr">
        <is>
          <t>1500 Free</t>
        </is>
      </c>
      <c r="AA80" s="589" t="n">
        <v>18</v>
      </c>
      <c r="AB80" s="590" t="inlineStr">
        <is>
          <t>SAMUEL LAI CHONG WENG</t>
        </is>
      </c>
      <c r="AC80" s="591" t="inlineStr">
        <is>
          <t>16:35.92</t>
        </is>
      </c>
      <c r="AD80" s="592">
        <f>IFERROR(__xludf.DUMMYFUNCTION("IF(ISNUMBER(AC80), AC80, IF(REGEXMATCH(AC80, "":""), SUMPRODUCT(VALUE(SPLIT(AC80, "":"")) * (60^(COUNTIF(SPLIT(AC80, "":""), ""&lt;&gt;"")-COLUMN(OFFSET('MOT Tables 25'!$A$1,,,1,COUNTIF(SPLIT(AC80, "":""),""&lt;&gt;"")))))), VALUE(AC80)))"),995.92)</f>
        <v/>
      </c>
      <c r="AE80" s="593" t="n">
        <v>5</v>
      </c>
      <c r="AF80" s="594">
        <f t="array" ref="AF80">1000*(INDEX('Bakat Base Times'!$E:$E,MATCH(1,('Bakat Base Times'!$A:$A=Y80)*('Bakat Base Times'!$B:$B=Z80)*('Bakat Base Times'!$C:$C=AA80),0))/(VALUE(AD80)))^3
</f>
        <v/>
      </c>
      <c r="AG80" s="693" t="n"/>
      <c r="AH80" s="596" t="inlineStr">
        <is>
          <t>F</t>
        </is>
      </c>
      <c r="AI80" s="597" t="inlineStr">
        <is>
          <t>50 Free</t>
        </is>
      </c>
      <c r="AJ80" s="597" t="n">
        <v>16</v>
      </c>
      <c r="AK80" s="590" t="inlineStr">
        <is>
          <t>LYNNA YEOW YI JING</t>
        </is>
      </c>
      <c r="AL80" s="591" t="n">
        <v>28.11</v>
      </c>
      <c r="AM80" s="517">
        <f>IFERROR(__xludf.DUMMYFUNCTION("IF(ISNUMBER(AL80), AL80, IF(REGEXMATCH(AL80, "":""), SUMPRODUCT(VALUE(SPLIT(AL80, "":"")) * (60^(COUNTIF(SPLIT(AL80, "":""), ""&lt;&gt;"")-COLUMN(OFFSET('MOT Tables 25'!$A$1,,,1,COUNTIF(SPLIT(AL80, "":""),""&lt;&gt;"")))))), VALUE(AL80)))"),28.11)</f>
        <v/>
      </c>
      <c r="AN80" s="590" t="n">
        <v>15</v>
      </c>
      <c r="AO80" s="599">
        <f t="array" ref="AO80">1000*(INDEX('Bakat Base Times'!$E:$E,MATCH(1,('Bakat Base Times'!$A:$A=AH80)*('Bakat Base Times'!$B:$B=AI80)*('Bakat Base Times'!$C:$C=AJ80),0))/(VALUE(AM80)))^3
</f>
        <v/>
      </c>
      <c r="AP80" s="600" t="n"/>
      <c r="AQ80" s="693" t="n"/>
      <c r="AR80" s="693" t="n"/>
      <c r="AS80" s="693" t="n"/>
      <c r="AT80" s="693" t="n"/>
      <c r="AU80" s="699" t="n"/>
      <c r="AV80" s="693" t="n"/>
      <c r="AW80" s="693" t="n"/>
      <c r="AX80" s="693" t="n"/>
      <c r="AY80" s="693" t="n"/>
      <c r="AZ80" s="693" t="n"/>
    </row>
    <row r="81">
      <c r="A81" s="651" t="n"/>
      <c r="B81" s="705" t="inlineStr">
        <is>
          <t>M</t>
        </is>
      </c>
      <c r="C81" s="704" t="inlineStr">
        <is>
          <t>100 Free</t>
        </is>
      </c>
      <c r="D81" s="705" t="n">
        <v>13</v>
      </c>
      <c r="E81" s="613" t="inlineStr">
        <is>
          <t>MUHAMMAD IRIEL DARWISH LIM</t>
        </is>
      </c>
      <c r="F81" s="701" t="inlineStr">
        <is>
          <t>57.70</t>
        </is>
      </c>
      <c r="G8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 s="464">
        <f>G81/#REF!</f>
        <v/>
      </c>
      <c r="I81" s="614" t="inlineStr">
        <is>
          <t>58.81</t>
        </is>
      </c>
      <c r="J8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 s="464">
        <f>J81/#REF!</f>
        <v/>
      </c>
      <c r="L81" s="704" t="n">
        <v>5</v>
      </c>
      <c r="M81" s="616" t="n">
        <v>9</v>
      </c>
      <c r="N81" s="652">
        <f t="array" ref="N81">1000*(INDEX('Bakat Base Times'!$E:$E,MATCH(1,('Bakat Base Times'!$A:$A=B81)*('Bakat Base Times'!$B:$B=C81)*('Bakat Base Times'!$C:$C=D81),0))/(VALUE(O81)))^3
</f>
        <v/>
      </c>
      <c r="O81" s="609">
        <f>IFERROR(__xludf.DUMMYFUNCTION("IF(ISNUMBER(I81), I81, IF(REGEXMATCH(I81, "":""), SUMPRODUCT(VALUE(SPLIT(I81, "":"")) * (60^(COUNTIF(SPLIT(I81, "":""), ""&lt;&gt;"")-COLUMN(OFFSET('MOT Tables 25'!$A$1,,,1,COUNTIF(SPLIT(I81, "":""),""&lt;&gt;"")))))), VALUE(I81)))"),58.81)</f>
        <v/>
      </c>
      <c r="P81" s="689" t="n"/>
      <c r="Q81" s="689" t="n"/>
      <c r="R81" s="689" t="n"/>
      <c r="S81" s="689" t="n"/>
      <c r="T81" s="689" t="n"/>
      <c r="U81" s="689" t="n"/>
      <c r="V81" s="689" t="n"/>
      <c r="W81" s="689" t="n"/>
      <c r="X81" s="689" t="n"/>
      <c r="Y81" s="618" t="inlineStr">
        <is>
          <t>M</t>
        </is>
      </c>
      <c r="Z81" s="619" t="inlineStr">
        <is>
          <t>100 Free</t>
        </is>
      </c>
      <c r="AA81" s="612" t="n">
        <v>13</v>
      </c>
      <c r="AB81" s="676" t="inlineStr">
        <is>
          <t>MUHAMMAD IRIEL DARWISH LIM</t>
        </is>
      </c>
      <c r="AC81" s="614" t="inlineStr">
        <is>
          <t>58.81</t>
        </is>
      </c>
      <c r="AD81" s="628">
        <f>IFERROR(__xludf.DUMMYFUNCTION("IF(ISNUMBER(AC81), AC81, IF(REGEXMATCH(AC81, "":""), SUMPRODUCT(VALUE(SPLIT(AC81, "":"")) * (60^(COUNTIF(SPLIT(AC81, "":""), ""&lt;&gt;"")-COLUMN(OFFSET('MOT Tables 25'!$A$1,,,1,COUNTIF(SPLIT(AC81, "":""),""&lt;&gt;"")))))), VALUE(AC81)))"),58.81)</f>
        <v/>
      </c>
      <c r="AE81" s="616" t="n">
        <v>9</v>
      </c>
      <c r="AF81" s="617">
        <f t="array" ref="AF81">1000*(INDEX('Bakat Base Times'!$E:$E,MATCH(1,('Bakat Base Times'!$A:$A=Y81)*('Bakat Base Times'!$B:$B=Z81)*('Bakat Base Times'!$C:$C=AA81),0))/(VALUE(AD81)))^3
</f>
        <v/>
      </c>
      <c r="AG81" s="693" t="n"/>
      <c r="AH81" s="618" t="inlineStr">
        <is>
          <t>F</t>
        </is>
      </c>
      <c r="AI81" s="619" t="inlineStr">
        <is>
          <t>200 Free</t>
        </is>
      </c>
      <c r="AJ81" s="619" t="n">
        <v>16</v>
      </c>
      <c r="AK81" s="613" t="inlineStr">
        <is>
          <t>LYNNA YEOW YI JING</t>
        </is>
      </c>
      <c r="AL81" s="614" t="inlineStr">
        <is>
          <t>2:11.89</t>
        </is>
      </c>
      <c r="AM81" s="505">
        <f>IFERROR(__xludf.DUMMYFUNCTION("IF(ISNUMBER(AL81), AL81, IF(REGEXMATCH(AL81, "":""), SUMPRODUCT(VALUE(SPLIT(AL81, "":"")) * (60^(COUNTIF(SPLIT(AL81, "":""), ""&lt;&gt;"")-COLUMN(OFFSET('MOT Tables 25'!$A$1,,,1,COUNTIF(SPLIT(AL81, "":""),""&lt;&gt;"")))))), VALUE(AL81)))"),131.89)</f>
        <v/>
      </c>
      <c r="AN81" s="613" t="n">
        <v>12</v>
      </c>
      <c r="AO81" s="672">
        <f t="array" ref="AO81">1000*(INDEX('Bakat Base Times'!$E:$E,MATCH(1,('Bakat Base Times'!$A:$A=AH81)*('Bakat Base Times'!$B:$B=AI81)*('Bakat Base Times'!$C:$C=AJ81),0))/(VALUE(AM81)))^3
</f>
        <v/>
      </c>
      <c r="AP81" s="621" t="n"/>
      <c r="AQ81" s="693" t="n"/>
      <c r="AR81" s="693" t="n"/>
      <c r="AS81" s="693" t="n"/>
      <c r="AT81" s="693" t="n"/>
      <c r="AU81" s="699" t="n"/>
      <c r="AV81" s="693" t="n"/>
      <c r="AW81" s="693" t="n"/>
      <c r="AX81" s="693" t="n"/>
      <c r="AY81" s="693" t="n"/>
      <c r="AZ81" s="693" t="n"/>
    </row>
    <row r="82">
      <c r="A82" s="654" t="n"/>
      <c r="B82" s="710" t="inlineStr">
        <is>
          <t>M</t>
        </is>
      </c>
      <c r="C82" s="709" t="inlineStr">
        <is>
          <t>100 Breast</t>
        </is>
      </c>
      <c r="D82" s="710" t="n">
        <v>15</v>
      </c>
      <c r="E82" s="590" t="inlineStr">
        <is>
          <t>CAYDEN TEO KAE-C</t>
        </is>
      </c>
      <c r="F82" s="707" t="inlineStr">
        <is>
          <t>1:09.19</t>
        </is>
      </c>
      <c r="G8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 s="460">
        <f>G82/#REF!</f>
        <v/>
      </c>
      <c r="I82" s="661" t="inlineStr">
        <is>
          <t>1:09.66</t>
        </is>
      </c>
      <c r="J8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 s="460">
        <f>J82/#REF!</f>
        <v/>
      </c>
      <c r="L82" s="709" t="n">
        <v>11</v>
      </c>
      <c r="M82" s="593" t="n">
        <v>11</v>
      </c>
      <c r="N82" s="655">
        <f t="array" ref="N82">1000*(INDEX('Bakat Base Times'!$E:$E,MATCH(1,('Bakat Base Times'!$A:$A=B82)*('Bakat Base Times'!$B:$B=C82)*('Bakat Base Times'!$C:$C=D82),0))/(VALUE(O82)))^3
</f>
        <v/>
      </c>
      <c r="O82" s="582">
        <f>IFERROR(__xludf.DUMMYFUNCTION("IF(ISNUMBER(I82), I82, IF(REGEXMATCH(I82, "":""), SUMPRODUCT(VALUE(SPLIT(I82, "":"")) * (60^(COUNTIF(SPLIT(I82, "":""), ""&lt;&gt;"")-COLUMN(OFFSET('MOT Tables 25'!$A$1,,,1,COUNTIF(SPLIT(I82, "":""),""&lt;&gt;"")))))), VALUE(I82)))"),69.66)</f>
        <v/>
      </c>
      <c r="P82" s="689" t="n"/>
      <c r="Q82" s="689" t="n"/>
      <c r="R82" s="689" t="n"/>
      <c r="S82" s="689" t="n"/>
      <c r="T82" s="689" t="n"/>
      <c r="U82" s="689" t="n"/>
      <c r="V82" s="689" t="n"/>
      <c r="W82" s="689" t="n"/>
      <c r="X82" s="689" t="n"/>
      <c r="Y82" s="596" t="inlineStr">
        <is>
          <t>M</t>
        </is>
      </c>
      <c r="Z82" s="597" t="inlineStr">
        <is>
          <t>100 Breast</t>
        </is>
      </c>
      <c r="AA82" s="589" t="n">
        <v>15</v>
      </c>
      <c r="AB82" s="590" t="inlineStr">
        <is>
          <t>CAYDEN TEO KAE-C</t>
        </is>
      </c>
      <c r="AC82" s="661" t="inlineStr">
        <is>
          <t>1:09.66</t>
        </is>
      </c>
      <c r="AD82" s="592">
        <f>IFERROR(__xludf.DUMMYFUNCTION("IF(ISNUMBER(AC82), AC82, IF(REGEXMATCH(AC82, "":""), SUMPRODUCT(VALUE(SPLIT(AC82, "":"")) * (60^(COUNTIF(SPLIT(AC82, "":""), ""&lt;&gt;"")-COLUMN(OFFSET('MOT Tables 25'!$A$1,,,1,COUNTIF(SPLIT(AC82, "":""),""&lt;&gt;"")))))), VALUE(AC82)))"),69.66)</f>
        <v/>
      </c>
      <c r="AE82" s="593" t="n">
        <v>11</v>
      </c>
      <c r="AF82" s="594">
        <f t="array" ref="AF82">1000*(INDEX('Bakat Base Times'!$E:$E,MATCH(1,('Bakat Base Times'!$A:$A=Y82)*('Bakat Base Times'!$B:$B=Z82)*('Bakat Base Times'!$C:$C=AA82),0))/(VALUE(AD82)))^3
</f>
        <v/>
      </c>
      <c r="AG82" s="693" t="n"/>
      <c r="AH82" s="596" t="inlineStr">
        <is>
          <t>F</t>
        </is>
      </c>
      <c r="AI82" s="597" t="inlineStr">
        <is>
          <t>200 IM</t>
        </is>
      </c>
      <c r="AJ82" s="597" t="n">
        <v>16</v>
      </c>
      <c r="AK82" s="590" t="inlineStr">
        <is>
          <t>LYNNA YEOW YI JING</t>
        </is>
      </c>
      <c r="AL82" s="661" t="inlineStr">
        <is>
          <t>2:31.21</t>
        </is>
      </c>
      <c r="AM82" s="517">
        <f>IFERROR(__xludf.DUMMYFUNCTION("IF(ISNUMBER(AL82), AL82, IF(REGEXMATCH(AL82, "":""), SUMPRODUCT(VALUE(SPLIT(AL82, "":"")) * (60^(COUNTIF(SPLIT(AL82, "":""), ""&lt;&gt;"")-COLUMN(OFFSET('MOT Tables 25'!$A$1,,,1,COUNTIF(SPLIT(AL82, "":""),""&lt;&gt;"")))))), VALUE(AL82)))"),151.21)</f>
        <v/>
      </c>
      <c r="AN82" s="590" t="n">
        <v>10</v>
      </c>
      <c r="AO82" s="599">
        <f t="array" ref="AO82">1000*(INDEX('Bakat Base Times'!$E:$E,MATCH(1,('Bakat Base Times'!$A:$A=AH82)*('Bakat Base Times'!$B:$B=AI82)*('Bakat Base Times'!$C:$C=AJ82),0))/(VALUE(AM82)))^3
</f>
        <v/>
      </c>
      <c r="AP82" s="600" t="n"/>
      <c r="AQ82" s="693" t="n"/>
      <c r="AR82" s="693" t="n"/>
      <c r="AS82" s="693" t="n"/>
      <c r="AT82" s="693" t="n"/>
      <c r="AU82" s="699" t="n"/>
      <c r="AV82" s="693" t="n"/>
      <c r="AW82" s="693" t="n"/>
      <c r="AX82" s="693" t="n"/>
      <c r="AY82" s="693" t="n"/>
      <c r="AZ82" s="693" t="n"/>
    </row>
    <row r="83">
      <c r="A83" s="651" t="n"/>
      <c r="B83" s="705" t="inlineStr">
        <is>
          <t>F</t>
        </is>
      </c>
      <c r="C83" s="704" t="inlineStr">
        <is>
          <t>200 Breast</t>
        </is>
      </c>
      <c r="D83" s="705" t="n">
        <v>14</v>
      </c>
      <c r="E83" s="613" t="inlineStr">
        <is>
          <t>SEOW CUI YING</t>
        </is>
      </c>
      <c r="F83" s="701" t="inlineStr">
        <is>
          <t>2:47.23</t>
        </is>
      </c>
      <c r="G8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 s="464">
        <f>G83/#REF!</f>
        <v/>
      </c>
      <c r="I83" s="614" t="inlineStr">
        <is>
          <t>2:46.66</t>
        </is>
      </c>
      <c r="J8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 s="464">
        <f>J83/#REF!</f>
        <v/>
      </c>
      <c r="L83" s="704" t="n">
        <v>5</v>
      </c>
      <c r="M83" s="616" t="n">
        <v>6</v>
      </c>
      <c r="N83" s="652">
        <f t="array" ref="N83">1000*(INDEX('Bakat Base Times'!$E:$E,MATCH(1,('Bakat Base Times'!$A:$A=B83)*('Bakat Base Times'!$B:$B=C83)*('Bakat Base Times'!$C:$C=D83),0))/(VALUE(O83)))^3
</f>
        <v/>
      </c>
      <c r="O83" s="609">
        <f>IFERROR(__xludf.DUMMYFUNCTION("IF(ISNUMBER(I83), I83, IF(REGEXMATCH(I83, "":""), SUMPRODUCT(VALUE(SPLIT(I83, "":"")) * (60^(COUNTIF(SPLIT(I83, "":""), ""&lt;&gt;"")-COLUMN(OFFSET('MOT Tables 25'!$A$1,,,1,COUNTIF(SPLIT(I83, "":""),""&lt;&gt;"")))))), VALUE(I83)))"),166.66)</f>
        <v/>
      </c>
      <c r="P83" s="689" t="n"/>
      <c r="Q83" s="689" t="n"/>
      <c r="R83" s="689" t="n"/>
      <c r="S83" s="689" t="n"/>
      <c r="T83" s="689" t="n"/>
      <c r="U83" s="689" t="n"/>
      <c r="V83" s="689" t="n"/>
      <c r="W83" s="689" t="n"/>
      <c r="X83" s="689" t="n"/>
      <c r="Y83" s="618" t="inlineStr">
        <is>
          <t>F</t>
        </is>
      </c>
      <c r="Z83" s="619" t="inlineStr">
        <is>
          <t>200 Breast</t>
        </is>
      </c>
      <c r="AA83" s="612" t="n">
        <v>14</v>
      </c>
      <c r="AB83" s="613" t="inlineStr">
        <is>
          <t>SEOW CUI YING</t>
        </is>
      </c>
      <c r="AC83" s="614" t="inlineStr">
        <is>
          <t>2:46.66</t>
        </is>
      </c>
      <c r="AD83" s="628">
        <f>IFERROR(__xludf.DUMMYFUNCTION("IF(ISNUMBER(AC83), AC83, IF(REGEXMATCH(AC83, "":""), SUMPRODUCT(VALUE(SPLIT(AC83, "":"")) * (60^(COUNTIF(SPLIT(AC83, "":""), ""&lt;&gt;"")-COLUMN(OFFSET('MOT Tables 25'!$A$1,,,1,COUNTIF(SPLIT(AC83, "":""),""&lt;&gt;"")))))), VALUE(AC83)))"),166.66)</f>
        <v/>
      </c>
      <c r="AE83" s="616" t="n">
        <v>6</v>
      </c>
      <c r="AF83" s="617">
        <f t="array" ref="AF83">1000*(INDEX('Bakat Base Times'!$E:$E,MATCH(1,('Bakat Base Times'!$A:$A=Y83)*('Bakat Base Times'!$B:$B=Z83)*('Bakat Base Times'!$C:$C=AA83),0))/(VALUE(AD83)))^3
</f>
        <v/>
      </c>
      <c r="AG83" s="693" t="n"/>
      <c r="AH83" s="618" t="inlineStr">
        <is>
          <t>F</t>
        </is>
      </c>
      <c r="AI83" s="619" t="inlineStr">
        <is>
          <t>400 Free</t>
        </is>
      </c>
      <c r="AJ83" s="619" t="n">
        <v>16</v>
      </c>
      <c r="AK83" s="613" t="inlineStr">
        <is>
          <t>LYNNA YEOW YI JING</t>
        </is>
      </c>
      <c r="AL83" s="614" t="inlineStr">
        <is>
          <t>4:41.50</t>
        </is>
      </c>
      <c r="AM83" s="505">
        <f>IFERROR(__xludf.DUMMYFUNCTION("IF(ISNUMBER(AL83), AL83, IF(REGEXMATCH(AL83, "":""), SUMPRODUCT(VALUE(SPLIT(AL83, "":"")) * (60^(COUNTIF(SPLIT(AL83, "":""), ""&lt;&gt;"")-COLUMN(OFFSET('MOT Tables 25'!$A$1,,,1,COUNTIF(SPLIT(AL83, "":""),""&lt;&gt;"")))))), VALUE(AL83)))"),281.5)</f>
        <v/>
      </c>
      <c r="AN83" s="613" t="n">
        <v>6</v>
      </c>
      <c r="AO83" s="672">
        <f t="array" ref="AO83">1000*(INDEX('Bakat Base Times'!$E:$E,MATCH(1,('Bakat Base Times'!$A:$A=AH83)*('Bakat Base Times'!$B:$B=AI83)*('Bakat Base Times'!$C:$C=AJ83),0))/(VALUE(AM83)))^3
</f>
        <v/>
      </c>
      <c r="AP83" s="621" t="n"/>
      <c r="AQ83" s="693" t="n"/>
      <c r="AR83" s="693" t="n"/>
      <c r="AS83" s="693" t="n"/>
      <c r="AT83" s="693" t="n"/>
      <c r="AU83" s="699" t="n"/>
      <c r="AV83" s="693" t="n"/>
      <c r="AW83" s="693" t="n"/>
      <c r="AX83" s="693" t="n"/>
      <c r="AY83" s="693" t="n"/>
      <c r="AZ83" s="693" t="n"/>
    </row>
    <row r="84">
      <c r="A84" s="654" t="n"/>
      <c r="B84" s="710" t="inlineStr">
        <is>
          <t>M</t>
        </is>
      </c>
      <c r="C84" s="709" t="inlineStr">
        <is>
          <t>200 IM</t>
        </is>
      </c>
      <c r="D84" s="710" t="n">
        <v>16</v>
      </c>
      <c r="E84" s="590" t="inlineStr">
        <is>
          <t>DYLAN LEONG YI QUAN</t>
        </is>
      </c>
      <c r="F84" s="707" t="inlineStr">
        <is>
          <t>2:11.95</t>
        </is>
      </c>
      <c r="G8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 s="460">
        <f>G84/#REF!</f>
        <v/>
      </c>
      <c r="I84" s="661" t="inlineStr">
        <is>
          <t>2:14.62</t>
        </is>
      </c>
      <c r="J8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 s="460">
        <f>J84/#REF!</f>
        <v/>
      </c>
      <c r="L84" s="709" t="n">
        <v>12</v>
      </c>
      <c r="M84" s="593" t="n">
        <v>11</v>
      </c>
      <c r="N84" s="655">
        <f t="array" ref="N84">1000*(INDEX('Bakat Base Times'!$E:$E,MATCH(1,('Bakat Base Times'!$A:$A=B84)*('Bakat Base Times'!$B:$B=C84)*('Bakat Base Times'!$C:$C=D84),0))/(VALUE(O84)))^3
</f>
        <v/>
      </c>
      <c r="O84" s="582">
        <f>IFERROR(__xludf.DUMMYFUNCTION("IF(ISNUMBER(I84), I84, IF(REGEXMATCH(I84, "":""), SUMPRODUCT(VALUE(SPLIT(I84, "":"")) * (60^(COUNTIF(SPLIT(I84, "":""), ""&lt;&gt;"")-COLUMN(OFFSET('MOT Tables 25'!$A$1,,,1,COUNTIF(SPLIT(I84, "":""),""&lt;&gt;"")))))), VALUE(I84)))"),134.62)</f>
        <v/>
      </c>
      <c r="P84" s="689" t="n"/>
      <c r="Q84" s="689" t="n"/>
      <c r="R84" s="689" t="n"/>
      <c r="S84" s="689" t="n"/>
      <c r="T84" s="689" t="n"/>
      <c r="U84" s="689" t="n"/>
      <c r="V84" s="689" t="n"/>
      <c r="W84" s="689" t="n"/>
      <c r="X84" s="689" t="n"/>
      <c r="Y84" s="596" t="inlineStr">
        <is>
          <t>M</t>
        </is>
      </c>
      <c r="Z84" s="597" t="inlineStr">
        <is>
          <t>200 IM</t>
        </is>
      </c>
      <c r="AA84" s="589" t="n">
        <v>16</v>
      </c>
      <c r="AB84" s="590" t="inlineStr">
        <is>
          <t>DYLAN LEONG YI QUAN</t>
        </is>
      </c>
      <c r="AC84" s="661" t="inlineStr">
        <is>
          <t>2:14.62</t>
        </is>
      </c>
      <c r="AD84" s="592">
        <f>IFERROR(__xludf.DUMMYFUNCTION("IF(ISNUMBER(AC84), AC84, IF(REGEXMATCH(AC84, "":""), SUMPRODUCT(VALUE(SPLIT(AC84, "":"")) * (60^(COUNTIF(SPLIT(AC84, "":""), ""&lt;&gt;"")-COLUMN(OFFSET('MOT Tables 25'!$A$1,,,1,COUNTIF(SPLIT(AC84, "":""),""&lt;&gt;"")))))), VALUE(AC84)))"),134.62)</f>
        <v/>
      </c>
      <c r="AE84" s="593" t="n">
        <v>11</v>
      </c>
      <c r="AF84" s="594">
        <f t="array" ref="AF84">1000*(INDEX('Bakat Base Times'!$E:$E,MATCH(1,('Bakat Base Times'!$A:$A=Y84)*('Bakat Base Times'!$B:$B=Z84)*('Bakat Base Times'!$C:$C=AA84),0))/(VALUE(AD84)))^3
</f>
        <v/>
      </c>
      <c r="AG84" s="693" t="n"/>
      <c r="AH84" s="596" t="inlineStr">
        <is>
          <t>F</t>
        </is>
      </c>
      <c r="AI84" s="597" t="inlineStr">
        <is>
          <t>100 Breast</t>
        </is>
      </c>
      <c r="AJ84" s="597" t="n">
        <v>16</v>
      </c>
      <c r="AK84" s="590" t="inlineStr">
        <is>
          <t>LYNNA YEOW YI JING</t>
        </is>
      </c>
      <c r="AL84" s="661" t="inlineStr">
        <is>
          <t>1:20.09</t>
        </is>
      </c>
      <c r="AM84" s="517">
        <f>IFERROR(__xludf.DUMMYFUNCTION("IF(ISNUMBER(AL84), AL84, IF(REGEXMATCH(AL84, "":""), SUMPRODUCT(VALUE(SPLIT(AL84, "":"")) * (60^(COUNTIF(SPLIT(AL84, "":""), ""&lt;&gt;"")-COLUMN(OFFSET('MOT Tables 25'!$A$1,,,1,COUNTIF(SPLIT(AL84, "":""),""&lt;&gt;"")))))), VALUE(AL84)))"),80.09)</f>
        <v/>
      </c>
      <c r="AN84" s="590" t="n">
        <v>14</v>
      </c>
      <c r="AO84" s="599">
        <f t="array" ref="AO84">1000*(INDEX('Bakat Base Times'!$E:$E,MATCH(1,('Bakat Base Times'!$A:$A=AH84)*('Bakat Base Times'!$B:$B=AI84)*('Bakat Base Times'!$C:$C=AJ84),0))/(VALUE(AM84)))^3
</f>
        <v/>
      </c>
      <c r="AP84" s="600" t="n"/>
      <c r="AQ84" s="693" t="n"/>
      <c r="AR84" s="693" t="n"/>
      <c r="AS84" s="693" t="n"/>
      <c r="AT84" s="693" t="n"/>
      <c r="AU84" s="699" t="n"/>
      <c r="AV84" s="693" t="n"/>
      <c r="AW84" s="693" t="n"/>
      <c r="AX84" s="693" t="n"/>
      <c r="AY84" s="693" t="n"/>
      <c r="AZ84" s="693" t="n"/>
    </row>
    <row r="85">
      <c r="A85" s="651" t="n"/>
      <c r="B85" s="705" t="inlineStr">
        <is>
          <t>F</t>
        </is>
      </c>
      <c r="C85" s="704" t="inlineStr">
        <is>
          <t>100 Free</t>
        </is>
      </c>
      <c r="D85" s="705" t="n">
        <v>15</v>
      </c>
      <c r="E85" s="613" t="inlineStr">
        <is>
          <t>SHANNON TAN YAN QING *</t>
        </is>
      </c>
      <c r="F85" s="701" t="inlineStr">
        <is>
          <t>59.72</t>
        </is>
      </c>
      <c r="G8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 s="464">
        <f>G85/#REF!</f>
        <v/>
      </c>
      <c r="I85" s="614" t="inlineStr">
        <is>
          <t>1:00.81</t>
        </is>
      </c>
      <c r="J8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 s="464">
        <f>J85/#REF!</f>
        <v/>
      </c>
      <c r="L85" s="704" t="n">
        <v>8</v>
      </c>
      <c r="M85" s="616" t="n">
        <v>9</v>
      </c>
      <c r="N85" s="652">
        <f t="array" ref="N85">1000*(INDEX('Bakat Base Times'!$E:$E,MATCH(1,('Bakat Base Times'!$A:$A=B85)*('Bakat Base Times'!$B:$B=C85)*('Bakat Base Times'!$C:$C=D85),0))/(VALUE(O85)))^3
</f>
        <v/>
      </c>
      <c r="O85" s="609">
        <f>IFERROR(__xludf.DUMMYFUNCTION("IF(ISNUMBER(I85), I85, IF(REGEXMATCH(I85, "":""), SUMPRODUCT(VALUE(SPLIT(I85, "":"")) * (60^(COUNTIF(SPLIT(I85, "":""), ""&lt;&gt;"")-COLUMN(OFFSET('MOT Tables 25'!$A$1,,,1,COUNTIF(SPLIT(I85, "":""),""&lt;&gt;"")))))), VALUE(I85)))"),60.81)</f>
        <v/>
      </c>
      <c r="P85" s="689" t="n"/>
      <c r="Q85" s="689" t="n"/>
      <c r="R85" s="689" t="n"/>
      <c r="S85" s="689" t="n"/>
      <c r="T85" s="689" t="n"/>
      <c r="U85" s="689" t="n"/>
      <c r="V85" s="689" t="n"/>
      <c r="W85" s="689" t="n"/>
      <c r="X85" s="689" t="n"/>
      <c r="Y85" s="618" t="inlineStr">
        <is>
          <t>F</t>
        </is>
      </c>
      <c r="Z85" s="619" t="inlineStr">
        <is>
          <t>100 Free</t>
        </is>
      </c>
      <c r="AA85" s="612" t="n">
        <v>15</v>
      </c>
      <c r="AB85" s="613" t="inlineStr">
        <is>
          <t>SHANNON TAN YAN QING *</t>
        </is>
      </c>
      <c r="AC85" s="614" t="inlineStr">
        <is>
          <t>1:00.81</t>
        </is>
      </c>
      <c r="AD85" s="628">
        <f>IFERROR(__xludf.DUMMYFUNCTION("IF(ISNUMBER(AC85), AC85, IF(REGEXMATCH(AC85, "":""), SUMPRODUCT(VALUE(SPLIT(AC85, "":"")) * (60^(COUNTIF(SPLIT(AC85, "":""), ""&lt;&gt;"")-COLUMN(OFFSET('MOT Tables 25'!$A$1,,,1,COUNTIF(SPLIT(AC85, "":""),""&lt;&gt;"")))))), VALUE(AC85)))"),60.81)</f>
        <v/>
      </c>
      <c r="AE85" s="616" t="n">
        <v>9</v>
      </c>
      <c r="AF85" s="617">
        <f t="array" ref="AF85">1000*(INDEX('Bakat Base Times'!$E:$E,MATCH(1,('Bakat Base Times'!$A:$A=Y85)*('Bakat Base Times'!$B:$B=Z85)*('Bakat Base Times'!$C:$C=AA85),0))/(VALUE(AD85)))^3
</f>
        <v/>
      </c>
      <c r="AG85" s="693" t="n"/>
      <c r="AH85" s="632" t="inlineStr">
        <is>
          <t>F</t>
        </is>
      </c>
      <c r="AI85" s="633" t="inlineStr">
        <is>
          <t>100 Free</t>
        </is>
      </c>
      <c r="AJ85" s="633" t="n">
        <v>15</v>
      </c>
      <c r="AK85" s="677" t="inlineStr">
        <is>
          <t>NADIA LIM</t>
        </is>
      </c>
      <c r="AL85" s="635" t="inlineStr">
        <is>
          <t>58.58</t>
        </is>
      </c>
      <c r="AM85" s="636">
        <f>IFERROR(__xludf.DUMMYFUNCTION("IF(ISNUMBER(AL85), AL85, IF(REGEXMATCH(AL85, "":""), SUMPRODUCT(VALUE(SPLIT(AL85, "":"")) * (60^(COUNTIF(SPLIT(AL85, "":""), ""&lt;&gt;"")-COLUMN(OFFSET('MOT Tables 25'!$A$1,,,1,COUNTIF(SPLIT(AL85, "":""),""&lt;&gt;"")))))), VALUE(AL85)))"),58.58)</f>
        <v/>
      </c>
      <c r="AN85" s="634" t="n">
        <v>2</v>
      </c>
      <c r="AO85" s="637">
        <f t="array" ref="AO85">1000*(INDEX('Bakat Base Times'!$E:$E,MATCH(1,('Bakat Base Times'!$A:$A=AH85)*('Bakat Base Times'!$B:$B=AI85)*('Bakat Base Times'!$C:$C=AJ85),0))/(VALUE(AM85)))^3
</f>
        <v/>
      </c>
      <c r="AP85" s="638" t="inlineStr">
        <is>
          <t>A</t>
        </is>
      </c>
      <c r="AQ85" s="639" t="n"/>
      <c r="AR85" s="693" t="n"/>
      <c r="AS85" s="693" t="n"/>
      <c r="AT85" s="693" t="n"/>
      <c r="AU85" s="699" t="n"/>
      <c r="AV85" s="693" t="n"/>
      <c r="AW85" s="693" t="n"/>
      <c r="AX85" s="693" t="n"/>
      <c r="AY85" s="693" t="n"/>
      <c r="AZ85" s="693" t="n"/>
    </row>
    <row r="86">
      <c r="A86" s="654" t="n"/>
      <c r="B86" s="710" t="inlineStr">
        <is>
          <t>M</t>
        </is>
      </c>
      <c r="C86" s="709" t="inlineStr">
        <is>
          <t>100 Breast</t>
        </is>
      </c>
      <c r="D86" s="710" t="n">
        <v>15</v>
      </c>
      <c r="E86" s="590" t="inlineStr">
        <is>
          <t>RYAN LIAW CHEE HENG</t>
        </is>
      </c>
      <c r="F86" s="707" t="inlineStr">
        <is>
          <t>1:08.95</t>
        </is>
      </c>
      <c r="G8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 s="460">
        <f>G86/#REF!</f>
        <v/>
      </c>
      <c r="I86" s="661" t="inlineStr">
        <is>
          <t>1:09.76</t>
        </is>
      </c>
      <c r="J8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 s="460">
        <f>J86/#REF!</f>
        <v/>
      </c>
      <c r="L86" s="709" t="n">
        <v>9</v>
      </c>
      <c r="M86" s="593" t="n">
        <v>12</v>
      </c>
      <c r="N86" s="655">
        <f t="array" ref="N86">1000*(INDEX('Bakat Base Times'!$E:$E,MATCH(1,('Bakat Base Times'!$A:$A=B86)*('Bakat Base Times'!$B:$B=C86)*('Bakat Base Times'!$C:$C=D86),0))/(VALUE(O86)))^3
</f>
        <v/>
      </c>
      <c r="O86" s="582">
        <f>IFERROR(__xludf.DUMMYFUNCTION("IF(ISNUMBER(I86), I86, IF(REGEXMATCH(I86, "":""), SUMPRODUCT(VALUE(SPLIT(I86, "":"")) * (60^(COUNTIF(SPLIT(I86, "":""), ""&lt;&gt;"")-COLUMN(OFFSET('MOT Tables 25'!$A$1,,,1,COUNTIF(SPLIT(I86, "":""),""&lt;&gt;"")))))), VALUE(I86)))"),69.76)</f>
        <v/>
      </c>
      <c r="P86" s="689" t="n"/>
      <c r="Q86" s="689" t="n"/>
      <c r="R86" s="689" t="n"/>
      <c r="S86" s="689" t="n"/>
      <c r="T86" s="689" t="n"/>
      <c r="U86" s="689" t="n"/>
      <c r="V86" s="689" t="n"/>
      <c r="W86" s="689" t="n"/>
      <c r="X86" s="689" t="n"/>
      <c r="Y86" s="596" t="inlineStr">
        <is>
          <t>M</t>
        </is>
      </c>
      <c r="Z86" s="597" t="inlineStr">
        <is>
          <t>100 Breast</t>
        </is>
      </c>
      <c r="AA86" s="589" t="n">
        <v>15</v>
      </c>
      <c r="AB86" s="590" t="inlineStr">
        <is>
          <t>RYAN LIAW CHEE HENG</t>
        </is>
      </c>
      <c r="AC86" s="661" t="inlineStr">
        <is>
          <t>1:09.76</t>
        </is>
      </c>
      <c r="AD86" s="592">
        <f>IFERROR(__xludf.DUMMYFUNCTION("IF(ISNUMBER(AC86), AC86, IF(REGEXMATCH(AC86, "":""), SUMPRODUCT(VALUE(SPLIT(AC86, "":"")) * (60^(COUNTIF(SPLIT(AC86, "":""), ""&lt;&gt;"")-COLUMN(OFFSET('MOT Tables 25'!$A$1,,,1,COUNTIF(SPLIT(AC86, "":""),""&lt;&gt;"")))))), VALUE(AC86)))"),69.76)</f>
        <v/>
      </c>
      <c r="AE86" s="593" t="n">
        <v>12</v>
      </c>
      <c r="AF86" s="594">
        <f t="array" ref="AF86">1000*(INDEX('Bakat Base Times'!$E:$E,MATCH(1,('Bakat Base Times'!$A:$A=Y86)*('Bakat Base Times'!$B:$B=Z86)*('Bakat Base Times'!$C:$C=AA86),0))/(VALUE(AD86)))^3
</f>
        <v/>
      </c>
      <c r="AG86" s="693" t="n"/>
      <c r="AH86" s="632" t="inlineStr">
        <is>
          <t>F</t>
        </is>
      </c>
      <c r="AI86" s="633" t="inlineStr">
        <is>
          <t>200 IM</t>
        </is>
      </c>
      <c r="AJ86" s="633" t="n">
        <v>15</v>
      </c>
      <c r="AK86" s="677" t="inlineStr">
        <is>
          <t>NADIA LIM</t>
        </is>
      </c>
      <c r="AL86" s="635" t="inlineStr">
        <is>
          <t>2:27.23</t>
        </is>
      </c>
      <c r="AM86" s="636">
        <f>IFERROR(__xludf.DUMMYFUNCTION("IF(ISNUMBER(AL86), AL86, IF(REGEXMATCH(AL86, "":""), SUMPRODUCT(VALUE(SPLIT(AL86, "":"")) * (60^(COUNTIF(SPLIT(AL86, "":""), ""&lt;&gt;"")-COLUMN(OFFSET('MOT Tables 25'!$A$1,,,1,COUNTIF(SPLIT(AL86, "":""),""&lt;&gt;"")))))), VALUE(AL86)))"),147.23)</f>
        <v/>
      </c>
      <c r="AN86" s="634" t="n">
        <v>5</v>
      </c>
      <c r="AO86" s="637">
        <f t="array" ref="AO86">1000*(INDEX('Bakat Base Times'!$E:$E,MATCH(1,('Bakat Base Times'!$A:$A=AH86)*('Bakat Base Times'!$B:$B=AI86)*('Bakat Base Times'!$C:$C=AJ86),0))/(VALUE(AM86)))^3
</f>
        <v/>
      </c>
      <c r="AP86" s="638" t="inlineStr">
        <is>
          <t>A</t>
        </is>
      </c>
      <c r="AQ86" s="639" t="n"/>
      <c r="AR86" s="693" t="n"/>
      <c r="AS86" s="693" t="n"/>
      <c r="AT86" s="693" t="n"/>
      <c r="AU86" s="699" t="n"/>
      <c r="AV86" s="693" t="n"/>
      <c r="AW86" s="693" t="n"/>
      <c r="AX86" s="693" t="n"/>
      <c r="AY86" s="693" t="n"/>
      <c r="AZ86" s="693" t="n"/>
    </row>
    <row r="87">
      <c r="A87" s="651" t="n"/>
      <c r="B87" s="705" t="inlineStr">
        <is>
          <t>F</t>
        </is>
      </c>
      <c r="C87" s="704" t="inlineStr">
        <is>
          <t>50 Free</t>
        </is>
      </c>
      <c r="D87" s="705" t="n">
        <v>13</v>
      </c>
      <c r="E87" s="613" t="inlineStr">
        <is>
          <t>ELISHA LEE ERN</t>
        </is>
      </c>
      <c r="F87" s="627" t="n">
        <v>28.79</v>
      </c>
      <c r="G8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 s="464">
        <f>G87/#REF!</f>
        <v/>
      </c>
      <c r="I87" s="614" t="n">
        <v>28.81</v>
      </c>
      <c r="J8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 s="464">
        <f>J87/#REF!</f>
        <v/>
      </c>
      <c r="L87" s="704" t="n">
        <v>9</v>
      </c>
      <c r="M87" s="616" t="n">
        <v>8</v>
      </c>
      <c r="N87" s="652">
        <f t="array" ref="N87">1000*(INDEX('Bakat Base Times'!$E:$E,MATCH(1,('Bakat Base Times'!$A:$A=B87)*('Bakat Base Times'!$B:$B=C87)*('Bakat Base Times'!$C:$C=D87),0))/(VALUE(O87)))^3
</f>
        <v/>
      </c>
      <c r="O87" s="609">
        <f>IFERROR(__xludf.DUMMYFUNCTION("IF(ISNUMBER(I87), I87, IF(REGEXMATCH(I87, "":""), SUMPRODUCT(VALUE(SPLIT(I87, "":"")) * (60^(COUNTIF(SPLIT(I87, "":""), ""&lt;&gt;"")-COLUMN(OFFSET('MOT Tables 25'!$A$1,,,1,COUNTIF(SPLIT(I87, "":""),""&lt;&gt;"")))))), VALUE(I87)))"),28.81)</f>
        <v/>
      </c>
      <c r="P87" s="689" t="n"/>
      <c r="Q87" s="689" t="n"/>
      <c r="R87" s="689" t="n"/>
      <c r="S87" s="689" t="n"/>
      <c r="T87" s="689" t="n"/>
      <c r="U87" s="689" t="n"/>
      <c r="V87" s="689" t="n"/>
      <c r="W87" s="689" t="n"/>
      <c r="X87" s="689" t="n"/>
      <c r="Y87" s="618" t="inlineStr">
        <is>
          <t>F</t>
        </is>
      </c>
      <c r="Z87" s="619" t="inlineStr">
        <is>
          <t>50 Free</t>
        </is>
      </c>
      <c r="AA87" s="612" t="n">
        <v>13</v>
      </c>
      <c r="AB87" s="613" t="inlineStr">
        <is>
          <t>ELISHA LEE ERN</t>
        </is>
      </c>
      <c r="AC87" s="614" t="n">
        <v>28.81</v>
      </c>
      <c r="AD87" s="628">
        <f>IFERROR(__xludf.DUMMYFUNCTION("IF(ISNUMBER(AC87), AC87, IF(REGEXMATCH(AC87, "":""), SUMPRODUCT(VALUE(SPLIT(AC87, "":"")) * (60^(COUNTIF(SPLIT(AC87, "":""), ""&lt;&gt;"")-COLUMN(OFFSET('MOT Tables 25'!$A$1,,,1,COUNTIF(SPLIT(AC87, "":""),""&lt;&gt;"")))))), VALUE(AC87)))"),28.81)</f>
        <v/>
      </c>
      <c r="AE87" s="616" t="n">
        <v>8</v>
      </c>
      <c r="AF87" s="617">
        <f t="array" ref="AF87">1000*(INDEX('Bakat Base Times'!$E:$E,MATCH(1,('Bakat Base Times'!$A:$A=Y87)*('Bakat Base Times'!$B:$B=Z87)*('Bakat Base Times'!$C:$C=AA87),0))/(VALUE(AD87)))^3
</f>
        <v/>
      </c>
      <c r="AG87" s="693" t="n"/>
      <c r="AH87" s="632" t="inlineStr">
        <is>
          <t>F</t>
        </is>
      </c>
      <c r="AI87" s="633" t="inlineStr">
        <is>
          <t>100 Back</t>
        </is>
      </c>
      <c r="AJ87" s="633" t="n">
        <v>15</v>
      </c>
      <c r="AK87" s="677" t="inlineStr">
        <is>
          <t>NADIA LIM</t>
        </is>
      </c>
      <c r="AL87" s="635" t="inlineStr">
        <is>
          <t>1:07.85</t>
        </is>
      </c>
      <c r="AM87" s="636">
        <f>IFERROR(__xludf.DUMMYFUNCTION("IF(ISNUMBER(AL87), AL87, IF(REGEXMATCH(AL87, "":""), SUMPRODUCT(VALUE(SPLIT(AL87, "":"")) * (60^(COUNTIF(SPLIT(AL87, "":""), ""&lt;&gt;"")-COLUMN(OFFSET('MOT Tables 25'!$A$1,,,1,COUNTIF(SPLIT(AL87, "":""),""&lt;&gt;"")))))), VALUE(AL87)))"),67.85)</f>
        <v/>
      </c>
      <c r="AN87" s="634" t="n">
        <v>7</v>
      </c>
      <c r="AO87" s="637">
        <f t="array" ref="AO87">1000*(INDEX('Bakat Base Times'!$E:$E,MATCH(1,('Bakat Base Times'!$A:$A=AH87)*('Bakat Base Times'!$B:$B=AI87)*('Bakat Base Times'!$C:$C=AJ87),0))/(VALUE(AM87)))^3
</f>
        <v/>
      </c>
      <c r="AP87" s="638" t="inlineStr">
        <is>
          <t>A</t>
        </is>
      </c>
      <c r="AQ87" s="639" t="n"/>
      <c r="AR87" s="693" t="n"/>
      <c r="AS87" s="693" t="n"/>
      <c r="AT87" s="693" t="n"/>
      <c r="AU87" s="699" t="n"/>
      <c r="AV87" s="693" t="n"/>
      <c r="AW87" s="693" t="n"/>
      <c r="AX87" s="693" t="n"/>
      <c r="AY87" s="693" t="n"/>
      <c r="AZ87" s="693" t="n"/>
    </row>
    <row r="88">
      <c r="A88" s="654" t="n"/>
      <c r="B88" s="710" t="inlineStr">
        <is>
          <t>F</t>
        </is>
      </c>
      <c r="C88" s="709" t="inlineStr">
        <is>
          <t>50 Free</t>
        </is>
      </c>
      <c r="D88" s="710" t="n">
        <v>15</v>
      </c>
      <c r="E88" s="590" t="inlineStr">
        <is>
          <t>YAP KE HUI</t>
        </is>
      </c>
      <c r="F88" s="629" t="n">
        <v>27.68</v>
      </c>
      <c r="G8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 s="460">
        <f>G88/#REF!</f>
        <v/>
      </c>
      <c r="I88" s="661" t="n">
        <v>28.08</v>
      </c>
      <c r="J8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 s="460">
        <f>J88/#REF!</f>
        <v/>
      </c>
      <c r="L88" s="709" t="n">
        <v>9</v>
      </c>
      <c r="M88" s="593" t="n">
        <v>9</v>
      </c>
      <c r="N88" s="655">
        <f t="array" ref="N88">1000*(INDEX('Bakat Base Times'!$E:$E,MATCH(1,('Bakat Base Times'!$A:$A=B88)*('Bakat Base Times'!$B:$B=C88)*('Bakat Base Times'!$C:$C=D88),0))/(VALUE(O88)))^3
</f>
        <v/>
      </c>
      <c r="O88" s="582">
        <f>IFERROR(__xludf.DUMMYFUNCTION("IF(ISNUMBER(I88), I88, IF(REGEXMATCH(I88, "":""), SUMPRODUCT(VALUE(SPLIT(I88, "":"")) * (60^(COUNTIF(SPLIT(I88, "":""), ""&lt;&gt;"")-COLUMN(OFFSET('MOT Tables 25'!$A$1,,,1,COUNTIF(SPLIT(I88, "":""),""&lt;&gt;"")))))), VALUE(I88)))"),28.08)</f>
        <v/>
      </c>
      <c r="P88" s="689" t="n"/>
      <c r="Q88" s="689" t="n"/>
      <c r="R88" s="689" t="n"/>
      <c r="S88" s="689" t="n"/>
      <c r="T88" s="689" t="n"/>
      <c r="U88" s="689" t="n"/>
      <c r="V88" s="689" t="n"/>
      <c r="W88" s="689" t="n"/>
      <c r="X88" s="689" t="n"/>
      <c r="Y88" s="596" t="inlineStr">
        <is>
          <t>F</t>
        </is>
      </c>
      <c r="Z88" s="597" t="inlineStr">
        <is>
          <t>50 Free</t>
        </is>
      </c>
      <c r="AA88" s="589" t="n">
        <v>15</v>
      </c>
      <c r="AB88" s="590" t="inlineStr">
        <is>
          <t>YAP KE HUI</t>
        </is>
      </c>
      <c r="AC88" s="661" t="n">
        <v>28.08</v>
      </c>
      <c r="AD88" s="592">
        <f>IFERROR(__xludf.DUMMYFUNCTION("IF(ISNUMBER(AC88), AC88, IF(REGEXMATCH(AC88, "":""), SUMPRODUCT(VALUE(SPLIT(AC88, "":"")) * (60^(COUNTIF(SPLIT(AC88, "":""), ""&lt;&gt;"")-COLUMN(OFFSET('MOT Tables 25'!$A$1,,,1,COUNTIF(SPLIT(AC88, "":""),""&lt;&gt;"")))))), VALUE(AC88)))"),28.08)</f>
        <v/>
      </c>
      <c r="AE88" s="593" t="n">
        <v>9</v>
      </c>
      <c r="AF88" s="594">
        <f t="array" ref="AF88">1000*(INDEX('Bakat Base Times'!$E:$E,MATCH(1,('Bakat Base Times'!$A:$A=Y88)*('Bakat Base Times'!$B:$B=Z88)*('Bakat Base Times'!$C:$C=AA88),0))/(VALUE(AD88)))^3
</f>
        <v/>
      </c>
      <c r="AG88" s="693" t="n"/>
      <c r="AH88" s="632" t="inlineStr">
        <is>
          <t>F</t>
        </is>
      </c>
      <c r="AI88" s="633" t="inlineStr">
        <is>
          <t>200 Back</t>
        </is>
      </c>
      <c r="AJ88" s="633" t="n">
        <v>15</v>
      </c>
      <c r="AK88" s="677" t="inlineStr">
        <is>
          <t>NADIA LIM</t>
        </is>
      </c>
      <c r="AL88" s="635" t="inlineStr">
        <is>
          <t>2:30.90</t>
        </is>
      </c>
      <c r="AM88" s="636">
        <f>IFERROR(__xludf.DUMMYFUNCTION("IF(ISNUMBER(AL88), AL88, IF(REGEXMATCH(AL88, "":""), SUMPRODUCT(VALUE(SPLIT(AL88, "":"")) * (60^(COUNTIF(SPLIT(AL88, "":""), ""&lt;&gt;"")-COLUMN(OFFSET('MOT Tables 25'!$A$1,,,1,COUNTIF(SPLIT(AL88, "":""),""&lt;&gt;"")))))), VALUE(AL88)))"),150.9)</f>
        <v/>
      </c>
      <c r="AN88" s="634" t="n">
        <v>9</v>
      </c>
      <c r="AO88" s="637">
        <f t="array" ref="AO88">1000*(INDEX('Bakat Base Times'!$E:$E,MATCH(1,('Bakat Base Times'!$A:$A=AH88)*('Bakat Base Times'!$B:$B=AI88)*('Bakat Base Times'!$C:$C=AJ88),0))/(VALUE(AM88)))^3
</f>
        <v/>
      </c>
      <c r="AP88" s="638" t="inlineStr">
        <is>
          <t>A</t>
        </is>
      </c>
      <c r="AQ88" s="639" t="n"/>
      <c r="AR88" s="693" t="n"/>
      <c r="AS88" s="693" t="n"/>
      <c r="AT88" s="693" t="n"/>
      <c r="AU88" s="699" t="n"/>
      <c r="AV88" s="693" t="n"/>
      <c r="AW88" s="693" t="n"/>
      <c r="AX88" s="693" t="n"/>
      <c r="AY88" s="693" t="n"/>
      <c r="AZ88" s="693" t="n"/>
    </row>
    <row r="89">
      <c r="A89" s="651" t="n"/>
      <c r="B89" s="705" t="inlineStr">
        <is>
          <t>M</t>
        </is>
      </c>
      <c r="C89" s="704" t="inlineStr">
        <is>
          <t>100 Free</t>
        </is>
      </c>
      <c r="D89" s="705" t="n">
        <v>13</v>
      </c>
      <c r="E89" s="613" t="inlineStr">
        <is>
          <t>NOAH BIN ABDUL RIZAL</t>
        </is>
      </c>
      <c r="F89" s="701" t="inlineStr">
        <is>
          <t>58.54</t>
        </is>
      </c>
      <c r="G8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 s="464">
        <f>G89/#REF!</f>
        <v/>
      </c>
      <c r="I89" s="614" t="inlineStr">
        <is>
          <t>59.03</t>
        </is>
      </c>
      <c r="J8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 s="464">
        <f>J89/#REF!</f>
        <v/>
      </c>
      <c r="L89" s="704" t="n">
        <v>8</v>
      </c>
      <c r="M89" s="616" t="n">
        <v>10</v>
      </c>
      <c r="N89" s="652">
        <f t="array" ref="N89">1000*(INDEX('Bakat Base Times'!$E:$E,MATCH(1,('Bakat Base Times'!$A:$A=B89)*('Bakat Base Times'!$B:$B=C89)*('Bakat Base Times'!$C:$C=D89),0))/(VALUE(O89)))^3
</f>
        <v/>
      </c>
      <c r="O89" s="609">
        <f>IFERROR(__xludf.DUMMYFUNCTION("IF(ISNUMBER(I89), I89, IF(REGEXMATCH(I89, "":""), SUMPRODUCT(VALUE(SPLIT(I89, "":"")) * (60^(COUNTIF(SPLIT(I89, "":""), ""&lt;&gt;"")-COLUMN(OFFSET('MOT Tables 25'!$A$1,,,1,COUNTIF(SPLIT(I89, "":""),""&lt;&gt;"")))))), VALUE(I89)))"),59.03)</f>
        <v/>
      </c>
      <c r="P89" s="689" t="n"/>
      <c r="Q89" s="689" t="n"/>
      <c r="R89" s="689" t="n"/>
      <c r="S89" s="689" t="n"/>
      <c r="T89" s="689" t="n"/>
      <c r="U89" s="689" t="n"/>
      <c r="V89" s="689" t="n"/>
      <c r="W89" s="689" t="n"/>
      <c r="X89" s="689" t="n"/>
      <c r="Y89" s="618" t="inlineStr">
        <is>
          <t>M</t>
        </is>
      </c>
      <c r="Z89" s="619" t="inlineStr">
        <is>
          <t>100 Free</t>
        </is>
      </c>
      <c r="AA89" s="612" t="n">
        <v>13</v>
      </c>
      <c r="AB89" s="613" t="inlineStr">
        <is>
          <t>NOAH BIN ABDUL RIZAL</t>
        </is>
      </c>
      <c r="AC89" s="614" t="inlineStr">
        <is>
          <t>59.03</t>
        </is>
      </c>
      <c r="AD89" s="628">
        <f>IFERROR(__xludf.DUMMYFUNCTION("IF(ISNUMBER(AC89), AC89, IF(REGEXMATCH(AC89, "":""), SUMPRODUCT(VALUE(SPLIT(AC89, "":"")) * (60^(COUNTIF(SPLIT(AC89, "":""), ""&lt;&gt;"")-COLUMN(OFFSET('MOT Tables 25'!$A$1,,,1,COUNTIF(SPLIT(AC89, "":""),""&lt;&gt;"")))))), VALUE(AC89)))"),59.03)</f>
        <v/>
      </c>
      <c r="AE89" s="616" t="n">
        <v>10</v>
      </c>
      <c r="AF89" s="617">
        <f t="array" ref="AF89">1000*(INDEX('Bakat Base Times'!$E:$E,MATCH(1,('Bakat Base Times'!$A:$A=Y89)*('Bakat Base Times'!$B:$B=Z89)*('Bakat Base Times'!$C:$C=AA89),0))/(VALUE(AD89)))^3
</f>
        <v/>
      </c>
      <c r="AG89" s="693" t="n"/>
      <c r="AH89" s="618" t="inlineStr">
        <is>
          <t>M</t>
        </is>
      </c>
      <c r="AI89" s="619" t="inlineStr">
        <is>
          <t>100 Back</t>
        </is>
      </c>
      <c r="AJ89" s="619" t="n">
        <v>14</v>
      </c>
      <c r="AK89" s="613" t="inlineStr">
        <is>
          <t>NATHANIEL SHU JIA JUN</t>
        </is>
      </c>
      <c r="AL89" s="614" t="inlineStr">
        <is>
          <t>1:02.09</t>
        </is>
      </c>
      <c r="AM89" s="505">
        <f>IFERROR(__xludf.DUMMYFUNCTION("IF(ISNUMBER(AL89), AL89, IF(REGEXMATCH(AL89, "":""), SUMPRODUCT(VALUE(SPLIT(AL89, "":"")) * (60^(COUNTIF(SPLIT(AL89, "":""), ""&lt;&gt;"")-COLUMN(OFFSET('MOT Tables 25'!$A$1,,,1,COUNTIF(SPLIT(AL89, "":""),""&lt;&gt;"")))))), VALUE(AL89)))"),62.09)</f>
        <v/>
      </c>
      <c r="AN89" s="613" t="n">
        <v>5</v>
      </c>
      <c r="AO89" s="672">
        <f t="array" ref="AO89">1000*(INDEX('Bakat Base Times'!$E:$E,MATCH(1,('Bakat Base Times'!$A:$A=AH89)*('Bakat Base Times'!$B:$B=AI89)*('Bakat Base Times'!$C:$C=AJ89),0))/(VALUE(AM89)))^3
</f>
        <v/>
      </c>
      <c r="AP89" s="621" t="n"/>
      <c r="AQ89" s="693" t="n"/>
      <c r="AR89" s="693" t="n"/>
      <c r="AS89" s="693" t="n"/>
      <c r="AT89" s="693" t="n"/>
      <c r="AU89" s="699" t="n"/>
      <c r="AV89" s="693" t="n"/>
      <c r="AW89" s="693" t="n"/>
      <c r="AX89" s="693" t="n"/>
      <c r="AY89" s="693" t="n"/>
      <c r="AZ89" s="693" t="n"/>
    </row>
    <row r="90">
      <c r="A90" s="654" t="n"/>
      <c r="B90" s="710" t="inlineStr">
        <is>
          <t>M</t>
        </is>
      </c>
      <c r="C90" s="709" t="inlineStr">
        <is>
          <t>100 Fly</t>
        </is>
      </c>
      <c r="D90" s="710" t="n">
        <v>15</v>
      </c>
      <c r="E90" s="590" t="inlineStr">
        <is>
          <t>LOO CHENG FENG</t>
        </is>
      </c>
      <c r="F90" s="707" t="inlineStr">
        <is>
          <t>59.17</t>
        </is>
      </c>
      <c r="G9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 s="460">
        <f>G90/#REF!</f>
        <v/>
      </c>
      <c r="I90" s="591" t="inlineStr">
        <is>
          <t>1:00.14</t>
        </is>
      </c>
      <c r="J9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 s="460">
        <f>J90/#REF!</f>
        <v/>
      </c>
      <c r="L90" s="709" t="n">
        <v>7</v>
      </c>
      <c r="M90" s="593" t="n">
        <v>8</v>
      </c>
      <c r="N90" s="655">
        <f t="array" ref="N90">1000*(INDEX('Bakat Base Times'!$E:$E,MATCH(1,('Bakat Base Times'!$A:$A=B90)*('Bakat Base Times'!$B:$B=C90)*('Bakat Base Times'!$C:$C=D90),0))/(VALUE(O90)))^3
</f>
        <v/>
      </c>
      <c r="O90" s="582">
        <f>IFERROR(__xludf.DUMMYFUNCTION("IF(ISNUMBER(I90), I90, IF(REGEXMATCH(I90, "":""), SUMPRODUCT(VALUE(SPLIT(I90, "":"")) * (60^(COUNTIF(SPLIT(I90, "":""), ""&lt;&gt;"")-COLUMN(OFFSET('MOT Tables 25'!$A$1,,,1,COUNTIF(SPLIT(I90, "":""),""&lt;&gt;"")))))), VALUE(I90)))"),60.14)</f>
        <v/>
      </c>
      <c r="P90" s="689" t="n"/>
      <c r="Q90" s="689" t="n"/>
      <c r="R90" s="689" t="n"/>
      <c r="S90" s="689" t="n"/>
      <c r="T90" s="689" t="n"/>
      <c r="U90" s="689" t="n"/>
      <c r="V90" s="689" t="n"/>
      <c r="W90" s="689" t="n"/>
      <c r="X90" s="689" t="n"/>
      <c r="Y90" s="596" t="inlineStr">
        <is>
          <t>M</t>
        </is>
      </c>
      <c r="Z90" s="597" t="inlineStr">
        <is>
          <t>100 Fly</t>
        </is>
      </c>
      <c r="AA90" s="589" t="n">
        <v>15</v>
      </c>
      <c r="AB90" s="590" t="inlineStr">
        <is>
          <t>LOO CHENG FENG</t>
        </is>
      </c>
      <c r="AC90" s="591" t="inlineStr">
        <is>
          <t>1:00.14</t>
        </is>
      </c>
      <c r="AD90" s="592">
        <f>IFERROR(__xludf.DUMMYFUNCTION("IF(ISNUMBER(AC90), AC90, IF(REGEXMATCH(AC90, "":""), SUMPRODUCT(VALUE(SPLIT(AC90, "":"")) * (60^(COUNTIF(SPLIT(AC90, "":""), ""&lt;&gt;"")-COLUMN(OFFSET('MOT Tables 25'!$A$1,,,1,COUNTIF(SPLIT(AC90, "":""),""&lt;&gt;"")))))), VALUE(AC90)))"),60.14)</f>
        <v/>
      </c>
      <c r="AE90" s="593" t="n">
        <v>8</v>
      </c>
      <c r="AF90" s="594">
        <f t="array" ref="AF90">1000*(INDEX('Bakat Base Times'!$E:$E,MATCH(1,('Bakat Base Times'!$A:$A=Y90)*('Bakat Base Times'!$B:$B=Z90)*('Bakat Base Times'!$C:$C=AA90),0))/(VALUE(AD90)))^3
</f>
        <v/>
      </c>
      <c r="AG90" s="693" t="n"/>
      <c r="AH90" s="596" t="inlineStr">
        <is>
          <t>M</t>
        </is>
      </c>
      <c r="AI90" s="597" t="inlineStr">
        <is>
          <t>200 Back</t>
        </is>
      </c>
      <c r="AJ90" s="597" t="n">
        <v>14</v>
      </c>
      <c r="AK90" s="590" t="inlineStr">
        <is>
          <t>NATHANIEL SHU JIA JUN</t>
        </is>
      </c>
      <c r="AL90" s="591" t="inlineStr">
        <is>
          <t>2:18.05</t>
        </is>
      </c>
      <c r="AM90" s="517">
        <f>IFERROR(__xludf.DUMMYFUNCTION("IF(ISNUMBER(AL90), AL90, IF(REGEXMATCH(AL90, "":""), SUMPRODUCT(VALUE(SPLIT(AL90, "":"")) * (60^(COUNTIF(SPLIT(AL90, "":""), ""&lt;&gt;"")-COLUMN(OFFSET('MOT Tables 25'!$A$1,,,1,COUNTIF(SPLIT(AL90, "":""),""&lt;&gt;"")))))), VALUE(AL90)))"),138.05)</f>
        <v/>
      </c>
      <c r="AN90" s="590" t="n">
        <v>8</v>
      </c>
      <c r="AO90" s="599">
        <f t="array" ref="AO90">1000*(INDEX('Bakat Base Times'!$E:$E,MATCH(1,('Bakat Base Times'!$A:$A=AH90)*('Bakat Base Times'!$B:$B=AI90)*('Bakat Base Times'!$C:$C=AJ90),0))/(VALUE(AM90)))^3
</f>
        <v/>
      </c>
      <c r="AP90" s="600" t="n"/>
      <c r="AQ90" s="693" t="n"/>
      <c r="AR90" s="693" t="n"/>
      <c r="AS90" s="693" t="n"/>
      <c r="AT90" s="693" t="n"/>
      <c r="AU90" s="699" t="n"/>
      <c r="AV90" s="693" t="n"/>
      <c r="AW90" s="693" t="n"/>
      <c r="AX90" s="693" t="n"/>
      <c r="AY90" s="693" t="n"/>
      <c r="AZ90" s="693" t="n"/>
    </row>
    <row r="91">
      <c r="A91" s="651" t="n"/>
      <c r="B91" s="705" t="inlineStr">
        <is>
          <t>M</t>
        </is>
      </c>
      <c r="C91" s="704" t="inlineStr">
        <is>
          <t>100 Back</t>
        </is>
      </c>
      <c r="D91" s="705" t="n">
        <v>12</v>
      </c>
      <c r="E91" s="613" t="inlineStr">
        <is>
          <t>AYAZ ZAHIN BIN AZHAR</t>
        </is>
      </c>
      <c r="F91" s="701" t="inlineStr">
        <is>
          <t>1:09.71</t>
        </is>
      </c>
      <c r="G9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 s="464">
        <f>G91/#REF!</f>
        <v/>
      </c>
      <c r="I91" s="665" t="inlineStr">
        <is>
          <t>1:09.90</t>
        </is>
      </c>
      <c r="J9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 s="464">
        <f>J91/#REF!</f>
        <v/>
      </c>
      <c r="L91" s="704" t="n">
        <v>13</v>
      </c>
      <c r="M91" s="616" t="n">
        <v>10</v>
      </c>
      <c r="N91" s="652">
        <f t="array" ref="N91">1000*(INDEX('Bakat Base Times'!$E:$E,MATCH(1,('Bakat Base Times'!$A:$A=B91)*('Bakat Base Times'!$B:$B=C91)*('Bakat Base Times'!$C:$C=D91),0))/(VALUE(O91)))^3
</f>
        <v/>
      </c>
      <c r="O91" s="609">
        <f>IFERROR(__xludf.DUMMYFUNCTION("IF(ISNUMBER(I91), I91, IF(REGEXMATCH(I91, "":""), SUMPRODUCT(VALUE(SPLIT(I91, "":"")) * (60^(COUNTIF(SPLIT(I91, "":""), ""&lt;&gt;"")-COLUMN(OFFSET('MOT Tables 25'!$A$1,,,1,COUNTIF(SPLIT(I91, "":""),""&lt;&gt;"")))))), VALUE(I91)))"),69.9)</f>
        <v/>
      </c>
      <c r="P91" s="689" t="n"/>
      <c r="Q91" s="689" t="n"/>
      <c r="R91" s="689" t="n"/>
      <c r="S91" s="689" t="n"/>
      <c r="T91" s="689" t="n"/>
      <c r="U91" s="689" t="n"/>
      <c r="V91" s="689" t="n"/>
      <c r="W91" s="689" t="n"/>
      <c r="X91" s="689" t="n"/>
      <c r="Y91" s="618" t="inlineStr">
        <is>
          <t>M</t>
        </is>
      </c>
      <c r="Z91" s="619" t="inlineStr">
        <is>
          <t>100 Back</t>
        </is>
      </c>
      <c r="AA91" s="612" t="n">
        <v>12</v>
      </c>
      <c r="AB91" s="613" t="inlineStr">
        <is>
          <t>AYAZ ZAHIN BIN AZHAR</t>
        </is>
      </c>
      <c r="AC91" s="665" t="inlineStr">
        <is>
          <t>1:09.90</t>
        </is>
      </c>
      <c r="AD91" s="628">
        <f>IFERROR(__xludf.DUMMYFUNCTION("IF(ISNUMBER(AC91), AC91, IF(REGEXMATCH(AC91, "":""), SUMPRODUCT(VALUE(SPLIT(AC91, "":"")) * (60^(COUNTIF(SPLIT(AC91, "":""), ""&lt;&gt;"")-COLUMN(OFFSET('MOT Tables 25'!$A$1,,,1,COUNTIF(SPLIT(AC91, "":""),""&lt;&gt;"")))))), VALUE(AC91)))"),69.9)</f>
        <v/>
      </c>
      <c r="AE91" s="616" t="n">
        <v>10</v>
      </c>
      <c r="AF91" s="617">
        <f t="array" ref="AF91">1000*(INDEX('Bakat Base Times'!$E:$E,MATCH(1,('Bakat Base Times'!$A:$A=Y91)*('Bakat Base Times'!$B:$B=Z91)*('Bakat Base Times'!$C:$C=AA91),0))/(VALUE(AD91)))^3
</f>
        <v/>
      </c>
      <c r="AG91" s="693" t="n"/>
      <c r="AH91" s="618" t="inlineStr">
        <is>
          <t>M</t>
        </is>
      </c>
      <c r="AI91" s="619" t="inlineStr">
        <is>
          <t>400 IM</t>
        </is>
      </c>
      <c r="AJ91" s="619" t="n">
        <v>16</v>
      </c>
      <c r="AK91" s="613" t="inlineStr">
        <is>
          <t>NGUI JING</t>
        </is>
      </c>
      <c r="AL91" s="614" t="inlineStr">
        <is>
          <t>4:42.64</t>
        </is>
      </c>
      <c r="AM91" s="505">
        <f>IFERROR(__xludf.DUMMYFUNCTION("IF(ISNUMBER(AL91), AL91, IF(REGEXMATCH(AL91, "":""), SUMPRODUCT(VALUE(SPLIT(AL91, "":"")) * (60^(COUNTIF(SPLIT(AL91, "":""), ""&lt;&gt;"")-COLUMN(OFFSET('MOT Tables 25'!$A$1,,,1,COUNTIF(SPLIT(AL91, "":""),""&lt;&gt;"")))))), VALUE(AL91)))"),282.64)</f>
        <v/>
      </c>
      <c r="AN91" s="613" t="n">
        <v>6</v>
      </c>
      <c r="AO91" s="672">
        <f t="array" ref="AO91">1000*(INDEX('Bakat Base Times'!$E:$E,MATCH(1,('Bakat Base Times'!$A:$A=AH91)*('Bakat Base Times'!$B:$B=AI91)*('Bakat Base Times'!$C:$C=AJ91),0))/(VALUE(AM91)))^3
</f>
        <v/>
      </c>
      <c r="AP91" s="621" t="n"/>
      <c r="AQ91" s="693" t="n"/>
      <c r="AR91" s="693" t="n"/>
      <c r="AS91" s="693" t="n"/>
      <c r="AT91" s="693" t="n"/>
      <c r="AU91" s="699" t="n"/>
      <c r="AV91" s="693" t="n"/>
      <c r="AW91" s="693" t="n"/>
      <c r="AX91" s="693" t="n"/>
      <c r="AY91" s="693" t="n"/>
      <c r="AZ91" s="693" t="n"/>
    </row>
    <row r="92">
      <c r="A92" s="654" t="n"/>
      <c r="B92" s="710" t="inlineStr">
        <is>
          <t>M</t>
        </is>
      </c>
      <c r="C92" s="709" t="inlineStr">
        <is>
          <t>100 Breast</t>
        </is>
      </c>
      <c r="D92" s="710" t="n">
        <v>13</v>
      </c>
      <c r="E92" s="590" t="inlineStr">
        <is>
          <t>ADAM LIM KENG JIN</t>
        </is>
      </c>
      <c r="F92" s="707" t="inlineStr">
        <is>
          <t>1:13.73</t>
        </is>
      </c>
      <c r="G9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 s="460">
        <f>G92/#REF!</f>
        <v/>
      </c>
      <c r="I92" s="661" t="inlineStr">
        <is>
          <t>1:14.21</t>
        </is>
      </c>
      <c r="J9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 s="460">
        <f>J92/#REF!</f>
        <v/>
      </c>
      <c r="L92" s="709" t="n">
        <v>8</v>
      </c>
      <c r="M92" s="593" t="n">
        <v>9</v>
      </c>
      <c r="N92" s="655">
        <f t="array" ref="N92">1000*(INDEX('Bakat Base Times'!$E:$E,MATCH(1,('Bakat Base Times'!$A:$A=B92)*('Bakat Base Times'!$B:$B=C92)*('Bakat Base Times'!$C:$C=D92),0))/(VALUE(O92)))^3
</f>
        <v/>
      </c>
      <c r="O92" s="582">
        <f>IFERROR(__xludf.DUMMYFUNCTION("IF(ISNUMBER(I92), I92, IF(REGEXMATCH(I92, "":""), SUMPRODUCT(VALUE(SPLIT(I92, "":"")) * (60^(COUNTIF(SPLIT(I92, "":""), ""&lt;&gt;"")-COLUMN(OFFSET('MOT Tables 25'!$A$1,,,1,COUNTIF(SPLIT(I92, "":""),""&lt;&gt;"")))))), VALUE(I92)))"),74.21000000000001)</f>
        <v/>
      </c>
      <c r="P92" s="689" t="n"/>
      <c r="Q92" s="689" t="n"/>
      <c r="R92" s="689" t="n"/>
      <c r="S92" s="689" t="n"/>
      <c r="T92" s="689" t="n"/>
      <c r="U92" s="689" t="n"/>
      <c r="V92" s="689" t="n"/>
      <c r="W92" s="689" t="n"/>
      <c r="X92" s="689" t="n"/>
      <c r="Y92" s="596" t="inlineStr">
        <is>
          <t>M</t>
        </is>
      </c>
      <c r="Z92" s="597" t="inlineStr">
        <is>
          <t>100 Breast</t>
        </is>
      </c>
      <c r="AA92" s="589" t="n">
        <v>13</v>
      </c>
      <c r="AB92" s="590" t="inlineStr">
        <is>
          <t>ADAM LIM KENG JIN</t>
        </is>
      </c>
      <c r="AC92" s="661" t="inlineStr">
        <is>
          <t>1:14.21</t>
        </is>
      </c>
      <c r="AD92" s="592">
        <f>IFERROR(__xludf.DUMMYFUNCTION("IF(ISNUMBER(AC92), AC92, IF(REGEXMATCH(AC92, "":""), SUMPRODUCT(VALUE(SPLIT(AC92, "":"")) * (60^(COUNTIF(SPLIT(AC92, "":""), ""&lt;&gt;"")-COLUMN(OFFSET('MOT Tables 25'!$A$1,,,1,COUNTIF(SPLIT(AC92, "":""),""&lt;&gt;"")))))), VALUE(AC92)))"),74.21000000000001)</f>
        <v/>
      </c>
      <c r="AE92" s="593" t="n">
        <v>9</v>
      </c>
      <c r="AF92" s="594">
        <f t="array" ref="AF92">1000*(INDEX('Bakat Base Times'!$E:$E,MATCH(1,('Bakat Base Times'!$A:$A=Y92)*('Bakat Base Times'!$B:$B=Z92)*('Bakat Base Times'!$C:$C=AA92),0))/(VALUE(AD92)))^3
</f>
        <v/>
      </c>
      <c r="AG92" s="693" t="n"/>
      <c r="AH92" s="596" t="inlineStr">
        <is>
          <t>M</t>
        </is>
      </c>
      <c r="AI92" s="597" t="inlineStr">
        <is>
          <t>200 IM</t>
        </is>
      </c>
      <c r="AJ92" s="597" t="n">
        <v>16</v>
      </c>
      <c r="AK92" s="590" t="inlineStr">
        <is>
          <t>NGUI JING</t>
        </is>
      </c>
      <c r="AL92" s="591" t="inlineStr">
        <is>
          <t>2:14.39</t>
        </is>
      </c>
      <c r="AM92" s="517">
        <f>IFERROR(__xludf.DUMMYFUNCTION("IF(ISNUMBER(AL92), AL92, IF(REGEXMATCH(AL92, "":""), SUMPRODUCT(VALUE(SPLIT(AL92, "":"")) * (60^(COUNTIF(SPLIT(AL92, "":""), ""&lt;&gt;"")-COLUMN(OFFSET('MOT Tables 25'!$A$1,,,1,COUNTIF(SPLIT(AL92, "":""),""&lt;&gt;"")))))), VALUE(AL92)))"),134.39)</f>
        <v/>
      </c>
      <c r="AN92" s="590" t="n">
        <v>10</v>
      </c>
      <c r="AO92" s="599">
        <f t="array" ref="AO92">1000*(INDEX('Bakat Base Times'!$E:$E,MATCH(1,('Bakat Base Times'!$A:$A=AH92)*('Bakat Base Times'!$B:$B=AI92)*('Bakat Base Times'!$C:$C=AJ92),0))/(VALUE(AM92)))^3
</f>
        <v/>
      </c>
      <c r="AP92" s="600" t="n"/>
      <c r="AQ92" s="693" t="n"/>
      <c r="AR92" s="693" t="n"/>
      <c r="AS92" s="693" t="n"/>
      <c r="AT92" s="693" t="n"/>
      <c r="AU92" s="699" t="n"/>
      <c r="AV92" s="693" t="n"/>
      <c r="AW92" s="693" t="n"/>
      <c r="AX92" s="693" t="n"/>
      <c r="AY92" s="693" t="n"/>
      <c r="AZ92" s="693" t="n"/>
    </row>
    <row r="93">
      <c r="A93" s="651" t="n"/>
      <c r="B93" s="705" t="inlineStr">
        <is>
          <t>F</t>
        </is>
      </c>
      <c r="C93" s="704" t="inlineStr">
        <is>
          <t>100 Free</t>
        </is>
      </c>
      <c r="D93" s="705" t="n">
        <v>18</v>
      </c>
      <c r="E93" s="613" t="inlineStr">
        <is>
          <t>MORGAN ELEVEN TEO KAI CHENG</t>
        </is>
      </c>
      <c r="F93" s="701" t="inlineStr">
        <is>
          <t>59.16</t>
        </is>
      </c>
      <c r="G9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3" s="464">
        <f>G93/#REF!</f>
        <v/>
      </c>
      <c r="I93" s="614" t="inlineStr">
        <is>
          <t>1:00.06</t>
        </is>
      </c>
      <c r="J9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3" s="464">
        <f>J93/#REF!</f>
        <v/>
      </c>
      <c r="L93" s="704" t="n">
        <v>11</v>
      </c>
      <c r="M93" s="616" t="n">
        <v>12</v>
      </c>
      <c r="N93" s="652">
        <f t="array" ref="N93">1000*(INDEX('Bakat Base Times'!$E:$E,MATCH(1,('Bakat Base Times'!$A:$A=B93)*('Bakat Base Times'!$B:$B=C93)*('Bakat Base Times'!$C:$C=D93),0))/(VALUE(O93)))^3
</f>
        <v/>
      </c>
      <c r="O93" s="609">
        <f>IFERROR(__xludf.DUMMYFUNCTION("IF(ISNUMBER(I93), I93, IF(REGEXMATCH(I93, "":""), SUMPRODUCT(VALUE(SPLIT(I93, "":"")) * (60^(COUNTIF(SPLIT(I93, "":""), ""&lt;&gt;"")-COLUMN(OFFSET('MOT Tables 25'!$A$1,,,1,COUNTIF(SPLIT(I93, "":""),""&lt;&gt;"")))))), VALUE(I93)))"),60.06)</f>
        <v/>
      </c>
      <c r="P93" s="689" t="n"/>
      <c r="Q93" s="689" t="n"/>
      <c r="R93" s="689" t="n"/>
      <c r="S93" s="689" t="n"/>
      <c r="T93" s="689" t="n"/>
      <c r="U93" s="689" t="n"/>
      <c r="V93" s="689" t="n"/>
      <c r="W93" s="689" t="n"/>
      <c r="X93" s="689" t="n"/>
      <c r="Y93" s="618" t="inlineStr">
        <is>
          <t>F</t>
        </is>
      </c>
      <c r="Z93" s="619" t="inlineStr">
        <is>
          <t>100 Free</t>
        </is>
      </c>
      <c r="AA93" s="612" t="n">
        <v>18</v>
      </c>
      <c r="AB93" s="613" t="inlineStr">
        <is>
          <t>MORGAN ELEVEN TEO KAI CHENG</t>
        </is>
      </c>
      <c r="AC93" s="614" t="inlineStr">
        <is>
          <t>1:00.06</t>
        </is>
      </c>
      <c r="AD93" s="628">
        <f>IFERROR(__xludf.DUMMYFUNCTION("IF(ISNUMBER(AC93), AC93, IF(REGEXMATCH(AC93, "":""), SUMPRODUCT(VALUE(SPLIT(AC93, "":"")) * (60^(COUNTIF(SPLIT(AC93, "":""), ""&lt;&gt;"")-COLUMN(OFFSET('MOT Tables 25'!$A$1,,,1,COUNTIF(SPLIT(AC93, "":""),""&lt;&gt;"")))))), VALUE(AC93)))"),60.06)</f>
        <v/>
      </c>
      <c r="AE93" s="616" t="n">
        <v>12</v>
      </c>
      <c r="AF93" s="617">
        <f t="array" ref="AF93">1000*(INDEX('Bakat Base Times'!$E:$E,MATCH(1,('Bakat Base Times'!$A:$A=Y93)*('Bakat Base Times'!$B:$B=Z93)*('Bakat Base Times'!$C:$C=AA93),0))/(VALUE(AD93)))^3
</f>
        <v/>
      </c>
      <c r="AG93" s="693" t="n"/>
      <c r="AH93" s="618" t="inlineStr">
        <is>
          <t>M</t>
        </is>
      </c>
      <c r="AI93" s="619" t="inlineStr">
        <is>
          <t>200 Breast</t>
        </is>
      </c>
      <c r="AJ93" s="619" t="n">
        <v>16</v>
      </c>
      <c r="AK93" s="613" t="inlineStr">
        <is>
          <t>NGUI JING</t>
        </is>
      </c>
      <c r="AL93" s="614" t="inlineStr">
        <is>
          <t>2:33.15</t>
        </is>
      </c>
      <c r="AM93" s="505">
        <f>IFERROR(__xludf.DUMMYFUNCTION("IF(ISNUMBER(AL93), AL93, IF(REGEXMATCH(AL93, "":""), SUMPRODUCT(VALUE(SPLIT(AL93, "":"")) * (60^(COUNTIF(SPLIT(AL93, "":""), ""&lt;&gt;"")-COLUMN(OFFSET('MOT Tables 25'!$A$1,,,1,COUNTIF(SPLIT(AL93, "":""),""&lt;&gt;"")))))), VALUE(AL93)))"),153.15)</f>
        <v/>
      </c>
      <c r="AN93" s="613" t="n">
        <v>13</v>
      </c>
      <c r="AO93" s="672">
        <f t="array" ref="AO93">1000*(INDEX('Bakat Base Times'!$E:$E,MATCH(1,('Bakat Base Times'!$A:$A=AH93)*('Bakat Base Times'!$B:$B=AI93)*('Bakat Base Times'!$C:$C=AJ93),0))/(VALUE(AM93)))^3
</f>
        <v/>
      </c>
      <c r="AP93" s="621" t="n"/>
      <c r="AQ93" s="693" t="n"/>
      <c r="AR93" s="693" t="n"/>
      <c r="AS93" s="693" t="n"/>
      <c r="AT93" s="693" t="n"/>
      <c r="AU93" s="699" t="n"/>
      <c r="AV93" s="693" t="n"/>
      <c r="AW93" s="693" t="n"/>
      <c r="AX93" s="693" t="n"/>
      <c r="AY93" s="693" t="n"/>
      <c r="AZ93" s="693" t="n"/>
    </row>
    <row r="94">
      <c r="A94" s="654" t="n"/>
      <c r="B94" s="710" t="inlineStr">
        <is>
          <t>F</t>
        </is>
      </c>
      <c r="C94" s="709" t="inlineStr">
        <is>
          <t>50 Free</t>
        </is>
      </c>
      <c r="D94" s="710" t="n">
        <v>15</v>
      </c>
      <c r="E94" s="590" t="inlineStr">
        <is>
          <t>HO WEI YAN</t>
        </is>
      </c>
      <c r="F94" s="629" t="n">
        <v>27.52</v>
      </c>
      <c r="G9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4" s="460">
        <f>G94/#REF!</f>
        <v/>
      </c>
      <c r="I94" s="591" t="n">
        <v>28.17</v>
      </c>
      <c r="J9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4" s="460">
        <f>J94/#REF!</f>
        <v/>
      </c>
      <c r="L94" s="709" t="n">
        <v>6</v>
      </c>
      <c r="M94" s="593" t="n">
        <v>11</v>
      </c>
      <c r="N94" s="655">
        <f t="array" ref="N94">1000*(INDEX('Bakat Base Times'!$E:$E,MATCH(1,('Bakat Base Times'!$A:$A=B94)*('Bakat Base Times'!$B:$B=C94)*('Bakat Base Times'!$C:$C=D94),0))/(VALUE(O94)))^3
</f>
        <v/>
      </c>
      <c r="O94" s="582">
        <f>IFERROR(__xludf.DUMMYFUNCTION("IF(ISNUMBER(I94), I94, IF(REGEXMATCH(I94, "":""), SUMPRODUCT(VALUE(SPLIT(I94, "":"")) * (60^(COUNTIF(SPLIT(I94, "":""), ""&lt;&gt;"")-COLUMN(OFFSET('MOT Tables 25'!$A$1,,,1,COUNTIF(SPLIT(I94, "":""),""&lt;&gt;"")))))), VALUE(I94)))"),28.17)</f>
        <v/>
      </c>
      <c r="P94" s="689" t="n"/>
      <c r="Q94" s="689" t="n"/>
      <c r="R94" s="689" t="n"/>
      <c r="S94" s="689" t="n"/>
      <c r="T94" s="689" t="n"/>
      <c r="U94" s="689" t="n"/>
      <c r="V94" s="689" t="n"/>
      <c r="W94" s="689" t="n"/>
      <c r="X94" s="689" t="n"/>
      <c r="Y94" s="596" t="inlineStr">
        <is>
          <t>F</t>
        </is>
      </c>
      <c r="Z94" s="597" t="inlineStr">
        <is>
          <t>50 Free</t>
        </is>
      </c>
      <c r="AA94" s="589" t="n">
        <v>15</v>
      </c>
      <c r="AB94" s="590" t="inlineStr">
        <is>
          <t>HO WEI YAN</t>
        </is>
      </c>
      <c r="AC94" s="591" t="n">
        <v>28.17</v>
      </c>
      <c r="AD94" s="592">
        <f>IFERROR(__xludf.DUMMYFUNCTION("IF(ISNUMBER(AC94), AC94, IF(REGEXMATCH(AC94, "":""), SUMPRODUCT(VALUE(SPLIT(AC94, "":"")) * (60^(COUNTIF(SPLIT(AC94, "":""), ""&lt;&gt;"")-COLUMN(OFFSET('MOT Tables 25'!$A$1,,,1,COUNTIF(SPLIT(AC94, "":""),""&lt;&gt;"")))))), VALUE(AC94)))"),28.17)</f>
        <v/>
      </c>
      <c r="AE94" s="593" t="n">
        <v>11</v>
      </c>
      <c r="AF94" s="594">
        <f t="array" ref="AF94">1000*(INDEX('Bakat Base Times'!$E:$E,MATCH(1,('Bakat Base Times'!$A:$A=Y94)*('Bakat Base Times'!$B:$B=Z94)*('Bakat Base Times'!$C:$C=AA94),0))/(VALUE(AD94)))^3
</f>
        <v/>
      </c>
      <c r="AG94" s="693" t="n"/>
      <c r="AH94" s="632" t="inlineStr">
        <is>
          <t>M</t>
        </is>
      </c>
      <c r="AI94" s="633" t="inlineStr">
        <is>
          <t>100 Back</t>
        </is>
      </c>
      <c r="AJ94" s="633" t="n">
        <v>15</v>
      </c>
      <c r="AK94" s="634" t="inlineStr">
        <is>
          <t>NISHAN CHRISTOPHER MANUEL</t>
        </is>
      </c>
      <c r="AL94" s="674" t="inlineStr">
        <is>
          <t>1:04.45</t>
        </is>
      </c>
      <c r="AM94" s="636">
        <f>IFERROR(__xludf.DUMMYFUNCTION("IF(ISNUMBER(AL94), AL94, IF(REGEXMATCH(AL94, "":""), SUMPRODUCT(VALUE(SPLIT(AL94, "":"")) * (60^(COUNTIF(SPLIT(AL94, "":""), ""&lt;&gt;"")-COLUMN(OFFSET('MOT Tables 25'!$A$1,,,1,COUNTIF(SPLIT(AL94, "":""),""&lt;&gt;"")))))), VALUE(AL94)))"),64.45)</f>
        <v/>
      </c>
      <c r="AN94" s="634" t="n">
        <v>9</v>
      </c>
      <c r="AO94" s="637">
        <f t="array" ref="AO94">1000*(INDEX('Bakat Base Times'!$E:$E,MATCH(1,('Bakat Base Times'!$A:$A=AH94)*('Bakat Base Times'!$B:$B=AI94)*('Bakat Base Times'!$C:$C=AJ94),0))/(VALUE(AM94)))^3
</f>
        <v/>
      </c>
      <c r="AP94" s="668" t="inlineStr">
        <is>
          <t>A</t>
        </is>
      </c>
      <c r="AQ94" s="639" t="n"/>
      <c r="AR94" s="693" t="n"/>
      <c r="AS94" s="693" t="n"/>
      <c r="AT94" s="693" t="n"/>
      <c r="AU94" s="699" t="n"/>
      <c r="AV94" s="693" t="n"/>
      <c r="AW94" s="693" t="n"/>
      <c r="AX94" s="693" t="n"/>
      <c r="AY94" s="693" t="n"/>
      <c r="AZ94" s="693" t="n"/>
    </row>
    <row r="95">
      <c r="A95" s="651" t="n"/>
      <c r="B95" s="705" t="inlineStr">
        <is>
          <t>F</t>
        </is>
      </c>
      <c r="C95" s="704" t="inlineStr">
        <is>
          <t>200 Back</t>
        </is>
      </c>
      <c r="D95" s="705" t="n">
        <v>18</v>
      </c>
      <c r="E95" s="613" t="inlineStr">
        <is>
          <t>CHONG XIN LIN</t>
        </is>
      </c>
      <c r="F95" s="701" t="inlineStr">
        <is>
          <t>2:23.12</t>
        </is>
      </c>
      <c r="G9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5" s="464">
        <f>G95/#REF!</f>
        <v/>
      </c>
      <c r="I95" s="614" t="inlineStr">
        <is>
          <t>2:23.69</t>
        </is>
      </c>
      <c r="J9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5" s="464">
        <f>J95/#REF!</f>
        <v/>
      </c>
      <c r="L95" s="704" t="n">
        <v>2</v>
      </c>
      <c r="M95" s="616" t="n">
        <v>2</v>
      </c>
      <c r="N95" s="652">
        <f t="array" ref="N95">1000*(INDEX('Bakat Base Times'!$E:$E,MATCH(1,('Bakat Base Times'!$A:$A=B95)*('Bakat Base Times'!$B:$B=C95)*('Bakat Base Times'!$C:$C=D95),0))/(VALUE(O95)))^3
</f>
        <v/>
      </c>
      <c r="O95" s="609">
        <f>IFERROR(__xludf.DUMMYFUNCTION("IF(ISNUMBER(I95), I95, IF(REGEXMATCH(I95, "":""), SUMPRODUCT(VALUE(SPLIT(I95, "":"")) * (60^(COUNTIF(SPLIT(I95, "":""), ""&lt;&gt;"")-COLUMN(OFFSET('MOT Tables 25'!$A$1,,,1,COUNTIF(SPLIT(I95, "":""),""&lt;&gt;"")))))), VALUE(I95)))"),143.69)</f>
        <v/>
      </c>
      <c r="P95" s="689" t="n"/>
      <c r="Q95" s="689" t="n"/>
      <c r="R95" s="689" t="n"/>
      <c r="S95" s="689" t="n"/>
      <c r="T95" s="689" t="n"/>
      <c r="U95" s="689" t="n"/>
      <c r="V95" s="689" t="n"/>
      <c r="W95" s="689" t="n"/>
      <c r="X95" s="689" t="n"/>
      <c r="Y95" s="618" t="inlineStr">
        <is>
          <t>F</t>
        </is>
      </c>
      <c r="Z95" s="619" t="inlineStr">
        <is>
          <t>200 Back</t>
        </is>
      </c>
      <c r="AA95" s="612" t="n">
        <v>18</v>
      </c>
      <c r="AB95" s="613" t="inlineStr">
        <is>
          <t>CHONG XIN LIN</t>
        </is>
      </c>
      <c r="AC95" s="614" t="inlineStr">
        <is>
          <t>2:23.69</t>
        </is>
      </c>
      <c r="AD95" s="628">
        <f>IFERROR(__xludf.DUMMYFUNCTION("IF(ISNUMBER(AC95), AC95, IF(REGEXMATCH(AC95, "":""), SUMPRODUCT(VALUE(SPLIT(AC95, "":"")) * (60^(COUNTIF(SPLIT(AC95, "":""), ""&lt;&gt;"")-COLUMN(OFFSET('MOT Tables 25'!$A$1,,,1,COUNTIF(SPLIT(AC95, "":""),""&lt;&gt;"")))))), VALUE(AC95)))"),143.69)</f>
        <v/>
      </c>
      <c r="AE95" s="616" t="n">
        <v>2</v>
      </c>
      <c r="AF95" s="617">
        <f t="array" ref="AF95">1000*(INDEX('Bakat Base Times'!$E:$E,MATCH(1,('Bakat Base Times'!$A:$A=Y95)*('Bakat Base Times'!$B:$B=Z95)*('Bakat Base Times'!$C:$C=AA95),0))/(VALUE(AD95)))^3
</f>
        <v/>
      </c>
      <c r="AG95" s="693" t="n"/>
      <c r="AH95" s="618" t="inlineStr">
        <is>
          <t>F</t>
        </is>
      </c>
      <c r="AI95" s="619" t="inlineStr">
        <is>
          <t>100 Back</t>
        </is>
      </c>
      <c r="AJ95" s="619" t="n">
        <v>15</v>
      </c>
      <c r="AK95" s="613" t="inlineStr">
        <is>
          <t>ONG YHA ROU NATASHA</t>
        </is>
      </c>
      <c r="AL95" s="665" t="inlineStr">
        <is>
          <t>1:09.63</t>
        </is>
      </c>
      <c r="AM95" s="505">
        <f>IFERROR(__xludf.DUMMYFUNCTION("IF(ISNUMBER(AL95), AL95, IF(REGEXMATCH(AL95, "":""), SUMPRODUCT(VALUE(SPLIT(AL95, "":"")) * (60^(COUNTIF(SPLIT(AL95, "":""), ""&lt;&gt;"")-COLUMN(OFFSET('MOT Tables 25'!$A$1,,,1,COUNTIF(SPLIT(AL95, "":""),""&lt;&gt;"")))))), VALUE(AL95)))"),69.63)</f>
        <v/>
      </c>
      <c r="AN95" s="613" t="n">
        <v>10</v>
      </c>
      <c r="AO95" s="672">
        <f t="array" ref="AO95">1000*(INDEX('Bakat Base Times'!$E:$E,MATCH(1,('Bakat Base Times'!$A:$A=AH95)*('Bakat Base Times'!$B:$B=AI95)*('Bakat Base Times'!$C:$C=AJ95),0))/(VALUE(AM95)))^3
</f>
        <v/>
      </c>
      <c r="AP95" s="621" t="n"/>
      <c r="AQ95" s="693" t="n"/>
      <c r="AR95" s="693" t="n"/>
      <c r="AS95" s="693" t="n"/>
      <c r="AT95" s="693" t="n"/>
      <c r="AU95" s="699" t="n"/>
      <c r="AV95" s="693" t="n"/>
      <c r="AW95" s="693" t="n"/>
      <c r="AX95" s="693" t="n"/>
      <c r="AY95" s="693" t="n"/>
      <c r="AZ95" s="693" t="n"/>
    </row>
    <row r="96">
      <c r="A96" s="654" t="n"/>
      <c r="B96" s="710" t="inlineStr">
        <is>
          <t>M</t>
        </is>
      </c>
      <c r="C96" s="709" t="inlineStr">
        <is>
          <t>100 Fly</t>
        </is>
      </c>
      <c r="D96" s="710" t="n">
        <v>13</v>
      </c>
      <c r="E96" s="590" t="inlineStr">
        <is>
          <t>NOAH BIN ABDUL RIZAL</t>
        </is>
      </c>
      <c r="F96" s="709" t="inlineStr">
        <is>
          <t>1:03.33</t>
        </is>
      </c>
      <c r="G9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6" s="460">
        <f>G96/#REF!</f>
        <v/>
      </c>
      <c r="I96" s="591" t="inlineStr">
        <is>
          <t>1:04.08</t>
        </is>
      </c>
      <c r="J9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6" s="460">
        <f>J96/#REF!</f>
        <v/>
      </c>
      <c r="L96" s="709" t="n">
        <v>6</v>
      </c>
      <c r="M96" s="593" t="n">
        <v>10</v>
      </c>
      <c r="N96" s="655">
        <f t="array" ref="N96">1000*(INDEX('Bakat Base Times'!$E:$E,MATCH(1,('Bakat Base Times'!$A:$A=B96)*('Bakat Base Times'!$B:$B=C96)*('Bakat Base Times'!$C:$C=D96),0))/(VALUE(O96)))^3
</f>
        <v/>
      </c>
      <c r="O96" s="582">
        <f>IFERROR(__xludf.DUMMYFUNCTION("IF(ISNUMBER(I96), I96, IF(REGEXMATCH(I96, "":""), SUMPRODUCT(VALUE(SPLIT(I96, "":"")) * (60^(COUNTIF(SPLIT(I96, "":""), ""&lt;&gt;"")-COLUMN(OFFSET('MOT Tables 25'!$A$1,,,1,COUNTIF(SPLIT(I96, "":""),""&lt;&gt;"")))))), VALUE(I96)))"),64.08)</f>
        <v/>
      </c>
      <c r="P96" s="689" t="n"/>
      <c r="Q96" s="689" t="n"/>
      <c r="R96" s="689" t="n"/>
      <c r="S96" s="689" t="n"/>
      <c r="T96" s="689" t="n"/>
      <c r="U96" s="689" t="n"/>
      <c r="V96" s="689" t="n"/>
      <c r="W96" s="689" t="n"/>
      <c r="X96" s="689" t="n"/>
      <c r="Y96" s="596" t="inlineStr">
        <is>
          <t>M</t>
        </is>
      </c>
      <c r="Z96" s="597" t="inlineStr">
        <is>
          <t>100 Fly</t>
        </is>
      </c>
      <c r="AA96" s="589" t="n">
        <v>13</v>
      </c>
      <c r="AB96" s="590" t="inlineStr">
        <is>
          <t>NOAH BIN ABDUL RIZAL</t>
        </is>
      </c>
      <c r="AC96" s="591" t="inlineStr">
        <is>
          <t>1:04.08</t>
        </is>
      </c>
      <c r="AD96" s="592">
        <f>IFERROR(__xludf.DUMMYFUNCTION("IF(ISNUMBER(AC96), AC96, IF(REGEXMATCH(AC96, "":""), SUMPRODUCT(VALUE(SPLIT(AC96, "":"")) * (60^(COUNTIF(SPLIT(AC96, "":""), ""&lt;&gt;"")-COLUMN(OFFSET('MOT Tables 25'!$A$1,,,1,COUNTIF(SPLIT(AC96, "":""),""&lt;&gt;"")))))), VALUE(AC96)))"),64.08)</f>
        <v/>
      </c>
      <c r="AE96" s="593" t="n">
        <v>10</v>
      </c>
      <c r="AF96" s="594">
        <f t="array" ref="AF96">1000*(INDEX('Bakat Base Times'!$E:$E,MATCH(1,('Bakat Base Times'!$A:$A=Y96)*('Bakat Base Times'!$B:$B=Z96)*('Bakat Base Times'!$C:$C=AA96),0))/(VALUE(AD96)))^3
</f>
        <v/>
      </c>
      <c r="AG96" s="693" t="n"/>
      <c r="AH96" s="596" t="inlineStr">
        <is>
          <t>M</t>
        </is>
      </c>
      <c r="AI96" s="597" t="inlineStr">
        <is>
          <t>50 Free</t>
        </is>
      </c>
      <c r="AJ96" s="597" t="n">
        <v>17</v>
      </c>
      <c r="AK96" s="590" t="inlineStr">
        <is>
          <t>OSWALD LIM</t>
        </is>
      </c>
      <c r="AL96" s="661" t="n">
        <v>24.57</v>
      </c>
      <c r="AM96" s="517">
        <f>IFERROR(__xludf.DUMMYFUNCTION("IF(ISNUMBER(AL96), AL96, IF(REGEXMATCH(AL96, "":""), SUMPRODUCT(VALUE(SPLIT(AL96, "":"")) * (60^(COUNTIF(SPLIT(AL96, "":""), ""&lt;&gt;"")-COLUMN(OFFSET('MOT Tables 25'!$A$1,,,1,COUNTIF(SPLIT(AL96, "":""),""&lt;&gt;"")))))), VALUE(AL96)))"),24.57)</f>
        <v/>
      </c>
      <c r="AN96" s="590" t="n">
        <v>13</v>
      </c>
      <c r="AO96" s="599">
        <f t="array" ref="AO96">1000*(INDEX('Bakat Base Times'!$E:$E,MATCH(1,('Bakat Base Times'!$A:$A=AH96)*('Bakat Base Times'!$B:$B=AI96)*('Bakat Base Times'!$C:$C=AJ96),0))/(VALUE(AM96)))^3
</f>
        <v/>
      </c>
      <c r="AP96" s="600" t="n"/>
      <c r="AQ96" s="693" t="n"/>
      <c r="AR96" s="693" t="n"/>
      <c r="AS96" s="693" t="n"/>
      <c r="AT96" s="693" t="n"/>
      <c r="AU96" s="699" t="n"/>
      <c r="AV96" s="693" t="n"/>
      <c r="AW96" s="693" t="n"/>
      <c r="AX96" s="693" t="n"/>
      <c r="AY96" s="693" t="n"/>
      <c r="AZ96" s="693" t="n"/>
    </row>
    <row r="97">
      <c r="A97" s="651" t="n"/>
      <c r="B97" s="705" t="inlineStr">
        <is>
          <t>F</t>
        </is>
      </c>
      <c r="C97" s="704" t="inlineStr">
        <is>
          <t>100 Back</t>
        </is>
      </c>
      <c r="D97" s="705" t="n">
        <v>15</v>
      </c>
      <c r="E97" s="701" t="inlineStr">
        <is>
          <t>NADIA LIM</t>
        </is>
      </c>
      <c r="F97" s="701" t="inlineStr">
        <is>
          <t>1:08.01</t>
        </is>
      </c>
      <c r="G9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7" s="464">
        <f>G97/#REF!</f>
        <v/>
      </c>
      <c r="I97" s="614" t="inlineStr">
        <is>
          <t>1:07.85</t>
        </is>
      </c>
      <c r="J9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7" s="464">
        <f>J97/#REF!</f>
        <v/>
      </c>
      <c r="L97" s="704" t="n">
        <v>9</v>
      </c>
      <c r="M97" s="616" t="n">
        <v>7</v>
      </c>
      <c r="N97" s="652">
        <f t="array" ref="N97">1000*(INDEX('Bakat Base Times'!$E:$E,MATCH(1,('Bakat Base Times'!$A:$A=B97)*('Bakat Base Times'!$B:$B=C97)*('Bakat Base Times'!$C:$C=D97),0))/(VALUE(O97)))^3
</f>
        <v/>
      </c>
      <c r="O97" s="609">
        <f>IFERROR(__xludf.DUMMYFUNCTION("IF(ISNUMBER(I97), I97, IF(REGEXMATCH(I97, "":""), SUMPRODUCT(VALUE(SPLIT(I97, "":"")) * (60^(COUNTIF(SPLIT(I97, "":""), ""&lt;&gt;"")-COLUMN(OFFSET('MOT Tables 25'!$A$1,,,1,COUNTIF(SPLIT(I97, "":""),""&lt;&gt;"")))))), VALUE(I97)))"),67.85)</f>
        <v/>
      </c>
      <c r="P97" s="689" t="n"/>
      <c r="Q97" s="689" t="n"/>
      <c r="R97" s="689" t="n"/>
      <c r="S97" s="689" t="n"/>
      <c r="T97" s="689" t="n"/>
      <c r="U97" s="689" t="n"/>
      <c r="V97" s="689" t="n"/>
      <c r="W97" s="689" t="n"/>
      <c r="X97" s="689" t="n"/>
      <c r="Y97" s="618" t="inlineStr">
        <is>
          <t>F</t>
        </is>
      </c>
      <c r="Z97" s="619" t="inlineStr">
        <is>
          <t>100 Back</t>
        </is>
      </c>
      <c r="AA97" s="612" t="n">
        <v>15</v>
      </c>
      <c r="AB97" s="701" t="inlineStr">
        <is>
          <t>NADIA LIM</t>
        </is>
      </c>
      <c r="AC97" s="614" t="inlineStr">
        <is>
          <t>1:07.85</t>
        </is>
      </c>
      <c r="AD97" s="628">
        <f>IFERROR(__xludf.DUMMYFUNCTION("IF(ISNUMBER(AC97), AC97, IF(REGEXMATCH(AC97, "":""), SUMPRODUCT(VALUE(SPLIT(AC97, "":"")) * (60^(COUNTIF(SPLIT(AC97, "":""), ""&lt;&gt;"")-COLUMN(OFFSET('MOT Tables 25'!$A$1,,,1,COUNTIF(SPLIT(AC97, "":""),""&lt;&gt;"")))))), VALUE(AC97)))"),67.85)</f>
        <v/>
      </c>
      <c r="AE97" s="616" t="n">
        <v>7</v>
      </c>
      <c r="AF97" s="617">
        <f t="array" ref="AF97">1000*(INDEX('Bakat Base Times'!$E:$E,MATCH(1,('Bakat Base Times'!$A:$A=Y97)*('Bakat Base Times'!$B:$B=Z97)*('Bakat Base Times'!$C:$C=AA97),0))/(VALUE(AD97)))^3
</f>
        <v/>
      </c>
      <c r="AG97" s="693" t="n"/>
      <c r="AH97" s="618" t="inlineStr">
        <is>
          <t>F</t>
        </is>
      </c>
      <c r="AI97" s="619" t="inlineStr">
        <is>
          <t>100 Back</t>
        </is>
      </c>
      <c r="AJ97" s="619" t="n">
        <v>17</v>
      </c>
      <c r="AK97" s="613" t="inlineStr">
        <is>
          <t>RAINNE FOO JIE XIN</t>
        </is>
      </c>
      <c r="AL97" s="614" t="inlineStr">
        <is>
          <t>1:08.29</t>
        </is>
      </c>
      <c r="AM97" s="505">
        <f>IFERROR(__xludf.DUMMYFUNCTION("IF(ISNUMBER(AL97), AL97, IF(REGEXMATCH(AL97, "":""), SUMPRODUCT(VALUE(SPLIT(AL97, "":"")) * (60^(COUNTIF(SPLIT(AL97, "":""), ""&lt;&gt;"")-COLUMN(OFFSET('MOT Tables 25'!$A$1,,,1,COUNTIF(SPLIT(AL97, "":""),""&lt;&gt;"")))))), VALUE(AL97)))"),68.28999999999999)</f>
        <v/>
      </c>
      <c r="AN97" s="613" t="n">
        <v>8</v>
      </c>
      <c r="AO97" s="672">
        <f t="array" ref="AO97">1000*(INDEX('Bakat Base Times'!$E:$E,MATCH(1,('Bakat Base Times'!$A:$A=AH97)*('Bakat Base Times'!$B:$B=AI97)*('Bakat Base Times'!$C:$C=AJ97),0))/(VALUE(AM97)))^3
</f>
        <v/>
      </c>
      <c r="AP97" s="621" t="n"/>
      <c r="AQ97" s="693" t="n"/>
      <c r="AR97" s="693" t="n"/>
      <c r="AS97" s="693" t="n"/>
      <c r="AT97" s="693" t="n"/>
      <c r="AU97" s="699" t="n"/>
      <c r="AV97" s="693" t="n"/>
      <c r="AW97" s="693" t="n"/>
      <c r="AX97" s="693" t="n"/>
      <c r="AY97" s="693" t="n"/>
      <c r="AZ97" s="693" t="n"/>
    </row>
    <row r="98">
      <c r="A98" s="654" t="n"/>
      <c r="B98" s="710" t="inlineStr">
        <is>
          <t>F</t>
        </is>
      </c>
      <c r="C98" s="709" t="inlineStr">
        <is>
          <t>400 Free</t>
        </is>
      </c>
      <c r="D98" s="710" t="n">
        <v>15</v>
      </c>
      <c r="E98" s="590" t="inlineStr">
        <is>
          <t>CHEREEN NGO YIRUI</t>
        </is>
      </c>
      <c r="F98" s="707" t="inlineStr">
        <is>
          <t>4:33.68</t>
        </is>
      </c>
      <c r="G9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8" s="460">
        <f>G98/#REF!</f>
        <v/>
      </c>
      <c r="I98" s="591" t="inlineStr">
        <is>
          <t>4:37.04</t>
        </is>
      </c>
      <c r="J9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8" s="460">
        <f>J98/#REF!</f>
        <v/>
      </c>
      <c r="L98" s="709" t="n">
        <v>3</v>
      </c>
      <c r="M98" s="593" t="n">
        <v>6</v>
      </c>
      <c r="N98" s="655">
        <f t="array" ref="N98">1000*(INDEX('Bakat Base Times'!$E:$E,MATCH(1,('Bakat Base Times'!$A:$A=B98)*('Bakat Base Times'!$B:$B=C98)*('Bakat Base Times'!$C:$C=D98),0))/(VALUE(O98)))^3
</f>
        <v/>
      </c>
      <c r="O98" s="582">
        <f>IFERROR(__xludf.DUMMYFUNCTION("IF(ISNUMBER(I98), I98, IF(REGEXMATCH(I98, "":""), SUMPRODUCT(VALUE(SPLIT(I98, "":"")) * (60^(COUNTIF(SPLIT(I98, "":""), ""&lt;&gt;"")-COLUMN(OFFSET('MOT Tables 25'!$A$1,,,1,COUNTIF(SPLIT(I98, "":""),""&lt;&gt;"")))))), VALUE(I98)))"),277.04)</f>
        <v/>
      </c>
      <c r="P98" s="689" t="n"/>
      <c r="Q98" s="689" t="n"/>
      <c r="R98" s="689" t="n"/>
      <c r="S98" s="689" t="n"/>
      <c r="T98" s="689" t="n"/>
      <c r="U98" s="689" t="n"/>
      <c r="V98" s="689" t="n"/>
      <c r="W98" s="689" t="n"/>
      <c r="X98" s="689" t="n"/>
      <c r="Y98" s="596" t="inlineStr">
        <is>
          <t>F</t>
        </is>
      </c>
      <c r="Z98" s="597" t="inlineStr">
        <is>
          <t>400 Free</t>
        </is>
      </c>
      <c r="AA98" s="589" t="n">
        <v>15</v>
      </c>
      <c r="AB98" s="590" t="inlineStr">
        <is>
          <t>CHEREEN NGO YIRUI</t>
        </is>
      </c>
      <c r="AC98" s="591" t="inlineStr">
        <is>
          <t>4:37.04</t>
        </is>
      </c>
      <c r="AD98" s="592">
        <f>IFERROR(__xludf.DUMMYFUNCTION("IF(ISNUMBER(AC98), AC98, IF(REGEXMATCH(AC98, "":""), SUMPRODUCT(VALUE(SPLIT(AC98, "":"")) * (60^(COUNTIF(SPLIT(AC98, "":""), ""&lt;&gt;"")-COLUMN(OFFSET('MOT Tables 25'!$A$1,,,1,COUNTIF(SPLIT(AC98, "":""),""&lt;&gt;"")))))), VALUE(AC98)))"),277.04)</f>
        <v/>
      </c>
      <c r="AE98" s="593" t="n">
        <v>6</v>
      </c>
      <c r="AF98" s="594">
        <f t="array" ref="AF98">1000*(INDEX('Bakat Base Times'!$E:$E,MATCH(1,('Bakat Base Times'!$A:$A=Y98)*('Bakat Base Times'!$B:$B=Z98)*('Bakat Base Times'!$C:$C=AA98),0))/(VALUE(AD98)))^3
</f>
        <v/>
      </c>
      <c r="AG98" s="693" t="n"/>
      <c r="AH98" s="596" t="inlineStr">
        <is>
          <t>F</t>
        </is>
      </c>
      <c r="AI98" s="597" t="inlineStr">
        <is>
          <t>200 Back</t>
        </is>
      </c>
      <c r="AJ98" s="597" t="n">
        <v>17</v>
      </c>
      <c r="AK98" s="590" t="inlineStr">
        <is>
          <t>RAINNE FOO JIE XIN</t>
        </is>
      </c>
      <c r="AL98" s="591" t="inlineStr">
        <is>
          <t>2:29.29</t>
        </is>
      </c>
      <c r="AM98" s="517">
        <f>IFERROR(__xludf.DUMMYFUNCTION("IF(ISNUMBER(AL98), AL98, IF(REGEXMATCH(AL98, "":""), SUMPRODUCT(VALUE(SPLIT(AL98, "":"")) * (60^(COUNTIF(SPLIT(AL98, "":""), ""&lt;&gt;"")-COLUMN(OFFSET('MOT Tables 25'!$A$1,,,1,COUNTIF(SPLIT(AL98, "":""),""&lt;&gt;"")))))), VALUE(AL98)))"),149.29)</f>
        <v/>
      </c>
      <c r="AN98" s="590" t="n">
        <v>7</v>
      </c>
      <c r="AO98" s="599">
        <f t="array" ref="AO98">1000*(INDEX('Bakat Base Times'!$E:$E,MATCH(1,('Bakat Base Times'!$A:$A=AH98)*('Bakat Base Times'!$B:$B=AI98)*('Bakat Base Times'!$C:$C=AJ98),0))/(VALUE(AM98)))^3
</f>
        <v/>
      </c>
      <c r="AP98" s="600" t="n"/>
      <c r="AQ98" s="693" t="n"/>
      <c r="AR98" s="693" t="n"/>
      <c r="AS98" s="693" t="n"/>
      <c r="AT98" s="693" t="n"/>
      <c r="AU98" s="699" t="n"/>
      <c r="AV98" s="693" t="n"/>
      <c r="AW98" s="693" t="n"/>
      <c r="AX98" s="693" t="n"/>
      <c r="AY98" s="693" t="n"/>
      <c r="AZ98" s="693" t="n"/>
    </row>
    <row r="99">
      <c r="A99" s="651" t="n"/>
      <c r="B99" s="705" t="inlineStr">
        <is>
          <t>M</t>
        </is>
      </c>
      <c r="C99" s="704" t="inlineStr">
        <is>
          <t>200 Free</t>
        </is>
      </c>
      <c r="D99" s="705" t="n">
        <v>13</v>
      </c>
      <c r="E99" s="613" t="inlineStr">
        <is>
          <t>AEDON LIM WEI ZHE</t>
        </is>
      </c>
      <c r="F99" s="701" t="inlineStr">
        <is>
          <t>2:09.18</t>
        </is>
      </c>
      <c r="G99"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9" s="464">
        <f>G99/#REF!</f>
        <v/>
      </c>
      <c r="I99" s="614" t="inlineStr">
        <is>
          <t>2:09.54</t>
        </is>
      </c>
      <c r="J99"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9" s="464">
        <f>J99/#REF!</f>
        <v/>
      </c>
      <c r="L99" s="704" t="n">
        <v>8</v>
      </c>
      <c r="M99" s="616" t="n">
        <v>10</v>
      </c>
      <c r="N99" s="652">
        <f t="array" ref="N99">1000*(INDEX('Bakat Base Times'!$E:$E,MATCH(1,('Bakat Base Times'!$A:$A=B99)*('Bakat Base Times'!$B:$B=C99)*('Bakat Base Times'!$C:$C=D99),0))/(VALUE(O99)))^3
</f>
        <v/>
      </c>
      <c r="O99" s="609">
        <f>IFERROR(__xludf.DUMMYFUNCTION("IF(ISNUMBER(I99), I99, IF(REGEXMATCH(I99, "":""), SUMPRODUCT(VALUE(SPLIT(I99, "":"")) * (60^(COUNTIF(SPLIT(I99, "":""), ""&lt;&gt;"")-COLUMN(OFFSET('MOT Tables 25'!$A$1,,,1,COUNTIF(SPLIT(I99, "":""),""&lt;&gt;"")))))), VALUE(I99)))"),129.54)</f>
        <v/>
      </c>
      <c r="P99" s="689" t="n"/>
      <c r="Q99" s="689" t="n"/>
      <c r="R99" s="689" t="n"/>
      <c r="S99" s="689" t="n"/>
      <c r="T99" s="689" t="n"/>
      <c r="U99" s="689" t="n"/>
      <c r="V99" s="689" t="n"/>
      <c r="W99" s="689" t="n"/>
      <c r="X99" s="689" t="n"/>
      <c r="Y99" s="618" t="inlineStr">
        <is>
          <t>M</t>
        </is>
      </c>
      <c r="Z99" s="619" t="inlineStr">
        <is>
          <t>200 Free</t>
        </is>
      </c>
      <c r="AA99" s="612" t="n">
        <v>13</v>
      </c>
      <c r="AB99" s="613" t="inlineStr">
        <is>
          <t>AEDON LIM WEI ZHE</t>
        </is>
      </c>
      <c r="AC99" s="614" t="inlineStr">
        <is>
          <t>2:09.54</t>
        </is>
      </c>
      <c r="AD99" s="628">
        <f>IFERROR(__xludf.DUMMYFUNCTION("IF(ISNUMBER(AC99), AC99, IF(REGEXMATCH(AC99, "":""), SUMPRODUCT(VALUE(SPLIT(AC99, "":"")) * (60^(COUNTIF(SPLIT(AC99, "":""), ""&lt;&gt;"")-COLUMN(OFFSET('MOT Tables 25'!$A$1,,,1,COUNTIF(SPLIT(AC99, "":""),""&lt;&gt;"")))))), VALUE(AC99)))"),129.54)</f>
        <v/>
      </c>
      <c r="AE99" s="616" t="n">
        <v>10</v>
      </c>
      <c r="AF99" s="617">
        <f t="array" ref="AF99">1000*(INDEX('Bakat Base Times'!$E:$E,MATCH(1,('Bakat Base Times'!$A:$A=Y99)*('Bakat Base Times'!$B:$B=Z99)*('Bakat Base Times'!$C:$C=AA99),0))/(VALUE(AD99)))^3
</f>
        <v/>
      </c>
      <c r="AG99" s="693" t="n"/>
      <c r="AH99" s="618" t="inlineStr">
        <is>
          <t>M</t>
        </is>
      </c>
      <c r="AI99" s="619" t="inlineStr">
        <is>
          <t>50 Free</t>
        </is>
      </c>
      <c r="AJ99" s="619" t="n">
        <v>16</v>
      </c>
      <c r="AK99" s="613" t="inlineStr">
        <is>
          <t>RYAN COLBY KUEH POH YUAN</t>
        </is>
      </c>
      <c r="AL99" s="665" t="n">
        <v>24.62</v>
      </c>
      <c r="AM99" s="505">
        <f>IFERROR(__xludf.DUMMYFUNCTION("IF(ISNUMBER(AL99), AL99, IF(REGEXMATCH(AL99, "":""), SUMPRODUCT(VALUE(SPLIT(AL99, "":"")) * (60^(COUNTIF(SPLIT(AL99, "":""), ""&lt;&gt;"")-COLUMN(OFFSET('MOT Tables 25'!$A$1,,,1,COUNTIF(SPLIT(AL99, "":""),""&lt;&gt;"")))))), VALUE(AL99)))"),24.62)</f>
        <v/>
      </c>
      <c r="AN99" s="613" t="n">
        <v>14</v>
      </c>
      <c r="AO99" s="672">
        <f t="array" ref="AO99">1000*(INDEX('Bakat Base Times'!$E:$E,MATCH(1,('Bakat Base Times'!$A:$A=AH99)*('Bakat Base Times'!$B:$B=AI99)*('Bakat Base Times'!$C:$C=AJ99),0))/(VALUE(AM99)))^3
</f>
        <v/>
      </c>
      <c r="AP99" s="621" t="n"/>
      <c r="AQ99" s="693" t="n"/>
      <c r="AR99" s="693" t="n"/>
      <c r="AS99" s="693" t="n"/>
      <c r="AT99" s="693" t="n"/>
      <c r="AU99" s="699" t="n"/>
      <c r="AV99" s="693" t="n"/>
      <c r="AW99" s="693" t="n"/>
      <c r="AX99" s="693" t="n"/>
      <c r="AY99" s="693" t="n"/>
      <c r="AZ99" s="693" t="n"/>
    </row>
    <row r="100">
      <c r="A100" s="654" t="n"/>
      <c r="B100" s="710" t="inlineStr">
        <is>
          <t>F</t>
        </is>
      </c>
      <c r="C100" s="709" t="inlineStr">
        <is>
          <t>50 Free</t>
        </is>
      </c>
      <c r="D100" s="710" t="n">
        <v>13</v>
      </c>
      <c r="E100" s="590" t="inlineStr">
        <is>
          <t>JOVIAL CHAN ZEN EE</t>
        </is>
      </c>
      <c r="F100" s="629" t="n">
        <v>29.45</v>
      </c>
      <c r="G10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0" s="460">
        <f>G100/#REF!</f>
        <v/>
      </c>
      <c r="I100" s="661" t="n">
        <v>29.05</v>
      </c>
      <c r="J10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0" s="460">
        <f>J100/#REF!</f>
        <v/>
      </c>
      <c r="L100" s="709" t="n">
        <v>13</v>
      </c>
      <c r="M100" s="593" t="n">
        <v>11</v>
      </c>
      <c r="N100" s="655">
        <f t="array" ref="N100">1000*(INDEX('Bakat Base Times'!$E:$E,MATCH(1,('Bakat Base Times'!$A:$A=B100)*('Bakat Base Times'!$B:$B=C100)*('Bakat Base Times'!$C:$C=D100),0))/(VALUE(O100)))^3
</f>
        <v/>
      </c>
      <c r="O100" s="582">
        <f>IFERROR(__xludf.DUMMYFUNCTION("IF(ISNUMBER(I100), I100, IF(REGEXMATCH(I100, "":""), SUMPRODUCT(VALUE(SPLIT(I100, "":"")) * (60^(COUNTIF(SPLIT(I100, "":""), ""&lt;&gt;"")-COLUMN(OFFSET('MOT Tables 25'!$A$1,,,1,COUNTIF(SPLIT(I100, "":""),""&lt;&gt;"")))))), VALUE(I100)))"),29.05)</f>
        <v/>
      </c>
      <c r="P100" s="689" t="n"/>
      <c r="Q100" s="689" t="n"/>
      <c r="R100" s="689" t="n"/>
      <c r="S100" s="689" t="n"/>
      <c r="T100" s="689" t="n"/>
      <c r="U100" s="689" t="n"/>
      <c r="V100" s="689" t="n"/>
      <c r="W100" s="689" t="n"/>
      <c r="X100" s="689" t="n"/>
      <c r="Y100" s="596" t="inlineStr">
        <is>
          <t>F</t>
        </is>
      </c>
      <c r="Z100" s="597" t="inlineStr">
        <is>
          <t>50 Free</t>
        </is>
      </c>
      <c r="AA100" s="589" t="n">
        <v>13</v>
      </c>
      <c r="AB100" s="590" t="inlineStr">
        <is>
          <t>JOVIAL CHAN ZEN EE</t>
        </is>
      </c>
      <c r="AC100" s="661" t="n">
        <v>29.05</v>
      </c>
      <c r="AD100" s="592">
        <f>IFERROR(__xludf.DUMMYFUNCTION("IF(ISNUMBER(AC100), AC100, IF(REGEXMATCH(AC100, "":""), SUMPRODUCT(VALUE(SPLIT(AC100, "":"")) * (60^(COUNTIF(SPLIT(AC100, "":""), ""&lt;&gt;"")-COLUMN(OFFSET('MOT Tables 25'!$A$1,,,1,COUNTIF(SPLIT(AC100, "":""),""&lt;&gt;"")))))), VALUE(AC100)))"),29.05)</f>
        <v/>
      </c>
      <c r="AE100" s="593" t="n">
        <v>11</v>
      </c>
      <c r="AF100" s="594">
        <f t="array" ref="AF100">1000*(INDEX('Bakat Base Times'!$E:$E,MATCH(1,('Bakat Base Times'!$A:$A=Y100)*('Bakat Base Times'!$B:$B=Z100)*('Bakat Base Times'!$C:$C=AA100),0))/(VALUE(AD100)))^3
</f>
        <v/>
      </c>
      <c r="AG100" s="693" t="n"/>
      <c r="AH100" s="596" t="inlineStr">
        <is>
          <t>M</t>
        </is>
      </c>
      <c r="AI100" s="597" t="inlineStr">
        <is>
          <t>100 Breast</t>
        </is>
      </c>
      <c r="AJ100" s="597" t="n">
        <v>15</v>
      </c>
      <c r="AK100" s="590" t="inlineStr">
        <is>
          <t>RYAN LIAW CHEE HENG</t>
        </is>
      </c>
      <c r="AL100" s="661" t="inlineStr">
        <is>
          <t>1:09.76</t>
        </is>
      </c>
      <c r="AM100" s="517">
        <f>IFERROR(__xludf.DUMMYFUNCTION("IF(ISNUMBER(AL100), AL100, IF(REGEXMATCH(AL100, "":""), SUMPRODUCT(VALUE(SPLIT(AL100, "":"")) * (60^(COUNTIF(SPLIT(AL100, "":""), ""&lt;&gt;"")-COLUMN(OFFSET('MOT Tables 25'!$A$1,,,1,COUNTIF(SPLIT(AL100, "":""),""&lt;&gt;"")))))), VALUE(AL100)))"),69.76)</f>
        <v/>
      </c>
      <c r="AN100" s="590" t="n">
        <v>12</v>
      </c>
      <c r="AO100" s="599">
        <f t="array" ref="AO100">1000*(INDEX('Bakat Base Times'!$E:$E,MATCH(1,('Bakat Base Times'!$A:$A=AH100)*('Bakat Base Times'!$B:$B=AI100)*('Bakat Base Times'!$C:$C=AJ100),0))/(VALUE(AM100)))^3
</f>
        <v/>
      </c>
      <c r="AP100" s="600" t="n"/>
      <c r="AQ100" s="693" t="n"/>
      <c r="AR100" s="693" t="n"/>
      <c r="AS100" s="693" t="n"/>
      <c r="AT100" s="693" t="n"/>
      <c r="AU100" s="699" t="n"/>
      <c r="AV100" s="693" t="n"/>
      <c r="AW100" s="693" t="n"/>
      <c r="AX100" s="693" t="n"/>
      <c r="AY100" s="693" t="n"/>
      <c r="AZ100" s="693" t="n"/>
    </row>
    <row r="101">
      <c r="A101" s="651" t="n"/>
      <c r="B101" s="705" t="inlineStr">
        <is>
          <t>M</t>
        </is>
      </c>
      <c r="C101" s="704" t="inlineStr">
        <is>
          <t>200 Free</t>
        </is>
      </c>
      <c r="D101" s="705" t="n">
        <v>17</v>
      </c>
      <c r="E101" s="613" t="inlineStr">
        <is>
          <t>ASLAN ADNAN</t>
        </is>
      </c>
      <c r="F101" s="701" t="inlineStr">
        <is>
          <t>1:55.40</t>
        </is>
      </c>
      <c r="G101"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1" s="464">
        <f>G101/#REF!</f>
        <v/>
      </c>
      <c r="I101" s="614" t="inlineStr">
        <is>
          <t>2:00.34</t>
        </is>
      </c>
      <c r="J101"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1" s="464">
        <f>J101/#REF!</f>
        <v/>
      </c>
      <c r="L101" s="704" t="n">
        <v>9</v>
      </c>
      <c r="M101" s="616" t="n">
        <v>13</v>
      </c>
      <c r="N101" s="652">
        <f t="array" ref="N101">1000*(INDEX('Bakat Base Times'!$E:$E,MATCH(1,('Bakat Base Times'!$A:$A=B101)*('Bakat Base Times'!$B:$B=C101)*('Bakat Base Times'!$C:$C=D101),0))/(VALUE(O101)))^3
</f>
        <v/>
      </c>
      <c r="O101" s="609">
        <f>IFERROR(__xludf.DUMMYFUNCTION("IF(ISNUMBER(I101), I101, IF(REGEXMATCH(I101, "":""), SUMPRODUCT(VALUE(SPLIT(I101, "":"")) * (60^(COUNTIF(SPLIT(I101, "":""), ""&lt;&gt;"")-COLUMN(OFFSET('MOT Tables 25'!$A$1,,,1,COUNTIF(SPLIT(I101, "":""),""&lt;&gt;"")))))), VALUE(I101)))"),120.34)</f>
        <v/>
      </c>
      <c r="P101" s="689" t="n"/>
      <c r="Q101" s="689" t="n"/>
      <c r="R101" s="689" t="n"/>
      <c r="S101" s="689" t="n"/>
      <c r="T101" s="689" t="n"/>
      <c r="U101" s="689" t="n"/>
      <c r="V101" s="689" t="n"/>
      <c r="W101" s="689" t="n"/>
      <c r="X101" s="689" t="n"/>
      <c r="Y101" s="618" t="inlineStr">
        <is>
          <t>M</t>
        </is>
      </c>
      <c r="Z101" s="619" t="inlineStr">
        <is>
          <t>200 Free</t>
        </is>
      </c>
      <c r="AA101" s="612" t="n">
        <v>17</v>
      </c>
      <c r="AB101" s="613" t="inlineStr">
        <is>
          <t>ASLAN ADNAN</t>
        </is>
      </c>
      <c r="AC101" s="614" t="inlineStr">
        <is>
          <t>2:00.34</t>
        </is>
      </c>
      <c r="AD101" s="628">
        <f>IFERROR(__xludf.DUMMYFUNCTION("IF(ISNUMBER(AC101), AC101, IF(REGEXMATCH(AC101, "":""), SUMPRODUCT(VALUE(SPLIT(AC101, "":"")) * (60^(COUNTIF(SPLIT(AC101, "":""), ""&lt;&gt;"")-COLUMN(OFFSET('MOT Tables 25'!$A$1,,,1,COUNTIF(SPLIT(AC101, "":""),""&lt;&gt;"")))))), VALUE(AC101)))"),120.34)</f>
        <v/>
      </c>
      <c r="AE101" s="616" t="n">
        <v>13</v>
      </c>
      <c r="AF101" s="617">
        <f t="array" ref="AF101">1000*(INDEX('Bakat Base Times'!$E:$E,MATCH(1,('Bakat Base Times'!$A:$A=Y101)*('Bakat Base Times'!$B:$B=Z101)*('Bakat Base Times'!$C:$C=AA101),0))/(VALUE(AD101)))^3
</f>
        <v/>
      </c>
      <c r="AG101" s="693" t="n"/>
      <c r="AH101" s="618" t="inlineStr">
        <is>
          <t>M</t>
        </is>
      </c>
      <c r="AI101" s="619" t="inlineStr">
        <is>
          <t>200 Breast</t>
        </is>
      </c>
      <c r="AJ101" s="619" t="n">
        <v>15</v>
      </c>
      <c r="AK101" s="613" t="inlineStr">
        <is>
          <t>RYAN LIAW CHEE HENG</t>
        </is>
      </c>
      <c r="AL101" s="614" t="inlineStr">
        <is>
          <t>2:37.98</t>
        </is>
      </c>
      <c r="AM101" s="505">
        <f>IFERROR(__xludf.DUMMYFUNCTION("IF(ISNUMBER(AL101), AL101, IF(REGEXMATCH(AL101, "":""), SUMPRODUCT(VALUE(SPLIT(AL101, "":"")) * (60^(COUNTIF(SPLIT(AL101, "":""), ""&lt;&gt;"")-COLUMN(OFFSET('MOT Tables 25'!$A$1,,,1,COUNTIF(SPLIT(AL101, "":""),""&lt;&gt;"")))))), VALUE(AL101)))"),157.98)</f>
        <v/>
      </c>
      <c r="AN101" s="613" t="n">
        <v>12</v>
      </c>
      <c r="AO101" s="672">
        <f t="array" ref="AO101">1000*(INDEX('Bakat Base Times'!$E:$E,MATCH(1,('Bakat Base Times'!$A:$A=AH101)*('Bakat Base Times'!$B:$B=AI101)*('Bakat Base Times'!$C:$C=AJ101),0))/(VALUE(AM101)))^3
</f>
        <v/>
      </c>
      <c r="AP101" s="621" t="n"/>
      <c r="AQ101" s="693" t="n"/>
      <c r="AR101" s="693" t="n"/>
      <c r="AS101" s="693" t="n"/>
      <c r="AT101" s="693" t="n"/>
      <c r="AU101" s="699" t="n"/>
      <c r="AV101" s="693" t="n"/>
      <c r="AW101" s="693" t="n"/>
      <c r="AX101" s="693" t="n"/>
      <c r="AY101" s="693" t="n"/>
      <c r="AZ101" s="693" t="n"/>
    </row>
    <row r="102">
      <c r="A102" s="654" t="n"/>
      <c r="B102" s="710" t="inlineStr">
        <is>
          <t>F</t>
        </is>
      </c>
      <c r="C102" s="709" t="inlineStr">
        <is>
          <t>200 Fly</t>
        </is>
      </c>
      <c r="D102" s="710" t="n">
        <v>15</v>
      </c>
      <c r="E102" s="590" t="inlineStr">
        <is>
          <t>KAYLEIGH ANG ZHI XUAN</t>
        </is>
      </c>
      <c r="F102" s="707" t="inlineStr">
        <is>
          <t>2:27.45</t>
        </is>
      </c>
      <c r="G102"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2" s="460">
        <f>G102/#REF!</f>
        <v/>
      </c>
      <c r="I102" s="667" t="inlineStr">
        <is>
          <t>2:25.87</t>
        </is>
      </c>
      <c r="J102"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2" s="460">
        <f>J102/#REF!</f>
        <v/>
      </c>
      <c r="L102" s="709" t="n">
        <v>9</v>
      </c>
      <c r="M102" s="593" t="n">
        <v>6</v>
      </c>
      <c r="N102" s="655">
        <f t="array" ref="N102">1000*(INDEX('Bakat Base Times'!$E:$E,MATCH(1,('Bakat Base Times'!$A:$A=B102)*('Bakat Base Times'!$B:$B=C102)*('Bakat Base Times'!$C:$C=D102),0))/(VALUE(O102)))^3
</f>
        <v/>
      </c>
      <c r="O102" s="582">
        <f>IFERROR(__xludf.DUMMYFUNCTION("IF(ISNUMBER(I102), I102, IF(REGEXMATCH(I102, "":""), SUMPRODUCT(VALUE(SPLIT(I102, "":"")) * (60^(COUNTIF(SPLIT(I102, "":""), ""&lt;&gt;"")-COLUMN(OFFSET('MOT Tables 25'!$A$1,,,1,COUNTIF(SPLIT(I102, "":""),""&lt;&gt;"")))))), VALUE(I102)))"),145.87)</f>
        <v/>
      </c>
      <c r="P102" s="689" t="n"/>
      <c r="Q102" s="689" t="n"/>
      <c r="R102" s="689" t="n"/>
      <c r="S102" s="689" t="n"/>
      <c r="T102" s="689" t="n"/>
      <c r="U102" s="689" t="n"/>
      <c r="V102" s="689" t="n"/>
      <c r="W102" s="689" t="n"/>
      <c r="X102" s="689" t="n"/>
      <c r="Y102" s="596" t="inlineStr">
        <is>
          <t>F</t>
        </is>
      </c>
      <c r="Z102" s="597" t="inlineStr">
        <is>
          <t>200 Fly</t>
        </is>
      </c>
      <c r="AA102" s="589" t="n">
        <v>15</v>
      </c>
      <c r="AB102" s="590" t="inlineStr">
        <is>
          <t>KAYLEIGH ANG ZHI XUAN</t>
        </is>
      </c>
      <c r="AC102" s="667" t="inlineStr">
        <is>
          <t>2:25.87</t>
        </is>
      </c>
      <c r="AD102" s="592">
        <f>IFERROR(__xludf.DUMMYFUNCTION("IF(ISNUMBER(AC102), AC102, IF(REGEXMATCH(AC102, "":""), SUMPRODUCT(VALUE(SPLIT(AC102, "":"")) * (60^(COUNTIF(SPLIT(AC102, "":""), ""&lt;&gt;"")-COLUMN(OFFSET('MOT Tables 25'!$A$1,,,1,COUNTIF(SPLIT(AC102, "":""),""&lt;&gt;"")))))), VALUE(AC102)))"),145.87)</f>
        <v/>
      </c>
      <c r="AE102" s="593" t="n">
        <v>6</v>
      </c>
      <c r="AF102" s="594">
        <f t="array" ref="AF102">1000*(INDEX('Bakat Base Times'!$E:$E,MATCH(1,('Bakat Base Times'!$A:$A=Y102)*('Bakat Base Times'!$B:$B=Z102)*('Bakat Base Times'!$C:$C=AA102),0))/(VALUE(AD102)))^3
</f>
        <v/>
      </c>
      <c r="AG102" s="693" t="n"/>
      <c r="AH102" s="596" t="inlineStr">
        <is>
          <t>F</t>
        </is>
      </c>
      <c r="AI102" s="597" t="inlineStr">
        <is>
          <t>50 Free</t>
        </is>
      </c>
      <c r="AJ102" s="597" t="n">
        <v>16</v>
      </c>
      <c r="AK102" s="590" t="inlineStr">
        <is>
          <t>SEAH SHU HUI</t>
        </is>
      </c>
      <c r="AL102" s="667" t="n">
        <v>27.52</v>
      </c>
      <c r="AM102" s="517">
        <f>IFERROR(__xludf.DUMMYFUNCTION("IF(ISNUMBER(AL102), AL102, IF(REGEXMATCH(AL102, "":""), SUMPRODUCT(VALUE(SPLIT(AL102, "":"")) * (60^(COUNTIF(SPLIT(AL102, "":""), ""&lt;&gt;"")-COLUMN(OFFSET('MOT Tables 25'!$A$1,,,1,COUNTIF(SPLIT(AL102, "":""),""&lt;&gt;"")))))), VALUE(AL102)))"),27.52)</f>
        <v/>
      </c>
      <c r="AN102" s="590" t="n">
        <v>10</v>
      </c>
      <c r="AO102" s="599">
        <f t="array" ref="AO102">1000*(INDEX('Bakat Base Times'!$E:$E,MATCH(1,('Bakat Base Times'!$A:$A=AH102)*('Bakat Base Times'!$B:$B=AI102)*('Bakat Base Times'!$C:$C=AJ102),0))/(VALUE(AM102)))^3
</f>
        <v/>
      </c>
      <c r="AP102" s="600" t="n"/>
      <c r="AQ102" s="693" t="n"/>
      <c r="AR102" s="693" t="n"/>
      <c r="AS102" s="693" t="n"/>
      <c r="AT102" s="693" t="n"/>
      <c r="AU102" s="699" t="n"/>
      <c r="AV102" s="693" t="n"/>
      <c r="AW102" s="693" t="n"/>
      <c r="AX102" s="693" t="n"/>
      <c r="AY102" s="693" t="n"/>
      <c r="AZ102" s="693" t="n"/>
    </row>
    <row r="103">
      <c r="A103" s="651" t="n"/>
      <c r="B103" s="705" t="inlineStr">
        <is>
          <t>F</t>
        </is>
      </c>
      <c r="C103" s="704" t="inlineStr">
        <is>
          <t>800 Free</t>
        </is>
      </c>
      <c r="D103" s="705" t="n">
        <v>15</v>
      </c>
      <c r="E103" s="613" t="inlineStr">
        <is>
          <t>CHEREEN NGO YIRUI</t>
        </is>
      </c>
      <c r="F103" s="701" t="inlineStr">
        <is>
          <t>9:23.65</t>
        </is>
      </c>
      <c r="G10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3" s="464">
        <f>G103/#REF!</f>
        <v/>
      </c>
      <c r="I103" s="614" t="inlineStr">
        <is>
          <t>9:30.10</t>
        </is>
      </c>
      <c r="J10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3" s="464">
        <f>J103/#REF!</f>
        <v/>
      </c>
      <c r="L103" s="704" t="n">
        <v>5</v>
      </c>
      <c r="M103" s="616" t="n">
        <v>6</v>
      </c>
      <c r="N103" s="652">
        <f t="array" ref="N103">1000*(INDEX('Bakat Base Times'!$E:$E,MATCH(1,('Bakat Base Times'!$A:$A=B103)*('Bakat Base Times'!$B:$B=C103)*('Bakat Base Times'!$C:$C=D103),0))/(VALUE(O103)))^3
</f>
        <v/>
      </c>
      <c r="O103" s="609">
        <f>IFERROR(__xludf.DUMMYFUNCTION("IF(ISNUMBER(I103), I103, IF(REGEXMATCH(I103, "":""), SUMPRODUCT(VALUE(SPLIT(I103, "":"")) * (60^(COUNTIF(SPLIT(I103, "":""), ""&lt;&gt;"")-COLUMN(OFFSET('MOT Tables 25'!$A$1,,,1,COUNTIF(SPLIT(I103, "":""),""&lt;&gt;"")))))), VALUE(I103)))"),570.1)</f>
        <v/>
      </c>
      <c r="P103" s="689" t="n"/>
      <c r="Q103" s="689" t="n"/>
      <c r="R103" s="689" t="n"/>
      <c r="S103" s="689" t="n"/>
      <c r="T103" s="689" t="n"/>
      <c r="U103" s="689" t="n"/>
      <c r="V103" s="689" t="n"/>
      <c r="W103" s="689" t="n"/>
      <c r="X103" s="689" t="n"/>
      <c r="Y103" s="618" t="inlineStr">
        <is>
          <t>F</t>
        </is>
      </c>
      <c r="Z103" s="619" t="inlineStr">
        <is>
          <t>800 Free</t>
        </is>
      </c>
      <c r="AA103" s="612" t="n">
        <v>15</v>
      </c>
      <c r="AB103" s="613" t="inlineStr">
        <is>
          <t>CHEREEN NGO YIRUI</t>
        </is>
      </c>
      <c r="AC103" s="614" t="inlineStr">
        <is>
          <t>9:30.10</t>
        </is>
      </c>
      <c r="AD103" s="628">
        <f>IFERROR(__xludf.DUMMYFUNCTION("IF(ISNUMBER(AC103), AC103, IF(REGEXMATCH(AC103, "":""), SUMPRODUCT(VALUE(SPLIT(AC103, "":"")) * (60^(COUNTIF(SPLIT(AC103, "":""), ""&lt;&gt;"")-COLUMN(OFFSET('MOT Tables 25'!$A$1,,,1,COUNTIF(SPLIT(AC103, "":""),""&lt;&gt;"")))))), VALUE(AC103)))"),570.1)</f>
        <v/>
      </c>
      <c r="AE103" s="616" t="n">
        <v>6</v>
      </c>
      <c r="AF103" s="617">
        <f t="array" ref="AF103">1000*(INDEX('Bakat Base Times'!$E:$E,MATCH(1,('Bakat Base Times'!$A:$A=Y103)*('Bakat Base Times'!$B:$B=Z103)*('Bakat Base Times'!$C:$C=AA103),0))/(VALUE(AD103)))^3
</f>
        <v/>
      </c>
      <c r="AG103" s="693" t="n"/>
      <c r="AH103" s="618" t="inlineStr">
        <is>
          <t>F</t>
        </is>
      </c>
      <c r="AI103" s="619" t="inlineStr">
        <is>
          <t>100 Breast</t>
        </is>
      </c>
      <c r="AJ103" s="619" t="n">
        <v>14</v>
      </c>
      <c r="AK103" s="613" t="inlineStr">
        <is>
          <t>SEOW CUI YING</t>
        </is>
      </c>
      <c r="AL103" s="695" t="inlineStr">
        <is>
          <t>1:16.46</t>
        </is>
      </c>
      <c r="AM103" s="505">
        <f>IFERROR(__xludf.DUMMYFUNCTION("IF(ISNUMBER(AL103), AL103, IF(REGEXMATCH(AL103, "":""), SUMPRODUCT(VALUE(SPLIT(AL103, "":"")) * (60^(COUNTIF(SPLIT(AL103, "":""), ""&lt;&gt;"")-COLUMN(OFFSET('MOT Tables 25'!$A$1,,,1,COUNTIF(SPLIT(AL103, "":""),""&lt;&gt;"")))))), VALUE(AL103)))"),76.46000000000001)</f>
        <v/>
      </c>
      <c r="AN103" s="613" t="n">
        <v>6</v>
      </c>
      <c r="AO103" s="672">
        <f t="array" ref="AO103">1000*(INDEX('Bakat Base Times'!$E:$E,MATCH(1,('Bakat Base Times'!$A:$A=AH103)*('Bakat Base Times'!$B:$B=AI103)*('Bakat Base Times'!$C:$C=AJ103),0))/(VALUE(AM103)))^3
</f>
        <v/>
      </c>
      <c r="AP103" s="621" t="n"/>
      <c r="AQ103" s="693" t="n"/>
      <c r="AR103" s="693" t="n"/>
      <c r="AS103" s="693" t="n"/>
      <c r="AT103" s="693" t="n"/>
      <c r="AU103" s="699" t="n"/>
      <c r="AV103" s="693" t="n"/>
      <c r="AW103" s="693" t="n"/>
      <c r="AX103" s="693" t="n"/>
      <c r="AY103" s="693" t="n"/>
      <c r="AZ103" s="693" t="n"/>
    </row>
    <row r="104">
      <c r="A104" s="654" t="n"/>
      <c r="B104" s="710" t="inlineStr">
        <is>
          <t>M</t>
        </is>
      </c>
      <c r="C104" s="709" t="inlineStr">
        <is>
          <t>200 IM</t>
        </is>
      </c>
      <c r="D104" s="710" t="n">
        <v>13</v>
      </c>
      <c r="E104" s="590" t="inlineStr">
        <is>
          <t>ADAM LIM KENG JIN</t>
        </is>
      </c>
      <c r="F104" s="707" t="inlineStr">
        <is>
          <t>2:25.32</t>
        </is>
      </c>
      <c r="G10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4" s="460">
        <f>G104/#REF!</f>
        <v/>
      </c>
      <c r="I104" s="661" t="inlineStr">
        <is>
          <t>2:25.61</t>
        </is>
      </c>
      <c r="J10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4" s="460">
        <f>J104/#REF!</f>
        <v/>
      </c>
      <c r="L104" s="709" t="n">
        <v>9</v>
      </c>
      <c r="M104" s="593" t="n">
        <v>9</v>
      </c>
      <c r="N104" s="655">
        <f t="array" ref="N104">1000*(INDEX('Bakat Base Times'!$E:$E,MATCH(1,('Bakat Base Times'!$A:$A=B104)*('Bakat Base Times'!$B:$B=C104)*('Bakat Base Times'!$C:$C=D104),0))/(VALUE(O104)))^3
</f>
        <v/>
      </c>
      <c r="O104" s="582">
        <f>IFERROR(__xludf.DUMMYFUNCTION("IF(ISNUMBER(I104), I104, IF(REGEXMATCH(I104, "":""), SUMPRODUCT(VALUE(SPLIT(I104, "":"")) * (60^(COUNTIF(SPLIT(I104, "":""), ""&lt;&gt;"")-COLUMN(OFFSET('MOT Tables 25'!$A$1,,,1,COUNTIF(SPLIT(I104, "":""),""&lt;&gt;"")))))), VALUE(I104)))"),145.61)</f>
        <v/>
      </c>
      <c r="P104" s="689" t="n"/>
      <c r="Q104" s="689" t="n"/>
      <c r="R104" s="689" t="n"/>
      <c r="S104" s="689" t="n"/>
      <c r="T104" s="689" t="n"/>
      <c r="U104" s="689" t="n"/>
      <c r="V104" s="689" t="n"/>
      <c r="W104" s="689" t="n"/>
      <c r="X104" s="689" t="n"/>
      <c r="Y104" s="596" t="inlineStr">
        <is>
          <t>M</t>
        </is>
      </c>
      <c r="Z104" s="597" t="inlineStr">
        <is>
          <t>200 IM</t>
        </is>
      </c>
      <c r="AA104" s="589" t="n">
        <v>13</v>
      </c>
      <c r="AB104" s="590" t="inlineStr">
        <is>
          <t>ADAM LIM KENG JIN</t>
        </is>
      </c>
      <c r="AC104" s="661" t="inlineStr">
        <is>
          <t>2:25.61</t>
        </is>
      </c>
      <c r="AD104" s="592">
        <f>IFERROR(__xludf.DUMMYFUNCTION("IF(ISNUMBER(AC104), AC104, IF(REGEXMATCH(AC104, "":""), SUMPRODUCT(VALUE(SPLIT(AC104, "":"")) * (60^(COUNTIF(SPLIT(AC104, "":""), ""&lt;&gt;"")-COLUMN(OFFSET('MOT Tables 25'!$A$1,,,1,COUNTIF(SPLIT(AC104, "":""),""&lt;&gt;"")))))), VALUE(AC104)))"),145.61)</f>
        <v/>
      </c>
      <c r="AE104" s="593" t="n">
        <v>9</v>
      </c>
      <c r="AF104" s="594">
        <f t="array" ref="AF104">1000*(INDEX('Bakat Base Times'!$E:$E,MATCH(1,('Bakat Base Times'!$A:$A=Y104)*('Bakat Base Times'!$B:$B=Z104)*('Bakat Base Times'!$C:$C=AA104),0))/(VALUE(AD104)))^3
</f>
        <v/>
      </c>
      <c r="AG104" s="693" t="n"/>
      <c r="AH104" s="596" t="inlineStr">
        <is>
          <t>F</t>
        </is>
      </c>
      <c r="AI104" s="597" t="inlineStr">
        <is>
          <t>200 Breast</t>
        </is>
      </c>
      <c r="AJ104" s="597" t="n">
        <v>14</v>
      </c>
      <c r="AK104" s="590" t="inlineStr">
        <is>
          <t>SEOW CUI YING</t>
        </is>
      </c>
      <c r="AL104" s="591" t="inlineStr">
        <is>
          <t>2:46.66</t>
        </is>
      </c>
      <c r="AM104" s="517">
        <f>IFERROR(__xludf.DUMMYFUNCTION("IF(ISNUMBER(AL104), AL104, IF(REGEXMATCH(AL104, "":""), SUMPRODUCT(VALUE(SPLIT(AL104, "":"")) * (60^(COUNTIF(SPLIT(AL104, "":""), ""&lt;&gt;"")-COLUMN(OFFSET('MOT Tables 25'!$A$1,,,1,COUNTIF(SPLIT(AL104, "":""),""&lt;&gt;"")))))), VALUE(AL104)))"),166.66)</f>
        <v/>
      </c>
      <c r="AN104" s="590" t="n">
        <v>6</v>
      </c>
      <c r="AO104" s="599">
        <f t="array" ref="AO104">1000*(INDEX('Bakat Base Times'!$E:$E,MATCH(1,('Bakat Base Times'!$A:$A=AH104)*('Bakat Base Times'!$B:$B=AI104)*('Bakat Base Times'!$C:$C=AJ104),0))/(VALUE(AM104)))^3
</f>
        <v/>
      </c>
      <c r="AP104" s="600" t="n"/>
      <c r="AQ104" s="693" t="n"/>
      <c r="AR104" s="693" t="n"/>
      <c r="AS104" s="693" t="n"/>
      <c r="AT104" s="693" t="n"/>
      <c r="AU104" s="699" t="n"/>
      <c r="AV104" s="693" t="n"/>
      <c r="AW104" s="693" t="n"/>
      <c r="AX104" s="693" t="n"/>
      <c r="AY104" s="693" t="n"/>
      <c r="AZ104" s="693" t="n"/>
    </row>
    <row r="105">
      <c r="A105" s="651" t="n"/>
      <c r="B105" s="705" t="inlineStr">
        <is>
          <t>M</t>
        </is>
      </c>
      <c r="C105" s="704" t="inlineStr">
        <is>
          <t>200 Fly</t>
        </is>
      </c>
      <c r="D105" s="705" t="n">
        <v>13</v>
      </c>
      <c r="E105" s="613" t="inlineStr">
        <is>
          <t>SHEAMUS CHEW HENG YI</t>
        </is>
      </c>
      <c r="F105" s="701" t="inlineStr">
        <is>
          <t>2:20.21</t>
        </is>
      </c>
      <c r="G10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5" s="464">
        <f>G105/#REF!</f>
        <v/>
      </c>
      <c r="I105" s="614" t="inlineStr">
        <is>
          <t>2:23.80</t>
        </is>
      </c>
      <c r="J10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5" s="464">
        <f>J105/#REF!</f>
        <v/>
      </c>
      <c r="L105" s="704" t="n">
        <v>5</v>
      </c>
      <c r="M105" s="616" t="n">
        <v>5</v>
      </c>
      <c r="N105" s="652">
        <f t="array" ref="N105">1000*(INDEX('Bakat Base Times'!$E:$E,MATCH(1,('Bakat Base Times'!$A:$A=B105)*('Bakat Base Times'!$B:$B=C105)*('Bakat Base Times'!$C:$C=D105),0))/(VALUE(O105)))^3
</f>
        <v/>
      </c>
      <c r="O105" s="609">
        <f>IFERROR(__xludf.DUMMYFUNCTION("IF(ISNUMBER(I105), I105, IF(REGEXMATCH(I105, "":""), SUMPRODUCT(VALUE(SPLIT(I105, "":"")) * (60^(COUNTIF(SPLIT(I105, "":""), ""&lt;&gt;"")-COLUMN(OFFSET('MOT Tables 25'!$A$1,,,1,COUNTIF(SPLIT(I105, "":""),""&lt;&gt;"")))))), VALUE(I105)))"),143.8)</f>
        <v/>
      </c>
      <c r="P105" s="689" t="n"/>
      <c r="Q105" s="689" t="n"/>
      <c r="R105" s="689" t="n"/>
      <c r="S105" s="689" t="n"/>
      <c r="T105" s="689" t="n"/>
      <c r="U105" s="689" t="n"/>
      <c r="V105" s="689" t="n"/>
      <c r="W105" s="689" t="n"/>
      <c r="X105" s="689" t="n"/>
      <c r="Y105" s="618" t="inlineStr">
        <is>
          <t>M</t>
        </is>
      </c>
      <c r="Z105" s="619" t="inlineStr">
        <is>
          <t>200 Fly</t>
        </is>
      </c>
      <c r="AA105" s="612" t="n">
        <v>13</v>
      </c>
      <c r="AB105" s="613" t="inlineStr">
        <is>
          <t>SHEAMUS CHEW HENG YI</t>
        </is>
      </c>
      <c r="AC105" s="614" t="inlineStr">
        <is>
          <t>2:23.80</t>
        </is>
      </c>
      <c r="AD105" s="628">
        <f>IFERROR(__xludf.DUMMYFUNCTION("IF(ISNUMBER(AC105), AC105, IF(REGEXMATCH(AC105, "":""), SUMPRODUCT(VALUE(SPLIT(AC105, "":"")) * (60^(COUNTIF(SPLIT(AC105, "":""), ""&lt;&gt;"")-COLUMN(OFFSET('MOT Tables 25'!$A$1,,,1,COUNTIF(SPLIT(AC105, "":""),""&lt;&gt;"")))))), VALUE(AC105)))"),143.8)</f>
        <v/>
      </c>
      <c r="AE105" s="616" t="n">
        <v>5</v>
      </c>
      <c r="AF105" s="617">
        <f t="array" ref="AF105">1000*(INDEX('Bakat Base Times'!$E:$E,MATCH(1,('Bakat Base Times'!$A:$A=Y105)*('Bakat Base Times'!$B:$B=Z105)*('Bakat Base Times'!$C:$C=AA105),0))/(VALUE(AD105)))^3
</f>
        <v/>
      </c>
      <c r="AG105" s="693" t="n"/>
      <c r="AH105" s="618" t="inlineStr">
        <is>
          <t>F</t>
        </is>
      </c>
      <c r="AI105" s="619" t="inlineStr">
        <is>
          <t>800 Free</t>
        </is>
      </c>
      <c r="AJ105" s="619" t="n">
        <v>14</v>
      </c>
      <c r="AK105" s="613" t="inlineStr">
        <is>
          <t>SEOW CUI YING</t>
        </is>
      </c>
      <c r="AL105" s="695" t="inlineStr">
        <is>
          <t>9:47.78</t>
        </is>
      </c>
      <c r="AM105" s="505">
        <f>IFERROR(__xludf.DUMMYFUNCTION("IF(ISNUMBER(AL105), AL105, IF(REGEXMATCH(AL105, "":""), SUMPRODUCT(VALUE(SPLIT(AL105, "":"")) * (60^(COUNTIF(SPLIT(AL105, "":""), ""&lt;&gt;"")-COLUMN(OFFSET('MOT Tables 25'!$A$1,,,1,COUNTIF(SPLIT(AL105, "":""),""&lt;&gt;"")))))), VALUE(AL105)))"),587.78)</f>
        <v/>
      </c>
      <c r="AN105" s="613" t="n">
        <v>10</v>
      </c>
      <c r="AO105" s="672">
        <f t="array" ref="AO105">1000*(INDEX('Bakat Base Times'!$E:$E,MATCH(1,('Bakat Base Times'!$A:$A=AH105)*('Bakat Base Times'!$B:$B=AI105)*('Bakat Base Times'!$C:$C=AJ105),0))/(VALUE(AM105)))^3
</f>
        <v/>
      </c>
      <c r="AP105" s="621" t="n"/>
      <c r="AQ105" s="693" t="n"/>
      <c r="AR105" s="693" t="n"/>
      <c r="AS105" s="693" t="n"/>
      <c r="AT105" s="693" t="n"/>
      <c r="AU105" s="699" t="n"/>
      <c r="AV105" s="693" t="n"/>
      <c r="AW105" s="693" t="n"/>
      <c r="AX105" s="693" t="n"/>
      <c r="AY105" s="693" t="n"/>
      <c r="AZ105" s="693" t="n"/>
    </row>
    <row r="106">
      <c r="A106" s="654" t="n"/>
      <c r="B106" s="710" t="inlineStr">
        <is>
          <t>M</t>
        </is>
      </c>
      <c r="C106" s="709" t="inlineStr">
        <is>
          <t>400 IM</t>
        </is>
      </c>
      <c r="D106" s="710" t="n">
        <v>18</v>
      </c>
      <c r="E106" s="590" t="inlineStr">
        <is>
          <t>SAMUEL LAI CHONG WENG</t>
        </is>
      </c>
      <c r="F106" s="707" t="inlineStr">
        <is>
          <t>4:48.28</t>
        </is>
      </c>
      <c r="G10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6" s="460">
        <f>G106/#REF!</f>
        <v/>
      </c>
      <c r="I106" s="591" t="inlineStr">
        <is>
          <t>4:44.85</t>
        </is>
      </c>
      <c r="J10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6" s="460">
        <f>J106/#REF!</f>
        <v/>
      </c>
      <c r="L106" s="709" t="n">
        <v>11</v>
      </c>
      <c r="M106" s="593" t="n">
        <v>8</v>
      </c>
      <c r="N106" s="655">
        <f t="array" ref="N106">1000*(INDEX('Bakat Base Times'!$E:$E,MATCH(1,('Bakat Base Times'!$A:$A=B106)*('Bakat Base Times'!$B:$B=C106)*('Bakat Base Times'!$C:$C=D106),0))/(VALUE(O106)))^3
</f>
        <v/>
      </c>
      <c r="O106" s="582">
        <f>IFERROR(__xludf.DUMMYFUNCTION("IF(ISNUMBER(I106), I106, IF(REGEXMATCH(I106, "":""), SUMPRODUCT(VALUE(SPLIT(I106, "":"")) * (60^(COUNTIF(SPLIT(I106, "":""), ""&lt;&gt;"")-COLUMN(OFFSET('MOT Tables 25'!$A$1,,,1,COUNTIF(SPLIT(I106, "":""),""&lt;&gt;"")))))), VALUE(I106)))"),284.85)</f>
        <v/>
      </c>
      <c r="P106" s="689" t="n"/>
      <c r="Q106" s="689" t="n"/>
      <c r="R106" s="689" t="n"/>
      <c r="S106" s="689" t="n"/>
      <c r="T106" s="689" t="n"/>
      <c r="U106" s="689" t="n"/>
      <c r="V106" s="689" t="n"/>
      <c r="W106" s="689" t="n"/>
      <c r="X106" s="689" t="n"/>
      <c r="Y106" s="596" t="inlineStr">
        <is>
          <t>M</t>
        </is>
      </c>
      <c r="Z106" s="597" t="inlineStr">
        <is>
          <t>400 IM</t>
        </is>
      </c>
      <c r="AA106" s="589" t="n">
        <v>18</v>
      </c>
      <c r="AB106" s="590" t="inlineStr">
        <is>
          <t>SAMUEL LAI CHONG WENG</t>
        </is>
      </c>
      <c r="AC106" s="591" t="inlineStr">
        <is>
          <t>4:44.85</t>
        </is>
      </c>
      <c r="AD106" s="592">
        <f>IFERROR(__xludf.DUMMYFUNCTION("IF(ISNUMBER(AC106), AC106, IF(REGEXMATCH(AC106, "":""), SUMPRODUCT(VALUE(SPLIT(AC106, "":"")) * (60^(COUNTIF(SPLIT(AC106, "":""), ""&lt;&gt;"")-COLUMN(OFFSET('MOT Tables 25'!$A$1,,,1,COUNTIF(SPLIT(AC106, "":""),""&lt;&gt;"")))))), VALUE(AC106)))"),284.85)</f>
        <v/>
      </c>
      <c r="AE106" s="593" t="n">
        <v>8</v>
      </c>
      <c r="AF106" s="594">
        <f t="array" ref="AF106">1000*(INDEX('Bakat Base Times'!$E:$E,MATCH(1,('Bakat Base Times'!$A:$A=Y106)*('Bakat Base Times'!$B:$B=Z106)*('Bakat Base Times'!$C:$C=AA106),0))/(VALUE(AD106)))^3
</f>
        <v/>
      </c>
      <c r="AG106" s="693" t="n"/>
      <c r="AH106" s="632" t="inlineStr">
        <is>
          <t>F</t>
        </is>
      </c>
      <c r="AI106" s="633" t="inlineStr">
        <is>
          <t>200 Fly</t>
        </is>
      </c>
      <c r="AJ106" s="633" t="n">
        <v>15</v>
      </c>
      <c r="AK106" s="634" t="inlineStr">
        <is>
          <t>SHANNON TAN YAN QING *</t>
        </is>
      </c>
      <c r="AL106" s="635" t="inlineStr">
        <is>
          <t>2:19.69</t>
        </is>
      </c>
      <c r="AM106" s="636">
        <f>IFERROR(__xludf.DUMMYFUNCTION("IF(ISNUMBER(AL106), AL106, IF(REGEXMATCH(AL106, "":""), SUMPRODUCT(VALUE(SPLIT(AL106, "":"")) * (60^(COUNTIF(SPLIT(AL106, "":""), ""&lt;&gt;"")-COLUMN(OFFSET('MOT Tables 25'!$A$1,,,1,COUNTIF(SPLIT(AL106, "":""),""&lt;&gt;"")))))), VALUE(AL106)))"),139.69)</f>
        <v/>
      </c>
      <c r="AN106" s="634" t="n">
        <v>2</v>
      </c>
      <c r="AO106" s="637">
        <f t="array" ref="AO106">1000*(INDEX('Bakat Base Times'!$E:$E,MATCH(1,('Bakat Base Times'!$A:$A=AH106)*('Bakat Base Times'!$B:$B=AI106)*('Bakat Base Times'!$C:$C=AJ106),0))/(VALUE(AM106)))^3
</f>
        <v/>
      </c>
      <c r="AP106" s="638" t="inlineStr">
        <is>
          <t>A</t>
        </is>
      </c>
      <c r="AQ106" s="639" t="n"/>
      <c r="AR106" s="693" t="n"/>
      <c r="AS106" s="693" t="n"/>
      <c r="AT106" s="693" t="n"/>
      <c r="AU106" s="699" t="n"/>
      <c r="AV106" s="693" t="n"/>
      <c r="AW106" s="693" t="n"/>
      <c r="AX106" s="693" t="n"/>
      <c r="AY106" s="693" t="n"/>
      <c r="AZ106" s="693" t="n"/>
    </row>
    <row r="107">
      <c r="A107" s="651" t="n"/>
      <c r="B107" s="705" t="inlineStr">
        <is>
          <t>M</t>
        </is>
      </c>
      <c r="C107" s="704" t="inlineStr">
        <is>
          <t>400 IM</t>
        </is>
      </c>
      <c r="D107" s="705" t="n">
        <v>15</v>
      </c>
      <c r="E107" s="613" t="inlineStr">
        <is>
          <t>YAP ZHEN KOK</t>
        </is>
      </c>
      <c r="F107" s="701" t="inlineStr">
        <is>
          <t>4:50.60</t>
        </is>
      </c>
      <c r="G10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7" s="464">
        <f>G107/#REF!</f>
        <v/>
      </c>
      <c r="I107" s="614" t="inlineStr">
        <is>
          <t>4:54.23</t>
        </is>
      </c>
      <c r="J10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7" s="464">
        <f>J107/#REF!</f>
        <v/>
      </c>
      <c r="L107" s="704" t="n">
        <v>5</v>
      </c>
      <c r="M107" s="616" t="n">
        <v>9</v>
      </c>
      <c r="N107" s="652">
        <f t="array" ref="N107">1000*(INDEX('Bakat Base Times'!$E:$E,MATCH(1,('Bakat Base Times'!$A:$A=B107)*('Bakat Base Times'!$B:$B=C107)*('Bakat Base Times'!$C:$C=D107),0))/(VALUE(O107)))^3
</f>
        <v/>
      </c>
      <c r="O107" s="609">
        <f>IFERROR(__xludf.DUMMYFUNCTION("IF(ISNUMBER(I107), I107, IF(REGEXMATCH(I107, "":""), SUMPRODUCT(VALUE(SPLIT(I107, "":"")) * (60^(COUNTIF(SPLIT(I107, "":""), ""&lt;&gt;"")-COLUMN(OFFSET('MOT Tables 25'!$A$1,,,1,COUNTIF(SPLIT(I107, "":""),""&lt;&gt;"")))))), VALUE(I107)))"),294.23)</f>
        <v/>
      </c>
      <c r="P107" s="689" t="n"/>
      <c r="Q107" s="689" t="n"/>
      <c r="R107" s="689" t="n"/>
      <c r="S107" s="689" t="n"/>
      <c r="T107" s="689" t="n"/>
      <c r="U107" s="689" t="n"/>
      <c r="V107" s="689" t="n"/>
      <c r="W107" s="689" t="n"/>
      <c r="X107" s="689" t="n"/>
      <c r="Y107" s="618" t="inlineStr">
        <is>
          <t>M</t>
        </is>
      </c>
      <c r="Z107" s="619" t="inlineStr">
        <is>
          <t>400 IM</t>
        </is>
      </c>
      <c r="AA107" s="612" t="n">
        <v>15</v>
      </c>
      <c r="AB107" s="613" t="inlineStr">
        <is>
          <t>YAP ZHEN KOK</t>
        </is>
      </c>
      <c r="AC107" s="614" t="inlineStr">
        <is>
          <t>4:54.23</t>
        </is>
      </c>
      <c r="AD107" s="628">
        <f>IFERROR(__xludf.DUMMYFUNCTION("IF(ISNUMBER(AC107), AC107, IF(REGEXMATCH(AC107, "":""), SUMPRODUCT(VALUE(SPLIT(AC107, "":"")) * (60^(COUNTIF(SPLIT(AC107, "":""), ""&lt;&gt;"")-COLUMN(OFFSET('MOT Tables 25'!$A$1,,,1,COUNTIF(SPLIT(AC107, "":""),""&lt;&gt;"")))))), VALUE(AC107)))"),294.23)</f>
        <v/>
      </c>
      <c r="AE107" s="616" t="n">
        <v>9</v>
      </c>
      <c r="AF107" s="617">
        <f t="array" ref="AF107">1000*(INDEX('Bakat Base Times'!$E:$E,MATCH(1,('Bakat Base Times'!$A:$A=Y107)*('Bakat Base Times'!$B:$B=Z107)*('Bakat Base Times'!$C:$C=AA107),0))/(VALUE(AD107)))^3
</f>
        <v/>
      </c>
      <c r="AG107" s="693" t="n"/>
      <c r="AH107" s="632" t="inlineStr">
        <is>
          <t>F</t>
        </is>
      </c>
      <c r="AI107" s="633" t="inlineStr">
        <is>
          <t>200 Free</t>
        </is>
      </c>
      <c r="AJ107" s="633" t="n">
        <v>15</v>
      </c>
      <c r="AK107" s="634" t="inlineStr">
        <is>
          <t>SHANNON TAN YAN QING *</t>
        </is>
      </c>
      <c r="AL107" s="635" t="inlineStr">
        <is>
          <t>2:09.34</t>
        </is>
      </c>
      <c r="AM107" s="636">
        <f>IFERROR(__xludf.DUMMYFUNCTION("IF(ISNUMBER(AL107), AL107, IF(REGEXMATCH(AL107, "":""), SUMPRODUCT(VALUE(SPLIT(AL107, "":"")) * (60^(COUNTIF(SPLIT(AL107, "":""), ""&lt;&gt;"")-COLUMN(OFFSET('MOT Tables 25'!$A$1,,,1,COUNTIF(SPLIT(AL107, "":""),""&lt;&gt;"")))))), VALUE(AL107)))"),129.34)</f>
        <v/>
      </c>
      <c r="AN107" s="634" t="n">
        <v>3</v>
      </c>
      <c r="AO107" s="637">
        <f t="array" ref="AO107">1000*(INDEX('Bakat Base Times'!$E:$E,MATCH(1,('Bakat Base Times'!$A:$A=AH107)*('Bakat Base Times'!$B:$B=AI107)*('Bakat Base Times'!$C:$C=AJ107),0))/(VALUE(AM107)))^3
</f>
        <v/>
      </c>
      <c r="AP107" s="638" t="inlineStr">
        <is>
          <t>A</t>
        </is>
      </c>
      <c r="AQ107" s="639" t="n"/>
      <c r="AR107" s="693" t="n"/>
      <c r="AS107" s="693" t="n"/>
      <c r="AT107" s="693" t="n"/>
      <c r="AU107" s="699" t="n"/>
      <c r="AV107" s="693" t="n"/>
      <c r="AW107" s="693" t="n"/>
      <c r="AX107" s="693" t="n"/>
      <c r="AY107" s="693" t="n"/>
      <c r="AZ107" s="693" t="n"/>
    </row>
    <row r="108">
      <c r="A108" s="654" t="n"/>
      <c r="B108" s="710" t="inlineStr">
        <is>
          <t>F</t>
        </is>
      </c>
      <c r="C108" s="709" t="inlineStr">
        <is>
          <t>200 Breast</t>
        </is>
      </c>
      <c r="D108" s="710" t="n">
        <v>13</v>
      </c>
      <c r="E108" s="590" t="inlineStr">
        <is>
          <t>LEE XUE WEN</t>
        </is>
      </c>
      <c r="F108" s="707" t="inlineStr">
        <is>
          <t>2:50.78</t>
        </is>
      </c>
      <c r="G10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8" s="460">
        <f>G108/#REF!</f>
        <v/>
      </c>
      <c r="I108" s="591" t="inlineStr">
        <is>
          <t>2:52.12</t>
        </is>
      </c>
      <c r="J10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8" s="460">
        <f>J108/#REF!</f>
        <v/>
      </c>
      <c r="L108" s="709" t="n">
        <v>7</v>
      </c>
      <c r="M108" s="593" t="n"/>
      <c r="N108" s="655">
        <f t="array" ref="N108">1000*(INDEX('Bakat Base Times'!$E:$E,MATCH(1,('Bakat Base Times'!$A:$A=B108)*('Bakat Base Times'!$B:$B=C108)*('Bakat Base Times'!$C:$C=D108),0))/(VALUE(O108)))^3
</f>
        <v/>
      </c>
      <c r="O108" s="582">
        <f>IFERROR(__xludf.DUMMYFUNCTION("IF(ISNUMBER(I108), I108, IF(REGEXMATCH(I108, "":""), SUMPRODUCT(VALUE(SPLIT(I108, "":"")) * (60^(COUNTIF(SPLIT(I108, "":""), ""&lt;&gt;"")-COLUMN(OFFSET('MOT Tables 25'!$A$1,,,1,COUNTIF(SPLIT(I108, "":""),""&lt;&gt;"")))))), VALUE(I108)))"),172.12)</f>
        <v/>
      </c>
      <c r="P108" s="689" t="n"/>
      <c r="Q108" s="689" t="n"/>
      <c r="R108" s="689" t="n"/>
      <c r="S108" s="689" t="n"/>
      <c r="T108" s="689" t="n"/>
      <c r="U108" s="689" t="n"/>
      <c r="V108" s="689" t="n"/>
      <c r="W108" s="689" t="n"/>
      <c r="X108" s="689" t="n"/>
      <c r="Y108" s="596" t="inlineStr">
        <is>
          <t>F</t>
        </is>
      </c>
      <c r="Z108" s="597" t="inlineStr">
        <is>
          <t>200 Breast</t>
        </is>
      </c>
      <c r="AA108" s="589" t="n">
        <v>13</v>
      </c>
      <c r="AB108" s="590" t="inlineStr">
        <is>
          <t>LEE XUE WEN</t>
        </is>
      </c>
      <c r="AC108" s="591" t="inlineStr">
        <is>
          <t>2:52.12</t>
        </is>
      </c>
      <c r="AD108" s="592">
        <f>IFERROR(__xludf.DUMMYFUNCTION("IF(ISNUMBER(AC108), AC108, IF(REGEXMATCH(AC108, "":""), SUMPRODUCT(VALUE(SPLIT(AC108, "":"")) * (60^(COUNTIF(SPLIT(AC108, "":""), ""&lt;&gt;"")-COLUMN(OFFSET('MOT Tables 25'!$A$1,,,1,COUNTIF(SPLIT(AC108, "":""),""&lt;&gt;"")))))), VALUE(AC108)))"),172.12)</f>
        <v/>
      </c>
      <c r="AE108" s="593" t="n"/>
      <c r="AF108" s="594">
        <f t="array" ref="AF108">1000*(INDEX('Bakat Base Times'!$E:$E,MATCH(1,('Bakat Base Times'!$A:$A=Y108)*('Bakat Base Times'!$B:$B=Z108)*('Bakat Base Times'!$C:$C=AA108),0))/(VALUE(AD108)))^3
</f>
        <v/>
      </c>
      <c r="AG108" s="693" t="n"/>
      <c r="AH108" s="632" t="inlineStr">
        <is>
          <t>F</t>
        </is>
      </c>
      <c r="AI108" s="633" t="inlineStr">
        <is>
          <t>100 Free</t>
        </is>
      </c>
      <c r="AJ108" s="633" t="n">
        <v>15</v>
      </c>
      <c r="AK108" s="634" t="inlineStr">
        <is>
          <t>SHANNON TAN YAN QING *</t>
        </is>
      </c>
      <c r="AL108" s="635" t="inlineStr">
        <is>
          <t>1:00.81</t>
        </is>
      </c>
      <c r="AM108" s="636">
        <f>IFERROR(__xludf.DUMMYFUNCTION("IF(ISNUMBER(AL108), AL108, IF(REGEXMATCH(AL108, "":""), SUMPRODUCT(VALUE(SPLIT(AL108, "":"")) * (60^(COUNTIF(SPLIT(AL108, "":""), ""&lt;&gt;"")-COLUMN(OFFSET('MOT Tables 25'!$A$1,,,1,COUNTIF(SPLIT(AL108, "":""),""&lt;&gt;"")))))), VALUE(AL108)))"),60.81)</f>
        <v/>
      </c>
      <c r="AN108" s="634" t="n">
        <v>9</v>
      </c>
      <c r="AO108" s="637">
        <f t="array" ref="AO108">1000*(INDEX('Bakat Base Times'!$E:$E,MATCH(1,('Bakat Base Times'!$A:$A=AH108)*('Bakat Base Times'!$B:$B=AI108)*('Bakat Base Times'!$C:$C=AJ108),0))/(VALUE(AM108)))^3
</f>
        <v/>
      </c>
      <c r="AP108" s="638" t="inlineStr">
        <is>
          <t>A</t>
        </is>
      </c>
      <c r="AQ108" s="639" t="n"/>
      <c r="AR108" s="693" t="n"/>
      <c r="AS108" s="693" t="n"/>
      <c r="AT108" s="693" t="n"/>
      <c r="AU108" s="699" t="n"/>
      <c r="AV108" s="693" t="n"/>
      <c r="AW108" s="693" t="n"/>
      <c r="AX108" s="693" t="n"/>
      <c r="AY108" s="693" t="n"/>
      <c r="AZ108" s="693" t="n"/>
    </row>
    <row r="109">
      <c r="A109" s="651" t="n"/>
      <c r="B109" s="705" t="inlineStr">
        <is>
          <t>F</t>
        </is>
      </c>
      <c r="C109" s="704" t="inlineStr">
        <is>
          <t>200 IM</t>
        </is>
      </c>
      <c r="D109" s="705" t="n">
        <v>15</v>
      </c>
      <c r="E109" s="613" t="inlineStr">
        <is>
          <t>CHEREEN NGO YIRUI</t>
        </is>
      </c>
      <c r="F109" s="701" t="inlineStr">
        <is>
          <t>2:29.50</t>
        </is>
      </c>
      <c r="G10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09" s="464">
        <f>G109/#REF!</f>
        <v/>
      </c>
      <c r="I109" s="665" t="inlineStr">
        <is>
          <t>2:29.60</t>
        </is>
      </c>
      <c r="J10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09" s="464">
        <f>J109/#REF!</f>
        <v/>
      </c>
      <c r="L109" s="704" t="n">
        <v>13</v>
      </c>
      <c r="M109" s="616" t="n">
        <v>10</v>
      </c>
      <c r="N109" s="652">
        <f t="array" ref="N109">1000*(INDEX('Bakat Base Times'!$E:$E,MATCH(1,('Bakat Base Times'!$A:$A=B109)*('Bakat Base Times'!$B:$B=C109)*('Bakat Base Times'!$C:$C=D109),0))/(VALUE(O109)))^3
</f>
        <v/>
      </c>
      <c r="O109" s="609">
        <f>IFERROR(__xludf.DUMMYFUNCTION("IF(ISNUMBER(I109), I109, IF(REGEXMATCH(I109, "":""), SUMPRODUCT(VALUE(SPLIT(I109, "":"")) * (60^(COUNTIF(SPLIT(I109, "":""), ""&lt;&gt;"")-COLUMN(OFFSET('MOT Tables 25'!$A$1,,,1,COUNTIF(SPLIT(I109, "":""),""&lt;&gt;"")))))), VALUE(I109)))"),149.6)</f>
        <v/>
      </c>
      <c r="P109" s="689" t="n"/>
      <c r="Q109" s="689" t="n"/>
      <c r="R109" s="689" t="n"/>
      <c r="S109" s="689" t="n"/>
      <c r="T109" s="689" t="n"/>
      <c r="U109" s="689" t="n"/>
      <c r="V109" s="689" t="n"/>
      <c r="W109" s="689" t="n"/>
      <c r="X109" s="689" t="n"/>
      <c r="Y109" s="618" t="inlineStr">
        <is>
          <t>F</t>
        </is>
      </c>
      <c r="Z109" s="619" t="inlineStr">
        <is>
          <t>200 IM</t>
        </is>
      </c>
      <c r="AA109" s="612" t="n">
        <v>15</v>
      </c>
      <c r="AB109" s="613" t="inlineStr">
        <is>
          <t>CHEREEN NGO YIRUI</t>
        </is>
      </c>
      <c r="AC109" s="665" t="inlineStr">
        <is>
          <t>2:29.60</t>
        </is>
      </c>
      <c r="AD109" s="628">
        <f>IFERROR(__xludf.DUMMYFUNCTION("IF(ISNUMBER(AC109), AC109, IF(REGEXMATCH(AC109, "":""), SUMPRODUCT(VALUE(SPLIT(AC109, "":"")) * (60^(COUNTIF(SPLIT(AC109, "":""), ""&lt;&gt;"")-COLUMN(OFFSET('MOT Tables 25'!$A$1,,,1,COUNTIF(SPLIT(AC109, "":""),""&lt;&gt;"")))))), VALUE(AC109)))"),149.6)</f>
        <v/>
      </c>
      <c r="AE109" s="616" t="n">
        <v>10</v>
      </c>
      <c r="AF109" s="617">
        <f t="array" ref="AF109">1000*(INDEX('Bakat Base Times'!$E:$E,MATCH(1,('Bakat Base Times'!$A:$A=Y109)*('Bakat Base Times'!$B:$B=Z109)*('Bakat Base Times'!$C:$C=AA109),0))/(VALUE(AD109)))^3
</f>
        <v/>
      </c>
      <c r="AG109" s="693" t="n"/>
      <c r="AH109" s="632" t="inlineStr">
        <is>
          <t>F</t>
        </is>
      </c>
      <c r="AI109" s="633" t="inlineStr">
        <is>
          <t>100 Fly</t>
        </is>
      </c>
      <c r="AJ109" s="633" t="n">
        <v>15</v>
      </c>
      <c r="AK109" s="634" t="inlineStr">
        <is>
          <t>SHANNON TAN YAN QING *</t>
        </is>
      </c>
      <c r="AL109" s="635" t="inlineStr">
        <is>
          <t>1:06.46</t>
        </is>
      </c>
      <c r="AM109" s="636">
        <f>IFERROR(__xludf.DUMMYFUNCTION("IF(ISNUMBER(AL109), AL109, IF(REGEXMATCH(AL109, "":""), SUMPRODUCT(VALUE(SPLIT(AL109, "":"")) * (60^(COUNTIF(SPLIT(AL109, "":""), ""&lt;&gt;"")-COLUMN(OFFSET('MOT Tables 25'!$A$1,,,1,COUNTIF(SPLIT(AL109, "":""),""&lt;&gt;"")))))), VALUE(AL109)))"),66.46)</f>
        <v/>
      </c>
      <c r="AN109" s="634" t="n">
        <v>11</v>
      </c>
      <c r="AO109" s="637">
        <f t="array" ref="AO109">1000*(INDEX('Bakat Base Times'!$E:$E,MATCH(1,('Bakat Base Times'!$A:$A=AH109)*('Bakat Base Times'!$B:$B=AI109)*('Bakat Base Times'!$C:$C=AJ109),0))/(VALUE(AM109)))^3
</f>
        <v/>
      </c>
      <c r="AP109" s="638" t="inlineStr">
        <is>
          <t>A</t>
        </is>
      </c>
      <c r="AQ109" s="639" t="n"/>
      <c r="AR109" s="693" t="n"/>
      <c r="AS109" s="693" t="n"/>
      <c r="AT109" s="693" t="n"/>
      <c r="AU109" s="699" t="n"/>
      <c r="AV109" s="693" t="n"/>
      <c r="AW109" s="693" t="n"/>
      <c r="AX109" s="693" t="n"/>
      <c r="AY109" s="693" t="n"/>
      <c r="AZ109" s="693" t="n"/>
    </row>
    <row r="110">
      <c r="A110" s="654" t="n"/>
      <c r="B110" s="710" t="inlineStr">
        <is>
          <t>F</t>
        </is>
      </c>
      <c r="C110" s="709" t="inlineStr">
        <is>
          <t>200 IM</t>
        </is>
      </c>
      <c r="D110" s="710" t="n">
        <v>13</v>
      </c>
      <c r="E110" s="590" t="inlineStr">
        <is>
          <t>JODIE YIP JI SHIN</t>
        </is>
      </c>
      <c r="F110" s="709" t="inlineStr">
        <is>
          <t>2:33.33</t>
        </is>
      </c>
      <c r="G11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0" s="460">
        <f>G110/#REF!</f>
        <v/>
      </c>
      <c r="I110" s="591" t="inlineStr">
        <is>
          <t>2:34.16</t>
        </is>
      </c>
      <c r="J11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0" s="460">
        <f>J110/#REF!</f>
        <v/>
      </c>
      <c r="L110" s="709" t="n">
        <v>7</v>
      </c>
      <c r="M110" s="593" t="n">
        <v>7</v>
      </c>
      <c r="N110" s="655">
        <f t="array" ref="N110">1000*(INDEX('Bakat Base Times'!$E:$E,MATCH(1,('Bakat Base Times'!$A:$A=B110)*('Bakat Base Times'!$B:$B=C110)*('Bakat Base Times'!$C:$C=D110),0))/(VALUE(O110)))^3
</f>
        <v/>
      </c>
      <c r="O110" s="582">
        <f>IFERROR(__xludf.DUMMYFUNCTION("IF(ISNUMBER(I110), I110, IF(REGEXMATCH(I110, "":""), SUMPRODUCT(VALUE(SPLIT(I110, "":"")) * (60^(COUNTIF(SPLIT(I110, "":""), ""&lt;&gt;"")-COLUMN(OFFSET('MOT Tables 25'!$A$1,,,1,COUNTIF(SPLIT(I110, "":""),""&lt;&gt;"")))))), VALUE(I110)))"),154.16)</f>
        <v/>
      </c>
      <c r="P110" s="689" t="n"/>
      <c r="Q110" s="689" t="n"/>
      <c r="R110" s="689" t="n"/>
      <c r="S110" s="689" t="n"/>
      <c r="T110" s="689" t="n"/>
      <c r="U110" s="689" t="n"/>
      <c r="V110" s="689" t="n"/>
      <c r="W110" s="689" t="n"/>
      <c r="X110" s="689" t="n"/>
      <c r="Y110" s="596" t="inlineStr">
        <is>
          <t>F</t>
        </is>
      </c>
      <c r="Z110" s="597" t="inlineStr">
        <is>
          <t>200 IM</t>
        </is>
      </c>
      <c r="AA110" s="589" t="n">
        <v>13</v>
      </c>
      <c r="AB110" s="590" t="inlineStr">
        <is>
          <t>JODIE YIP JI SHIN</t>
        </is>
      </c>
      <c r="AC110" s="591" t="inlineStr">
        <is>
          <t>2:34.16</t>
        </is>
      </c>
      <c r="AD110" s="592">
        <f>IFERROR(__xludf.DUMMYFUNCTION("IF(ISNUMBER(AC110), AC110, IF(REGEXMATCH(AC110, "":""), SUMPRODUCT(VALUE(SPLIT(AC110, "":"")) * (60^(COUNTIF(SPLIT(AC110, "":""), ""&lt;&gt;"")-COLUMN(OFFSET('MOT Tables 25'!$A$1,,,1,COUNTIF(SPLIT(AC110, "":""),""&lt;&gt;"")))))), VALUE(AC110)))"),154.16)</f>
        <v/>
      </c>
      <c r="AE110" s="593" t="n">
        <v>7</v>
      </c>
      <c r="AF110" s="594">
        <f t="array" ref="AF110">1000*(INDEX('Bakat Base Times'!$E:$E,MATCH(1,('Bakat Base Times'!$A:$A=Y110)*('Bakat Base Times'!$B:$B=Z110)*('Bakat Base Times'!$C:$C=AA110),0))/(VALUE(AD110)))^3
</f>
        <v/>
      </c>
      <c r="AG110" s="693" t="n"/>
      <c r="AH110" s="632" t="inlineStr">
        <is>
          <t>F</t>
        </is>
      </c>
      <c r="AI110" s="633" t="inlineStr">
        <is>
          <t>400 IM</t>
        </is>
      </c>
      <c r="AJ110" s="633" t="n">
        <v>15</v>
      </c>
      <c r="AK110" s="634" t="inlineStr">
        <is>
          <t>SHANNON TAN YAN QING *</t>
        </is>
      </c>
      <c r="AL110" s="635" t="inlineStr">
        <is>
          <t>5:21.21</t>
        </is>
      </c>
      <c r="AM110" s="636">
        <f>IFERROR(__xludf.DUMMYFUNCTION("IF(ISNUMBER(AL110), AL110, IF(REGEXMATCH(AL110, "":""), SUMPRODUCT(VALUE(SPLIT(AL110, "":"")) * (60^(COUNTIF(SPLIT(AL110, "":""), ""&lt;&gt;"")-COLUMN(OFFSET('MOT Tables 25'!$A$1,,,1,COUNTIF(SPLIT(AL110, "":""),""&lt;&gt;"")))))), VALUE(AL110)))"),321.21)</f>
        <v/>
      </c>
      <c r="AN110" s="634" t="n">
        <v>9</v>
      </c>
      <c r="AO110" s="637">
        <f t="array" ref="AO110">1000*(INDEX('Bakat Base Times'!$E:$E,MATCH(1,('Bakat Base Times'!$A:$A=AH110)*('Bakat Base Times'!$B:$B=AI110)*('Bakat Base Times'!$C:$C=AJ110),0))/(VALUE(AM110)))^3
</f>
        <v/>
      </c>
      <c r="AP110" s="638" t="inlineStr">
        <is>
          <t>A</t>
        </is>
      </c>
      <c r="AQ110" s="639" t="n"/>
      <c r="AR110" s="693" t="n"/>
      <c r="AS110" s="693" t="n"/>
      <c r="AT110" s="693" t="n"/>
      <c r="AU110" s="699" t="n"/>
      <c r="AV110" s="693" t="n"/>
      <c r="AW110" s="693" t="n"/>
      <c r="AX110" s="693" t="n"/>
      <c r="AY110" s="693" t="n"/>
      <c r="AZ110" s="693" t="n"/>
    </row>
    <row r="111">
      <c r="A111" s="651" t="n"/>
      <c r="B111" s="705" t="inlineStr">
        <is>
          <t>F</t>
        </is>
      </c>
      <c r="C111" s="704" t="inlineStr">
        <is>
          <t>50 Free</t>
        </is>
      </c>
      <c r="D111" s="705" t="n">
        <v>16</v>
      </c>
      <c r="E111" s="613" t="inlineStr">
        <is>
          <t>KAELYN CHEE WEI YI</t>
        </is>
      </c>
      <c r="F111" s="627" t="n">
        <v>27.36</v>
      </c>
      <c r="G11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1" s="464">
        <f>G111/#REF!</f>
        <v/>
      </c>
      <c r="I111" s="665" t="n">
        <v>28.11</v>
      </c>
      <c r="J11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1" s="464">
        <f>J111/#REF!</f>
        <v/>
      </c>
      <c r="L111" s="704" t="n">
        <v>9</v>
      </c>
      <c r="M111" s="616" t="n">
        <v>12</v>
      </c>
      <c r="N111" s="652">
        <f t="array" ref="N111">1000*(INDEX('Bakat Base Times'!$E:$E,MATCH(1,('Bakat Base Times'!$A:$A=B111)*('Bakat Base Times'!$B:$B=C111)*('Bakat Base Times'!$C:$C=D111),0))/(VALUE(O111)))^3
</f>
        <v/>
      </c>
      <c r="O111" s="609">
        <f>IFERROR(__xludf.DUMMYFUNCTION("IF(ISNUMBER(I111), I111, IF(REGEXMATCH(I111, "":""), SUMPRODUCT(VALUE(SPLIT(I111, "":"")) * (60^(COUNTIF(SPLIT(I111, "":""), ""&lt;&gt;"")-COLUMN(OFFSET('MOT Tables 25'!$A$1,,,1,COUNTIF(SPLIT(I111, "":""),""&lt;&gt;"")))))), VALUE(I111)))"),28.11)</f>
        <v/>
      </c>
      <c r="P111" s="689" t="n"/>
      <c r="Q111" s="689" t="n"/>
      <c r="R111" s="689" t="n"/>
      <c r="S111" s="689" t="n"/>
      <c r="T111" s="689" t="n"/>
      <c r="U111" s="689" t="n"/>
      <c r="V111" s="689" t="n"/>
      <c r="W111" s="689" t="n"/>
      <c r="X111" s="689" t="n"/>
      <c r="Y111" s="618" t="inlineStr">
        <is>
          <t>F</t>
        </is>
      </c>
      <c r="Z111" s="619" t="inlineStr">
        <is>
          <t>50 Free</t>
        </is>
      </c>
      <c r="AA111" s="612" t="n">
        <v>16</v>
      </c>
      <c r="AB111" s="613" t="inlineStr">
        <is>
          <t>KAELYN CHEE WEI YI</t>
        </is>
      </c>
      <c r="AC111" s="665" t="n">
        <v>28.11</v>
      </c>
      <c r="AD111" s="628">
        <f>IFERROR(__xludf.DUMMYFUNCTION("IF(ISNUMBER(AC111), AC111, IF(REGEXMATCH(AC111, "":""), SUMPRODUCT(VALUE(SPLIT(AC111, "":"")) * (60^(COUNTIF(SPLIT(AC111, "":""), ""&lt;&gt;"")-COLUMN(OFFSET('MOT Tables 25'!$A$1,,,1,COUNTIF(SPLIT(AC111, "":""),""&lt;&gt;"")))))), VALUE(AC111)))"),28.11)</f>
        <v/>
      </c>
      <c r="AE111" s="616" t="n">
        <v>12</v>
      </c>
      <c r="AF111" s="617">
        <f t="array" ref="AF111">1000*(INDEX('Bakat Base Times'!$E:$E,MATCH(1,('Bakat Base Times'!$A:$A=Y111)*('Bakat Base Times'!$B:$B=Z111)*('Bakat Base Times'!$C:$C=AA111),0))/(VALUE(AD111)))^3
</f>
        <v/>
      </c>
      <c r="AG111" s="693" t="n"/>
      <c r="AH111" s="632" t="inlineStr">
        <is>
          <t>F</t>
        </is>
      </c>
      <c r="AI111" s="633" t="inlineStr">
        <is>
          <t>400 Free</t>
        </is>
      </c>
      <c r="AJ111" s="633" t="n">
        <v>15</v>
      </c>
      <c r="AK111" s="634" t="inlineStr">
        <is>
          <t>SHANNON TAN YAN QING *</t>
        </is>
      </c>
      <c r="AL111" s="674" t="inlineStr">
        <is>
          <t>4:52.52</t>
        </is>
      </c>
      <c r="AM111" s="636">
        <f>IFERROR(__xludf.DUMMYFUNCTION("IF(ISNUMBER(AL111), AL111, IF(REGEXMATCH(AL111, "":""), SUMPRODUCT(VALUE(SPLIT(AL111, "":"")) * (60^(COUNTIF(SPLIT(AL111, "":""), ""&lt;&gt;"")-COLUMN(OFFSET('MOT Tables 25'!$A$1,,,1,COUNTIF(SPLIT(AL111, "":""),""&lt;&gt;"")))))), VALUE(AL111)))"),292.52)</f>
        <v/>
      </c>
      <c r="AN111" s="634" t="n">
        <v>12</v>
      </c>
      <c r="AO111" s="637">
        <f t="array" ref="AO111">1000*(INDEX('Bakat Base Times'!$E:$E,MATCH(1,('Bakat Base Times'!$A:$A=AH111)*('Bakat Base Times'!$B:$B=AI111)*('Bakat Base Times'!$C:$C=AJ111),0))/(VALUE(AM111)))^3
</f>
        <v/>
      </c>
      <c r="AP111" s="638" t="inlineStr">
        <is>
          <t>A</t>
        </is>
      </c>
      <c r="AQ111" s="639" t="n"/>
      <c r="AR111" s="693" t="n"/>
      <c r="AS111" s="693" t="n"/>
      <c r="AT111" s="693" t="n"/>
      <c r="AU111" s="699" t="n"/>
      <c r="AV111" s="693" t="n"/>
      <c r="AW111" s="693" t="n"/>
      <c r="AX111" s="693" t="n"/>
      <c r="AY111" s="693" t="n"/>
      <c r="AZ111" s="693" t="n"/>
    </row>
    <row r="112">
      <c r="A112" s="654" t="n"/>
      <c r="B112" s="710" t="inlineStr">
        <is>
          <t>F</t>
        </is>
      </c>
      <c r="C112" s="709" t="inlineStr">
        <is>
          <t>50 Free</t>
        </is>
      </c>
      <c r="D112" s="710" t="n">
        <v>16</v>
      </c>
      <c r="E112" s="590" t="inlineStr">
        <is>
          <t>LYNNA YEOW YI JING</t>
        </is>
      </c>
      <c r="F112" s="629" t="n">
        <v>27.42</v>
      </c>
      <c r="G11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2" s="460">
        <f>G112/#REF!</f>
        <v/>
      </c>
      <c r="I112" s="591" t="n">
        <v>28.11</v>
      </c>
      <c r="J11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2" s="460">
        <f>J112/#REF!</f>
        <v/>
      </c>
      <c r="L112" s="709" t="n">
        <v>10</v>
      </c>
      <c r="M112" s="593" t="n">
        <v>15</v>
      </c>
      <c r="N112" s="655">
        <f t="array" ref="N112">1000*(INDEX('Bakat Base Times'!$E:$E,MATCH(1,('Bakat Base Times'!$A:$A=B112)*('Bakat Base Times'!$B:$B=C112)*('Bakat Base Times'!$C:$C=D112),0))/(VALUE(O112)))^3
</f>
        <v/>
      </c>
      <c r="O112" s="582">
        <f>IFERROR(__xludf.DUMMYFUNCTION("IF(ISNUMBER(I112), I112, IF(REGEXMATCH(I112, "":""), SUMPRODUCT(VALUE(SPLIT(I112, "":"")) * (60^(COUNTIF(SPLIT(I112, "":""), ""&lt;&gt;"")-COLUMN(OFFSET('MOT Tables 25'!$A$1,,,1,COUNTIF(SPLIT(I112, "":""),""&lt;&gt;"")))))), VALUE(I112)))"),28.11)</f>
        <v/>
      </c>
      <c r="P112" s="689" t="n"/>
      <c r="Q112" s="689" t="n"/>
      <c r="R112" s="689" t="n"/>
      <c r="S112" s="689" t="n"/>
      <c r="T112" s="689" t="n"/>
      <c r="U112" s="689" t="n"/>
      <c r="V112" s="689" t="n"/>
      <c r="W112" s="689" t="n"/>
      <c r="X112" s="689" t="n"/>
      <c r="Y112" s="596" t="inlineStr">
        <is>
          <t>F</t>
        </is>
      </c>
      <c r="Z112" s="597" t="inlineStr">
        <is>
          <t>50 Free</t>
        </is>
      </c>
      <c r="AA112" s="589" t="n">
        <v>16</v>
      </c>
      <c r="AB112" s="590" t="inlineStr">
        <is>
          <t>LYNNA YEOW YI JING</t>
        </is>
      </c>
      <c r="AC112" s="591" t="n">
        <v>28.11</v>
      </c>
      <c r="AD112" s="592">
        <f>IFERROR(__xludf.DUMMYFUNCTION("IF(ISNUMBER(AC112), AC112, IF(REGEXMATCH(AC112, "":""), SUMPRODUCT(VALUE(SPLIT(AC112, "":"")) * (60^(COUNTIF(SPLIT(AC112, "":""), ""&lt;&gt;"")-COLUMN(OFFSET('MOT Tables 25'!$A$1,,,1,COUNTIF(SPLIT(AC112, "":""),""&lt;&gt;"")))))), VALUE(AC112)))"),28.11)</f>
        <v/>
      </c>
      <c r="AE112" s="593" t="n">
        <v>15</v>
      </c>
      <c r="AF112" s="594">
        <f t="array" ref="AF112">1000*(INDEX('Bakat Base Times'!$E:$E,MATCH(1,('Bakat Base Times'!$A:$A=Y112)*('Bakat Base Times'!$B:$B=Z112)*('Bakat Base Times'!$C:$C=AA112),0))/(VALUE(AD112)))^3
</f>
        <v/>
      </c>
      <c r="AG112" s="693" t="n"/>
      <c r="AH112" s="596" t="inlineStr">
        <is>
          <t>M</t>
        </is>
      </c>
      <c r="AI112" s="597" t="inlineStr">
        <is>
          <t>200 Breast</t>
        </is>
      </c>
      <c r="AJ112" s="597" t="n">
        <v>17</v>
      </c>
      <c r="AK112" s="590" t="inlineStr">
        <is>
          <t>SOPHOCLES NG XINXIAN</t>
        </is>
      </c>
      <c r="AL112" s="591" t="inlineStr">
        <is>
          <t>2:24.82</t>
        </is>
      </c>
      <c r="AM112" s="517">
        <f>IFERROR(__xludf.DUMMYFUNCTION("IF(ISNUMBER(AL112), AL112, IF(REGEXMATCH(AL112, "":""), SUMPRODUCT(VALUE(SPLIT(AL112, "":"")) * (60^(COUNTIF(SPLIT(AL112, "":""), ""&lt;&gt;"")-COLUMN(OFFSET('MOT Tables 25'!$A$1,,,1,COUNTIF(SPLIT(AL112, "":""),""&lt;&gt;"")))))), VALUE(AL112)))"),144.82)</f>
        <v/>
      </c>
      <c r="AN112" s="590" t="n">
        <v>8</v>
      </c>
      <c r="AO112" s="599">
        <f t="array" ref="AO112">1000*(INDEX('Bakat Base Times'!$E:$E,MATCH(1,('Bakat Base Times'!$A:$A=AH112)*('Bakat Base Times'!$B:$B=AI112)*('Bakat Base Times'!$C:$C=AJ112),0))/(VALUE(AM112)))^3
</f>
        <v/>
      </c>
      <c r="AP112" s="600" t="n"/>
      <c r="AQ112" s="693" t="n"/>
      <c r="AR112" s="693" t="n"/>
      <c r="AS112" s="693" t="n"/>
      <c r="AT112" s="693" t="n"/>
      <c r="AU112" s="699" t="n"/>
      <c r="AV112" s="693" t="n"/>
      <c r="AW112" s="693" t="n"/>
      <c r="AX112" s="693" t="n"/>
      <c r="AY112" s="693" t="n"/>
      <c r="AZ112" s="693" t="n"/>
    </row>
    <row r="113">
      <c r="A113" s="651" t="n"/>
      <c r="B113" s="705" t="inlineStr">
        <is>
          <t>M</t>
        </is>
      </c>
      <c r="C113" s="704" t="inlineStr">
        <is>
          <t>200 Breast</t>
        </is>
      </c>
      <c r="D113" s="705" t="n">
        <v>13</v>
      </c>
      <c r="E113" s="613" t="inlineStr">
        <is>
          <t>CHAY ZECH</t>
        </is>
      </c>
      <c r="F113" s="701" t="inlineStr">
        <is>
          <t>2:43.04</t>
        </is>
      </c>
      <c r="G11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3" s="464">
        <f>G113/#REF!</f>
        <v/>
      </c>
      <c r="I113" s="614" t="inlineStr">
        <is>
          <t>2:42.69</t>
        </is>
      </c>
      <c r="J11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3" s="464">
        <f>J113/#REF!</f>
        <v/>
      </c>
      <c r="L113" s="704" t="n">
        <v>11</v>
      </c>
      <c r="M113" s="616" t="n">
        <v>9</v>
      </c>
      <c r="N113" s="652">
        <f t="array" ref="N113">1000*(INDEX('Bakat Base Times'!$E:$E,MATCH(1,('Bakat Base Times'!$A:$A=B113)*('Bakat Base Times'!$B:$B=C113)*('Bakat Base Times'!$C:$C=D113),0))/(VALUE(O113)))^3
</f>
        <v/>
      </c>
      <c r="O113" s="609">
        <f>IFERROR(__xludf.DUMMYFUNCTION("IF(ISNUMBER(I113), I113, IF(REGEXMATCH(I113, "":""), SUMPRODUCT(VALUE(SPLIT(I113, "":"")) * (60^(COUNTIF(SPLIT(I113, "":""), ""&lt;&gt;"")-COLUMN(OFFSET('MOT Tables 25'!$A$1,,,1,COUNTIF(SPLIT(I113, "":""),""&lt;&gt;"")))))), VALUE(I113)))"),162.69)</f>
        <v/>
      </c>
      <c r="P113" s="689" t="n"/>
      <c r="Q113" s="689" t="n"/>
      <c r="R113" s="689" t="n"/>
      <c r="S113" s="689" t="n"/>
      <c r="T113" s="689" t="n"/>
      <c r="U113" s="689" t="n"/>
      <c r="V113" s="689" t="n"/>
      <c r="W113" s="689" t="n"/>
      <c r="X113" s="689" t="n"/>
      <c r="Y113" s="618" t="inlineStr">
        <is>
          <t>M</t>
        </is>
      </c>
      <c r="Z113" s="619" t="inlineStr">
        <is>
          <t>200 Breast</t>
        </is>
      </c>
      <c r="AA113" s="612" t="n">
        <v>13</v>
      </c>
      <c r="AB113" s="613" t="inlineStr">
        <is>
          <t>CHAY ZECH</t>
        </is>
      </c>
      <c r="AC113" s="614" t="inlineStr">
        <is>
          <t>2:42.69</t>
        </is>
      </c>
      <c r="AD113" s="628">
        <f>IFERROR(__xludf.DUMMYFUNCTION("IF(ISNUMBER(AC113), AC113, IF(REGEXMATCH(AC113, "":""), SUMPRODUCT(VALUE(SPLIT(AC113, "":"")) * (60^(COUNTIF(SPLIT(AC113, "":""), ""&lt;&gt;"")-COLUMN(OFFSET('MOT Tables 25'!$A$1,,,1,COUNTIF(SPLIT(AC113, "":""),""&lt;&gt;"")))))), VALUE(AC113)))"),162.69)</f>
        <v/>
      </c>
      <c r="AE113" s="616" t="n">
        <v>9</v>
      </c>
      <c r="AF113" s="617">
        <f t="array" ref="AF113">1000*(INDEX('Bakat Base Times'!$E:$E,MATCH(1,('Bakat Base Times'!$A:$A=Y113)*('Bakat Base Times'!$B:$B=Z113)*('Bakat Base Times'!$C:$C=AA113),0))/(VALUE(AD113)))^3
</f>
        <v/>
      </c>
      <c r="AG113" s="693" t="n"/>
      <c r="AH113" s="618" t="inlineStr">
        <is>
          <t>M</t>
        </is>
      </c>
      <c r="AI113" s="619" t="inlineStr">
        <is>
          <t>400 IM</t>
        </is>
      </c>
      <c r="AJ113" s="619" t="n">
        <v>17</v>
      </c>
      <c r="AK113" s="613" t="inlineStr">
        <is>
          <t>SOPHOCLES NG XINXIAN</t>
        </is>
      </c>
      <c r="AL113" s="614" t="inlineStr">
        <is>
          <t>4:55.99</t>
        </is>
      </c>
      <c r="AM113" s="505">
        <f>IFERROR(__xludf.DUMMYFUNCTION("IF(ISNUMBER(AL113), AL113, IF(REGEXMATCH(AL113, "":""), SUMPRODUCT(VALUE(SPLIT(AL113, "":"")) * (60^(COUNTIF(SPLIT(AL113, "":""), ""&lt;&gt;"")-COLUMN(OFFSET('MOT Tables 25'!$A$1,,,1,COUNTIF(SPLIT(AL113, "":""),""&lt;&gt;"")))))), VALUE(AL113)))"),295.99)</f>
        <v/>
      </c>
      <c r="AN113" s="613" t="n">
        <v>13</v>
      </c>
      <c r="AO113" s="672">
        <f t="array" ref="AO113">1000*(INDEX('Bakat Base Times'!$E:$E,MATCH(1,('Bakat Base Times'!$A:$A=AH113)*('Bakat Base Times'!$B:$B=AI113)*('Bakat Base Times'!$C:$C=AJ113),0))/(VALUE(AM113)))^3
</f>
        <v/>
      </c>
      <c r="AP113" s="621" t="n"/>
      <c r="AQ113" s="693" t="n"/>
      <c r="AR113" s="693" t="n"/>
      <c r="AS113" s="693" t="n"/>
      <c r="AT113" s="693" t="n"/>
      <c r="AU113" s="699" t="n"/>
      <c r="AV113" s="693" t="n"/>
      <c r="AW113" s="693" t="n"/>
      <c r="AX113" s="693" t="n"/>
      <c r="AY113" s="693" t="n"/>
      <c r="AZ113" s="693" t="n"/>
    </row>
    <row r="114">
      <c r="A114" s="654" t="n"/>
      <c r="B114" s="710" t="inlineStr">
        <is>
          <t>M</t>
        </is>
      </c>
      <c r="C114" s="709" t="inlineStr">
        <is>
          <t>400 IM</t>
        </is>
      </c>
      <c r="D114" s="710" t="n">
        <v>13</v>
      </c>
      <c r="E114" s="590" t="inlineStr">
        <is>
          <t>SHEAMUS CHEW HENG YI</t>
        </is>
      </c>
      <c r="F114" s="707" t="inlineStr">
        <is>
          <t>4:56.19</t>
        </is>
      </c>
      <c r="G11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4" s="460">
        <f>G114/#REF!</f>
        <v/>
      </c>
      <c r="I114" s="591" t="inlineStr">
        <is>
          <t>5:12.43</t>
        </is>
      </c>
      <c r="J11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4" s="460">
        <f>J114/#REF!</f>
        <v/>
      </c>
      <c r="L114" s="709" t="n">
        <v>1</v>
      </c>
      <c r="M114" s="593" t="n">
        <v>11</v>
      </c>
      <c r="N114" s="655">
        <f t="array" ref="N114">1000*(INDEX('Bakat Base Times'!$E:$E,MATCH(1,('Bakat Base Times'!$A:$A=B114)*('Bakat Base Times'!$B:$B=C114)*('Bakat Base Times'!$C:$C=D114),0))/(VALUE(O114)))^3
</f>
        <v/>
      </c>
      <c r="O114" s="582">
        <f>IFERROR(__xludf.DUMMYFUNCTION("IF(ISNUMBER(I114), I114, IF(REGEXMATCH(I114, "":""), SUMPRODUCT(VALUE(SPLIT(I114, "":"")) * (60^(COUNTIF(SPLIT(I114, "":""), ""&lt;&gt;"")-COLUMN(OFFSET('MOT Tables 25'!$A$1,,,1,COUNTIF(SPLIT(I114, "":""),""&lt;&gt;"")))))), VALUE(I114)))"),312.43)</f>
        <v/>
      </c>
      <c r="P114" s="689" t="n"/>
      <c r="Q114" s="689" t="n"/>
      <c r="R114" s="689" t="n"/>
      <c r="S114" s="689" t="n"/>
      <c r="T114" s="689" t="n"/>
      <c r="U114" s="689" t="n"/>
      <c r="V114" s="689" t="n"/>
      <c r="W114" s="689" t="n"/>
      <c r="X114" s="689" t="n"/>
      <c r="Y114" s="596" t="inlineStr">
        <is>
          <t>M</t>
        </is>
      </c>
      <c r="Z114" s="597" t="inlineStr">
        <is>
          <t>400 IM</t>
        </is>
      </c>
      <c r="AA114" s="589" t="n">
        <v>13</v>
      </c>
      <c r="AB114" s="590" t="inlineStr">
        <is>
          <t>SHEAMUS CHEW HENG YI</t>
        </is>
      </c>
      <c r="AC114" s="591" t="inlineStr">
        <is>
          <t>5:12.43</t>
        </is>
      </c>
      <c r="AD114" s="592">
        <f>IFERROR(__xludf.DUMMYFUNCTION("IF(ISNUMBER(AC114), AC114, IF(REGEXMATCH(AC114, "":""), SUMPRODUCT(VALUE(SPLIT(AC114, "":"")) * (60^(COUNTIF(SPLIT(AC114, "":""), ""&lt;&gt;"")-COLUMN(OFFSET('MOT Tables 25'!$A$1,,,1,COUNTIF(SPLIT(AC114, "":""),""&lt;&gt;"")))))), VALUE(AC114)))"),312.43)</f>
        <v/>
      </c>
      <c r="AE114" s="593" t="n">
        <v>11</v>
      </c>
      <c r="AF114" s="594">
        <f t="array" ref="AF114">1000*(INDEX('Bakat Base Times'!$E:$E,MATCH(1,('Bakat Base Times'!$A:$A=Y114)*('Bakat Base Times'!$B:$B=Z114)*('Bakat Base Times'!$C:$C=AA114),0))/(VALUE(AD114)))^3
</f>
        <v/>
      </c>
      <c r="AG114" s="693" t="n"/>
      <c r="AH114" s="596" t="inlineStr">
        <is>
          <t>F</t>
        </is>
      </c>
      <c r="AI114" s="597" t="inlineStr">
        <is>
          <t>200 Free</t>
        </is>
      </c>
      <c r="AJ114" s="597" t="n">
        <v>14</v>
      </c>
      <c r="AK114" s="590" t="inlineStr">
        <is>
          <t>TAN RUI NEE</t>
        </is>
      </c>
      <c r="AL114" s="591" t="inlineStr">
        <is>
          <t>2:09.90</t>
        </is>
      </c>
      <c r="AM114" s="517">
        <f>IFERROR(__xludf.DUMMYFUNCTION("IF(ISNUMBER(AL114), AL114, IF(REGEXMATCH(AL114, "":""), SUMPRODUCT(VALUE(SPLIT(AL114, "":"")) * (60^(COUNTIF(SPLIT(AL114, "":""), ""&lt;&gt;"")-COLUMN(OFFSET('MOT Tables 25'!$A$1,,,1,COUNTIF(SPLIT(AL114, "":""),""&lt;&gt;"")))))), VALUE(AL114)))"),129.9)</f>
        <v/>
      </c>
      <c r="AN114" s="590" t="n">
        <v>5</v>
      </c>
      <c r="AO114" s="599">
        <f t="array" ref="AO114">1000*(INDEX('Bakat Base Times'!$E:$E,MATCH(1,('Bakat Base Times'!$A:$A=AH114)*('Bakat Base Times'!$B:$B=AI114)*('Bakat Base Times'!$C:$C=AJ114),0))/(VALUE(AM114)))^3
</f>
        <v/>
      </c>
      <c r="AP114" s="600" t="n"/>
      <c r="AQ114" s="693" t="n"/>
      <c r="AR114" s="693" t="n"/>
      <c r="AS114" s="693" t="n"/>
      <c r="AT114" s="693" t="n"/>
      <c r="AU114" s="699" t="n"/>
      <c r="AV114" s="693" t="n"/>
      <c r="AW114" s="693" t="n"/>
      <c r="AX114" s="693" t="n"/>
      <c r="AY114" s="693" t="n"/>
      <c r="AZ114" s="693" t="n"/>
    </row>
    <row r="115">
      <c r="A115" s="651" t="n"/>
      <c r="B115" s="705" t="inlineStr">
        <is>
          <t>F</t>
        </is>
      </c>
      <c r="C115" s="704" t="inlineStr">
        <is>
          <t>400 IM</t>
        </is>
      </c>
      <c r="D115" s="705" t="n">
        <v>15</v>
      </c>
      <c r="E115" s="613" t="inlineStr">
        <is>
          <t>CHEREEN NGO YIRUI</t>
        </is>
      </c>
      <c r="F115" s="701" t="inlineStr">
        <is>
          <t>5:18.61</t>
        </is>
      </c>
      <c r="G11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5" s="464">
        <f>G115/#REF!</f>
        <v/>
      </c>
      <c r="I115" s="665" t="inlineStr">
        <is>
          <t>5:15.99</t>
        </is>
      </c>
      <c r="J11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5" s="464">
        <f>J115/#REF!</f>
        <v/>
      </c>
      <c r="L115" s="704" t="n">
        <v>8</v>
      </c>
      <c r="M115" s="616" t="n">
        <v>7</v>
      </c>
      <c r="N115" s="652">
        <f t="array" ref="N115">1000*(INDEX('Bakat Base Times'!$E:$E,MATCH(1,('Bakat Base Times'!$A:$A=B115)*('Bakat Base Times'!$B:$B=C115)*('Bakat Base Times'!$C:$C=D115),0))/(VALUE(O115)))^3
</f>
        <v/>
      </c>
      <c r="O115" s="609">
        <f>IFERROR(__xludf.DUMMYFUNCTION("IF(ISNUMBER(I115), I115, IF(REGEXMATCH(I115, "":""), SUMPRODUCT(VALUE(SPLIT(I115, "":"")) * (60^(COUNTIF(SPLIT(I115, "":""), ""&lt;&gt;"")-COLUMN(OFFSET('MOT Tables 25'!$A$1,,,1,COUNTIF(SPLIT(I115, "":""),""&lt;&gt;"")))))), VALUE(I115)))"),315.99)</f>
        <v/>
      </c>
      <c r="P115" s="689" t="n"/>
      <c r="Q115" s="689" t="n"/>
      <c r="R115" s="689" t="n"/>
      <c r="S115" s="689" t="n"/>
      <c r="T115" s="689" t="n"/>
      <c r="U115" s="689" t="n"/>
      <c r="V115" s="689" t="n"/>
      <c r="W115" s="689" t="n"/>
      <c r="X115" s="689" t="n"/>
      <c r="Y115" s="618" t="inlineStr">
        <is>
          <t>F</t>
        </is>
      </c>
      <c r="Z115" s="619" t="inlineStr">
        <is>
          <t>400 IM</t>
        </is>
      </c>
      <c r="AA115" s="612" t="n">
        <v>15</v>
      </c>
      <c r="AB115" s="613" t="inlineStr">
        <is>
          <t>CHEREEN NGO YIRUI</t>
        </is>
      </c>
      <c r="AC115" s="665" t="inlineStr">
        <is>
          <t>5:15.99</t>
        </is>
      </c>
      <c r="AD115" s="628">
        <f>IFERROR(__xludf.DUMMYFUNCTION("IF(ISNUMBER(AC115), AC115, IF(REGEXMATCH(AC115, "":""), SUMPRODUCT(VALUE(SPLIT(AC115, "":"")) * (60^(COUNTIF(SPLIT(AC115, "":""), ""&lt;&gt;"")-COLUMN(OFFSET('MOT Tables 25'!$A$1,,,1,COUNTIF(SPLIT(AC115, "":""),""&lt;&gt;"")))))), VALUE(AC115)))"),315.99)</f>
        <v/>
      </c>
      <c r="AE115" s="616" t="n">
        <v>7</v>
      </c>
      <c r="AF115" s="617">
        <f t="array" ref="AF115">1000*(INDEX('Bakat Base Times'!$E:$E,MATCH(1,('Bakat Base Times'!$A:$A=Y115)*('Bakat Base Times'!$B:$B=Z115)*('Bakat Base Times'!$C:$C=AA115),0))/(VALUE(AD115)))^3
</f>
        <v/>
      </c>
      <c r="AG115" s="693" t="n"/>
      <c r="AH115" s="618" t="inlineStr">
        <is>
          <t>F</t>
        </is>
      </c>
      <c r="AI115" s="619" t="inlineStr">
        <is>
          <t>400 Free</t>
        </is>
      </c>
      <c r="AJ115" s="619" t="n">
        <v>14</v>
      </c>
      <c r="AK115" s="613" t="inlineStr">
        <is>
          <t>TAN RUI NEE</t>
        </is>
      </c>
      <c r="AL115" s="614" t="inlineStr">
        <is>
          <t>4:35.36</t>
        </is>
      </c>
      <c r="AM115" s="505">
        <f>IFERROR(__xludf.DUMMYFUNCTION("IF(ISNUMBER(AL115), AL115, IF(REGEXMATCH(AL115, "":""), SUMPRODUCT(VALUE(SPLIT(AL115, "":"")) * (60^(COUNTIF(SPLIT(AL115, "":""), ""&lt;&gt;"")-COLUMN(OFFSET('MOT Tables 25'!$A$1,,,1,COUNTIF(SPLIT(AL115, "":""),""&lt;&gt;"")))))), VALUE(AL115)))"),275.36)</f>
        <v/>
      </c>
      <c r="AN115" s="613" t="n">
        <v>4</v>
      </c>
      <c r="AO115" s="672">
        <f t="array" ref="AO115">1000*(INDEX('Bakat Base Times'!$E:$E,MATCH(1,('Bakat Base Times'!$A:$A=AH115)*('Bakat Base Times'!$B:$B=AI115)*('Bakat Base Times'!$C:$C=AJ115),0))/(VALUE(AM115)))^3
</f>
        <v/>
      </c>
      <c r="AP115" s="621" t="n"/>
      <c r="AQ115" s="693" t="n"/>
      <c r="AR115" s="693" t="n"/>
      <c r="AS115" s="693" t="n"/>
      <c r="AT115" s="693" t="n"/>
      <c r="AU115" s="699" t="n"/>
      <c r="AV115" s="693" t="n"/>
      <c r="AW115" s="693" t="n"/>
      <c r="AX115" s="693" t="n"/>
      <c r="AY115" s="693" t="n"/>
      <c r="AZ115" s="693" t="n"/>
    </row>
    <row r="116">
      <c r="A116" s="654" t="n"/>
      <c r="B116" s="710" t="inlineStr">
        <is>
          <t>F</t>
        </is>
      </c>
      <c r="C116" s="709" t="inlineStr">
        <is>
          <t>100 Fly</t>
        </is>
      </c>
      <c r="D116" s="710" t="n">
        <v>18</v>
      </c>
      <c r="E116" s="590" t="inlineStr">
        <is>
          <t>MORGAN ELEVEN TEO KAI CHENG</t>
        </is>
      </c>
      <c r="F116" s="707" t="inlineStr">
        <is>
          <t>1:03.98</t>
        </is>
      </c>
      <c r="G11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6" s="460">
        <f>G116/#REF!</f>
        <v/>
      </c>
      <c r="I116" s="591" t="inlineStr">
        <is>
          <t>1:05.13</t>
        </is>
      </c>
      <c r="J11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6" s="460">
        <f>J116/#REF!</f>
        <v/>
      </c>
      <c r="L116" s="709" t="n">
        <v>7</v>
      </c>
      <c r="M116" s="593" t="n">
        <v>9</v>
      </c>
      <c r="N116" s="655">
        <f t="array" ref="N116">1000*(INDEX('Bakat Base Times'!$E:$E,MATCH(1,('Bakat Base Times'!$A:$A=B116)*('Bakat Base Times'!$B:$B=C116)*('Bakat Base Times'!$C:$C=D116),0))/(VALUE(O116)))^3
</f>
        <v/>
      </c>
      <c r="O116" s="582">
        <f>IFERROR(__xludf.DUMMYFUNCTION("IF(ISNUMBER(I116), I116, IF(REGEXMATCH(I116, "":""), SUMPRODUCT(VALUE(SPLIT(I116, "":"")) * (60^(COUNTIF(SPLIT(I116, "":""), ""&lt;&gt;"")-COLUMN(OFFSET('MOT Tables 25'!$A$1,,,1,COUNTIF(SPLIT(I116, "":""),""&lt;&gt;"")))))), VALUE(I116)))"),65.13)</f>
        <v/>
      </c>
      <c r="P116" s="689" t="n"/>
      <c r="Q116" s="689" t="n"/>
      <c r="R116" s="689" t="n"/>
      <c r="S116" s="689" t="n"/>
      <c r="T116" s="689" t="n"/>
      <c r="U116" s="689" t="n"/>
      <c r="V116" s="689" t="n"/>
      <c r="W116" s="689" t="n"/>
      <c r="X116" s="689" t="n"/>
      <c r="Y116" s="596" t="inlineStr">
        <is>
          <t>F</t>
        </is>
      </c>
      <c r="Z116" s="597" t="inlineStr">
        <is>
          <t>100 Fly</t>
        </is>
      </c>
      <c r="AA116" s="589" t="n">
        <v>18</v>
      </c>
      <c r="AB116" s="590" t="inlineStr">
        <is>
          <t>MORGAN ELEVEN TEO KAI CHENG</t>
        </is>
      </c>
      <c r="AC116" s="591" t="inlineStr">
        <is>
          <t>1:05.13</t>
        </is>
      </c>
      <c r="AD116" s="592">
        <f>IFERROR(__xludf.DUMMYFUNCTION("IF(ISNUMBER(AC116), AC116, IF(REGEXMATCH(AC116, "":""), SUMPRODUCT(VALUE(SPLIT(AC116, "":"")) * (60^(COUNTIF(SPLIT(AC116, "":""), ""&lt;&gt;"")-COLUMN(OFFSET('MOT Tables 25'!$A$1,,,1,COUNTIF(SPLIT(AC116, "":""),""&lt;&gt;"")))))), VALUE(AC116)))"),65.13)</f>
        <v/>
      </c>
      <c r="AE116" s="593" t="n">
        <v>9</v>
      </c>
      <c r="AF116" s="594">
        <f t="array" ref="AF116">1000*(INDEX('Bakat Base Times'!$E:$E,MATCH(1,('Bakat Base Times'!$A:$A=Y116)*('Bakat Base Times'!$B:$B=Z116)*('Bakat Base Times'!$C:$C=AA116),0))/(VALUE(AD116)))^3
</f>
        <v/>
      </c>
      <c r="AG116" s="693" t="n"/>
      <c r="AH116" s="596" t="inlineStr">
        <is>
          <t>F</t>
        </is>
      </c>
      <c r="AI116" s="597" t="inlineStr">
        <is>
          <t>800 Free</t>
        </is>
      </c>
      <c r="AJ116" s="597" t="n">
        <v>14</v>
      </c>
      <c r="AK116" s="590" t="inlineStr">
        <is>
          <t>TAN RUI NEE</t>
        </is>
      </c>
      <c r="AL116" s="591" t="inlineStr">
        <is>
          <t>9:27.84</t>
        </is>
      </c>
      <c r="AM116" s="517">
        <f>IFERROR(__xludf.DUMMYFUNCTION("IF(ISNUMBER(AL116), AL116, IF(REGEXMATCH(AL116, "":""), SUMPRODUCT(VALUE(SPLIT(AL116, "":"")) * (60^(COUNTIF(SPLIT(AL116, "":""), ""&lt;&gt;"")-COLUMN(OFFSET('MOT Tables 25'!$A$1,,,1,COUNTIF(SPLIT(AL116, "":""),""&lt;&gt;"")))))), VALUE(AL116)))"),567.84)</f>
        <v/>
      </c>
      <c r="AN116" s="590" t="n">
        <v>5</v>
      </c>
      <c r="AO116" s="599">
        <f t="array" ref="AO116">1000*(INDEX('Bakat Base Times'!$E:$E,MATCH(1,('Bakat Base Times'!$A:$A=AH116)*('Bakat Base Times'!$B:$B=AI116)*('Bakat Base Times'!$C:$C=AJ116),0))/(VALUE(AM116)))^3
</f>
        <v/>
      </c>
      <c r="AP116" s="600" t="n"/>
      <c r="AQ116" s="693" t="n"/>
      <c r="AR116" s="693" t="n"/>
      <c r="AS116" s="693" t="n"/>
      <c r="AT116" s="693" t="n"/>
      <c r="AU116" s="699" t="n"/>
      <c r="AV116" s="693" t="n"/>
      <c r="AW116" s="693" t="n"/>
      <c r="AX116" s="693" t="n"/>
      <c r="AY116" s="693" t="n"/>
      <c r="AZ116" s="693" t="n"/>
    </row>
    <row r="117">
      <c r="A117" s="651" t="n"/>
      <c r="B117" s="705" t="inlineStr">
        <is>
          <t>M</t>
        </is>
      </c>
      <c r="C117" s="704" t="inlineStr">
        <is>
          <t>200 Breast</t>
        </is>
      </c>
      <c r="D117" s="705" t="n">
        <v>17</v>
      </c>
      <c r="E117" s="613" t="inlineStr">
        <is>
          <t>WAN KHAI HERN</t>
        </is>
      </c>
      <c r="F117" s="701" t="inlineStr">
        <is>
          <t>2:25.97</t>
        </is>
      </c>
      <c r="G11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7" s="464">
        <f>G117/#REF!</f>
        <v/>
      </c>
      <c r="I117" s="614" t="inlineStr">
        <is>
          <t>2:29.17</t>
        </is>
      </c>
      <c r="J11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7" s="464">
        <f>J117/#REF!</f>
        <v/>
      </c>
      <c r="L117" s="704" t="n">
        <v>9</v>
      </c>
      <c r="M117" s="616" t="n">
        <v>11</v>
      </c>
      <c r="N117" s="652">
        <f t="array" ref="N117">1000*(INDEX('Bakat Base Times'!$E:$E,MATCH(1,('Bakat Base Times'!$A:$A=B117)*('Bakat Base Times'!$B:$B=C117)*('Bakat Base Times'!$C:$C=D117),0))/(VALUE(O117)))^3
</f>
        <v/>
      </c>
      <c r="O117" s="609">
        <f>IFERROR(__xludf.DUMMYFUNCTION("IF(ISNUMBER(I117), I117, IF(REGEXMATCH(I117, "":""), SUMPRODUCT(VALUE(SPLIT(I117, "":"")) * (60^(COUNTIF(SPLIT(I117, "":""), ""&lt;&gt;"")-COLUMN(OFFSET('MOT Tables 25'!$A$1,,,1,COUNTIF(SPLIT(I117, "":""),""&lt;&gt;"")))))), VALUE(I117)))"),149.17000000000002)</f>
        <v/>
      </c>
      <c r="P117" s="689" t="n"/>
      <c r="Q117" s="689" t="n"/>
      <c r="R117" s="689" t="n"/>
      <c r="S117" s="689" t="n"/>
      <c r="T117" s="689" t="n"/>
      <c r="U117" s="689" t="n"/>
      <c r="V117" s="689" t="n"/>
      <c r="W117" s="689" t="n"/>
      <c r="X117" s="689" t="n"/>
      <c r="Y117" s="618" t="inlineStr">
        <is>
          <t>M</t>
        </is>
      </c>
      <c r="Z117" s="619" t="inlineStr">
        <is>
          <t>200 Breast</t>
        </is>
      </c>
      <c r="AA117" s="612" t="n">
        <v>17</v>
      </c>
      <c r="AB117" s="613" t="inlineStr">
        <is>
          <t>WAN KHAI HERN</t>
        </is>
      </c>
      <c r="AC117" s="614" t="inlineStr">
        <is>
          <t>2:29.17</t>
        </is>
      </c>
      <c r="AD117" s="628">
        <f>IFERROR(__xludf.DUMMYFUNCTION("IF(ISNUMBER(AC117), AC117, IF(REGEXMATCH(AC117, "":""), SUMPRODUCT(VALUE(SPLIT(AC117, "":"")) * (60^(COUNTIF(SPLIT(AC117, "":""), ""&lt;&gt;"")-COLUMN(OFFSET('MOT Tables 25'!$A$1,,,1,COUNTIF(SPLIT(AC117, "":""),""&lt;&gt;"")))))), VALUE(AC117)))"),149.17000000000002)</f>
        <v/>
      </c>
      <c r="AE117" s="616" t="n">
        <v>11</v>
      </c>
      <c r="AF117" s="617">
        <f t="array" ref="AF117">1000*(INDEX('Bakat Base Times'!$E:$E,MATCH(1,('Bakat Base Times'!$A:$A=Y117)*('Bakat Base Times'!$B:$B=Z117)*('Bakat Base Times'!$C:$C=AA117),0))/(VALUE(AD117)))^3
</f>
        <v/>
      </c>
      <c r="AG117" s="693" t="n"/>
      <c r="AH117" s="618" t="inlineStr">
        <is>
          <t>F</t>
        </is>
      </c>
      <c r="AI117" s="619" t="inlineStr">
        <is>
          <t>100 Free</t>
        </is>
      </c>
      <c r="AJ117" s="619" t="n">
        <v>14</v>
      </c>
      <c r="AK117" s="613" t="inlineStr">
        <is>
          <t>TAN RUI NEE</t>
        </is>
      </c>
      <c r="AL117" s="614" t="inlineStr">
        <is>
          <t>1:01.41</t>
        </is>
      </c>
      <c r="AM117" s="505">
        <f>IFERROR(__xludf.DUMMYFUNCTION("IF(ISNUMBER(AL117), AL117, IF(REGEXMATCH(AL117, "":""), SUMPRODUCT(VALUE(SPLIT(AL117, "":"")) * (60^(COUNTIF(SPLIT(AL117, "":""), ""&lt;&gt;"")-COLUMN(OFFSET('MOT Tables 25'!$A$1,,,1,COUNTIF(SPLIT(AL117, "":""),""&lt;&gt;"")))))), VALUE(AL117)))"),61.41)</f>
        <v/>
      </c>
      <c r="AN117" s="613" t="n">
        <v>14</v>
      </c>
      <c r="AO117" s="672">
        <f t="array" ref="AO117">1000*(INDEX('Bakat Base Times'!$E:$E,MATCH(1,('Bakat Base Times'!$A:$A=AH117)*('Bakat Base Times'!$B:$B=AI117)*('Bakat Base Times'!$C:$C=AJ117),0))/(VALUE(AM117)))^3
</f>
        <v/>
      </c>
      <c r="AP117" s="621" t="n"/>
      <c r="AQ117" s="693" t="n"/>
      <c r="AR117" s="693" t="n"/>
      <c r="AS117" s="693" t="n"/>
      <c r="AT117" s="693" t="n"/>
      <c r="AU117" s="699" t="n"/>
      <c r="AV117" s="693" t="n"/>
      <c r="AW117" s="693" t="n"/>
      <c r="AX117" s="693" t="n"/>
      <c r="AY117" s="693" t="n"/>
      <c r="AZ117" s="693" t="n"/>
    </row>
    <row r="118">
      <c r="A118" s="654" t="n"/>
      <c r="B118" s="710" t="inlineStr">
        <is>
          <t>M</t>
        </is>
      </c>
      <c r="C118" s="709" t="inlineStr">
        <is>
          <t>400 Free</t>
        </is>
      </c>
      <c r="D118" s="710" t="n">
        <v>16</v>
      </c>
      <c r="E118" s="590" t="inlineStr">
        <is>
          <t>ADAM MALIK BIN AZIZUR RIZA</t>
        </is>
      </c>
      <c r="F118" s="707" t="inlineStr">
        <is>
          <t>4:18.75</t>
        </is>
      </c>
      <c r="G11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8" s="460">
        <f>G118/#REF!</f>
        <v/>
      </c>
      <c r="I118" s="661" t="inlineStr">
        <is>
          <t>4:18.86</t>
        </is>
      </c>
      <c r="J11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8" s="460">
        <f>J118/#REF!</f>
        <v/>
      </c>
      <c r="L118" s="709" t="n">
        <v>11</v>
      </c>
      <c r="M118" s="593" t="n">
        <v>10</v>
      </c>
      <c r="N118" s="655">
        <f t="array" ref="N118">1000*(INDEX('Bakat Base Times'!$E:$E,MATCH(1,('Bakat Base Times'!$A:$A=B118)*('Bakat Base Times'!$B:$B=C118)*('Bakat Base Times'!$C:$C=D118),0))/(VALUE(O118)))^3
</f>
        <v/>
      </c>
      <c r="O118" s="582">
        <f>IFERROR(__xludf.DUMMYFUNCTION("IF(ISNUMBER(I118), I118, IF(REGEXMATCH(I118, "":""), SUMPRODUCT(VALUE(SPLIT(I118, "":"")) * (60^(COUNTIF(SPLIT(I118, "":""), ""&lt;&gt;"")-COLUMN(OFFSET('MOT Tables 25'!$A$1,,,1,COUNTIF(SPLIT(I118, "":""),""&lt;&gt;"")))))), VALUE(I118)))"),258.86)</f>
        <v/>
      </c>
      <c r="P118" s="689" t="n"/>
      <c r="Q118" s="689" t="n"/>
      <c r="R118" s="689" t="n"/>
      <c r="S118" s="689" t="n"/>
      <c r="T118" s="689" t="n"/>
      <c r="U118" s="689" t="n"/>
      <c r="V118" s="689" t="n"/>
      <c r="W118" s="689" t="n"/>
      <c r="X118" s="689" t="n"/>
      <c r="Y118" s="596" t="inlineStr">
        <is>
          <t>M</t>
        </is>
      </c>
      <c r="Z118" s="597" t="inlineStr">
        <is>
          <t>400 Free</t>
        </is>
      </c>
      <c r="AA118" s="589" t="n">
        <v>16</v>
      </c>
      <c r="AB118" s="590" t="inlineStr">
        <is>
          <t>ADAM MALIK BIN AZIZUR RIZA</t>
        </is>
      </c>
      <c r="AC118" s="661" t="inlineStr">
        <is>
          <t>4:18.86</t>
        </is>
      </c>
      <c r="AD118" s="592">
        <f>IFERROR(__xludf.DUMMYFUNCTION("IF(ISNUMBER(AC118), AC118, IF(REGEXMATCH(AC118, "":""), SUMPRODUCT(VALUE(SPLIT(AC118, "":"")) * (60^(COUNTIF(SPLIT(AC118, "":""), ""&lt;&gt;"")-COLUMN(OFFSET('MOT Tables 25'!$A$1,,,1,COUNTIF(SPLIT(AC118, "":""),""&lt;&gt;"")))))), VALUE(AC118)))"),258.86)</f>
        <v/>
      </c>
      <c r="AE118" s="593" t="n">
        <v>10</v>
      </c>
      <c r="AF118" s="594">
        <f t="array" ref="AF118">1000*(INDEX('Bakat Base Times'!$E:$E,MATCH(1,('Bakat Base Times'!$A:$A=Y118)*('Bakat Base Times'!$B:$B=Z118)*('Bakat Base Times'!$C:$C=AA118),0))/(VALUE(AD118)))^3
</f>
        <v/>
      </c>
      <c r="AG118" s="693" t="n"/>
      <c r="AH118" s="632" t="inlineStr">
        <is>
          <t>F</t>
        </is>
      </c>
      <c r="AI118" s="633" t="inlineStr">
        <is>
          <t>100 Back</t>
        </is>
      </c>
      <c r="AJ118" s="633" t="n">
        <v>14</v>
      </c>
      <c r="AK118" s="634" t="inlineStr">
        <is>
          <t>VIVIAN TEE XIN LING</t>
        </is>
      </c>
      <c r="AL118" s="635" t="inlineStr">
        <is>
          <t>1:04.90</t>
        </is>
      </c>
      <c r="AM118" s="636">
        <f>IFERROR(__xludf.DUMMYFUNCTION("IF(ISNUMBER(AL118), AL118, IF(REGEXMATCH(AL118, "":""), SUMPRODUCT(VALUE(SPLIT(AL118, "":"")) * (60^(COUNTIF(SPLIT(AL118, "":""), ""&lt;&gt;"")-COLUMN(OFFSET('MOT Tables 25'!$A$1,,,1,COUNTIF(SPLIT(AL118, "":""),""&lt;&gt;"")))))), VALUE(AL118)))"),64.9)</f>
        <v/>
      </c>
      <c r="AN118" s="634" t="n">
        <v>2</v>
      </c>
      <c r="AO118" s="637">
        <f t="array" ref="AO118">1000*(INDEX('Bakat Base Times'!$E:$E,MATCH(1,('Bakat Base Times'!$A:$A=AH118)*('Bakat Base Times'!$B:$B=AI118)*('Bakat Base Times'!$C:$C=AJ118),0))/(VALUE(AM118)))^3
</f>
        <v/>
      </c>
      <c r="AP118" s="668" t="inlineStr">
        <is>
          <t>A</t>
        </is>
      </c>
      <c r="AQ118" s="639" t="n"/>
      <c r="AR118" s="693" t="n"/>
      <c r="AS118" s="693" t="n"/>
      <c r="AT118" s="693" t="n"/>
      <c r="AU118" s="699" t="n"/>
      <c r="AV118" s="693" t="n"/>
      <c r="AW118" s="693" t="n"/>
      <c r="AX118" s="693" t="n"/>
      <c r="AY118" s="693" t="n"/>
      <c r="AZ118" s="693" t="n"/>
    </row>
    <row r="119">
      <c r="A119" s="651" t="n"/>
      <c r="B119" s="705" t="inlineStr">
        <is>
          <t>F</t>
        </is>
      </c>
      <c r="C119" s="704" t="inlineStr">
        <is>
          <t>100 Breast</t>
        </is>
      </c>
      <c r="D119" s="705" t="n">
        <v>16</v>
      </c>
      <c r="E119" s="613" t="inlineStr">
        <is>
          <t>KHOO SUE ENN</t>
        </is>
      </c>
      <c r="F119" s="701" t="inlineStr">
        <is>
          <t>1:13.28</t>
        </is>
      </c>
      <c r="G11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19" s="464">
        <f>G119/#REF!</f>
        <v/>
      </c>
      <c r="I119" s="665" t="inlineStr">
        <is>
          <t>1:16.73</t>
        </is>
      </c>
      <c r="J11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19" s="464">
        <f>J119/#REF!</f>
        <v/>
      </c>
      <c r="L119" s="704" t="n">
        <v>2</v>
      </c>
      <c r="M119" s="616" t="n">
        <v>11</v>
      </c>
      <c r="N119" s="652">
        <f t="array" ref="N119">1000*(INDEX('Bakat Base Times'!$E:$E,MATCH(1,('Bakat Base Times'!$A:$A=B119)*('Bakat Base Times'!$B:$B=C119)*('Bakat Base Times'!$C:$C=D119),0))/(VALUE(O119)))^3
</f>
        <v/>
      </c>
      <c r="O119" s="609">
        <f>IFERROR(__xludf.DUMMYFUNCTION("IF(ISNUMBER(I119), I119, IF(REGEXMATCH(I119, "":""), SUMPRODUCT(VALUE(SPLIT(I119, "":"")) * (60^(COUNTIF(SPLIT(I119, "":""), ""&lt;&gt;"")-COLUMN(OFFSET('MOT Tables 25'!$A$1,,,1,COUNTIF(SPLIT(I119, "":""),""&lt;&gt;"")))))), VALUE(I119)))"),76.73)</f>
        <v/>
      </c>
      <c r="P119" s="689" t="n"/>
      <c r="Q119" s="689" t="n"/>
      <c r="R119" s="689" t="n"/>
      <c r="S119" s="689" t="n"/>
      <c r="T119" s="689" t="n"/>
      <c r="U119" s="689" t="n"/>
      <c r="V119" s="689" t="n"/>
      <c r="W119" s="689" t="n"/>
      <c r="X119" s="689" t="n"/>
      <c r="Y119" s="618" t="inlineStr">
        <is>
          <t>F</t>
        </is>
      </c>
      <c r="Z119" s="619" t="inlineStr">
        <is>
          <t>100 Breast</t>
        </is>
      </c>
      <c r="AA119" s="612" t="n">
        <v>16</v>
      </c>
      <c r="AB119" s="613" t="inlineStr">
        <is>
          <t>KHOO SUE ENN</t>
        </is>
      </c>
      <c r="AC119" s="665" t="inlineStr">
        <is>
          <t>1:16.73</t>
        </is>
      </c>
      <c r="AD119" s="628">
        <f>IFERROR(__xludf.DUMMYFUNCTION("IF(ISNUMBER(AC119), AC119, IF(REGEXMATCH(AC119, "":""), SUMPRODUCT(VALUE(SPLIT(AC119, "":"")) * (60^(COUNTIF(SPLIT(AC119, "":""), ""&lt;&gt;"")-COLUMN(OFFSET('MOT Tables 25'!$A$1,,,1,COUNTIF(SPLIT(AC119, "":""),""&lt;&gt;"")))))), VALUE(AC119)))"),76.73)</f>
        <v/>
      </c>
      <c r="AE119" s="616" t="n">
        <v>11</v>
      </c>
      <c r="AF119" s="617">
        <f t="array" ref="AF119">1000*(INDEX('Bakat Base Times'!$E:$E,MATCH(1,('Bakat Base Times'!$A:$A=Y119)*('Bakat Base Times'!$B:$B=Z119)*('Bakat Base Times'!$C:$C=AA119),0))/(VALUE(AD119)))^3
</f>
        <v/>
      </c>
      <c r="AG119" s="693" t="n"/>
      <c r="AH119" s="632" t="inlineStr">
        <is>
          <t>F</t>
        </is>
      </c>
      <c r="AI119" s="633" t="inlineStr">
        <is>
          <t>200 Back</t>
        </is>
      </c>
      <c r="AJ119" s="633" t="n">
        <v>14</v>
      </c>
      <c r="AK119" s="634" t="inlineStr">
        <is>
          <t>VIVIAN TEE XIN LING</t>
        </is>
      </c>
      <c r="AL119" s="635" t="inlineStr">
        <is>
          <t>2:23.10</t>
        </is>
      </c>
      <c r="AM119" s="636">
        <f>IFERROR(__xludf.DUMMYFUNCTION("IF(ISNUMBER(AL119), AL119, IF(REGEXMATCH(AL119, "":""), SUMPRODUCT(VALUE(SPLIT(AL119, "":"")) * (60^(COUNTIF(SPLIT(AL119, "":""), ""&lt;&gt;"")-COLUMN(OFFSET('MOT Tables 25'!$A$1,,,1,COUNTIF(SPLIT(AL119, "":""),""&lt;&gt;"")))))), VALUE(AL119)))"),143.1)</f>
        <v/>
      </c>
      <c r="AN119" s="634" t="n">
        <v>5</v>
      </c>
      <c r="AO119" s="637">
        <f t="array" ref="AO119">1000*(INDEX('Bakat Base Times'!$E:$E,MATCH(1,('Bakat Base Times'!$A:$A=AH119)*('Bakat Base Times'!$B:$B=AI119)*('Bakat Base Times'!$C:$C=AJ119),0))/(VALUE(AM119)))^3
</f>
        <v/>
      </c>
      <c r="AP119" s="668" t="inlineStr">
        <is>
          <t>A</t>
        </is>
      </c>
      <c r="AQ119" s="639" t="n"/>
      <c r="AR119" s="693" t="n"/>
      <c r="AS119" s="693" t="n"/>
      <c r="AT119" s="693" t="n"/>
      <c r="AU119" s="699" t="n"/>
      <c r="AV119" s="693" t="n"/>
      <c r="AW119" s="693" t="n"/>
      <c r="AX119" s="693" t="n"/>
      <c r="AY119" s="693" t="n"/>
      <c r="AZ119" s="693" t="n"/>
    </row>
    <row r="120">
      <c r="A120" s="654" t="n"/>
      <c r="B120" s="710" t="inlineStr">
        <is>
          <t>F</t>
        </is>
      </c>
      <c r="C120" s="709" t="inlineStr">
        <is>
          <t>100 Fly</t>
        </is>
      </c>
      <c r="D120" s="710" t="n">
        <v>15</v>
      </c>
      <c r="E120" s="590" t="inlineStr">
        <is>
          <t>SHANNON TAN YAN QING *</t>
        </is>
      </c>
      <c r="F120" s="707" t="inlineStr">
        <is>
          <t>1:04.26</t>
        </is>
      </c>
      <c r="G12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0" s="460">
        <f>G120/#REF!</f>
        <v/>
      </c>
      <c r="I120" s="591" t="inlineStr">
        <is>
          <t>1:06.46</t>
        </is>
      </c>
      <c r="J12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0" s="460">
        <f>J120/#REF!</f>
        <v/>
      </c>
      <c r="L120" s="709" t="n">
        <v>6</v>
      </c>
      <c r="M120" s="593" t="n">
        <v>11</v>
      </c>
      <c r="N120" s="655">
        <f t="array" ref="N120">1000*(INDEX('Bakat Base Times'!$E:$E,MATCH(1,('Bakat Base Times'!$A:$A=B120)*('Bakat Base Times'!$B:$B=C120)*('Bakat Base Times'!$C:$C=D120),0))/(VALUE(O120)))^3
</f>
        <v/>
      </c>
      <c r="O120" s="582">
        <f>IFERROR(__xludf.DUMMYFUNCTION("IF(ISNUMBER(I120), I120, IF(REGEXMATCH(I120, "":""), SUMPRODUCT(VALUE(SPLIT(I120, "":"")) * (60^(COUNTIF(SPLIT(I120, "":""), ""&lt;&gt;"")-COLUMN(OFFSET('MOT Tables 25'!$A$1,,,1,COUNTIF(SPLIT(I120, "":""),""&lt;&gt;"")))))), VALUE(I120)))"),66.46)</f>
        <v/>
      </c>
      <c r="P120" s="689" t="n"/>
      <c r="Q120" s="689" t="n"/>
      <c r="R120" s="689" t="n"/>
      <c r="S120" s="689" t="n"/>
      <c r="T120" s="689" t="n"/>
      <c r="U120" s="689" t="n"/>
      <c r="V120" s="689" t="n"/>
      <c r="W120" s="689" t="n"/>
      <c r="X120" s="689" t="n"/>
      <c r="Y120" s="596" t="inlineStr">
        <is>
          <t>F</t>
        </is>
      </c>
      <c r="Z120" s="597" t="inlineStr">
        <is>
          <t>100 Fly</t>
        </is>
      </c>
      <c r="AA120" s="589" t="n">
        <v>15</v>
      </c>
      <c r="AB120" s="590" t="inlineStr">
        <is>
          <t>SHANNON TAN YAN QING *</t>
        </is>
      </c>
      <c r="AC120" s="591" t="inlineStr">
        <is>
          <t>1:06.46</t>
        </is>
      </c>
      <c r="AD120" s="592">
        <f>IFERROR(__xludf.DUMMYFUNCTION("IF(ISNUMBER(AC120), AC120, IF(REGEXMATCH(AC120, "":""), SUMPRODUCT(VALUE(SPLIT(AC120, "":"")) * (60^(COUNTIF(SPLIT(AC120, "":""), ""&lt;&gt;"")-COLUMN(OFFSET('MOT Tables 25'!$A$1,,,1,COUNTIF(SPLIT(AC120, "":""),""&lt;&gt;"")))))), VALUE(AC120)))"),66.46)</f>
        <v/>
      </c>
      <c r="AE120" s="593" t="n">
        <v>11</v>
      </c>
      <c r="AF120" s="594">
        <f t="array" ref="AF120">1000*(INDEX('Bakat Base Times'!$E:$E,MATCH(1,('Bakat Base Times'!$A:$A=Y120)*('Bakat Base Times'!$B:$B=Z120)*('Bakat Base Times'!$C:$C=AA120),0))/(VALUE(AD120)))^3
</f>
        <v/>
      </c>
      <c r="AG120" s="693" t="n"/>
      <c r="AH120" s="596" t="inlineStr">
        <is>
          <t>M</t>
        </is>
      </c>
      <c r="AI120" s="597" t="inlineStr">
        <is>
          <t>100 Breast</t>
        </is>
      </c>
      <c r="AJ120" s="597" t="n">
        <v>17</v>
      </c>
      <c r="AK120" s="590" t="inlineStr">
        <is>
          <t>WAN KHAI HERN</t>
        </is>
      </c>
      <c r="AL120" s="591" t="inlineStr">
        <is>
          <t>1:05.89</t>
        </is>
      </c>
      <c r="AM120" s="517">
        <f>IFERROR(__xludf.DUMMYFUNCTION("IF(ISNUMBER(AL120), AL120, IF(REGEXMATCH(AL120, "":""), SUMPRODUCT(VALUE(SPLIT(AL120, "":"")) * (60^(COUNTIF(SPLIT(AL120, "":""), ""&lt;&gt;"")-COLUMN(OFFSET('MOT Tables 25'!$A$1,,,1,COUNTIF(SPLIT(AL120, "":""),""&lt;&gt;"")))))), VALUE(AL120)))"),65.89)</f>
        <v/>
      </c>
      <c r="AN120" s="590" t="n">
        <v>8</v>
      </c>
      <c r="AO120" s="599">
        <f t="array" ref="AO120">1000*(INDEX('Bakat Base Times'!$E:$E,MATCH(1,('Bakat Base Times'!$A:$A=AH120)*('Bakat Base Times'!$B:$B=AI120)*('Bakat Base Times'!$C:$C=AJ120),0))/(VALUE(AM120)))^3
</f>
        <v/>
      </c>
      <c r="AP120" s="600" t="n"/>
      <c r="AQ120" s="693" t="n"/>
      <c r="AR120" s="693" t="n"/>
      <c r="AS120" s="693" t="n"/>
      <c r="AT120" s="693" t="n"/>
      <c r="AU120" s="699" t="n"/>
      <c r="AV120" s="693" t="n"/>
      <c r="AW120" s="693" t="n"/>
      <c r="AX120" s="693" t="n"/>
      <c r="AY120" s="693" t="n"/>
      <c r="AZ120" s="693" t="n"/>
    </row>
    <row r="121">
      <c r="A121" s="651" t="n"/>
      <c r="B121" s="705" t="inlineStr">
        <is>
          <t>M</t>
        </is>
      </c>
      <c r="C121" s="704" t="inlineStr">
        <is>
          <t>200 Fly</t>
        </is>
      </c>
      <c r="D121" s="705" t="n">
        <v>13</v>
      </c>
      <c r="E121" s="613" t="inlineStr">
        <is>
          <t>ADAM LIM KENG JIN</t>
        </is>
      </c>
      <c r="F121" s="701" t="inlineStr">
        <is>
          <t>2:21.71</t>
        </is>
      </c>
      <c r="G12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1" s="464">
        <f>G121/#REF!</f>
        <v/>
      </c>
      <c r="I121" s="614" t="inlineStr">
        <is>
          <t>2:24.38</t>
        </is>
      </c>
      <c r="J12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1" s="464">
        <f>J121/#REF!</f>
        <v/>
      </c>
      <c r="L121" s="704" t="n">
        <v>6</v>
      </c>
      <c r="M121" s="616" t="n">
        <v>6</v>
      </c>
      <c r="N121" s="652">
        <f t="array" ref="N121">1000*(INDEX('Bakat Base Times'!$E:$E,MATCH(1,('Bakat Base Times'!$A:$A=B121)*('Bakat Base Times'!$B:$B=C121)*('Bakat Base Times'!$C:$C=D121),0))/(VALUE(O121)))^3
</f>
        <v/>
      </c>
      <c r="O121" s="609">
        <f>IFERROR(__xludf.DUMMYFUNCTION("IF(ISNUMBER(I121), I121, IF(REGEXMATCH(I121, "":""), SUMPRODUCT(VALUE(SPLIT(I121, "":"")) * (60^(COUNTIF(SPLIT(I121, "":""), ""&lt;&gt;"")-COLUMN(OFFSET('MOT Tables 25'!$A$1,,,1,COUNTIF(SPLIT(I121, "":""),""&lt;&gt;"")))))), VALUE(I121)))"),144.38)</f>
        <v/>
      </c>
      <c r="P121" s="689" t="n"/>
      <c r="Q121" s="689" t="n"/>
      <c r="R121" s="689" t="n"/>
      <c r="S121" s="689" t="n"/>
      <c r="T121" s="689" t="n"/>
      <c r="U121" s="689" t="n"/>
      <c r="V121" s="689" t="n"/>
      <c r="W121" s="689" t="n"/>
      <c r="X121" s="689" t="n"/>
      <c r="Y121" s="618" t="inlineStr">
        <is>
          <t>M</t>
        </is>
      </c>
      <c r="Z121" s="619" t="inlineStr">
        <is>
          <t>200 Fly</t>
        </is>
      </c>
      <c r="AA121" s="612" t="n">
        <v>13</v>
      </c>
      <c r="AB121" s="613" t="inlineStr">
        <is>
          <t>ADAM LIM KENG JIN</t>
        </is>
      </c>
      <c r="AC121" s="614" t="inlineStr">
        <is>
          <t>2:24.38</t>
        </is>
      </c>
      <c r="AD121" s="628">
        <f>IFERROR(__xludf.DUMMYFUNCTION("IF(ISNUMBER(AC121), AC121, IF(REGEXMATCH(AC121, "":""), SUMPRODUCT(VALUE(SPLIT(AC121, "":"")) * (60^(COUNTIF(SPLIT(AC121, "":""), ""&lt;&gt;"")-COLUMN(OFFSET('MOT Tables 25'!$A$1,,,1,COUNTIF(SPLIT(AC121, "":""),""&lt;&gt;"")))))), VALUE(AC121)))"),144.38)</f>
        <v/>
      </c>
      <c r="AE121" s="616" t="n">
        <v>6</v>
      </c>
      <c r="AF121" s="617">
        <f t="array" ref="AF121">1000*(INDEX('Bakat Base Times'!$E:$E,MATCH(1,('Bakat Base Times'!$A:$A=Y121)*('Bakat Base Times'!$B:$B=Z121)*('Bakat Base Times'!$C:$C=AA121),0))/(VALUE(AD121)))^3
</f>
        <v/>
      </c>
      <c r="AG121" s="693" t="n"/>
      <c r="AH121" s="618" t="inlineStr">
        <is>
          <t>M</t>
        </is>
      </c>
      <c r="AI121" s="619" t="inlineStr">
        <is>
          <t>200 Breast</t>
        </is>
      </c>
      <c r="AJ121" s="619" t="n">
        <v>17</v>
      </c>
      <c r="AK121" s="613" t="inlineStr">
        <is>
          <t>WAN KHAI HERN</t>
        </is>
      </c>
      <c r="AL121" s="614" t="inlineStr">
        <is>
          <t>2:29.17</t>
        </is>
      </c>
      <c r="AM121" s="505">
        <f>IFERROR(__xludf.DUMMYFUNCTION("IF(ISNUMBER(AL121), AL121, IF(REGEXMATCH(AL121, "":""), SUMPRODUCT(VALUE(SPLIT(AL121, "":"")) * (60^(COUNTIF(SPLIT(AL121, "":""), ""&lt;&gt;"")-COLUMN(OFFSET('MOT Tables 25'!$A$1,,,1,COUNTIF(SPLIT(AL121, "":""),""&lt;&gt;"")))))), VALUE(AL121)))"),149.17000000000002)</f>
        <v/>
      </c>
      <c r="AN121" s="613" t="n">
        <v>11</v>
      </c>
      <c r="AO121" s="672">
        <f t="array" ref="AO121">1000*(INDEX('Bakat Base Times'!$E:$E,MATCH(1,('Bakat Base Times'!$A:$A=AH121)*('Bakat Base Times'!$B:$B=AI121)*('Bakat Base Times'!$C:$C=AJ121),0))/(VALUE(AM121)))^3
</f>
        <v/>
      </c>
      <c r="AP121" s="621" t="n"/>
      <c r="AQ121" s="693" t="n"/>
      <c r="AR121" s="693" t="n"/>
      <c r="AS121" s="693" t="n"/>
      <c r="AT121" s="693" t="n"/>
      <c r="AU121" s="699" t="n"/>
      <c r="AV121" s="693" t="n"/>
      <c r="AW121" s="693" t="n"/>
      <c r="AX121" s="693" t="n"/>
      <c r="AY121" s="693" t="n"/>
      <c r="AZ121" s="693" t="n"/>
    </row>
    <row r="122">
      <c r="A122" s="654" t="n"/>
      <c r="B122" s="710" t="inlineStr">
        <is>
          <t>M</t>
        </is>
      </c>
      <c r="C122" s="709" t="inlineStr">
        <is>
          <t>200 Fly</t>
        </is>
      </c>
      <c r="D122" s="710" t="n">
        <v>17</v>
      </c>
      <c r="E122" s="590" t="inlineStr">
        <is>
          <t>ASLAN ADNAN</t>
        </is>
      </c>
      <c r="F122" s="707" t="inlineStr">
        <is>
          <t>2:13.35</t>
        </is>
      </c>
      <c r="G12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2" s="460">
        <f>G122/#REF!</f>
        <v/>
      </c>
      <c r="I122" s="661" t="inlineStr">
        <is>
          <t>2:11.70</t>
        </is>
      </c>
      <c r="J12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2" s="460">
        <f>J122/#REF!</f>
        <v/>
      </c>
      <c r="L122" s="709" t="n">
        <v>13</v>
      </c>
      <c r="M122" s="593" t="n">
        <v>11</v>
      </c>
      <c r="N122" s="655">
        <f t="array" ref="N122">1000*(INDEX('Bakat Base Times'!$E:$E,MATCH(1,('Bakat Base Times'!$A:$A=B122)*('Bakat Base Times'!$B:$B=C122)*('Bakat Base Times'!$C:$C=D122),0))/(VALUE(O122)))^3
</f>
        <v/>
      </c>
      <c r="O122" s="582">
        <f>IFERROR(__xludf.DUMMYFUNCTION("IF(ISNUMBER(I122), I122, IF(REGEXMATCH(I122, "":""), SUMPRODUCT(VALUE(SPLIT(I122, "":"")) * (60^(COUNTIF(SPLIT(I122, "":""), ""&lt;&gt;"")-COLUMN(OFFSET('MOT Tables 25'!$A$1,,,1,COUNTIF(SPLIT(I122, "":""),""&lt;&gt;"")))))), VALUE(I122)))"),131.7)</f>
        <v/>
      </c>
      <c r="P122" s="689" t="n"/>
      <c r="Q122" s="689" t="n"/>
      <c r="R122" s="689" t="n"/>
      <c r="S122" s="689" t="n"/>
      <c r="T122" s="689" t="n"/>
      <c r="U122" s="689" t="n"/>
      <c r="V122" s="689" t="n"/>
      <c r="W122" s="689" t="n"/>
      <c r="X122" s="689" t="n"/>
      <c r="Y122" s="596" t="inlineStr">
        <is>
          <t>M</t>
        </is>
      </c>
      <c r="Z122" s="597" t="inlineStr">
        <is>
          <t>200 Fly</t>
        </is>
      </c>
      <c r="AA122" s="589" t="n">
        <v>17</v>
      </c>
      <c r="AB122" s="590" t="inlineStr">
        <is>
          <t>ASLAN ADNAN</t>
        </is>
      </c>
      <c r="AC122" s="661" t="inlineStr">
        <is>
          <t>2:11.70</t>
        </is>
      </c>
      <c r="AD122" s="592">
        <f>IFERROR(__xludf.DUMMYFUNCTION("IF(ISNUMBER(AC122), AC122, IF(REGEXMATCH(AC122, "":""), SUMPRODUCT(VALUE(SPLIT(AC122, "":"")) * (60^(COUNTIF(SPLIT(AC122, "":""), ""&lt;&gt;"")-COLUMN(OFFSET('MOT Tables 25'!$A$1,,,1,COUNTIF(SPLIT(AC122, "":""),""&lt;&gt;"")))))), VALUE(AC122)))"),131.7)</f>
        <v/>
      </c>
      <c r="AE122" s="593" t="n">
        <v>11</v>
      </c>
      <c r="AF122" s="594">
        <f t="array" ref="AF122">1000*(INDEX('Bakat Base Times'!$E:$E,MATCH(1,('Bakat Base Times'!$A:$A=Y122)*('Bakat Base Times'!$B:$B=Z122)*('Bakat Base Times'!$C:$C=AA122),0))/(VALUE(AD122)))^3
</f>
        <v/>
      </c>
      <c r="AG122" s="693" t="n"/>
      <c r="AH122" s="596" t="inlineStr">
        <is>
          <t>F</t>
        </is>
      </c>
      <c r="AI122" s="597" t="inlineStr">
        <is>
          <t>50 Free</t>
        </is>
      </c>
      <c r="AJ122" s="597" t="n">
        <v>15</v>
      </c>
      <c r="AK122" s="590" t="inlineStr">
        <is>
          <t>YAP KE HUI</t>
        </is>
      </c>
      <c r="AL122" s="661" t="n">
        <v>28.08</v>
      </c>
      <c r="AM122" s="517">
        <f>IFERROR(__xludf.DUMMYFUNCTION("IF(ISNUMBER(AL122), AL122, IF(REGEXMATCH(AL122, "":""), SUMPRODUCT(VALUE(SPLIT(AL122, "":"")) * (60^(COUNTIF(SPLIT(AL122, "":""), ""&lt;&gt;"")-COLUMN(OFFSET('MOT Tables 25'!$A$1,,,1,COUNTIF(SPLIT(AL122, "":""),""&lt;&gt;"")))))), VALUE(AL122)))"),28.08)</f>
        <v/>
      </c>
      <c r="AN122" s="590" t="n">
        <v>9</v>
      </c>
      <c r="AO122" s="599">
        <f t="array" ref="AO122">1000*(INDEX('Bakat Base Times'!$E:$E,MATCH(1,('Bakat Base Times'!$A:$A=AH122)*('Bakat Base Times'!$B:$B=AI122)*('Bakat Base Times'!$C:$C=AJ122),0))/(VALUE(AM122)))^3
</f>
        <v/>
      </c>
      <c r="AP122" s="600" t="n"/>
      <c r="AQ122" s="693" t="n"/>
      <c r="AR122" s="693" t="n"/>
      <c r="AS122" s="693" t="n"/>
      <c r="AT122" s="693" t="n"/>
      <c r="AU122" s="699" t="n"/>
      <c r="AV122" s="693" t="n"/>
      <c r="AW122" s="693" t="n"/>
      <c r="AX122" s="693" t="n"/>
      <c r="AY122" s="693" t="n"/>
      <c r="AZ122" s="693" t="n"/>
    </row>
    <row r="123">
      <c r="A123" s="651" t="n"/>
      <c r="B123" s="705" t="inlineStr">
        <is>
          <t>F</t>
        </is>
      </c>
      <c r="C123" s="704" t="inlineStr">
        <is>
          <t>200 Free</t>
        </is>
      </c>
      <c r="D123" s="705" t="n">
        <v>16</v>
      </c>
      <c r="E123" s="613" t="inlineStr">
        <is>
          <t>LYNNA YEOW YI JING</t>
        </is>
      </c>
      <c r="F123" s="701" t="inlineStr">
        <is>
          <t>2:09.82</t>
        </is>
      </c>
      <c r="G12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3" s="464">
        <f>G123/#REF!</f>
        <v/>
      </c>
      <c r="I123" s="614" t="inlineStr">
        <is>
          <t>2:11.89</t>
        </is>
      </c>
      <c r="J12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3" s="464">
        <f>J123/#REF!</f>
        <v/>
      </c>
      <c r="L123" s="704" t="n">
        <v>8</v>
      </c>
      <c r="M123" s="616" t="n">
        <v>12</v>
      </c>
      <c r="N123" s="652">
        <f t="array" ref="N123">1000*(INDEX('Bakat Base Times'!$E:$E,MATCH(1,('Bakat Base Times'!$A:$A=B123)*('Bakat Base Times'!$B:$B=C123)*('Bakat Base Times'!$C:$C=D123),0))/(VALUE(O123)))^3
</f>
        <v/>
      </c>
      <c r="O123" s="609">
        <f>IFERROR(__xludf.DUMMYFUNCTION("IF(ISNUMBER(I123), I123, IF(REGEXMATCH(I123, "":""), SUMPRODUCT(VALUE(SPLIT(I123, "":"")) * (60^(COUNTIF(SPLIT(I123, "":""), ""&lt;&gt;"")-COLUMN(OFFSET('MOT Tables 25'!$A$1,,,1,COUNTIF(SPLIT(I123, "":""),""&lt;&gt;"")))))), VALUE(I123)))"),131.89)</f>
        <v/>
      </c>
      <c r="P123" s="689" t="n"/>
      <c r="Q123" s="689" t="n"/>
      <c r="R123" s="689" t="n"/>
      <c r="S123" s="689" t="n"/>
      <c r="T123" s="689" t="n"/>
      <c r="U123" s="689" t="n"/>
      <c r="V123" s="689" t="n"/>
      <c r="W123" s="689" t="n"/>
      <c r="X123" s="689" t="n"/>
      <c r="Y123" s="618" t="inlineStr">
        <is>
          <t>F</t>
        </is>
      </c>
      <c r="Z123" s="619" t="inlineStr">
        <is>
          <t>200 Free</t>
        </is>
      </c>
      <c r="AA123" s="612" t="n">
        <v>16</v>
      </c>
      <c r="AB123" s="613" t="inlineStr">
        <is>
          <t>LYNNA YEOW YI JING</t>
        </is>
      </c>
      <c r="AC123" s="614" t="inlineStr">
        <is>
          <t>2:11.89</t>
        </is>
      </c>
      <c r="AD123" s="628">
        <f>IFERROR(__xludf.DUMMYFUNCTION("IF(ISNUMBER(AC123), AC123, IF(REGEXMATCH(AC123, "":""), SUMPRODUCT(VALUE(SPLIT(AC123, "":"")) * (60^(COUNTIF(SPLIT(AC123, "":""), ""&lt;&gt;"")-COLUMN(OFFSET('MOT Tables 25'!$A$1,,,1,COUNTIF(SPLIT(AC123, "":""),""&lt;&gt;"")))))), VALUE(AC123)))"),131.89)</f>
        <v/>
      </c>
      <c r="AE123" s="616" t="n">
        <v>12</v>
      </c>
      <c r="AF123" s="617">
        <f t="array" ref="AF123">1000*(INDEX('Bakat Base Times'!$E:$E,MATCH(1,('Bakat Base Times'!$A:$A=Y123)*('Bakat Base Times'!$B:$B=Z123)*('Bakat Base Times'!$C:$C=AA123),0))/(VALUE(AD123)))^3
</f>
        <v/>
      </c>
      <c r="AG123" s="693" t="n"/>
      <c r="AH123" s="618" t="inlineStr">
        <is>
          <t>M</t>
        </is>
      </c>
      <c r="AI123" s="619" t="inlineStr">
        <is>
          <t>200 Fly</t>
        </is>
      </c>
      <c r="AJ123" s="619" t="n">
        <v>15</v>
      </c>
      <c r="AK123" s="613" t="inlineStr">
        <is>
          <t>YAP ZHEN KOK</t>
        </is>
      </c>
      <c r="AL123" s="614" t="inlineStr">
        <is>
          <t>2:12.52</t>
        </is>
      </c>
      <c r="AM123" s="505">
        <f>IFERROR(__xludf.DUMMYFUNCTION("IF(ISNUMBER(AL123), AL123, IF(REGEXMATCH(AL123, "":""), SUMPRODUCT(VALUE(SPLIT(AL123, "":"")) * (60^(COUNTIF(SPLIT(AL123, "":""), ""&lt;&gt;"")-COLUMN(OFFSET('MOT Tables 25'!$A$1,,,1,COUNTIF(SPLIT(AL123, "":""),""&lt;&gt;"")))))), VALUE(AL123)))"),132.52)</f>
        <v/>
      </c>
      <c r="AN123" s="613" t="n">
        <v>5</v>
      </c>
      <c r="AO123" s="672">
        <f t="array" ref="AO123">1000*(INDEX('Bakat Base Times'!$E:$E,MATCH(1,('Bakat Base Times'!$A:$A=AH123)*('Bakat Base Times'!$B:$B=AI123)*('Bakat Base Times'!$C:$C=AJ123),0))/(VALUE(AM123)))^3
</f>
        <v/>
      </c>
      <c r="AP123" s="621" t="n"/>
      <c r="AQ123" s="693" t="n"/>
      <c r="AR123" s="693" t="n"/>
      <c r="AS123" s="693" t="n"/>
      <c r="AT123" s="693" t="n"/>
      <c r="AU123" s="699" t="n"/>
      <c r="AV123" s="693" t="n"/>
      <c r="AW123" s="693" t="n"/>
      <c r="AX123" s="693" t="n"/>
      <c r="AY123" s="693" t="n"/>
      <c r="AZ123" s="693" t="n"/>
    </row>
    <row r="124">
      <c r="A124" s="654" t="n"/>
      <c r="B124" s="710" t="inlineStr">
        <is>
          <t>M</t>
        </is>
      </c>
      <c r="C124" s="709" t="inlineStr">
        <is>
          <t>200 Free</t>
        </is>
      </c>
      <c r="D124" s="710" t="n">
        <v>13</v>
      </c>
      <c r="E124" s="590" t="inlineStr">
        <is>
          <t>EU JUN LIN</t>
        </is>
      </c>
      <c r="F124" s="707" t="inlineStr">
        <is>
          <t>2:11.77</t>
        </is>
      </c>
      <c r="G124"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4" s="460">
        <f>G124/#REF!</f>
        <v/>
      </c>
      <c r="I124" s="591" t="inlineStr">
        <is>
          <t>2:10.39</t>
        </is>
      </c>
      <c r="J124"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4" s="460">
        <f>J124/#REF!</f>
        <v/>
      </c>
      <c r="L124" s="709" t="n">
        <v>13</v>
      </c>
      <c r="M124" s="593" t="n">
        <v>12</v>
      </c>
      <c r="N124" s="655">
        <f t="array" ref="N124">1000*(INDEX('Bakat Base Times'!$E:$E,MATCH(1,('Bakat Base Times'!$A:$A=B124)*('Bakat Base Times'!$B:$B=C124)*('Bakat Base Times'!$C:$C=D124),0))/(VALUE(O124)))^3
</f>
        <v/>
      </c>
      <c r="O124" s="582">
        <f>IFERROR(__xludf.DUMMYFUNCTION("IF(ISNUMBER(I124), I124, IF(REGEXMATCH(I124, "":""), SUMPRODUCT(VALUE(SPLIT(I124, "":"")) * (60^(COUNTIF(SPLIT(I124, "":""), ""&lt;&gt;"")-COLUMN(OFFSET('MOT Tables 25'!$A$1,,,1,COUNTIF(SPLIT(I124, "":""),""&lt;&gt;"")))))), VALUE(I124)))"),130.39)</f>
        <v/>
      </c>
      <c r="P124" s="689" t="n"/>
      <c r="Q124" s="689" t="n"/>
      <c r="R124" s="689" t="n"/>
      <c r="S124" s="689" t="n"/>
      <c r="T124" s="689" t="n"/>
      <c r="U124" s="689" t="n"/>
      <c r="V124" s="689" t="n"/>
      <c r="W124" s="689" t="n"/>
      <c r="X124" s="689" t="n"/>
      <c r="Y124" s="596" t="inlineStr">
        <is>
          <t>M</t>
        </is>
      </c>
      <c r="Z124" s="597" t="inlineStr">
        <is>
          <t>200 Free</t>
        </is>
      </c>
      <c r="AA124" s="589" t="n">
        <v>13</v>
      </c>
      <c r="AB124" s="590" t="inlineStr">
        <is>
          <t>EU JUN LIN</t>
        </is>
      </c>
      <c r="AC124" s="591" t="inlineStr">
        <is>
          <t>2:10.39</t>
        </is>
      </c>
      <c r="AD124" s="592">
        <f>IFERROR(__xludf.DUMMYFUNCTION("IF(ISNUMBER(AC124), AC124, IF(REGEXMATCH(AC124, "":""), SUMPRODUCT(VALUE(SPLIT(AC124, "":"")) * (60^(COUNTIF(SPLIT(AC124, "":""), ""&lt;&gt;"")-COLUMN(OFFSET('MOT Tables 25'!$A$1,,,1,COUNTIF(SPLIT(AC124, "":""),""&lt;&gt;"")))))), VALUE(AC124)))"),130.39)</f>
        <v/>
      </c>
      <c r="AE124" s="593" t="n">
        <v>12</v>
      </c>
      <c r="AF124" s="594">
        <f t="array" ref="AF124">1000*(INDEX('Bakat Base Times'!$E:$E,MATCH(1,('Bakat Base Times'!$A:$A=Y124)*('Bakat Base Times'!$B:$B=Z124)*('Bakat Base Times'!$C:$C=AA124),0))/(VALUE(AD124)))^3
</f>
        <v/>
      </c>
      <c r="AG124" s="693" t="n"/>
      <c r="AH124" s="596" t="inlineStr">
        <is>
          <t>M</t>
        </is>
      </c>
      <c r="AI124" s="597" t="inlineStr">
        <is>
          <t>400 IM</t>
        </is>
      </c>
      <c r="AJ124" s="597" t="n">
        <v>15</v>
      </c>
      <c r="AK124" s="590" t="inlineStr">
        <is>
          <t>YAP ZHEN KOK</t>
        </is>
      </c>
      <c r="AL124" s="591" t="inlineStr">
        <is>
          <t>4:54.23</t>
        </is>
      </c>
      <c r="AM124" s="517">
        <f>IFERROR(__xludf.DUMMYFUNCTION("IF(ISNUMBER(AL124), AL124, IF(REGEXMATCH(AL124, "":""), SUMPRODUCT(VALUE(SPLIT(AL124, "":"")) * (60^(COUNTIF(SPLIT(AL124, "":""), ""&lt;&gt;"")-COLUMN(OFFSET('MOT Tables 25'!$A$1,,,1,COUNTIF(SPLIT(AL124, "":""),""&lt;&gt;"")))))), VALUE(AL124)))"),294.23)</f>
        <v/>
      </c>
      <c r="AN124" s="590" t="n">
        <v>9</v>
      </c>
      <c r="AO124" s="599">
        <f t="array" ref="AO124">1000*(INDEX('Bakat Base Times'!$E:$E,MATCH(1,('Bakat Base Times'!$A:$A=AH124)*('Bakat Base Times'!$B:$B=AI124)*('Bakat Base Times'!$C:$C=AJ124),0))/(VALUE(AM124)))^3
</f>
        <v/>
      </c>
      <c r="AP124" s="600" t="n"/>
      <c r="AQ124" s="693" t="n"/>
      <c r="AR124" s="693" t="n"/>
      <c r="AS124" s="693" t="n"/>
      <c r="AT124" s="693" t="n"/>
      <c r="AU124" s="699" t="n"/>
      <c r="AV124" s="693" t="n"/>
      <c r="AW124" s="693" t="n"/>
      <c r="AX124" s="693" t="n"/>
      <c r="AY124" s="693" t="n"/>
      <c r="AZ124" s="693" t="n"/>
    </row>
    <row r="125">
      <c r="A125" s="651" t="n"/>
      <c r="B125" s="705" t="inlineStr">
        <is>
          <t>M</t>
        </is>
      </c>
      <c r="C125" s="704" t="inlineStr">
        <is>
          <t>400 Free</t>
        </is>
      </c>
      <c r="D125" s="705" t="n">
        <v>13</v>
      </c>
      <c r="E125" s="613" t="inlineStr">
        <is>
          <t>EU JUN LIN</t>
        </is>
      </c>
      <c r="F125" s="701" t="inlineStr">
        <is>
          <t>4:36.94</t>
        </is>
      </c>
      <c r="G12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5" s="464">
        <f>G125/#REF!</f>
        <v/>
      </c>
      <c r="I125" s="614" t="inlineStr">
        <is>
          <t>4:36.11</t>
        </is>
      </c>
      <c r="J12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5" s="464">
        <f>J125/#REF!</f>
        <v/>
      </c>
      <c r="L125" s="704" t="n">
        <v>14</v>
      </c>
      <c r="M125" s="616" t="n">
        <v>11</v>
      </c>
      <c r="N125" s="652">
        <f t="array" ref="N125">1000*(INDEX('Bakat Base Times'!$E:$E,MATCH(1,('Bakat Base Times'!$A:$A=B125)*('Bakat Base Times'!$B:$B=C125)*('Bakat Base Times'!$C:$C=D125),0))/(VALUE(O125)))^3
</f>
        <v/>
      </c>
      <c r="O125" s="609">
        <f>IFERROR(__xludf.DUMMYFUNCTION("IF(ISNUMBER(I125), I125, IF(REGEXMATCH(I125, "":""), SUMPRODUCT(VALUE(SPLIT(I125, "":"")) * (60^(COUNTIF(SPLIT(I125, "":""), ""&lt;&gt;"")-COLUMN(OFFSET('MOT Tables 25'!$A$1,,,1,COUNTIF(SPLIT(I125, "":""),""&lt;&gt;"")))))), VALUE(I125)))"),276.11)</f>
        <v/>
      </c>
      <c r="P125" s="689" t="n"/>
      <c r="Q125" s="689" t="n"/>
      <c r="R125" s="689" t="n"/>
      <c r="S125" s="689" t="n"/>
      <c r="T125" s="689" t="n"/>
      <c r="U125" s="689" t="n"/>
      <c r="V125" s="689" t="n"/>
      <c r="W125" s="689" t="n"/>
      <c r="X125" s="689" t="n"/>
      <c r="Y125" s="618" t="inlineStr">
        <is>
          <t>M</t>
        </is>
      </c>
      <c r="Z125" s="619" t="inlineStr">
        <is>
          <t>400 Free</t>
        </is>
      </c>
      <c r="AA125" s="612" t="n">
        <v>13</v>
      </c>
      <c r="AB125" s="613" t="inlineStr">
        <is>
          <t>EU JUN LIN</t>
        </is>
      </c>
      <c r="AC125" s="614" t="inlineStr">
        <is>
          <t>4:36.11</t>
        </is>
      </c>
      <c r="AD125" s="628">
        <f>IFERROR(__xludf.DUMMYFUNCTION("IF(ISNUMBER(AC125), AC125, IF(REGEXMATCH(AC125, "":""), SUMPRODUCT(VALUE(SPLIT(AC125, "":"")) * (60^(COUNTIF(SPLIT(AC125, "":""), ""&lt;&gt;"")-COLUMN(OFFSET('MOT Tables 25'!$A$1,,,1,COUNTIF(SPLIT(AC125, "":""),""&lt;&gt;"")))))), VALUE(AC125)))"),276.11)</f>
        <v/>
      </c>
      <c r="AE125" s="616" t="n">
        <v>11</v>
      </c>
      <c r="AF125" s="617">
        <f t="array" ref="AF125">1000*(INDEX('Bakat Base Times'!$E:$E,MATCH(1,('Bakat Base Times'!$A:$A=Y125)*('Bakat Base Times'!$B:$B=Z125)*('Bakat Base Times'!$C:$C=AA125),0))/(VALUE(AD125)))^3
</f>
        <v/>
      </c>
      <c r="AG125" s="693" t="n"/>
      <c r="AH125" s="679" t="inlineStr">
        <is>
          <t>M</t>
        </is>
      </c>
      <c r="AI125" s="680" t="inlineStr">
        <is>
          <t>200 IM</t>
        </is>
      </c>
      <c r="AJ125" s="680" t="n">
        <v>15</v>
      </c>
      <c r="AK125" s="681" t="inlineStr">
        <is>
          <t>YAP ZHEN KOK</t>
        </is>
      </c>
      <c r="AL125" s="682" t="inlineStr">
        <is>
          <t>2:19.23</t>
        </is>
      </c>
      <c r="AM125" s="683">
        <f>IFERROR(__xludf.DUMMYFUNCTION("IF(ISNUMBER(AL125), AL125, IF(REGEXMATCH(AL125, "":""), SUMPRODUCT(VALUE(SPLIT(AL125, "":"")) * (60^(COUNTIF(SPLIT(AL125, "":""), ""&lt;&gt;"")-COLUMN(OFFSET('MOT Tables 25'!$A$1,,,1,COUNTIF(SPLIT(AL125, "":""),""&lt;&gt;"")))))), VALUE(AL125)))"),139.23)</f>
        <v/>
      </c>
      <c r="AN125" s="681" t="n">
        <v>8</v>
      </c>
      <c r="AO125" s="684">
        <f t="array" ref="AO125">1000*(INDEX('Bakat Base Times'!$E:$E,MATCH(1,('Bakat Base Times'!$A:$A=AH125)*('Bakat Base Times'!$B:$B=AI125)*('Bakat Base Times'!$C:$C=AJ125),0))/(VALUE(AM125)))^3
</f>
        <v/>
      </c>
      <c r="AP125" s="685" t="n"/>
      <c r="AQ125" s="693" t="n"/>
      <c r="AR125" s="693" t="n"/>
      <c r="AS125" s="693" t="n"/>
      <c r="AT125" s="693" t="n"/>
      <c r="AU125" s="699" t="n"/>
      <c r="AV125" s="693" t="n"/>
      <c r="AW125" s="693" t="n"/>
      <c r="AX125" s="693" t="n"/>
      <c r="AY125" s="693" t="n"/>
      <c r="AZ125" s="693" t="n"/>
    </row>
    <row r="126">
      <c r="A126" s="654" t="n"/>
      <c r="B126" s="710" t="inlineStr">
        <is>
          <t>F</t>
        </is>
      </c>
      <c r="C126" s="709" t="inlineStr">
        <is>
          <t>50 Free</t>
        </is>
      </c>
      <c r="D126" s="710" t="n">
        <v>13</v>
      </c>
      <c r="E126" s="707" t="inlineStr">
        <is>
          <t xml:space="preserve">HANNAH WONG </t>
        </is>
      </c>
      <c r="F126" s="629" t="n">
        <v>28.98</v>
      </c>
      <c r="G12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6" s="460">
        <f>G126/#REF!</f>
        <v/>
      </c>
      <c r="I126" s="661" t="n">
        <v>29.25</v>
      </c>
      <c r="J12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6" s="460">
        <f>J126/#REF!</f>
        <v/>
      </c>
      <c r="L126" s="709" t="n">
        <v>11</v>
      </c>
      <c r="M126" s="593" t="n">
        <v>13</v>
      </c>
      <c r="N126" s="655">
        <f t="array" ref="N126">1000*(INDEX('Bakat Base Times'!$E:$E,MATCH(1,('Bakat Base Times'!$A:$A=B126)*('Bakat Base Times'!$B:$B=C126)*('Bakat Base Times'!$C:$C=D126),0))/(VALUE(O126)))^3
</f>
        <v/>
      </c>
      <c r="O126" s="582">
        <f>IFERROR(__xludf.DUMMYFUNCTION("IF(ISNUMBER(I126), I126, IF(REGEXMATCH(I126, "":""), SUMPRODUCT(VALUE(SPLIT(I126, "":"")) * (60^(COUNTIF(SPLIT(I126, "":""), ""&lt;&gt;"")-COLUMN(OFFSET('MOT Tables 25'!$A$1,,,1,COUNTIF(SPLIT(I126, "":""),""&lt;&gt;"")))))), VALUE(I126)))"),29.25)</f>
        <v/>
      </c>
      <c r="P126" s="689" t="n"/>
      <c r="Q126" s="689" t="n"/>
      <c r="R126" s="689" t="n"/>
      <c r="S126" s="689" t="n"/>
      <c r="T126" s="689" t="n"/>
      <c r="U126" s="689" t="n"/>
      <c r="V126" s="689" t="n"/>
      <c r="W126" s="689" t="n"/>
      <c r="X126" s="689" t="n"/>
      <c r="Y126" s="596" t="inlineStr">
        <is>
          <t>F</t>
        </is>
      </c>
      <c r="Z126" s="597" t="inlineStr">
        <is>
          <t>50 Free</t>
        </is>
      </c>
      <c r="AA126" s="710" t="n">
        <v>13</v>
      </c>
      <c r="AB126" s="707" t="inlineStr">
        <is>
          <t xml:space="preserve">HANNAH WONG </t>
        </is>
      </c>
      <c r="AC126" s="661" t="n">
        <v>29.25</v>
      </c>
      <c r="AD126" s="592">
        <f>IFERROR(__xludf.DUMMYFUNCTION("IF(ISNUMBER(AC126), AC126, IF(REGEXMATCH(AC126, "":""), SUMPRODUCT(VALUE(SPLIT(AC126, "":"")) * (60^(COUNTIF(SPLIT(AC126, "":""), ""&lt;&gt;"")-COLUMN(OFFSET('MOT Tables 25'!$A$1,,,1,COUNTIF(SPLIT(AC126, "":""),""&lt;&gt;"")))))), VALUE(AC126)))"),29.25)</f>
        <v/>
      </c>
      <c r="AE126" s="593" t="n">
        <v>13</v>
      </c>
      <c r="AF126" s="594">
        <f t="array" ref="AF126">1000*(INDEX('Bakat Base Times'!$E:$E,MATCH(1,('Bakat Base Times'!$A:$A=Y126)*('Bakat Base Times'!$B:$B=Z126)*('Bakat Base Times'!$C:$C=AA126),0))/(VALUE(AD126)))^3
</f>
        <v/>
      </c>
      <c r="AG126" s="693" t="n"/>
      <c r="AH126" s="721" t="n"/>
      <c r="AI126" s="721" t="n"/>
      <c r="AJ126" s="688" t="n"/>
      <c r="AK126" s="689" t="n"/>
      <c r="AL126" s="690" t="n"/>
      <c r="AM126" s="691" t="n"/>
      <c r="AN126" s="692" t="n"/>
      <c r="AO126" s="693" t="n"/>
      <c r="AP126" s="693" t="n"/>
      <c r="AQ126" s="693" t="n"/>
      <c r="AR126" s="693" t="n"/>
      <c r="AS126" s="693" t="n"/>
      <c r="AT126" s="693" t="n"/>
      <c r="AU126" s="699" t="n"/>
      <c r="AV126" s="693" t="n"/>
      <c r="AW126" s="693" t="n"/>
      <c r="AX126" s="693" t="n"/>
      <c r="AY126" s="693" t="n"/>
      <c r="AZ126" s="693" t="n"/>
    </row>
    <row r="127">
      <c r="A127" s="651" t="n"/>
      <c r="B127" s="705" t="inlineStr">
        <is>
          <t>F</t>
        </is>
      </c>
      <c r="C127" s="704" t="inlineStr">
        <is>
          <t>200 IM</t>
        </is>
      </c>
      <c r="D127" s="705" t="n">
        <v>18</v>
      </c>
      <c r="E127" s="613" t="inlineStr">
        <is>
          <t>MORGAN ELEVEN TEO KAI CHENG</t>
        </is>
      </c>
      <c r="F127" s="701" t="inlineStr">
        <is>
          <t>2:27.17</t>
        </is>
      </c>
      <c r="G12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7" s="464">
        <f>G127/#REF!</f>
        <v/>
      </c>
      <c r="I127" s="614" t="inlineStr">
        <is>
          <t>2:27.90</t>
        </is>
      </c>
      <c r="J12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7" s="464">
        <f>J127/#REF!</f>
        <v/>
      </c>
      <c r="L127" s="704" t="n">
        <v>7</v>
      </c>
      <c r="M127" s="616" t="n">
        <v>7</v>
      </c>
      <c r="N127" s="652">
        <f t="array" ref="N127">1000*(INDEX('Bakat Base Times'!$E:$E,MATCH(1,('Bakat Base Times'!$A:$A=B127)*('Bakat Base Times'!$B:$B=C127)*('Bakat Base Times'!$C:$C=D127),0))/(VALUE(O127)))^3
</f>
        <v/>
      </c>
      <c r="O127" s="609">
        <f>IFERROR(__xludf.DUMMYFUNCTION("IF(ISNUMBER(I127), I127, IF(REGEXMATCH(I127, "":""), SUMPRODUCT(VALUE(SPLIT(I127, "":"")) * (60^(COUNTIF(SPLIT(I127, "":""), ""&lt;&gt;"")-COLUMN(OFFSET('MOT Tables 25'!$A$1,,,1,COUNTIF(SPLIT(I127, "":""),""&lt;&gt;"")))))), VALUE(I127)))"),147.9)</f>
        <v/>
      </c>
      <c r="P127" s="689" t="n"/>
      <c r="Q127" s="689" t="n"/>
      <c r="R127" s="689" t="n"/>
      <c r="S127" s="689" t="n"/>
      <c r="T127" s="689" t="n"/>
      <c r="U127" s="689" t="n"/>
      <c r="V127" s="689" t="n"/>
      <c r="W127" s="689" t="n"/>
      <c r="X127" s="689" t="n"/>
      <c r="Y127" s="618" t="inlineStr">
        <is>
          <t>F</t>
        </is>
      </c>
      <c r="Z127" s="619" t="inlineStr">
        <is>
          <t>200 IM</t>
        </is>
      </c>
      <c r="AA127" s="612" t="n">
        <v>18</v>
      </c>
      <c r="AB127" s="613" t="inlineStr">
        <is>
          <t>MORGAN ELEVEN TEO KAI CHENG</t>
        </is>
      </c>
      <c r="AC127" s="614" t="inlineStr">
        <is>
          <t>2:27.90</t>
        </is>
      </c>
      <c r="AD127" s="628">
        <f>IFERROR(__xludf.DUMMYFUNCTION("IF(ISNUMBER(AC127), AC127, IF(REGEXMATCH(AC127, "":""), SUMPRODUCT(VALUE(SPLIT(AC127, "":"")) * (60^(COUNTIF(SPLIT(AC127, "":""), ""&lt;&gt;"")-COLUMN(OFFSET('MOT Tables 25'!$A$1,,,1,COUNTIF(SPLIT(AC127, "":""),""&lt;&gt;"")))))), VALUE(AC127)))"),147.9)</f>
        <v/>
      </c>
      <c r="AE127" s="616" t="n">
        <v>7</v>
      </c>
      <c r="AF127" s="617">
        <f t="array" ref="AF127">1000*(INDEX('Bakat Base Times'!$E:$E,MATCH(1,('Bakat Base Times'!$A:$A=Y127)*('Bakat Base Times'!$B:$B=Z127)*('Bakat Base Times'!$C:$C=AA127),0))/(VALUE(AD127)))^3
</f>
        <v/>
      </c>
      <c r="AG127" s="693" t="n"/>
      <c r="AH127" s="721" t="n"/>
      <c r="AI127" s="721" t="n"/>
      <c r="AJ127" s="688" t="n"/>
      <c r="AK127" s="689" t="n"/>
      <c r="AL127" s="690" t="n"/>
      <c r="AM127" s="691" t="n"/>
      <c r="AN127" s="692" t="n"/>
      <c r="AO127" s="693" t="n"/>
      <c r="AP127" s="693" t="n"/>
      <c r="AQ127" s="693" t="n"/>
      <c r="AR127" s="693" t="n"/>
      <c r="AS127" s="693" t="n"/>
      <c r="AT127" s="693" t="n"/>
      <c r="AU127" s="699" t="n"/>
      <c r="AV127" s="693" t="n"/>
      <c r="AW127" s="693" t="n"/>
      <c r="AX127" s="693" t="n"/>
      <c r="AY127" s="693" t="n"/>
      <c r="AZ127" s="693" t="n"/>
    </row>
    <row r="128">
      <c r="A128" s="654" t="n"/>
      <c r="B128" s="710" t="inlineStr">
        <is>
          <t>F</t>
        </is>
      </c>
      <c r="C128" s="709" t="inlineStr">
        <is>
          <t>200 Free</t>
        </is>
      </c>
      <c r="D128" s="710" t="n">
        <v>13</v>
      </c>
      <c r="E128" s="590" t="inlineStr">
        <is>
          <t>JODIE YIP JI SHIN</t>
        </is>
      </c>
      <c r="F128" s="707" t="inlineStr">
        <is>
          <t>2:15.96</t>
        </is>
      </c>
      <c r="G12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8" s="460">
        <f>G128/#REF!</f>
        <v/>
      </c>
      <c r="I128" s="591" t="inlineStr">
        <is>
          <t>2:17.43</t>
        </is>
      </c>
      <c r="J12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8" s="460">
        <f>J128/#REF!</f>
        <v/>
      </c>
      <c r="L128" s="709" t="n">
        <v>6</v>
      </c>
      <c r="M128" s="593" t="n">
        <v>8</v>
      </c>
      <c r="N128" s="655">
        <f t="array" ref="N128">1000*(INDEX('Bakat Base Times'!$E:$E,MATCH(1,('Bakat Base Times'!$A:$A=B128)*('Bakat Base Times'!$B:$B=C128)*('Bakat Base Times'!$C:$C=D128),0))/(VALUE(O128)))^3
</f>
        <v/>
      </c>
      <c r="O128" s="582">
        <f>IFERROR(__xludf.DUMMYFUNCTION("IF(ISNUMBER(I128), I128, IF(REGEXMATCH(I128, "":""), SUMPRODUCT(VALUE(SPLIT(I128, "":"")) * (60^(COUNTIF(SPLIT(I128, "":""), ""&lt;&gt;"")-COLUMN(OFFSET('MOT Tables 25'!$A$1,,,1,COUNTIF(SPLIT(I128, "":""),""&lt;&gt;"")))))), VALUE(I128)))"),137.43)</f>
        <v/>
      </c>
      <c r="P128" s="689" t="n"/>
      <c r="Q128" s="689" t="n"/>
      <c r="R128" s="689" t="n"/>
      <c r="S128" s="689" t="n"/>
      <c r="T128" s="689" t="n"/>
      <c r="U128" s="689" t="n"/>
      <c r="V128" s="689" t="n"/>
      <c r="W128" s="689" t="n"/>
      <c r="X128" s="689" t="n"/>
      <c r="Y128" s="596" t="inlineStr">
        <is>
          <t>F</t>
        </is>
      </c>
      <c r="Z128" s="597" t="inlineStr">
        <is>
          <t>200 Free</t>
        </is>
      </c>
      <c r="AA128" s="589" t="n">
        <v>13</v>
      </c>
      <c r="AB128" s="590" t="inlineStr">
        <is>
          <t>JODIE YIP JI SHIN</t>
        </is>
      </c>
      <c r="AC128" s="591" t="inlineStr">
        <is>
          <t>2:17.43</t>
        </is>
      </c>
      <c r="AD128" s="592">
        <f>IFERROR(__xludf.DUMMYFUNCTION("IF(ISNUMBER(AC128), AC128, IF(REGEXMATCH(AC128, "":""), SUMPRODUCT(VALUE(SPLIT(AC128, "":"")) * (60^(COUNTIF(SPLIT(AC128, "":""), ""&lt;&gt;"")-COLUMN(OFFSET('MOT Tables 25'!$A$1,,,1,COUNTIF(SPLIT(AC128, "":""),""&lt;&gt;"")))))), VALUE(AC128)))"),137.43)</f>
        <v/>
      </c>
      <c r="AE128" s="593" t="n">
        <v>8</v>
      </c>
      <c r="AF128" s="594">
        <f t="array" ref="AF128">1000*(INDEX('Bakat Base Times'!$E:$E,MATCH(1,('Bakat Base Times'!$A:$A=Y128)*('Bakat Base Times'!$B:$B=Z128)*('Bakat Base Times'!$C:$C=AA128),0))/(VALUE(AD128)))^3
</f>
        <v/>
      </c>
      <c r="AG128" s="693" t="n"/>
      <c r="AH128" s="721" t="n"/>
      <c r="AI128" s="721" t="n"/>
      <c r="AJ128" s="688" t="n"/>
      <c r="AK128" s="689" t="n"/>
      <c r="AL128" s="690" t="n"/>
      <c r="AM128" s="691" t="n"/>
      <c r="AN128" s="692" t="n"/>
      <c r="AO128" s="693" t="n"/>
      <c r="AP128" s="693" t="n"/>
      <c r="AQ128" s="693" t="n"/>
      <c r="AR128" s="693" t="n"/>
      <c r="AS128" s="693" t="n"/>
      <c r="AT128" s="693" t="n"/>
      <c r="AU128" s="699" t="n"/>
      <c r="AV128" s="693" t="n"/>
      <c r="AW128" s="693" t="n"/>
      <c r="AX128" s="693" t="n"/>
      <c r="AY128" s="693" t="n"/>
      <c r="AZ128" s="693" t="n"/>
    </row>
    <row r="129">
      <c r="A129" s="651" t="n"/>
      <c r="B129" s="705" t="inlineStr">
        <is>
          <t>M</t>
        </is>
      </c>
      <c r="C129" s="704" t="inlineStr">
        <is>
          <t>200 IM</t>
        </is>
      </c>
      <c r="D129" s="705" t="n">
        <v>15</v>
      </c>
      <c r="E129" s="613" t="inlineStr">
        <is>
          <t>YAP ZHEN KOK</t>
        </is>
      </c>
      <c r="F129" s="701" t="inlineStr">
        <is>
          <t>2:16.88</t>
        </is>
      </c>
      <c r="G12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29" s="464">
        <f>G129/#REF!</f>
        <v/>
      </c>
      <c r="I129" s="614" t="inlineStr">
        <is>
          <t>2:19.23</t>
        </is>
      </c>
      <c r="J12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29" s="464">
        <f>J129/#REF!</f>
        <v/>
      </c>
      <c r="L129" s="704" t="n">
        <v>11</v>
      </c>
      <c r="M129" s="616" t="n">
        <v>8</v>
      </c>
      <c r="N129" s="652">
        <f t="array" ref="N129">1000*(INDEX('Bakat Base Times'!$E:$E,MATCH(1,('Bakat Base Times'!$A:$A=B129)*('Bakat Base Times'!$B:$B=C129)*('Bakat Base Times'!$C:$C=D129),0))/(VALUE(O129)))^3
</f>
        <v/>
      </c>
      <c r="O129" s="609">
        <f>IFERROR(__xludf.DUMMYFUNCTION("IF(ISNUMBER(I129), I129, IF(REGEXMATCH(I129, "":""), SUMPRODUCT(VALUE(SPLIT(I129, "":"")) * (60^(COUNTIF(SPLIT(I129, "":""), ""&lt;&gt;"")-COLUMN(OFFSET('MOT Tables 25'!$A$1,,,1,COUNTIF(SPLIT(I129, "":""),""&lt;&gt;"")))))), VALUE(I129)))"),139.23)</f>
        <v/>
      </c>
      <c r="P129" s="689" t="n"/>
      <c r="Q129" s="689" t="n"/>
      <c r="R129" s="689" t="n"/>
      <c r="S129" s="689" t="n"/>
      <c r="T129" s="689" t="n"/>
      <c r="U129" s="689" t="n"/>
      <c r="V129" s="689" t="n"/>
      <c r="W129" s="689" t="n"/>
      <c r="X129" s="689" t="n"/>
      <c r="Y129" s="618" t="inlineStr">
        <is>
          <t>M</t>
        </is>
      </c>
      <c r="Z129" s="619" t="inlineStr">
        <is>
          <t>200 IM</t>
        </is>
      </c>
      <c r="AA129" s="612" t="n">
        <v>15</v>
      </c>
      <c r="AB129" s="613" t="inlineStr">
        <is>
          <t>YAP ZHEN KOK</t>
        </is>
      </c>
      <c r="AC129" s="614" t="inlineStr">
        <is>
          <t>2:19.23</t>
        </is>
      </c>
      <c r="AD129" s="628">
        <f>IFERROR(__xludf.DUMMYFUNCTION("IF(ISNUMBER(AC129), AC129, IF(REGEXMATCH(AC129, "":""), SUMPRODUCT(VALUE(SPLIT(AC129, "":"")) * (60^(COUNTIF(SPLIT(AC129, "":""), ""&lt;&gt;"")-COLUMN(OFFSET('MOT Tables 25'!$A$1,,,1,COUNTIF(SPLIT(AC129, "":""),""&lt;&gt;"")))))), VALUE(AC129)))"),139.23)</f>
        <v/>
      </c>
      <c r="AE129" s="616" t="n">
        <v>8</v>
      </c>
      <c r="AF129" s="617">
        <f t="array" ref="AF129">1000*(INDEX('Bakat Base Times'!$E:$E,MATCH(1,('Bakat Base Times'!$A:$A=Y129)*('Bakat Base Times'!$B:$B=Z129)*('Bakat Base Times'!$C:$C=AA129),0))/(VALUE(AD129)))^3
</f>
        <v/>
      </c>
      <c r="AG129" s="693" t="n"/>
      <c r="AH129" s="721" t="n"/>
      <c r="AI129" s="721" t="n"/>
      <c r="AJ129" s="688" t="n"/>
      <c r="AK129" s="689" t="n"/>
      <c r="AL129" s="690" t="n"/>
      <c r="AM129" s="691" t="n"/>
      <c r="AN129" s="692" t="n"/>
      <c r="AO129" s="693" t="n"/>
      <c r="AP129" s="693" t="n"/>
      <c r="AQ129" s="693" t="n"/>
      <c r="AR129" s="693" t="n"/>
      <c r="AS129" s="693" t="n"/>
      <c r="AT129" s="693" t="n"/>
      <c r="AU129" s="699" t="n"/>
      <c r="AV129" s="693" t="n"/>
      <c r="AW129" s="693" t="n"/>
      <c r="AX129" s="693" t="n"/>
      <c r="AY129" s="693" t="n"/>
      <c r="AZ129" s="693" t="n"/>
    </row>
    <row r="130">
      <c r="A130" s="654" t="n"/>
      <c r="B130" s="710" t="inlineStr">
        <is>
          <t>M</t>
        </is>
      </c>
      <c r="C130" s="709" t="inlineStr">
        <is>
          <t>400 Free</t>
        </is>
      </c>
      <c r="D130" s="710" t="n">
        <v>13</v>
      </c>
      <c r="E130" s="590" t="inlineStr">
        <is>
          <t>ADAM LIM KENG JIN</t>
        </is>
      </c>
      <c r="F130" s="707" t="inlineStr">
        <is>
          <t>4:42.05</t>
        </is>
      </c>
      <c r="G130"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0" s="460">
        <f>G130/#REF!</f>
        <v/>
      </c>
      <c r="I130" s="661" t="inlineStr">
        <is>
          <t>4:36.88</t>
        </is>
      </c>
      <c r="J130"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0" s="460">
        <f>J130/#REF!</f>
        <v/>
      </c>
      <c r="L130" s="709" t="n">
        <v>15</v>
      </c>
      <c r="M130" s="593" t="n">
        <v>12</v>
      </c>
      <c r="N130" s="655">
        <f t="array" ref="N130">1000*(INDEX('Bakat Base Times'!$E:$E,MATCH(1,('Bakat Base Times'!$A:$A=B130)*('Bakat Base Times'!$B:$B=C130)*('Bakat Base Times'!$C:$C=D130),0))/(VALUE(O130)))^3
</f>
        <v/>
      </c>
      <c r="O130" s="582">
        <f>IFERROR(__xludf.DUMMYFUNCTION("IF(ISNUMBER(I130), I130, IF(REGEXMATCH(I130, "":""), SUMPRODUCT(VALUE(SPLIT(I130, "":"")) * (60^(COUNTIF(SPLIT(I130, "":""), ""&lt;&gt;"")-COLUMN(OFFSET('MOT Tables 25'!$A$1,,,1,COUNTIF(SPLIT(I130, "":""),""&lt;&gt;"")))))), VALUE(I130)))"),276.88)</f>
        <v/>
      </c>
      <c r="P130" s="689" t="n"/>
      <c r="Q130" s="689" t="n"/>
      <c r="R130" s="689" t="n"/>
      <c r="S130" s="689" t="n"/>
      <c r="T130" s="689" t="n"/>
      <c r="U130" s="689" t="n"/>
      <c r="V130" s="689" t="n"/>
      <c r="W130" s="689" t="n"/>
      <c r="X130" s="689" t="n"/>
      <c r="Y130" s="596" t="inlineStr">
        <is>
          <t>M</t>
        </is>
      </c>
      <c r="Z130" s="597" t="inlineStr">
        <is>
          <t>400 Free</t>
        </is>
      </c>
      <c r="AA130" s="589" t="n">
        <v>13</v>
      </c>
      <c r="AB130" s="590" t="inlineStr">
        <is>
          <t>ADAM LIM KENG JIN</t>
        </is>
      </c>
      <c r="AC130" s="661" t="inlineStr">
        <is>
          <t>4:36.88</t>
        </is>
      </c>
      <c r="AD130" s="592">
        <f>IFERROR(__xludf.DUMMYFUNCTION("IF(ISNUMBER(AC130), AC130, IF(REGEXMATCH(AC130, "":""), SUMPRODUCT(VALUE(SPLIT(AC130, "":"")) * (60^(COUNTIF(SPLIT(AC130, "":""), ""&lt;&gt;"")-COLUMN(OFFSET('MOT Tables 25'!$A$1,,,1,COUNTIF(SPLIT(AC130, "":""),""&lt;&gt;"")))))), VALUE(AC130)))"),276.88)</f>
        <v/>
      </c>
      <c r="AE130" s="593" t="n">
        <v>12</v>
      </c>
      <c r="AF130" s="594">
        <f t="array" ref="AF130">1000*(INDEX('Bakat Base Times'!$E:$E,MATCH(1,('Bakat Base Times'!$A:$A=Y130)*('Bakat Base Times'!$B:$B=Z130)*('Bakat Base Times'!$C:$C=AA130),0))/(VALUE(AD130)))^3
</f>
        <v/>
      </c>
      <c r="AG130" s="693" t="n"/>
      <c r="AH130" s="721" t="n"/>
      <c r="AI130" s="721" t="n"/>
      <c r="AJ130" s="688" t="n"/>
      <c r="AK130" s="689" t="n"/>
      <c r="AL130" s="690" t="n"/>
      <c r="AM130" s="691" t="n"/>
      <c r="AN130" s="692" t="n"/>
      <c r="AO130" s="693" t="n"/>
      <c r="AP130" s="693" t="n"/>
      <c r="AQ130" s="693" t="n"/>
      <c r="AR130" s="693" t="n"/>
      <c r="AS130" s="693" t="n"/>
      <c r="AT130" s="693" t="n"/>
      <c r="AU130" s="699" t="n"/>
      <c r="AV130" s="693" t="n"/>
      <c r="AW130" s="693" t="n"/>
      <c r="AX130" s="693" t="n"/>
      <c r="AY130" s="693" t="n"/>
      <c r="AZ130" s="693" t="n"/>
    </row>
    <row r="131">
      <c r="A131" s="651" t="n"/>
      <c r="B131" s="705" t="inlineStr">
        <is>
          <t>F</t>
        </is>
      </c>
      <c r="C131" s="704" t="inlineStr">
        <is>
          <t>100 Free</t>
        </is>
      </c>
      <c r="D131" s="705" t="n">
        <v>13</v>
      </c>
      <c r="E131" s="701" t="inlineStr">
        <is>
          <t>HANNAH WONG</t>
        </is>
      </c>
      <c r="F131" s="701" t="inlineStr">
        <is>
          <t>1:02.81</t>
        </is>
      </c>
      <c r="G13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1" s="464">
        <f>G131/#REF!</f>
        <v/>
      </c>
      <c r="I131" s="614" t="inlineStr">
        <is>
          <t>1:03.68</t>
        </is>
      </c>
      <c r="J13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1" s="464">
        <f>J131/#REF!</f>
        <v/>
      </c>
      <c r="L131" s="704" t="n">
        <v>10</v>
      </c>
      <c r="M131" s="616" t="n">
        <v>11</v>
      </c>
      <c r="N131" s="652">
        <f t="array" ref="N131">1000*(INDEX('Bakat Base Times'!$E:$E,MATCH(1,('Bakat Base Times'!$A:$A=B131)*('Bakat Base Times'!$B:$B=C131)*('Bakat Base Times'!$C:$C=D131),0))/(VALUE(O131)))^3
</f>
        <v/>
      </c>
      <c r="O131" s="609">
        <f>IFERROR(__xludf.DUMMYFUNCTION("IF(ISNUMBER(I131), I131, IF(REGEXMATCH(I131, "":""), SUMPRODUCT(VALUE(SPLIT(I131, "":"")) * (60^(COUNTIF(SPLIT(I131, "":""), ""&lt;&gt;"")-COLUMN(OFFSET('MOT Tables 25'!$A$1,,,1,COUNTIF(SPLIT(I131, "":""),""&lt;&gt;"")))))), VALUE(I131)))"),63.68)</f>
        <v/>
      </c>
      <c r="P131" s="689" t="n"/>
      <c r="Q131" s="689" t="n"/>
      <c r="R131" s="689" t="n"/>
      <c r="S131" s="689" t="n"/>
      <c r="T131" s="689" t="n"/>
      <c r="U131" s="689" t="n"/>
      <c r="V131" s="689" t="n"/>
      <c r="W131" s="689" t="n"/>
      <c r="X131" s="689" t="n"/>
      <c r="Y131" s="618" t="inlineStr">
        <is>
          <t>F</t>
        </is>
      </c>
      <c r="Z131" s="619" t="inlineStr">
        <is>
          <t>100 Free</t>
        </is>
      </c>
      <c r="AA131" s="705" t="n">
        <v>13</v>
      </c>
      <c r="AB131" s="701" t="inlineStr">
        <is>
          <t>HANNAH WONG</t>
        </is>
      </c>
      <c r="AC131" s="614" t="inlineStr">
        <is>
          <t>1:03.68</t>
        </is>
      </c>
      <c r="AD131" s="628">
        <f>IFERROR(__xludf.DUMMYFUNCTION("IF(ISNUMBER(AC131), AC131, IF(REGEXMATCH(AC131, "":""), SUMPRODUCT(VALUE(SPLIT(AC131, "":"")) * (60^(COUNTIF(SPLIT(AC131, "":""), ""&lt;&gt;"")-COLUMN(OFFSET('MOT Tables 25'!$A$1,,,1,COUNTIF(SPLIT(AC131, "":""),""&lt;&gt;"")))))), VALUE(AC131)))"),63.68)</f>
        <v/>
      </c>
      <c r="AE131" s="616" t="n">
        <v>11</v>
      </c>
      <c r="AF131" s="617">
        <f t="array" ref="AF131">1000*(INDEX('Bakat Base Times'!$E:$E,MATCH(1,('Bakat Base Times'!$A:$A=Y131)*('Bakat Base Times'!$B:$B=Z131)*('Bakat Base Times'!$C:$C=AA131),0))/(VALUE(AD131)))^3
</f>
        <v/>
      </c>
      <c r="AG131" s="693" t="n"/>
      <c r="AH131" s="721" t="n"/>
      <c r="AI131" s="721" t="n"/>
      <c r="AJ131" s="688" t="n"/>
      <c r="AK131" s="689" t="n"/>
      <c r="AL131" s="690" t="n"/>
      <c r="AM131" s="691" t="n"/>
      <c r="AN131" s="692" t="n"/>
      <c r="AO131" s="693" t="n"/>
      <c r="AP131" s="693" t="n"/>
      <c r="AQ131" s="693" t="n"/>
      <c r="AR131" s="693" t="n"/>
      <c r="AS131" s="693" t="n"/>
      <c r="AT131" s="693" t="n"/>
      <c r="AU131" s="699" t="n"/>
      <c r="AV131" s="693" t="n"/>
      <c r="AW131" s="693" t="n"/>
      <c r="AX131" s="693" t="n"/>
      <c r="AY131" s="693" t="n"/>
      <c r="AZ131" s="693" t="n"/>
    </row>
    <row r="132">
      <c r="A132" s="654" t="n"/>
      <c r="B132" s="710" t="inlineStr">
        <is>
          <t>F</t>
        </is>
      </c>
      <c r="C132" s="709" t="inlineStr">
        <is>
          <t>100 Breast</t>
        </is>
      </c>
      <c r="D132" s="710" t="n">
        <v>13</v>
      </c>
      <c r="E132" s="590" t="inlineStr">
        <is>
          <t>LEE XUE WEN</t>
        </is>
      </c>
      <c r="F132" s="707" t="inlineStr">
        <is>
          <t>1:19.36</t>
        </is>
      </c>
      <c r="G13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2" s="460">
        <f>G132/#REF!</f>
        <v/>
      </c>
      <c r="I132" s="591" t="inlineStr">
        <is>
          <t>1:20.31</t>
        </is>
      </c>
      <c r="J13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2" s="460">
        <f>J132/#REF!</f>
        <v/>
      </c>
      <c r="L132" s="709" t="n">
        <v>11</v>
      </c>
      <c r="M132" s="593" t="n">
        <v>8</v>
      </c>
      <c r="N132" s="655">
        <f t="array" ref="N132">1000*(INDEX('Bakat Base Times'!$E:$E,MATCH(1,('Bakat Base Times'!$A:$A=B132)*('Bakat Base Times'!$B:$B=C132)*('Bakat Base Times'!$C:$C=D132),0))/(VALUE(O132)))^3
</f>
        <v/>
      </c>
      <c r="O132" s="582">
        <f>IFERROR(__xludf.DUMMYFUNCTION("IF(ISNUMBER(I132), I132, IF(REGEXMATCH(I132, "":""), SUMPRODUCT(VALUE(SPLIT(I132, "":"")) * (60^(COUNTIF(SPLIT(I132, "":""), ""&lt;&gt;"")-COLUMN(OFFSET('MOT Tables 25'!$A$1,,,1,COUNTIF(SPLIT(I132, "":""),""&lt;&gt;"")))))), VALUE(I132)))"),80.31)</f>
        <v/>
      </c>
      <c r="P132" s="689" t="n"/>
      <c r="Q132" s="689" t="n"/>
      <c r="R132" s="689" t="n"/>
      <c r="S132" s="689" t="n"/>
      <c r="T132" s="689" t="n"/>
      <c r="U132" s="689" t="n"/>
      <c r="V132" s="689" t="n"/>
      <c r="W132" s="689" t="n"/>
      <c r="X132" s="689" t="n"/>
      <c r="Y132" s="596" t="inlineStr">
        <is>
          <t>F</t>
        </is>
      </c>
      <c r="Z132" s="597" t="inlineStr">
        <is>
          <t>100 Breast</t>
        </is>
      </c>
      <c r="AA132" s="589" t="n">
        <v>13</v>
      </c>
      <c r="AB132" s="590" t="inlineStr">
        <is>
          <t>LEE XUE WEN</t>
        </is>
      </c>
      <c r="AC132" s="591" t="inlineStr">
        <is>
          <t>1:20.31</t>
        </is>
      </c>
      <c r="AD132" s="592">
        <f>IFERROR(__xludf.DUMMYFUNCTION("IF(ISNUMBER(AC132), AC132, IF(REGEXMATCH(AC132, "":""), SUMPRODUCT(VALUE(SPLIT(AC132, "":"")) * (60^(COUNTIF(SPLIT(AC132, "":""), ""&lt;&gt;"")-COLUMN(OFFSET('MOT Tables 25'!$A$1,,,1,COUNTIF(SPLIT(AC132, "":""),""&lt;&gt;"")))))), VALUE(AC132)))"),80.31)</f>
        <v/>
      </c>
      <c r="AE132" s="593" t="n">
        <v>8</v>
      </c>
      <c r="AF132" s="594">
        <f t="array" ref="AF132">1000*(INDEX('Bakat Base Times'!$E:$E,MATCH(1,('Bakat Base Times'!$A:$A=Y132)*('Bakat Base Times'!$B:$B=Z132)*('Bakat Base Times'!$C:$C=AA132),0))/(VALUE(AD132)))^3
</f>
        <v/>
      </c>
      <c r="AG132" s="693" t="n"/>
      <c r="AH132" s="721" t="n"/>
      <c r="AI132" s="721" t="n"/>
      <c r="AJ132" s="688" t="n"/>
      <c r="AK132" s="689" t="n"/>
      <c r="AL132" s="690" t="n"/>
      <c r="AM132" s="691" t="n"/>
      <c r="AN132" s="692" t="n"/>
      <c r="AO132" s="693" t="n"/>
      <c r="AP132" s="693" t="n"/>
      <c r="AQ132" s="693" t="n"/>
      <c r="AR132" s="693" t="n"/>
      <c r="AS132" s="693" t="n"/>
      <c r="AT132" s="693" t="n"/>
      <c r="AU132" s="699" t="n"/>
      <c r="AV132" s="693" t="n"/>
      <c r="AW132" s="693" t="n"/>
      <c r="AX132" s="693" t="n"/>
      <c r="AY132" s="693" t="n"/>
      <c r="AZ132" s="693" t="n"/>
    </row>
    <row r="133">
      <c r="A133" s="651" t="n"/>
      <c r="B133" s="705" t="inlineStr">
        <is>
          <t>F</t>
        </is>
      </c>
      <c r="C133" s="704" t="inlineStr">
        <is>
          <t>400 Free</t>
        </is>
      </c>
      <c r="D133" s="705" t="n">
        <v>13</v>
      </c>
      <c r="E133" s="613" t="inlineStr">
        <is>
          <t>JODIE YIP JI SHIN</t>
        </is>
      </c>
      <c r="F133" s="701" t="inlineStr">
        <is>
          <t>4:47.80</t>
        </is>
      </c>
      <c r="G13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3" s="464">
        <f>G133/#REF!</f>
        <v/>
      </c>
      <c r="I133" s="614" t="inlineStr">
        <is>
          <t>4:48.76</t>
        </is>
      </c>
      <c r="J13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3" s="464">
        <f>J133/#REF!</f>
        <v/>
      </c>
      <c r="L133" s="704" t="n">
        <v>6</v>
      </c>
      <c r="M133" s="616" t="n">
        <v>7</v>
      </c>
      <c r="N133" s="652">
        <f t="array" ref="N133">1000*(INDEX('Bakat Base Times'!$E:$E,MATCH(1,('Bakat Base Times'!$A:$A=B133)*('Bakat Base Times'!$B:$B=C133)*('Bakat Base Times'!$C:$C=D133),0))/(VALUE(O133)))^3
</f>
        <v/>
      </c>
      <c r="O133" s="609">
        <f>IFERROR(__xludf.DUMMYFUNCTION("IF(ISNUMBER(I133), I133, IF(REGEXMATCH(I133, "":""), SUMPRODUCT(VALUE(SPLIT(I133, "":"")) * (60^(COUNTIF(SPLIT(I133, "":""), ""&lt;&gt;"")-COLUMN(OFFSET('MOT Tables 25'!$A$1,,,1,COUNTIF(SPLIT(I133, "":""),""&lt;&gt;"")))))), VALUE(I133)))"),288.76)</f>
        <v/>
      </c>
      <c r="P133" s="689" t="n"/>
      <c r="Q133" s="689" t="n"/>
      <c r="R133" s="689" t="n"/>
      <c r="S133" s="689" t="n"/>
      <c r="T133" s="689" t="n"/>
      <c r="U133" s="689" t="n"/>
      <c r="V133" s="689" t="n"/>
      <c r="W133" s="689" t="n"/>
      <c r="X133" s="689" t="n"/>
      <c r="Y133" s="618" t="inlineStr">
        <is>
          <t>F</t>
        </is>
      </c>
      <c r="Z133" s="619" t="inlineStr">
        <is>
          <t>400 Free</t>
        </is>
      </c>
      <c r="AA133" s="612" t="n">
        <v>13</v>
      </c>
      <c r="AB133" s="613" t="inlineStr">
        <is>
          <t>JODIE YIP JI SHIN</t>
        </is>
      </c>
      <c r="AC133" s="614" t="inlineStr">
        <is>
          <t>4:48.76</t>
        </is>
      </c>
      <c r="AD133" s="628">
        <f>IFERROR(__xludf.DUMMYFUNCTION("IF(ISNUMBER(AC133), AC133, IF(REGEXMATCH(AC133, "":""), SUMPRODUCT(VALUE(SPLIT(AC133, "":"")) * (60^(COUNTIF(SPLIT(AC133, "":""), ""&lt;&gt;"")-COLUMN(OFFSET('MOT Tables 25'!$A$1,,,1,COUNTIF(SPLIT(AC133, "":""),""&lt;&gt;"")))))), VALUE(AC133)))"),288.76)</f>
        <v/>
      </c>
      <c r="AE133" s="616" t="n">
        <v>7</v>
      </c>
      <c r="AF133" s="617">
        <f t="array" ref="AF133">1000*(INDEX('Bakat Base Times'!$E:$E,MATCH(1,('Bakat Base Times'!$A:$A=Y133)*('Bakat Base Times'!$B:$B=Z133)*('Bakat Base Times'!$C:$C=AA133),0))/(VALUE(AD133)))^3
</f>
        <v/>
      </c>
      <c r="AG133" s="693" t="n"/>
      <c r="AH133" s="721" t="n"/>
      <c r="AI133" s="721" t="n"/>
      <c r="AJ133" s="688" t="n"/>
      <c r="AK133" s="689" t="n"/>
      <c r="AL133" s="690" t="n"/>
      <c r="AM133" s="691" t="n"/>
      <c r="AN133" s="692" t="n"/>
      <c r="AO133" s="693" t="n"/>
      <c r="AP133" s="693" t="n"/>
      <c r="AQ133" s="693" t="n"/>
      <c r="AR133" s="693" t="n"/>
      <c r="AS133" s="693" t="n"/>
      <c r="AT133" s="693" t="n"/>
      <c r="AU133" s="699" t="n"/>
      <c r="AV133" s="693" t="n"/>
      <c r="AW133" s="693" t="n"/>
      <c r="AX133" s="693" t="n"/>
      <c r="AY133" s="693" t="n"/>
      <c r="AZ133" s="693" t="n"/>
    </row>
    <row r="134">
      <c r="A134" s="654" t="n"/>
      <c r="B134" s="710" t="inlineStr">
        <is>
          <t>F</t>
        </is>
      </c>
      <c r="C134" s="709" t="inlineStr">
        <is>
          <t>200 Fly</t>
        </is>
      </c>
      <c r="D134" s="710" t="n">
        <v>15</v>
      </c>
      <c r="E134" s="590" t="inlineStr">
        <is>
          <t>HO WEI YAN</t>
        </is>
      </c>
      <c r="F134" s="707" t="inlineStr">
        <is>
          <t>2:28.04</t>
        </is>
      </c>
      <c r="G134"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4" s="460">
        <f>G134/#REF!</f>
        <v/>
      </c>
      <c r="I134" s="591" t="inlineStr">
        <is>
          <t>2:27.44</t>
        </is>
      </c>
      <c r="J134"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4" s="460">
        <f>J134/#REF!</f>
        <v/>
      </c>
      <c r="L134" s="709" t="n">
        <v>10</v>
      </c>
      <c r="M134" s="593" t="n">
        <v>8</v>
      </c>
      <c r="N134" s="655">
        <f t="array" ref="N134">1000*(INDEX('Bakat Base Times'!$E:$E,MATCH(1,('Bakat Base Times'!$A:$A=B134)*('Bakat Base Times'!$B:$B=C134)*('Bakat Base Times'!$C:$C=D134),0))/(VALUE(O134)))^3
</f>
        <v/>
      </c>
      <c r="O134" s="582">
        <f>IFERROR(__xludf.DUMMYFUNCTION("IF(ISNUMBER(I134), I134, IF(REGEXMATCH(I134, "":""), SUMPRODUCT(VALUE(SPLIT(I134, "":"")) * (60^(COUNTIF(SPLIT(I134, "":""), ""&lt;&gt;"")-COLUMN(OFFSET('MOT Tables 25'!$A$1,,,1,COUNTIF(SPLIT(I134, "":""),""&lt;&gt;"")))))), VALUE(I134)))"),147.44)</f>
        <v/>
      </c>
      <c r="P134" s="689" t="n"/>
      <c r="Q134" s="689" t="n"/>
      <c r="R134" s="689" t="n"/>
      <c r="S134" s="689" t="n"/>
      <c r="T134" s="689" t="n"/>
      <c r="U134" s="689" t="n"/>
      <c r="V134" s="689" t="n"/>
      <c r="W134" s="689" t="n"/>
      <c r="X134" s="689" t="n"/>
      <c r="Y134" s="596" t="inlineStr">
        <is>
          <t>F</t>
        </is>
      </c>
      <c r="Z134" s="597" t="inlineStr">
        <is>
          <t>200 Fly</t>
        </is>
      </c>
      <c r="AA134" s="589" t="n">
        <v>15</v>
      </c>
      <c r="AB134" s="590" t="inlineStr">
        <is>
          <t>HO WEI YAN</t>
        </is>
      </c>
      <c r="AC134" s="591" t="inlineStr">
        <is>
          <t>2:27.44</t>
        </is>
      </c>
      <c r="AD134" s="592">
        <f>IFERROR(__xludf.DUMMYFUNCTION("IF(ISNUMBER(AC134), AC134, IF(REGEXMATCH(AC134, "":""), SUMPRODUCT(VALUE(SPLIT(AC134, "":"")) * (60^(COUNTIF(SPLIT(AC134, "":""), ""&lt;&gt;"")-COLUMN(OFFSET('MOT Tables 25'!$A$1,,,1,COUNTIF(SPLIT(AC134, "":""),""&lt;&gt;"")))))), VALUE(AC134)))"),147.44)</f>
        <v/>
      </c>
      <c r="AE134" s="593" t="n">
        <v>8</v>
      </c>
      <c r="AF134" s="594">
        <f t="array" ref="AF134">1000*(INDEX('Bakat Base Times'!$E:$E,MATCH(1,('Bakat Base Times'!$A:$A=Y134)*('Bakat Base Times'!$B:$B=Z134)*('Bakat Base Times'!$C:$C=AA134),0))/(VALUE(AD134)))^3
</f>
        <v/>
      </c>
      <c r="AG134" s="693" t="n"/>
      <c r="AH134" s="721" t="n"/>
      <c r="AI134" s="721" t="n"/>
      <c r="AJ134" s="688" t="n"/>
      <c r="AK134" s="689" t="n"/>
      <c r="AL134" s="690" t="n"/>
      <c r="AM134" s="691" t="n"/>
      <c r="AN134" s="692" t="n"/>
      <c r="AO134" s="693" t="n"/>
      <c r="AP134" s="693" t="n"/>
      <c r="AQ134" s="693" t="n"/>
      <c r="AR134" s="693" t="n"/>
      <c r="AS134" s="693" t="n"/>
      <c r="AT134" s="693" t="n"/>
      <c r="AU134" s="699" t="n"/>
      <c r="AV134" s="693" t="n"/>
      <c r="AW134" s="693" t="n"/>
      <c r="AX134" s="693" t="n"/>
      <c r="AY134" s="693" t="n"/>
      <c r="AZ134" s="693" t="n"/>
    </row>
    <row r="135">
      <c r="A135" s="651" t="n"/>
      <c r="B135" s="705" t="inlineStr">
        <is>
          <t>F</t>
        </is>
      </c>
      <c r="C135" s="704" t="inlineStr">
        <is>
          <t>200 Breast</t>
        </is>
      </c>
      <c r="D135" s="705" t="n">
        <v>16</v>
      </c>
      <c r="E135" s="613" t="inlineStr">
        <is>
          <t>ISABELLE CHIYI BUCKLEY</t>
        </is>
      </c>
      <c r="F135" s="701" t="inlineStr">
        <is>
          <t>2:41.65</t>
        </is>
      </c>
      <c r="G13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5" s="464">
        <f>G135/#REF!</f>
        <v/>
      </c>
      <c r="I135" s="614" t="inlineStr">
        <is>
          <t>2:46.45</t>
        </is>
      </c>
      <c r="J13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5" s="464">
        <f>J135/#REF!</f>
        <v/>
      </c>
      <c r="L135" s="704" t="n">
        <v>5</v>
      </c>
      <c r="M135" s="616" t="n">
        <v>6</v>
      </c>
      <c r="N135" s="652">
        <f t="array" ref="N135">1000*(INDEX('Bakat Base Times'!$E:$E,MATCH(1,('Bakat Base Times'!$A:$A=B135)*('Bakat Base Times'!$B:$B=C135)*('Bakat Base Times'!$C:$C=D135),0))/(VALUE(O135)))^3
</f>
        <v/>
      </c>
      <c r="O135" s="609">
        <f>IFERROR(__xludf.DUMMYFUNCTION("IF(ISNUMBER(I135), I135, IF(REGEXMATCH(I135, "":""), SUMPRODUCT(VALUE(SPLIT(I135, "":"")) * (60^(COUNTIF(SPLIT(I135, "":""), ""&lt;&gt;"")-COLUMN(OFFSET('MOT Tables 25'!$A$1,,,1,COUNTIF(SPLIT(I135, "":""),""&lt;&gt;"")))))), VALUE(I135)))"),166.45)</f>
        <v/>
      </c>
      <c r="P135" s="689" t="n"/>
      <c r="Q135" s="689" t="n"/>
      <c r="R135" s="689" t="n"/>
      <c r="S135" s="689" t="n"/>
      <c r="T135" s="689" t="n"/>
      <c r="U135" s="689" t="n"/>
      <c r="V135" s="689" t="n"/>
      <c r="W135" s="689" t="n"/>
      <c r="X135" s="689" t="n"/>
      <c r="Y135" s="618" t="inlineStr">
        <is>
          <t>F</t>
        </is>
      </c>
      <c r="Z135" s="619" t="inlineStr">
        <is>
          <t>200 Breast</t>
        </is>
      </c>
      <c r="AA135" s="612" t="n">
        <v>16</v>
      </c>
      <c r="AB135" s="613" t="inlineStr">
        <is>
          <t>ISABELLE CHIYI BUCKLEY</t>
        </is>
      </c>
      <c r="AC135" s="614" t="inlineStr">
        <is>
          <t>2:46.45</t>
        </is>
      </c>
      <c r="AD135" s="628">
        <f>IFERROR(__xludf.DUMMYFUNCTION("IF(ISNUMBER(AC135), AC135, IF(REGEXMATCH(AC135, "":""), SUMPRODUCT(VALUE(SPLIT(AC135, "":"")) * (60^(COUNTIF(SPLIT(AC135, "":""), ""&lt;&gt;"")-COLUMN(OFFSET('MOT Tables 25'!$A$1,,,1,COUNTIF(SPLIT(AC135, "":""),""&lt;&gt;"")))))), VALUE(AC135)))"),166.45)</f>
        <v/>
      </c>
      <c r="AE135" s="616" t="n">
        <v>6</v>
      </c>
      <c r="AF135" s="617">
        <f t="array" ref="AF135">1000*(INDEX('Bakat Base Times'!$E:$E,MATCH(1,('Bakat Base Times'!$A:$A=Y135)*('Bakat Base Times'!$B:$B=Z135)*('Bakat Base Times'!$C:$C=AA135),0))/(VALUE(AD135)))^3
</f>
        <v/>
      </c>
      <c r="AG135" s="693" t="n"/>
      <c r="AH135" s="721" t="n"/>
      <c r="AI135" s="721" t="n"/>
      <c r="AJ135" s="688" t="n"/>
      <c r="AK135" s="689" t="n"/>
      <c r="AL135" s="690" t="n"/>
      <c r="AM135" s="691" t="n"/>
      <c r="AN135" s="692" t="n"/>
      <c r="AO135" s="693" t="n"/>
      <c r="AP135" s="693" t="n"/>
      <c r="AQ135" s="693" t="n"/>
      <c r="AR135" s="693" t="n"/>
      <c r="AS135" s="693" t="n"/>
      <c r="AT135" s="693" t="n"/>
      <c r="AU135" s="699" t="n"/>
      <c r="AV135" s="693" t="n"/>
      <c r="AW135" s="693" t="n"/>
      <c r="AX135" s="693" t="n"/>
      <c r="AY135" s="693" t="n"/>
      <c r="AZ135" s="693" t="n"/>
    </row>
    <row r="136">
      <c r="A136" s="654" t="n"/>
      <c r="B136" s="710" t="inlineStr">
        <is>
          <t>M</t>
        </is>
      </c>
      <c r="C136" s="709" t="inlineStr">
        <is>
          <t>400 Free</t>
        </is>
      </c>
      <c r="D136" s="710" t="n">
        <v>13</v>
      </c>
      <c r="E136" s="590" t="inlineStr">
        <is>
          <t>MUHAMMAD IRIEL DARWISH LIM</t>
        </is>
      </c>
      <c r="F136" s="707" t="inlineStr">
        <is>
          <t>4:32.61</t>
        </is>
      </c>
      <c r="G136"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6" s="460">
        <f>G136/#REF!</f>
        <v/>
      </c>
      <c r="I136" s="591" t="inlineStr">
        <is>
          <t>4:37.48</t>
        </is>
      </c>
      <c r="J136"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6" s="460">
        <f>J136/#REF!</f>
        <v/>
      </c>
      <c r="L136" s="709" t="n">
        <v>9</v>
      </c>
      <c r="M136" s="593" t="n">
        <v>14</v>
      </c>
      <c r="N136" s="655">
        <f t="array" ref="N136">1000*(INDEX('Bakat Base Times'!$E:$E,MATCH(1,('Bakat Base Times'!$A:$A=B136)*('Bakat Base Times'!$B:$B=C136)*('Bakat Base Times'!$C:$C=D136),0))/(VALUE(O136)))^3
</f>
        <v/>
      </c>
      <c r="O136" s="582">
        <f>IFERROR(__xludf.DUMMYFUNCTION("IF(ISNUMBER(I136), I136, IF(REGEXMATCH(I136, "":""), SUMPRODUCT(VALUE(SPLIT(I136, "":"")) * (60^(COUNTIF(SPLIT(I136, "":""), ""&lt;&gt;"")-COLUMN(OFFSET('MOT Tables 25'!$A$1,,,1,COUNTIF(SPLIT(I136, "":""),""&lt;&gt;"")))))), VALUE(I136)))"),277.48)</f>
        <v/>
      </c>
      <c r="P136" s="689" t="n"/>
      <c r="Q136" s="689" t="n"/>
      <c r="R136" s="689" t="n"/>
      <c r="S136" s="689" t="n"/>
      <c r="T136" s="689" t="n"/>
      <c r="U136" s="689" t="n"/>
      <c r="V136" s="689" t="n"/>
      <c r="W136" s="689" t="n"/>
      <c r="X136" s="689" t="n"/>
      <c r="Y136" s="596" t="inlineStr">
        <is>
          <t>M</t>
        </is>
      </c>
      <c r="Z136" s="597" t="inlineStr">
        <is>
          <t>400 Free</t>
        </is>
      </c>
      <c r="AA136" s="589" t="n">
        <v>13</v>
      </c>
      <c r="AB136" s="659" t="inlineStr">
        <is>
          <t>MUHAMMAD IRIEL DARWISH LIM</t>
        </is>
      </c>
      <c r="AC136" s="591" t="inlineStr">
        <is>
          <t>4:37.48</t>
        </is>
      </c>
      <c r="AD136" s="592">
        <f>IFERROR(__xludf.DUMMYFUNCTION("IF(ISNUMBER(AC136), AC136, IF(REGEXMATCH(AC136, "":""), SUMPRODUCT(VALUE(SPLIT(AC136, "":"")) * (60^(COUNTIF(SPLIT(AC136, "":""), ""&lt;&gt;"")-COLUMN(OFFSET('MOT Tables 25'!$A$1,,,1,COUNTIF(SPLIT(AC136, "":""),""&lt;&gt;"")))))), VALUE(AC136)))"),277.48)</f>
        <v/>
      </c>
      <c r="AE136" s="593" t="n">
        <v>14</v>
      </c>
      <c r="AF136" s="594">
        <f t="array" ref="AF136">1000*(INDEX('Bakat Base Times'!$E:$E,MATCH(1,('Bakat Base Times'!$A:$A=Y136)*('Bakat Base Times'!$B:$B=Z136)*('Bakat Base Times'!$C:$C=AA136),0))/(VALUE(AD136)))^3
</f>
        <v/>
      </c>
      <c r="AG136" s="693" t="n"/>
      <c r="AH136" s="721" t="n"/>
      <c r="AI136" s="721" t="n"/>
      <c r="AJ136" s="688" t="n"/>
      <c r="AK136" s="689" t="n"/>
      <c r="AL136" s="690" t="n"/>
      <c r="AM136" s="691" t="n"/>
      <c r="AN136" s="692" t="n"/>
      <c r="AO136" s="693" t="n"/>
      <c r="AP136" s="693" t="n"/>
      <c r="AQ136" s="693" t="n"/>
      <c r="AR136" s="693" t="n"/>
      <c r="AS136" s="693" t="n"/>
      <c r="AT136" s="693" t="n"/>
      <c r="AU136" s="699" t="n"/>
      <c r="AV136" s="693" t="n"/>
      <c r="AW136" s="693" t="n"/>
      <c r="AX136" s="693" t="n"/>
      <c r="AY136" s="693" t="n"/>
      <c r="AZ136" s="693" t="n"/>
    </row>
    <row r="137">
      <c r="A137" s="651" t="n"/>
      <c r="B137" s="705" t="inlineStr">
        <is>
          <t>M</t>
        </is>
      </c>
      <c r="C137" s="704" t="inlineStr">
        <is>
          <t>50 Free</t>
        </is>
      </c>
      <c r="D137" s="705" t="n">
        <v>13</v>
      </c>
      <c r="E137" s="613" t="inlineStr">
        <is>
          <t>SOO JENG HANG</t>
        </is>
      </c>
      <c r="F137" s="627" t="n">
        <v>27.01</v>
      </c>
      <c r="G13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7" s="464">
        <f>G137/#REF!</f>
        <v/>
      </c>
      <c r="I137" s="665" t="n">
        <v>27.47</v>
      </c>
      <c r="J13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7" s="464">
        <f>J137/#REF!</f>
        <v/>
      </c>
      <c r="L137" s="704" t="n">
        <v>8</v>
      </c>
      <c r="M137" s="616" t="n">
        <v>11</v>
      </c>
      <c r="N137" s="652">
        <f t="array" ref="N137">1000*(INDEX('Bakat Base Times'!$E:$E,MATCH(1,('Bakat Base Times'!$A:$A=B137)*('Bakat Base Times'!$B:$B=C137)*('Bakat Base Times'!$C:$C=D137),0))/(VALUE(O137)))^3
</f>
        <v/>
      </c>
      <c r="O137" s="609">
        <f>IFERROR(__xludf.DUMMYFUNCTION("IF(ISNUMBER(I137), I137, IF(REGEXMATCH(I137, "":""), SUMPRODUCT(VALUE(SPLIT(I137, "":"")) * (60^(COUNTIF(SPLIT(I137, "":""), ""&lt;&gt;"")-COLUMN(OFFSET('MOT Tables 25'!$A$1,,,1,COUNTIF(SPLIT(I137, "":""),""&lt;&gt;"")))))), VALUE(I137)))"),27.47)</f>
        <v/>
      </c>
      <c r="P137" s="689" t="n"/>
      <c r="Q137" s="689" t="n"/>
      <c r="R137" s="689" t="n"/>
      <c r="S137" s="689" t="n"/>
      <c r="T137" s="689" t="n"/>
      <c r="U137" s="689" t="n"/>
      <c r="V137" s="689" t="n"/>
      <c r="W137" s="689" t="n"/>
      <c r="X137" s="689" t="n"/>
      <c r="Y137" s="618" t="inlineStr">
        <is>
          <t>M</t>
        </is>
      </c>
      <c r="Z137" s="619" t="inlineStr">
        <is>
          <t>50 Free</t>
        </is>
      </c>
      <c r="AA137" s="612" t="n">
        <v>13</v>
      </c>
      <c r="AB137" s="613" t="inlineStr">
        <is>
          <t>SOO JENG HANG</t>
        </is>
      </c>
      <c r="AC137" s="665" t="n">
        <v>27.47</v>
      </c>
      <c r="AD137" s="628">
        <f>IFERROR(__xludf.DUMMYFUNCTION("IF(ISNUMBER(AC137), AC137, IF(REGEXMATCH(AC137, "":""), SUMPRODUCT(VALUE(SPLIT(AC137, "":"")) * (60^(COUNTIF(SPLIT(AC137, "":""), ""&lt;&gt;"")-COLUMN(OFFSET('MOT Tables 25'!$A$1,,,1,COUNTIF(SPLIT(AC137, "":""),""&lt;&gt;"")))))), VALUE(AC137)))"),27.47)</f>
        <v/>
      </c>
      <c r="AE137" s="616" t="n">
        <v>11</v>
      </c>
      <c r="AF137" s="617">
        <f t="array" ref="AF137">1000*(INDEX('Bakat Base Times'!$E:$E,MATCH(1,('Bakat Base Times'!$A:$A=Y137)*('Bakat Base Times'!$B:$B=Z137)*('Bakat Base Times'!$C:$C=AA137),0))/(VALUE(AD137)))^3
</f>
        <v/>
      </c>
      <c r="AG137" s="693" t="n"/>
      <c r="AH137" s="721" t="n"/>
      <c r="AI137" s="721" t="n"/>
      <c r="AJ137" s="688" t="n"/>
      <c r="AK137" s="689" t="n"/>
      <c r="AL137" s="690" t="n"/>
      <c r="AM137" s="691" t="n"/>
      <c r="AN137" s="692" t="n"/>
      <c r="AO137" s="693" t="n"/>
      <c r="AP137" s="693" t="n"/>
      <c r="AQ137" s="693" t="n"/>
      <c r="AR137" s="693" t="n"/>
      <c r="AS137" s="693" t="n"/>
      <c r="AT137" s="693" t="n"/>
      <c r="AU137" s="699" t="n"/>
      <c r="AV137" s="693" t="n"/>
      <c r="AW137" s="693" t="n"/>
      <c r="AX137" s="693" t="n"/>
      <c r="AY137" s="693" t="n"/>
      <c r="AZ137" s="693" t="n"/>
    </row>
    <row r="138">
      <c r="A138" s="654" t="n"/>
      <c r="B138" s="710" t="inlineStr">
        <is>
          <t>F</t>
        </is>
      </c>
      <c r="C138" s="709" t="inlineStr">
        <is>
          <t>100 Free</t>
        </is>
      </c>
      <c r="D138" s="710" t="n">
        <v>13</v>
      </c>
      <c r="E138" s="590" t="inlineStr">
        <is>
          <t>ELISHA LEE ERN</t>
        </is>
      </c>
      <c r="F138" s="707" t="inlineStr">
        <is>
          <t>1:03.11</t>
        </is>
      </c>
      <c r="G13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8" s="460">
        <f>G138/#REF!</f>
        <v/>
      </c>
      <c r="I138" s="591" t="inlineStr">
        <is>
          <t>1:03.90</t>
        </is>
      </c>
      <c r="J13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8" s="460">
        <f>J138/#REF!</f>
        <v/>
      </c>
      <c r="L138" s="709" t="n">
        <v>13</v>
      </c>
      <c r="M138" s="593" t="n">
        <v>12</v>
      </c>
      <c r="N138" s="655">
        <f t="array" ref="N138">1000*(INDEX('Bakat Base Times'!$E:$E,MATCH(1,('Bakat Base Times'!$A:$A=B138)*('Bakat Base Times'!$B:$B=C138)*('Bakat Base Times'!$C:$C=D138),0))/(VALUE(O138)))^3
</f>
        <v/>
      </c>
      <c r="O138" s="582">
        <f>IFERROR(__xludf.DUMMYFUNCTION("IF(ISNUMBER(I138), I138, IF(REGEXMATCH(I138, "":""), SUMPRODUCT(VALUE(SPLIT(I138, "":"")) * (60^(COUNTIF(SPLIT(I138, "":""), ""&lt;&gt;"")-COLUMN(OFFSET('MOT Tables 25'!$A$1,,,1,COUNTIF(SPLIT(I138, "":""),""&lt;&gt;"")))))), VALUE(I138)))"),63.9)</f>
        <v/>
      </c>
      <c r="P138" s="689" t="n"/>
      <c r="Q138" s="689" t="n"/>
      <c r="R138" s="689" t="n"/>
      <c r="S138" s="689" t="n"/>
      <c r="T138" s="689" t="n"/>
      <c r="U138" s="689" t="n"/>
      <c r="V138" s="689" t="n"/>
      <c r="W138" s="689" t="n"/>
      <c r="X138" s="689" t="n"/>
      <c r="Y138" s="596" t="inlineStr">
        <is>
          <t>F</t>
        </is>
      </c>
      <c r="Z138" s="597" t="inlineStr">
        <is>
          <t>100 Free</t>
        </is>
      </c>
      <c r="AA138" s="589" t="n">
        <v>13</v>
      </c>
      <c r="AB138" s="590" t="inlineStr">
        <is>
          <t>ELISHA LEE ERN</t>
        </is>
      </c>
      <c r="AC138" s="591" t="inlineStr">
        <is>
          <t>1:03.90</t>
        </is>
      </c>
      <c r="AD138" s="592">
        <f>IFERROR(__xludf.DUMMYFUNCTION("IF(ISNUMBER(AC138), AC138, IF(REGEXMATCH(AC138, "":""), SUMPRODUCT(VALUE(SPLIT(AC138, "":"")) * (60^(COUNTIF(SPLIT(AC138, "":""), ""&lt;&gt;"")-COLUMN(OFFSET('MOT Tables 25'!$A$1,,,1,COUNTIF(SPLIT(AC138, "":""),""&lt;&gt;"")))))), VALUE(AC138)))"),63.9)</f>
        <v/>
      </c>
      <c r="AE138" s="593" t="n">
        <v>12</v>
      </c>
      <c r="AF138" s="594">
        <f t="array" ref="AF138">1000*(INDEX('Bakat Base Times'!$E:$E,MATCH(1,('Bakat Base Times'!$A:$A=Y138)*('Bakat Base Times'!$B:$B=Z138)*('Bakat Base Times'!$C:$C=AA138),0))/(VALUE(AD138)))^3
</f>
        <v/>
      </c>
      <c r="AG138" s="693" t="n"/>
      <c r="AH138" s="721" t="n"/>
      <c r="AI138" s="721" t="n"/>
      <c r="AJ138" s="688" t="n"/>
      <c r="AK138" s="689" t="n"/>
      <c r="AL138" s="690" t="n"/>
      <c r="AM138" s="691" t="n"/>
      <c r="AN138" s="692" t="n"/>
      <c r="AO138" s="693" t="n"/>
      <c r="AP138" s="693" t="n"/>
      <c r="AQ138" s="693" t="n"/>
      <c r="AR138" s="693" t="n"/>
      <c r="AS138" s="693" t="n"/>
      <c r="AT138" s="693" t="n"/>
      <c r="AU138" s="699" t="n"/>
      <c r="AV138" s="693" t="n"/>
      <c r="AW138" s="693" t="n"/>
      <c r="AX138" s="693" t="n"/>
      <c r="AY138" s="693" t="n"/>
      <c r="AZ138" s="693" t="n"/>
    </row>
    <row r="139">
      <c r="A139" s="651" t="n"/>
      <c r="B139" s="705" t="inlineStr">
        <is>
          <t>F</t>
        </is>
      </c>
      <c r="C139" s="704" t="inlineStr">
        <is>
          <t>200 Free</t>
        </is>
      </c>
      <c r="D139" s="705" t="n">
        <v>15</v>
      </c>
      <c r="E139" s="613" t="inlineStr">
        <is>
          <t>CHEREEN NGO YIRUI</t>
        </is>
      </c>
      <c r="F139" s="701" t="inlineStr">
        <is>
          <t>2:09.56</t>
        </is>
      </c>
      <c r="G139"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39" s="464">
        <f>G139/#REF!</f>
        <v/>
      </c>
      <c r="I139" s="614" t="inlineStr">
        <is>
          <t>2:14.31</t>
        </is>
      </c>
      <c r="J139"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39" s="464">
        <f>J139/#REF!</f>
        <v/>
      </c>
      <c r="L139" s="704" t="n">
        <v>4</v>
      </c>
      <c r="M139" s="616" t="n">
        <v>13</v>
      </c>
      <c r="N139" s="652">
        <f t="array" ref="N139">1000*(INDEX('Bakat Base Times'!$E:$E,MATCH(1,('Bakat Base Times'!$A:$A=B139)*('Bakat Base Times'!$B:$B=C139)*('Bakat Base Times'!$C:$C=D139),0))/(VALUE(O139)))^3
</f>
        <v/>
      </c>
      <c r="O139" s="609">
        <f>IFERROR(__xludf.DUMMYFUNCTION("IF(ISNUMBER(I139), I139, IF(REGEXMATCH(I139, "":""), SUMPRODUCT(VALUE(SPLIT(I139, "":"")) * (60^(COUNTIF(SPLIT(I139, "":""), ""&lt;&gt;"")-COLUMN(OFFSET('MOT Tables 25'!$A$1,,,1,COUNTIF(SPLIT(I139, "":""),""&lt;&gt;"")))))), VALUE(I139)))"),134.31)</f>
        <v/>
      </c>
      <c r="P139" s="689" t="n"/>
      <c r="Q139" s="689" t="n"/>
      <c r="R139" s="689" t="n"/>
      <c r="S139" s="689" t="n"/>
      <c r="T139" s="689" t="n"/>
      <c r="U139" s="689" t="n"/>
      <c r="V139" s="689" t="n"/>
      <c r="W139" s="689" t="n"/>
      <c r="X139" s="689" t="n"/>
      <c r="Y139" s="618" t="inlineStr">
        <is>
          <t>F</t>
        </is>
      </c>
      <c r="Z139" s="619" t="inlineStr">
        <is>
          <t>200 Free</t>
        </is>
      </c>
      <c r="AA139" s="612" t="n">
        <v>15</v>
      </c>
      <c r="AB139" s="613" t="inlineStr">
        <is>
          <t>CHEREEN NGO YIRUI</t>
        </is>
      </c>
      <c r="AC139" s="614" t="inlineStr">
        <is>
          <t>2:14.31</t>
        </is>
      </c>
      <c r="AD139" s="628">
        <f>IFERROR(__xludf.DUMMYFUNCTION("IF(ISNUMBER(AC139), AC139, IF(REGEXMATCH(AC139, "":""), SUMPRODUCT(VALUE(SPLIT(AC139, "":"")) * (60^(COUNTIF(SPLIT(AC139, "":""), ""&lt;&gt;"")-COLUMN(OFFSET('MOT Tables 25'!$A$1,,,1,COUNTIF(SPLIT(AC139, "":""),""&lt;&gt;"")))))), VALUE(AC139)))"),134.31)</f>
        <v/>
      </c>
      <c r="AE139" s="616" t="n">
        <v>13</v>
      </c>
      <c r="AF139" s="617">
        <f t="array" ref="AF139">1000*(INDEX('Bakat Base Times'!$E:$E,MATCH(1,('Bakat Base Times'!$A:$A=Y139)*('Bakat Base Times'!$B:$B=Z139)*('Bakat Base Times'!$C:$C=AA139),0))/(VALUE(AD139)))^3
</f>
        <v/>
      </c>
      <c r="AG139" s="693" t="n"/>
      <c r="AH139" s="721" t="n"/>
      <c r="AI139" s="721" t="n"/>
      <c r="AJ139" s="688" t="n"/>
      <c r="AK139" s="689" t="n"/>
      <c r="AL139" s="690" t="n"/>
      <c r="AM139" s="691" t="n"/>
      <c r="AN139" s="692" t="n"/>
      <c r="AO139" s="693" t="n"/>
      <c r="AP139" s="693" t="n"/>
      <c r="AQ139" s="693" t="n"/>
      <c r="AR139" s="693" t="n"/>
      <c r="AS139" s="693" t="n"/>
      <c r="AT139" s="693" t="n"/>
      <c r="AU139" s="699" t="n"/>
      <c r="AV139" s="693" t="n"/>
      <c r="AW139" s="693" t="n"/>
      <c r="AX139" s="693" t="n"/>
      <c r="AY139" s="693" t="n"/>
      <c r="AZ139" s="693" t="n"/>
    </row>
    <row r="140">
      <c r="A140" s="654" t="n"/>
      <c r="B140" s="710" t="inlineStr">
        <is>
          <t>F</t>
        </is>
      </c>
      <c r="C140" s="709" t="inlineStr">
        <is>
          <t>100 Fly</t>
        </is>
      </c>
      <c r="D140" s="710" t="n">
        <v>15</v>
      </c>
      <c r="E140" s="590" t="inlineStr">
        <is>
          <t>KAYLEIGH ANG ZHI XUAN</t>
        </is>
      </c>
      <c r="F140" s="707" t="inlineStr">
        <is>
          <t>1:05.71</t>
        </is>
      </c>
      <c r="G14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0" s="460">
        <f>G140/#REF!</f>
        <v/>
      </c>
      <c r="I140" s="591" t="inlineStr">
        <is>
          <t>1:07.13</t>
        </is>
      </c>
      <c r="J14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0" s="460">
        <f>J140/#REF!</f>
        <v/>
      </c>
      <c r="L140" s="709" t="n">
        <v>12</v>
      </c>
      <c r="M140" s="593" t="n">
        <v>13</v>
      </c>
      <c r="N140" s="655">
        <f t="array" ref="N140">1000*(INDEX('Bakat Base Times'!$E:$E,MATCH(1,('Bakat Base Times'!$A:$A=B140)*('Bakat Base Times'!$B:$B=C140)*('Bakat Base Times'!$C:$C=D140),0))/(VALUE(O140)))^3
</f>
        <v/>
      </c>
      <c r="O140" s="582">
        <f>IFERROR(__xludf.DUMMYFUNCTION("IF(ISNUMBER(I140), I140, IF(REGEXMATCH(I140, "":""), SUMPRODUCT(VALUE(SPLIT(I140, "":"")) * (60^(COUNTIF(SPLIT(I140, "":""), ""&lt;&gt;"")-COLUMN(OFFSET('MOT Tables 25'!$A$1,,,1,COUNTIF(SPLIT(I140, "":""),""&lt;&gt;"")))))), VALUE(I140)))"),67.13)</f>
        <v/>
      </c>
      <c r="P140" s="689" t="n"/>
      <c r="Q140" s="689" t="n"/>
      <c r="R140" s="689" t="n"/>
      <c r="S140" s="689" t="n"/>
      <c r="T140" s="689" t="n"/>
      <c r="U140" s="689" t="n"/>
      <c r="V140" s="689" t="n"/>
      <c r="W140" s="689" t="n"/>
      <c r="X140" s="689" t="n"/>
      <c r="Y140" s="596" t="inlineStr">
        <is>
          <t>F</t>
        </is>
      </c>
      <c r="Z140" s="597" t="inlineStr">
        <is>
          <t>100 Fly</t>
        </is>
      </c>
      <c r="AA140" s="589" t="n">
        <v>15</v>
      </c>
      <c r="AB140" s="590" t="inlineStr">
        <is>
          <t>KAYLEIGH ANG ZHI XUAN</t>
        </is>
      </c>
      <c r="AC140" s="591" t="inlineStr">
        <is>
          <t>1:07.13</t>
        </is>
      </c>
      <c r="AD140" s="592">
        <f>IFERROR(__xludf.DUMMYFUNCTION("IF(ISNUMBER(AC140), AC140, IF(REGEXMATCH(AC140, "":""), SUMPRODUCT(VALUE(SPLIT(AC140, "":"")) * (60^(COUNTIF(SPLIT(AC140, "":""), ""&lt;&gt;"")-COLUMN(OFFSET('MOT Tables 25'!$A$1,,,1,COUNTIF(SPLIT(AC140, "":""),""&lt;&gt;"")))))), VALUE(AC140)))"),67.13)</f>
        <v/>
      </c>
      <c r="AE140" s="593" t="n">
        <v>13</v>
      </c>
      <c r="AF140" s="594">
        <f t="array" ref="AF140">1000*(INDEX('Bakat Base Times'!$E:$E,MATCH(1,('Bakat Base Times'!$A:$A=Y140)*('Bakat Base Times'!$B:$B=Z140)*('Bakat Base Times'!$C:$C=AA140),0))/(VALUE(AD140)))^3
</f>
        <v/>
      </c>
      <c r="AG140" s="693" t="n"/>
      <c r="AH140" s="721" t="n"/>
      <c r="AI140" s="721" t="n"/>
      <c r="AJ140" s="688" t="n"/>
      <c r="AK140" s="689" t="n"/>
      <c r="AL140" s="690" t="n"/>
      <c r="AM140" s="691" t="n"/>
      <c r="AN140" s="692" t="n"/>
      <c r="AO140" s="693" t="n"/>
      <c r="AP140" s="693" t="n"/>
      <c r="AQ140" s="693" t="n"/>
      <c r="AR140" s="693" t="n"/>
      <c r="AS140" s="693" t="n"/>
      <c r="AT140" s="693" t="n"/>
      <c r="AU140" s="699" t="n"/>
      <c r="AV140" s="693" t="n"/>
      <c r="AW140" s="693" t="n"/>
      <c r="AX140" s="693" t="n"/>
      <c r="AY140" s="693" t="n"/>
      <c r="AZ140" s="693" t="n"/>
    </row>
    <row r="141">
      <c r="A141" s="651" t="n"/>
      <c r="B141" s="705" t="inlineStr">
        <is>
          <t>M</t>
        </is>
      </c>
      <c r="C141" s="704" t="inlineStr">
        <is>
          <t>1500 Free</t>
        </is>
      </c>
      <c r="D141" s="705" t="n">
        <v>16</v>
      </c>
      <c r="E141" s="613" t="inlineStr">
        <is>
          <t>ADAM MALIK BIN AZIZUR RIZA</t>
        </is>
      </c>
      <c r="F141" s="701" t="inlineStr">
        <is>
          <t>16:52.11</t>
        </is>
      </c>
      <c r="G14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1" s="464">
        <f>G141/#REF!</f>
        <v/>
      </c>
      <c r="I141" s="614" t="inlineStr">
        <is>
          <t>17:15.69</t>
        </is>
      </c>
      <c r="J14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1" s="464">
        <f>J141/#REF!</f>
        <v/>
      </c>
      <c r="L141" s="704" t="n">
        <v>9</v>
      </c>
      <c r="M141" s="616" t="n">
        <v>9</v>
      </c>
      <c r="N141" s="652">
        <f t="array" ref="N141">1000*(INDEX('Bakat Base Times'!$E:$E,MATCH(1,('Bakat Base Times'!$A:$A=B141)*('Bakat Base Times'!$B:$B=C141)*('Bakat Base Times'!$C:$C=D141),0))/(VALUE(O141)))^3
</f>
        <v/>
      </c>
      <c r="O141" s="609">
        <f>IFERROR(__xludf.DUMMYFUNCTION("IF(ISNUMBER(I141), I141, IF(REGEXMATCH(I141, "":""), SUMPRODUCT(VALUE(SPLIT(I141, "":"")) * (60^(COUNTIF(SPLIT(I141, "":""), ""&lt;&gt;"")-COLUMN(OFFSET('MOT Tables 25'!$A$1,,,1,COUNTIF(SPLIT(I141, "":""),""&lt;&gt;"")))))), VALUE(I141)))"),1035.69)</f>
        <v/>
      </c>
      <c r="P141" s="689" t="n"/>
      <c r="Q141" s="689" t="n"/>
      <c r="R141" s="689" t="n"/>
      <c r="S141" s="689" t="n"/>
      <c r="T141" s="689" t="n"/>
      <c r="U141" s="689" t="n"/>
      <c r="V141" s="689" t="n"/>
      <c r="W141" s="689" t="n"/>
      <c r="X141" s="689" t="n"/>
      <c r="Y141" s="618" t="inlineStr">
        <is>
          <t>M</t>
        </is>
      </c>
      <c r="Z141" s="619" t="inlineStr">
        <is>
          <t>1500 Free</t>
        </is>
      </c>
      <c r="AA141" s="612" t="n">
        <v>16</v>
      </c>
      <c r="AB141" s="613" t="inlineStr">
        <is>
          <t>ADAM MALIK BIN AZIZUR RIZA</t>
        </is>
      </c>
      <c r="AC141" s="614" t="inlineStr">
        <is>
          <t>17:15.69</t>
        </is>
      </c>
      <c r="AD141" s="628">
        <f>IFERROR(__xludf.DUMMYFUNCTION("IF(ISNUMBER(AC141), AC141, IF(REGEXMATCH(AC141, "":""), SUMPRODUCT(VALUE(SPLIT(AC141, "":"")) * (60^(COUNTIF(SPLIT(AC141, "":""), ""&lt;&gt;"")-COLUMN(OFFSET('MOT Tables 25'!$A$1,,,1,COUNTIF(SPLIT(AC141, "":""),""&lt;&gt;"")))))), VALUE(AC141)))"),1035.69)</f>
        <v/>
      </c>
      <c r="AE141" s="616" t="n">
        <v>9</v>
      </c>
      <c r="AF141" s="617">
        <f t="array" ref="AF141">1000*(INDEX('Bakat Base Times'!$E:$E,MATCH(1,('Bakat Base Times'!$A:$A=Y141)*('Bakat Base Times'!$B:$B=Z141)*('Bakat Base Times'!$C:$C=AA141),0))/(VALUE(AD141)))^3
</f>
        <v/>
      </c>
      <c r="AG141" s="693" t="n"/>
      <c r="AH141" s="721" t="n"/>
      <c r="AI141" s="721" t="n"/>
      <c r="AJ141" s="688" t="n"/>
      <c r="AK141" s="689" t="n"/>
      <c r="AL141" s="690" t="n"/>
      <c r="AM141" s="691" t="n"/>
      <c r="AN141" s="692" t="n"/>
      <c r="AO141" s="693" t="n"/>
      <c r="AP141" s="693" t="n"/>
      <c r="AQ141" s="693" t="n"/>
      <c r="AR141" s="693" t="n"/>
      <c r="AS141" s="693" t="n"/>
      <c r="AT141" s="693" t="n"/>
      <c r="AU141" s="699" t="n"/>
      <c r="AV141" s="693" t="n"/>
      <c r="AW141" s="693" t="n"/>
      <c r="AX141" s="693" t="n"/>
      <c r="AY141" s="693" t="n"/>
      <c r="AZ141" s="693" t="n"/>
    </row>
    <row r="142">
      <c r="A142" s="654" t="n"/>
      <c r="B142" s="710" t="inlineStr">
        <is>
          <t>F</t>
        </is>
      </c>
      <c r="C142" s="709" t="inlineStr">
        <is>
          <t>200 Free</t>
        </is>
      </c>
      <c r="D142" s="710" t="n">
        <v>17</v>
      </c>
      <c r="E142" s="590" t="inlineStr">
        <is>
          <t>KHEW ZI XIAN</t>
        </is>
      </c>
      <c r="F142" s="707" t="inlineStr">
        <is>
          <t>2:10.95</t>
        </is>
      </c>
      <c r="G142"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2" s="460">
        <f>G142/#REF!</f>
        <v/>
      </c>
      <c r="I142" s="591" t="inlineStr">
        <is>
          <t>2:12.76</t>
        </is>
      </c>
      <c r="J142"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2" s="460">
        <f>J142/#REF!</f>
        <v/>
      </c>
      <c r="L142" s="709" t="n">
        <v>11</v>
      </c>
      <c r="M142" s="593" t="n">
        <v>13</v>
      </c>
      <c r="N142" s="655">
        <f t="array" ref="N142">1000*(INDEX('Bakat Base Times'!$E:$E,MATCH(1,('Bakat Base Times'!$A:$A=B142)*('Bakat Base Times'!$B:$B=C142)*('Bakat Base Times'!$C:$C=D142),0))/(VALUE(O142)))^3
</f>
        <v/>
      </c>
      <c r="O142" s="582">
        <f>IFERROR(__xludf.DUMMYFUNCTION("IF(ISNUMBER(I142), I142, IF(REGEXMATCH(I142, "":""), SUMPRODUCT(VALUE(SPLIT(I142, "":"")) * (60^(COUNTIF(SPLIT(I142, "":""), ""&lt;&gt;"")-COLUMN(OFFSET('MOT Tables 25'!$A$1,,,1,COUNTIF(SPLIT(I142, "":""),""&lt;&gt;"")))))), VALUE(I142)))"),132.76)</f>
        <v/>
      </c>
      <c r="P142" s="689" t="n"/>
      <c r="Q142" s="689" t="n"/>
      <c r="R142" s="689" t="n"/>
      <c r="S142" s="689" t="n"/>
      <c r="T142" s="689" t="n"/>
      <c r="U142" s="689" t="n"/>
      <c r="V142" s="689" t="n"/>
      <c r="W142" s="689" t="n"/>
      <c r="X142" s="689" t="n"/>
      <c r="Y142" s="596" t="inlineStr">
        <is>
          <t>F</t>
        </is>
      </c>
      <c r="Z142" s="597" t="inlineStr">
        <is>
          <t>200 Free</t>
        </is>
      </c>
      <c r="AA142" s="589" t="n">
        <v>17</v>
      </c>
      <c r="AB142" s="590" t="inlineStr">
        <is>
          <t>KHEW ZI XIAN</t>
        </is>
      </c>
      <c r="AC142" s="591" t="inlineStr">
        <is>
          <t>2:12.76</t>
        </is>
      </c>
      <c r="AD142" s="592">
        <f>IFERROR(__xludf.DUMMYFUNCTION("IF(ISNUMBER(AC142), AC142, IF(REGEXMATCH(AC142, "":""), SUMPRODUCT(VALUE(SPLIT(AC142, "":"")) * (60^(COUNTIF(SPLIT(AC142, "":""), ""&lt;&gt;"")-COLUMN(OFFSET('MOT Tables 25'!$A$1,,,1,COUNTIF(SPLIT(AC142, "":""),""&lt;&gt;"")))))), VALUE(AC142)))"),132.76)</f>
        <v/>
      </c>
      <c r="AE142" s="593" t="n">
        <v>13</v>
      </c>
      <c r="AF142" s="594">
        <f t="array" ref="AF142">1000*(INDEX('Bakat Base Times'!$E:$E,MATCH(1,('Bakat Base Times'!$A:$A=Y142)*('Bakat Base Times'!$B:$B=Z142)*('Bakat Base Times'!$C:$C=AA142),0))/(VALUE(AD142)))^3
</f>
        <v/>
      </c>
      <c r="AG142" s="693" t="n"/>
      <c r="AH142" s="721" t="n"/>
      <c r="AI142" s="721" t="n"/>
      <c r="AJ142" s="688" t="n"/>
      <c r="AK142" s="689" t="n"/>
      <c r="AL142" s="690" t="n"/>
      <c r="AM142" s="691" t="n"/>
      <c r="AN142" s="692" t="n"/>
      <c r="AO142" s="693" t="n"/>
      <c r="AP142" s="693" t="n"/>
      <c r="AQ142" s="693" t="n"/>
      <c r="AR142" s="693" t="n"/>
      <c r="AS142" s="693" t="n"/>
      <c r="AT142" s="693" t="n"/>
      <c r="AU142" s="699" t="n"/>
      <c r="AV142" s="693" t="n"/>
      <c r="AW142" s="693" t="n"/>
      <c r="AX142" s="693" t="n"/>
      <c r="AY142" s="693" t="n"/>
      <c r="AZ142" s="693" t="n"/>
    </row>
    <row r="143">
      <c r="A143" s="651" t="n"/>
      <c r="B143" s="705" t="inlineStr">
        <is>
          <t>M</t>
        </is>
      </c>
      <c r="C143" s="704" t="inlineStr">
        <is>
          <t>200 Fly</t>
        </is>
      </c>
      <c r="D143" s="705" t="n">
        <v>13</v>
      </c>
      <c r="E143" s="613" t="inlineStr">
        <is>
          <t>NOAH BIN ABDUL RIZAL</t>
        </is>
      </c>
      <c r="F143" s="701" t="inlineStr">
        <is>
          <t>2:26.37</t>
        </is>
      </c>
      <c r="G14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3" s="464">
        <f>G143/#REF!</f>
        <v/>
      </c>
      <c r="I143" s="614" t="inlineStr">
        <is>
          <t>2:26.15</t>
        </is>
      </c>
      <c r="J14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3" s="464">
        <f>J143/#REF!</f>
        <v/>
      </c>
      <c r="L143" s="704" t="n">
        <v>7</v>
      </c>
      <c r="M143" s="616" t="n">
        <v>8</v>
      </c>
      <c r="N143" s="652">
        <f t="array" ref="N143">1000*(INDEX('Bakat Base Times'!$E:$E,MATCH(1,('Bakat Base Times'!$A:$A=B143)*('Bakat Base Times'!$B:$B=C143)*('Bakat Base Times'!$C:$C=D143),0))/(VALUE(O143)))^3
</f>
        <v/>
      </c>
      <c r="O143" s="609">
        <f>IFERROR(__xludf.DUMMYFUNCTION("IF(ISNUMBER(I143), I143, IF(REGEXMATCH(I143, "":""), SUMPRODUCT(VALUE(SPLIT(I143, "":"")) * (60^(COUNTIF(SPLIT(I143, "":""), ""&lt;&gt;"")-COLUMN(OFFSET('MOT Tables 25'!$A$1,,,1,COUNTIF(SPLIT(I143, "":""),""&lt;&gt;"")))))), VALUE(I143)))"),146.15)</f>
        <v/>
      </c>
      <c r="P143" s="689" t="n"/>
      <c r="Q143" s="689" t="n"/>
      <c r="R143" s="689" t="n"/>
      <c r="S143" s="689" t="n"/>
      <c r="T143" s="689" t="n"/>
      <c r="U143" s="689" t="n"/>
      <c r="V143" s="689" t="n"/>
      <c r="W143" s="689" t="n"/>
      <c r="X143" s="689" t="n"/>
      <c r="Y143" s="618" t="inlineStr">
        <is>
          <t>M</t>
        </is>
      </c>
      <c r="Z143" s="619" t="inlineStr">
        <is>
          <t>200 Fly</t>
        </is>
      </c>
      <c r="AA143" s="612" t="n">
        <v>13</v>
      </c>
      <c r="AB143" s="613" t="inlineStr">
        <is>
          <t>NOAH BIN ABDUL RIZAL</t>
        </is>
      </c>
      <c r="AC143" s="614" t="inlineStr">
        <is>
          <t>2:26.15</t>
        </is>
      </c>
      <c r="AD143" s="628">
        <f>IFERROR(__xludf.DUMMYFUNCTION("IF(ISNUMBER(AC143), AC143, IF(REGEXMATCH(AC143, "":""), SUMPRODUCT(VALUE(SPLIT(AC143, "":"")) * (60^(COUNTIF(SPLIT(AC143, "":""), ""&lt;&gt;"")-COLUMN(OFFSET('MOT Tables 25'!$A$1,,,1,COUNTIF(SPLIT(AC143, "":""),""&lt;&gt;"")))))), VALUE(AC143)))"),146.15)</f>
        <v/>
      </c>
      <c r="AE143" s="616" t="n">
        <v>8</v>
      </c>
      <c r="AF143" s="617">
        <f t="array" ref="AF143">1000*(INDEX('Bakat Base Times'!$E:$E,MATCH(1,('Bakat Base Times'!$A:$A=Y143)*('Bakat Base Times'!$B:$B=Z143)*('Bakat Base Times'!$C:$C=AA143),0))/(VALUE(AD143)))^3
</f>
        <v/>
      </c>
      <c r="AG143" s="693" t="n"/>
      <c r="AH143" s="721" t="n"/>
      <c r="AI143" s="721" t="n"/>
      <c r="AJ143" s="688" t="n"/>
      <c r="AK143" s="689" t="n"/>
      <c r="AL143" s="690" t="n"/>
      <c r="AM143" s="691" t="n"/>
      <c r="AN143" s="692" t="n"/>
      <c r="AO143" s="693" t="n"/>
      <c r="AP143" s="693" t="n"/>
      <c r="AQ143" s="693" t="n"/>
      <c r="AR143" s="693" t="n"/>
      <c r="AS143" s="693" t="n"/>
      <c r="AT143" s="693" t="n"/>
      <c r="AU143" s="699" t="n"/>
      <c r="AV143" s="693" t="n"/>
      <c r="AW143" s="693" t="n"/>
      <c r="AX143" s="693" t="n"/>
      <c r="AY143" s="693" t="n"/>
      <c r="AZ143" s="693" t="n"/>
    </row>
    <row r="144">
      <c r="A144" s="654" t="n"/>
      <c r="B144" s="710" t="inlineStr">
        <is>
          <t>M</t>
        </is>
      </c>
      <c r="C144" s="709" t="inlineStr">
        <is>
          <t>1500 Free</t>
        </is>
      </c>
      <c r="D144" s="710" t="n">
        <v>13</v>
      </c>
      <c r="E144" s="590" t="inlineStr">
        <is>
          <t>FOO QI WEI</t>
        </is>
      </c>
      <c r="F144" s="707" t="inlineStr">
        <is>
          <t>18:23.52</t>
        </is>
      </c>
      <c r="G14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4" s="460">
        <f>G144/#REF!</f>
        <v/>
      </c>
      <c r="I144" s="591" t="inlineStr">
        <is>
          <t>18:33.67</t>
        </is>
      </c>
      <c r="J14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4" s="460">
        <f>J144/#REF!</f>
        <v/>
      </c>
      <c r="L144" s="709" t="n">
        <v>14</v>
      </c>
      <c r="M144" s="593" t="n">
        <v>13</v>
      </c>
      <c r="N144" s="655">
        <f t="array" ref="N144">1000*(INDEX('Bakat Base Times'!$E:$E,MATCH(1,('Bakat Base Times'!$A:$A=B144)*('Bakat Base Times'!$B:$B=C144)*('Bakat Base Times'!$C:$C=D144),0))/(VALUE(O144)))^3
</f>
        <v/>
      </c>
      <c r="O144" s="582">
        <f>IFERROR(__xludf.DUMMYFUNCTION("IF(ISNUMBER(I144), I144, IF(REGEXMATCH(I144, "":""), SUMPRODUCT(VALUE(SPLIT(I144, "":"")) * (60^(COUNTIF(SPLIT(I144, "":""), ""&lt;&gt;"")-COLUMN(OFFSET('MOT Tables 25'!$A$1,,,1,COUNTIF(SPLIT(I144, "":""),""&lt;&gt;"")))))), VALUE(I144)))"),1113.67)</f>
        <v/>
      </c>
      <c r="P144" s="689" t="n"/>
      <c r="Q144" s="689" t="n"/>
      <c r="R144" s="689" t="n"/>
      <c r="S144" s="689" t="n"/>
      <c r="T144" s="689" t="n"/>
      <c r="U144" s="689" t="n"/>
      <c r="V144" s="689" t="n"/>
      <c r="W144" s="689" t="n"/>
      <c r="X144" s="689" t="n"/>
      <c r="Y144" s="596" t="inlineStr">
        <is>
          <t>M</t>
        </is>
      </c>
      <c r="Z144" s="597" t="inlineStr">
        <is>
          <t>1500 Free</t>
        </is>
      </c>
      <c r="AA144" s="589" t="n">
        <v>13</v>
      </c>
      <c r="AB144" s="590" t="inlineStr">
        <is>
          <t>FOO QI WEI</t>
        </is>
      </c>
      <c r="AC144" s="591" t="inlineStr">
        <is>
          <t>18:33.67</t>
        </is>
      </c>
      <c r="AD144" s="592">
        <f>IFERROR(__xludf.DUMMYFUNCTION("IF(ISNUMBER(AC144), AC144, IF(REGEXMATCH(AC144, "":""), SUMPRODUCT(VALUE(SPLIT(AC144, "":"")) * (60^(COUNTIF(SPLIT(AC144, "":""), ""&lt;&gt;"")-COLUMN(OFFSET('MOT Tables 25'!$A$1,,,1,COUNTIF(SPLIT(AC144, "":""),""&lt;&gt;"")))))), VALUE(AC144)))"),1113.67)</f>
        <v/>
      </c>
      <c r="AE144" s="593" t="n">
        <v>13</v>
      </c>
      <c r="AF144" s="594">
        <f t="array" ref="AF144">1000*(INDEX('Bakat Base Times'!$E:$E,MATCH(1,('Bakat Base Times'!$A:$A=Y144)*('Bakat Base Times'!$B:$B=Z144)*('Bakat Base Times'!$C:$C=AA144),0))/(VALUE(AD144)))^3
</f>
        <v/>
      </c>
      <c r="AG144" s="693" t="n"/>
      <c r="AH144" s="721" t="n"/>
      <c r="AI144" s="721" t="n"/>
      <c r="AJ144" s="688" t="n"/>
      <c r="AK144" s="689" t="n"/>
      <c r="AL144" s="690" t="n"/>
      <c r="AM144" s="691" t="n"/>
      <c r="AN144" s="692" t="n"/>
      <c r="AO144" s="693" t="n"/>
      <c r="AP144" s="693" t="n"/>
      <c r="AQ144" s="693" t="n"/>
      <c r="AR144" s="693" t="n"/>
      <c r="AS144" s="693" t="n"/>
      <c r="AT144" s="693" t="n"/>
      <c r="AU144" s="699" t="n"/>
      <c r="AV144" s="693" t="n"/>
      <c r="AW144" s="693" t="n"/>
      <c r="AX144" s="693" t="n"/>
      <c r="AY144" s="693" t="n"/>
      <c r="AZ144" s="693" t="n"/>
    </row>
    <row r="145">
      <c r="A145" s="651" t="n"/>
      <c r="B145" s="705" t="inlineStr">
        <is>
          <t>F</t>
        </is>
      </c>
      <c r="C145" s="704" t="inlineStr">
        <is>
          <t>100 Fly</t>
        </is>
      </c>
      <c r="D145" s="705" t="n">
        <v>17</v>
      </c>
      <c r="E145" s="613" t="inlineStr">
        <is>
          <t>EUNICE PUA JIA HUI</t>
        </is>
      </c>
      <c r="F145" s="701" t="inlineStr">
        <is>
          <t>1:04.64</t>
        </is>
      </c>
      <c r="G14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5" s="464">
        <f>G145/#REF!</f>
        <v/>
      </c>
      <c r="I145" s="665" t="inlineStr">
        <is>
          <t>1:06.36</t>
        </is>
      </c>
      <c r="J14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5" s="464">
        <f>J145/#REF!</f>
        <v/>
      </c>
      <c r="L145" s="704" t="n">
        <v>11</v>
      </c>
      <c r="M145" s="616" t="n">
        <v>14</v>
      </c>
      <c r="N145" s="652">
        <f t="array" ref="N145">1000*(INDEX('Bakat Base Times'!$E:$E,MATCH(1,('Bakat Base Times'!$A:$A=B145)*('Bakat Base Times'!$B:$B=C145)*('Bakat Base Times'!$C:$C=D145),0))/(VALUE(O145)))^3
</f>
        <v/>
      </c>
      <c r="O145" s="609">
        <f>IFERROR(__xludf.DUMMYFUNCTION("IF(ISNUMBER(I145), I145, IF(REGEXMATCH(I145, "":""), SUMPRODUCT(VALUE(SPLIT(I145, "":"")) * (60^(COUNTIF(SPLIT(I145, "":""), ""&lt;&gt;"")-COLUMN(OFFSET('MOT Tables 25'!$A$1,,,1,COUNTIF(SPLIT(I145, "":""),""&lt;&gt;"")))))), VALUE(I145)))"),66.36)</f>
        <v/>
      </c>
      <c r="P145" s="689" t="n"/>
      <c r="Q145" s="689" t="n"/>
      <c r="R145" s="689" t="n"/>
      <c r="S145" s="689" t="n"/>
      <c r="T145" s="689" t="n"/>
      <c r="U145" s="689" t="n"/>
      <c r="V145" s="689" t="n"/>
      <c r="W145" s="689" t="n"/>
      <c r="X145" s="689" t="n"/>
      <c r="Y145" s="618" t="inlineStr">
        <is>
          <t>F</t>
        </is>
      </c>
      <c r="Z145" s="619" t="inlineStr">
        <is>
          <t>100 Fly</t>
        </is>
      </c>
      <c r="AA145" s="612" t="n">
        <v>17</v>
      </c>
      <c r="AB145" s="613" t="inlineStr">
        <is>
          <t>EUNICE PUA JIA HUI</t>
        </is>
      </c>
      <c r="AC145" s="665" t="inlineStr">
        <is>
          <t>1:06.36</t>
        </is>
      </c>
      <c r="AD145" s="628">
        <f>IFERROR(__xludf.DUMMYFUNCTION("IF(ISNUMBER(AC145), AC145, IF(REGEXMATCH(AC145, "":""), SUMPRODUCT(VALUE(SPLIT(AC145, "":"")) * (60^(COUNTIF(SPLIT(AC145, "":""), ""&lt;&gt;"")-COLUMN(OFFSET('MOT Tables 25'!$A$1,,,1,COUNTIF(SPLIT(AC145, "":""),""&lt;&gt;"")))))), VALUE(AC145)))"),66.36)</f>
        <v/>
      </c>
      <c r="AE145" s="616" t="n">
        <v>14</v>
      </c>
      <c r="AF145" s="617">
        <f t="array" ref="AF145">1000*(INDEX('Bakat Base Times'!$E:$E,MATCH(1,('Bakat Base Times'!$A:$A=Y145)*('Bakat Base Times'!$B:$B=Z145)*('Bakat Base Times'!$C:$C=AA145),0))/(VALUE(AD145)))^3
</f>
        <v/>
      </c>
      <c r="AG145" s="693" t="n"/>
      <c r="AH145" s="721" t="n"/>
      <c r="AI145" s="721" t="n"/>
      <c r="AJ145" s="688" t="n"/>
      <c r="AK145" s="689" t="n"/>
      <c r="AL145" s="690" t="n"/>
      <c r="AM145" s="691" t="n"/>
      <c r="AN145" s="692" t="n"/>
      <c r="AO145" s="693" t="n"/>
      <c r="AP145" s="693" t="n"/>
      <c r="AQ145" s="693" t="n"/>
      <c r="AR145" s="693" t="n"/>
      <c r="AS145" s="693" t="n"/>
      <c r="AT145" s="693" t="n"/>
      <c r="AU145" s="699" t="n"/>
      <c r="AV145" s="693" t="n"/>
      <c r="AW145" s="693" t="n"/>
      <c r="AX145" s="693" t="n"/>
      <c r="AY145" s="693" t="n"/>
      <c r="AZ145" s="693" t="n"/>
    </row>
    <row r="146">
      <c r="A146" s="654" t="n"/>
      <c r="B146" s="710" t="inlineStr">
        <is>
          <t>F</t>
        </is>
      </c>
      <c r="C146" s="709" t="inlineStr">
        <is>
          <t>100 Back</t>
        </is>
      </c>
      <c r="D146" s="710" t="n">
        <v>17</v>
      </c>
      <c r="E146" s="590" t="inlineStr">
        <is>
          <t>RAINNE FOO JIE XIN</t>
        </is>
      </c>
      <c r="F146" s="707" t="inlineStr">
        <is>
          <t>1:07.25</t>
        </is>
      </c>
      <c r="G14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6" s="460">
        <f>G146/#REF!</f>
        <v/>
      </c>
      <c r="I146" s="591" t="inlineStr">
        <is>
          <t>1:08.29</t>
        </is>
      </c>
      <c r="J14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6" s="460">
        <f>J146/#REF!</f>
        <v/>
      </c>
      <c r="L146" s="709" t="n">
        <v>8</v>
      </c>
      <c r="M146" s="593" t="n">
        <v>8</v>
      </c>
      <c r="N146" s="655">
        <f t="array" ref="N146">1000*(INDEX('Bakat Base Times'!$E:$E,MATCH(1,('Bakat Base Times'!$A:$A=B146)*('Bakat Base Times'!$B:$B=C146)*('Bakat Base Times'!$C:$C=D146),0))/(VALUE(O146)))^3
</f>
        <v/>
      </c>
      <c r="O146" s="582">
        <f>IFERROR(__xludf.DUMMYFUNCTION("IF(ISNUMBER(I146), I146, IF(REGEXMATCH(I146, "":""), SUMPRODUCT(VALUE(SPLIT(I146, "":"")) * (60^(COUNTIF(SPLIT(I146, "":""), ""&lt;&gt;"")-COLUMN(OFFSET('MOT Tables 25'!$A$1,,,1,COUNTIF(SPLIT(I146, "":""),""&lt;&gt;"")))))), VALUE(I146)))"),68.28999999999999)</f>
        <v/>
      </c>
      <c r="P146" s="689" t="n"/>
      <c r="Q146" s="689" t="n"/>
      <c r="R146" s="689" t="n"/>
      <c r="S146" s="689" t="n"/>
      <c r="T146" s="689" t="n"/>
      <c r="U146" s="689" t="n"/>
      <c r="V146" s="689" t="n"/>
      <c r="W146" s="689" t="n"/>
      <c r="X146" s="689" t="n"/>
      <c r="Y146" s="596" t="inlineStr">
        <is>
          <t>F</t>
        </is>
      </c>
      <c r="Z146" s="597" t="inlineStr">
        <is>
          <t>100 Back</t>
        </is>
      </c>
      <c r="AA146" s="589" t="n">
        <v>17</v>
      </c>
      <c r="AB146" s="590" t="inlineStr">
        <is>
          <t>RAINNE FOO JIE XIN</t>
        </is>
      </c>
      <c r="AC146" s="591" t="inlineStr">
        <is>
          <t>1:08.29</t>
        </is>
      </c>
      <c r="AD146" s="592">
        <f>IFERROR(__xludf.DUMMYFUNCTION("IF(ISNUMBER(AC146), AC146, IF(REGEXMATCH(AC146, "":""), SUMPRODUCT(VALUE(SPLIT(AC146, "":"")) * (60^(COUNTIF(SPLIT(AC146, "":""), ""&lt;&gt;"")-COLUMN(OFFSET('MOT Tables 25'!$A$1,,,1,COUNTIF(SPLIT(AC146, "":""),""&lt;&gt;"")))))), VALUE(AC146)))"),68.28999999999999)</f>
        <v/>
      </c>
      <c r="AE146" s="593" t="n">
        <v>8</v>
      </c>
      <c r="AF146" s="594">
        <f t="array" ref="AF146">1000*(INDEX('Bakat Base Times'!$E:$E,MATCH(1,('Bakat Base Times'!$A:$A=Y146)*('Bakat Base Times'!$B:$B=Z146)*('Bakat Base Times'!$C:$C=AA146),0))/(VALUE(AD146)))^3
</f>
        <v/>
      </c>
      <c r="AG146" s="693" t="n"/>
      <c r="AH146" s="721" t="n"/>
      <c r="AI146" s="721" t="n"/>
      <c r="AJ146" s="688" t="n"/>
      <c r="AK146" s="689" t="n"/>
      <c r="AL146" s="690" t="n"/>
      <c r="AM146" s="691" t="n"/>
      <c r="AN146" s="692" t="n"/>
      <c r="AO146" s="693" t="n"/>
      <c r="AP146" s="693" t="n"/>
      <c r="AQ146" s="693" t="n"/>
      <c r="AR146" s="693" t="n"/>
      <c r="AS146" s="693" t="n"/>
      <c r="AT146" s="693" t="n"/>
      <c r="AU146" s="699" t="n"/>
      <c r="AV146" s="693" t="n"/>
      <c r="AW146" s="693" t="n"/>
      <c r="AX146" s="693" t="n"/>
      <c r="AY146" s="693" t="n"/>
      <c r="AZ146" s="693" t="n"/>
    </row>
    <row r="147">
      <c r="A147" s="651" t="n"/>
      <c r="B147" s="705" t="inlineStr">
        <is>
          <t>F</t>
        </is>
      </c>
      <c r="C147" s="704" t="inlineStr">
        <is>
          <t>800 Free</t>
        </is>
      </c>
      <c r="D147" s="705" t="n">
        <v>14</v>
      </c>
      <c r="E147" s="613" t="inlineStr">
        <is>
          <t>SEOW CUI YING</t>
        </is>
      </c>
      <c r="F147" s="701" t="inlineStr">
        <is>
          <t>9:41.38</t>
        </is>
      </c>
      <c r="G147"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7" s="464">
        <f>G147/#REF!</f>
        <v/>
      </c>
      <c r="I147" s="695" t="inlineStr">
        <is>
          <t>9:47.78</t>
        </is>
      </c>
      <c r="J147"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7" s="464">
        <f>J147/#REF!</f>
        <v/>
      </c>
      <c r="L147" s="704" t="n">
        <v>8</v>
      </c>
      <c r="M147" s="616" t="n">
        <v>10</v>
      </c>
      <c r="N147" s="652">
        <f t="array" ref="N147">1000*(INDEX('Bakat Base Times'!$E:$E,MATCH(1,('Bakat Base Times'!$A:$A=B147)*('Bakat Base Times'!$B:$B=C147)*('Bakat Base Times'!$C:$C=D147),0))/(VALUE(O147)))^3
</f>
        <v/>
      </c>
      <c r="O147" s="609">
        <f>IFERROR(__xludf.DUMMYFUNCTION("IF(ISNUMBER(I147), I147, IF(REGEXMATCH(I147, "":""), SUMPRODUCT(VALUE(SPLIT(I147, "":"")) * (60^(COUNTIF(SPLIT(I147, "":""), ""&lt;&gt;"")-COLUMN(OFFSET('MOT Tables 25'!$A$1,,,1,COUNTIF(SPLIT(I147, "":""),""&lt;&gt;"")))))), VALUE(I147)))"),587.78)</f>
        <v/>
      </c>
      <c r="P147" s="689" t="n"/>
      <c r="Q147" s="689" t="n"/>
      <c r="R147" s="689" t="n"/>
      <c r="S147" s="689" t="n"/>
      <c r="T147" s="689" t="n"/>
      <c r="U147" s="689" t="n"/>
      <c r="V147" s="689" t="n"/>
      <c r="W147" s="689" t="n"/>
      <c r="X147" s="689" t="n"/>
      <c r="Y147" s="618" t="inlineStr">
        <is>
          <t>F</t>
        </is>
      </c>
      <c r="Z147" s="619" t="inlineStr">
        <is>
          <t>800 Free</t>
        </is>
      </c>
      <c r="AA147" s="612" t="n">
        <v>14</v>
      </c>
      <c r="AB147" s="613" t="inlineStr">
        <is>
          <t>SEOW CUI YING</t>
        </is>
      </c>
      <c r="AC147" s="695" t="inlineStr">
        <is>
          <t>9:47.78</t>
        </is>
      </c>
      <c r="AD147" s="628">
        <f>IFERROR(__xludf.DUMMYFUNCTION("IF(ISNUMBER(AC147), AC147, IF(REGEXMATCH(AC147, "":""), SUMPRODUCT(VALUE(SPLIT(AC147, "":"")) * (60^(COUNTIF(SPLIT(AC147, "":""), ""&lt;&gt;"")-COLUMN(OFFSET('MOT Tables 25'!$A$1,,,1,COUNTIF(SPLIT(AC147, "":""),""&lt;&gt;"")))))), VALUE(AC147)))"),587.78)</f>
        <v/>
      </c>
      <c r="AE147" s="616" t="n">
        <v>10</v>
      </c>
      <c r="AF147" s="617">
        <f t="array" ref="AF147">1000*(INDEX('Bakat Base Times'!$E:$E,MATCH(1,('Bakat Base Times'!$A:$A=Y147)*('Bakat Base Times'!$B:$B=Z147)*('Bakat Base Times'!$C:$C=AA147),0))/(VALUE(AD147)))^3
</f>
        <v/>
      </c>
      <c r="AG147" s="693" t="n"/>
      <c r="AH147" s="721" t="n"/>
      <c r="AI147" s="721" t="n"/>
      <c r="AJ147" s="688" t="n"/>
      <c r="AK147" s="689" t="n"/>
      <c r="AL147" s="690" t="n"/>
      <c r="AM147" s="691" t="n"/>
      <c r="AN147" s="692" t="n"/>
      <c r="AO147" s="693" t="n"/>
      <c r="AP147" s="693" t="n"/>
      <c r="AQ147" s="693" t="n"/>
      <c r="AR147" s="693" t="n"/>
      <c r="AS147" s="693" t="n"/>
      <c r="AT147" s="693" t="n"/>
      <c r="AU147" s="699" t="n"/>
      <c r="AV147" s="693" t="n"/>
      <c r="AW147" s="693" t="n"/>
      <c r="AX147" s="693" t="n"/>
      <c r="AY147" s="693" t="n"/>
      <c r="AZ147" s="693" t="n"/>
    </row>
    <row r="148">
      <c r="A148" s="654" t="n"/>
      <c r="B148" s="710" t="inlineStr">
        <is>
          <t>M</t>
        </is>
      </c>
      <c r="C148" s="709" t="inlineStr">
        <is>
          <t>200 Breast</t>
        </is>
      </c>
      <c r="D148" s="710" t="n">
        <v>16</v>
      </c>
      <c r="E148" s="590" t="inlineStr">
        <is>
          <t>NGUI JING</t>
        </is>
      </c>
      <c r="F148" s="707" t="inlineStr">
        <is>
          <t>2:29.40</t>
        </is>
      </c>
      <c r="G14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8" s="460">
        <f>G148/#REF!</f>
        <v/>
      </c>
      <c r="I148" s="591" t="inlineStr">
        <is>
          <t>2:33.15</t>
        </is>
      </c>
      <c r="J14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8" s="460">
        <f>J148/#REF!</f>
        <v/>
      </c>
      <c r="L148" s="709" t="n">
        <v>13</v>
      </c>
      <c r="M148" s="593" t="n">
        <v>13</v>
      </c>
      <c r="N148" s="655">
        <f t="array" ref="N148">1000*(INDEX('Bakat Base Times'!$E:$E,MATCH(1,('Bakat Base Times'!$A:$A=B148)*('Bakat Base Times'!$B:$B=C148)*('Bakat Base Times'!$C:$C=D148),0))/(VALUE(O148)))^3
</f>
        <v/>
      </c>
      <c r="O148" s="582">
        <f>IFERROR(__xludf.DUMMYFUNCTION("IF(ISNUMBER(I148), I148, IF(REGEXMATCH(I148, "":""), SUMPRODUCT(VALUE(SPLIT(I148, "":"")) * (60^(COUNTIF(SPLIT(I148, "":""), ""&lt;&gt;"")-COLUMN(OFFSET('MOT Tables 25'!$A$1,,,1,COUNTIF(SPLIT(I148, "":""),""&lt;&gt;"")))))), VALUE(I148)))"),153.15)</f>
        <v/>
      </c>
      <c r="P148" s="689" t="n"/>
      <c r="Q148" s="689" t="n"/>
      <c r="R148" s="689" t="n"/>
      <c r="S148" s="689" t="n"/>
      <c r="T148" s="689" t="n"/>
      <c r="U148" s="689" t="n"/>
      <c r="V148" s="689" t="n"/>
      <c r="W148" s="689" t="n"/>
      <c r="X148" s="689" t="n"/>
      <c r="Y148" s="596" t="inlineStr">
        <is>
          <t>M</t>
        </is>
      </c>
      <c r="Z148" s="597" t="inlineStr">
        <is>
          <t>200 Breast</t>
        </is>
      </c>
      <c r="AA148" s="589" t="n">
        <v>16</v>
      </c>
      <c r="AB148" s="590" t="inlineStr">
        <is>
          <t>NGUI JING</t>
        </is>
      </c>
      <c r="AC148" s="591" t="inlineStr">
        <is>
          <t>2:33.15</t>
        </is>
      </c>
      <c r="AD148" s="592">
        <f>IFERROR(__xludf.DUMMYFUNCTION("IF(ISNUMBER(AC148), AC148, IF(REGEXMATCH(AC148, "":""), SUMPRODUCT(VALUE(SPLIT(AC148, "":"")) * (60^(COUNTIF(SPLIT(AC148, "":""), ""&lt;&gt;"")-COLUMN(OFFSET('MOT Tables 25'!$A$1,,,1,COUNTIF(SPLIT(AC148, "":""),""&lt;&gt;"")))))), VALUE(AC148)))"),153.15)</f>
        <v/>
      </c>
      <c r="AE148" s="593" t="n">
        <v>13</v>
      </c>
      <c r="AF148" s="594">
        <f t="array" ref="AF148">1000*(INDEX('Bakat Base Times'!$E:$E,MATCH(1,('Bakat Base Times'!$A:$A=Y148)*('Bakat Base Times'!$B:$B=Z148)*('Bakat Base Times'!$C:$C=AA148),0))/(VALUE(AD148)))^3
</f>
        <v/>
      </c>
      <c r="AG148" s="693" t="n"/>
      <c r="AH148" s="721" t="n"/>
      <c r="AI148" s="721" t="n"/>
      <c r="AJ148" s="688" t="n"/>
      <c r="AK148" s="689" t="n"/>
      <c r="AL148" s="690" t="n"/>
      <c r="AM148" s="691" t="n"/>
      <c r="AN148" s="692" t="n"/>
      <c r="AO148" s="693" t="n"/>
      <c r="AP148" s="693" t="n"/>
      <c r="AQ148" s="693" t="n"/>
      <c r="AR148" s="693" t="n"/>
      <c r="AS148" s="693" t="n"/>
      <c r="AT148" s="693" t="n"/>
      <c r="AU148" s="699" t="n"/>
      <c r="AV148" s="693" t="n"/>
      <c r="AW148" s="693" t="n"/>
      <c r="AX148" s="693" t="n"/>
      <c r="AY148" s="693" t="n"/>
      <c r="AZ148" s="693" t="n"/>
    </row>
    <row r="149">
      <c r="A149" s="651" t="n"/>
      <c r="B149" s="705" t="inlineStr">
        <is>
          <t>F</t>
        </is>
      </c>
      <c r="C149" s="704" t="inlineStr">
        <is>
          <t>400 IM</t>
        </is>
      </c>
      <c r="D149" s="705" t="n">
        <v>15</v>
      </c>
      <c r="E149" s="613" t="inlineStr">
        <is>
          <t>SHANNON TAN YAN QING *</t>
        </is>
      </c>
      <c r="F149" s="701" t="inlineStr">
        <is>
          <t>5:11.46</t>
        </is>
      </c>
      <c r="G14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49" s="464">
        <f>G149/#REF!</f>
        <v/>
      </c>
      <c r="I149" s="614" t="inlineStr">
        <is>
          <t>5:21.21</t>
        </is>
      </c>
      <c r="J14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49" s="464">
        <f>J149/#REF!</f>
        <v/>
      </c>
      <c r="L149" s="704" t="n">
        <v>4</v>
      </c>
      <c r="M149" s="616" t="n">
        <v>9</v>
      </c>
      <c r="N149" s="652">
        <f t="array" ref="N149">1000*(INDEX('Bakat Base Times'!$E:$E,MATCH(1,('Bakat Base Times'!$A:$A=B149)*('Bakat Base Times'!$B:$B=C149)*('Bakat Base Times'!$C:$C=D149),0))/(VALUE(O149)))^3
</f>
        <v/>
      </c>
      <c r="O149" s="609">
        <f>IFERROR(__xludf.DUMMYFUNCTION("IF(ISNUMBER(I149), I149, IF(REGEXMATCH(I149, "":""), SUMPRODUCT(VALUE(SPLIT(I149, "":"")) * (60^(COUNTIF(SPLIT(I149, "":""), ""&lt;&gt;"")-COLUMN(OFFSET('MOT Tables 25'!$A$1,,,1,COUNTIF(SPLIT(I149, "":""),""&lt;&gt;"")))))), VALUE(I149)))"),321.21)</f>
        <v/>
      </c>
      <c r="P149" s="689" t="n"/>
      <c r="Q149" s="689" t="n"/>
      <c r="R149" s="689" t="n"/>
      <c r="S149" s="689" t="n"/>
      <c r="T149" s="689" t="n"/>
      <c r="U149" s="689" t="n"/>
      <c r="V149" s="689" t="n"/>
      <c r="W149" s="689" t="n"/>
      <c r="X149" s="689" t="n"/>
      <c r="Y149" s="618" t="inlineStr">
        <is>
          <t>F</t>
        </is>
      </c>
      <c r="Z149" s="619" t="inlineStr">
        <is>
          <t>400 IM</t>
        </is>
      </c>
      <c r="AA149" s="612" t="n">
        <v>15</v>
      </c>
      <c r="AB149" s="613" t="inlineStr">
        <is>
          <t>SHANNON TAN YAN QING *</t>
        </is>
      </c>
      <c r="AC149" s="614" t="inlineStr">
        <is>
          <t>5:21.21</t>
        </is>
      </c>
      <c r="AD149" s="628">
        <f>IFERROR(__xludf.DUMMYFUNCTION("IF(ISNUMBER(AC149), AC149, IF(REGEXMATCH(AC149, "":""), SUMPRODUCT(VALUE(SPLIT(AC149, "":"")) * (60^(COUNTIF(SPLIT(AC149, "":""), ""&lt;&gt;"")-COLUMN(OFFSET('MOT Tables 25'!$A$1,,,1,COUNTIF(SPLIT(AC149, "":""),""&lt;&gt;"")))))), VALUE(AC149)))"),321.21)</f>
        <v/>
      </c>
      <c r="AE149" s="616" t="n">
        <v>9</v>
      </c>
      <c r="AF149" s="617">
        <f t="array" ref="AF149">1000*(INDEX('Bakat Base Times'!$E:$E,MATCH(1,('Bakat Base Times'!$A:$A=Y149)*('Bakat Base Times'!$B:$B=Z149)*('Bakat Base Times'!$C:$C=AA149),0))/(VALUE(AD149)))^3
</f>
        <v/>
      </c>
      <c r="AG149" s="693" t="n"/>
      <c r="AH149" s="721" t="n"/>
      <c r="AI149" s="721" t="n"/>
      <c r="AJ149" s="688" t="n"/>
      <c r="AK149" s="689" t="n"/>
      <c r="AL149" s="690" t="n"/>
      <c r="AM149" s="691" t="n"/>
      <c r="AN149" s="692" t="n"/>
      <c r="AO149" s="693" t="n"/>
      <c r="AP149" s="693" t="n"/>
      <c r="AQ149" s="693" t="n"/>
      <c r="AR149" s="693" t="n"/>
      <c r="AS149" s="693" t="n"/>
      <c r="AT149" s="693" t="n"/>
      <c r="AU149" s="699" t="n"/>
      <c r="AV149" s="693" t="n"/>
      <c r="AW149" s="693" t="n"/>
      <c r="AX149" s="693" t="n"/>
      <c r="AY149" s="693" t="n"/>
      <c r="AZ149" s="693" t="n"/>
    </row>
    <row r="150">
      <c r="A150" s="654" t="n"/>
      <c r="B150" s="710" t="inlineStr">
        <is>
          <t>F</t>
        </is>
      </c>
      <c r="C150" s="709" t="inlineStr">
        <is>
          <t>400 Free</t>
        </is>
      </c>
      <c r="D150" s="710" t="n">
        <v>13</v>
      </c>
      <c r="E150" s="590" t="inlineStr">
        <is>
          <t>ELISHA LEE ERN</t>
        </is>
      </c>
      <c r="F150" s="707" t="inlineStr">
        <is>
          <t>4:49.79</t>
        </is>
      </c>
      <c r="G150"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0" s="460">
        <f>G150/#REF!</f>
        <v/>
      </c>
      <c r="I150" s="591" t="inlineStr">
        <is>
          <t>4:51.56</t>
        </is>
      </c>
      <c r="J150"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0" s="460">
        <f>J150/#REF!</f>
        <v/>
      </c>
      <c r="L150" s="709" t="n">
        <v>8</v>
      </c>
      <c r="M150" s="593" t="n">
        <v>9</v>
      </c>
      <c r="N150" s="655">
        <f t="array" ref="N150">1000*(INDEX('Bakat Base Times'!$E:$E,MATCH(1,('Bakat Base Times'!$A:$A=B150)*('Bakat Base Times'!$B:$B=C150)*('Bakat Base Times'!$C:$C=D150),0))/(VALUE(O150)))^3
</f>
        <v/>
      </c>
      <c r="O150" s="582">
        <f>IFERROR(__xludf.DUMMYFUNCTION("IF(ISNUMBER(I150), I150, IF(REGEXMATCH(I150, "":""), SUMPRODUCT(VALUE(SPLIT(I150, "":"")) * (60^(COUNTIF(SPLIT(I150, "":""), ""&lt;&gt;"")-COLUMN(OFFSET('MOT Tables 25'!$A$1,,,1,COUNTIF(SPLIT(I150, "":""),""&lt;&gt;"")))))), VALUE(I150)))"),291.56)</f>
        <v/>
      </c>
      <c r="P150" s="689" t="n"/>
      <c r="Q150" s="689" t="n"/>
      <c r="R150" s="689" t="n"/>
      <c r="S150" s="689" t="n"/>
      <c r="T150" s="689" t="n"/>
      <c r="U150" s="689" t="n"/>
      <c r="V150" s="689" t="n"/>
      <c r="W150" s="689" t="n"/>
      <c r="X150" s="689" t="n"/>
      <c r="Y150" s="596" t="inlineStr">
        <is>
          <t>F</t>
        </is>
      </c>
      <c r="Z150" s="597" t="inlineStr">
        <is>
          <t>400 Free</t>
        </is>
      </c>
      <c r="AA150" s="589" t="n">
        <v>13</v>
      </c>
      <c r="AB150" s="590" t="inlineStr">
        <is>
          <t>ELISHA LEE ERN</t>
        </is>
      </c>
      <c r="AC150" s="591" t="inlineStr">
        <is>
          <t>4:51.56</t>
        </is>
      </c>
      <c r="AD150" s="592">
        <f>IFERROR(__xludf.DUMMYFUNCTION("IF(ISNUMBER(AC150), AC150, IF(REGEXMATCH(AC150, "":""), SUMPRODUCT(VALUE(SPLIT(AC150, "":"")) * (60^(COUNTIF(SPLIT(AC150, "":""), ""&lt;&gt;"")-COLUMN(OFFSET('MOT Tables 25'!$A$1,,,1,COUNTIF(SPLIT(AC150, "":""),""&lt;&gt;"")))))), VALUE(AC150)))"),291.56)</f>
        <v/>
      </c>
      <c r="AE150" s="593" t="n">
        <v>9</v>
      </c>
      <c r="AF150" s="594">
        <f t="array" ref="AF150">1000*(INDEX('Bakat Base Times'!$E:$E,MATCH(1,('Bakat Base Times'!$A:$A=Y150)*('Bakat Base Times'!$B:$B=Z150)*('Bakat Base Times'!$C:$C=AA150),0))/(VALUE(AD150)))^3
</f>
        <v/>
      </c>
      <c r="AG150" s="693" t="n"/>
      <c r="AH150" s="721" t="n"/>
      <c r="AI150" s="721" t="n"/>
      <c r="AJ150" s="688" t="n"/>
      <c r="AK150" s="689" t="n"/>
      <c r="AL150" s="690" t="n"/>
      <c r="AM150" s="691" t="n"/>
      <c r="AN150" s="692" t="n"/>
      <c r="AO150" s="693" t="n"/>
      <c r="AP150" s="693" t="n"/>
      <c r="AQ150" s="693" t="n"/>
      <c r="AR150" s="693" t="n"/>
      <c r="AS150" s="693" t="n"/>
      <c r="AT150" s="693" t="n"/>
      <c r="AU150" s="699" t="n"/>
      <c r="AV150" s="693" t="n"/>
      <c r="AW150" s="693" t="n"/>
      <c r="AX150" s="693" t="n"/>
      <c r="AY150" s="693" t="n"/>
      <c r="AZ150" s="693" t="n"/>
    </row>
    <row r="151">
      <c r="A151" s="651" t="n"/>
      <c r="B151" s="705" t="inlineStr">
        <is>
          <t>M</t>
        </is>
      </c>
      <c r="C151" s="704" t="inlineStr">
        <is>
          <t>200 IM</t>
        </is>
      </c>
      <c r="D151" s="705" t="n">
        <v>15</v>
      </c>
      <c r="E151" s="613" t="inlineStr">
        <is>
          <t>CAYDEN TEO KAE-C</t>
        </is>
      </c>
      <c r="F151" s="704" t="inlineStr">
        <is>
          <t>2:16.59</t>
        </is>
      </c>
      <c r="G15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1" s="464">
        <f>G151/#REF!</f>
        <v/>
      </c>
      <c r="I151" s="614" t="inlineStr">
        <is>
          <t>2:21.07</t>
        </is>
      </c>
      <c r="J15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1" s="464">
        <f>J151/#REF!</f>
        <v/>
      </c>
      <c r="L151" s="704" t="n">
        <v>10</v>
      </c>
      <c r="M151" s="616" t="n">
        <v>10</v>
      </c>
      <c r="N151" s="652">
        <f t="array" ref="N151">1000*(INDEX('Bakat Base Times'!$E:$E,MATCH(1,('Bakat Base Times'!$A:$A=B151)*('Bakat Base Times'!$B:$B=C151)*('Bakat Base Times'!$C:$C=D151),0))/(VALUE(O151)))^3
</f>
        <v/>
      </c>
      <c r="O151" s="609">
        <f>IFERROR(__xludf.DUMMYFUNCTION("IF(ISNUMBER(I151), I151, IF(REGEXMATCH(I151, "":""), SUMPRODUCT(VALUE(SPLIT(I151, "":"")) * (60^(COUNTIF(SPLIT(I151, "":""), ""&lt;&gt;"")-COLUMN(OFFSET('MOT Tables 25'!$A$1,,,1,COUNTIF(SPLIT(I151, "":""),""&lt;&gt;"")))))), VALUE(I151)))"),141.07)</f>
        <v/>
      </c>
      <c r="P151" s="689" t="n"/>
      <c r="Q151" s="689" t="n"/>
      <c r="R151" s="689" t="n"/>
      <c r="S151" s="689" t="n"/>
      <c r="T151" s="689" t="n"/>
      <c r="U151" s="689" t="n"/>
      <c r="V151" s="689" t="n"/>
      <c r="W151" s="689" t="n"/>
      <c r="X151" s="689" t="n"/>
      <c r="Y151" s="618" t="inlineStr">
        <is>
          <t>M</t>
        </is>
      </c>
      <c r="Z151" s="619" t="inlineStr">
        <is>
          <t>200 IM</t>
        </is>
      </c>
      <c r="AA151" s="612" t="n">
        <v>15</v>
      </c>
      <c r="AB151" s="613" t="inlineStr">
        <is>
          <t>CAYDEN TEO KAE-C</t>
        </is>
      </c>
      <c r="AC151" s="614" t="inlineStr">
        <is>
          <t>2:21.07</t>
        </is>
      </c>
      <c r="AD151" s="628">
        <f>IFERROR(__xludf.DUMMYFUNCTION("IF(ISNUMBER(AC151), AC151, IF(REGEXMATCH(AC151, "":""), SUMPRODUCT(VALUE(SPLIT(AC151, "":"")) * (60^(COUNTIF(SPLIT(AC151, "":""), ""&lt;&gt;"")-COLUMN(OFFSET('MOT Tables 25'!$A$1,,,1,COUNTIF(SPLIT(AC151, "":""),""&lt;&gt;"")))))), VALUE(AC151)))"),141.07)</f>
        <v/>
      </c>
      <c r="AE151" s="616" t="n">
        <v>10</v>
      </c>
      <c r="AF151" s="617">
        <f t="array" ref="AF151">1000*(INDEX('Bakat Base Times'!$E:$E,MATCH(1,('Bakat Base Times'!$A:$A=Y151)*('Bakat Base Times'!$B:$B=Z151)*('Bakat Base Times'!$C:$C=AA151),0))/(VALUE(AD151)))^3
</f>
        <v/>
      </c>
      <c r="AG151" s="693" t="n"/>
      <c r="AH151" s="721" t="n"/>
      <c r="AI151" s="721" t="n"/>
      <c r="AJ151" s="688" t="n"/>
      <c r="AK151" s="689" t="n"/>
      <c r="AL151" s="690" t="n"/>
      <c r="AM151" s="691" t="n"/>
      <c r="AN151" s="692" t="n"/>
      <c r="AO151" s="693" t="n"/>
      <c r="AP151" s="693" t="n"/>
      <c r="AQ151" s="693" t="n"/>
      <c r="AR151" s="693" t="n"/>
      <c r="AS151" s="693" t="n"/>
      <c r="AT151" s="693" t="n"/>
      <c r="AU151" s="699" t="n"/>
      <c r="AV151" s="693" t="n"/>
      <c r="AW151" s="693" t="n"/>
      <c r="AX151" s="693" t="n"/>
      <c r="AY151" s="693" t="n"/>
      <c r="AZ151" s="693" t="n"/>
    </row>
    <row r="152">
      <c r="A152" s="654" t="n"/>
      <c r="B152" s="710" t="inlineStr">
        <is>
          <t>F</t>
        </is>
      </c>
      <c r="C152" s="709" t="inlineStr">
        <is>
          <t>400 IM</t>
        </is>
      </c>
      <c r="D152" s="710" t="n">
        <v>13</v>
      </c>
      <c r="E152" s="590" t="inlineStr">
        <is>
          <t>JODIE YIP JI SHIN</t>
        </is>
      </c>
      <c r="F152" s="707" t="inlineStr">
        <is>
          <t>5:25.57</t>
        </is>
      </c>
      <c r="G15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2" s="460">
        <f>G152/#REF!</f>
        <v/>
      </c>
      <c r="I152" s="591" t="inlineStr">
        <is>
          <t>5:33.08</t>
        </is>
      </c>
      <c r="J15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2" s="460">
        <f>J152/#REF!</f>
        <v/>
      </c>
      <c r="L152" s="709" t="n">
        <v>4</v>
      </c>
      <c r="M152" s="593" t="n">
        <v>8</v>
      </c>
      <c r="N152" s="655">
        <f t="array" ref="N152">1000*(INDEX('Bakat Base Times'!$E:$E,MATCH(1,('Bakat Base Times'!$A:$A=B152)*('Bakat Base Times'!$B:$B=C152)*('Bakat Base Times'!$C:$C=D152),0))/(VALUE(O152)))^3
</f>
        <v/>
      </c>
      <c r="O152" s="582">
        <f>IFERROR(__xludf.DUMMYFUNCTION("IF(ISNUMBER(I152), I152, IF(REGEXMATCH(I152, "":""), SUMPRODUCT(VALUE(SPLIT(I152, "":"")) * (60^(COUNTIF(SPLIT(I152, "":""), ""&lt;&gt;"")-COLUMN(OFFSET('MOT Tables 25'!$A$1,,,1,COUNTIF(SPLIT(I152, "":""),""&lt;&gt;"")))))), VALUE(I152)))"),333.08)</f>
        <v/>
      </c>
      <c r="P152" s="689" t="n"/>
      <c r="Q152" s="689" t="n"/>
      <c r="R152" s="689" t="n"/>
      <c r="S152" s="689" t="n"/>
      <c r="T152" s="689" t="n"/>
      <c r="U152" s="689" t="n"/>
      <c r="V152" s="689" t="n"/>
      <c r="W152" s="689" t="n"/>
      <c r="X152" s="689" t="n"/>
      <c r="Y152" s="596" t="inlineStr">
        <is>
          <t>F</t>
        </is>
      </c>
      <c r="Z152" s="597" t="inlineStr">
        <is>
          <t>400 IM</t>
        </is>
      </c>
      <c r="AA152" s="589" t="n">
        <v>13</v>
      </c>
      <c r="AB152" s="590" t="inlineStr">
        <is>
          <t>JODIE YIP JI SHIN</t>
        </is>
      </c>
      <c r="AC152" s="591" t="inlineStr">
        <is>
          <t>5:33.08</t>
        </is>
      </c>
      <c r="AD152" s="592">
        <f>IFERROR(__xludf.DUMMYFUNCTION("IF(ISNUMBER(AC152), AC152, IF(REGEXMATCH(AC152, "":""), SUMPRODUCT(VALUE(SPLIT(AC152, "":"")) * (60^(COUNTIF(SPLIT(AC152, "":""), ""&lt;&gt;"")-COLUMN(OFFSET('MOT Tables 25'!$A$1,,,1,COUNTIF(SPLIT(AC152, "":""),""&lt;&gt;"")))))), VALUE(AC152)))"),333.08)</f>
        <v/>
      </c>
      <c r="AE152" s="593" t="n">
        <v>8</v>
      </c>
      <c r="AF152" s="594">
        <f t="array" ref="AF152">1000*(INDEX('Bakat Base Times'!$E:$E,MATCH(1,('Bakat Base Times'!$A:$A=Y152)*('Bakat Base Times'!$B:$B=Z152)*('Bakat Base Times'!$C:$C=AA152),0))/(VALUE(AD152)))^3
</f>
        <v/>
      </c>
      <c r="AG152" s="693" t="n"/>
      <c r="AH152" s="721" t="n"/>
      <c r="AI152" s="721" t="n"/>
      <c r="AJ152" s="688" t="n"/>
      <c r="AK152" s="689" t="n"/>
      <c r="AL152" s="690" t="n"/>
      <c r="AM152" s="691" t="n"/>
      <c r="AN152" s="692" t="n"/>
      <c r="AO152" s="693" t="n"/>
      <c r="AP152" s="693" t="n"/>
      <c r="AQ152" s="693" t="n"/>
      <c r="AR152" s="693" t="n"/>
      <c r="AS152" s="693" t="n"/>
      <c r="AT152" s="693" t="n"/>
      <c r="AU152" s="699" t="n"/>
      <c r="AV152" s="693" t="n"/>
      <c r="AW152" s="693" t="n"/>
      <c r="AX152" s="693" t="n"/>
      <c r="AY152" s="693" t="n"/>
      <c r="AZ152" s="693" t="n"/>
    </row>
    <row r="153">
      <c r="A153" s="651" t="n"/>
      <c r="B153" s="705" t="inlineStr">
        <is>
          <t>M</t>
        </is>
      </c>
      <c r="C153" s="704" t="inlineStr">
        <is>
          <t>200 Back</t>
        </is>
      </c>
      <c r="D153" s="705" t="n">
        <v>13</v>
      </c>
      <c r="E153" s="613" t="inlineStr">
        <is>
          <t>AEDON LIM WEI ZHE</t>
        </is>
      </c>
      <c r="F153" s="701" t="inlineStr">
        <is>
          <t>2:30.63</t>
        </is>
      </c>
      <c r="G15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3" s="464">
        <f>G153/#REF!</f>
        <v/>
      </c>
      <c r="I153" s="614" t="inlineStr">
        <is>
          <t>2:27.51</t>
        </is>
      </c>
      <c r="J15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3" s="464">
        <f>J153/#REF!</f>
        <v/>
      </c>
      <c r="L153" s="704" t="n">
        <v>11</v>
      </c>
      <c r="M153" s="616" t="n">
        <v>11</v>
      </c>
      <c r="N153" s="652">
        <f t="array" ref="N153">1000*(INDEX('Bakat Base Times'!$E:$E,MATCH(1,('Bakat Base Times'!$A:$A=B153)*('Bakat Base Times'!$B:$B=C153)*('Bakat Base Times'!$C:$C=D153),0))/(VALUE(O153)))^3
</f>
        <v/>
      </c>
      <c r="O153" s="609">
        <f>IFERROR(__xludf.DUMMYFUNCTION("IF(ISNUMBER(I153), I153, IF(REGEXMATCH(I153, "":""), SUMPRODUCT(VALUE(SPLIT(I153, "":"")) * (60^(COUNTIF(SPLIT(I153, "":""), ""&lt;&gt;"")-COLUMN(OFFSET('MOT Tables 25'!$A$1,,,1,COUNTIF(SPLIT(I153, "":""),""&lt;&gt;"")))))), VALUE(I153)))"),147.51)</f>
        <v/>
      </c>
      <c r="P153" s="689" t="n"/>
      <c r="Q153" s="689" t="n"/>
      <c r="R153" s="689" t="n"/>
      <c r="S153" s="689" t="n"/>
      <c r="T153" s="689" t="n"/>
      <c r="U153" s="689" t="n"/>
      <c r="V153" s="689" t="n"/>
      <c r="W153" s="689" t="n"/>
      <c r="X153" s="689" t="n"/>
      <c r="Y153" s="618" t="inlineStr">
        <is>
          <t>M</t>
        </is>
      </c>
      <c r="Z153" s="619" t="inlineStr">
        <is>
          <t>200 Back</t>
        </is>
      </c>
      <c r="AA153" s="612" t="n">
        <v>13</v>
      </c>
      <c r="AB153" s="613" t="inlineStr">
        <is>
          <t>AEDON LIM WEI ZHE</t>
        </is>
      </c>
      <c r="AC153" s="614" t="inlineStr">
        <is>
          <t>2:27.51</t>
        </is>
      </c>
      <c r="AD153" s="628">
        <f>IFERROR(__xludf.DUMMYFUNCTION("IF(ISNUMBER(AC153), AC153, IF(REGEXMATCH(AC153, "":""), SUMPRODUCT(VALUE(SPLIT(AC153, "":"")) * (60^(COUNTIF(SPLIT(AC153, "":""), ""&lt;&gt;"")-COLUMN(OFFSET('MOT Tables 25'!$A$1,,,1,COUNTIF(SPLIT(AC153, "":""),""&lt;&gt;"")))))), VALUE(AC153)))"),147.51)</f>
        <v/>
      </c>
      <c r="AE153" s="616" t="n">
        <v>11</v>
      </c>
      <c r="AF153" s="617">
        <f t="array" ref="AF153">1000*(INDEX('Bakat Base Times'!$E:$E,MATCH(1,('Bakat Base Times'!$A:$A=Y153)*('Bakat Base Times'!$B:$B=Z153)*('Bakat Base Times'!$C:$C=AA153),0))/(VALUE(AD153)))^3
</f>
        <v/>
      </c>
      <c r="AG153" s="693" t="n"/>
      <c r="AH153" s="721" t="n"/>
      <c r="AI153" s="721" t="n"/>
      <c r="AJ153" s="688" t="n"/>
      <c r="AK153" s="689" t="n"/>
      <c r="AL153" s="690" t="n"/>
      <c r="AM153" s="691" t="n"/>
      <c r="AN153" s="692" t="n"/>
      <c r="AO153" s="693" t="n"/>
      <c r="AP153" s="693" t="n"/>
      <c r="AQ153" s="693" t="n"/>
      <c r="AR153" s="693" t="n"/>
      <c r="AS153" s="693" t="n"/>
      <c r="AT153" s="693" t="n"/>
      <c r="AU153" s="699" t="n"/>
      <c r="AV153" s="693" t="n"/>
      <c r="AW153" s="693" t="n"/>
      <c r="AX153" s="693" t="n"/>
      <c r="AY153" s="693" t="n"/>
      <c r="AZ153" s="693" t="n"/>
    </row>
    <row r="154">
      <c r="A154" s="654" t="n"/>
      <c r="B154" s="710" t="inlineStr">
        <is>
          <t>F</t>
        </is>
      </c>
      <c r="C154" s="709" t="inlineStr">
        <is>
          <t>200 IM</t>
        </is>
      </c>
      <c r="D154" s="710" t="n">
        <v>16</v>
      </c>
      <c r="E154" s="590" t="inlineStr">
        <is>
          <t>LYNNA YEOW YI JING</t>
        </is>
      </c>
      <c r="F154" s="707" t="inlineStr">
        <is>
          <t>2:27.56</t>
        </is>
      </c>
      <c r="G15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4" s="460">
        <f>G154/#REF!</f>
        <v/>
      </c>
      <c r="I154" s="661" t="inlineStr">
        <is>
          <t>2:31.21</t>
        </is>
      </c>
      <c r="J15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4" s="460">
        <f>J154/#REF!</f>
        <v/>
      </c>
      <c r="L154" s="709" t="n">
        <v>8</v>
      </c>
      <c r="M154" s="593" t="n">
        <v>10</v>
      </c>
      <c r="N154" s="655">
        <f t="array" ref="N154">1000*(INDEX('Bakat Base Times'!$E:$E,MATCH(1,('Bakat Base Times'!$A:$A=B154)*('Bakat Base Times'!$B:$B=C154)*('Bakat Base Times'!$C:$C=D154),0))/(VALUE(O154)))^3
</f>
        <v/>
      </c>
      <c r="O154" s="582">
        <f>IFERROR(__xludf.DUMMYFUNCTION("IF(ISNUMBER(I154), I154, IF(REGEXMATCH(I154, "":""), SUMPRODUCT(VALUE(SPLIT(I154, "":"")) * (60^(COUNTIF(SPLIT(I154, "":""), ""&lt;&gt;"")-COLUMN(OFFSET('MOT Tables 25'!$A$1,,,1,COUNTIF(SPLIT(I154, "":""),""&lt;&gt;"")))))), VALUE(I154)))"),151.21)</f>
        <v/>
      </c>
      <c r="P154" s="689" t="n"/>
      <c r="Q154" s="689" t="n"/>
      <c r="R154" s="689" t="n"/>
      <c r="S154" s="689" t="n"/>
      <c r="T154" s="689" t="n"/>
      <c r="U154" s="689" t="n"/>
      <c r="V154" s="689" t="n"/>
      <c r="W154" s="689" t="n"/>
      <c r="X154" s="689" t="n"/>
      <c r="Y154" s="596" t="inlineStr">
        <is>
          <t>F</t>
        </is>
      </c>
      <c r="Z154" s="597" t="inlineStr">
        <is>
          <t>200 IM</t>
        </is>
      </c>
      <c r="AA154" s="589" t="n">
        <v>16</v>
      </c>
      <c r="AB154" s="590" t="inlineStr">
        <is>
          <t>LYNNA YEOW YI JING</t>
        </is>
      </c>
      <c r="AC154" s="661" t="inlineStr">
        <is>
          <t>2:31.21</t>
        </is>
      </c>
      <c r="AD154" s="592">
        <f>IFERROR(__xludf.DUMMYFUNCTION("IF(ISNUMBER(AC154), AC154, IF(REGEXMATCH(AC154, "":""), SUMPRODUCT(VALUE(SPLIT(AC154, "":"")) * (60^(COUNTIF(SPLIT(AC154, "":""), ""&lt;&gt;"")-COLUMN(OFFSET('MOT Tables 25'!$A$1,,,1,COUNTIF(SPLIT(AC154, "":""),""&lt;&gt;"")))))), VALUE(AC154)))"),151.21)</f>
        <v/>
      </c>
      <c r="AE154" s="593" t="n">
        <v>10</v>
      </c>
      <c r="AF154" s="594">
        <f t="array" ref="AF154">1000*(INDEX('Bakat Base Times'!$E:$E,MATCH(1,('Bakat Base Times'!$A:$A=Y154)*('Bakat Base Times'!$B:$B=Z154)*('Bakat Base Times'!$C:$C=AA154),0))/(VALUE(AD154)))^3
</f>
        <v/>
      </c>
      <c r="AG154" s="693" t="n"/>
      <c r="AH154" s="721" t="n"/>
      <c r="AI154" s="721" t="n"/>
      <c r="AJ154" s="688" t="n"/>
      <c r="AK154" s="689" t="n"/>
      <c r="AL154" s="690" t="n"/>
      <c r="AM154" s="691" t="n"/>
      <c r="AN154" s="692" t="n"/>
      <c r="AO154" s="693" t="n"/>
      <c r="AP154" s="693" t="n"/>
      <c r="AQ154" s="693" t="n"/>
      <c r="AR154" s="693" t="n"/>
      <c r="AS154" s="693" t="n"/>
      <c r="AT154" s="693" t="n"/>
      <c r="AU154" s="699" t="n"/>
      <c r="AV154" s="693" t="n"/>
      <c r="AW154" s="693" t="n"/>
      <c r="AX154" s="693" t="n"/>
      <c r="AY154" s="693" t="n"/>
      <c r="AZ154" s="693" t="n"/>
    </row>
    <row r="155">
      <c r="A155" s="651" t="n"/>
      <c r="B155" s="705" t="inlineStr">
        <is>
          <t>M</t>
        </is>
      </c>
      <c r="C155" s="704" t="inlineStr">
        <is>
          <t>200 IM</t>
        </is>
      </c>
      <c r="D155" s="705" t="n">
        <v>14</v>
      </c>
      <c r="E155" s="613" t="inlineStr">
        <is>
          <t>HERMANN TANG BOK YU</t>
        </is>
      </c>
      <c r="F155" s="701" t="inlineStr">
        <is>
          <t>2:18.07</t>
        </is>
      </c>
      <c r="G15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5" s="464">
        <f>G155/#REF!</f>
        <v/>
      </c>
      <c r="I155" s="695" t="inlineStr">
        <is>
          <t>2:24.58</t>
        </is>
      </c>
      <c r="J15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5" s="464">
        <f>J155/#REF!</f>
        <v/>
      </c>
      <c r="L155" s="704" t="n">
        <v>12</v>
      </c>
      <c r="M155" s="616" t="n">
        <v>13</v>
      </c>
      <c r="N155" s="652">
        <f t="array" ref="N155">1000*(INDEX('Bakat Base Times'!$E:$E,MATCH(1,('Bakat Base Times'!$A:$A=B155)*('Bakat Base Times'!$B:$B=C155)*('Bakat Base Times'!$C:$C=D155),0))/(VALUE(O155)))^3
</f>
        <v/>
      </c>
      <c r="O155" s="609">
        <f>IFERROR(__xludf.DUMMYFUNCTION("IF(ISNUMBER(I155), I155, IF(REGEXMATCH(I155, "":""), SUMPRODUCT(VALUE(SPLIT(I155, "":"")) * (60^(COUNTIF(SPLIT(I155, "":""), ""&lt;&gt;"")-COLUMN(OFFSET('MOT Tables 25'!$A$1,,,1,COUNTIF(SPLIT(I155, "":""),""&lt;&gt;"")))))), VALUE(I155)))"),144.57999999999998)</f>
        <v/>
      </c>
      <c r="P155" s="689" t="n"/>
      <c r="Q155" s="689" t="n"/>
      <c r="R155" s="689" t="n"/>
      <c r="S155" s="689" t="n"/>
      <c r="T155" s="689" t="n"/>
      <c r="U155" s="689" t="n"/>
      <c r="V155" s="689" t="n"/>
      <c r="W155" s="689" t="n"/>
      <c r="X155" s="689" t="n"/>
      <c r="Y155" s="618" t="inlineStr">
        <is>
          <t>M</t>
        </is>
      </c>
      <c r="Z155" s="619" t="inlineStr">
        <is>
          <t>200 IM</t>
        </is>
      </c>
      <c r="AA155" s="612" t="n">
        <v>14</v>
      </c>
      <c r="AB155" s="613" t="inlineStr">
        <is>
          <t>HERMANN TANG BOK YU</t>
        </is>
      </c>
      <c r="AC155" s="695" t="inlineStr">
        <is>
          <t>2:24.58</t>
        </is>
      </c>
      <c r="AD155" s="628">
        <f>IFERROR(__xludf.DUMMYFUNCTION("IF(ISNUMBER(AC155), AC155, IF(REGEXMATCH(AC155, "":""), SUMPRODUCT(VALUE(SPLIT(AC155, "":"")) * (60^(COUNTIF(SPLIT(AC155, "":""), ""&lt;&gt;"")-COLUMN(OFFSET('MOT Tables 25'!$A$1,,,1,COUNTIF(SPLIT(AC155, "":""),""&lt;&gt;"")))))), VALUE(AC155)))"),144.57999999999998)</f>
        <v/>
      </c>
      <c r="AE155" s="616" t="n">
        <v>13</v>
      </c>
      <c r="AF155" s="617">
        <f t="array" ref="AF155">1000*(INDEX('Bakat Base Times'!$E:$E,MATCH(1,('Bakat Base Times'!$A:$A=Y155)*('Bakat Base Times'!$B:$B=Z155)*('Bakat Base Times'!$C:$C=AA155),0))/(VALUE(AD155)))^3
</f>
        <v/>
      </c>
      <c r="AG155" s="693" t="n"/>
      <c r="AH155" s="721" t="n"/>
      <c r="AI155" s="721" t="n"/>
      <c r="AJ155" s="688" t="n"/>
      <c r="AK155" s="689" t="n"/>
      <c r="AL155" s="690" t="n"/>
      <c r="AM155" s="691" t="n"/>
      <c r="AN155" s="692" t="n"/>
      <c r="AO155" s="693" t="n"/>
      <c r="AP155" s="693" t="n"/>
      <c r="AQ155" s="693" t="n"/>
      <c r="AR155" s="693" t="n"/>
      <c r="AS155" s="693" t="n"/>
      <c r="AT155" s="693" t="n"/>
      <c r="AU155" s="699" t="n"/>
      <c r="AV155" s="693" t="n"/>
      <c r="AW155" s="693" t="n"/>
      <c r="AX155" s="693" t="n"/>
      <c r="AY155" s="693" t="n"/>
      <c r="AZ155" s="693" t="n"/>
    </row>
    <row r="156">
      <c r="A156" s="654" t="n"/>
      <c r="B156" s="710" t="inlineStr">
        <is>
          <t>F</t>
        </is>
      </c>
      <c r="C156" s="709" t="inlineStr">
        <is>
          <t>400 Free</t>
        </is>
      </c>
      <c r="D156" s="710" t="n">
        <v>16</v>
      </c>
      <c r="E156" s="590" t="inlineStr">
        <is>
          <t>LYNNA YEOW YI JING</t>
        </is>
      </c>
      <c r="F156" s="707" t="inlineStr">
        <is>
          <t>4:42.08</t>
        </is>
      </c>
      <c r="G156"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6" s="460">
        <f>G156/#REF!</f>
        <v/>
      </c>
      <c r="I156" s="591" t="inlineStr">
        <is>
          <t>4:41.50</t>
        </is>
      </c>
      <c r="J156"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6" s="460">
        <f>J156/#REF!</f>
        <v/>
      </c>
      <c r="L156" s="709" t="n">
        <v>2</v>
      </c>
      <c r="M156" s="593" t="n">
        <v>6</v>
      </c>
      <c r="N156" s="655">
        <f t="array" ref="N156">1000*(INDEX('Bakat Base Times'!$E:$E,MATCH(1,('Bakat Base Times'!$A:$A=B156)*('Bakat Base Times'!$B:$B=C156)*('Bakat Base Times'!$C:$C=D156),0))/(VALUE(O156)))^3
</f>
        <v/>
      </c>
      <c r="O156" s="582">
        <f>IFERROR(__xludf.DUMMYFUNCTION("IF(ISNUMBER(I156), I156, IF(REGEXMATCH(I156, "":""), SUMPRODUCT(VALUE(SPLIT(I156, "":"")) * (60^(COUNTIF(SPLIT(I156, "":""), ""&lt;&gt;"")-COLUMN(OFFSET('MOT Tables 25'!$A$1,,,1,COUNTIF(SPLIT(I156, "":""),""&lt;&gt;"")))))), VALUE(I156)))"),281.5)</f>
        <v/>
      </c>
      <c r="P156" s="689" t="n"/>
      <c r="Q156" s="689" t="n"/>
      <c r="R156" s="689" t="n"/>
      <c r="S156" s="689" t="n"/>
      <c r="T156" s="689" t="n"/>
      <c r="U156" s="689" t="n"/>
      <c r="V156" s="689" t="n"/>
      <c r="W156" s="689" t="n"/>
      <c r="X156" s="689" t="n"/>
      <c r="Y156" s="596" t="inlineStr">
        <is>
          <t>F</t>
        </is>
      </c>
      <c r="Z156" s="597" t="inlineStr">
        <is>
          <t>400 Free</t>
        </is>
      </c>
      <c r="AA156" s="589" t="n">
        <v>16</v>
      </c>
      <c r="AB156" s="590" t="inlineStr">
        <is>
          <t>LYNNA YEOW YI JING</t>
        </is>
      </c>
      <c r="AC156" s="591" t="inlineStr">
        <is>
          <t>4:41.50</t>
        </is>
      </c>
      <c r="AD156" s="592">
        <f>IFERROR(__xludf.DUMMYFUNCTION("IF(ISNUMBER(AC156), AC156, IF(REGEXMATCH(AC156, "":""), SUMPRODUCT(VALUE(SPLIT(AC156, "":"")) * (60^(COUNTIF(SPLIT(AC156, "":""), ""&lt;&gt;"")-COLUMN(OFFSET('MOT Tables 25'!$A$1,,,1,COUNTIF(SPLIT(AC156, "":""),""&lt;&gt;"")))))), VALUE(AC156)))"),281.5)</f>
        <v/>
      </c>
      <c r="AE156" s="593" t="n">
        <v>6</v>
      </c>
      <c r="AF156" s="594">
        <f t="array" ref="AF156">1000*(INDEX('Bakat Base Times'!$E:$E,MATCH(1,('Bakat Base Times'!$A:$A=Y156)*('Bakat Base Times'!$B:$B=Z156)*('Bakat Base Times'!$C:$C=AA156),0))/(VALUE(AD156)))^3
</f>
        <v/>
      </c>
      <c r="AG156" s="693" t="n"/>
      <c r="AH156" s="721" t="n"/>
      <c r="AI156" s="721" t="n"/>
      <c r="AJ156" s="688" t="n"/>
      <c r="AK156" s="689" t="n"/>
      <c r="AL156" s="690" t="n"/>
      <c r="AM156" s="691" t="n"/>
      <c r="AN156" s="692" t="n"/>
      <c r="AO156" s="693" t="n"/>
      <c r="AP156" s="693" t="n"/>
      <c r="AQ156" s="693" t="n"/>
      <c r="AR156" s="693" t="n"/>
      <c r="AS156" s="693" t="n"/>
      <c r="AT156" s="693" t="n"/>
      <c r="AU156" s="699" t="n"/>
      <c r="AV156" s="693" t="n"/>
      <c r="AW156" s="693" t="n"/>
      <c r="AX156" s="693" t="n"/>
      <c r="AY156" s="693" t="n"/>
      <c r="AZ156" s="693" t="n"/>
    </row>
    <row r="157">
      <c r="A157" s="651" t="n"/>
      <c r="B157" s="705" t="inlineStr">
        <is>
          <t>F</t>
        </is>
      </c>
      <c r="C157" s="704" t="inlineStr">
        <is>
          <t>100 Back</t>
        </is>
      </c>
      <c r="D157" s="705" t="n">
        <v>15</v>
      </c>
      <c r="E157" s="613" t="inlineStr">
        <is>
          <t>ONG YHA ROU NATASHA</t>
        </is>
      </c>
      <c r="F157" s="701" t="inlineStr">
        <is>
          <t>1:09.61</t>
        </is>
      </c>
      <c r="G15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7" s="464">
        <f>G157/#REF!</f>
        <v/>
      </c>
      <c r="I157" s="665" t="inlineStr">
        <is>
          <t>1:09.63</t>
        </is>
      </c>
      <c r="J15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7" s="464">
        <f>J157/#REF!</f>
        <v/>
      </c>
      <c r="L157" s="704" t="n">
        <v>11</v>
      </c>
      <c r="M157" s="616" t="n">
        <v>10</v>
      </c>
      <c r="N157" s="652">
        <f t="array" ref="N157">1000*(INDEX('Bakat Base Times'!$E:$E,MATCH(1,('Bakat Base Times'!$A:$A=B157)*('Bakat Base Times'!$B:$B=C157)*('Bakat Base Times'!$C:$C=D157),0))/(VALUE(O157)))^3
</f>
        <v/>
      </c>
      <c r="O157" s="609">
        <f>IFERROR(__xludf.DUMMYFUNCTION("IF(ISNUMBER(I157), I157, IF(REGEXMATCH(I157, "":""), SUMPRODUCT(VALUE(SPLIT(I157, "":"")) * (60^(COUNTIF(SPLIT(I157, "":""), ""&lt;&gt;"")-COLUMN(OFFSET('MOT Tables 25'!$A$1,,,1,COUNTIF(SPLIT(I157, "":""),""&lt;&gt;"")))))), VALUE(I157)))"),69.63)</f>
        <v/>
      </c>
      <c r="P157" s="689" t="n"/>
      <c r="Q157" s="689" t="n"/>
      <c r="R157" s="689" t="n"/>
      <c r="S157" s="689" t="n"/>
      <c r="T157" s="689" t="n"/>
      <c r="U157" s="689" t="n"/>
      <c r="V157" s="689" t="n"/>
      <c r="W157" s="689" t="n"/>
      <c r="X157" s="689" t="n"/>
      <c r="Y157" s="618" t="inlineStr">
        <is>
          <t>F</t>
        </is>
      </c>
      <c r="Z157" s="619" t="inlineStr">
        <is>
          <t>100 Back</t>
        </is>
      </c>
      <c r="AA157" s="612" t="n">
        <v>15</v>
      </c>
      <c r="AB157" s="613" t="inlineStr">
        <is>
          <t>ONG YHA ROU NATASHA</t>
        </is>
      </c>
      <c r="AC157" s="665" t="inlineStr">
        <is>
          <t>1:09.63</t>
        </is>
      </c>
      <c r="AD157" s="628">
        <f>IFERROR(__xludf.DUMMYFUNCTION("IF(ISNUMBER(AC157), AC157, IF(REGEXMATCH(AC157, "":""), SUMPRODUCT(VALUE(SPLIT(AC157, "":"")) * (60^(COUNTIF(SPLIT(AC157, "":""), ""&lt;&gt;"")-COLUMN(OFFSET('MOT Tables 25'!$A$1,,,1,COUNTIF(SPLIT(AC157, "":""),""&lt;&gt;"")))))), VALUE(AC157)))"),69.63)</f>
        <v/>
      </c>
      <c r="AE157" s="616" t="n">
        <v>10</v>
      </c>
      <c r="AF157" s="617">
        <f t="array" ref="AF157">1000*(INDEX('Bakat Base Times'!$E:$E,MATCH(1,('Bakat Base Times'!$A:$A=Y157)*('Bakat Base Times'!$B:$B=Z157)*('Bakat Base Times'!$C:$C=AA157),0))/(VALUE(AD157)))^3
</f>
        <v/>
      </c>
      <c r="AG157" s="693" t="n"/>
      <c r="AH157" s="721" t="n"/>
      <c r="AI157" s="721" t="n"/>
      <c r="AJ157" s="688" t="n"/>
      <c r="AK157" s="689" t="n"/>
      <c r="AL157" s="690" t="n"/>
      <c r="AM157" s="691" t="n"/>
      <c r="AN157" s="692" t="n"/>
      <c r="AO157" s="693" t="n"/>
      <c r="AP157" s="693" t="n"/>
      <c r="AQ157" s="693" t="n"/>
      <c r="AR157" s="693" t="n"/>
      <c r="AS157" s="693" t="n"/>
      <c r="AT157" s="693" t="n"/>
      <c r="AU157" s="699" t="n"/>
      <c r="AV157" s="693" t="n"/>
      <c r="AW157" s="693" t="n"/>
      <c r="AX157" s="693" t="n"/>
      <c r="AY157" s="693" t="n"/>
      <c r="AZ157" s="693" t="n"/>
    </row>
    <row r="158">
      <c r="A158" s="654" t="n"/>
      <c r="B158" s="710" t="inlineStr">
        <is>
          <t>F</t>
        </is>
      </c>
      <c r="C158" s="709" t="inlineStr">
        <is>
          <t>200 Free</t>
        </is>
      </c>
      <c r="D158" s="710" t="n">
        <v>13</v>
      </c>
      <c r="E158" s="590" t="inlineStr">
        <is>
          <t>ELISHA LEE ERN</t>
        </is>
      </c>
      <c r="F158" s="707" t="inlineStr">
        <is>
          <t>2:20.04</t>
        </is>
      </c>
      <c r="G15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8" s="460">
        <f>G158/#REF!</f>
        <v/>
      </c>
      <c r="I158" s="591" t="inlineStr">
        <is>
          <t>2:19.70</t>
        </is>
      </c>
      <c r="J15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8" s="460">
        <f>J158/#REF!</f>
        <v/>
      </c>
      <c r="L158" s="709" t="n">
        <v>12</v>
      </c>
      <c r="M158" s="593" t="n">
        <v>12</v>
      </c>
      <c r="N158" s="655">
        <f t="array" ref="N158">1000*(INDEX('Bakat Base Times'!$E:$E,MATCH(1,('Bakat Base Times'!$A:$A=B158)*('Bakat Base Times'!$B:$B=C158)*('Bakat Base Times'!$C:$C=D158),0))/(VALUE(O158)))^3
</f>
        <v/>
      </c>
      <c r="O158" s="582">
        <f>IFERROR(__xludf.DUMMYFUNCTION("IF(ISNUMBER(I158), I158, IF(REGEXMATCH(I158, "":""), SUMPRODUCT(VALUE(SPLIT(I158, "":"")) * (60^(COUNTIF(SPLIT(I158, "":""), ""&lt;&gt;"")-COLUMN(OFFSET('MOT Tables 25'!$A$1,,,1,COUNTIF(SPLIT(I158, "":""),""&lt;&gt;"")))))), VALUE(I158)))"),139.7)</f>
        <v/>
      </c>
      <c r="P158" s="689" t="n"/>
      <c r="Q158" s="689" t="n"/>
      <c r="R158" s="689" t="n"/>
      <c r="S158" s="689" t="n"/>
      <c r="T158" s="689" t="n"/>
      <c r="U158" s="689" t="n"/>
      <c r="V158" s="689" t="n"/>
      <c r="W158" s="689" t="n"/>
      <c r="X158" s="689" t="n"/>
      <c r="Y158" s="596" t="inlineStr">
        <is>
          <t>F</t>
        </is>
      </c>
      <c r="Z158" s="597" t="inlineStr">
        <is>
          <t>200 Free</t>
        </is>
      </c>
      <c r="AA158" s="589" t="n">
        <v>13</v>
      </c>
      <c r="AB158" s="590" t="inlineStr">
        <is>
          <t>ELISHA LEE ERN</t>
        </is>
      </c>
      <c r="AC158" s="591" t="inlineStr">
        <is>
          <t>2:19.70</t>
        </is>
      </c>
      <c r="AD158" s="592">
        <f>IFERROR(__xludf.DUMMYFUNCTION("IF(ISNUMBER(AC158), AC158, IF(REGEXMATCH(AC158, "":""), SUMPRODUCT(VALUE(SPLIT(AC158, "":"")) * (60^(COUNTIF(SPLIT(AC158, "":""), ""&lt;&gt;"")-COLUMN(OFFSET('MOT Tables 25'!$A$1,,,1,COUNTIF(SPLIT(AC158, "":""),""&lt;&gt;"")))))), VALUE(AC158)))"),139.7)</f>
        <v/>
      </c>
      <c r="AE158" s="593" t="n">
        <v>12</v>
      </c>
      <c r="AF158" s="594">
        <f t="array" ref="AF158">1000*(INDEX('Bakat Base Times'!$E:$E,MATCH(1,('Bakat Base Times'!$A:$A=Y158)*('Bakat Base Times'!$B:$B=Z158)*('Bakat Base Times'!$C:$C=AA158),0))/(VALUE(AD158)))^3
</f>
        <v/>
      </c>
      <c r="AG158" s="693" t="n"/>
      <c r="AH158" s="721" t="n"/>
      <c r="AI158" s="721" t="n"/>
      <c r="AJ158" s="688" t="n"/>
      <c r="AK158" s="689" t="n"/>
      <c r="AL158" s="690" t="n"/>
      <c r="AM158" s="691" t="n"/>
      <c r="AN158" s="692" t="n"/>
      <c r="AO158" s="693" t="n"/>
      <c r="AP158" s="693" t="n"/>
      <c r="AQ158" s="693" t="n"/>
      <c r="AR158" s="693" t="n"/>
      <c r="AS158" s="693" t="n"/>
      <c r="AT158" s="693" t="n"/>
      <c r="AU158" s="699" t="n"/>
      <c r="AV158" s="693" t="n"/>
      <c r="AW158" s="693" t="n"/>
      <c r="AX158" s="693" t="n"/>
      <c r="AY158" s="693" t="n"/>
      <c r="AZ158" s="693" t="n"/>
    </row>
    <row r="159">
      <c r="A159" s="651" t="n"/>
      <c r="B159" s="705" t="inlineStr">
        <is>
          <t>F</t>
        </is>
      </c>
      <c r="C159" s="704" t="inlineStr">
        <is>
          <t>400 IM</t>
        </is>
      </c>
      <c r="D159" s="705" t="n">
        <v>18</v>
      </c>
      <c r="E159" s="613" t="inlineStr">
        <is>
          <t>YOONG JIA JIA</t>
        </is>
      </c>
      <c r="F159" s="701" t="inlineStr">
        <is>
          <t>5:12.12</t>
        </is>
      </c>
      <c r="G15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59" s="464">
        <f>G159/#REF!</f>
        <v/>
      </c>
      <c r="I159" s="614" t="inlineStr">
        <is>
          <t>5:18.81</t>
        </is>
      </c>
      <c r="J15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59" s="464">
        <f>J159/#REF!</f>
        <v/>
      </c>
      <c r="L159" s="704" t="n">
        <v>4</v>
      </c>
      <c r="M159" s="616" t="n">
        <v>6</v>
      </c>
      <c r="N159" s="652">
        <f t="array" ref="N159">1000*(INDEX('Bakat Base Times'!$E:$E,MATCH(1,('Bakat Base Times'!$A:$A=B159)*('Bakat Base Times'!$B:$B=C159)*('Bakat Base Times'!$C:$C=D159),0))/(VALUE(O159)))^3
</f>
        <v/>
      </c>
      <c r="O159" s="609">
        <f>IFERROR(__xludf.DUMMYFUNCTION("IF(ISNUMBER(I159), I159, IF(REGEXMATCH(I159, "":""), SUMPRODUCT(VALUE(SPLIT(I159, "":"")) * (60^(COUNTIF(SPLIT(I159, "":""), ""&lt;&gt;"")-COLUMN(OFFSET('MOT Tables 25'!$A$1,,,1,COUNTIF(SPLIT(I159, "":""),""&lt;&gt;"")))))), VALUE(I159)))"),318.81)</f>
        <v/>
      </c>
      <c r="P159" s="689" t="n"/>
      <c r="Q159" s="689" t="n"/>
      <c r="R159" s="689" t="n"/>
      <c r="S159" s="689" t="n"/>
      <c r="T159" s="689" t="n"/>
      <c r="U159" s="689" t="n"/>
      <c r="V159" s="689" t="n"/>
      <c r="W159" s="689" t="n"/>
      <c r="X159" s="689" t="n"/>
      <c r="Y159" s="618" t="inlineStr">
        <is>
          <t>F</t>
        </is>
      </c>
      <c r="Z159" s="619" t="inlineStr">
        <is>
          <t>400 IM</t>
        </is>
      </c>
      <c r="AA159" s="612" t="n">
        <v>18</v>
      </c>
      <c r="AB159" s="613" t="inlineStr">
        <is>
          <t>YOONG JIA JIA</t>
        </is>
      </c>
      <c r="AC159" s="614" t="inlineStr">
        <is>
          <t>5:18.81</t>
        </is>
      </c>
      <c r="AD159" s="628">
        <f>IFERROR(__xludf.DUMMYFUNCTION("IF(ISNUMBER(AC159), AC159, IF(REGEXMATCH(AC159, "":""), SUMPRODUCT(VALUE(SPLIT(AC159, "":"")) * (60^(COUNTIF(SPLIT(AC159, "":""), ""&lt;&gt;"")-COLUMN(OFFSET('MOT Tables 25'!$A$1,,,1,COUNTIF(SPLIT(AC159, "":""),""&lt;&gt;"")))))), VALUE(AC159)))"),318.81)</f>
        <v/>
      </c>
      <c r="AE159" s="616" t="n">
        <v>6</v>
      </c>
      <c r="AF159" s="617">
        <f t="array" ref="AF159">1000*(INDEX('Bakat Base Times'!$E:$E,MATCH(1,('Bakat Base Times'!$A:$A=Y159)*('Bakat Base Times'!$B:$B=Z159)*('Bakat Base Times'!$C:$C=AA159),0))/(VALUE(AD159)))^3
</f>
        <v/>
      </c>
      <c r="AG159" s="693" t="n"/>
      <c r="AH159" s="721" t="n"/>
      <c r="AI159" s="721" t="n"/>
      <c r="AJ159" s="688" t="n"/>
      <c r="AK159" s="689" t="n"/>
      <c r="AL159" s="690" t="n"/>
      <c r="AM159" s="691" t="n"/>
      <c r="AN159" s="692" t="n"/>
      <c r="AO159" s="693" t="n"/>
      <c r="AP159" s="693" t="n"/>
      <c r="AQ159" s="693" t="n"/>
      <c r="AR159" s="693" t="n"/>
      <c r="AS159" s="693" t="n"/>
      <c r="AT159" s="693" t="n"/>
      <c r="AU159" s="699" t="n"/>
      <c r="AV159" s="693" t="n"/>
      <c r="AW159" s="693" t="n"/>
      <c r="AX159" s="693" t="n"/>
      <c r="AY159" s="693" t="n"/>
      <c r="AZ159" s="693" t="n"/>
    </row>
    <row r="160">
      <c r="A160" s="654" t="n"/>
      <c r="B160" s="710" t="inlineStr">
        <is>
          <t>M</t>
        </is>
      </c>
      <c r="C160" s="709" t="inlineStr">
        <is>
          <t>100 Back</t>
        </is>
      </c>
      <c r="D160" s="710" t="n">
        <v>13</v>
      </c>
      <c r="E160" s="590" t="inlineStr">
        <is>
          <t>HO ZHI JU</t>
        </is>
      </c>
      <c r="F160" s="707" t="inlineStr">
        <is>
          <t>1:07.93</t>
        </is>
      </c>
      <c r="G16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0" s="460">
        <f>G160/#REF!</f>
        <v/>
      </c>
      <c r="I160" s="591" t="inlineStr">
        <is>
          <t>1:08.19</t>
        </is>
      </c>
      <c r="J16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0" s="460">
        <f>J160/#REF!</f>
        <v/>
      </c>
      <c r="L160" s="709" t="n">
        <v>8</v>
      </c>
      <c r="M160" s="593" t="n">
        <v>7</v>
      </c>
      <c r="N160" s="655">
        <f t="array" ref="N160">1000*(INDEX('Bakat Base Times'!$E:$E,MATCH(1,('Bakat Base Times'!$A:$A=B160)*('Bakat Base Times'!$B:$B=C160)*('Bakat Base Times'!$C:$C=D160),0))/(VALUE(O160)))^3
</f>
        <v/>
      </c>
      <c r="O160" s="582">
        <f>IFERROR(__xludf.DUMMYFUNCTION("IF(ISNUMBER(I160), I160, IF(REGEXMATCH(I160, "":""), SUMPRODUCT(VALUE(SPLIT(I160, "":"")) * (60^(COUNTIF(SPLIT(I160, "":""), ""&lt;&gt;"")-COLUMN(OFFSET('MOT Tables 25'!$A$1,,,1,COUNTIF(SPLIT(I160, "":""),""&lt;&gt;"")))))), VALUE(I160)))"),68.19)</f>
        <v/>
      </c>
      <c r="P160" s="689" t="n"/>
      <c r="Q160" s="689" t="n"/>
      <c r="R160" s="689" t="n"/>
      <c r="S160" s="689" t="n"/>
      <c r="T160" s="689" t="n"/>
      <c r="U160" s="689" t="n"/>
      <c r="V160" s="689" t="n"/>
      <c r="W160" s="689" t="n"/>
      <c r="X160" s="689" t="n"/>
      <c r="Y160" s="596" t="inlineStr">
        <is>
          <t>M</t>
        </is>
      </c>
      <c r="Z160" s="597" t="inlineStr">
        <is>
          <t>100 Back</t>
        </is>
      </c>
      <c r="AA160" s="589" t="n">
        <v>13</v>
      </c>
      <c r="AB160" s="590" t="inlineStr">
        <is>
          <t>HO ZHI JU</t>
        </is>
      </c>
      <c r="AC160" s="591" t="inlineStr">
        <is>
          <t>1:08.19</t>
        </is>
      </c>
      <c r="AD160" s="592">
        <f>IFERROR(__xludf.DUMMYFUNCTION("IF(ISNUMBER(AC160), AC160, IF(REGEXMATCH(AC160, "":""), SUMPRODUCT(VALUE(SPLIT(AC160, "":"")) * (60^(COUNTIF(SPLIT(AC160, "":""), ""&lt;&gt;"")-COLUMN(OFFSET('MOT Tables 25'!$A$1,,,1,COUNTIF(SPLIT(AC160, "":""),""&lt;&gt;"")))))), VALUE(AC160)))"),68.19)</f>
        <v/>
      </c>
      <c r="AE160" s="593" t="n">
        <v>7</v>
      </c>
      <c r="AF160" s="594">
        <f t="array" ref="AF160">1000*(INDEX('Bakat Base Times'!$E:$E,MATCH(1,('Bakat Base Times'!$A:$A=Y160)*('Bakat Base Times'!$B:$B=Z160)*('Bakat Base Times'!$C:$C=AA160),0))/(VALUE(AD160)))^3
</f>
        <v/>
      </c>
      <c r="AG160" s="693" t="n"/>
      <c r="AH160" s="721" t="n"/>
      <c r="AI160" s="721" t="n"/>
      <c r="AJ160" s="688" t="n"/>
      <c r="AK160" s="689" t="n"/>
      <c r="AL160" s="690" t="n"/>
      <c r="AM160" s="691" t="n"/>
      <c r="AN160" s="692" t="n"/>
      <c r="AO160" s="693" t="n"/>
      <c r="AP160" s="693" t="n"/>
      <c r="AQ160" s="693" t="n"/>
      <c r="AR160" s="693" t="n"/>
      <c r="AS160" s="693" t="n"/>
      <c r="AT160" s="693" t="n"/>
      <c r="AU160" s="699" t="n"/>
      <c r="AV160" s="693" t="n"/>
      <c r="AW160" s="693" t="n"/>
      <c r="AX160" s="693" t="n"/>
      <c r="AY160" s="693" t="n"/>
      <c r="AZ160" s="693" t="n"/>
    </row>
    <row r="161">
      <c r="A161" s="651" t="n"/>
      <c r="B161" s="705" t="inlineStr">
        <is>
          <t>M</t>
        </is>
      </c>
      <c r="C161" s="704" t="inlineStr">
        <is>
          <t>100 Back</t>
        </is>
      </c>
      <c r="D161" s="705" t="n">
        <v>15</v>
      </c>
      <c r="E161" s="613" t="inlineStr">
        <is>
          <t>NISHAN CHRISTOPHER MANUEL</t>
        </is>
      </c>
      <c r="F161" s="701" t="inlineStr">
        <is>
          <t>1:06.62</t>
        </is>
      </c>
      <c r="G16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1" s="464">
        <f>G161/#REF!</f>
        <v/>
      </c>
      <c r="I161" s="665" t="inlineStr">
        <is>
          <t>1:04.45</t>
        </is>
      </c>
      <c r="J16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1" s="464">
        <f>J161/#REF!</f>
        <v/>
      </c>
      <c r="L161" s="704" t="n">
        <v>13</v>
      </c>
      <c r="M161" s="616" t="n">
        <v>9</v>
      </c>
      <c r="N161" s="652">
        <f t="array" ref="N161">1000*(INDEX('Bakat Base Times'!$E:$E,MATCH(1,('Bakat Base Times'!$A:$A=B161)*('Bakat Base Times'!$B:$B=C161)*('Bakat Base Times'!$C:$C=D161),0))/(VALUE(O161)))^3
</f>
        <v/>
      </c>
      <c r="O161" s="609">
        <f>IFERROR(__xludf.DUMMYFUNCTION("IF(ISNUMBER(I161), I161, IF(REGEXMATCH(I161, "":""), SUMPRODUCT(VALUE(SPLIT(I161, "":"")) * (60^(COUNTIF(SPLIT(I161, "":""), ""&lt;&gt;"")-COLUMN(OFFSET('MOT Tables 25'!$A$1,,,1,COUNTIF(SPLIT(I161, "":""),""&lt;&gt;"")))))), VALUE(I161)))"),64.45)</f>
        <v/>
      </c>
      <c r="P161" s="689" t="n"/>
      <c r="Q161" s="689" t="n"/>
      <c r="R161" s="689" t="n"/>
      <c r="S161" s="689" t="n"/>
      <c r="T161" s="689" t="n"/>
      <c r="U161" s="689" t="n"/>
      <c r="V161" s="689" t="n"/>
      <c r="W161" s="689" t="n"/>
      <c r="X161" s="689" t="n"/>
      <c r="Y161" s="618" t="inlineStr">
        <is>
          <t>M</t>
        </is>
      </c>
      <c r="Z161" s="619" t="inlineStr">
        <is>
          <t>100 Back</t>
        </is>
      </c>
      <c r="AA161" s="612" t="n">
        <v>15</v>
      </c>
      <c r="AB161" s="613" t="inlineStr">
        <is>
          <t>NISHAN CHRISTOPHER MANUEL</t>
        </is>
      </c>
      <c r="AC161" s="665" t="inlineStr">
        <is>
          <t>1:04.45</t>
        </is>
      </c>
      <c r="AD161" s="628">
        <f>IFERROR(__xludf.DUMMYFUNCTION("IF(ISNUMBER(AC161), AC161, IF(REGEXMATCH(AC161, "":""), SUMPRODUCT(VALUE(SPLIT(AC161, "":"")) * (60^(COUNTIF(SPLIT(AC161, "":""), ""&lt;&gt;"")-COLUMN(OFFSET('MOT Tables 25'!$A$1,,,1,COUNTIF(SPLIT(AC161, "":""),""&lt;&gt;"")))))), VALUE(AC161)))"),64.45)</f>
        <v/>
      </c>
      <c r="AE161" s="616" t="n">
        <v>9</v>
      </c>
      <c r="AF161" s="617">
        <f t="array" ref="AF161">1000*(INDEX('Bakat Base Times'!$E:$E,MATCH(1,('Bakat Base Times'!$A:$A=Y161)*('Bakat Base Times'!$B:$B=Z161)*('Bakat Base Times'!$C:$C=AA161),0))/(VALUE(AD161)))^3
</f>
        <v/>
      </c>
      <c r="AG161" s="693" t="n"/>
      <c r="AH161" s="721" t="n"/>
      <c r="AI161" s="721" t="n"/>
      <c r="AJ161" s="688" t="n"/>
      <c r="AK161" s="689" t="n"/>
      <c r="AL161" s="690" t="n"/>
      <c r="AM161" s="691" t="n"/>
      <c r="AN161" s="692" t="n"/>
      <c r="AO161" s="693" t="n"/>
      <c r="AP161" s="693" t="n"/>
      <c r="AQ161" s="693" t="n"/>
      <c r="AR161" s="693" t="n"/>
      <c r="AS161" s="693" t="n"/>
      <c r="AT161" s="693" t="n"/>
      <c r="AU161" s="699" t="n"/>
      <c r="AV161" s="693" t="n"/>
      <c r="AW161" s="693" t="n"/>
      <c r="AX161" s="693" t="n"/>
      <c r="AY161" s="693" t="n"/>
      <c r="AZ161" s="693" t="n"/>
    </row>
    <row r="162">
      <c r="A162" s="654" t="n"/>
      <c r="B162" s="710" t="inlineStr">
        <is>
          <t>M</t>
        </is>
      </c>
      <c r="C162" s="709" t="inlineStr">
        <is>
          <t>400 IM</t>
        </is>
      </c>
      <c r="D162" s="710" t="n">
        <v>13</v>
      </c>
      <c r="E162" s="590" t="inlineStr">
        <is>
          <t>MAX CHEW YU XIANG</t>
        </is>
      </c>
      <c r="F162" s="707" t="inlineStr">
        <is>
          <t>5:33.79</t>
        </is>
      </c>
      <c r="G16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2" s="460">
        <f>G162/#REF!</f>
        <v/>
      </c>
      <c r="I162" s="591" t="inlineStr">
        <is>
          <t>5:20.05</t>
        </is>
      </c>
      <c r="J16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2" s="460">
        <f>J162/#REF!</f>
        <v/>
      </c>
      <c r="L162" s="709" t="n">
        <v>15</v>
      </c>
      <c r="M162" s="593" t="n">
        <v>13</v>
      </c>
      <c r="N162" s="655">
        <f t="array" ref="N162">1000*(INDEX('Bakat Base Times'!$E:$E,MATCH(1,('Bakat Base Times'!$A:$A=B162)*('Bakat Base Times'!$B:$B=C162)*('Bakat Base Times'!$C:$C=D162),0))/(VALUE(O162)))^3
</f>
        <v/>
      </c>
      <c r="O162" s="582">
        <f>IFERROR(__xludf.DUMMYFUNCTION("IF(ISNUMBER(I162), I162, IF(REGEXMATCH(I162, "":""), SUMPRODUCT(VALUE(SPLIT(I162, "":"")) * (60^(COUNTIF(SPLIT(I162, "":""), ""&lt;&gt;"")-COLUMN(OFFSET('MOT Tables 25'!$A$1,,,1,COUNTIF(SPLIT(I162, "":""),""&lt;&gt;"")))))), VALUE(I162)))"),320.05)</f>
        <v/>
      </c>
      <c r="P162" s="689" t="n"/>
      <c r="Q162" s="689" t="n"/>
      <c r="R162" s="689" t="n"/>
      <c r="S162" s="689" t="n"/>
      <c r="T162" s="689" t="n"/>
      <c r="U162" s="689" t="n"/>
      <c r="V162" s="689" t="n"/>
      <c r="W162" s="689" t="n"/>
      <c r="X162" s="689" t="n"/>
      <c r="Y162" s="596" t="inlineStr">
        <is>
          <t>M</t>
        </is>
      </c>
      <c r="Z162" s="597" t="inlineStr">
        <is>
          <t>400 IM</t>
        </is>
      </c>
      <c r="AA162" s="589" t="n">
        <v>13</v>
      </c>
      <c r="AB162" s="590" t="inlineStr">
        <is>
          <t>MAX CHEW YU XIANG</t>
        </is>
      </c>
      <c r="AC162" s="591" t="inlineStr">
        <is>
          <t>5:20.05</t>
        </is>
      </c>
      <c r="AD162" s="592">
        <f>IFERROR(__xludf.DUMMYFUNCTION("IF(ISNUMBER(AC162), AC162, IF(REGEXMATCH(AC162, "":""), SUMPRODUCT(VALUE(SPLIT(AC162, "":"")) * (60^(COUNTIF(SPLIT(AC162, "":""), ""&lt;&gt;"")-COLUMN(OFFSET('MOT Tables 25'!$A$1,,,1,COUNTIF(SPLIT(AC162, "":""),""&lt;&gt;"")))))), VALUE(AC162)))"),320.05)</f>
        <v/>
      </c>
      <c r="AE162" s="593" t="n">
        <v>13</v>
      </c>
      <c r="AF162" s="594">
        <f t="array" ref="AF162">1000*(INDEX('Bakat Base Times'!$E:$E,MATCH(1,('Bakat Base Times'!$A:$A=Y162)*('Bakat Base Times'!$B:$B=Z162)*('Bakat Base Times'!$C:$C=AA162),0))/(VALUE(AD162)))^3
</f>
        <v/>
      </c>
      <c r="AG162" s="693" t="n"/>
      <c r="AH162" s="721" t="n"/>
      <c r="AI162" s="721" t="n"/>
      <c r="AJ162" s="688" t="n"/>
      <c r="AK162" s="689" t="n"/>
      <c r="AL162" s="690" t="n"/>
      <c r="AM162" s="691" t="n"/>
      <c r="AN162" s="692" t="n"/>
      <c r="AO162" s="693" t="n"/>
      <c r="AP162" s="693" t="n"/>
      <c r="AQ162" s="693" t="n"/>
      <c r="AR162" s="693" t="n"/>
      <c r="AS162" s="693" t="n"/>
      <c r="AT162" s="693" t="n"/>
      <c r="AU162" s="699" t="n"/>
      <c r="AV162" s="693" t="n"/>
      <c r="AW162" s="693" t="n"/>
      <c r="AX162" s="693" t="n"/>
      <c r="AY162" s="693" t="n"/>
      <c r="AZ162" s="693" t="n"/>
    </row>
    <row r="163">
      <c r="A163" s="651" t="n"/>
      <c r="B163" s="705" t="inlineStr">
        <is>
          <t>F</t>
        </is>
      </c>
      <c r="C163" s="704" t="inlineStr">
        <is>
          <t>200 Breast</t>
        </is>
      </c>
      <c r="D163" s="705" t="n">
        <v>15</v>
      </c>
      <c r="E163" s="613" t="inlineStr">
        <is>
          <t>CHEREEN NGO YIRUI</t>
        </is>
      </c>
      <c r="F163" s="701" t="inlineStr">
        <is>
          <t>2:50.81</t>
        </is>
      </c>
      <c r="G16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3" s="464">
        <f>G163/#REF!</f>
        <v/>
      </c>
      <c r="I163" s="614" t="inlineStr">
        <is>
          <t>2:50.71</t>
        </is>
      </c>
      <c r="J16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3" s="464">
        <f>J163/#REF!</f>
        <v/>
      </c>
      <c r="L163" s="704" t="n">
        <v>8</v>
      </c>
      <c r="M163" s="616" t="n">
        <v>7</v>
      </c>
      <c r="N163" s="652">
        <f t="array" ref="N163">1000*(INDEX('Bakat Base Times'!$E:$E,MATCH(1,('Bakat Base Times'!$A:$A=B163)*('Bakat Base Times'!$B:$B=C163)*('Bakat Base Times'!$C:$C=D163),0))/(VALUE(O163)))^3
</f>
        <v/>
      </c>
      <c r="O163" s="609">
        <f>IFERROR(__xludf.DUMMYFUNCTION("IF(ISNUMBER(I163), I163, IF(REGEXMATCH(I163, "":""), SUMPRODUCT(VALUE(SPLIT(I163, "":"")) * (60^(COUNTIF(SPLIT(I163, "":""), ""&lt;&gt;"")-COLUMN(OFFSET('MOT Tables 25'!$A$1,,,1,COUNTIF(SPLIT(I163, "":""),""&lt;&gt;"")))))), VALUE(I163)))"),170.71)</f>
        <v/>
      </c>
      <c r="P163" s="689" t="n"/>
      <c r="Q163" s="689" t="n"/>
      <c r="R163" s="689" t="n"/>
      <c r="S163" s="689" t="n"/>
      <c r="T163" s="689" t="n"/>
      <c r="U163" s="689" t="n"/>
      <c r="V163" s="689" t="n"/>
      <c r="W163" s="689" t="n"/>
      <c r="X163" s="689" t="n"/>
      <c r="Y163" s="618" t="inlineStr">
        <is>
          <t>F</t>
        </is>
      </c>
      <c r="Z163" s="619" t="inlineStr">
        <is>
          <t>200 Breast</t>
        </is>
      </c>
      <c r="AA163" s="612" t="n">
        <v>15</v>
      </c>
      <c r="AB163" s="613" t="inlineStr">
        <is>
          <t>CHEREEN NGO YIRUI</t>
        </is>
      </c>
      <c r="AC163" s="614" t="inlineStr">
        <is>
          <t>2:50.71</t>
        </is>
      </c>
      <c r="AD163" s="628">
        <f>IFERROR(__xludf.DUMMYFUNCTION("IF(ISNUMBER(AC163), AC163, IF(REGEXMATCH(AC163, "":""), SUMPRODUCT(VALUE(SPLIT(AC163, "":"")) * (60^(COUNTIF(SPLIT(AC163, "":""), ""&lt;&gt;"")-COLUMN(OFFSET('MOT Tables 25'!$A$1,,,1,COUNTIF(SPLIT(AC163, "":""),""&lt;&gt;"")))))), VALUE(AC163)))"),170.71)</f>
        <v/>
      </c>
      <c r="AE163" s="616" t="n">
        <v>7</v>
      </c>
      <c r="AF163" s="617">
        <f t="array" ref="AF163">1000*(INDEX('Bakat Base Times'!$E:$E,MATCH(1,('Bakat Base Times'!$A:$A=Y163)*('Bakat Base Times'!$B:$B=Z163)*('Bakat Base Times'!$C:$C=AA163),0))/(VALUE(AD163)))^3
</f>
        <v/>
      </c>
      <c r="AG163" s="693" t="n"/>
      <c r="AH163" s="721" t="n"/>
      <c r="AI163" s="721" t="n"/>
      <c r="AJ163" s="688" t="n"/>
      <c r="AK163" s="689" t="n"/>
      <c r="AL163" s="690" t="n"/>
      <c r="AM163" s="691" t="n"/>
      <c r="AN163" s="692" t="n"/>
      <c r="AO163" s="693" t="n"/>
      <c r="AP163" s="693" t="n"/>
      <c r="AQ163" s="693" t="n"/>
      <c r="AR163" s="693" t="n"/>
      <c r="AS163" s="693" t="n"/>
      <c r="AT163" s="693" t="n"/>
      <c r="AU163" s="699" t="n"/>
      <c r="AV163" s="693" t="n"/>
      <c r="AW163" s="693" t="n"/>
      <c r="AX163" s="693" t="n"/>
      <c r="AY163" s="693" t="n"/>
      <c r="AZ163" s="693" t="n"/>
    </row>
    <row r="164">
      <c r="A164" s="654" t="n"/>
      <c r="B164" s="710" t="inlineStr">
        <is>
          <t>F</t>
        </is>
      </c>
      <c r="C164" s="709" t="inlineStr">
        <is>
          <t>100 Free</t>
        </is>
      </c>
      <c r="D164" s="710" t="n">
        <v>13</v>
      </c>
      <c r="E164" s="590" t="inlineStr">
        <is>
          <t>JOVIAL CHAN ZEN EE</t>
        </is>
      </c>
      <c r="F164" s="707" t="inlineStr">
        <is>
          <t>1:04.95</t>
        </is>
      </c>
      <c r="G16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4" s="460">
        <f>G164/#REF!</f>
        <v/>
      </c>
      <c r="I164" s="591" t="inlineStr">
        <is>
          <t>1:04.86</t>
        </is>
      </c>
      <c r="J16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4" s="460">
        <f>J164/#REF!</f>
        <v/>
      </c>
      <c r="L164" s="709" t="n">
        <v>17</v>
      </c>
      <c r="M164" s="593" t="n">
        <v>16</v>
      </c>
      <c r="N164" s="655">
        <f t="array" ref="N164">1000*(INDEX('Bakat Base Times'!$E:$E,MATCH(1,('Bakat Base Times'!$A:$A=B164)*('Bakat Base Times'!$B:$B=C164)*('Bakat Base Times'!$C:$C=D164),0))/(VALUE(O164)))^3
</f>
        <v/>
      </c>
      <c r="O164" s="582">
        <f>IFERROR(__xludf.DUMMYFUNCTION("IF(ISNUMBER(I164), I164, IF(REGEXMATCH(I164, "":""), SUMPRODUCT(VALUE(SPLIT(I164, "":"")) * (60^(COUNTIF(SPLIT(I164, "":""), ""&lt;&gt;"")-COLUMN(OFFSET('MOT Tables 25'!$A$1,,,1,COUNTIF(SPLIT(I164, "":""),""&lt;&gt;"")))))), VALUE(I164)))"),64.86)</f>
        <v/>
      </c>
      <c r="P164" s="689" t="n"/>
      <c r="Q164" s="689" t="n"/>
      <c r="R164" s="689" t="n"/>
      <c r="S164" s="689" t="n"/>
      <c r="T164" s="689" t="n"/>
      <c r="U164" s="689" t="n"/>
      <c r="V164" s="689" t="n"/>
      <c r="W164" s="689" t="n"/>
      <c r="X164" s="689" t="n"/>
      <c r="Y164" s="596" t="inlineStr">
        <is>
          <t>F</t>
        </is>
      </c>
      <c r="Z164" s="597" t="inlineStr">
        <is>
          <t>100 Free</t>
        </is>
      </c>
      <c r="AA164" s="589" t="n">
        <v>13</v>
      </c>
      <c r="AB164" s="590" t="inlineStr">
        <is>
          <t>JOVIAL CHAN ZEN EE</t>
        </is>
      </c>
      <c r="AC164" s="591" t="inlineStr">
        <is>
          <t>1:04.86</t>
        </is>
      </c>
      <c r="AD164" s="592">
        <f>IFERROR(__xludf.DUMMYFUNCTION("IF(ISNUMBER(AC164), AC164, IF(REGEXMATCH(AC164, "":""), SUMPRODUCT(VALUE(SPLIT(AC164, "":"")) * (60^(COUNTIF(SPLIT(AC164, "":""), ""&lt;&gt;"")-COLUMN(OFFSET('MOT Tables 25'!$A$1,,,1,COUNTIF(SPLIT(AC164, "":""),""&lt;&gt;"")))))), VALUE(AC164)))"),64.86)</f>
        <v/>
      </c>
      <c r="AE164" s="593" t="n">
        <v>16</v>
      </c>
      <c r="AF164" s="594">
        <f t="array" ref="AF164">1000*(INDEX('Bakat Base Times'!$E:$E,MATCH(1,('Bakat Base Times'!$A:$A=Y164)*('Bakat Base Times'!$B:$B=Z164)*('Bakat Base Times'!$C:$C=AA164),0))/(VALUE(AD164)))^3
</f>
        <v/>
      </c>
      <c r="AG164" s="693" t="n"/>
      <c r="AH164" s="721" t="n"/>
      <c r="AI164" s="721" t="n"/>
      <c r="AJ164" s="688" t="n"/>
      <c r="AK164" s="689" t="n"/>
      <c r="AL164" s="690" t="n"/>
      <c r="AM164" s="691" t="n"/>
      <c r="AN164" s="692" t="n"/>
      <c r="AO164" s="693" t="n"/>
      <c r="AP164" s="693" t="n"/>
      <c r="AQ164" s="693" t="n"/>
      <c r="AR164" s="693" t="n"/>
      <c r="AS164" s="693" t="n"/>
      <c r="AT164" s="693" t="n"/>
      <c r="AU164" s="699" t="n"/>
      <c r="AV164" s="693" t="n"/>
      <c r="AW164" s="693" t="n"/>
      <c r="AX164" s="693" t="n"/>
      <c r="AY164" s="693" t="n"/>
      <c r="AZ164" s="693" t="n"/>
    </row>
    <row r="165">
      <c r="A165" s="651" t="n"/>
      <c r="B165" s="705" t="inlineStr">
        <is>
          <t>F</t>
        </is>
      </c>
      <c r="C165" s="704" t="inlineStr">
        <is>
          <t>800 Free</t>
        </is>
      </c>
      <c r="D165" s="705" t="n">
        <v>13</v>
      </c>
      <c r="E165" s="613" t="inlineStr">
        <is>
          <t>ELISHA LEE ERN</t>
        </is>
      </c>
      <c r="F165" s="701" t="inlineStr">
        <is>
          <t>10:04.46</t>
        </is>
      </c>
      <c r="G16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5" s="464">
        <f>G165/#REF!</f>
        <v/>
      </c>
      <c r="I165" s="665" t="inlineStr">
        <is>
          <t>10:06.13</t>
        </is>
      </c>
      <c r="J16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5" s="464">
        <f>J165/#REF!</f>
        <v/>
      </c>
      <c r="L165" s="704" t="n">
        <v>7</v>
      </c>
      <c r="M165" s="616" t="n">
        <v>10</v>
      </c>
      <c r="N165" s="652">
        <f t="array" ref="N165">1000*(INDEX('Bakat Base Times'!$E:$E,MATCH(1,('Bakat Base Times'!$A:$A=B165)*('Bakat Base Times'!$B:$B=C165)*('Bakat Base Times'!$C:$C=D165),0))/(VALUE(O165)))^3
</f>
        <v/>
      </c>
      <c r="O165" s="609">
        <f>IFERROR(__xludf.DUMMYFUNCTION("IF(ISNUMBER(I165), I165, IF(REGEXMATCH(I165, "":""), SUMPRODUCT(VALUE(SPLIT(I165, "":"")) * (60^(COUNTIF(SPLIT(I165, "":""), ""&lt;&gt;"")-COLUMN(OFFSET('MOT Tables 25'!$A$1,,,1,COUNTIF(SPLIT(I165, "":""),""&lt;&gt;"")))))), VALUE(I165)))"),606.13)</f>
        <v/>
      </c>
      <c r="P165" s="689" t="n"/>
      <c r="Q165" s="689" t="n"/>
      <c r="R165" s="689" t="n"/>
      <c r="S165" s="689" t="n"/>
      <c r="T165" s="689" t="n"/>
      <c r="U165" s="689" t="n"/>
      <c r="V165" s="689" t="n"/>
      <c r="W165" s="689" t="n"/>
      <c r="X165" s="689" t="n"/>
      <c r="Y165" s="618" t="inlineStr">
        <is>
          <t>F</t>
        </is>
      </c>
      <c r="Z165" s="619" t="inlineStr">
        <is>
          <t>800 Free</t>
        </is>
      </c>
      <c r="AA165" s="612" t="n">
        <v>13</v>
      </c>
      <c r="AB165" s="613" t="inlineStr">
        <is>
          <t>ELISHA LEE ERN</t>
        </is>
      </c>
      <c r="AC165" s="665" t="inlineStr">
        <is>
          <t>10:06.13</t>
        </is>
      </c>
      <c r="AD165" s="628">
        <f>IFERROR(__xludf.DUMMYFUNCTION("IF(ISNUMBER(AC165), AC165, IF(REGEXMATCH(AC165, "":""), SUMPRODUCT(VALUE(SPLIT(AC165, "":"")) * (60^(COUNTIF(SPLIT(AC165, "":""), ""&lt;&gt;"")-COLUMN(OFFSET('MOT Tables 25'!$A$1,,,1,COUNTIF(SPLIT(AC165, "":""),""&lt;&gt;"")))))), VALUE(AC165)))"),606.13)</f>
        <v/>
      </c>
      <c r="AE165" s="616" t="n">
        <v>10</v>
      </c>
      <c r="AF165" s="617">
        <f t="array" ref="AF165">1000*(INDEX('Bakat Base Times'!$E:$E,MATCH(1,('Bakat Base Times'!$A:$A=Y165)*('Bakat Base Times'!$B:$B=Z165)*('Bakat Base Times'!$C:$C=AA165),0))/(VALUE(AD165)))^3
</f>
        <v/>
      </c>
      <c r="AG165" s="693" t="n"/>
      <c r="AH165" s="721" t="n"/>
      <c r="AI165" s="721" t="n"/>
      <c r="AJ165" s="688" t="n"/>
      <c r="AK165" s="689" t="n"/>
      <c r="AL165" s="690" t="n"/>
      <c r="AM165" s="691" t="n"/>
      <c r="AN165" s="692" t="n"/>
      <c r="AO165" s="693" t="n"/>
      <c r="AP165" s="693" t="n"/>
      <c r="AQ165" s="693" t="n"/>
      <c r="AR165" s="693" t="n"/>
      <c r="AS165" s="693" t="n"/>
      <c r="AT165" s="693" t="n"/>
      <c r="AU165" s="699" t="n"/>
      <c r="AV165" s="693" t="n"/>
      <c r="AW165" s="693" t="n"/>
      <c r="AX165" s="693" t="n"/>
      <c r="AY165" s="693" t="n"/>
      <c r="AZ165" s="693" t="n"/>
    </row>
    <row r="166">
      <c r="A166" s="654" t="n"/>
      <c r="B166" s="710" t="inlineStr">
        <is>
          <t>M</t>
        </is>
      </c>
      <c r="C166" s="709" t="inlineStr">
        <is>
          <t>100 Back</t>
        </is>
      </c>
      <c r="D166" s="710" t="n">
        <v>17</v>
      </c>
      <c r="E166" s="590" t="inlineStr">
        <is>
          <t>ASLAN ADNAN</t>
        </is>
      </c>
      <c r="F166" s="707" t="inlineStr">
        <is>
          <t>1:00.39</t>
        </is>
      </c>
      <c r="G16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6" s="460">
        <f>G166/#REF!</f>
        <v/>
      </c>
      <c r="I166" s="591" t="inlineStr">
        <is>
          <t>1:02.72</t>
        </is>
      </c>
      <c r="J16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6" s="460">
        <f>J166/#REF!</f>
        <v/>
      </c>
      <c r="L166" s="709" t="n">
        <v>10</v>
      </c>
      <c r="M166" s="593" t="n">
        <v>12</v>
      </c>
      <c r="N166" s="655">
        <f t="array" ref="N166">1000*(INDEX('Bakat Base Times'!$E:$E,MATCH(1,('Bakat Base Times'!$A:$A=B166)*('Bakat Base Times'!$B:$B=C166)*('Bakat Base Times'!$C:$C=D166),0))/(VALUE(O166)))^3
</f>
        <v/>
      </c>
      <c r="O166" s="582">
        <f>IFERROR(__xludf.DUMMYFUNCTION("IF(ISNUMBER(I166), I166, IF(REGEXMATCH(I166, "":""), SUMPRODUCT(VALUE(SPLIT(I166, "":"")) * (60^(COUNTIF(SPLIT(I166, "":""), ""&lt;&gt;"")-COLUMN(OFFSET('MOT Tables 25'!$A$1,,,1,COUNTIF(SPLIT(I166, "":""),""&lt;&gt;"")))))), VALUE(I166)))"),62.72)</f>
        <v/>
      </c>
      <c r="P166" s="689" t="n"/>
      <c r="Q166" s="689" t="n"/>
      <c r="R166" s="689" t="n"/>
      <c r="S166" s="689" t="n"/>
      <c r="T166" s="689" t="n"/>
      <c r="U166" s="689" t="n"/>
      <c r="V166" s="689" t="n"/>
      <c r="W166" s="689" t="n"/>
      <c r="X166" s="689" t="n"/>
      <c r="Y166" s="596" t="inlineStr">
        <is>
          <t>M</t>
        </is>
      </c>
      <c r="Z166" s="597" t="inlineStr">
        <is>
          <t>100 Back</t>
        </is>
      </c>
      <c r="AA166" s="589" t="n">
        <v>17</v>
      </c>
      <c r="AB166" s="590" t="inlineStr">
        <is>
          <t>ASLAN ADNAN</t>
        </is>
      </c>
      <c r="AC166" s="591" t="inlineStr">
        <is>
          <t>1:02.72</t>
        </is>
      </c>
      <c r="AD166" s="592">
        <f>IFERROR(__xludf.DUMMYFUNCTION("IF(ISNUMBER(AC166), AC166, IF(REGEXMATCH(AC166, "":""), SUMPRODUCT(VALUE(SPLIT(AC166, "":"")) * (60^(COUNTIF(SPLIT(AC166, "":""), ""&lt;&gt;"")-COLUMN(OFFSET('MOT Tables 25'!$A$1,,,1,COUNTIF(SPLIT(AC166, "":""),""&lt;&gt;"")))))), VALUE(AC166)))"),62.72)</f>
        <v/>
      </c>
      <c r="AE166" s="593" t="n">
        <v>12</v>
      </c>
      <c r="AF166" s="594">
        <f t="array" ref="AF166">1000*(INDEX('Bakat Base Times'!$E:$E,MATCH(1,('Bakat Base Times'!$A:$A=Y166)*('Bakat Base Times'!$B:$B=Z166)*('Bakat Base Times'!$C:$C=AA166),0))/(VALUE(AD166)))^3
</f>
        <v/>
      </c>
      <c r="AG166" s="693" t="n"/>
      <c r="AH166" s="721" t="n"/>
      <c r="AI166" s="721" t="n"/>
      <c r="AJ166" s="688" t="n"/>
      <c r="AK166" s="689" t="n"/>
      <c r="AL166" s="690" t="n"/>
      <c r="AM166" s="691" t="n"/>
      <c r="AN166" s="692" t="n"/>
      <c r="AO166" s="693" t="n"/>
      <c r="AP166" s="693" t="n"/>
      <c r="AQ166" s="693" t="n"/>
      <c r="AR166" s="693" t="n"/>
      <c r="AS166" s="693" t="n"/>
      <c r="AT166" s="693" t="n"/>
      <c r="AU166" s="699" t="n"/>
      <c r="AV166" s="693" t="n"/>
      <c r="AW166" s="693" t="n"/>
      <c r="AX166" s="693" t="n"/>
      <c r="AY166" s="693" t="n"/>
      <c r="AZ166" s="693" t="n"/>
    </row>
    <row r="167">
      <c r="A167" s="651" t="n"/>
      <c r="B167" s="705" t="inlineStr">
        <is>
          <t>F</t>
        </is>
      </c>
      <c r="C167" s="704" t="inlineStr">
        <is>
          <t>100 Back</t>
        </is>
      </c>
      <c r="D167" s="705" t="n">
        <v>16</v>
      </c>
      <c r="E167" s="613" t="inlineStr">
        <is>
          <t>JOELLE CHAN ZU EE</t>
        </is>
      </c>
      <c r="F167" s="701" t="inlineStr">
        <is>
          <t>1:07.48</t>
        </is>
      </c>
      <c r="G16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7" s="464">
        <f>G167/#REF!</f>
        <v/>
      </c>
      <c r="I167" s="665" t="inlineStr">
        <is>
          <t>1:09.24</t>
        </is>
      </c>
      <c r="J16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7" s="464">
        <f>J167/#REF!</f>
        <v/>
      </c>
      <c r="L167" s="704" t="n">
        <v>9</v>
      </c>
      <c r="M167" s="616" t="n">
        <v>11</v>
      </c>
      <c r="N167" s="652">
        <f t="array" ref="N167">1000*(INDEX('Bakat Base Times'!$E:$E,MATCH(1,('Bakat Base Times'!$A:$A=B167)*('Bakat Base Times'!$B:$B=C167)*('Bakat Base Times'!$C:$C=D167),0))/(VALUE(O167)))^3
</f>
        <v/>
      </c>
      <c r="O167" s="609">
        <f>IFERROR(__xludf.DUMMYFUNCTION("IF(ISNUMBER(I167), I167, IF(REGEXMATCH(I167, "":""), SUMPRODUCT(VALUE(SPLIT(I167, "":"")) * (60^(COUNTIF(SPLIT(I167, "":""), ""&lt;&gt;"")-COLUMN(OFFSET('MOT Tables 25'!$A$1,,,1,COUNTIF(SPLIT(I167, "":""),""&lt;&gt;"")))))), VALUE(I167)))"),69.24)</f>
        <v/>
      </c>
      <c r="P167" s="689" t="n"/>
      <c r="Q167" s="689" t="n"/>
      <c r="R167" s="689" t="n"/>
      <c r="S167" s="689" t="n"/>
      <c r="T167" s="689" t="n"/>
      <c r="U167" s="689" t="n"/>
      <c r="V167" s="689" t="n"/>
      <c r="W167" s="689" t="n"/>
      <c r="X167" s="689" t="n"/>
      <c r="Y167" s="618" t="inlineStr">
        <is>
          <t>F</t>
        </is>
      </c>
      <c r="Z167" s="619" t="inlineStr">
        <is>
          <t>100 Back</t>
        </is>
      </c>
      <c r="AA167" s="612" t="n">
        <v>16</v>
      </c>
      <c r="AB167" s="613" t="inlineStr">
        <is>
          <t>JOELLE CHAN ZU EE</t>
        </is>
      </c>
      <c r="AC167" s="665" t="inlineStr">
        <is>
          <t>1:09.24</t>
        </is>
      </c>
      <c r="AD167" s="628">
        <f>IFERROR(__xludf.DUMMYFUNCTION("IF(ISNUMBER(AC167), AC167, IF(REGEXMATCH(AC167, "":""), SUMPRODUCT(VALUE(SPLIT(AC167, "":"")) * (60^(COUNTIF(SPLIT(AC167, "":""), ""&lt;&gt;"")-COLUMN(OFFSET('MOT Tables 25'!$A$1,,,1,COUNTIF(SPLIT(AC167, "":""),""&lt;&gt;"")))))), VALUE(AC167)))"),69.24)</f>
        <v/>
      </c>
      <c r="AE167" s="616" t="n">
        <v>11</v>
      </c>
      <c r="AF167" s="617">
        <f t="array" ref="AF167">1000*(INDEX('Bakat Base Times'!$E:$E,MATCH(1,('Bakat Base Times'!$A:$A=Y167)*('Bakat Base Times'!$B:$B=Z167)*('Bakat Base Times'!$C:$C=AA167),0))/(VALUE(AD167)))^3
</f>
        <v/>
      </c>
      <c r="AG167" s="693" t="n"/>
      <c r="AH167" s="721" t="n"/>
      <c r="AI167" s="721" t="n"/>
      <c r="AJ167" s="688" t="n"/>
      <c r="AK167" s="689" t="n"/>
      <c r="AL167" s="690" t="n"/>
      <c r="AM167" s="691" t="n"/>
      <c r="AN167" s="692" t="n"/>
      <c r="AO167" s="693" t="n"/>
      <c r="AP167" s="693" t="n"/>
      <c r="AQ167" s="693" t="n"/>
      <c r="AR167" s="693" t="n"/>
      <c r="AS167" s="693" t="n"/>
      <c r="AT167" s="693" t="n"/>
      <c r="AU167" s="699" t="n"/>
      <c r="AV167" s="693" t="n"/>
      <c r="AW167" s="693" t="n"/>
      <c r="AX167" s="693" t="n"/>
      <c r="AY167" s="693" t="n"/>
      <c r="AZ167" s="693" t="n"/>
    </row>
    <row r="168">
      <c r="A168" s="654" t="n"/>
      <c r="B168" s="710" t="inlineStr">
        <is>
          <t>F</t>
        </is>
      </c>
      <c r="C168" s="709" t="inlineStr">
        <is>
          <t>400 IM</t>
        </is>
      </c>
      <c r="D168" s="710" t="n">
        <v>15</v>
      </c>
      <c r="E168" s="590" t="inlineStr">
        <is>
          <t>KAYLEIGH ANG ZHI XUAN</t>
        </is>
      </c>
      <c r="F168" s="707" t="inlineStr">
        <is>
          <t>5:20.32</t>
        </is>
      </c>
      <c r="G16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8" s="460">
        <f>G168/#REF!</f>
        <v/>
      </c>
      <c r="I168" s="661" t="inlineStr">
        <is>
          <t>5:24.11</t>
        </is>
      </c>
      <c r="J16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8" s="460">
        <f>J168/#REF!</f>
        <v/>
      </c>
      <c r="L168" s="709" t="n">
        <v>9</v>
      </c>
      <c r="M168" s="593" t="n">
        <v>11</v>
      </c>
      <c r="N168" s="655">
        <f t="array" ref="N168">1000*(INDEX('Bakat Base Times'!$E:$E,MATCH(1,('Bakat Base Times'!$A:$A=B168)*('Bakat Base Times'!$B:$B=C168)*('Bakat Base Times'!$C:$C=D168),0))/(VALUE(O168)))^3
</f>
        <v/>
      </c>
      <c r="O168" s="582">
        <f>IFERROR(__xludf.DUMMYFUNCTION("IF(ISNUMBER(I168), I168, IF(REGEXMATCH(I168, "":""), SUMPRODUCT(VALUE(SPLIT(I168, "":"")) * (60^(COUNTIF(SPLIT(I168, "":""), ""&lt;&gt;"")-COLUMN(OFFSET('MOT Tables 25'!$A$1,,,1,COUNTIF(SPLIT(I168, "":""),""&lt;&gt;"")))))), VALUE(I168)))"),324.11)</f>
        <v/>
      </c>
      <c r="P168" s="689" t="n"/>
      <c r="Q168" s="689" t="n"/>
      <c r="R168" s="689" t="n"/>
      <c r="S168" s="689" t="n"/>
      <c r="T168" s="689" t="n"/>
      <c r="U168" s="689" t="n"/>
      <c r="V168" s="689" t="n"/>
      <c r="W168" s="689" t="n"/>
      <c r="X168" s="689" t="n"/>
      <c r="Y168" s="596" t="inlineStr">
        <is>
          <t>F</t>
        </is>
      </c>
      <c r="Z168" s="597" t="inlineStr">
        <is>
          <t>400 IM</t>
        </is>
      </c>
      <c r="AA168" s="589" t="n">
        <v>15</v>
      </c>
      <c r="AB168" s="590" t="inlineStr">
        <is>
          <t>KAYLEIGH ANG ZHI XUAN</t>
        </is>
      </c>
      <c r="AC168" s="661" t="inlineStr">
        <is>
          <t>5:24.11</t>
        </is>
      </c>
      <c r="AD168" s="592">
        <f>IFERROR(__xludf.DUMMYFUNCTION("IF(ISNUMBER(AC168), AC168, IF(REGEXMATCH(AC168, "":""), SUMPRODUCT(VALUE(SPLIT(AC168, "":"")) * (60^(COUNTIF(SPLIT(AC168, "":""), ""&lt;&gt;"")-COLUMN(OFFSET('MOT Tables 25'!$A$1,,,1,COUNTIF(SPLIT(AC168, "":""),""&lt;&gt;"")))))), VALUE(AC168)))"),324.11)</f>
        <v/>
      </c>
      <c r="AE168" s="593" t="n">
        <v>11</v>
      </c>
      <c r="AF168" s="594">
        <f t="array" ref="AF168">1000*(INDEX('Bakat Base Times'!$E:$E,MATCH(1,('Bakat Base Times'!$A:$A=Y168)*('Bakat Base Times'!$B:$B=Z168)*('Bakat Base Times'!$C:$C=AA168),0))/(VALUE(AD168)))^3
</f>
        <v/>
      </c>
      <c r="AG168" s="693" t="n"/>
      <c r="AH168" s="721" t="n"/>
      <c r="AI168" s="721" t="n"/>
      <c r="AJ168" s="688" t="n"/>
      <c r="AK168" s="689" t="n"/>
      <c r="AL168" s="690" t="n"/>
      <c r="AM168" s="691" t="n"/>
      <c r="AN168" s="692" t="n"/>
      <c r="AO168" s="693" t="n"/>
      <c r="AP168" s="693" t="n"/>
      <c r="AQ168" s="693" t="n"/>
      <c r="AR168" s="693" t="n"/>
      <c r="AS168" s="693" t="n"/>
      <c r="AT168" s="693" t="n"/>
      <c r="AU168" s="699" t="n"/>
      <c r="AV168" s="693" t="n"/>
      <c r="AW168" s="693" t="n"/>
      <c r="AX168" s="693" t="n"/>
      <c r="AY168" s="693" t="n"/>
      <c r="AZ168" s="693" t="n"/>
    </row>
    <row r="169">
      <c r="A169" s="651" t="n"/>
      <c r="B169" s="705" t="inlineStr">
        <is>
          <t>M</t>
        </is>
      </c>
      <c r="C169" s="704" t="inlineStr">
        <is>
          <t>200 Free</t>
        </is>
      </c>
      <c r="D169" s="705" t="n">
        <v>13</v>
      </c>
      <c r="E169" s="613" t="inlineStr">
        <is>
          <t>ADAM LIM KENG JIN</t>
        </is>
      </c>
      <c r="F169" s="701" t="inlineStr">
        <is>
          <t>2:11.17</t>
        </is>
      </c>
      <c r="G169"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69" s="464">
        <f>G169/#REF!</f>
        <v/>
      </c>
      <c r="I169" s="614" t="inlineStr">
        <is>
          <t>2:13.42</t>
        </is>
      </c>
      <c r="J169"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69" s="464">
        <f>J169/#REF!</f>
        <v/>
      </c>
      <c r="L169" s="704" t="n">
        <v>12</v>
      </c>
      <c r="M169" s="616" t="n">
        <v>14</v>
      </c>
      <c r="N169" s="652">
        <f t="array" ref="N169">1000*(INDEX('Bakat Base Times'!$E:$E,MATCH(1,('Bakat Base Times'!$A:$A=B169)*('Bakat Base Times'!$B:$B=C169)*('Bakat Base Times'!$C:$C=D169),0))/(VALUE(O169)))^3
</f>
        <v/>
      </c>
      <c r="O169" s="609">
        <f>IFERROR(__xludf.DUMMYFUNCTION("IF(ISNUMBER(I169), I169, IF(REGEXMATCH(I169, "":""), SUMPRODUCT(VALUE(SPLIT(I169, "":"")) * (60^(COUNTIF(SPLIT(I169, "":""), ""&lt;&gt;"")-COLUMN(OFFSET('MOT Tables 25'!$A$1,,,1,COUNTIF(SPLIT(I169, "":""),""&lt;&gt;"")))))), VALUE(I169)))"),133.42)</f>
        <v/>
      </c>
      <c r="P169" s="689" t="n"/>
      <c r="Q169" s="689" t="n"/>
      <c r="R169" s="689" t="n"/>
      <c r="S169" s="689" t="n"/>
      <c r="T169" s="689" t="n"/>
      <c r="U169" s="689" t="n"/>
      <c r="V169" s="689" t="n"/>
      <c r="W169" s="689" t="n"/>
      <c r="X169" s="689" t="n"/>
      <c r="Y169" s="618" t="inlineStr">
        <is>
          <t>M</t>
        </is>
      </c>
      <c r="Z169" s="619" t="inlineStr">
        <is>
          <t>200 Free</t>
        </is>
      </c>
      <c r="AA169" s="612" t="n">
        <v>13</v>
      </c>
      <c r="AB169" s="613" t="inlineStr">
        <is>
          <t>ADAM LIM KENG JIN</t>
        </is>
      </c>
      <c r="AC169" s="614" t="inlineStr">
        <is>
          <t>2:13.42</t>
        </is>
      </c>
      <c r="AD169" s="628">
        <f>IFERROR(__xludf.DUMMYFUNCTION("IF(ISNUMBER(AC169), AC169, IF(REGEXMATCH(AC169, "":""), SUMPRODUCT(VALUE(SPLIT(AC169, "":"")) * (60^(COUNTIF(SPLIT(AC169, "":""), ""&lt;&gt;"")-COLUMN(OFFSET('MOT Tables 25'!$A$1,,,1,COUNTIF(SPLIT(AC169, "":""),""&lt;&gt;"")))))), VALUE(AC169)))"),133.42)</f>
        <v/>
      </c>
      <c r="AE169" s="616" t="n">
        <v>14</v>
      </c>
      <c r="AF169" s="617">
        <f t="array" ref="AF169">1000*(INDEX('Bakat Base Times'!$E:$E,MATCH(1,('Bakat Base Times'!$A:$A=Y169)*('Bakat Base Times'!$B:$B=Z169)*('Bakat Base Times'!$C:$C=AA169),0))/(VALUE(AD169)))^3
</f>
        <v/>
      </c>
      <c r="AG169" s="693" t="n"/>
      <c r="AH169" s="721" t="n"/>
      <c r="AI169" s="721" t="n"/>
      <c r="AJ169" s="688" t="n"/>
      <c r="AK169" s="689" t="n"/>
      <c r="AL169" s="690" t="n"/>
      <c r="AM169" s="691" t="n"/>
      <c r="AN169" s="692" t="n"/>
      <c r="AO169" s="693" t="n"/>
      <c r="AP169" s="693" t="n"/>
      <c r="AQ169" s="693" t="n"/>
      <c r="AR169" s="693" t="n"/>
      <c r="AS169" s="693" t="n"/>
      <c r="AT169" s="693" t="n"/>
      <c r="AU169" s="699" t="n"/>
      <c r="AV169" s="693" t="n"/>
      <c r="AW169" s="693" t="n"/>
      <c r="AX169" s="693" t="n"/>
      <c r="AY169" s="693" t="n"/>
      <c r="AZ169" s="693" t="n"/>
    </row>
    <row r="170">
      <c r="A170" s="654" t="n"/>
      <c r="B170" s="710" t="inlineStr">
        <is>
          <t>F</t>
        </is>
      </c>
      <c r="C170" s="709" t="inlineStr">
        <is>
          <t>400 Free</t>
        </is>
      </c>
      <c r="D170" s="710" t="n">
        <v>13</v>
      </c>
      <c r="E170" s="590" t="inlineStr">
        <is>
          <t>AVERIE SENG YUE</t>
        </is>
      </c>
      <c r="F170" s="707" t="inlineStr">
        <is>
          <t>4:52.89</t>
        </is>
      </c>
      <c r="G170"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0" s="460">
        <f>G170/#REF!</f>
        <v/>
      </c>
      <c r="I170" s="661" t="inlineStr">
        <is>
          <t>4:54.08</t>
        </is>
      </c>
      <c r="J170"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0" s="460">
        <f>J170/#REF!</f>
        <v/>
      </c>
      <c r="L170" s="709" t="n">
        <v>11</v>
      </c>
      <c r="M170" s="593" t="n">
        <v>10</v>
      </c>
      <c r="N170" s="655">
        <f t="array" ref="N170">1000*(INDEX('Bakat Base Times'!$E:$E,MATCH(1,('Bakat Base Times'!$A:$A=B170)*('Bakat Base Times'!$B:$B=C170)*('Bakat Base Times'!$C:$C=D170),0))/(VALUE(O170)))^3
</f>
        <v/>
      </c>
      <c r="O170" s="582">
        <f>IFERROR(__xludf.DUMMYFUNCTION("IF(ISNUMBER(I170), I170, IF(REGEXMATCH(I170, "":""), SUMPRODUCT(VALUE(SPLIT(I170, "":"")) * (60^(COUNTIF(SPLIT(I170, "":""), ""&lt;&gt;"")-COLUMN(OFFSET('MOT Tables 25'!$A$1,,,1,COUNTIF(SPLIT(I170, "":""),""&lt;&gt;"")))))), VALUE(I170)))"),294.08)</f>
        <v/>
      </c>
      <c r="P170" s="689" t="n"/>
      <c r="Q170" s="689" t="n"/>
      <c r="R170" s="689" t="n"/>
      <c r="S170" s="689" t="n"/>
      <c r="T170" s="689" t="n"/>
      <c r="U170" s="689" t="n"/>
      <c r="V170" s="689" t="n"/>
      <c r="W170" s="689" t="n"/>
      <c r="X170" s="689" t="n"/>
      <c r="Y170" s="596" t="inlineStr">
        <is>
          <t>F</t>
        </is>
      </c>
      <c r="Z170" s="597" t="inlineStr">
        <is>
          <t>400 Free</t>
        </is>
      </c>
      <c r="AA170" s="589" t="n">
        <v>13</v>
      </c>
      <c r="AB170" s="590" t="inlineStr">
        <is>
          <t>AVERIE SENG YUE</t>
        </is>
      </c>
      <c r="AC170" s="661" t="inlineStr">
        <is>
          <t>4:54.08</t>
        </is>
      </c>
      <c r="AD170" s="592">
        <f>IFERROR(__xludf.DUMMYFUNCTION("IF(ISNUMBER(AC170), AC170, IF(REGEXMATCH(AC170, "":""), SUMPRODUCT(VALUE(SPLIT(AC170, "":"")) * (60^(COUNTIF(SPLIT(AC170, "":""), ""&lt;&gt;"")-COLUMN(OFFSET('MOT Tables 25'!$A$1,,,1,COUNTIF(SPLIT(AC170, "":""),""&lt;&gt;"")))))), VALUE(AC170)))"),294.08)</f>
        <v/>
      </c>
      <c r="AE170" s="593" t="n">
        <v>10</v>
      </c>
      <c r="AF170" s="594">
        <f t="array" ref="AF170">1000*(INDEX('Bakat Base Times'!$E:$E,MATCH(1,('Bakat Base Times'!$A:$A=Y170)*('Bakat Base Times'!$B:$B=Z170)*('Bakat Base Times'!$C:$C=AA170),0))/(VALUE(AD170)))^3
</f>
        <v/>
      </c>
      <c r="AG170" s="693" t="n"/>
      <c r="AH170" s="721" t="n"/>
      <c r="AI170" s="721" t="n"/>
      <c r="AJ170" s="688" t="n"/>
      <c r="AK170" s="689" t="n"/>
      <c r="AL170" s="690" t="n"/>
      <c r="AM170" s="691" t="n"/>
      <c r="AN170" s="692" t="n"/>
      <c r="AO170" s="693" t="n"/>
      <c r="AP170" s="693" t="n"/>
      <c r="AQ170" s="693" t="n"/>
      <c r="AR170" s="693" t="n"/>
      <c r="AS170" s="693" t="n"/>
      <c r="AT170" s="693" t="n"/>
      <c r="AU170" s="699" t="n"/>
      <c r="AV170" s="693" t="n"/>
      <c r="AW170" s="693" t="n"/>
      <c r="AX170" s="693" t="n"/>
      <c r="AY170" s="693" t="n"/>
      <c r="AZ170" s="693" t="n"/>
    </row>
    <row r="171">
      <c r="A171" s="651" t="n"/>
      <c r="B171" s="705" t="inlineStr">
        <is>
          <t>F</t>
        </is>
      </c>
      <c r="C171" s="704" t="inlineStr">
        <is>
          <t>200 IM</t>
        </is>
      </c>
      <c r="D171" s="705" t="n">
        <v>16</v>
      </c>
      <c r="E171" s="613" t="inlineStr">
        <is>
          <t>KHOO SUE ENN</t>
        </is>
      </c>
      <c r="F171" s="701" t="inlineStr">
        <is>
          <t>2:28.30</t>
        </is>
      </c>
      <c r="G17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1" s="464">
        <f>G171/#REF!</f>
        <v/>
      </c>
      <c r="I171" s="614" t="inlineStr">
        <is>
          <t>2:32.33</t>
        </is>
      </c>
      <c r="J17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1" s="464">
        <f>J171/#REF!</f>
        <v/>
      </c>
      <c r="L171" s="704" t="n">
        <v>10</v>
      </c>
      <c r="M171" s="616" t="n">
        <v>11</v>
      </c>
      <c r="N171" s="652">
        <f t="array" ref="N171">1000*(INDEX('Bakat Base Times'!$E:$E,MATCH(1,('Bakat Base Times'!$A:$A=B171)*('Bakat Base Times'!$B:$B=C171)*('Bakat Base Times'!$C:$C=D171),0))/(VALUE(O171)))^3
</f>
        <v/>
      </c>
      <c r="O171" s="609">
        <f>IFERROR(__xludf.DUMMYFUNCTION("IF(ISNUMBER(I171), I171, IF(REGEXMATCH(I171, "":""), SUMPRODUCT(VALUE(SPLIT(I171, "":"")) * (60^(COUNTIF(SPLIT(I171, "":""), ""&lt;&gt;"")-COLUMN(OFFSET('MOT Tables 25'!$A$1,,,1,COUNTIF(SPLIT(I171, "":""),""&lt;&gt;"")))))), VALUE(I171)))"),152.32999999999998)</f>
        <v/>
      </c>
      <c r="P171" s="689" t="n"/>
      <c r="Q171" s="689" t="n"/>
      <c r="R171" s="689" t="n"/>
      <c r="S171" s="689" t="n"/>
      <c r="T171" s="689" t="n"/>
      <c r="U171" s="689" t="n"/>
      <c r="V171" s="689" t="n"/>
      <c r="W171" s="689" t="n"/>
      <c r="X171" s="689" t="n"/>
      <c r="Y171" s="618" t="inlineStr">
        <is>
          <t>F</t>
        </is>
      </c>
      <c r="Z171" s="619" t="inlineStr">
        <is>
          <t>200 IM</t>
        </is>
      </c>
      <c r="AA171" s="612" t="n">
        <v>16</v>
      </c>
      <c r="AB171" s="613" t="inlineStr">
        <is>
          <t>KHOO SUE ENN</t>
        </is>
      </c>
      <c r="AC171" s="614" t="inlineStr">
        <is>
          <t>2:32.33</t>
        </is>
      </c>
      <c r="AD171" s="628">
        <f>IFERROR(__xludf.DUMMYFUNCTION("IF(ISNUMBER(AC171), AC171, IF(REGEXMATCH(AC171, "":""), SUMPRODUCT(VALUE(SPLIT(AC171, "":"")) * (60^(COUNTIF(SPLIT(AC171, "":""), ""&lt;&gt;"")-COLUMN(OFFSET('MOT Tables 25'!$A$1,,,1,COUNTIF(SPLIT(AC171, "":""),""&lt;&gt;"")))))), VALUE(AC171)))"),152.32999999999998)</f>
        <v/>
      </c>
      <c r="AE171" s="616" t="n">
        <v>11</v>
      </c>
      <c r="AF171" s="617">
        <f t="array" ref="AF171">1000*(INDEX('Bakat Base Times'!$E:$E,MATCH(1,('Bakat Base Times'!$A:$A=Y171)*('Bakat Base Times'!$B:$B=Z171)*('Bakat Base Times'!$C:$C=AA171),0))/(VALUE(AD171)))^3
</f>
        <v/>
      </c>
      <c r="AG171" s="693" t="n"/>
      <c r="AH171" s="721" t="n"/>
      <c r="AI171" s="721" t="n"/>
      <c r="AJ171" s="688" t="n"/>
      <c r="AK171" s="689" t="n"/>
      <c r="AL171" s="690" t="n"/>
      <c r="AM171" s="691" t="n"/>
      <c r="AN171" s="692" t="n"/>
      <c r="AO171" s="693" t="n"/>
      <c r="AP171" s="693" t="n"/>
      <c r="AQ171" s="693" t="n"/>
      <c r="AR171" s="693" t="n"/>
      <c r="AS171" s="693" t="n"/>
      <c r="AT171" s="693" t="n"/>
      <c r="AU171" s="699" t="n"/>
      <c r="AV171" s="693" t="n"/>
      <c r="AW171" s="693" t="n"/>
      <c r="AX171" s="693" t="n"/>
      <c r="AY171" s="693" t="n"/>
      <c r="AZ171" s="693" t="n"/>
    </row>
    <row r="172">
      <c r="A172" s="654" t="n"/>
      <c r="B172" s="710" t="inlineStr">
        <is>
          <t>F</t>
        </is>
      </c>
      <c r="C172" s="709" t="inlineStr">
        <is>
          <t>100 Breast</t>
        </is>
      </c>
      <c r="D172" s="710" t="n">
        <v>15</v>
      </c>
      <c r="E172" s="590" t="inlineStr">
        <is>
          <t>ISABELLE KAM ZI ZHEN</t>
        </is>
      </c>
      <c r="F172" s="707" t="inlineStr">
        <is>
          <t>1:19.58</t>
        </is>
      </c>
      <c r="G17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2" s="460">
        <f>G172/#REF!</f>
        <v/>
      </c>
      <c r="I172" s="661" t="inlineStr">
        <is>
          <t>1:19.48</t>
        </is>
      </c>
      <c r="J17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2" s="460">
        <f>J172/#REF!</f>
        <v/>
      </c>
      <c r="L172" s="709" t="n">
        <v>11</v>
      </c>
      <c r="M172" s="593" t="n">
        <v>11</v>
      </c>
      <c r="N172" s="655">
        <f t="array" ref="N172">1000*(INDEX('Bakat Base Times'!$E:$E,MATCH(1,('Bakat Base Times'!$A:$A=B172)*('Bakat Base Times'!$B:$B=C172)*('Bakat Base Times'!$C:$C=D172),0))/(VALUE(O172)))^3
</f>
        <v/>
      </c>
      <c r="O172" s="582">
        <f>IFERROR(__xludf.DUMMYFUNCTION("IF(ISNUMBER(I172), I172, IF(REGEXMATCH(I172, "":""), SUMPRODUCT(VALUE(SPLIT(I172, "":"")) * (60^(COUNTIF(SPLIT(I172, "":""), ""&lt;&gt;"")-COLUMN(OFFSET('MOT Tables 25'!$A$1,,,1,COUNTIF(SPLIT(I172, "":""),""&lt;&gt;"")))))), VALUE(I172)))"),79.48)</f>
        <v/>
      </c>
      <c r="P172" s="689" t="n"/>
      <c r="Q172" s="689" t="n"/>
      <c r="R172" s="689" t="n"/>
      <c r="S172" s="689" t="n"/>
      <c r="T172" s="689" t="n"/>
      <c r="U172" s="689" t="n"/>
      <c r="V172" s="689" t="n"/>
      <c r="W172" s="689" t="n"/>
      <c r="X172" s="689" t="n"/>
      <c r="Y172" s="596" t="inlineStr">
        <is>
          <t>F</t>
        </is>
      </c>
      <c r="Z172" s="597" t="inlineStr">
        <is>
          <t>100 Breast</t>
        </is>
      </c>
      <c r="AA172" s="589" t="n">
        <v>15</v>
      </c>
      <c r="AB172" s="590" t="inlineStr">
        <is>
          <t>ISABELLE KAM ZI ZHEN</t>
        </is>
      </c>
      <c r="AC172" s="661" t="inlineStr">
        <is>
          <t>1:19.48</t>
        </is>
      </c>
      <c r="AD172" s="592">
        <f>IFERROR(__xludf.DUMMYFUNCTION("IF(ISNUMBER(AC172), AC172, IF(REGEXMATCH(AC172, "":""), SUMPRODUCT(VALUE(SPLIT(AC172, "":"")) * (60^(COUNTIF(SPLIT(AC172, "":""), ""&lt;&gt;"")-COLUMN(OFFSET('MOT Tables 25'!$A$1,,,1,COUNTIF(SPLIT(AC172, "":""),""&lt;&gt;"")))))), VALUE(AC172)))"),79.48)</f>
        <v/>
      </c>
      <c r="AE172" s="593" t="n">
        <v>11</v>
      </c>
      <c r="AF172" s="594">
        <f t="array" ref="AF172">1000*(INDEX('Bakat Base Times'!$E:$E,MATCH(1,('Bakat Base Times'!$A:$A=Y172)*('Bakat Base Times'!$B:$B=Z172)*('Bakat Base Times'!$C:$C=AA172),0))/(VALUE(AD172)))^3
</f>
        <v/>
      </c>
      <c r="AG172" s="693" t="n"/>
      <c r="AH172" s="721" t="n"/>
      <c r="AI172" s="721" t="n"/>
      <c r="AJ172" s="688" t="n"/>
      <c r="AK172" s="689" t="n"/>
      <c r="AL172" s="690" t="n"/>
      <c r="AM172" s="691" t="n"/>
      <c r="AN172" s="692" t="n"/>
      <c r="AO172" s="693" t="n"/>
      <c r="AP172" s="693" t="n"/>
      <c r="AQ172" s="693" t="n"/>
      <c r="AR172" s="693" t="n"/>
      <c r="AS172" s="693" t="n"/>
      <c r="AT172" s="693" t="n"/>
      <c r="AU172" s="699" t="n"/>
      <c r="AV172" s="693" t="n"/>
      <c r="AW172" s="693" t="n"/>
      <c r="AX172" s="693" t="n"/>
      <c r="AY172" s="693" t="n"/>
      <c r="AZ172" s="693" t="n"/>
    </row>
    <row r="173">
      <c r="A173" s="651" t="n"/>
      <c r="B173" s="705" t="inlineStr">
        <is>
          <t>M</t>
        </is>
      </c>
      <c r="C173" s="704" t="inlineStr">
        <is>
          <t>200 Back</t>
        </is>
      </c>
      <c r="D173" s="705" t="n">
        <v>18</v>
      </c>
      <c r="E173" s="613" t="inlineStr">
        <is>
          <t>SAMUEL LAI CHONG WENG</t>
        </is>
      </c>
      <c r="F173" s="701" t="inlineStr">
        <is>
          <t>2:14.03</t>
        </is>
      </c>
      <c r="G17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3" s="464">
        <f>G173/#REF!</f>
        <v/>
      </c>
      <c r="I173" s="614" t="inlineStr">
        <is>
          <t>2:15.34</t>
        </is>
      </c>
      <c r="J17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3" s="464">
        <f>J173/#REF!</f>
        <v/>
      </c>
      <c r="L173" s="704" t="n">
        <v>8</v>
      </c>
      <c r="M173" s="616" t="n">
        <v>7</v>
      </c>
      <c r="N173" s="652">
        <f t="array" ref="N173">1000*(INDEX('Bakat Base Times'!$E:$E,MATCH(1,('Bakat Base Times'!$A:$A=B173)*('Bakat Base Times'!$B:$B=C173)*('Bakat Base Times'!$C:$C=D173),0))/(VALUE(O173)))^3
</f>
        <v/>
      </c>
      <c r="O173" s="609">
        <f>IFERROR(__xludf.DUMMYFUNCTION("IF(ISNUMBER(I173), I173, IF(REGEXMATCH(I173, "":""), SUMPRODUCT(VALUE(SPLIT(I173, "":"")) * (60^(COUNTIF(SPLIT(I173, "":""), ""&lt;&gt;"")-COLUMN(OFFSET('MOT Tables 25'!$A$1,,,1,COUNTIF(SPLIT(I173, "":""),""&lt;&gt;"")))))), VALUE(I173)))"),135.34)</f>
        <v/>
      </c>
      <c r="P173" s="689" t="n"/>
      <c r="Q173" s="689" t="n"/>
      <c r="R173" s="689" t="n"/>
      <c r="S173" s="689" t="n"/>
      <c r="T173" s="689" t="n"/>
      <c r="U173" s="689" t="n"/>
      <c r="V173" s="689" t="n"/>
      <c r="W173" s="689" t="n"/>
      <c r="X173" s="689" t="n"/>
      <c r="Y173" s="618" t="inlineStr">
        <is>
          <t>M</t>
        </is>
      </c>
      <c r="Z173" s="619" t="inlineStr">
        <is>
          <t>200 Back</t>
        </is>
      </c>
      <c r="AA173" s="612" t="n">
        <v>18</v>
      </c>
      <c r="AB173" s="613" t="inlineStr">
        <is>
          <t>SAMUEL LAI CHONG WENG</t>
        </is>
      </c>
      <c r="AC173" s="614" t="inlineStr">
        <is>
          <t>2:15.34</t>
        </is>
      </c>
      <c r="AD173" s="628">
        <f>IFERROR(__xludf.DUMMYFUNCTION("IF(ISNUMBER(AC173), AC173, IF(REGEXMATCH(AC173, "":""), SUMPRODUCT(VALUE(SPLIT(AC173, "":"")) * (60^(COUNTIF(SPLIT(AC173, "":""), ""&lt;&gt;"")-COLUMN(OFFSET('MOT Tables 25'!$A$1,,,1,COUNTIF(SPLIT(AC173, "":""),""&lt;&gt;"")))))), VALUE(AC173)))"),135.34)</f>
        <v/>
      </c>
      <c r="AE173" s="616" t="n">
        <v>7</v>
      </c>
      <c r="AF173" s="617">
        <f t="array" ref="AF173">1000*(INDEX('Bakat Base Times'!$E:$E,MATCH(1,('Bakat Base Times'!$A:$A=Y173)*('Bakat Base Times'!$B:$B=Z173)*('Bakat Base Times'!$C:$C=AA173),0))/(VALUE(AD173)))^3
</f>
        <v/>
      </c>
      <c r="AG173" s="693" t="n"/>
      <c r="AH173" s="721" t="n"/>
      <c r="AI173" s="721" t="n"/>
      <c r="AJ173" s="688" t="n"/>
      <c r="AK173" s="689" t="n"/>
      <c r="AL173" s="690" t="n"/>
      <c r="AM173" s="691" t="n"/>
      <c r="AN173" s="692" t="n"/>
      <c r="AO173" s="693" t="n"/>
      <c r="AP173" s="693" t="n"/>
      <c r="AQ173" s="693" t="n"/>
      <c r="AR173" s="693" t="n"/>
      <c r="AS173" s="693" t="n"/>
      <c r="AT173" s="693" t="n"/>
      <c r="AU173" s="699" t="n"/>
      <c r="AV173" s="693" t="n"/>
      <c r="AW173" s="693" t="n"/>
      <c r="AX173" s="693" t="n"/>
      <c r="AY173" s="693" t="n"/>
      <c r="AZ173" s="693" t="n"/>
    </row>
    <row r="174">
      <c r="A174" s="654" t="n"/>
      <c r="B174" s="710" t="inlineStr">
        <is>
          <t>F</t>
        </is>
      </c>
      <c r="C174" s="709" t="inlineStr">
        <is>
          <t>200 Free</t>
        </is>
      </c>
      <c r="D174" s="710" t="n">
        <v>18</v>
      </c>
      <c r="E174" s="590" t="inlineStr">
        <is>
          <t>YOONG JIA JIA</t>
        </is>
      </c>
      <c r="F174" s="707" t="inlineStr">
        <is>
          <t>2:11.74</t>
        </is>
      </c>
      <c r="G174"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4" s="460">
        <f>G174/#REF!</f>
        <v/>
      </c>
      <c r="I174" s="591" t="inlineStr">
        <is>
          <t>2:14.32</t>
        </is>
      </c>
      <c r="J174"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4" s="460">
        <f>J174/#REF!</f>
        <v/>
      </c>
      <c r="L174" s="709" t="n">
        <v>14</v>
      </c>
      <c r="M174" s="593" t="n">
        <v>17</v>
      </c>
      <c r="N174" s="655">
        <f t="array" ref="N174">1000*(INDEX('Bakat Base Times'!$E:$E,MATCH(1,('Bakat Base Times'!$A:$A=B174)*('Bakat Base Times'!$B:$B=C174)*('Bakat Base Times'!$C:$C=D174),0))/(VALUE(O174)))^3
</f>
        <v/>
      </c>
      <c r="O174" s="582">
        <f>IFERROR(__xludf.DUMMYFUNCTION("IF(ISNUMBER(I174), I174, IF(REGEXMATCH(I174, "":""), SUMPRODUCT(VALUE(SPLIT(I174, "":"")) * (60^(COUNTIF(SPLIT(I174, "":""), ""&lt;&gt;"")-COLUMN(OFFSET('MOT Tables 25'!$A$1,,,1,COUNTIF(SPLIT(I174, "":""),""&lt;&gt;"")))))), VALUE(I174)))"),134.32)</f>
        <v/>
      </c>
      <c r="P174" s="689" t="n"/>
      <c r="Q174" s="689" t="n"/>
      <c r="R174" s="689" t="n"/>
      <c r="S174" s="689" t="n"/>
      <c r="T174" s="689" t="n"/>
      <c r="U174" s="689" t="n"/>
      <c r="V174" s="689" t="n"/>
      <c r="W174" s="689" t="n"/>
      <c r="X174" s="689" t="n"/>
      <c r="Y174" s="596" t="inlineStr">
        <is>
          <t>F</t>
        </is>
      </c>
      <c r="Z174" s="597" t="inlineStr">
        <is>
          <t>200 Free</t>
        </is>
      </c>
      <c r="AA174" s="589" t="n">
        <v>18</v>
      </c>
      <c r="AB174" s="590" t="inlineStr">
        <is>
          <t>YOONG JIA JIA</t>
        </is>
      </c>
      <c r="AC174" s="591" t="inlineStr">
        <is>
          <t>2:14.32</t>
        </is>
      </c>
      <c r="AD174" s="592">
        <f>IFERROR(__xludf.DUMMYFUNCTION("IF(ISNUMBER(AC174), AC174, IF(REGEXMATCH(AC174, "":""), SUMPRODUCT(VALUE(SPLIT(AC174, "":"")) * (60^(COUNTIF(SPLIT(AC174, "":""), ""&lt;&gt;"")-COLUMN(OFFSET('MOT Tables 25'!$A$1,,,1,COUNTIF(SPLIT(AC174, "":""),""&lt;&gt;"")))))), VALUE(AC174)))"),134.32)</f>
        <v/>
      </c>
      <c r="AE174" s="593" t="n">
        <v>17</v>
      </c>
      <c r="AF174" s="594">
        <f t="array" ref="AF174">1000*(INDEX('Bakat Base Times'!$E:$E,MATCH(1,('Bakat Base Times'!$A:$A=Y174)*('Bakat Base Times'!$B:$B=Z174)*('Bakat Base Times'!$C:$C=AA174),0))/(VALUE(AD174)))^3
</f>
        <v/>
      </c>
      <c r="AG174" s="693" t="n"/>
      <c r="AH174" s="721" t="n"/>
      <c r="AI174" s="721" t="n"/>
      <c r="AJ174" s="688" t="n"/>
      <c r="AK174" s="689" t="n"/>
      <c r="AL174" s="690" t="n"/>
      <c r="AM174" s="691" t="n"/>
      <c r="AN174" s="692" t="n"/>
      <c r="AO174" s="693" t="n"/>
      <c r="AP174" s="693" t="n"/>
      <c r="AQ174" s="693" t="n"/>
      <c r="AR174" s="693" t="n"/>
      <c r="AS174" s="693" t="n"/>
      <c r="AT174" s="693" t="n"/>
      <c r="AU174" s="699" t="n"/>
      <c r="AV174" s="693" t="n"/>
      <c r="AW174" s="693" t="n"/>
      <c r="AX174" s="693" t="n"/>
      <c r="AY174" s="693" t="n"/>
      <c r="AZ174" s="693" t="n"/>
    </row>
    <row r="175">
      <c r="A175" s="651" t="n"/>
      <c r="B175" s="705" t="inlineStr">
        <is>
          <t>M</t>
        </is>
      </c>
      <c r="C175" s="704" t="inlineStr">
        <is>
          <t>400 IM</t>
        </is>
      </c>
      <c r="D175" s="705" t="n">
        <v>13</v>
      </c>
      <c r="E175" s="613" t="inlineStr">
        <is>
          <t>EU JUN LIN</t>
        </is>
      </c>
      <c r="F175" s="701" t="inlineStr">
        <is>
          <t>5:23.06</t>
        </is>
      </c>
      <c r="G17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5" s="464">
        <f>G175/#REF!</f>
        <v/>
      </c>
      <c r="I175" s="695" t="inlineStr">
        <is>
          <t>5:21.63</t>
        </is>
      </c>
      <c r="J17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5" s="464">
        <f>J175/#REF!</f>
        <v/>
      </c>
      <c r="L175" s="704" t="n">
        <v>13</v>
      </c>
      <c r="M175" s="616" t="n">
        <v>15</v>
      </c>
      <c r="N175" s="652">
        <f t="array" ref="N175">1000*(INDEX('Bakat Base Times'!$E:$E,MATCH(1,('Bakat Base Times'!$A:$A=B175)*('Bakat Base Times'!$B:$B=C175)*('Bakat Base Times'!$C:$C=D175),0))/(VALUE(O175)))^3
</f>
        <v/>
      </c>
      <c r="O175" s="609">
        <f>IFERROR(__xludf.DUMMYFUNCTION("IF(ISNUMBER(I175), I175, IF(REGEXMATCH(I175, "":""), SUMPRODUCT(VALUE(SPLIT(I175, "":"")) * (60^(COUNTIF(SPLIT(I175, "":""), ""&lt;&gt;"")-COLUMN(OFFSET('MOT Tables 25'!$A$1,,,1,COUNTIF(SPLIT(I175, "":""),""&lt;&gt;"")))))), VALUE(I175)))"),321.63)</f>
        <v/>
      </c>
      <c r="P175" s="689" t="n"/>
      <c r="Q175" s="689" t="n"/>
      <c r="R175" s="689" t="n"/>
      <c r="S175" s="689" t="n"/>
      <c r="T175" s="689" t="n"/>
      <c r="U175" s="689" t="n"/>
      <c r="V175" s="689" t="n"/>
      <c r="W175" s="689" t="n"/>
      <c r="X175" s="689" t="n"/>
      <c r="Y175" s="618" t="inlineStr">
        <is>
          <t>M</t>
        </is>
      </c>
      <c r="Z175" s="619" t="inlineStr">
        <is>
          <t>400 IM</t>
        </is>
      </c>
      <c r="AA175" s="612" t="n">
        <v>13</v>
      </c>
      <c r="AB175" s="613" t="inlineStr">
        <is>
          <t>EU JUN LIN</t>
        </is>
      </c>
      <c r="AC175" s="695" t="inlineStr">
        <is>
          <t>5:21.63</t>
        </is>
      </c>
      <c r="AD175" s="628">
        <f>IFERROR(__xludf.DUMMYFUNCTION("IF(ISNUMBER(AC175), AC175, IF(REGEXMATCH(AC175, "":""), SUMPRODUCT(VALUE(SPLIT(AC175, "":"")) * (60^(COUNTIF(SPLIT(AC175, "":""), ""&lt;&gt;"")-COLUMN(OFFSET('MOT Tables 25'!$A$1,,,1,COUNTIF(SPLIT(AC175, "":""),""&lt;&gt;"")))))), VALUE(AC175)))"),321.63)</f>
        <v/>
      </c>
      <c r="AE175" s="616" t="n">
        <v>15</v>
      </c>
      <c r="AF175" s="617">
        <f t="array" ref="AF175">1000*(INDEX('Bakat Base Times'!$E:$E,MATCH(1,('Bakat Base Times'!$A:$A=Y175)*('Bakat Base Times'!$B:$B=Z175)*('Bakat Base Times'!$C:$C=AA175),0))/(VALUE(AD175)))^3
</f>
        <v/>
      </c>
      <c r="AG175" s="693" t="n"/>
      <c r="AH175" s="721" t="n"/>
      <c r="AI175" s="721" t="n"/>
      <c r="AJ175" s="688" t="n"/>
      <c r="AK175" s="689" t="n"/>
      <c r="AL175" s="690" t="n"/>
      <c r="AM175" s="691" t="n"/>
      <c r="AN175" s="692" t="n"/>
      <c r="AO175" s="693" t="n"/>
      <c r="AP175" s="693" t="n"/>
      <c r="AQ175" s="693" t="n"/>
      <c r="AR175" s="693" t="n"/>
      <c r="AS175" s="693" t="n"/>
      <c r="AT175" s="693" t="n"/>
      <c r="AU175" s="699" t="n"/>
      <c r="AV175" s="693" t="n"/>
      <c r="AW175" s="693" t="n"/>
      <c r="AX175" s="693" t="n"/>
      <c r="AY175" s="693" t="n"/>
      <c r="AZ175" s="693" t="n"/>
    </row>
    <row r="176">
      <c r="A176" s="654" t="n"/>
      <c r="B176" s="710" t="inlineStr">
        <is>
          <t>F</t>
        </is>
      </c>
      <c r="C176" s="709" t="inlineStr">
        <is>
          <t>200 Back</t>
        </is>
      </c>
      <c r="D176" s="710" t="n">
        <v>15</v>
      </c>
      <c r="E176" s="707" t="inlineStr">
        <is>
          <t>NADIA LIM</t>
        </is>
      </c>
      <c r="F176" s="707" t="inlineStr">
        <is>
          <t>2:30.30</t>
        </is>
      </c>
      <c r="G17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6" s="460">
        <f>G176/#REF!</f>
        <v/>
      </c>
      <c r="I176" s="591" t="inlineStr">
        <is>
          <t>2:30.90</t>
        </is>
      </c>
      <c r="J17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6" s="460">
        <f>J176/#REF!</f>
        <v/>
      </c>
      <c r="L176" s="709" t="n">
        <v>9</v>
      </c>
      <c r="M176" s="593" t="n">
        <v>9</v>
      </c>
      <c r="N176" s="655">
        <f t="array" ref="N176">1000*(INDEX('Bakat Base Times'!$E:$E,MATCH(1,('Bakat Base Times'!$A:$A=B176)*('Bakat Base Times'!$B:$B=C176)*('Bakat Base Times'!$C:$C=D176),0))/(VALUE(O176)))^3
</f>
        <v/>
      </c>
      <c r="O176" s="582">
        <f>IFERROR(__xludf.DUMMYFUNCTION("IF(ISNUMBER(I176), I176, IF(REGEXMATCH(I176, "":""), SUMPRODUCT(VALUE(SPLIT(I176, "":"")) * (60^(COUNTIF(SPLIT(I176, "":""), ""&lt;&gt;"")-COLUMN(OFFSET('MOT Tables 25'!$A$1,,,1,COUNTIF(SPLIT(I176, "":""),""&lt;&gt;"")))))), VALUE(I176)))"),150.9)</f>
        <v/>
      </c>
      <c r="P176" s="689" t="n"/>
      <c r="Q176" s="689" t="n"/>
      <c r="R176" s="689" t="n"/>
      <c r="S176" s="689" t="n"/>
      <c r="T176" s="689" t="n"/>
      <c r="U176" s="689" t="n"/>
      <c r="V176" s="689" t="n"/>
      <c r="W176" s="689" t="n"/>
      <c r="X176" s="689" t="n"/>
      <c r="Y176" s="596" t="inlineStr">
        <is>
          <t>F</t>
        </is>
      </c>
      <c r="Z176" s="597" t="inlineStr">
        <is>
          <t>200 Back</t>
        </is>
      </c>
      <c r="AA176" s="589" t="n">
        <v>15</v>
      </c>
      <c r="AB176" s="707" t="inlineStr">
        <is>
          <t>NADIA LIM</t>
        </is>
      </c>
      <c r="AC176" s="591" t="inlineStr">
        <is>
          <t>2:30.90</t>
        </is>
      </c>
      <c r="AD176" s="592">
        <f>IFERROR(__xludf.DUMMYFUNCTION("IF(ISNUMBER(AC176), AC176, IF(REGEXMATCH(AC176, "":""), SUMPRODUCT(VALUE(SPLIT(AC176, "":"")) * (60^(COUNTIF(SPLIT(AC176, "":""), ""&lt;&gt;"")-COLUMN(OFFSET('MOT Tables 25'!$A$1,,,1,COUNTIF(SPLIT(AC176, "":""),""&lt;&gt;"")))))), VALUE(AC176)))"),150.9)</f>
        <v/>
      </c>
      <c r="AE176" s="593" t="n">
        <v>9</v>
      </c>
      <c r="AF176" s="594">
        <f t="array" ref="AF176">1000*(INDEX('Bakat Base Times'!$E:$E,MATCH(1,('Bakat Base Times'!$A:$A=Y176)*('Bakat Base Times'!$B:$B=Z176)*('Bakat Base Times'!$C:$C=AA176),0))/(VALUE(AD176)))^3
</f>
        <v/>
      </c>
      <c r="AG176" s="693" t="n"/>
      <c r="AH176" s="721" t="n"/>
      <c r="AI176" s="721" t="n"/>
      <c r="AJ176" s="688" t="n"/>
      <c r="AK176" s="689" t="n"/>
      <c r="AL176" s="690" t="n"/>
      <c r="AM176" s="691" t="n"/>
      <c r="AN176" s="692" t="n"/>
      <c r="AO176" s="693" t="n"/>
      <c r="AP176" s="693" t="n"/>
      <c r="AQ176" s="693" t="n"/>
      <c r="AR176" s="693" t="n"/>
      <c r="AS176" s="693" t="n"/>
      <c r="AT176" s="693" t="n"/>
      <c r="AU176" s="699" t="n"/>
      <c r="AV176" s="693" t="n"/>
      <c r="AW176" s="693" t="n"/>
      <c r="AX176" s="693" t="n"/>
      <c r="AY176" s="693" t="n"/>
      <c r="AZ176" s="693" t="n"/>
    </row>
    <row r="177">
      <c r="A177" s="651" t="n"/>
      <c r="B177" s="705" t="inlineStr">
        <is>
          <t>M</t>
        </is>
      </c>
      <c r="C177" s="704" t="inlineStr">
        <is>
          <t>200 Back</t>
        </is>
      </c>
      <c r="D177" s="705" t="n">
        <v>14</v>
      </c>
      <c r="E177" s="613" t="inlineStr">
        <is>
          <t>HERMANN TANG BOK YU</t>
        </is>
      </c>
      <c r="F177" s="701" t="inlineStr">
        <is>
          <t>2:19.52</t>
        </is>
      </c>
      <c r="G17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7" s="464">
        <f>G177/#REF!</f>
        <v/>
      </c>
      <c r="I177" s="614" t="inlineStr">
        <is>
          <t>2:24.18</t>
        </is>
      </c>
      <c r="J17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7" s="464">
        <f>J177/#REF!</f>
        <v/>
      </c>
      <c r="L177" s="704" t="n">
        <v>10</v>
      </c>
      <c r="M177" s="616" t="n">
        <v>13</v>
      </c>
      <c r="N177" s="652">
        <f t="array" ref="N177">1000*(INDEX('Bakat Base Times'!$E:$E,MATCH(1,('Bakat Base Times'!$A:$A=B177)*('Bakat Base Times'!$B:$B=C177)*('Bakat Base Times'!$C:$C=D177),0))/(VALUE(O177)))^3
</f>
        <v/>
      </c>
      <c r="O177" s="609">
        <f>IFERROR(__xludf.DUMMYFUNCTION("IF(ISNUMBER(I177), I177, IF(REGEXMATCH(I177, "":""), SUMPRODUCT(VALUE(SPLIT(I177, "":"")) * (60^(COUNTIF(SPLIT(I177, "":""), ""&lt;&gt;"")-COLUMN(OFFSET('MOT Tables 25'!$A$1,,,1,COUNTIF(SPLIT(I177, "":""),""&lt;&gt;"")))))), VALUE(I177)))"),144.18)</f>
        <v/>
      </c>
      <c r="P177" s="689" t="n"/>
      <c r="Q177" s="689" t="n"/>
      <c r="R177" s="689" t="n"/>
      <c r="S177" s="689" t="n"/>
      <c r="T177" s="689" t="n"/>
      <c r="U177" s="689" t="n"/>
      <c r="V177" s="689" t="n"/>
      <c r="W177" s="689" t="n"/>
      <c r="X177" s="689" t="n"/>
      <c r="Y177" s="618" t="inlineStr">
        <is>
          <t>M</t>
        </is>
      </c>
      <c r="Z177" s="619" t="inlineStr">
        <is>
          <t>200 Back</t>
        </is>
      </c>
      <c r="AA177" s="612" t="n">
        <v>14</v>
      </c>
      <c r="AB177" s="613" t="inlineStr">
        <is>
          <t>HERMANN TANG BOK YU</t>
        </is>
      </c>
      <c r="AC177" s="614" t="inlineStr">
        <is>
          <t>2:24.18</t>
        </is>
      </c>
      <c r="AD177" s="628">
        <f>IFERROR(__xludf.DUMMYFUNCTION("IF(ISNUMBER(AC177), AC177, IF(REGEXMATCH(AC177, "":""), SUMPRODUCT(VALUE(SPLIT(AC177, "":"")) * (60^(COUNTIF(SPLIT(AC177, "":""), ""&lt;&gt;"")-COLUMN(OFFSET('MOT Tables 25'!$A$1,,,1,COUNTIF(SPLIT(AC177, "":""),""&lt;&gt;"")))))), VALUE(AC177)))"),144.18)</f>
        <v/>
      </c>
      <c r="AE177" s="616" t="n">
        <v>13</v>
      </c>
      <c r="AF177" s="617">
        <f t="array" ref="AF177">1000*(INDEX('Bakat Base Times'!$E:$E,MATCH(1,('Bakat Base Times'!$A:$A=Y177)*('Bakat Base Times'!$B:$B=Z177)*('Bakat Base Times'!$C:$C=AA177),0))/(VALUE(AD177)))^3
</f>
        <v/>
      </c>
      <c r="AG177" s="693" t="n"/>
      <c r="AH177" s="721" t="n"/>
      <c r="AI177" s="721" t="n"/>
      <c r="AJ177" s="688" t="n"/>
      <c r="AK177" s="689" t="n"/>
      <c r="AL177" s="690" t="n"/>
      <c r="AM177" s="691" t="n"/>
      <c r="AN177" s="692" t="n"/>
      <c r="AO177" s="693" t="n"/>
      <c r="AP177" s="693" t="n"/>
      <c r="AQ177" s="693" t="n"/>
      <c r="AR177" s="693" t="n"/>
      <c r="AS177" s="693" t="n"/>
      <c r="AT177" s="693" t="n"/>
      <c r="AU177" s="699" t="n"/>
      <c r="AV177" s="693" t="n"/>
      <c r="AW177" s="693" t="n"/>
      <c r="AX177" s="693" t="n"/>
      <c r="AY177" s="693" t="n"/>
      <c r="AZ177" s="693" t="n"/>
    </row>
    <row r="178">
      <c r="A178" s="654" t="n"/>
      <c r="B178" s="710" t="inlineStr">
        <is>
          <t>M</t>
        </is>
      </c>
      <c r="C178" s="709" t="inlineStr">
        <is>
          <t>100 Back</t>
        </is>
      </c>
      <c r="D178" s="710" t="n">
        <v>15</v>
      </c>
      <c r="E178" s="590" t="inlineStr">
        <is>
          <t>LIM CHEE WAI</t>
        </is>
      </c>
      <c r="F178" s="707" t="inlineStr">
        <is>
          <t>1:02.71</t>
        </is>
      </c>
      <c r="G17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8" s="460">
        <f>G178/#REF!</f>
        <v/>
      </c>
      <c r="I178" s="591" t="inlineStr">
        <is>
          <t>1:04.80</t>
        </is>
      </c>
      <c r="J17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8" s="460">
        <f>J178/#REF!</f>
        <v/>
      </c>
      <c r="L178" s="709" t="n">
        <v>6</v>
      </c>
      <c r="M178" s="593" t="n">
        <v>11</v>
      </c>
      <c r="N178" s="655">
        <f t="array" ref="N178">1000*(INDEX('Bakat Base Times'!$E:$E,MATCH(1,('Bakat Base Times'!$A:$A=B178)*('Bakat Base Times'!$B:$B=C178)*('Bakat Base Times'!$C:$C=D178),0))/(VALUE(O178)))^3
</f>
        <v/>
      </c>
      <c r="O178" s="582">
        <f>IFERROR(__xludf.DUMMYFUNCTION("IF(ISNUMBER(I178), I178, IF(REGEXMATCH(I178, "":""), SUMPRODUCT(VALUE(SPLIT(I178, "":"")) * (60^(COUNTIF(SPLIT(I178, "":""), ""&lt;&gt;"")-COLUMN(OFFSET('MOT Tables 25'!$A$1,,,1,COUNTIF(SPLIT(I178, "":""),""&lt;&gt;"")))))), VALUE(I178)))"),64.8)</f>
        <v/>
      </c>
      <c r="P178" s="689" t="n"/>
      <c r="Q178" s="689" t="n"/>
      <c r="R178" s="689" t="n"/>
      <c r="S178" s="689" t="n"/>
      <c r="T178" s="689" t="n"/>
      <c r="U178" s="689" t="n"/>
      <c r="V178" s="689" t="n"/>
      <c r="W178" s="689" t="n"/>
      <c r="X178" s="689" t="n"/>
      <c r="Y178" s="596" t="inlineStr">
        <is>
          <t>M</t>
        </is>
      </c>
      <c r="Z178" s="597" t="inlineStr">
        <is>
          <t>100 Back</t>
        </is>
      </c>
      <c r="AA178" s="589" t="n">
        <v>15</v>
      </c>
      <c r="AB178" s="590" t="inlineStr">
        <is>
          <t>LIM CHEE WAI</t>
        </is>
      </c>
      <c r="AC178" s="591" t="inlineStr">
        <is>
          <t>1:04.80</t>
        </is>
      </c>
      <c r="AD178" s="592">
        <f>IFERROR(__xludf.DUMMYFUNCTION("IF(ISNUMBER(AC178), AC178, IF(REGEXMATCH(AC178, "":""), SUMPRODUCT(VALUE(SPLIT(AC178, "":"")) * (60^(COUNTIF(SPLIT(AC178, "":""), ""&lt;&gt;"")-COLUMN(OFFSET('MOT Tables 25'!$A$1,,,1,COUNTIF(SPLIT(AC178, "":""),""&lt;&gt;"")))))), VALUE(AC178)))"),64.8)</f>
        <v/>
      </c>
      <c r="AE178" s="593" t="n">
        <v>11</v>
      </c>
      <c r="AF178" s="594">
        <f t="array" ref="AF178">1000*(INDEX('Bakat Base Times'!$E:$E,MATCH(1,('Bakat Base Times'!$A:$A=Y178)*('Bakat Base Times'!$B:$B=Z178)*('Bakat Base Times'!$C:$C=AA178),0))/(VALUE(AD178)))^3
</f>
        <v/>
      </c>
      <c r="AG178" s="693" t="n"/>
      <c r="AH178" s="721" t="n"/>
      <c r="AI178" s="721" t="n"/>
      <c r="AJ178" s="688" t="n"/>
      <c r="AK178" s="689" t="n"/>
      <c r="AL178" s="690" t="n"/>
      <c r="AM178" s="691" t="n"/>
      <c r="AN178" s="692" t="n"/>
      <c r="AO178" s="693" t="n"/>
      <c r="AP178" s="693" t="n"/>
      <c r="AQ178" s="693" t="n"/>
      <c r="AR178" s="693" t="n"/>
      <c r="AS178" s="693" t="n"/>
      <c r="AT178" s="693" t="n"/>
      <c r="AU178" s="699" t="n"/>
      <c r="AV178" s="693" t="n"/>
      <c r="AW178" s="693" t="n"/>
      <c r="AX178" s="693" t="n"/>
      <c r="AY178" s="693" t="n"/>
      <c r="AZ178" s="693" t="n"/>
    </row>
    <row r="179">
      <c r="A179" s="651" t="n"/>
      <c r="B179" s="705" t="inlineStr">
        <is>
          <t>M</t>
        </is>
      </c>
      <c r="C179" s="704" t="inlineStr">
        <is>
          <t>400 IM</t>
        </is>
      </c>
      <c r="D179" s="705" t="n">
        <v>17</v>
      </c>
      <c r="E179" s="613" t="inlineStr">
        <is>
          <t>SOPHOCLES NG XINXIAN</t>
        </is>
      </c>
      <c r="F179" s="701" t="inlineStr">
        <is>
          <t>4:51.44</t>
        </is>
      </c>
      <c r="G17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79" s="464">
        <f>G179/#REF!</f>
        <v/>
      </c>
      <c r="I179" s="614" t="inlineStr">
        <is>
          <t>4:55.99</t>
        </is>
      </c>
      <c r="J17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79" s="464">
        <f>J179/#REF!</f>
        <v/>
      </c>
      <c r="L179" s="704" t="n">
        <v>13</v>
      </c>
      <c r="M179" s="616" t="n">
        <v>13</v>
      </c>
      <c r="N179" s="652">
        <f t="array" ref="N179">1000*(INDEX('Bakat Base Times'!$E:$E,MATCH(1,('Bakat Base Times'!$A:$A=B179)*('Bakat Base Times'!$B:$B=C179)*('Bakat Base Times'!$C:$C=D179),0))/(VALUE(O179)))^3
</f>
        <v/>
      </c>
      <c r="O179" s="609">
        <f>IFERROR(__xludf.DUMMYFUNCTION("IF(ISNUMBER(I179), I179, IF(REGEXMATCH(I179, "":""), SUMPRODUCT(VALUE(SPLIT(I179, "":"")) * (60^(COUNTIF(SPLIT(I179, "":""), ""&lt;&gt;"")-COLUMN(OFFSET('MOT Tables 25'!$A$1,,,1,COUNTIF(SPLIT(I179, "":""),""&lt;&gt;"")))))), VALUE(I179)))"),295.99)</f>
        <v/>
      </c>
      <c r="P179" s="689" t="n"/>
      <c r="Q179" s="689" t="n"/>
      <c r="R179" s="689" t="n"/>
      <c r="S179" s="689" t="n"/>
      <c r="T179" s="689" t="n"/>
      <c r="U179" s="689" t="n"/>
      <c r="V179" s="689" t="n"/>
      <c r="W179" s="689" t="n"/>
      <c r="X179" s="689" t="n"/>
      <c r="Y179" s="618" t="inlineStr">
        <is>
          <t>M</t>
        </is>
      </c>
      <c r="Z179" s="619" t="inlineStr">
        <is>
          <t>400 IM</t>
        </is>
      </c>
      <c r="AA179" s="612" t="n">
        <v>17</v>
      </c>
      <c r="AB179" s="613" t="inlineStr">
        <is>
          <t>SOPHOCLES NG XINXIAN</t>
        </is>
      </c>
      <c r="AC179" s="614" t="inlineStr">
        <is>
          <t>4:55.99</t>
        </is>
      </c>
      <c r="AD179" s="628">
        <f>IFERROR(__xludf.DUMMYFUNCTION("IF(ISNUMBER(AC179), AC179, IF(REGEXMATCH(AC179, "":""), SUMPRODUCT(VALUE(SPLIT(AC179, "":"")) * (60^(COUNTIF(SPLIT(AC179, "":""), ""&lt;&gt;"")-COLUMN(OFFSET('MOT Tables 25'!$A$1,,,1,COUNTIF(SPLIT(AC179, "":""),""&lt;&gt;"")))))), VALUE(AC179)))"),295.99)</f>
        <v/>
      </c>
      <c r="AE179" s="616" t="n">
        <v>13</v>
      </c>
      <c r="AF179" s="617">
        <f t="array" ref="AF179">1000*(INDEX('Bakat Base Times'!$E:$E,MATCH(1,('Bakat Base Times'!$A:$A=Y179)*('Bakat Base Times'!$B:$B=Z179)*('Bakat Base Times'!$C:$C=AA179),0))/(VALUE(AD179)))^3
</f>
        <v/>
      </c>
      <c r="AG179" s="693" t="n"/>
      <c r="AH179" s="721" t="n"/>
      <c r="AI179" s="721" t="n"/>
      <c r="AJ179" s="688" t="n"/>
      <c r="AK179" s="689" t="n"/>
      <c r="AL179" s="690" t="n"/>
      <c r="AM179" s="691" t="n"/>
      <c r="AN179" s="692" t="n"/>
      <c r="AO179" s="693" t="n"/>
      <c r="AP179" s="693" t="n"/>
      <c r="AQ179" s="693" t="n"/>
      <c r="AR179" s="693" t="n"/>
      <c r="AS179" s="693" t="n"/>
      <c r="AT179" s="693" t="n"/>
      <c r="AU179" s="699" t="n"/>
      <c r="AV179" s="693" t="n"/>
      <c r="AW179" s="693" t="n"/>
      <c r="AX179" s="693" t="n"/>
      <c r="AY179" s="693" t="n"/>
      <c r="AZ179" s="693" t="n"/>
    </row>
    <row r="180">
      <c r="A180" s="654" t="n"/>
      <c r="B180" s="710" t="inlineStr">
        <is>
          <t>F</t>
        </is>
      </c>
      <c r="C180" s="709" t="inlineStr">
        <is>
          <t>400 Free</t>
        </is>
      </c>
      <c r="D180" s="710" t="n">
        <v>16</v>
      </c>
      <c r="E180" s="590" t="inlineStr">
        <is>
          <t>LAURA LEE YEN NIE</t>
        </is>
      </c>
      <c r="F180" s="707" t="inlineStr">
        <is>
          <t>4:45.96</t>
        </is>
      </c>
      <c r="G180"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0" s="460">
        <f>G180/#REF!</f>
        <v/>
      </c>
      <c r="I180" s="661" t="inlineStr">
        <is>
          <t>4:44.24</t>
        </is>
      </c>
      <c r="J180"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0" s="460">
        <f>J180/#REF!</f>
        <v/>
      </c>
      <c r="L180" s="709" t="n">
        <v>12</v>
      </c>
      <c r="M180" s="593" t="n">
        <v>10</v>
      </c>
      <c r="N180" s="655">
        <f t="array" ref="N180">1000*(INDEX('Bakat Base Times'!$E:$E,MATCH(1,('Bakat Base Times'!$A:$A=B180)*('Bakat Base Times'!$B:$B=C180)*('Bakat Base Times'!$C:$C=D180),0))/(VALUE(O180)))^3
</f>
        <v/>
      </c>
      <c r="O180" s="582">
        <f>IFERROR(__xludf.DUMMYFUNCTION("IF(ISNUMBER(I180), I180, IF(REGEXMATCH(I180, "":""), SUMPRODUCT(VALUE(SPLIT(I180, "":"")) * (60^(COUNTIF(SPLIT(I180, "":""), ""&lt;&gt;"")-COLUMN(OFFSET('MOT Tables 25'!$A$1,,,1,COUNTIF(SPLIT(I180, "":""),""&lt;&gt;"")))))), VALUE(I180)))"),284.24)</f>
        <v/>
      </c>
      <c r="P180" s="689" t="n"/>
      <c r="Q180" s="689" t="n"/>
      <c r="R180" s="689" t="n"/>
      <c r="S180" s="689" t="n"/>
      <c r="T180" s="689" t="n"/>
      <c r="U180" s="689" t="n"/>
      <c r="V180" s="689" t="n"/>
      <c r="W180" s="689" t="n"/>
      <c r="X180" s="689" t="n"/>
      <c r="Y180" s="596" t="inlineStr">
        <is>
          <t>F</t>
        </is>
      </c>
      <c r="Z180" s="597" t="inlineStr">
        <is>
          <t>400 Free</t>
        </is>
      </c>
      <c r="AA180" s="589" t="n">
        <v>16</v>
      </c>
      <c r="AB180" s="590" t="inlineStr">
        <is>
          <t>LAURA LEE YEN NIE</t>
        </is>
      </c>
      <c r="AC180" s="661" t="inlineStr">
        <is>
          <t>4:44.24</t>
        </is>
      </c>
      <c r="AD180" s="592">
        <f>IFERROR(__xludf.DUMMYFUNCTION("IF(ISNUMBER(AC180), AC180, IF(REGEXMATCH(AC180, "":""), SUMPRODUCT(VALUE(SPLIT(AC180, "":"")) * (60^(COUNTIF(SPLIT(AC180, "":""), ""&lt;&gt;"")-COLUMN(OFFSET('MOT Tables 25'!$A$1,,,1,COUNTIF(SPLIT(AC180, "":""),""&lt;&gt;"")))))), VALUE(AC180)))"),284.24)</f>
        <v/>
      </c>
      <c r="AE180" s="593" t="n">
        <v>10</v>
      </c>
      <c r="AF180" s="594">
        <f t="array" ref="AF180">1000*(INDEX('Bakat Base Times'!$E:$E,MATCH(1,('Bakat Base Times'!$A:$A=Y180)*('Bakat Base Times'!$B:$B=Z180)*('Bakat Base Times'!$C:$C=AA180),0))/(VALUE(AD180)))^3
</f>
        <v/>
      </c>
      <c r="AG180" s="693" t="n"/>
      <c r="AH180" s="721" t="n"/>
      <c r="AI180" s="721" t="n"/>
      <c r="AJ180" s="688" t="n"/>
      <c r="AK180" s="689" t="n"/>
      <c r="AL180" s="690" t="n"/>
      <c r="AM180" s="691" t="n"/>
      <c r="AN180" s="692" t="n"/>
      <c r="AO180" s="693" t="n"/>
      <c r="AP180" s="693" t="n"/>
      <c r="AQ180" s="693" t="n"/>
      <c r="AR180" s="693" t="n"/>
      <c r="AS180" s="693" t="n"/>
      <c r="AT180" s="693" t="n"/>
      <c r="AU180" s="699" t="n"/>
      <c r="AV180" s="693" t="n"/>
      <c r="AW180" s="693" t="n"/>
      <c r="AX180" s="693" t="n"/>
      <c r="AY180" s="693" t="n"/>
      <c r="AZ180" s="693" t="n"/>
    </row>
    <row r="181">
      <c r="A181" s="651" t="n"/>
      <c r="B181" s="705" t="inlineStr">
        <is>
          <t>M</t>
        </is>
      </c>
      <c r="C181" s="704" t="inlineStr">
        <is>
          <t>200 Breast</t>
        </is>
      </c>
      <c r="D181" s="705" t="n">
        <v>15</v>
      </c>
      <c r="E181" s="613" t="inlineStr">
        <is>
          <t>RYAN LIAW CHEE HENG</t>
        </is>
      </c>
      <c r="F181" s="701" t="inlineStr">
        <is>
          <t>2:32.71</t>
        </is>
      </c>
      <c r="G18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1" s="464">
        <f>G181/#REF!</f>
        <v/>
      </c>
      <c r="I181" s="614" t="inlineStr">
        <is>
          <t>2:37.98</t>
        </is>
      </c>
      <c r="J18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1" s="464">
        <f>J181/#REF!</f>
        <v/>
      </c>
      <c r="L181" s="704" t="n">
        <v>13</v>
      </c>
      <c r="M181" s="616" t="n">
        <v>12</v>
      </c>
      <c r="N181" s="652">
        <f t="array" ref="N181">1000*(INDEX('Bakat Base Times'!$E:$E,MATCH(1,('Bakat Base Times'!$A:$A=B181)*('Bakat Base Times'!$B:$B=C181)*('Bakat Base Times'!$C:$C=D181),0))/(VALUE(O181)))^3
</f>
        <v/>
      </c>
      <c r="O181" s="609">
        <f>IFERROR(__xludf.DUMMYFUNCTION("IF(ISNUMBER(I181), I181, IF(REGEXMATCH(I181, "":""), SUMPRODUCT(VALUE(SPLIT(I181, "":"")) * (60^(COUNTIF(SPLIT(I181, "":""), ""&lt;&gt;"")-COLUMN(OFFSET('MOT Tables 25'!$A$1,,,1,COUNTIF(SPLIT(I181, "":""),""&lt;&gt;"")))))), VALUE(I181)))"),157.98)</f>
        <v/>
      </c>
      <c r="P181" s="689" t="n"/>
      <c r="Q181" s="689" t="n"/>
      <c r="R181" s="689" t="n"/>
      <c r="S181" s="689" t="n"/>
      <c r="T181" s="689" t="n"/>
      <c r="U181" s="689" t="n"/>
      <c r="V181" s="689" t="n"/>
      <c r="W181" s="689" t="n"/>
      <c r="X181" s="689" t="n"/>
      <c r="Y181" s="618" t="inlineStr">
        <is>
          <t>M</t>
        </is>
      </c>
      <c r="Z181" s="619" t="inlineStr">
        <is>
          <t>200 Breast</t>
        </is>
      </c>
      <c r="AA181" s="612" t="n">
        <v>15</v>
      </c>
      <c r="AB181" s="613" t="inlineStr">
        <is>
          <t>RYAN LIAW CHEE HENG</t>
        </is>
      </c>
      <c r="AC181" s="614" t="inlineStr">
        <is>
          <t>2:37.98</t>
        </is>
      </c>
      <c r="AD181" s="628">
        <f>IFERROR(__xludf.DUMMYFUNCTION("IF(ISNUMBER(AC181), AC181, IF(REGEXMATCH(AC181, "":""), SUMPRODUCT(VALUE(SPLIT(AC181, "":"")) * (60^(COUNTIF(SPLIT(AC181, "":""), ""&lt;&gt;"")-COLUMN(OFFSET('MOT Tables 25'!$A$1,,,1,COUNTIF(SPLIT(AC181, "":""),""&lt;&gt;"")))))), VALUE(AC181)))"),157.98)</f>
        <v/>
      </c>
      <c r="AE181" s="616" t="n">
        <v>12</v>
      </c>
      <c r="AF181" s="617">
        <f t="array" ref="AF181">1000*(INDEX('Bakat Base Times'!$E:$E,MATCH(1,('Bakat Base Times'!$A:$A=Y181)*('Bakat Base Times'!$B:$B=Z181)*('Bakat Base Times'!$C:$C=AA181),0))/(VALUE(AD181)))^3
</f>
        <v/>
      </c>
      <c r="AG181" s="693" t="n"/>
      <c r="AH181" s="721" t="n"/>
      <c r="AI181" s="721" t="n"/>
      <c r="AJ181" s="688" t="n"/>
      <c r="AK181" s="689" t="n"/>
      <c r="AL181" s="690" t="n"/>
      <c r="AM181" s="691" t="n"/>
      <c r="AN181" s="692" t="n"/>
      <c r="AO181" s="693" t="n"/>
      <c r="AP181" s="693" t="n"/>
      <c r="AQ181" s="693" t="n"/>
      <c r="AR181" s="693" t="n"/>
      <c r="AS181" s="693" t="n"/>
      <c r="AT181" s="693" t="n"/>
      <c r="AU181" s="699" t="n"/>
      <c r="AV181" s="693" t="n"/>
      <c r="AW181" s="693" t="n"/>
      <c r="AX181" s="693" t="n"/>
      <c r="AY181" s="693" t="n"/>
      <c r="AZ181" s="693" t="n"/>
    </row>
    <row r="182">
      <c r="A182" s="654" t="n"/>
      <c r="B182" s="710" t="inlineStr">
        <is>
          <t>F</t>
        </is>
      </c>
      <c r="C182" s="709" t="inlineStr">
        <is>
          <t>200 Back</t>
        </is>
      </c>
      <c r="D182" s="710" t="n">
        <v>17</v>
      </c>
      <c r="E182" s="590" t="inlineStr">
        <is>
          <t>RAINNE FOO JIE XIN</t>
        </is>
      </c>
      <c r="F182" s="707" t="inlineStr">
        <is>
          <t>2:27.07</t>
        </is>
      </c>
      <c r="G18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2" s="460">
        <f>G182/#REF!</f>
        <v/>
      </c>
      <c r="I182" s="591" t="inlineStr">
        <is>
          <t>2:29.29</t>
        </is>
      </c>
      <c r="J18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2" s="460">
        <f>J182/#REF!</f>
        <v/>
      </c>
      <c r="L182" s="709" t="n">
        <v>7</v>
      </c>
      <c r="M182" s="593" t="n">
        <v>7</v>
      </c>
      <c r="N182" s="655">
        <f t="array" ref="N182">1000*(INDEX('Bakat Base Times'!$E:$E,MATCH(1,('Bakat Base Times'!$A:$A=B182)*('Bakat Base Times'!$B:$B=C182)*('Bakat Base Times'!$C:$C=D182),0))/(VALUE(O182)))^3
</f>
        <v/>
      </c>
      <c r="O182" s="582">
        <f>IFERROR(__xludf.DUMMYFUNCTION("IF(ISNUMBER(I182), I182, IF(REGEXMATCH(I182, "":""), SUMPRODUCT(VALUE(SPLIT(I182, "":"")) * (60^(COUNTIF(SPLIT(I182, "":""), ""&lt;&gt;"")-COLUMN(OFFSET('MOT Tables 25'!$A$1,,,1,COUNTIF(SPLIT(I182, "":""),""&lt;&gt;"")))))), VALUE(I182)))"),149.29)</f>
        <v/>
      </c>
      <c r="P182" s="689" t="n"/>
      <c r="Q182" s="689" t="n"/>
      <c r="R182" s="689" t="n"/>
      <c r="S182" s="689" t="n"/>
      <c r="T182" s="689" t="n"/>
      <c r="U182" s="689" t="n"/>
      <c r="V182" s="689" t="n"/>
      <c r="W182" s="689" t="n"/>
      <c r="X182" s="689" t="n"/>
      <c r="Y182" s="596" t="inlineStr">
        <is>
          <t>F</t>
        </is>
      </c>
      <c r="Z182" s="597" t="inlineStr">
        <is>
          <t>200 Back</t>
        </is>
      </c>
      <c r="AA182" s="589" t="n">
        <v>17</v>
      </c>
      <c r="AB182" s="590" t="inlineStr">
        <is>
          <t>RAINNE FOO JIE XIN</t>
        </is>
      </c>
      <c r="AC182" s="591" t="inlineStr">
        <is>
          <t>2:29.29</t>
        </is>
      </c>
      <c r="AD182" s="592">
        <f>IFERROR(__xludf.DUMMYFUNCTION("IF(ISNUMBER(AC182), AC182, IF(REGEXMATCH(AC182, "":""), SUMPRODUCT(VALUE(SPLIT(AC182, "":"")) * (60^(COUNTIF(SPLIT(AC182, "":""), ""&lt;&gt;"")-COLUMN(OFFSET('MOT Tables 25'!$A$1,,,1,COUNTIF(SPLIT(AC182, "":""),""&lt;&gt;"")))))), VALUE(AC182)))"),149.29)</f>
        <v/>
      </c>
      <c r="AE182" s="593" t="n">
        <v>7</v>
      </c>
      <c r="AF182" s="594">
        <f t="array" ref="AF182">1000*(INDEX('Bakat Base Times'!$E:$E,MATCH(1,('Bakat Base Times'!$A:$A=Y182)*('Bakat Base Times'!$B:$B=Z182)*('Bakat Base Times'!$C:$C=AA182),0))/(VALUE(AD182)))^3
</f>
        <v/>
      </c>
      <c r="AG182" s="693" t="n"/>
      <c r="AH182" s="721" t="n"/>
      <c r="AI182" s="721" t="n"/>
      <c r="AJ182" s="688" t="n"/>
      <c r="AK182" s="689" t="n"/>
      <c r="AL182" s="690" t="n"/>
      <c r="AM182" s="691" t="n"/>
      <c r="AN182" s="692" t="n"/>
      <c r="AO182" s="693" t="n"/>
      <c r="AP182" s="693" t="n"/>
      <c r="AQ182" s="693" t="n"/>
      <c r="AR182" s="693" t="n"/>
      <c r="AS182" s="693" t="n"/>
      <c r="AT182" s="693" t="n"/>
      <c r="AU182" s="699" t="n"/>
      <c r="AV182" s="693" t="n"/>
      <c r="AW182" s="693" t="n"/>
      <c r="AX182" s="693" t="n"/>
      <c r="AY182" s="693" t="n"/>
      <c r="AZ182" s="693" t="n"/>
    </row>
    <row r="183">
      <c r="A183" s="651" t="n"/>
      <c r="B183" s="705" t="inlineStr">
        <is>
          <t>M</t>
        </is>
      </c>
      <c r="C183" s="704" t="inlineStr">
        <is>
          <t>1500 Free</t>
        </is>
      </c>
      <c r="D183" s="705" t="n">
        <v>14</v>
      </c>
      <c r="E183" s="613" t="inlineStr">
        <is>
          <t>BRYSTON LEE KHAI CHENG</t>
        </is>
      </c>
      <c r="F183" s="701" t="inlineStr">
        <is>
          <t>17:34.74</t>
        </is>
      </c>
      <c r="G18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3" s="464">
        <f>G183/#REF!</f>
        <v/>
      </c>
      <c r="I183" s="696" t="inlineStr">
        <is>
          <t>18:15.75</t>
        </is>
      </c>
      <c r="J18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3" s="464">
        <f>J183/#REF!</f>
        <v/>
      </c>
      <c r="L183" s="704" t="n">
        <v>11</v>
      </c>
      <c r="M183" s="616" t="n">
        <v>10</v>
      </c>
      <c r="N183" s="652">
        <f t="array" ref="N183">1000*(INDEX('Bakat Base Times'!$E:$E,MATCH(1,('Bakat Base Times'!$A:$A=B183)*('Bakat Base Times'!$B:$B=C183)*('Bakat Base Times'!$C:$C=D183),0))/(VALUE(O183)))^3
</f>
        <v/>
      </c>
      <c r="O183" s="609">
        <f>IFERROR(__xludf.DUMMYFUNCTION("IF(ISNUMBER(I183), I183, IF(REGEXMATCH(I183, "":""), SUMPRODUCT(VALUE(SPLIT(I183, "":"")) * (60^(COUNTIF(SPLIT(I183, "":""), ""&lt;&gt;"")-COLUMN(OFFSET('MOT Tables 25'!$A$1,,,1,COUNTIF(SPLIT(I183, "":""),""&lt;&gt;"")))))), VALUE(I183)))"),1095.75)</f>
        <v/>
      </c>
      <c r="P183" s="689" t="n"/>
      <c r="Q183" s="689" t="n"/>
      <c r="R183" s="689" t="n"/>
      <c r="S183" s="689" t="n"/>
      <c r="T183" s="689" t="n"/>
      <c r="U183" s="689" t="n"/>
      <c r="V183" s="689" t="n"/>
      <c r="W183" s="689" t="n"/>
      <c r="X183" s="689" t="n"/>
      <c r="Y183" s="618" t="inlineStr">
        <is>
          <t>M</t>
        </is>
      </c>
      <c r="Z183" s="619" t="inlineStr">
        <is>
          <t>1500 Free</t>
        </is>
      </c>
      <c r="AA183" s="612" t="n">
        <v>14</v>
      </c>
      <c r="AB183" s="613" t="inlineStr">
        <is>
          <t>BRYSTON LEE KHAI CHENG</t>
        </is>
      </c>
      <c r="AC183" s="696" t="inlineStr">
        <is>
          <t>18:15.75</t>
        </is>
      </c>
      <c r="AD183" s="628">
        <f>IFERROR(__xludf.DUMMYFUNCTION("IF(ISNUMBER(AC183), AC183, IF(REGEXMATCH(AC183, "":""), SUMPRODUCT(VALUE(SPLIT(AC183, "":"")) * (60^(COUNTIF(SPLIT(AC183, "":""), ""&lt;&gt;"")-COLUMN(OFFSET('MOT Tables 25'!$A$1,,,1,COUNTIF(SPLIT(AC183, "":""),""&lt;&gt;"")))))), VALUE(AC183)))"),1095.75)</f>
        <v/>
      </c>
      <c r="AE183" s="616" t="n">
        <v>10</v>
      </c>
      <c r="AF183" s="617">
        <f t="array" ref="AF183">1000*(INDEX('Bakat Base Times'!$E:$E,MATCH(1,('Bakat Base Times'!$A:$A=Y183)*('Bakat Base Times'!$B:$B=Z183)*('Bakat Base Times'!$C:$C=AA183),0))/(VALUE(AD183)))^3
</f>
        <v/>
      </c>
      <c r="AG183" s="693" t="n"/>
      <c r="AH183" s="721" t="n"/>
      <c r="AI183" s="721" t="n"/>
      <c r="AJ183" s="688" t="n"/>
      <c r="AK183" s="689" t="n"/>
      <c r="AL183" s="690" t="n"/>
      <c r="AM183" s="691" t="n"/>
      <c r="AN183" s="692" t="n"/>
      <c r="AO183" s="693" t="n"/>
      <c r="AP183" s="693" t="n"/>
      <c r="AQ183" s="693" t="n"/>
      <c r="AR183" s="693" t="n"/>
      <c r="AS183" s="693" t="n"/>
      <c r="AT183" s="693" t="n"/>
      <c r="AU183" s="699" t="n"/>
      <c r="AV183" s="693" t="n"/>
      <c r="AW183" s="693" t="n"/>
      <c r="AX183" s="693" t="n"/>
      <c r="AY183" s="693" t="n"/>
      <c r="AZ183" s="693" t="n"/>
    </row>
    <row r="184">
      <c r="A184" s="654" t="n"/>
      <c r="B184" s="710" t="inlineStr">
        <is>
          <t>M</t>
        </is>
      </c>
      <c r="C184" s="709" t="inlineStr">
        <is>
          <t>100 Back</t>
        </is>
      </c>
      <c r="D184" s="710" t="n">
        <v>17</v>
      </c>
      <c r="E184" s="590" t="inlineStr">
        <is>
          <t>LAI BO ZHENG</t>
        </is>
      </c>
      <c r="F184" s="707" t="inlineStr">
        <is>
          <t>1:01.80</t>
        </is>
      </c>
      <c r="G18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4" s="460">
        <f>G184/#REF!</f>
        <v/>
      </c>
      <c r="I184" s="591" t="inlineStr">
        <is>
          <t>1:03.24</t>
        </is>
      </c>
      <c r="J18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4" s="460">
        <f>J184/#REF!</f>
        <v/>
      </c>
      <c r="L184" s="709" t="n">
        <v>12</v>
      </c>
      <c r="M184" s="593" t="n">
        <v>13</v>
      </c>
      <c r="N184" s="655">
        <f t="array" ref="N184">1000*(INDEX('Bakat Base Times'!$E:$E,MATCH(1,('Bakat Base Times'!$A:$A=B184)*('Bakat Base Times'!$B:$B=C184)*('Bakat Base Times'!$C:$C=D184),0))/(VALUE(O184)))^3
</f>
        <v/>
      </c>
      <c r="O184" s="582">
        <f>IFERROR(__xludf.DUMMYFUNCTION("IF(ISNUMBER(I184), I184, IF(REGEXMATCH(I184, "":""), SUMPRODUCT(VALUE(SPLIT(I184, "":"")) * (60^(COUNTIF(SPLIT(I184, "":""), ""&lt;&gt;"")-COLUMN(OFFSET('MOT Tables 25'!$A$1,,,1,COUNTIF(SPLIT(I184, "":""),""&lt;&gt;"")))))), VALUE(I184)))"),63.24)</f>
        <v/>
      </c>
      <c r="P184" s="689" t="n"/>
      <c r="Q184" s="689" t="n"/>
      <c r="R184" s="689" t="n"/>
      <c r="S184" s="689" t="n"/>
      <c r="T184" s="689" t="n"/>
      <c r="U184" s="689" t="n"/>
      <c r="V184" s="689" t="n"/>
      <c r="W184" s="689" t="n"/>
      <c r="X184" s="689" t="n"/>
      <c r="Y184" s="596" t="inlineStr">
        <is>
          <t>M</t>
        </is>
      </c>
      <c r="Z184" s="597" t="inlineStr">
        <is>
          <t>100 Back</t>
        </is>
      </c>
      <c r="AA184" s="589" t="n">
        <v>17</v>
      </c>
      <c r="AB184" s="590" t="inlineStr">
        <is>
          <t>LAI BO ZHENG</t>
        </is>
      </c>
      <c r="AC184" s="591" t="inlineStr">
        <is>
          <t>1:03.24</t>
        </is>
      </c>
      <c r="AD184" s="592">
        <f>IFERROR(__xludf.DUMMYFUNCTION("IF(ISNUMBER(AC184), AC184, IF(REGEXMATCH(AC184, "":""), SUMPRODUCT(VALUE(SPLIT(AC184, "":"")) * (60^(COUNTIF(SPLIT(AC184, "":""), ""&lt;&gt;"")-COLUMN(OFFSET('MOT Tables 25'!$A$1,,,1,COUNTIF(SPLIT(AC184, "":""),""&lt;&gt;"")))))), VALUE(AC184)))"),63.24)</f>
        <v/>
      </c>
      <c r="AE184" s="593" t="n">
        <v>13</v>
      </c>
      <c r="AF184" s="594">
        <f t="array" ref="AF184">1000*(INDEX('Bakat Base Times'!$E:$E,MATCH(1,('Bakat Base Times'!$A:$A=Y184)*('Bakat Base Times'!$B:$B=Z184)*('Bakat Base Times'!$C:$C=AA184),0))/(VALUE(AD184)))^3
</f>
        <v/>
      </c>
      <c r="AG184" s="693" t="n"/>
      <c r="AH184" s="721" t="n"/>
      <c r="AI184" s="721" t="n"/>
      <c r="AJ184" s="688" t="n"/>
      <c r="AK184" s="689" t="n"/>
      <c r="AL184" s="690" t="n"/>
      <c r="AM184" s="691" t="n"/>
      <c r="AN184" s="692" t="n"/>
      <c r="AO184" s="693" t="n"/>
      <c r="AP184" s="693" t="n"/>
      <c r="AQ184" s="693" t="n"/>
      <c r="AR184" s="693" t="n"/>
      <c r="AS184" s="693" t="n"/>
      <c r="AT184" s="693" t="n"/>
      <c r="AU184" s="699" t="n"/>
      <c r="AV184" s="693" t="n"/>
      <c r="AW184" s="693" t="n"/>
      <c r="AX184" s="693" t="n"/>
      <c r="AY184" s="693" t="n"/>
      <c r="AZ184" s="693" t="n"/>
    </row>
    <row r="185">
      <c r="A185" s="651" t="n"/>
      <c r="B185" s="705" t="inlineStr">
        <is>
          <t>F</t>
        </is>
      </c>
      <c r="C185" s="704" t="inlineStr">
        <is>
          <t>400 Free</t>
        </is>
      </c>
      <c r="D185" s="705" t="n">
        <v>18</v>
      </c>
      <c r="E185" s="613" t="inlineStr">
        <is>
          <t>YOONG JIA JIA</t>
        </is>
      </c>
      <c r="F185" s="701" t="inlineStr">
        <is>
          <t>4:39.89</t>
        </is>
      </c>
      <c r="G18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5" s="464">
        <f>G185/#REF!</f>
        <v/>
      </c>
      <c r="I185" s="614" t="inlineStr">
        <is>
          <t>4:43.61</t>
        </is>
      </c>
      <c r="J18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5" s="464">
        <f>J185/#REF!</f>
        <v/>
      </c>
      <c r="L185" s="704" t="n">
        <v>6</v>
      </c>
      <c r="M185" s="616" t="n">
        <v>8</v>
      </c>
      <c r="N185" s="652">
        <f t="array" ref="N185">1000*(INDEX('Bakat Base Times'!$E:$E,MATCH(1,('Bakat Base Times'!$A:$A=B185)*('Bakat Base Times'!$B:$B=C185)*('Bakat Base Times'!$C:$C=D185),0))/(VALUE(O185)))^3
</f>
        <v/>
      </c>
      <c r="O185" s="609">
        <f>IFERROR(__xludf.DUMMYFUNCTION("IF(ISNUMBER(I185), I185, IF(REGEXMATCH(I185, "":""), SUMPRODUCT(VALUE(SPLIT(I185, "":"")) * (60^(COUNTIF(SPLIT(I185, "":""), ""&lt;&gt;"")-COLUMN(OFFSET('MOT Tables 25'!$A$1,,,1,COUNTIF(SPLIT(I185, "":""),""&lt;&gt;"")))))), VALUE(I185)))"),283.61)</f>
        <v/>
      </c>
      <c r="P185" s="689" t="n"/>
      <c r="Q185" s="689" t="n"/>
      <c r="R185" s="689" t="n"/>
      <c r="S185" s="689" t="n"/>
      <c r="T185" s="689" t="n"/>
      <c r="U185" s="689" t="n"/>
      <c r="V185" s="689" t="n"/>
      <c r="W185" s="689" t="n"/>
      <c r="X185" s="689" t="n"/>
      <c r="Y185" s="618" t="inlineStr">
        <is>
          <t>F</t>
        </is>
      </c>
      <c r="Z185" s="619" t="inlineStr">
        <is>
          <t>400 Free</t>
        </is>
      </c>
      <c r="AA185" s="612" t="n">
        <v>18</v>
      </c>
      <c r="AB185" s="613" t="inlineStr">
        <is>
          <t>YOONG JIA JIA</t>
        </is>
      </c>
      <c r="AC185" s="614" t="inlineStr">
        <is>
          <t>4:43.61</t>
        </is>
      </c>
      <c r="AD185" s="628">
        <f>IFERROR(__xludf.DUMMYFUNCTION("IF(ISNUMBER(AC185), AC185, IF(REGEXMATCH(AC185, "":""), SUMPRODUCT(VALUE(SPLIT(AC185, "":"")) * (60^(COUNTIF(SPLIT(AC185, "":""), ""&lt;&gt;"")-COLUMN(OFFSET('MOT Tables 25'!$A$1,,,1,COUNTIF(SPLIT(AC185, "":""),""&lt;&gt;"")))))), VALUE(AC185)))"),283.61)</f>
        <v/>
      </c>
      <c r="AE185" s="616" t="n">
        <v>8</v>
      </c>
      <c r="AF185" s="617">
        <f t="array" ref="AF185">1000*(INDEX('Bakat Base Times'!$E:$E,MATCH(1,('Bakat Base Times'!$A:$A=Y185)*('Bakat Base Times'!$B:$B=Z185)*('Bakat Base Times'!$C:$C=AA185),0))/(VALUE(AD185)))^3
</f>
        <v/>
      </c>
      <c r="AG185" s="693" t="n"/>
      <c r="AH185" s="721" t="n"/>
      <c r="AI185" s="721" t="n"/>
      <c r="AJ185" s="688" t="n"/>
      <c r="AK185" s="689" t="n"/>
      <c r="AL185" s="690" t="n"/>
      <c r="AM185" s="691" t="n"/>
      <c r="AN185" s="692" t="n"/>
      <c r="AO185" s="693" t="n"/>
      <c r="AP185" s="693" t="n"/>
      <c r="AQ185" s="693" t="n"/>
      <c r="AR185" s="693" t="n"/>
      <c r="AS185" s="693" t="n"/>
      <c r="AT185" s="693" t="n"/>
      <c r="AU185" s="699" t="n"/>
      <c r="AV185" s="693" t="n"/>
      <c r="AW185" s="693" t="n"/>
      <c r="AX185" s="693" t="n"/>
      <c r="AY185" s="693" t="n"/>
      <c r="AZ185" s="693" t="n"/>
    </row>
    <row r="186">
      <c r="A186" s="654" t="n"/>
      <c r="B186" s="710" t="inlineStr">
        <is>
          <t>F</t>
        </is>
      </c>
      <c r="C186" s="709" t="inlineStr">
        <is>
          <t>200 Fly</t>
        </is>
      </c>
      <c r="D186" s="710" t="n">
        <v>17</v>
      </c>
      <c r="E186" s="590" t="inlineStr">
        <is>
          <t>LEE YEN ERN</t>
        </is>
      </c>
      <c r="F186" s="707" t="inlineStr">
        <is>
          <t>2:26.79</t>
        </is>
      </c>
      <c r="G18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6" s="460">
        <f>G186/#REF!</f>
        <v/>
      </c>
      <c r="I186" s="591" t="inlineStr">
        <is>
          <t>2:28.94</t>
        </is>
      </c>
      <c r="J18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6" s="460">
        <f>J186/#REF!</f>
        <v/>
      </c>
      <c r="L186" s="709" t="n">
        <v>8</v>
      </c>
      <c r="M186" s="593" t="n">
        <v>8</v>
      </c>
      <c r="N186" s="655">
        <f t="array" ref="N186">1000*(INDEX('Bakat Base Times'!$E:$E,MATCH(1,('Bakat Base Times'!$A:$A=B186)*('Bakat Base Times'!$B:$B=C186)*('Bakat Base Times'!$C:$C=D186),0))/(VALUE(O186)))^3
</f>
        <v/>
      </c>
      <c r="O186" s="582">
        <f>IFERROR(__xludf.DUMMYFUNCTION("IF(ISNUMBER(I186), I186, IF(REGEXMATCH(I186, "":""), SUMPRODUCT(VALUE(SPLIT(I186, "":"")) * (60^(COUNTIF(SPLIT(I186, "":""), ""&lt;&gt;"")-COLUMN(OFFSET('MOT Tables 25'!$A$1,,,1,COUNTIF(SPLIT(I186, "":""),""&lt;&gt;"")))))), VALUE(I186)))"),148.94)</f>
        <v/>
      </c>
      <c r="P186" s="689" t="n"/>
      <c r="Q186" s="689" t="n"/>
      <c r="R186" s="689" t="n"/>
      <c r="S186" s="689" t="n"/>
      <c r="T186" s="689" t="n"/>
      <c r="U186" s="689" t="n"/>
      <c r="V186" s="689" t="n"/>
      <c r="W186" s="689" t="n"/>
      <c r="X186" s="689" t="n"/>
      <c r="Y186" s="596" t="inlineStr">
        <is>
          <t>F</t>
        </is>
      </c>
      <c r="Z186" s="597" t="inlineStr">
        <is>
          <t>200 Fly</t>
        </is>
      </c>
      <c r="AA186" s="589" t="n">
        <v>17</v>
      </c>
      <c r="AB186" s="590" t="inlineStr">
        <is>
          <t>LEE YEN ERN</t>
        </is>
      </c>
      <c r="AC186" s="591" t="inlineStr">
        <is>
          <t>2:28.94</t>
        </is>
      </c>
      <c r="AD186" s="592">
        <f>IFERROR(__xludf.DUMMYFUNCTION("IF(ISNUMBER(AC186), AC186, IF(REGEXMATCH(AC186, "":""), SUMPRODUCT(VALUE(SPLIT(AC186, "":"")) * (60^(COUNTIF(SPLIT(AC186, "":""), ""&lt;&gt;"")-COLUMN(OFFSET('MOT Tables 25'!$A$1,,,1,COUNTIF(SPLIT(AC186, "":""),""&lt;&gt;"")))))), VALUE(AC186)))"),148.94)</f>
        <v/>
      </c>
      <c r="AE186" s="593" t="n">
        <v>8</v>
      </c>
      <c r="AF186" s="594">
        <f t="array" ref="AF186">1000*(INDEX('Bakat Base Times'!$E:$E,MATCH(1,('Bakat Base Times'!$A:$A=Y186)*('Bakat Base Times'!$B:$B=Z186)*('Bakat Base Times'!$C:$C=AA186),0))/(VALUE(AD186)))^3
</f>
        <v/>
      </c>
      <c r="AG186" s="693" t="n"/>
      <c r="AH186" s="721" t="n"/>
      <c r="AI186" s="721" t="n"/>
      <c r="AJ186" s="688" t="n"/>
      <c r="AK186" s="689" t="n"/>
      <c r="AL186" s="690" t="n"/>
      <c r="AM186" s="691" t="n"/>
      <c r="AN186" s="692" t="n"/>
      <c r="AO186" s="693" t="n"/>
      <c r="AP186" s="693" t="n"/>
      <c r="AQ186" s="693" t="n"/>
      <c r="AR186" s="693" t="n"/>
      <c r="AS186" s="693" t="n"/>
      <c r="AT186" s="693" t="n"/>
      <c r="AU186" s="699" t="n"/>
      <c r="AV186" s="693" t="n"/>
      <c r="AW186" s="693" t="n"/>
      <c r="AX186" s="693" t="n"/>
      <c r="AY186" s="693" t="n"/>
      <c r="AZ186" s="693" t="n"/>
    </row>
    <row r="187">
      <c r="A187" s="651" t="n"/>
      <c r="B187" s="705" t="inlineStr">
        <is>
          <t>F</t>
        </is>
      </c>
      <c r="C187" s="704" t="inlineStr">
        <is>
          <t>800 Free</t>
        </is>
      </c>
      <c r="D187" s="705" t="n">
        <v>13</v>
      </c>
      <c r="E187" s="613" t="inlineStr">
        <is>
          <t>CHENG VALERIE</t>
        </is>
      </c>
      <c r="F187" s="701" t="inlineStr">
        <is>
          <t>10:15.35</t>
        </is>
      </c>
      <c r="G18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7" s="464">
        <f>G187/#REF!</f>
        <v/>
      </c>
      <c r="I187" s="614" t="inlineStr">
        <is>
          <t>10:11.61</t>
        </is>
      </c>
      <c r="J18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7" s="464">
        <f>J187/#REF!</f>
        <v/>
      </c>
      <c r="L187" s="704" t="n">
        <v>12</v>
      </c>
      <c r="M187" s="616" t="n">
        <v>11</v>
      </c>
      <c r="N187" s="652">
        <f t="array" ref="N187">1000*(INDEX('Bakat Base Times'!$E:$E,MATCH(1,('Bakat Base Times'!$A:$A=B187)*('Bakat Base Times'!$B:$B=C187)*('Bakat Base Times'!$C:$C=D187),0))/(VALUE(O187)))^3
</f>
        <v/>
      </c>
      <c r="O187" s="609">
        <f>IFERROR(__xludf.DUMMYFUNCTION("IF(ISNUMBER(I187), I187, IF(REGEXMATCH(I187, "":""), SUMPRODUCT(VALUE(SPLIT(I187, "":"")) * (60^(COUNTIF(SPLIT(I187, "":""), ""&lt;&gt;"")-COLUMN(OFFSET('MOT Tables 25'!$A$1,,,1,COUNTIF(SPLIT(I187, "":""),""&lt;&gt;"")))))), VALUE(I187)))"),611.61)</f>
        <v/>
      </c>
      <c r="P187" s="689" t="n"/>
      <c r="Q187" s="689" t="n"/>
      <c r="R187" s="689" t="n"/>
      <c r="S187" s="689" t="n"/>
      <c r="T187" s="689" t="n"/>
      <c r="U187" s="689" t="n"/>
      <c r="V187" s="689" t="n"/>
      <c r="W187" s="689" t="n"/>
      <c r="X187" s="689" t="n"/>
      <c r="Y187" s="618" t="inlineStr">
        <is>
          <t>F</t>
        </is>
      </c>
      <c r="Z187" s="619" t="inlineStr">
        <is>
          <t>800 Free</t>
        </is>
      </c>
      <c r="AA187" s="612" t="n">
        <v>13</v>
      </c>
      <c r="AB187" s="613" t="inlineStr">
        <is>
          <t>CHENG VALERIE</t>
        </is>
      </c>
      <c r="AC187" s="614" t="inlineStr">
        <is>
          <t>10:11.61</t>
        </is>
      </c>
      <c r="AD187" s="628">
        <f>IFERROR(__xludf.DUMMYFUNCTION("IF(ISNUMBER(AC187), AC187, IF(REGEXMATCH(AC187, "":""), SUMPRODUCT(VALUE(SPLIT(AC187, "":"")) * (60^(COUNTIF(SPLIT(AC187, "":""), ""&lt;&gt;"")-COLUMN(OFFSET('MOT Tables 25'!$A$1,,,1,COUNTIF(SPLIT(AC187, "":""),""&lt;&gt;"")))))), VALUE(AC187)))"),611.61)</f>
        <v/>
      </c>
      <c r="AE187" s="616" t="n">
        <v>11</v>
      </c>
      <c r="AF187" s="617">
        <f t="array" ref="AF187">1000*(INDEX('Bakat Base Times'!$E:$E,MATCH(1,('Bakat Base Times'!$A:$A=Y187)*('Bakat Base Times'!$B:$B=Z187)*('Bakat Base Times'!$C:$C=AA187),0))/(VALUE(AD187)))^3
</f>
        <v/>
      </c>
      <c r="AG187" s="693" t="n"/>
      <c r="AH187" s="721" t="n"/>
      <c r="AI187" s="721" t="n"/>
      <c r="AJ187" s="688" t="n"/>
      <c r="AK187" s="689" t="n"/>
      <c r="AL187" s="690" t="n"/>
      <c r="AM187" s="691" t="n"/>
      <c r="AN187" s="692" t="n"/>
      <c r="AO187" s="693" t="n"/>
      <c r="AP187" s="693" t="n"/>
      <c r="AQ187" s="693" t="n"/>
      <c r="AR187" s="693" t="n"/>
      <c r="AS187" s="693" t="n"/>
      <c r="AT187" s="693" t="n"/>
      <c r="AU187" s="699" t="n"/>
      <c r="AV187" s="693" t="n"/>
      <c r="AW187" s="693" t="n"/>
      <c r="AX187" s="693" t="n"/>
      <c r="AY187" s="693" t="n"/>
      <c r="AZ187" s="693" t="n"/>
    </row>
    <row r="188">
      <c r="A188" s="654" t="n"/>
      <c r="B188" s="710" t="inlineStr">
        <is>
          <t>M</t>
        </is>
      </c>
      <c r="C188" s="709" t="inlineStr">
        <is>
          <t>200 Back</t>
        </is>
      </c>
      <c r="D188" s="710" t="n">
        <v>13</v>
      </c>
      <c r="E188" s="590" t="inlineStr">
        <is>
          <t>HO ZHI JU</t>
        </is>
      </c>
      <c r="F188" s="707" t="inlineStr">
        <is>
          <t>2:31.12</t>
        </is>
      </c>
      <c r="G18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8" s="460">
        <f>G188/#REF!</f>
        <v/>
      </c>
      <c r="I188" s="591" t="inlineStr">
        <is>
          <t>2:29.77</t>
        </is>
      </c>
      <c r="J18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8" s="460">
        <f>J188/#REF!</f>
        <v/>
      </c>
      <c r="L188" s="709" t="n">
        <v>12</v>
      </c>
      <c r="M188" s="593" t="n">
        <v>12</v>
      </c>
      <c r="N188" s="655">
        <f t="array" ref="N188">1000*(INDEX('Bakat Base Times'!$E:$E,MATCH(1,('Bakat Base Times'!$A:$A=B188)*('Bakat Base Times'!$B:$B=C188)*('Bakat Base Times'!$C:$C=D188),0))/(VALUE(O188)))^3
</f>
        <v/>
      </c>
      <c r="O188" s="582">
        <f>IFERROR(__xludf.DUMMYFUNCTION("IF(ISNUMBER(I188), I188, IF(REGEXMATCH(I188, "":""), SUMPRODUCT(VALUE(SPLIT(I188, "":"")) * (60^(COUNTIF(SPLIT(I188, "":""), ""&lt;&gt;"")-COLUMN(OFFSET('MOT Tables 25'!$A$1,,,1,COUNTIF(SPLIT(I188, "":""),""&lt;&gt;"")))))), VALUE(I188)))"),149.77)</f>
        <v/>
      </c>
      <c r="P188" s="689" t="n"/>
      <c r="Q188" s="689" t="n"/>
      <c r="R188" s="689" t="n"/>
      <c r="S188" s="689" t="n"/>
      <c r="T188" s="689" t="n"/>
      <c r="U188" s="689" t="n"/>
      <c r="V188" s="689" t="n"/>
      <c r="W188" s="689" t="n"/>
      <c r="X188" s="689" t="n"/>
      <c r="Y188" s="596" t="inlineStr">
        <is>
          <t>M</t>
        </is>
      </c>
      <c r="Z188" s="597" t="inlineStr">
        <is>
          <t>200 Back</t>
        </is>
      </c>
      <c r="AA188" s="589" t="n">
        <v>13</v>
      </c>
      <c r="AB188" s="590" t="inlineStr">
        <is>
          <t>HO ZHI JU</t>
        </is>
      </c>
      <c r="AC188" s="591" t="inlineStr">
        <is>
          <t>2:29.77</t>
        </is>
      </c>
      <c r="AD188" s="592">
        <f>IFERROR(__xludf.DUMMYFUNCTION("IF(ISNUMBER(AC188), AC188, IF(REGEXMATCH(AC188, "":""), SUMPRODUCT(VALUE(SPLIT(AC188, "":"")) * (60^(COUNTIF(SPLIT(AC188, "":""), ""&lt;&gt;"")-COLUMN(OFFSET('MOT Tables 25'!$A$1,,,1,COUNTIF(SPLIT(AC188, "":""),""&lt;&gt;"")))))), VALUE(AC188)))"),149.77)</f>
        <v/>
      </c>
      <c r="AE188" s="593" t="n">
        <v>12</v>
      </c>
      <c r="AF188" s="594">
        <f t="array" ref="AF188">1000*(INDEX('Bakat Base Times'!$E:$E,MATCH(1,('Bakat Base Times'!$A:$A=Y188)*('Bakat Base Times'!$B:$B=Z188)*('Bakat Base Times'!$C:$C=AA188),0))/(VALUE(AD188)))^3
</f>
        <v/>
      </c>
      <c r="AG188" s="693" t="n"/>
      <c r="AH188" s="721" t="n"/>
      <c r="AI188" s="721" t="n"/>
      <c r="AJ188" s="688" t="n"/>
      <c r="AK188" s="689" t="n"/>
      <c r="AL188" s="690" t="n"/>
      <c r="AM188" s="691" t="n"/>
      <c r="AN188" s="692" t="n"/>
      <c r="AO188" s="693" t="n"/>
      <c r="AP188" s="693" t="n"/>
      <c r="AQ188" s="693" t="n"/>
      <c r="AR188" s="693" t="n"/>
      <c r="AS188" s="693" t="n"/>
      <c r="AT188" s="693" t="n"/>
      <c r="AU188" s="699" t="n"/>
      <c r="AV188" s="693" t="n"/>
      <c r="AW188" s="693" t="n"/>
      <c r="AX188" s="693" t="n"/>
      <c r="AY188" s="693" t="n"/>
      <c r="AZ188" s="693" t="n"/>
    </row>
    <row r="189">
      <c r="A189" s="651" t="n"/>
      <c r="B189" s="705" t="inlineStr">
        <is>
          <t>M</t>
        </is>
      </c>
      <c r="C189" s="704" t="inlineStr">
        <is>
          <t>1500 Free</t>
        </is>
      </c>
      <c r="D189" s="705" t="n">
        <v>14</v>
      </c>
      <c r="E189" s="613" t="inlineStr">
        <is>
          <t>BONG YI XIANG</t>
        </is>
      </c>
      <c r="F189" s="701" t="inlineStr">
        <is>
          <t>17:35.19</t>
        </is>
      </c>
      <c r="G18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89" s="464">
        <f>G189/#REF!</f>
        <v/>
      </c>
      <c r="I189" s="614" t="inlineStr">
        <is>
          <t>18:18.96</t>
        </is>
      </c>
      <c r="J18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89" s="464">
        <f>J189/#REF!</f>
        <v/>
      </c>
      <c r="L189" s="704" t="n">
        <v>12</v>
      </c>
      <c r="M189" s="616" t="n">
        <v>11</v>
      </c>
      <c r="N189" s="652">
        <f t="array" ref="N189">1000*(INDEX('Bakat Base Times'!$E:$E,MATCH(1,('Bakat Base Times'!$A:$A=B189)*('Bakat Base Times'!$B:$B=C189)*('Bakat Base Times'!$C:$C=D189),0))/(VALUE(O189)))^3
</f>
        <v/>
      </c>
      <c r="O189" s="609">
        <f>IFERROR(__xludf.DUMMYFUNCTION("IF(ISNUMBER(I189), I189, IF(REGEXMATCH(I189, "":""), SUMPRODUCT(VALUE(SPLIT(I189, "":"")) * (60^(COUNTIF(SPLIT(I189, "":""), ""&lt;&gt;"")-COLUMN(OFFSET('MOT Tables 25'!$A$1,,,1,COUNTIF(SPLIT(I189, "":""),""&lt;&gt;"")))))), VALUE(I189)))"),1098.96)</f>
        <v/>
      </c>
      <c r="P189" s="689" t="n"/>
      <c r="Q189" s="689" t="n"/>
      <c r="R189" s="689" t="n"/>
      <c r="S189" s="689" t="n"/>
      <c r="T189" s="689" t="n"/>
      <c r="U189" s="689" t="n"/>
      <c r="V189" s="689" t="n"/>
      <c r="W189" s="689" t="n"/>
      <c r="X189" s="689" t="n"/>
      <c r="Y189" s="618" t="inlineStr">
        <is>
          <t>M</t>
        </is>
      </c>
      <c r="Z189" s="619" t="inlineStr">
        <is>
          <t>1500 Free</t>
        </is>
      </c>
      <c r="AA189" s="612" t="n">
        <v>14</v>
      </c>
      <c r="AB189" s="613" t="inlineStr">
        <is>
          <t>BONG YI XIANG</t>
        </is>
      </c>
      <c r="AC189" s="614" t="inlineStr">
        <is>
          <t>18:18.96</t>
        </is>
      </c>
      <c r="AD189" s="628">
        <f>IFERROR(__xludf.DUMMYFUNCTION("IF(ISNUMBER(AC189), AC189, IF(REGEXMATCH(AC189, "":""), SUMPRODUCT(VALUE(SPLIT(AC189, "":"")) * (60^(COUNTIF(SPLIT(AC189, "":""), ""&lt;&gt;"")-COLUMN(OFFSET('MOT Tables 25'!$A$1,,,1,COUNTIF(SPLIT(AC189, "":""),""&lt;&gt;"")))))), VALUE(AC189)))"),1098.96)</f>
        <v/>
      </c>
      <c r="AE189" s="616" t="n">
        <v>11</v>
      </c>
      <c r="AF189" s="617">
        <f t="array" ref="AF189">1000*(INDEX('Bakat Base Times'!$E:$E,MATCH(1,('Bakat Base Times'!$A:$A=Y189)*('Bakat Base Times'!$B:$B=Z189)*('Bakat Base Times'!$C:$C=AA189),0))/(VALUE(AD189)))^3
</f>
        <v/>
      </c>
      <c r="AG189" s="693" t="n"/>
      <c r="AH189" s="721" t="n"/>
      <c r="AI189" s="721" t="n"/>
      <c r="AJ189" s="688" t="n"/>
      <c r="AK189" s="689" t="n"/>
      <c r="AL189" s="690" t="n"/>
      <c r="AM189" s="691" t="n"/>
      <c r="AN189" s="692" t="n"/>
      <c r="AO189" s="693" t="n"/>
      <c r="AP189" s="693" t="n"/>
      <c r="AQ189" s="693" t="n"/>
      <c r="AR189" s="693" t="n"/>
      <c r="AS189" s="693" t="n"/>
      <c r="AT189" s="693" t="n"/>
      <c r="AU189" s="699" t="n"/>
      <c r="AV189" s="693" t="n"/>
      <c r="AW189" s="693" t="n"/>
      <c r="AX189" s="693" t="n"/>
      <c r="AY189" s="693" t="n"/>
      <c r="AZ189" s="693" t="n"/>
    </row>
    <row r="190">
      <c r="A190" s="654" t="n"/>
      <c r="B190" s="710" t="inlineStr">
        <is>
          <t>M</t>
        </is>
      </c>
      <c r="C190" s="709" t="inlineStr">
        <is>
          <t>200 Back</t>
        </is>
      </c>
      <c r="D190" s="710" t="n">
        <v>17</v>
      </c>
      <c r="E190" s="590" t="inlineStr">
        <is>
          <t>ASLAN ADNAN</t>
        </is>
      </c>
      <c r="F190" s="707" t="inlineStr">
        <is>
          <t>2:15.90</t>
        </is>
      </c>
      <c r="G19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0" s="460">
        <f>G190/#REF!</f>
        <v/>
      </c>
      <c r="I190" s="591" t="inlineStr">
        <is>
          <t>2:17.72</t>
        </is>
      </c>
      <c r="J19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0" s="460">
        <f>J190/#REF!</f>
        <v/>
      </c>
      <c r="L190" s="709" t="n">
        <v>10</v>
      </c>
      <c r="M190" s="593" t="n">
        <v>9</v>
      </c>
      <c r="N190" s="655">
        <f t="array" ref="N190">1000*(INDEX('Bakat Base Times'!$E:$E,MATCH(1,('Bakat Base Times'!$A:$A=B190)*('Bakat Base Times'!$B:$B=C190)*('Bakat Base Times'!$C:$C=D190),0))/(VALUE(O190)))^3
</f>
        <v/>
      </c>
      <c r="O190" s="582">
        <f>IFERROR(__xludf.DUMMYFUNCTION("IF(ISNUMBER(I190), I190, IF(REGEXMATCH(I190, "":""), SUMPRODUCT(VALUE(SPLIT(I190, "":"")) * (60^(COUNTIF(SPLIT(I190, "":""), ""&lt;&gt;"")-COLUMN(OFFSET('MOT Tables 25'!$A$1,,,1,COUNTIF(SPLIT(I190, "":""),""&lt;&gt;"")))))), VALUE(I190)))"),137.72)</f>
        <v/>
      </c>
      <c r="P190" s="689" t="n"/>
      <c r="Q190" s="689" t="n"/>
      <c r="R190" s="689" t="n"/>
      <c r="S190" s="689" t="n"/>
      <c r="T190" s="689" t="n"/>
      <c r="U190" s="689" t="n"/>
      <c r="V190" s="689" t="n"/>
      <c r="W190" s="689" t="n"/>
      <c r="X190" s="689" t="n"/>
      <c r="Y190" s="596" t="inlineStr">
        <is>
          <t>M</t>
        </is>
      </c>
      <c r="Z190" s="597" t="inlineStr">
        <is>
          <t>200 Back</t>
        </is>
      </c>
      <c r="AA190" s="589" t="n">
        <v>17</v>
      </c>
      <c r="AB190" s="590" t="inlineStr">
        <is>
          <t>ASLAN ADNAN</t>
        </is>
      </c>
      <c r="AC190" s="591" t="inlineStr">
        <is>
          <t>2:17.72</t>
        </is>
      </c>
      <c r="AD190" s="592">
        <f>IFERROR(__xludf.DUMMYFUNCTION("IF(ISNUMBER(AC190), AC190, IF(REGEXMATCH(AC190, "":""), SUMPRODUCT(VALUE(SPLIT(AC190, "":"")) * (60^(COUNTIF(SPLIT(AC190, "":""), ""&lt;&gt;"")-COLUMN(OFFSET('MOT Tables 25'!$A$1,,,1,COUNTIF(SPLIT(AC190, "":""),""&lt;&gt;"")))))), VALUE(AC190)))"),137.72)</f>
        <v/>
      </c>
      <c r="AE190" s="593" t="n">
        <v>9</v>
      </c>
      <c r="AF190" s="594">
        <f t="array" ref="AF190">1000*(INDEX('Bakat Base Times'!$E:$E,MATCH(1,('Bakat Base Times'!$A:$A=Y190)*('Bakat Base Times'!$B:$B=Z190)*('Bakat Base Times'!$C:$C=AA190),0))/(VALUE(AD190)))^3
</f>
        <v/>
      </c>
      <c r="AG190" s="693" t="n"/>
      <c r="AH190" s="721" t="n"/>
      <c r="AI190" s="721" t="n"/>
      <c r="AJ190" s="688" t="n"/>
      <c r="AK190" s="689" t="n"/>
      <c r="AL190" s="690" t="n"/>
      <c r="AM190" s="691" t="n"/>
      <c r="AN190" s="692" t="n"/>
      <c r="AO190" s="693" t="n"/>
      <c r="AP190" s="693" t="n"/>
      <c r="AQ190" s="693" t="n"/>
      <c r="AR190" s="693" t="n"/>
      <c r="AS190" s="693" t="n"/>
      <c r="AT190" s="693" t="n"/>
      <c r="AU190" s="699" t="n"/>
      <c r="AV190" s="693" t="n"/>
      <c r="AW190" s="693" t="n"/>
      <c r="AX190" s="693" t="n"/>
      <c r="AY190" s="693" t="n"/>
      <c r="AZ190" s="693" t="n"/>
    </row>
    <row r="191">
      <c r="A191" s="651" t="n"/>
      <c r="B191" s="705" t="inlineStr">
        <is>
          <t>F</t>
        </is>
      </c>
      <c r="C191" s="704" t="inlineStr">
        <is>
          <t>200 Back</t>
        </is>
      </c>
      <c r="D191" s="705" t="n">
        <v>14</v>
      </c>
      <c r="E191" s="613" t="inlineStr">
        <is>
          <t>EVITA TAN EE LIN</t>
        </is>
      </c>
      <c r="F191" s="701" t="inlineStr">
        <is>
          <t>2:33.90</t>
        </is>
      </c>
      <c r="G19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1" s="464">
        <f>G191/#REF!</f>
        <v/>
      </c>
      <c r="I191" s="614" t="inlineStr">
        <is>
          <t>2:34.28</t>
        </is>
      </c>
      <c r="J19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1" s="464">
        <f>J191/#REF!</f>
        <v/>
      </c>
      <c r="L191" s="704" t="n">
        <v>10</v>
      </c>
      <c r="M191" s="616" t="n">
        <v>13</v>
      </c>
      <c r="N191" s="652">
        <f t="array" ref="N191">1000*(INDEX('Bakat Base Times'!$E:$E,MATCH(1,('Bakat Base Times'!$A:$A=B191)*('Bakat Base Times'!$B:$B=C191)*('Bakat Base Times'!$C:$C=D191),0))/(VALUE(O191)))^3
</f>
        <v/>
      </c>
      <c r="O191" s="609">
        <f>IFERROR(__xludf.DUMMYFUNCTION("IF(ISNUMBER(I191), I191, IF(REGEXMATCH(I191, "":""), SUMPRODUCT(VALUE(SPLIT(I191, "":"")) * (60^(COUNTIF(SPLIT(I191, "":""), ""&lt;&gt;"")-COLUMN(OFFSET('MOT Tables 25'!$A$1,,,1,COUNTIF(SPLIT(I191, "":""),""&lt;&gt;"")))))), VALUE(I191)))"),154.28)</f>
        <v/>
      </c>
      <c r="P191" s="689" t="n"/>
      <c r="Q191" s="689" t="n"/>
      <c r="R191" s="689" t="n"/>
      <c r="S191" s="689" t="n"/>
      <c r="T191" s="689" t="n"/>
      <c r="U191" s="689" t="n"/>
      <c r="V191" s="689" t="n"/>
      <c r="W191" s="689" t="n"/>
      <c r="X191" s="689" t="n"/>
      <c r="Y191" s="618" t="inlineStr">
        <is>
          <t>F</t>
        </is>
      </c>
      <c r="Z191" s="619" t="inlineStr">
        <is>
          <t>200 Back</t>
        </is>
      </c>
      <c r="AA191" s="612" t="n">
        <v>14</v>
      </c>
      <c r="AB191" s="613" t="inlineStr">
        <is>
          <t>EVITA TAN EE LIN</t>
        </is>
      </c>
      <c r="AC191" s="614" t="inlineStr">
        <is>
          <t>2:34.28</t>
        </is>
      </c>
      <c r="AD191" s="628">
        <f>IFERROR(__xludf.DUMMYFUNCTION("IF(ISNUMBER(AC191), AC191, IF(REGEXMATCH(AC191, "":""), SUMPRODUCT(VALUE(SPLIT(AC191, "":"")) * (60^(COUNTIF(SPLIT(AC191, "":""), ""&lt;&gt;"")-COLUMN(OFFSET('MOT Tables 25'!$A$1,,,1,COUNTIF(SPLIT(AC191, "":""),""&lt;&gt;"")))))), VALUE(AC191)))"),154.28)</f>
        <v/>
      </c>
      <c r="AE191" s="616" t="n">
        <v>13</v>
      </c>
      <c r="AF191" s="617">
        <f t="array" ref="AF191">1000*(INDEX('Bakat Base Times'!$E:$E,MATCH(1,('Bakat Base Times'!$A:$A=Y191)*('Bakat Base Times'!$B:$B=Z191)*('Bakat Base Times'!$C:$C=AA191),0))/(VALUE(AD191)))^3
</f>
        <v/>
      </c>
      <c r="AG191" s="693" t="n"/>
      <c r="AH191" s="721" t="n"/>
      <c r="AI191" s="721" t="n"/>
      <c r="AJ191" s="688" t="n"/>
      <c r="AK191" s="689" t="n"/>
      <c r="AL191" s="690" t="n"/>
      <c r="AM191" s="691" t="n"/>
      <c r="AN191" s="692" t="n"/>
      <c r="AO191" s="693" t="n"/>
      <c r="AP191" s="693" t="n"/>
      <c r="AQ191" s="693" t="n"/>
      <c r="AR191" s="693" t="n"/>
      <c r="AS191" s="693" t="n"/>
      <c r="AT191" s="693" t="n"/>
      <c r="AU191" s="699" t="n"/>
      <c r="AV191" s="693" t="n"/>
      <c r="AW191" s="693" t="n"/>
      <c r="AX191" s="693" t="n"/>
      <c r="AY191" s="693" t="n"/>
      <c r="AZ191" s="693" t="n"/>
    </row>
    <row r="192">
      <c r="A192" s="654" t="n"/>
      <c r="B192" s="710" t="inlineStr">
        <is>
          <t>F</t>
        </is>
      </c>
      <c r="C192" s="709" t="inlineStr">
        <is>
          <t>200 Back</t>
        </is>
      </c>
      <c r="D192" s="710" t="n">
        <v>16</v>
      </c>
      <c r="E192" s="590" t="inlineStr">
        <is>
          <t>JOELLE CHAN ZU EE</t>
        </is>
      </c>
      <c r="F192" s="707" t="inlineStr">
        <is>
          <t>2:28.56</t>
        </is>
      </c>
      <c r="G19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2" s="460">
        <f>G192/#REF!</f>
        <v/>
      </c>
      <c r="I192" s="591" t="inlineStr">
        <is>
          <t>2:30.85</t>
        </is>
      </c>
      <c r="J19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2" s="460">
        <f>J192/#REF!</f>
        <v/>
      </c>
      <c r="L192" s="709" t="n">
        <v>9</v>
      </c>
      <c r="M192" s="593" t="n">
        <v>8</v>
      </c>
      <c r="N192" s="655">
        <f t="array" ref="N192">1000*(INDEX('Bakat Base Times'!$E:$E,MATCH(1,('Bakat Base Times'!$A:$A=B192)*('Bakat Base Times'!$B:$B=C192)*('Bakat Base Times'!$C:$C=D192),0))/(VALUE(O192)))^3
</f>
        <v/>
      </c>
      <c r="O192" s="582">
        <f>IFERROR(__xludf.DUMMYFUNCTION("IF(ISNUMBER(I192), I192, IF(REGEXMATCH(I192, "":""), SUMPRODUCT(VALUE(SPLIT(I192, "":"")) * (60^(COUNTIF(SPLIT(I192, "":""), ""&lt;&gt;"")-COLUMN(OFFSET('MOT Tables 25'!$A$1,,,1,COUNTIF(SPLIT(I192, "":""),""&lt;&gt;"")))))), VALUE(I192)))"),150.85)</f>
        <v/>
      </c>
      <c r="P192" s="689" t="n"/>
      <c r="Q192" s="689" t="n"/>
      <c r="R192" s="689" t="n"/>
      <c r="S192" s="689" t="n"/>
      <c r="T192" s="689" t="n"/>
      <c r="U192" s="689" t="n"/>
      <c r="V192" s="689" t="n"/>
      <c r="W192" s="689" t="n"/>
      <c r="X192" s="689" t="n"/>
      <c r="Y192" s="596" t="inlineStr">
        <is>
          <t>F</t>
        </is>
      </c>
      <c r="Z192" s="597" t="inlineStr">
        <is>
          <t>200 Back</t>
        </is>
      </c>
      <c r="AA192" s="589" t="n">
        <v>16</v>
      </c>
      <c r="AB192" s="590" t="inlineStr">
        <is>
          <t>JOELLE CHAN ZU EE</t>
        </is>
      </c>
      <c r="AC192" s="591" t="inlineStr">
        <is>
          <t>2:30.85</t>
        </is>
      </c>
      <c r="AD192" s="592">
        <f>IFERROR(__xludf.DUMMYFUNCTION("IF(ISNUMBER(AC192), AC192, IF(REGEXMATCH(AC192, "":""), SUMPRODUCT(VALUE(SPLIT(AC192, "":"")) * (60^(COUNTIF(SPLIT(AC192, "":""), ""&lt;&gt;"")-COLUMN(OFFSET('MOT Tables 25'!$A$1,,,1,COUNTIF(SPLIT(AC192, "":""),""&lt;&gt;"")))))), VALUE(AC192)))"),150.85)</f>
        <v/>
      </c>
      <c r="AE192" s="593" t="n">
        <v>8</v>
      </c>
      <c r="AF192" s="594">
        <f t="array" ref="AF192">1000*(INDEX('Bakat Base Times'!$E:$E,MATCH(1,('Bakat Base Times'!$A:$A=Y192)*('Bakat Base Times'!$B:$B=Z192)*('Bakat Base Times'!$C:$C=AA192),0))/(VALUE(AD192)))^3
</f>
        <v/>
      </c>
      <c r="AG192" s="693" t="n"/>
      <c r="AH192" s="721" t="n"/>
      <c r="AI192" s="721" t="n"/>
      <c r="AJ192" s="688" t="n"/>
      <c r="AK192" s="689" t="n"/>
      <c r="AL192" s="690" t="n"/>
      <c r="AM192" s="691" t="n"/>
      <c r="AN192" s="692" t="n"/>
      <c r="AO192" s="693" t="n"/>
      <c r="AP192" s="693" t="n"/>
      <c r="AQ192" s="693" t="n"/>
      <c r="AR192" s="693" t="n"/>
      <c r="AS192" s="693" t="n"/>
      <c r="AT192" s="693" t="n"/>
      <c r="AU192" s="699" t="n"/>
      <c r="AV192" s="693" t="n"/>
      <c r="AW192" s="693" t="n"/>
      <c r="AX192" s="693" t="n"/>
      <c r="AY192" s="693" t="n"/>
      <c r="AZ192" s="693" t="n"/>
    </row>
    <row r="193">
      <c r="A193" s="651" t="n"/>
      <c r="B193" s="705" t="inlineStr">
        <is>
          <t>F</t>
        </is>
      </c>
      <c r="C193" s="704" t="inlineStr">
        <is>
          <t>200 Fly</t>
        </is>
      </c>
      <c r="D193" s="705" t="n">
        <v>13</v>
      </c>
      <c r="E193" s="613" t="inlineStr">
        <is>
          <t>JODIE YIP JI SHIN</t>
        </is>
      </c>
      <c r="F193" s="701" t="inlineStr">
        <is>
          <t>2:34.11</t>
        </is>
      </c>
      <c r="G19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3" s="464">
        <f>G193/#REF!</f>
        <v/>
      </c>
      <c r="I193" s="614" t="inlineStr">
        <is>
          <t>2:37.77</t>
        </is>
      </c>
      <c r="J19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3" s="464">
        <f>J193/#REF!</f>
        <v/>
      </c>
      <c r="L193" s="704" t="n">
        <v>5</v>
      </c>
      <c r="M193" s="616" t="n">
        <v>8</v>
      </c>
      <c r="N193" s="652">
        <f t="array" ref="N193">1000*(INDEX('Bakat Base Times'!$E:$E,MATCH(1,('Bakat Base Times'!$A:$A=B193)*('Bakat Base Times'!$B:$B=C193)*('Bakat Base Times'!$C:$C=D193),0))/(VALUE(O193)))^3
</f>
        <v/>
      </c>
      <c r="O193" s="609">
        <f>IFERROR(__xludf.DUMMYFUNCTION("IF(ISNUMBER(I193), I193, IF(REGEXMATCH(I193, "":""), SUMPRODUCT(VALUE(SPLIT(I193, "":"")) * (60^(COUNTIF(SPLIT(I193, "":""), ""&lt;&gt;"")-COLUMN(OFFSET('MOT Tables 25'!$A$1,,,1,COUNTIF(SPLIT(I193, "":""),""&lt;&gt;"")))))), VALUE(I193)))"),157.77)</f>
        <v/>
      </c>
      <c r="P193" s="689" t="n"/>
      <c r="Q193" s="689" t="n"/>
      <c r="R193" s="689" t="n"/>
      <c r="S193" s="689" t="n"/>
      <c r="T193" s="689" t="n"/>
      <c r="U193" s="689" t="n"/>
      <c r="V193" s="689" t="n"/>
      <c r="W193" s="689" t="n"/>
      <c r="X193" s="689" t="n"/>
      <c r="Y193" s="618" t="inlineStr">
        <is>
          <t>F</t>
        </is>
      </c>
      <c r="Z193" s="619" t="inlineStr">
        <is>
          <t>200 Fly</t>
        </is>
      </c>
      <c r="AA193" s="612" t="n">
        <v>13</v>
      </c>
      <c r="AB193" s="613" t="inlineStr">
        <is>
          <t>JODIE YIP JI SHIN</t>
        </is>
      </c>
      <c r="AC193" s="614" t="inlineStr">
        <is>
          <t>2:37.77</t>
        </is>
      </c>
      <c r="AD193" s="628">
        <f>IFERROR(__xludf.DUMMYFUNCTION("IF(ISNUMBER(AC193), AC193, IF(REGEXMATCH(AC193, "":""), SUMPRODUCT(VALUE(SPLIT(AC193, "":"")) * (60^(COUNTIF(SPLIT(AC193, "":""), ""&lt;&gt;"")-COLUMN(OFFSET('MOT Tables 25'!$A$1,,,1,COUNTIF(SPLIT(AC193, "":""),""&lt;&gt;"")))))), VALUE(AC193)))"),157.77)</f>
        <v/>
      </c>
      <c r="AE193" s="616" t="n">
        <v>8</v>
      </c>
      <c r="AF193" s="617">
        <f t="array" ref="AF193">1000*(INDEX('Bakat Base Times'!$E:$E,MATCH(1,('Bakat Base Times'!$A:$A=Y193)*('Bakat Base Times'!$B:$B=Z193)*('Bakat Base Times'!$C:$C=AA193),0))/(VALUE(AD193)))^3
</f>
        <v/>
      </c>
      <c r="AG193" s="693" t="n"/>
      <c r="AH193" s="721" t="n"/>
      <c r="AI193" s="721" t="n"/>
      <c r="AJ193" s="688" t="n"/>
      <c r="AK193" s="689" t="n"/>
      <c r="AL193" s="690" t="n"/>
      <c r="AM193" s="691" t="n"/>
      <c r="AN193" s="692" t="n"/>
      <c r="AO193" s="693" t="n"/>
      <c r="AP193" s="693" t="n"/>
      <c r="AQ193" s="693" t="n"/>
      <c r="AR193" s="693" t="n"/>
      <c r="AS193" s="693" t="n"/>
      <c r="AT193" s="693" t="n"/>
      <c r="AU193" s="699" t="n"/>
      <c r="AV193" s="693" t="n"/>
      <c r="AW193" s="693" t="n"/>
      <c r="AX193" s="693" t="n"/>
      <c r="AY193" s="693" t="n"/>
      <c r="AZ193" s="693" t="n"/>
    </row>
    <row r="194">
      <c r="A194" s="654" t="n"/>
      <c r="B194" s="710" t="inlineStr">
        <is>
          <t>F</t>
        </is>
      </c>
      <c r="C194" s="709" t="inlineStr">
        <is>
          <t>100 Breast</t>
        </is>
      </c>
      <c r="D194" s="710" t="n">
        <v>13</v>
      </c>
      <c r="E194" s="590" t="inlineStr">
        <is>
          <t>KAYLER NGAN KANG YI</t>
        </is>
      </c>
      <c r="F194" s="707" t="inlineStr">
        <is>
          <t>1:18.82</t>
        </is>
      </c>
      <c r="G19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4" s="460">
        <f>G194/#REF!</f>
        <v/>
      </c>
      <c r="I194" s="591" t="inlineStr">
        <is>
          <t>1:22.96</t>
        </is>
      </c>
      <c r="J19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4" s="460">
        <f>J194/#REF!</f>
        <v/>
      </c>
      <c r="L194" s="709" t="n">
        <v>7</v>
      </c>
      <c r="M194" s="593" t="n">
        <v>14</v>
      </c>
      <c r="N194" s="655">
        <f t="array" ref="N194">1000*(INDEX('Bakat Base Times'!$E:$E,MATCH(1,('Bakat Base Times'!$A:$A=B194)*('Bakat Base Times'!$B:$B=C194)*('Bakat Base Times'!$C:$C=D194),0))/(VALUE(O194)))^3
</f>
        <v/>
      </c>
      <c r="O194" s="582">
        <f>IFERROR(__xludf.DUMMYFUNCTION("IF(ISNUMBER(I194), I194, IF(REGEXMATCH(I194, "":""), SUMPRODUCT(VALUE(SPLIT(I194, "":"")) * (60^(COUNTIF(SPLIT(I194, "":""), ""&lt;&gt;"")-COLUMN(OFFSET('MOT Tables 25'!$A$1,,,1,COUNTIF(SPLIT(I194, "":""),""&lt;&gt;"")))))), VALUE(I194)))"),82.96000000000001)</f>
        <v/>
      </c>
      <c r="P194" s="689" t="n"/>
      <c r="Q194" s="689" t="n"/>
      <c r="R194" s="689" t="n"/>
      <c r="S194" s="689" t="n"/>
      <c r="T194" s="689" t="n"/>
      <c r="U194" s="689" t="n"/>
      <c r="V194" s="689" t="n"/>
      <c r="W194" s="689" t="n"/>
      <c r="X194" s="689" t="n"/>
      <c r="Y194" s="596" t="inlineStr">
        <is>
          <t>F</t>
        </is>
      </c>
      <c r="Z194" s="597" t="inlineStr">
        <is>
          <t>100 Breast</t>
        </is>
      </c>
      <c r="AA194" s="589" t="n">
        <v>13</v>
      </c>
      <c r="AB194" s="590" t="inlineStr">
        <is>
          <t>KAYLER NGAN KANG YI</t>
        </is>
      </c>
      <c r="AC194" s="591" t="inlineStr">
        <is>
          <t>1:22.96</t>
        </is>
      </c>
      <c r="AD194" s="592">
        <f>IFERROR(__xludf.DUMMYFUNCTION("IF(ISNUMBER(AC194), AC194, IF(REGEXMATCH(AC194, "":""), SUMPRODUCT(VALUE(SPLIT(AC194, "":"")) * (60^(COUNTIF(SPLIT(AC194, "":""), ""&lt;&gt;"")-COLUMN(OFFSET('MOT Tables 25'!$A$1,,,1,COUNTIF(SPLIT(AC194, "":""),""&lt;&gt;"")))))), VALUE(AC194)))"),82.96000000000001)</f>
        <v/>
      </c>
      <c r="AE194" s="593" t="n">
        <v>14</v>
      </c>
      <c r="AF194" s="594">
        <f t="array" ref="AF194">1000*(INDEX('Bakat Base Times'!$E:$E,MATCH(1,('Bakat Base Times'!$A:$A=Y194)*('Bakat Base Times'!$B:$B=Z194)*('Bakat Base Times'!$C:$C=AA194),0))/(VALUE(AD194)))^3
</f>
        <v/>
      </c>
      <c r="AG194" s="693" t="n"/>
      <c r="AH194" s="721" t="n"/>
      <c r="AI194" s="721" t="n"/>
      <c r="AJ194" s="688" t="n"/>
      <c r="AK194" s="689" t="n"/>
      <c r="AL194" s="690" t="n"/>
      <c r="AM194" s="691" t="n"/>
      <c r="AN194" s="692" t="n"/>
      <c r="AO194" s="693" t="n"/>
      <c r="AP194" s="693" t="n"/>
      <c r="AQ194" s="693" t="n"/>
      <c r="AR194" s="693" t="n"/>
      <c r="AS194" s="693" t="n"/>
      <c r="AT194" s="693" t="n"/>
      <c r="AU194" s="699" t="n"/>
      <c r="AV194" s="693" t="n"/>
      <c r="AW194" s="693" t="n"/>
      <c r="AX194" s="693" t="n"/>
      <c r="AY194" s="693" t="n"/>
      <c r="AZ194" s="693" t="n"/>
    </row>
    <row r="195">
      <c r="A195" s="651" t="n"/>
      <c r="B195" s="705" t="inlineStr">
        <is>
          <t>M</t>
        </is>
      </c>
      <c r="C195" s="704" t="inlineStr">
        <is>
          <t>200 Free</t>
        </is>
      </c>
      <c r="D195" s="705" t="n">
        <v>15</v>
      </c>
      <c r="E195" s="613" t="inlineStr">
        <is>
          <t>LOO CHENG FENG</t>
        </is>
      </c>
      <c r="F195" s="701" t="inlineStr">
        <is>
          <t>1:58.72</t>
        </is>
      </c>
      <c r="G19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5" s="464">
        <f>G195/#REF!</f>
        <v/>
      </c>
      <c r="I195" s="614" t="inlineStr">
        <is>
          <t>2:09.05</t>
        </is>
      </c>
      <c r="J19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5" s="464">
        <f>J195/#REF!</f>
        <v/>
      </c>
      <c r="L195" s="704" t="n">
        <v>6</v>
      </c>
      <c r="M195" s="616" t="n">
        <v>10</v>
      </c>
      <c r="N195" s="652">
        <f t="array" ref="N195">1000*(INDEX('Bakat Base Times'!$E:$E,MATCH(1,('Bakat Base Times'!$A:$A=B195)*('Bakat Base Times'!$B:$B=C195)*('Bakat Base Times'!$C:$C=D195),0))/(VALUE(O195)))^3
</f>
        <v/>
      </c>
      <c r="O195" s="609">
        <f>IFERROR(__xludf.DUMMYFUNCTION("IF(ISNUMBER(I195), I195, IF(REGEXMATCH(I195, "":""), SUMPRODUCT(VALUE(SPLIT(I195, "":"")) * (60^(COUNTIF(SPLIT(I195, "":""), ""&lt;&gt;"")-COLUMN(OFFSET('MOT Tables 25'!$A$1,,,1,COUNTIF(SPLIT(I195, "":""),""&lt;&gt;"")))))), VALUE(I195)))"),129.05)</f>
        <v/>
      </c>
      <c r="P195" s="689" t="n"/>
      <c r="Q195" s="689" t="n"/>
      <c r="R195" s="689" t="n"/>
      <c r="S195" s="689" t="n"/>
      <c r="T195" s="689" t="n"/>
      <c r="U195" s="689" t="n"/>
      <c r="V195" s="689" t="n"/>
      <c r="W195" s="689" t="n"/>
      <c r="X195" s="689" t="n"/>
      <c r="Y195" s="618" t="inlineStr">
        <is>
          <t>M</t>
        </is>
      </c>
      <c r="Z195" s="619" t="inlineStr">
        <is>
          <t>200 Free</t>
        </is>
      </c>
      <c r="AA195" s="612" t="n">
        <v>15</v>
      </c>
      <c r="AB195" s="613" t="inlineStr">
        <is>
          <t>LOO CHENG FENG</t>
        </is>
      </c>
      <c r="AC195" s="614" t="inlineStr">
        <is>
          <t>2:09.05</t>
        </is>
      </c>
      <c r="AD195" s="628">
        <f>IFERROR(__xludf.DUMMYFUNCTION("IF(ISNUMBER(AC195), AC195, IF(REGEXMATCH(AC195, "":""), SUMPRODUCT(VALUE(SPLIT(AC195, "":"")) * (60^(COUNTIF(SPLIT(AC195, "":""), ""&lt;&gt;"")-COLUMN(OFFSET('MOT Tables 25'!$A$1,,,1,COUNTIF(SPLIT(AC195, "":""),""&lt;&gt;"")))))), VALUE(AC195)))"),129.05)</f>
        <v/>
      </c>
      <c r="AE195" s="616" t="n">
        <v>10</v>
      </c>
      <c r="AF195" s="617">
        <f t="array" ref="AF195">1000*(INDEX('Bakat Base Times'!$E:$E,MATCH(1,('Bakat Base Times'!$A:$A=Y195)*('Bakat Base Times'!$B:$B=Z195)*('Bakat Base Times'!$C:$C=AA195),0))/(VALUE(AD195)))^3
</f>
        <v/>
      </c>
      <c r="AG195" s="693" t="n"/>
      <c r="AH195" s="721" t="n"/>
      <c r="AI195" s="721" t="n"/>
      <c r="AJ195" s="688" t="n"/>
      <c r="AK195" s="689" t="n"/>
      <c r="AL195" s="690" t="n"/>
      <c r="AM195" s="691" t="n"/>
      <c r="AN195" s="692" t="n"/>
      <c r="AO195" s="693" t="n"/>
      <c r="AP195" s="693" t="n"/>
      <c r="AQ195" s="693" t="n"/>
      <c r="AR195" s="693" t="n"/>
      <c r="AS195" s="693" t="n"/>
      <c r="AT195" s="693" t="n"/>
      <c r="AU195" s="699" t="n"/>
      <c r="AV195" s="693" t="n"/>
      <c r="AW195" s="693" t="n"/>
      <c r="AX195" s="693" t="n"/>
      <c r="AY195" s="693" t="n"/>
      <c r="AZ195" s="693" t="n"/>
    </row>
    <row r="196">
      <c r="A196" s="654" t="n"/>
      <c r="B196" s="710" t="inlineStr">
        <is>
          <t>F</t>
        </is>
      </c>
      <c r="C196" s="709" t="inlineStr">
        <is>
          <t>200 Breast</t>
        </is>
      </c>
      <c r="D196" s="710" t="n">
        <v>13</v>
      </c>
      <c r="E196" s="590" t="inlineStr">
        <is>
          <t>KAYLER NGAN KANG YI</t>
        </is>
      </c>
      <c r="F196" s="707" t="inlineStr">
        <is>
          <t>2:50.58</t>
        </is>
      </c>
      <c r="G19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6" s="460">
        <f>G196/#REF!</f>
        <v/>
      </c>
      <c r="I196" s="591" t="inlineStr">
        <is>
          <t>2:59.63</t>
        </is>
      </c>
      <c r="J196"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6" s="460">
        <f>J196/#REF!</f>
        <v/>
      </c>
      <c r="L196" s="709" t="n">
        <v>6</v>
      </c>
      <c r="M196" s="593" t="n">
        <v>14</v>
      </c>
      <c r="N196" s="655">
        <f t="array" ref="N196">1000*(INDEX('Bakat Base Times'!$E:$E,MATCH(1,('Bakat Base Times'!$A:$A=B196)*('Bakat Base Times'!$B:$B=C196)*('Bakat Base Times'!$C:$C=D196),0))/(VALUE(O196)))^3
</f>
        <v/>
      </c>
      <c r="O196" s="582">
        <f>IFERROR(__xludf.DUMMYFUNCTION("IF(ISNUMBER(I196), I196, IF(REGEXMATCH(I196, "":""), SUMPRODUCT(VALUE(SPLIT(I196, "":"")) * (60^(COUNTIF(SPLIT(I196, "":""), ""&lt;&gt;"")-COLUMN(OFFSET('MOT Tables 25'!$A$1,,,1,COUNTIF(SPLIT(I196, "":""),""&lt;&gt;"")))))), VALUE(I196)))"),179.63)</f>
        <v/>
      </c>
      <c r="P196" s="689" t="n"/>
      <c r="Q196" s="689" t="n"/>
      <c r="R196" s="689" t="n"/>
      <c r="S196" s="689" t="n"/>
      <c r="T196" s="689" t="n"/>
      <c r="U196" s="689" t="n"/>
      <c r="V196" s="689" t="n"/>
      <c r="W196" s="689" t="n"/>
      <c r="X196" s="689" t="n"/>
      <c r="Y196" s="596" t="inlineStr">
        <is>
          <t>F</t>
        </is>
      </c>
      <c r="Z196" s="597" t="inlineStr">
        <is>
          <t>200 Breast</t>
        </is>
      </c>
      <c r="AA196" s="589" t="n">
        <v>13</v>
      </c>
      <c r="AB196" s="590" t="inlineStr">
        <is>
          <t>KAYLER NGAN KANG YI</t>
        </is>
      </c>
      <c r="AC196" s="591" t="inlineStr">
        <is>
          <t>2:59.63</t>
        </is>
      </c>
      <c r="AD196" s="592">
        <f>IFERROR(__xludf.DUMMYFUNCTION("IF(ISNUMBER(AC196), AC196, IF(REGEXMATCH(AC196, "":""), SUMPRODUCT(VALUE(SPLIT(AC196, "":"")) * (60^(COUNTIF(SPLIT(AC196, "":""), ""&lt;&gt;"")-COLUMN(OFFSET('MOT Tables 25'!$A$1,,,1,COUNTIF(SPLIT(AC196, "":""),""&lt;&gt;"")))))), VALUE(AC196)))"),179.63)</f>
        <v/>
      </c>
      <c r="AE196" s="593" t="n">
        <v>14</v>
      </c>
      <c r="AF196" s="594">
        <f t="array" ref="AF196">1000*(INDEX('Bakat Base Times'!$E:$E,MATCH(1,('Bakat Base Times'!$A:$A=Y196)*('Bakat Base Times'!$B:$B=Z196)*('Bakat Base Times'!$C:$C=AA196),0))/(VALUE(AD196)))^3
</f>
        <v/>
      </c>
      <c r="AG196" s="693" t="n"/>
      <c r="AH196" s="721" t="n"/>
      <c r="AI196" s="721" t="n"/>
      <c r="AJ196" s="688" t="n"/>
      <c r="AK196" s="689" t="n"/>
      <c r="AL196" s="690" t="n"/>
      <c r="AM196" s="691" t="n"/>
      <c r="AN196" s="692" t="n"/>
      <c r="AO196" s="693" t="n"/>
      <c r="AP196" s="693" t="n"/>
      <c r="AQ196" s="693" t="n"/>
      <c r="AR196" s="693" t="n"/>
      <c r="AS196" s="693" t="n"/>
      <c r="AT196" s="693" t="n"/>
      <c r="AU196" s="699" t="n"/>
      <c r="AV196" s="693" t="n"/>
      <c r="AW196" s="693" t="n"/>
      <c r="AX196" s="693" t="n"/>
      <c r="AY196" s="693" t="n"/>
      <c r="AZ196" s="693" t="n"/>
    </row>
    <row r="197">
      <c r="A197" s="651" t="n"/>
      <c r="B197" s="705" t="inlineStr">
        <is>
          <t>F</t>
        </is>
      </c>
      <c r="C197" s="704" t="inlineStr">
        <is>
          <t>100 Breast</t>
        </is>
      </c>
      <c r="D197" s="705" t="n">
        <v>16</v>
      </c>
      <c r="E197" s="613" t="inlineStr">
        <is>
          <t>LYNNA YEOW YI JING</t>
        </is>
      </c>
      <c r="F197" s="701" t="inlineStr">
        <is>
          <t>1:17.16</t>
        </is>
      </c>
      <c r="G19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7" s="464">
        <f>G197/#REF!</f>
        <v/>
      </c>
      <c r="I197" s="665" t="inlineStr">
        <is>
          <t>1:20.09</t>
        </is>
      </c>
      <c r="J19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7" s="464">
        <f>J197/#REF!</f>
        <v/>
      </c>
      <c r="L197" s="704" t="n">
        <v>16</v>
      </c>
      <c r="M197" s="616" t="n">
        <v>14</v>
      </c>
      <c r="N197" s="652">
        <f t="array" ref="N197">1000*(INDEX('Bakat Base Times'!$E:$E,MATCH(1,('Bakat Base Times'!$A:$A=B197)*('Bakat Base Times'!$B:$B=C197)*('Bakat Base Times'!$C:$C=D197),0))/(VALUE(O197)))^3
</f>
        <v/>
      </c>
      <c r="O197" s="609">
        <f>IFERROR(__xludf.DUMMYFUNCTION("IF(ISNUMBER(I197), I197, IF(REGEXMATCH(I197, "":""), SUMPRODUCT(VALUE(SPLIT(I197, "":"")) * (60^(COUNTIF(SPLIT(I197, "":""), ""&lt;&gt;"")-COLUMN(OFFSET('MOT Tables 25'!$A$1,,,1,COUNTIF(SPLIT(I197, "":""),""&lt;&gt;"")))))), VALUE(I197)))"),80.09)</f>
        <v/>
      </c>
      <c r="P197" s="689" t="n"/>
      <c r="Q197" s="689" t="n"/>
      <c r="R197" s="689" t="n"/>
      <c r="S197" s="689" t="n"/>
      <c r="T197" s="689" t="n"/>
      <c r="U197" s="689" t="n"/>
      <c r="V197" s="689" t="n"/>
      <c r="W197" s="689" t="n"/>
      <c r="X197" s="689" t="n"/>
      <c r="Y197" s="618" t="inlineStr">
        <is>
          <t>F</t>
        </is>
      </c>
      <c r="Z197" s="619" t="inlineStr">
        <is>
          <t>100 Breast</t>
        </is>
      </c>
      <c r="AA197" s="612" t="n">
        <v>16</v>
      </c>
      <c r="AB197" s="613" t="inlineStr">
        <is>
          <t>LYNNA YEOW YI JING</t>
        </is>
      </c>
      <c r="AC197" s="665" t="inlineStr">
        <is>
          <t>1:20.09</t>
        </is>
      </c>
      <c r="AD197" s="628">
        <f>IFERROR(__xludf.DUMMYFUNCTION("IF(ISNUMBER(AC197), AC197, IF(REGEXMATCH(AC197, "":""), SUMPRODUCT(VALUE(SPLIT(AC197, "":"")) * (60^(COUNTIF(SPLIT(AC197, "":""), ""&lt;&gt;"")-COLUMN(OFFSET('MOT Tables 25'!$A$1,,,1,COUNTIF(SPLIT(AC197, "":""),""&lt;&gt;"")))))), VALUE(AC197)))"),80.09)</f>
        <v/>
      </c>
      <c r="AE197" s="616" t="n">
        <v>14</v>
      </c>
      <c r="AF197" s="617">
        <f t="array" ref="AF197">1000*(INDEX('Bakat Base Times'!$E:$E,MATCH(1,('Bakat Base Times'!$A:$A=Y197)*('Bakat Base Times'!$B:$B=Z197)*('Bakat Base Times'!$C:$C=AA197),0))/(VALUE(AD197)))^3
</f>
        <v/>
      </c>
      <c r="AG197" s="693" t="n"/>
      <c r="AH197" s="721" t="n"/>
      <c r="AI197" s="721" t="n"/>
      <c r="AJ197" s="688" t="n"/>
      <c r="AK197" s="689" t="n"/>
      <c r="AL197" s="690" t="n"/>
      <c r="AM197" s="691" t="n"/>
      <c r="AN197" s="692" t="n"/>
      <c r="AO197" s="693" t="n"/>
      <c r="AP197" s="693" t="n"/>
      <c r="AQ197" s="693" t="n"/>
      <c r="AR197" s="693" t="n"/>
      <c r="AS197" s="693" t="n"/>
      <c r="AT197" s="693" t="n"/>
      <c r="AU197" s="699" t="n"/>
      <c r="AV197" s="693" t="n"/>
      <c r="AW197" s="693" t="n"/>
      <c r="AX197" s="693" t="n"/>
      <c r="AY197" s="693" t="n"/>
      <c r="AZ197" s="693" t="n"/>
    </row>
    <row r="198">
      <c r="A198" s="654" t="n"/>
      <c r="B198" s="710" t="inlineStr">
        <is>
          <t>F</t>
        </is>
      </c>
      <c r="C198" s="709" t="inlineStr">
        <is>
          <t>200 Breast</t>
        </is>
      </c>
      <c r="D198" s="710" t="n">
        <v>13</v>
      </c>
      <c r="E198" s="590" t="inlineStr">
        <is>
          <t>RYANNE YEONG ZI TING</t>
        </is>
      </c>
      <c r="F198" s="707" t="inlineStr">
        <is>
          <t>3:02.71</t>
        </is>
      </c>
      <c r="G19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8" s="460">
        <f>G198/#REF!</f>
        <v/>
      </c>
      <c r="I198" s="591" t="inlineStr">
        <is>
          <t>3:00.15</t>
        </is>
      </c>
      <c r="J198"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8" s="460">
        <f>J198/#REF!</f>
        <v/>
      </c>
      <c r="L198" s="709" t="n">
        <v>15</v>
      </c>
      <c r="M198" s="593" t="n">
        <v>14</v>
      </c>
      <c r="N198" s="655">
        <f t="array" ref="N198">1000*(INDEX('Bakat Base Times'!$E:$E,MATCH(1,('Bakat Base Times'!$A:$A=B198)*('Bakat Base Times'!$B:$B=C198)*('Bakat Base Times'!$C:$C=D198),0))/(VALUE(O198)))^3
</f>
        <v/>
      </c>
      <c r="O198" s="582">
        <f>IFERROR(__xludf.DUMMYFUNCTION("IF(ISNUMBER(I198), I198, IF(REGEXMATCH(I198, "":""), SUMPRODUCT(VALUE(SPLIT(I198, "":"")) * (60^(COUNTIF(SPLIT(I198, "":""), ""&lt;&gt;"")-COLUMN(OFFSET('MOT Tables 25'!$A$1,,,1,COUNTIF(SPLIT(I198, "":""),""&lt;&gt;"")))))), VALUE(I198)))"),180.15)</f>
        <v/>
      </c>
      <c r="P198" s="689" t="n"/>
      <c r="Q198" s="689" t="n"/>
      <c r="R198" s="689" t="n"/>
      <c r="S198" s="689" t="n"/>
      <c r="T198" s="689" t="n"/>
      <c r="U198" s="689" t="n"/>
      <c r="V198" s="689" t="n"/>
      <c r="W198" s="689" t="n"/>
      <c r="X198" s="689" t="n"/>
      <c r="Y198" s="596" t="inlineStr">
        <is>
          <t>F</t>
        </is>
      </c>
      <c r="Z198" s="597" t="inlineStr">
        <is>
          <t>200 Breast</t>
        </is>
      </c>
      <c r="AA198" s="589" t="n">
        <v>13</v>
      </c>
      <c r="AB198" s="590" t="inlineStr">
        <is>
          <t>RYANNE YEONG ZI TING</t>
        </is>
      </c>
      <c r="AC198" s="591" t="inlineStr">
        <is>
          <t>3:00.15</t>
        </is>
      </c>
      <c r="AD198" s="592">
        <f>IFERROR(__xludf.DUMMYFUNCTION("IF(ISNUMBER(AC198), AC198, IF(REGEXMATCH(AC198, "":""), SUMPRODUCT(VALUE(SPLIT(AC198, "":"")) * (60^(COUNTIF(SPLIT(AC198, "":""), ""&lt;&gt;"")-COLUMN(OFFSET('MOT Tables 25'!$A$1,,,1,COUNTIF(SPLIT(AC198, "":""),""&lt;&gt;"")))))), VALUE(AC198)))"),180.15)</f>
        <v/>
      </c>
      <c r="AE198" s="593" t="n">
        <v>14</v>
      </c>
      <c r="AF198" s="594">
        <f t="array" ref="AF198">1000*(INDEX('Bakat Base Times'!$E:$E,MATCH(1,('Bakat Base Times'!$A:$A=Y198)*('Bakat Base Times'!$B:$B=Z198)*('Bakat Base Times'!$C:$C=AA198),0))/(VALUE(AD198)))^3
</f>
        <v/>
      </c>
      <c r="AG198" s="693" t="n"/>
      <c r="AH198" s="721" t="n"/>
      <c r="AI198" s="721" t="n"/>
      <c r="AJ198" s="688" t="n"/>
      <c r="AK198" s="689" t="n"/>
      <c r="AL198" s="690" t="n"/>
      <c r="AM198" s="691" t="n"/>
      <c r="AN198" s="692" t="n"/>
      <c r="AO198" s="693" t="n"/>
      <c r="AP198" s="693" t="n"/>
      <c r="AQ198" s="693" t="n"/>
      <c r="AR198" s="693" t="n"/>
      <c r="AS198" s="693" t="n"/>
      <c r="AT198" s="693" t="n"/>
      <c r="AU198" s="699" t="n"/>
      <c r="AV198" s="693" t="n"/>
      <c r="AW198" s="693" t="n"/>
      <c r="AX198" s="693" t="n"/>
      <c r="AY198" s="693" t="n"/>
      <c r="AZ198" s="693" t="n"/>
    </row>
    <row r="199">
      <c r="A199" s="651" t="n"/>
      <c r="B199" s="705" t="inlineStr">
        <is>
          <t>F</t>
        </is>
      </c>
      <c r="C199" s="704" t="inlineStr">
        <is>
          <t>400 IM</t>
        </is>
      </c>
      <c r="D199" s="705" t="n">
        <v>13</v>
      </c>
      <c r="E199" s="613" t="inlineStr">
        <is>
          <t>CHENG VALERIE</t>
        </is>
      </c>
      <c r="F199" s="701" t="inlineStr">
        <is>
          <t>5:45.17</t>
        </is>
      </c>
      <c r="G19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199" s="464">
        <f>G199/#REF!</f>
        <v/>
      </c>
      <c r="I199" s="665" t="inlineStr">
        <is>
          <t>5:42.70</t>
        </is>
      </c>
      <c r="J19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199" s="464">
        <f>J199/#REF!</f>
        <v/>
      </c>
      <c r="L199" s="704" t="n">
        <v>12</v>
      </c>
      <c r="M199" s="616" t="n">
        <v>13</v>
      </c>
      <c r="N199" s="652">
        <f t="array" ref="N199">1000*(INDEX('Bakat Base Times'!$E:$E,MATCH(1,('Bakat Base Times'!$A:$A=B199)*('Bakat Base Times'!$B:$B=C199)*('Bakat Base Times'!$C:$C=D199),0))/(VALUE(O199)))^3
</f>
        <v/>
      </c>
      <c r="O199" s="609">
        <f>IFERROR(__xludf.DUMMYFUNCTION("IF(ISNUMBER(I199), I199, IF(REGEXMATCH(I199, "":""), SUMPRODUCT(VALUE(SPLIT(I199, "":"")) * (60^(COUNTIF(SPLIT(I199, "":""), ""&lt;&gt;"")-COLUMN(OFFSET('MOT Tables 25'!$A$1,,,1,COUNTIF(SPLIT(I199, "":""),""&lt;&gt;"")))))), VALUE(I199)))"),342.7)</f>
        <v/>
      </c>
      <c r="P199" s="689" t="n"/>
      <c r="Q199" s="689" t="n"/>
      <c r="R199" s="689" t="n"/>
      <c r="S199" s="689" t="n"/>
      <c r="T199" s="689" t="n"/>
      <c r="U199" s="689" t="n"/>
      <c r="V199" s="689" t="n"/>
      <c r="W199" s="689" t="n"/>
      <c r="X199" s="689" t="n"/>
      <c r="Y199" s="618" t="inlineStr">
        <is>
          <t>F</t>
        </is>
      </c>
      <c r="Z199" s="619" t="inlineStr">
        <is>
          <t>400 IM</t>
        </is>
      </c>
      <c r="AA199" s="612" t="n">
        <v>13</v>
      </c>
      <c r="AB199" s="613" t="inlineStr">
        <is>
          <t>CHENG VALERIE</t>
        </is>
      </c>
      <c r="AC199" s="665" t="inlineStr">
        <is>
          <t>5:42.70</t>
        </is>
      </c>
      <c r="AD199" s="628">
        <f>IFERROR(__xludf.DUMMYFUNCTION("IF(ISNUMBER(AC199), AC199, IF(REGEXMATCH(AC199, "":""), SUMPRODUCT(VALUE(SPLIT(AC199, "":"")) * (60^(COUNTIF(SPLIT(AC199, "":""), ""&lt;&gt;"")-COLUMN(OFFSET('MOT Tables 25'!$A$1,,,1,COUNTIF(SPLIT(AC199, "":""),""&lt;&gt;"")))))), VALUE(AC199)))"),342.7)</f>
        <v/>
      </c>
      <c r="AE199" s="616" t="n">
        <v>13</v>
      </c>
      <c r="AF199" s="617">
        <f t="array" ref="AF199">1000*(INDEX('Bakat Base Times'!$E:$E,MATCH(1,('Bakat Base Times'!$A:$A=Y199)*('Bakat Base Times'!$B:$B=Z199)*('Bakat Base Times'!$C:$C=AA199),0))/(VALUE(AD199)))^3
</f>
        <v/>
      </c>
      <c r="AG199" s="693" t="n"/>
      <c r="AH199" s="721" t="n"/>
      <c r="AI199" s="721" t="n"/>
      <c r="AJ199" s="688" t="n"/>
      <c r="AK199" s="689" t="n"/>
      <c r="AL199" s="690" t="n"/>
      <c r="AM199" s="691" t="n"/>
      <c r="AN199" s="692" t="n"/>
      <c r="AO199" s="693" t="n"/>
      <c r="AP199" s="693" t="n"/>
      <c r="AQ199" s="693" t="n"/>
      <c r="AR199" s="693" t="n"/>
      <c r="AS199" s="693" t="n"/>
      <c r="AT199" s="693" t="n"/>
      <c r="AU199" s="699" t="n"/>
      <c r="AV199" s="693" t="n"/>
      <c r="AW199" s="693" t="n"/>
      <c r="AX199" s="693" t="n"/>
      <c r="AY199" s="693" t="n"/>
      <c r="AZ199" s="693" t="n"/>
    </row>
    <row r="200">
      <c r="A200" s="654" t="n"/>
      <c r="B200" s="710" t="inlineStr">
        <is>
          <t>M</t>
        </is>
      </c>
      <c r="C200" s="709" t="inlineStr">
        <is>
          <t>200 Fly</t>
        </is>
      </c>
      <c r="D200" s="710" t="n">
        <v>18</v>
      </c>
      <c r="E200" s="590" t="inlineStr">
        <is>
          <t>TEW HANG YONG</t>
        </is>
      </c>
      <c r="F200" s="707" t="inlineStr">
        <is>
          <t>2:14.47</t>
        </is>
      </c>
      <c r="G20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0" s="460">
        <f>G200/#REF!</f>
        <v/>
      </c>
      <c r="I200" s="591" t="inlineStr">
        <is>
          <t>2:16.59</t>
        </is>
      </c>
      <c r="J20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0" s="460">
        <f>J200/#REF!</f>
        <v/>
      </c>
      <c r="L200" s="709" t="n">
        <v>13</v>
      </c>
      <c r="M200" s="593" t="n">
        <v>15</v>
      </c>
      <c r="N200" s="655">
        <f t="array" ref="N200">1000*(INDEX('Bakat Base Times'!$E:$E,MATCH(1,('Bakat Base Times'!$A:$A=B200)*('Bakat Base Times'!$B:$B=C200)*('Bakat Base Times'!$C:$C=D200),0))/(VALUE(O200)))^3
</f>
        <v/>
      </c>
      <c r="O200" s="582">
        <f>IFERROR(__xludf.DUMMYFUNCTION("IF(ISNUMBER(I200), I200, IF(REGEXMATCH(I200, "":""), SUMPRODUCT(VALUE(SPLIT(I200, "":"")) * (60^(COUNTIF(SPLIT(I200, "":""), ""&lt;&gt;"")-COLUMN(OFFSET('MOT Tables 25'!$A$1,,,1,COUNTIF(SPLIT(I200, "":""),""&lt;&gt;"")))))), VALUE(I200)))"),136.59)</f>
        <v/>
      </c>
      <c r="P200" s="689" t="n"/>
      <c r="Q200" s="689" t="n"/>
      <c r="R200" s="689" t="n"/>
      <c r="S200" s="689" t="n"/>
      <c r="T200" s="689" t="n"/>
      <c r="U200" s="689" t="n"/>
      <c r="V200" s="689" t="n"/>
      <c r="W200" s="689" t="n"/>
      <c r="X200" s="689" t="n"/>
      <c r="Y200" s="596" t="inlineStr">
        <is>
          <t>M</t>
        </is>
      </c>
      <c r="Z200" s="597" t="inlineStr">
        <is>
          <t>200 Fly</t>
        </is>
      </c>
      <c r="AA200" s="589" t="n">
        <v>18</v>
      </c>
      <c r="AB200" s="590" t="inlineStr">
        <is>
          <t>TEW HANG YONG</t>
        </is>
      </c>
      <c r="AC200" s="591" t="inlineStr">
        <is>
          <t>2:16.59</t>
        </is>
      </c>
      <c r="AD200" s="592">
        <f>IFERROR(__xludf.DUMMYFUNCTION("IF(ISNUMBER(AC200), AC200, IF(REGEXMATCH(AC200, "":""), SUMPRODUCT(VALUE(SPLIT(AC200, "":"")) * (60^(COUNTIF(SPLIT(AC200, "":""), ""&lt;&gt;"")-COLUMN(OFFSET('MOT Tables 25'!$A$1,,,1,COUNTIF(SPLIT(AC200, "":""),""&lt;&gt;"")))))), VALUE(AC200)))"),136.59)</f>
        <v/>
      </c>
      <c r="AE200" s="593" t="n">
        <v>15</v>
      </c>
      <c r="AF200" s="594">
        <f t="array" ref="AF200">1000*(INDEX('Bakat Base Times'!$E:$E,MATCH(1,('Bakat Base Times'!$A:$A=Y200)*('Bakat Base Times'!$B:$B=Z200)*('Bakat Base Times'!$C:$C=AA200),0))/(VALUE(AD200)))^3
</f>
        <v/>
      </c>
      <c r="AG200" s="693" t="n"/>
      <c r="AH200" s="721" t="n"/>
      <c r="AI200" s="721" t="n"/>
      <c r="AJ200" s="688" t="n"/>
      <c r="AK200" s="689" t="n"/>
      <c r="AL200" s="690" t="n"/>
      <c r="AM200" s="691" t="n"/>
      <c r="AN200" s="692" t="n"/>
      <c r="AO200" s="693" t="n"/>
      <c r="AP200" s="693" t="n"/>
      <c r="AQ200" s="693" t="n"/>
      <c r="AR200" s="693" t="n"/>
      <c r="AS200" s="693" t="n"/>
      <c r="AT200" s="693" t="n"/>
      <c r="AU200" s="699" t="n"/>
      <c r="AV200" s="693" t="n"/>
      <c r="AW200" s="693" t="n"/>
      <c r="AX200" s="693" t="n"/>
      <c r="AY200" s="693" t="n"/>
      <c r="AZ200" s="693" t="n"/>
    </row>
    <row r="201">
      <c r="A201" s="651" t="n"/>
      <c r="B201" s="705" t="inlineStr">
        <is>
          <t>F</t>
        </is>
      </c>
      <c r="C201" s="704" t="inlineStr">
        <is>
          <t>800 Free</t>
        </is>
      </c>
      <c r="D201" s="705" t="n">
        <v>13</v>
      </c>
      <c r="E201" s="613" t="inlineStr">
        <is>
          <t>NATALIE LIM RONG LI</t>
        </is>
      </c>
      <c r="F201" s="701" t="inlineStr">
        <is>
          <t>10:20.39</t>
        </is>
      </c>
      <c r="G20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1" s="464">
        <f>G201/#REF!</f>
        <v/>
      </c>
      <c r="I201" s="614" t="inlineStr">
        <is>
          <t>10:20.23</t>
        </is>
      </c>
      <c r="J20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1" s="464">
        <f>J201/#REF!</f>
        <v/>
      </c>
      <c r="L201" s="704" t="n">
        <v>14</v>
      </c>
      <c r="M201" s="616" t="n">
        <v>12</v>
      </c>
      <c r="N201" s="652">
        <f t="array" ref="N201">1000*(INDEX('Bakat Base Times'!$E:$E,MATCH(1,('Bakat Base Times'!$A:$A=B201)*('Bakat Base Times'!$B:$B=C201)*('Bakat Base Times'!$C:$C=D201),0))/(VALUE(O201)))^3
</f>
        <v/>
      </c>
      <c r="O201" s="609">
        <f>IFERROR(__xludf.DUMMYFUNCTION("IF(ISNUMBER(I201), I201, IF(REGEXMATCH(I201, "":""), SUMPRODUCT(VALUE(SPLIT(I201, "":"")) * (60^(COUNTIF(SPLIT(I201, "":""), ""&lt;&gt;"")-COLUMN(OFFSET('MOT Tables 25'!$A$1,,,1,COUNTIF(SPLIT(I201, "":""),""&lt;&gt;"")))))), VALUE(I201)))"),620.23)</f>
        <v/>
      </c>
      <c r="P201" s="689" t="n"/>
      <c r="Q201" s="689" t="n"/>
      <c r="R201" s="689" t="n"/>
      <c r="S201" s="689" t="n"/>
      <c r="T201" s="689" t="n"/>
      <c r="U201" s="689" t="n"/>
      <c r="V201" s="689" t="n"/>
      <c r="W201" s="689" t="n"/>
      <c r="X201" s="689" t="n"/>
      <c r="Y201" s="618" t="inlineStr">
        <is>
          <t>F</t>
        </is>
      </c>
      <c r="Z201" s="619" t="inlineStr">
        <is>
          <t>800 Free</t>
        </is>
      </c>
      <c r="AA201" s="612" t="n">
        <v>13</v>
      </c>
      <c r="AB201" s="613" t="inlineStr">
        <is>
          <t>NATALIE LIM RONG LI</t>
        </is>
      </c>
      <c r="AC201" s="614" t="inlineStr">
        <is>
          <t>10:20.23</t>
        </is>
      </c>
      <c r="AD201" s="628">
        <f>IFERROR(__xludf.DUMMYFUNCTION("IF(ISNUMBER(AC201), AC201, IF(REGEXMATCH(AC201, "":""), SUMPRODUCT(VALUE(SPLIT(AC201, "":"")) * (60^(COUNTIF(SPLIT(AC201, "":""), ""&lt;&gt;"")-COLUMN(OFFSET('MOT Tables 25'!$A$1,,,1,COUNTIF(SPLIT(AC201, "":""),""&lt;&gt;"")))))), VALUE(AC201)))"),620.23)</f>
        <v/>
      </c>
      <c r="AE201" s="616" t="n">
        <v>12</v>
      </c>
      <c r="AF201" s="617">
        <f t="array" ref="AF201">1000*(INDEX('Bakat Base Times'!$E:$E,MATCH(1,('Bakat Base Times'!$A:$A=Y201)*('Bakat Base Times'!$B:$B=Z201)*('Bakat Base Times'!$C:$C=AA201),0))/(VALUE(AD201)))^3
</f>
        <v/>
      </c>
      <c r="AG201" s="693" t="n"/>
      <c r="AH201" s="721" t="n"/>
      <c r="AI201" s="721" t="n"/>
      <c r="AJ201" s="688" t="n"/>
      <c r="AK201" s="689" t="n"/>
      <c r="AL201" s="690" t="n"/>
      <c r="AM201" s="691" t="n"/>
      <c r="AN201" s="692" t="n"/>
      <c r="AO201" s="693" t="n"/>
      <c r="AP201" s="693" t="n"/>
      <c r="AQ201" s="693" t="n"/>
      <c r="AR201" s="693" t="n"/>
      <c r="AS201" s="693" t="n"/>
      <c r="AT201" s="693" t="n"/>
      <c r="AU201" s="699" t="n"/>
      <c r="AV201" s="693" t="n"/>
      <c r="AW201" s="693" t="n"/>
      <c r="AX201" s="693" t="n"/>
      <c r="AY201" s="693" t="n"/>
      <c r="AZ201" s="693" t="n"/>
    </row>
    <row r="202">
      <c r="A202" s="654" t="n"/>
      <c r="B202" s="710" t="inlineStr">
        <is>
          <t>F</t>
        </is>
      </c>
      <c r="C202" s="709" t="inlineStr">
        <is>
          <t>400 IM</t>
        </is>
      </c>
      <c r="D202" s="710" t="n">
        <v>17</v>
      </c>
      <c r="E202" s="590" t="inlineStr">
        <is>
          <t>LEE YEN ERN</t>
        </is>
      </c>
      <c r="F202" s="707" t="inlineStr">
        <is>
          <t>5:23.96</t>
        </is>
      </c>
      <c r="G20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2" s="460">
        <f>G202/#REF!</f>
        <v/>
      </c>
      <c r="I202" s="591" t="inlineStr">
        <is>
          <t>5:27.92</t>
        </is>
      </c>
      <c r="J20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2" s="460">
        <f>J202/#REF!</f>
        <v/>
      </c>
      <c r="L202" s="709" t="n">
        <v>8</v>
      </c>
      <c r="M202" s="593" t="n">
        <v>8</v>
      </c>
      <c r="N202" s="655">
        <f t="array" ref="N202">1000*(INDEX('Bakat Base Times'!$E:$E,MATCH(1,('Bakat Base Times'!$A:$A=B202)*('Bakat Base Times'!$B:$B=C202)*('Bakat Base Times'!$C:$C=D202),0))/(VALUE(O202)))^3
</f>
        <v/>
      </c>
      <c r="O202" s="582">
        <f>IFERROR(__xludf.DUMMYFUNCTION("IF(ISNUMBER(I202), I202, IF(REGEXMATCH(I202, "":""), SUMPRODUCT(VALUE(SPLIT(I202, "":"")) * (60^(COUNTIF(SPLIT(I202, "":""), ""&lt;&gt;"")-COLUMN(OFFSET('MOT Tables 25'!$A$1,,,1,COUNTIF(SPLIT(I202, "":""),""&lt;&gt;"")))))), VALUE(I202)))"),327.92)</f>
        <v/>
      </c>
      <c r="P202" s="689" t="n"/>
      <c r="Q202" s="689" t="n"/>
      <c r="R202" s="689" t="n"/>
      <c r="S202" s="689" t="n"/>
      <c r="T202" s="689" t="n"/>
      <c r="U202" s="689" t="n"/>
      <c r="V202" s="689" t="n"/>
      <c r="W202" s="689" t="n"/>
      <c r="X202" s="689" t="n"/>
      <c r="Y202" s="596" t="inlineStr">
        <is>
          <t>F</t>
        </is>
      </c>
      <c r="Z202" s="597" t="inlineStr">
        <is>
          <t>400 IM</t>
        </is>
      </c>
      <c r="AA202" s="589" t="n">
        <v>17</v>
      </c>
      <c r="AB202" s="590" t="inlineStr">
        <is>
          <t>LEE YEN ERN</t>
        </is>
      </c>
      <c r="AC202" s="591" t="inlineStr">
        <is>
          <t>5:27.92</t>
        </is>
      </c>
      <c r="AD202" s="592">
        <f>IFERROR(__xludf.DUMMYFUNCTION("IF(ISNUMBER(AC202), AC202, IF(REGEXMATCH(AC202, "":""), SUMPRODUCT(VALUE(SPLIT(AC202, "":"")) * (60^(COUNTIF(SPLIT(AC202, "":""), ""&lt;&gt;"")-COLUMN(OFFSET('MOT Tables 25'!$A$1,,,1,COUNTIF(SPLIT(AC202, "":""),""&lt;&gt;"")))))), VALUE(AC202)))"),327.92)</f>
        <v/>
      </c>
      <c r="AE202" s="593" t="n">
        <v>8</v>
      </c>
      <c r="AF202" s="594">
        <f t="array" ref="AF202">1000*(INDEX('Bakat Base Times'!$E:$E,MATCH(1,('Bakat Base Times'!$A:$A=Y202)*('Bakat Base Times'!$B:$B=Z202)*('Bakat Base Times'!$C:$C=AA202),0))/(VALUE(AD202)))^3
</f>
        <v/>
      </c>
      <c r="AG202" s="693" t="n"/>
      <c r="AH202" s="721" t="n"/>
      <c r="AI202" s="721" t="n"/>
      <c r="AJ202" s="688" t="n"/>
      <c r="AK202" s="689" t="n"/>
      <c r="AL202" s="690" t="n"/>
      <c r="AM202" s="691" t="n"/>
      <c r="AN202" s="692" t="n"/>
      <c r="AO202" s="693" t="n"/>
      <c r="AP202" s="693" t="n"/>
      <c r="AQ202" s="693" t="n"/>
      <c r="AR202" s="693" t="n"/>
      <c r="AS202" s="693" t="n"/>
      <c r="AT202" s="693" t="n"/>
      <c r="AU202" s="699" t="n"/>
      <c r="AV202" s="693" t="n"/>
      <c r="AW202" s="693" t="n"/>
      <c r="AX202" s="693" t="n"/>
      <c r="AY202" s="693" t="n"/>
      <c r="AZ202" s="693" t="n"/>
    </row>
    <row r="203">
      <c r="A203" s="651" t="n"/>
      <c r="B203" s="705" t="inlineStr">
        <is>
          <t>F</t>
        </is>
      </c>
      <c r="C203" s="704" t="inlineStr">
        <is>
          <t>400 Free</t>
        </is>
      </c>
      <c r="D203" s="705" t="n">
        <v>15</v>
      </c>
      <c r="E203" s="613" t="inlineStr">
        <is>
          <t>SHANNON TAN YAN QING *</t>
        </is>
      </c>
      <c r="F203" s="701" t="inlineStr">
        <is>
          <t>4:37.45</t>
        </is>
      </c>
      <c r="G20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3" s="464">
        <f>G203/#REF!</f>
        <v/>
      </c>
      <c r="I203" s="665" t="inlineStr">
        <is>
          <t>4:52.52</t>
        </is>
      </c>
      <c r="J20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3" s="464">
        <f>J203/#REF!</f>
        <v/>
      </c>
      <c r="L203" s="704" t="n">
        <v>6</v>
      </c>
      <c r="M203" s="616" t="n">
        <v>12</v>
      </c>
      <c r="N203" s="652">
        <f t="array" ref="N203">1000*(INDEX('Bakat Base Times'!$E:$E,MATCH(1,('Bakat Base Times'!$A:$A=B203)*('Bakat Base Times'!$B:$B=C203)*('Bakat Base Times'!$C:$C=D203),0))/(VALUE(O203)))^3
</f>
        <v/>
      </c>
      <c r="O203" s="609">
        <f>IFERROR(__xludf.DUMMYFUNCTION("IF(ISNUMBER(I203), I203, IF(REGEXMATCH(I203, "":""), SUMPRODUCT(VALUE(SPLIT(I203, "":"")) * (60^(COUNTIF(SPLIT(I203, "":""), ""&lt;&gt;"")-COLUMN(OFFSET('MOT Tables 25'!$A$1,,,1,COUNTIF(SPLIT(I203, "":""),""&lt;&gt;"")))))), VALUE(I203)))"),292.52)</f>
        <v/>
      </c>
      <c r="P203" s="689" t="n"/>
      <c r="Q203" s="689" t="n"/>
      <c r="R203" s="689" t="n"/>
      <c r="S203" s="689" t="n"/>
      <c r="T203" s="689" t="n"/>
      <c r="U203" s="689" t="n"/>
      <c r="V203" s="689" t="n"/>
      <c r="W203" s="689" t="n"/>
      <c r="X203" s="689" t="n"/>
      <c r="Y203" s="618" t="inlineStr">
        <is>
          <t>F</t>
        </is>
      </c>
      <c r="Z203" s="619" t="inlineStr">
        <is>
          <t>400 Free</t>
        </is>
      </c>
      <c r="AA203" s="612" t="n">
        <v>15</v>
      </c>
      <c r="AB203" s="613" t="inlineStr">
        <is>
          <t>SHANNON TAN YAN QING *</t>
        </is>
      </c>
      <c r="AC203" s="665" t="inlineStr">
        <is>
          <t>4:52.52</t>
        </is>
      </c>
      <c r="AD203" s="628">
        <f>IFERROR(__xludf.DUMMYFUNCTION("IF(ISNUMBER(AC203), AC203, IF(REGEXMATCH(AC203, "":""), SUMPRODUCT(VALUE(SPLIT(AC203, "":"")) * (60^(COUNTIF(SPLIT(AC203, "":""), ""&lt;&gt;"")-COLUMN(OFFSET('MOT Tables 25'!$A$1,,,1,COUNTIF(SPLIT(AC203, "":""),""&lt;&gt;"")))))), VALUE(AC203)))"),292.52)</f>
        <v/>
      </c>
      <c r="AE203" s="616" t="n">
        <v>12</v>
      </c>
      <c r="AF203" s="617">
        <f t="array" ref="AF203">1000*(INDEX('Bakat Base Times'!$E:$E,MATCH(1,('Bakat Base Times'!$A:$A=Y203)*('Bakat Base Times'!$B:$B=Z203)*('Bakat Base Times'!$C:$C=AA203),0))/(VALUE(AD203)))^3
</f>
        <v/>
      </c>
      <c r="AG203" s="693" t="n"/>
      <c r="AH203" s="721" t="n"/>
      <c r="AI203" s="721" t="n"/>
      <c r="AJ203" s="688" t="n"/>
      <c r="AK203" s="689" t="n"/>
      <c r="AL203" s="690" t="n"/>
      <c r="AM203" s="691" t="n"/>
      <c r="AN203" s="692" t="n"/>
      <c r="AO203" s="693" t="n"/>
      <c r="AP203" s="693" t="n"/>
      <c r="AQ203" s="693" t="n"/>
      <c r="AR203" s="693" t="n"/>
      <c r="AS203" s="693" t="n"/>
      <c r="AT203" s="693" t="n"/>
      <c r="AU203" s="699" t="n"/>
      <c r="AV203" s="693" t="n"/>
      <c r="AW203" s="693" t="n"/>
      <c r="AX203" s="693" t="n"/>
      <c r="AY203" s="693" t="n"/>
      <c r="AZ203" s="693" t="n"/>
    </row>
    <row r="204">
      <c r="A204" s="654" t="n"/>
      <c r="B204" s="710" t="inlineStr">
        <is>
          <t>M</t>
        </is>
      </c>
      <c r="C204" s="709" t="inlineStr">
        <is>
          <t>200 Back</t>
        </is>
      </c>
      <c r="D204" s="710" t="n">
        <v>15</v>
      </c>
      <c r="E204" s="590" t="inlineStr">
        <is>
          <t>LEE E-AN</t>
        </is>
      </c>
      <c r="F204" s="707" t="inlineStr">
        <is>
          <t>2:23.76</t>
        </is>
      </c>
      <c r="G20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4" s="460">
        <f>G204/#REF!</f>
        <v/>
      </c>
      <c r="I204" s="591" t="inlineStr">
        <is>
          <t>2:23.70</t>
        </is>
      </c>
      <c r="J204"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4" s="460">
        <f>J204/#REF!</f>
        <v/>
      </c>
      <c r="L204" s="709" t="n">
        <v>14</v>
      </c>
      <c r="M204" s="593" t="n">
        <v>12</v>
      </c>
      <c r="N204" s="655">
        <f t="array" ref="N204">1000*(INDEX('Bakat Base Times'!$E:$E,MATCH(1,('Bakat Base Times'!$A:$A=B204)*('Bakat Base Times'!$B:$B=C204)*('Bakat Base Times'!$C:$C=D204),0))/(VALUE(O204)))^3
</f>
        <v/>
      </c>
      <c r="O204" s="582">
        <f>IFERROR(__xludf.DUMMYFUNCTION("IF(ISNUMBER(I204), I204, IF(REGEXMATCH(I204, "":""), SUMPRODUCT(VALUE(SPLIT(I204, "":"")) * (60^(COUNTIF(SPLIT(I204, "":""), ""&lt;&gt;"")-COLUMN(OFFSET('MOT Tables 25'!$A$1,,,1,COUNTIF(SPLIT(I204, "":""),""&lt;&gt;"")))))), VALUE(I204)))"),143.7)</f>
        <v/>
      </c>
      <c r="P204" s="689" t="n"/>
      <c r="Q204" s="689" t="n"/>
      <c r="R204" s="689" t="n"/>
      <c r="S204" s="689" t="n"/>
      <c r="T204" s="689" t="n"/>
      <c r="U204" s="689" t="n"/>
      <c r="V204" s="689" t="n"/>
      <c r="W204" s="689" t="n"/>
      <c r="X204" s="689" t="n"/>
      <c r="Y204" s="596" t="inlineStr">
        <is>
          <t>M</t>
        </is>
      </c>
      <c r="Z204" s="597" t="inlineStr">
        <is>
          <t>200 Back</t>
        </is>
      </c>
      <c r="AA204" s="589" t="n">
        <v>15</v>
      </c>
      <c r="AB204" s="590" t="inlineStr">
        <is>
          <t>LEE E-AN</t>
        </is>
      </c>
      <c r="AC204" s="591" t="inlineStr">
        <is>
          <t>2:23.70</t>
        </is>
      </c>
      <c r="AD204" s="592">
        <f>IFERROR(__xludf.DUMMYFUNCTION("IF(ISNUMBER(AC204), AC204, IF(REGEXMATCH(AC204, "":""), SUMPRODUCT(VALUE(SPLIT(AC204, "":"")) * (60^(COUNTIF(SPLIT(AC204, "":""), ""&lt;&gt;"")-COLUMN(OFFSET('MOT Tables 25'!$A$1,,,1,COUNTIF(SPLIT(AC204, "":""),""&lt;&gt;"")))))), VALUE(AC204)))"),143.7)</f>
        <v/>
      </c>
      <c r="AE204" s="593" t="n">
        <v>12</v>
      </c>
      <c r="AF204" s="594">
        <f t="array" ref="AF204">1000*(INDEX('Bakat Base Times'!$E:$E,MATCH(1,('Bakat Base Times'!$A:$A=Y204)*('Bakat Base Times'!$B:$B=Z204)*('Bakat Base Times'!$C:$C=AA204),0))/(VALUE(AD204)))^3
</f>
        <v/>
      </c>
      <c r="AG204" s="693" t="n"/>
      <c r="AH204" s="721" t="n"/>
      <c r="AI204" s="721" t="n"/>
      <c r="AJ204" s="688" t="n"/>
      <c r="AK204" s="689" t="n"/>
      <c r="AL204" s="690" t="n"/>
      <c r="AM204" s="691" t="n"/>
      <c r="AN204" s="692" t="n"/>
      <c r="AO204" s="693" t="n"/>
      <c r="AP204" s="693" t="n"/>
      <c r="AQ204" s="693" t="n"/>
      <c r="AR204" s="693" t="n"/>
      <c r="AS204" s="693" t="n"/>
      <c r="AT204" s="693" t="n"/>
      <c r="AU204" s="699" t="n"/>
      <c r="AV204" s="693" t="n"/>
      <c r="AW204" s="693" t="n"/>
      <c r="AX204" s="693" t="n"/>
      <c r="AY204" s="693" t="n"/>
      <c r="AZ204" s="693" t="n"/>
    </row>
    <row r="205">
      <c r="A205" s="651" t="n"/>
      <c r="B205" s="705" t="inlineStr">
        <is>
          <t>F</t>
        </is>
      </c>
      <c r="C205" s="704" t="inlineStr">
        <is>
          <t>800 Free</t>
        </is>
      </c>
      <c r="D205" s="705" t="n">
        <v>16</v>
      </c>
      <c r="E205" s="613" t="inlineStr">
        <is>
          <t>CHONG YUAN YI</t>
        </is>
      </c>
      <c r="F205" s="701" t="inlineStr">
        <is>
          <t>9:49.31</t>
        </is>
      </c>
      <c r="G20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5" s="464">
        <f>G205/#REF!</f>
        <v/>
      </c>
      <c r="I205" s="614" t="inlineStr">
        <is>
          <t>9:57.66</t>
        </is>
      </c>
      <c r="J205"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5" s="464">
        <f>J205/#REF!</f>
        <v/>
      </c>
      <c r="L205" s="704" t="n">
        <v>9</v>
      </c>
      <c r="M205" s="616" t="n">
        <v>8</v>
      </c>
      <c r="N205" s="652">
        <f t="array" ref="N205">1000*(INDEX('Bakat Base Times'!$E:$E,MATCH(1,('Bakat Base Times'!$A:$A=B205)*('Bakat Base Times'!$B:$B=C205)*('Bakat Base Times'!$C:$C=D205),0))/(VALUE(O205)))^3
</f>
        <v/>
      </c>
      <c r="O205" s="609">
        <f>IFERROR(__xludf.DUMMYFUNCTION("IF(ISNUMBER(I205), I205, IF(REGEXMATCH(I205, "":""), SUMPRODUCT(VALUE(SPLIT(I205, "":"")) * (60^(COUNTIF(SPLIT(I205, "":""), ""&lt;&gt;"")-COLUMN(OFFSET('MOT Tables 25'!$A$1,,,1,COUNTIF(SPLIT(I205, "":""),""&lt;&gt;"")))))), VALUE(I205)))"),597.66)</f>
        <v/>
      </c>
      <c r="P205" s="689" t="n"/>
      <c r="Q205" s="689" t="n"/>
      <c r="R205" s="689" t="n"/>
      <c r="S205" s="689" t="n"/>
      <c r="T205" s="689" t="n"/>
      <c r="U205" s="689" t="n"/>
      <c r="V205" s="689" t="n"/>
      <c r="W205" s="689" t="n"/>
      <c r="X205" s="689" t="n"/>
      <c r="Y205" s="618" t="inlineStr">
        <is>
          <t>F</t>
        </is>
      </c>
      <c r="Z205" s="619" t="inlineStr">
        <is>
          <t>800 Free</t>
        </is>
      </c>
      <c r="AA205" s="612" t="n">
        <v>16</v>
      </c>
      <c r="AB205" s="613" t="inlineStr">
        <is>
          <t>CHONG YUAN YI</t>
        </is>
      </c>
      <c r="AC205" s="614" t="inlineStr">
        <is>
          <t>9:57.66</t>
        </is>
      </c>
      <c r="AD205" s="628">
        <f>IFERROR(__xludf.DUMMYFUNCTION("IF(ISNUMBER(AC205), AC205, IF(REGEXMATCH(AC205, "":""), SUMPRODUCT(VALUE(SPLIT(AC205, "":"")) * (60^(COUNTIF(SPLIT(AC205, "":""), ""&lt;&gt;"")-COLUMN(OFFSET('MOT Tables 25'!$A$1,,,1,COUNTIF(SPLIT(AC205, "":""),""&lt;&gt;"")))))), VALUE(AC205)))"),597.66)</f>
        <v/>
      </c>
      <c r="AE205" s="616" t="n">
        <v>8</v>
      </c>
      <c r="AF205" s="617">
        <f t="array" ref="AF205">1000*(INDEX('Bakat Base Times'!$E:$E,MATCH(1,('Bakat Base Times'!$A:$A=Y205)*('Bakat Base Times'!$B:$B=Z205)*('Bakat Base Times'!$C:$C=AA205),0))/(VALUE(AD205)))^3
</f>
        <v/>
      </c>
      <c r="AG205" s="693" t="n"/>
      <c r="AH205" s="721" t="n"/>
      <c r="AI205" s="721" t="n"/>
      <c r="AJ205" s="688" t="n"/>
      <c r="AK205" s="689" t="n"/>
      <c r="AL205" s="690" t="n"/>
      <c r="AM205" s="691" t="n"/>
      <c r="AN205" s="692" t="n"/>
      <c r="AO205" s="693" t="n"/>
      <c r="AP205" s="693" t="n"/>
      <c r="AQ205" s="693" t="n"/>
      <c r="AR205" s="693" t="n"/>
      <c r="AS205" s="693" t="n"/>
      <c r="AT205" s="693" t="n"/>
      <c r="AU205" s="699" t="n"/>
      <c r="AV205" s="693" t="n"/>
      <c r="AW205" s="693" t="n"/>
      <c r="AX205" s="693" t="n"/>
      <c r="AY205" s="693" t="n"/>
      <c r="AZ205" s="693" t="n"/>
    </row>
    <row r="206">
      <c r="A206" s="654" t="n"/>
      <c r="B206" s="710" t="inlineStr">
        <is>
          <t>F</t>
        </is>
      </c>
      <c r="C206" s="709" t="inlineStr">
        <is>
          <t>200 Fly</t>
        </is>
      </c>
      <c r="D206" s="710" t="n">
        <v>18</v>
      </c>
      <c r="E206" s="590" t="inlineStr">
        <is>
          <t>YOONG JIA JIA</t>
        </is>
      </c>
      <c r="F206" s="707" t="inlineStr">
        <is>
          <t>2:22.78</t>
        </is>
      </c>
      <c r="G20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6" s="460">
        <f>G206/#REF!</f>
        <v/>
      </c>
      <c r="I206" s="591" t="inlineStr">
        <is>
          <t>2:31.39</t>
        </is>
      </c>
      <c r="J20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6" s="460">
        <f>J206/#REF!</f>
        <v/>
      </c>
      <c r="L206" s="709" t="n">
        <v>6</v>
      </c>
      <c r="M206" s="593" t="n">
        <v>10</v>
      </c>
      <c r="N206" s="655">
        <f t="array" ref="N206">1000*(INDEX('Bakat Base Times'!$E:$E,MATCH(1,('Bakat Base Times'!$A:$A=B206)*('Bakat Base Times'!$B:$B=C206)*('Bakat Base Times'!$C:$C=D206),0))/(VALUE(O206)))^3
</f>
        <v/>
      </c>
      <c r="O206" s="582">
        <f>IFERROR(__xludf.DUMMYFUNCTION("IF(ISNUMBER(I206), I206, IF(REGEXMATCH(I206, "":""), SUMPRODUCT(VALUE(SPLIT(I206, "":"")) * (60^(COUNTIF(SPLIT(I206, "":""), ""&lt;&gt;"")-COLUMN(OFFSET('MOT Tables 25'!$A$1,,,1,COUNTIF(SPLIT(I206, "":""),""&lt;&gt;"")))))), VALUE(I206)))"),151.39)</f>
        <v/>
      </c>
      <c r="P206" s="689" t="n"/>
      <c r="Q206" s="689" t="n"/>
      <c r="R206" s="689" t="n"/>
      <c r="S206" s="689" t="n"/>
      <c r="T206" s="689" t="n"/>
      <c r="U206" s="689" t="n"/>
      <c r="V206" s="689" t="n"/>
      <c r="W206" s="689" t="n"/>
      <c r="X206" s="689" t="n"/>
      <c r="Y206" s="596" t="inlineStr">
        <is>
          <t>F</t>
        </is>
      </c>
      <c r="Z206" s="597" t="inlineStr">
        <is>
          <t>200 Fly</t>
        </is>
      </c>
      <c r="AA206" s="589" t="n">
        <v>18</v>
      </c>
      <c r="AB206" s="590" t="inlineStr">
        <is>
          <t>YOONG JIA JIA</t>
        </is>
      </c>
      <c r="AC206" s="591" t="inlineStr">
        <is>
          <t>2:31.39</t>
        </is>
      </c>
      <c r="AD206" s="592">
        <f>IFERROR(__xludf.DUMMYFUNCTION("IF(ISNUMBER(AC206), AC206, IF(REGEXMATCH(AC206, "":""), SUMPRODUCT(VALUE(SPLIT(AC206, "":"")) * (60^(COUNTIF(SPLIT(AC206, "":""), ""&lt;&gt;"")-COLUMN(OFFSET('MOT Tables 25'!$A$1,,,1,COUNTIF(SPLIT(AC206, "":""),""&lt;&gt;"")))))), VALUE(AC206)))"),151.39)</f>
        <v/>
      </c>
      <c r="AE206" s="593" t="n">
        <v>10</v>
      </c>
      <c r="AF206" s="594">
        <f t="array" ref="AF206">1000*(INDEX('Bakat Base Times'!$E:$E,MATCH(1,('Bakat Base Times'!$A:$A=Y206)*('Bakat Base Times'!$B:$B=Z206)*('Bakat Base Times'!$C:$C=AA206),0))/(VALUE(AD206)))^3
</f>
        <v/>
      </c>
      <c r="AG206" s="693" t="n"/>
      <c r="AH206" s="721" t="n"/>
      <c r="AI206" s="721" t="n"/>
      <c r="AJ206" s="688" t="n"/>
      <c r="AK206" s="689" t="n"/>
      <c r="AL206" s="690" t="n"/>
      <c r="AM206" s="691" t="n"/>
      <c r="AN206" s="692" t="n"/>
      <c r="AO206" s="693" t="n"/>
      <c r="AP206" s="693" t="n"/>
      <c r="AQ206" s="693" t="n"/>
      <c r="AR206" s="693" t="n"/>
      <c r="AS206" s="693" t="n"/>
      <c r="AT206" s="693" t="n"/>
      <c r="AU206" s="699" t="n"/>
      <c r="AV206" s="693" t="n"/>
      <c r="AW206" s="693" t="n"/>
      <c r="AX206" s="693" t="n"/>
      <c r="AY206" s="693" t="n"/>
      <c r="AZ206" s="693" t="n"/>
    </row>
    <row r="207">
      <c r="A207" s="651" t="n"/>
      <c r="B207" s="705" t="inlineStr">
        <is>
          <t>M</t>
        </is>
      </c>
      <c r="C207" s="704" t="inlineStr">
        <is>
          <t>200 IM</t>
        </is>
      </c>
      <c r="D207" s="705" t="n">
        <v>13</v>
      </c>
      <c r="E207" s="613" t="inlineStr">
        <is>
          <t>ETHAN TAN KHENG HONG</t>
        </is>
      </c>
      <c r="F207" s="701" t="inlineStr">
        <is>
          <t>2:26.95</t>
        </is>
      </c>
      <c r="G20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7" s="464">
        <f>G207/#REF!</f>
        <v/>
      </c>
      <c r="I207" s="695" t="inlineStr">
        <is>
          <t>2:34.33</t>
        </is>
      </c>
      <c r="J20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7" s="464">
        <f>J207/#REF!</f>
        <v/>
      </c>
      <c r="L207" s="704" t="n">
        <v>11</v>
      </c>
      <c r="M207" s="616" t="n">
        <v>13</v>
      </c>
      <c r="N207" s="652">
        <f t="array" ref="N207">1000*(INDEX('Bakat Base Times'!$E:$E,MATCH(1,('Bakat Base Times'!$A:$A=B207)*('Bakat Base Times'!$B:$B=C207)*('Bakat Base Times'!$C:$C=D207),0))/(VALUE(O207)))^3
</f>
        <v/>
      </c>
      <c r="O207" s="609">
        <f>IFERROR(__xludf.DUMMYFUNCTION("IF(ISNUMBER(I207), I207, IF(REGEXMATCH(I207, "":""), SUMPRODUCT(VALUE(SPLIT(I207, "":"")) * (60^(COUNTIF(SPLIT(I207, "":""), ""&lt;&gt;"")-COLUMN(OFFSET('MOT Tables 25'!$A$1,,,1,COUNTIF(SPLIT(I207, "":""),""&lt;&gt;"")))))), VALUE(I207)))"),154.32999999999998)</f>
        <v/>
      </c>
      <c r="P207" s="697" t="n"/>
      <c r="Q207" s="697" t="n"/>
      <c r="R207" s="697" t="n"/>
      <c r="S207" s="697" t="n"/>
      <c r="T207" s="697" t="n"/>
      <c r="U207" s="697" t="n"/>
      <c r="V207" s="697" t="n"/>
      <c r="W207" s="697" t="n"/>
      <c r="X207" s="697" t="n"/>
      <c r="Y207" s="618" t="inlineStr">
        <is>
          <t>M</t>
        </is>
      </c>
      <c r="Z207" s="619" t="inlineStr">
        <is>
          <t>200 IM</t>
        </is>
      </c>
      <c r="AA207" s="612" t="n">
        <v>13</v>
      </c>
      <c r="AB207" s="613" t="inlineStr">
        <is>
          <t>ETHAN TAN KHENG HONG</t>
        </is>
      </c>
      <c r="AC207" s="695" t="inlineStr">
        <is>
          <t>2:34.33</t>
        </is>
      </c>
      <c r="AD207" s="628">
        <f>IFERROR(__xludf.DUMMYFUNCTION("IF(ISNUMBER(AC207), AC207, IF(REGEXMATCH(AC207, "":""), SUMPRODUCT(VALUE(SPLIT(AC207, "":"")) * (60^(COUNTIF(SPLIT(AC207, "":""), ""&lt;&gt;"")-COLUMN(OFFSET('MOT Tables 25'!$A$1,,,1,COUNTIF(SPLIT(AC207, "":""),""&lt;&gt;"")))))), VALUE(AC207)))"),154.32999999999998)</f>
        <v/>
      </c>
      <c r="AE207" s="616" t="n">
        <v>13</v>
      </c>
      <c r="AF207" s="617">
        <f t="array" ref="AF207">1000*(INDEX('Bakat Base Times'!$E:$E,MATCH(1,('Bakat Base Times'!$A:$A=Y207)*('Bakat Base Times'!$B:$B=Z207)*('Bakat Base Times'!$C:$C=AA207),0))/(VALUE(AD207)))^3
</f>
        <v/>
      </c>
      <c r="AG207" s="693" t="n"/>
      <c r="AH207" s="721" t="n"/>
      <c r="AI207" s="721" t="n"/>
      <c r="AJ207" s="688" t="n"/>
      <c r="AK207" s="689" t="n"/>
      <c r="AL207" s="690" t="n"/>
      <c r="AM207" s="691" t="n"/>
      <c r="AN207" s="692" t="n"/>
      <c r="AO207" s="693" t="n"/>
      <c r="AP207" s="693" t="n"/>
      <c r="AQ207" s="693" t="n"/>
      <c r="AR207" s="693" t="n"/>
      <c r="AS207" s="693" t="n"/>
      <c r="AT207" s="693" t="n"/>
      <c r="AU207" s="699" t="n"/>
      <c r="AV207" s="693" t="n"/>
      <c r="AW207" s="693" t="n"/>
      <c r="AX207" s="693" t="n"/>
      <c r="AY207" s="693" t="n"/>
      <c r="AZ207" s="693" t="n"/>
    </row>
    <row r="208">
      <c r="A208" s="654" t="n"/>
      <c r="B208" s="710" t="inlineStr">
        <is>
          <t>F</t>
        </is>
      </c>
      <c r="C208" s="709" t="inlineStr">
        <is>
          <t>400 IM</t>
        </is>
      </c>
      <c r="D208" s="710" t="n">
        <v>16</v>
      </c>
      <c r="E208" s="590" t="inlineStr">
        <is>
          <t>FELICIA LEE QIAN HUI</t>
        </is>
      </c>
      <c r="F208" s="707" t="inlineStr">
        <is>
          <t>5:21.59</t>
        </is>
      </c>
      <c r="G20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8" s="460">
        <f>G208/#REF!</f>
        <v/>
      </c>
      <c r="I208" s="661" t="inlineStr">
        <is>
          <t>5:31.31</t>
        </is>
      </c>
      <c r="J20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8" s="460">
        <f>J208/#REF!</f>
        <v/>
      </c>
      <c r="L208" s="709" t="n">
        <v>7</v>
      </c>
      <c r="M208" s="593" t="n">
        <v>9</v>
      </c>
      <c r="N208" s="655">
        <f t="array" ref="N208">1000*(INDEX('Bakat Base Times'!$E:$E,MATCH(1,('Bakat Base Times'!$A:$A=B208)*('Bakat Base Times'!$B:$B=C208)*('Bakat Base Times'!$C:$C=D208),0))/(VALUE(O208)))^3
</f>
        <v/>
      </c>
      <c r="O208" s="582">
        <f>IFERROR(__xludf.DUMMYFUNCTION("IF(ISNUMBER(I208), I208, IF(REGEXMATCH(I208, "":""), SUMPRODUCT(VALUE(SPLIT(I208, "":"")) * (60^(COUNTIF(SPLIT(I208, "":""), ""&lt;&gt;"")-COLUMN(OFFSET('MOT Tables 25'!$A$1,,,1,COUNTIF(SPLIT(I208, "":""),""&lt;&gt;"")))))), VALUE(I208)))"),331.31)</f>
        <v/>
      </c>
      <c r="P208" s="689" t="n"/>
      <c r="Q208" s="689" t="n"/>
      <c r="R208" s="689" t="n"/>
      <c r="S208" s="689" t="n"/>
      <c r="T208" s="689" t="n"/>
      <c r="U208" s="689" t="n"/>
      <c r="V208" s="689" t="n"/>
      <c r="W208" s="689" t="n"/>
      <c r="X208" s="689" t="n"/>
      <c r="Y208" s="596" t="inlineStr">
        <is>
          <t>F</t>
        </is>
      </c>
      <c r="Z208" s="597" t="inlineStr">
        <is>
          <t>400 IM</t>
        </is>
      </c>
      <c r="AA208" s="589" t="n">
        <v>16</v>
      </c>
      <c r="AB208" s="590" t="inlineStr">
        <is>
          <t>FELICIA LEE QIAN HUI</t>
        </is>
      </c>
      <c r="AC208" s="661" t="inlineStr">
        <is>
          <t>5:31.31</t>
        </is>
      </c>
      <c r="AD208" s="592">
        <f>IFERROR(__xludf.DUMMYFUNCTION("IF(ISNUMBER(AC208), AC208, IF(REGEXMATCH(AC208, "":""), SUMPRODUCT(VALUE(SPLIT(AC208, "":"")) * (60^(COUNTIF(SPLIT(AC208, "":""), ""&lt;&gt;"")-COLUMN(OFFSET('MOT Tables 25'!$A$1,,,1,COUNTIF(SPLIT(AC208, "":""),""&lt;&gt;"")))))), VALUE(AC208)))"),331.31)</f>
        <v/>
      </c>
      <c r="AE208" s="593" t="n">
        <v>9</v>
      </c>
      <c r="AF208" s="594">
        <f t="array" ref="AF208">1000*(INDEX('Bakat Base Times'!$E:$E,MATCH(1,('Bakat Base Times'!$A:$A=Y208)*('Bakat Base Times'!$B:$B=Z208)*('Bakat Base Times'!$C:$C=AA208),0))/(VALUE(AD208)))^3
</f>
        <v/>
      </c>
      <c r="AG208" s="693" t="n"/>
      <c r="AH208" s="721" t="n"/>
      <c r="AI208" s="721" t="n"/>
      <c r="AJ208" s="688" t="n"/>
      <c r="AK208" s="689" t="n"/>
      <c r="AL208" s="690" t="n"/>
      <c r="AM208" s="691" t="n"/>
      <c r="AN208" s="692" t="n"/>
      <c r="AO208" s="693" t="n"/>
      <c r="AP208" s="693" t="n"/>
      <c r="AQ208" s="693" t="n"/>
      <c r="AR208" s="693" t="n"/>
      <c r="AS208" s="693" t="n"/>
      <c r="AT208" s="693" t="n"/>
      <c r="AU208" s="699" t="n"/>
      <c r="AV208" s="693" t="n"/>
      <c r="AW208" s="693" t="n"/>
      <c r="AX208" s="693" t="n"/>
      <c r="AY208" s="693" t="n"/>
      <c r="AZ208" s="693" t="n"/>
    </row>
    <row r="209">
      <c r="A209" s="651" t="n"/>
      <c r="B209" s="705" t="inlineStr">
        <is>
          <t>M</t>
        </is>
      </c>
      <c r="C209" s="704" t="inlineStr">
        <is>
          <t>100 Fly</t>
        </is>
      </c>
      <c r="D209" s="705" t="n">
        <v>13</v>
      </c>
      <c r="E209" s="613" t="inlineStr">
        <is>
          <t>EU JUN LIN</t>
        </is>
      </c>
      <c r="F209" s="701" t="inlineStr">
        <is>
          <t>1:07.19</t>
        </is>
      </c>
      <c r="G20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09" s="464">
        <f>G209/#REF!</f>
        <v/>
      </c>
      <c r="I209" s="665" t="inlineStr">
        <is>
          <t>1:08.51</t>
        </is>
      </c>
      <c r="J20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09" s="464">
        <f>J209/#REF!</f>
        <v/>
      </c>
      <c r="L209" s="704" t="n">
        <v>13</v>
      </c>
      <c r="M209" s="616" t="n">
        <v>14</v>
      </c>
      <c r="N209" s="652">
        <f t="array" ref="N209">1000*(INDEX('Bakat Base Times'!$E:$E,MATCH(1,('Bakat Base Times'!$A:$A=B209)*('Bakat Base Times'!$B:$B=C209)*('Bakat Base Times'!$C:$C=D209),0))/(VALUE(O209)))^3
</f>
        <v/>
      </c>
      <c r="O209" s="609">
        <f>IFERROR(__xludf.DUMMYFUNCTION("IF(ISNUMBER(I209), I209, IF(REGEXMATCH(I209, "":""), SUMPRODUCT(VALUE(SPLIT(I209, "":"")) * (60^(COUNTIF(SPLIT(I209, "":""), ""&lt;&gt;"")-COLUMN(OFFSET('MOT Tables 25'!$A$1,,,1,COUNTIF(SPLIT(I209, "":""),""&lt;&gt;"")))))), VALUE(I209)))"),68.51)</f>
        <v/>
      </c>
      <c r="P209" s="689" t="n"/>
      <c r="Q209" s="689" t="n"/>
      <c r="R209" s="689" t="n"/>
      <c r="S209" s="689" t="n"/>
      <c r="T209" s="689" t="n"/>
      <c r="U209" s="689" t="n"/>
      <c r="V209" s="689" t="n"/>
      <c r="W209" s="689" t="n"/>
      <c r="X209" s="689" t="n"/>
      <c r="Y209" s="618" t="inlineStr">
        <is>
          <t>M</t>
        </is>
      </c>
      <c r="Z209" s="619" t="inlineStr">
        <is>
          <t>100 Fly</t>
        </is>
      </c>
      <c r="AA209" s="612" t="n">
        <v>13</v>
      </c>
      <c r="AB209" s="613" t="inlineStr">
        <is>
          <t>EU JUN LIN</t>
        </is>
      </c>
      <c r="AC209" s="665" t="inlineStr">
        <is>
          <t>1:08.51</t>
        </is>
      </c>
      <c r="AD209" s="628">
        <f>IFERROR(__xludf.DUMMYFUNCTION("IF(ISNUMBER(AC209), AC209, IF(REGEXMATCH(AC209, "":""), SUMPRODUCT(VALUE(SPLIT(AC209, "":"")) * (60^(COUNTIF(SPLIT(AC209, "":""), ""&lt;&gt;"")-COLUMN(OFFSET('MOT Tables 25'!$A$1,,,1,COUNTIF(SPLIT(AC209, "":""),""&lt;&gt;"")))))), VALUE(AC209)))"),68.51)</f>
        <v/>
      </c>
      <c r="AE209" s="616" t="n">
        <v>14</v>
      </c>
      <c r="AF209" s="617">
        <f t="array" ref="AF209">1000*(INDEX('Bakat Base Times'!$E:$E,MATCH(1,('Bakat Base Times'!$A:$A=Y209)*('Bakat Base Times'!$B:$B=Z209)*('Bakat Base Times'!$C:$C=AA209),0))/(VALUE(AD209)))^3
</f>
        <v/>
      </c>
      <c r="AG209" s="693" t="n"/>
      <c r="AH209" s="721" t="n"/>
      <c r="AI209" s="721" t="n"/>
      <c r="AJ209" s="688" t="n"/>
      <c r="AK209" s="689" t="n"/>
      <c r="AL209" s="690" t="n"/>
      <c r="AM209" s="691" t="n"/>
      <c r="AN209" s="692" t="n"/>
      <c r="AO209" s="693" t="n"/>
      <c r="AP209" s="693" t="n"/>
      <c r="AQ209" s="693" t="n"/>
      <c r="AR209" s="693" t="n"/>
      <c r="AS209" s="693" t="n"/>
      <c r="AT209" s="693" t="n"/>
      <c r="AU209" s="699" t="n"/>
      <c r="AV209" s="693" t="n"/>
      <c r="AW209" s="693" t="n"/>
      <c r="AX209" s="693" t="n"/>
      <c r="AY209" s="693" t="n"/>
      <c r="AZ209" s="693" t="n"/>
    </row>
    <row r="210">
      <c r="A210" s="654" t="n"/>
      <c r="B210" s="710" t="inlineStr">
        <is>
          <t>F</t>
        </is>
      </c>
      <c r="C210" s="709" t="inlineStr">
        <is>
          <t>800 Free</t>
        </is>
      </c>
      <c r="D210" s="710" t="n">
        <v>16</v>
      </c>
      <c r="E210" s="590" t="inlineStr">
        <is>
          <t>LAURA LEE YEN NIE</t>
        </is>
      </c>
      <c r="F210" s="707" t="inlineStr">
        <is>
          <t>10:02.83</t>
        </is>
      </c>
      <c r="G21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0" s="460">
        <f>G210/#REF!</f>
        <v/>
      </c>
      <c r="I210" s="667" t="inlineStr">
        <is>
          <t>10:06.32</t>
        </is>
      </c>
      <c r="J21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0" s="460">
        <f>J210/#REF!</f>
        <v/>
      </c>
      <c r="L210" s="709" t="n">
        <v>12</v>
      </c>
      <c r="M210" s="593" t="n">
        <v>10</v>
      </c>
      <c r="N210" s="655">
        <f t="array" ref="N210">1000*(INDEX('Bakat Base Times'!$E:$E,MATCH(1,('Bakat Base Times'!$A:$A=B210)*('Bakat Base Times'!$B:$B=C210)*('Bakat Base Times'!$C:$C=D210),0))/(VALUE(O210)))^3
</f>
        <v/>
      </c>
      <c r="O210" s="582">
        <f>IFERROR(__xludf.DUMMYFUNCTION("IF(ISNUMBER(I210), I210, IF(REGEXMATCH(I210, "":""), SUMPRODUCT(VALUE(SPLIT(I210, "":"")) * (60^(COUNTIF(SPLIT(I210, "":""), ""&lt;&gt;"")-COLUMN(OFFSET('MOT Tables 25'!$A$1,,,1,COUNTIF(SPLIT(I210, "":""),""&lt;&gt;"")))))), VALUE(I210)))"),606.32)</f>
        <v/>
      </c>
      <c r="P210" s="689" t="n"/>
      <c r="Q210" s="689" t="n"/>
      <c r="R210" s="689" t="n"/>
      <c r="S210" s="689" t="n"/>
      <c r="T210" s="689" t="n"/>
      <c r="U210" s="689" t="n"/>
      <c r="V210" s="689" t="n"/>
      <c r="W210" s="689" t="n"/>
      <c r="X210" s="689" t="n"/>
      <c r="Y210" s="596" t="inlineStr">
        <is>
          <t>F</t>
        </is>
      </c>
      <c r="Z210" s="597" t="inlineStr">
        <is>
          <t>800 Free</t>
        </is>
      </c>
      <c r="AA210" s="589" t="n">
        <v>16</v>
      </c>
      <c r="AB210" s="590" t="inlineStr">
        <is>
          <t>LAURA LEE YEN NIE</t>
        </is>
      </c>
      <c r="AC210" s="667" t="inlineStr">
        <is>
          <t>10:06.32</t>
        </is>
      </c>
      <c r="AD210" s="592">
        <f>IFERROR(__xludf.DUMMYFUNCTION("IF(ISNUMBER(AC210), AC210, IF(REGEXMATCH(AC210, "":""), SUMPRODUCT(VALUE(SPLIT(AC210, "":"")) * (60^(COUNTIF(SPLIT(AC210, "":""), ""&lt;&gt;"")-COLUMN(OFFSET('MOT Tables 25'!$A$1,,,1,COUNTIF(SPLIT(AC210, "":""),""&lt;&gt;"")))))), VALUE(AC210)))"),606.32)</f>
        <v/>
      </c>
      <c r="AE210" s="593" t="n">
        <v>10</v>
      </c>
      <c r="AF210" s="594">
        <f t="array" ref="AF210">1000*(INDEX('Bakat Base Times'!$E:$E,MATCH(1,('Bakat Base Times'!$A:$A=Y210)*('Bakat Base Times'!$B:$B=Z210)*('Bakat Base Times'!$C:$C=AA210),0))/(VALUE(AD210)))^3
</f>
        <v/>
      </c>
      <c r="AG210" s="693" t="n"/>
      <c r="AH210" s="721" t="n"/>
      <c r="AI210" s="721" t="n"/>
      <c r="AJ210" s="688" t="n"/>
      <c r="AK210" s="689" t="n"/>
      <c r="AL210" s="690" t="n"/>
      <c r="AM210" s="691" t="n"/>
      <c r="AN210" s="692" t="n"/>
      <c r="AO210" s="693" t="n"/>
      <c r="AP210" s="693" t="n"/>
      <c r="AQ210" s="693" t="n"/>
      <c r="AR210" s="693" t="n"/>
      <c r="AS210" s="693" t="n"/>
      <c r="AT210" s="693" t="n"/>
      <c r="AU210" s="699" t="n"/>
      <c r="AV210" s="693" t="n"/>
      <c r="AW210" s="693" t="n"/>
      <c r="AX210" s="693" t="n"/>
      <c r="AY210" s="693" t="n"/>
      <c r="AZ210" s="693" t="n"/>
    </row>
    <row r="211">
      <c r="A211" s="651" t="n"/>
      <c r="B211" s="705" t="inlineStr">
        <is>
          <t>F</t>
        </is>
      </c>
      <c r="C211" s="704" t="inlineStr">
        <is>
          <t>400 IM</t>
        </is>
      </c>
      <c r="D211" s="705" t="n">
        <v>13</v>
      </c>
      <c r="E211" s="613" t="inlineStr">
        <is>
          <t>JOVIAL CHAN ZEN EE</t>
        </is>
      </c>
      <c r="F211" s="701" t="inlineStr">
        <is>
          <t>5:53.00</t>
        </is>
      </c>
      <c r="G21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1" s="464">
        <f>G211/#REF!</f>
        <v/>
      </c>
      <c r="I211" s="665" t="inlineStr">
        <is>
          <t>5:51.53</t>
        </is>
      </c>
      <c r="J211"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1" s="464">
        <f>J211/#REF!</f>
        <v/>
      </c>
      <c r="L211" s="704" t="n">
        <v>15</v>
      </c>
      <c r="M211" s="616" t="n">
        <v>14</v>
      </c>
      <c r="N211" s="652">
        <f t="array" ref="N211">1000*(INDEX('Bakat Base Times'!$E:$E,MATCH(1,('Bakat Base Times'!$A:$A=B211)*('Bakat Base Times'!$B:$B=C211)*('Bakat Base Times'!$C:$C=D211),0))/(VALUE(O211)))^3
</f>
        <v/>
      </c>
      <c r="O211" s="609">
        <f>IFERROR(__xludf.DUMMYFUNCTION("IF(ISNUMBER(I211), I211, IF(REGEXMATCH(I211, "":""), SUMPRODUCT(VALUE(SPLIT(I211, "":"")) * (60^(COUNTIF(SPLIT(I211, "":""), ""&lt;&gt;"")-COLUMN(OFFSET('MOT Tables 25'!$A$1,,,1,COUNTIF(SPLIT(I211, "":""),""&lt;&gt;"")))))), VALUE(I211)))"),351.53)</f>
        <v/>
      </c>
      <c r="P211" s="689" t="n"/>
      <c r="Q211" s="689" t="n"/>
      <c r="R211" s="689" t="n"/>
      <c r="S211" s="689" t="n"/>
      <c r="T211" s="689" t="n"/>
      <c r="U211" s="689" t="n"/>
      <c r="V211" s="689" t="n"/>
      <c r="W211" s="689" t="n"/>
      <c r="X211" s="689" t="n"/>
      <c r="Y211" s="618" t="inlineStr">
        <is>
          <t>F</t>
        </is>
      </c>
      <c r="Z211" s="619" t="inlineStr">
        <is>
          <t>400 IM</t>
        </is>
      </c>
      <c r="AA211" s="612" t="n">
        <v>13</v>
      </c>
      <c r="AB211" s="613" t="inlineStr">
        <is>
          <t>JOVIAL CHAN ZEN EE</t>
        </is>
      </c>
      <c r="AC211" s="665" t="inlineStr">
        <is>
          <t>5:51.53</t>
        </is>
      </c>
      <c r="AD211" s="628">
        <f>IFERROR(__xludf.DUMMYFUNCTION("IF(ISNUMBER(AC211), AC211, IF(REGEXMATCH(AC211, "":""), SUMPRODUCT(VALUE(SPLIT(AC211, "":"")) * (60^(COUNTIF(SPLIT(AC211, "":""), ""&lt;&gt;"")-COLUMN(OFFSET('MOT Tables 25'!$A$1,,,1,COUNTIF(SPLIT(AC211, "":""),""&lt;&gt;"")))))), VALUE(AC211)))"),351.53)</f>
        <v/>
      </c>
      <c r="AE211" s="616" t="n">
        <v>14</v>
      </c>
      <c r="AF211" s="617">
        <f t="array" ref="AF211">1000*(INDEX('Bakat Base Times'!$E:$E,MATCH(1,('Bakat Base Times'!$A:$A=Y211)*('Bakat Base Times'!$B:$B=Z211)*('Bakat Base Times'!$C:$C=AA211),0))/(VALUE(AD211)))^3
</f>
        <v/>
      </c>
      <c r="AG211" s="693" t="n"/>
      <c r="AH211" s="721" t="n"/>
      <c r="AI211" s="721" t="n"/>
      <c r="AJ211" s="688" t="n"/>
      <c r="AK211" s="689" t="n"/>
      <c r="AL211" s="690" t="n"/>
      <c r="AM211" s="691" t="n"/>
      <c r="AN211" s="692" t="n"/>
      <c r="AO211" s="693" t="n"/>
      <c r="AP211" s="693" t="n"/>
      <c r="AQ211" s="693" t="n"/>
      <c r="AR211" s="693" t="n"/>
      <c r="AS211" s="693" t="n"/>
      <c r="AT211" s="693" t="n"/>
      <c r="AU211" s="699" t="n"/>
      <c r="AV211" s="693" t="n"/>
      <c r="AW211" s="693" t="n"/>
      <c r="AX211" s="693" t="n"/>
      <c r="AY211" s="693" t="n"/>
      <c r="AZ211" s="693" t="n"/>
    </row>
    <row r="212">
      <c r="A212" s="654" t="n"/>
      <c r="B212" s="710" t="inlineStr">
        <is>
          <t>F</t>
        </is>
      </c>
      <c r="C212" s="709" t="inlineStr">
        <is>
          <t>800 Free</t>
        </is>
      </c>
      <c r="D212" s="710" t="n">
        <v>16</v>
      </c>
      <c r="E212" s="590" t="inlineStr">
        <is>
          <t>FELICIA LEE QIAN HUI</t>
        </is>
      </c>
      <c r="F212" s="707" t="inlineStr">
        <is>
          <t>9:55.22</t>
        </is>
      </c>
      <c r="G21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2" s="460">
        <f>G212/#REF!</f>
        <v/>
      </c>
      <c r="I212" s="698" t="inlineStr">
        <is>
          <t>10:12.63</t>
        </is>
      </c>
      <c r="J21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2" s="460">
        <f>J212/#REF!</f>
        <v/>
      </c>
      <c r="L212" s="709" t="n">
        <v>11</v>
      </c>
      <c r="M212" s="593" t="n">
        <v>11</v>
      </c>
      <c r="N212" s="655">
        <f t="array" ref="N212">1000*(INDEX('Bakat Base Times'!$E:$E,MATCH(1,('Bakat Base Times'!$A:$A=B212)*('Bakat Base Times'!$B:$B=C212)*('Bakat Base Times'!$C:$C=D212),0))/(VALUE(O212)))^3
</f>
        <v/>
      </c>
      <c r="O212" s="582">
        <f>IFERROR(__xludf.DUMMYFUNCTION("IF(ISNUMBER(I212), I212, IF(REGEXMATCH(I212, "":""), SUMPRODUCT(VALUE(SPLIT(I212, "":"")) * (60^(COUNTIF(SPLIT(I212, "":""), ""&lt;&gt;"")-COLUMN(OFFSET('MOT Tables 25'!$A$1,,,1,COUNTIF(SPLIT(I212, "":""),""&lt;&gt;"")))))), VALUE(I212)))"),612.63)</f>
        <v/>
      </c>
      <c r="P212" s="689" t="n"/>
      <c r="Q212" s="689" t="n"/>
      <c r="R212" s="689" t="n"/>
      <c r="S212" s="689" t="n"/>
      <c r="T212" s="689" t="n"/>
      <c r="U212" s="689" t="n"/>
      <c r="V212" s="689" t="n"/>
      <c r="W212" s="689" t="n"/>
      <c r="X212" s="689" t="n"/>
      <c r="Y212" s="596" t="inlineStr">
        <is>
          <t>F</t>
        </is>
      </c>
      <c r="Z212" s="597" t="inlineStr">
        <is>
          <t>800 Free</t>
        </is>
      </c>
      <c r="AA212" s="589" t="n">
        <v>16</v>
      </c>
      <c r="AB212" s="590" t="inlineStr">
        <is>
          <t>FELICIA LEE QIAN HUI</t>
        </is>
      </c>
      <c r="AC212" s="698" t="inlineStr">
        <is>
          <t>10:12.63</t>
        </is>
      </c>
      <c r="AD212" s="592">
        <f>IFERROR(__xludf.DUMMYFUNCTION("IF(ISNUMBER(AC212), AC212, IF(REGEXMATCH(AC212, "":""), SUMPRODUCT(VALUE(SPLIT(AC212, "":"")) * (60^(COUNTIF(SPLIT(AC212, "":""), ""&lt;&gt;"")-COLUMN(OFFSET('MOT Tables 25'!$A$1,,,1,COUNTIF(SPLIT(AC212, "":""),""&lt;&gt;"")))))), VALUE(AC212)))"),612.63)</f>
        <v/>
      </c>
      <c r="AE212" s="593" t="n">
        <v>11</v>
      </c>
      <c r="AF212" s="594">
        <f t="array" ref="AF212">1000*(INDEX('Bakat Base Times'!$E:$E,MATCH(1,('Bakat Base Times'!$A:$A=Y212)*('Bakat Base Times'!$B:$B=Z212)*('Bakat Base Times'!$C:$C=AA212),0))/(VALUE(AD212)))^3
</f>
        <v/>
      </c>
      <c r="AG212" s="693" t="n"/>
      <c r="AH212" s="721" t="n"/>
      <c r="AI212" s="721" t="n"/>
      <c r="AJ212" s="688" t="n"/>
      <c r="AK212" s="689" t="n"/>
      <c r="AL212" s="690" t="n"/>
      <c r="AM212" s="691" t="n"/>
      <c r="AN212" s="692" t="n"/>
      <c r="AO212" s="693" t="n"/>
      <c r="AP212" s="693" t="n"/>
      <c r="AQ212" s="693" t="n"/>
      <c r="AR212" s="693" t="n"/>
      <c r="AS212" s="693" t="n"/>
      <c r="AT212" s="693" t="n"/>
      <c r="AU212" s="699" t="n"/>
      <c r="AV212" s="693" t="n"/>
      <c r="AW212" s="693" t="n"/>
      <c r="AX212" s="693" t="n"/>
      <c r="AY212" s="693" t="n"/>
      <c r="AZ212" s="693" t="n"/>
    </row>
    <row r="213">
      <c r="A213" s="651" t="n"/>
      <c r="B213" s="705" t="inlineStr">
        <is>
          <t>F</t>
        </is>
      </c>
      <c r="C213" s="704" t="inlineStr">
        <is>
          <t>200 IM</t>
        </is>
      </c>
      <c r="D213" s="705" t="n">
        <v>13</v>
      </c>
      <c r="E213" s="701" t="inlineStr">
        <is>
          <t xml:space="preserve">HANNAH WONG </t>
        </is>
      </c>
      <c r="F213" s="701" t="inlineStr">
        <is>
          <t>2:42.15</t>
        </is>
      </c>
      <c r="G21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3" s="464">
        <f>G213/#REF!</f>
        <v/>
      </c>
      <c r="I213" s="614" t="inlineStr">
        <is>
          <t>2:46.94</t>
        </is>
      </c>
      <c r="J213"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3" s="464">
        <f>J213/#REF!</f>
        <v/>
      </c>
      <c r="L213" s="704" t="n">
        <v>16</v>
      </c>
      <c r="M213" s="616" t="n">
        <v>16</v>
      </c>
      <c r="N213" s="652">
        <f t="array" ref="N213">1000*(INDEX('Bakat Base Times'!$E:$E,MATCH(1,('Bakat Base Times'!$A:$A=B213)*('Bakat Base Times'!$B:$B=C213)*('Bakat Base Times'!$C:$C=D213),0))/(VALUE(O213)))^3
</f>
        <v/>
      </c>
      <c r="O213" s="609">
        <f>IFERROR(__xludf.DUMMYFUNCTION("IF(ISNUMBER(I213), I213, IF(REGEXMATCH(I213, "":""), SUMPRODUCT(VALUE(SPLIT(I213, "":"")) * (60^(COUNTIF(SPLIT(I213, "":""), ""&lt;&gt;"")-COLUMN(OFFSET('MOT Tables 25'!$A$1,,,1,COUNTIF(SPLIT(I213, "":""),""&lt;&gt;"")))))), VALUE(I213)))"),166.94)</f>
        <v/>
      </c>
      <c r="P213" s="689" t="n"/>
      <c r="Q213" s="689" t="n"/>
      <c r="R213" s="689" t="n"/>
      <c r="S213" s="689" t="n"/>
      <c r="T213" s="689" t="n"/>
      <c r="U213" s="689" t="n"/>
      <c r="V213" s="689" t="n"/>
      <c r="W213" s="689" t="n"/>
      <c r="X213" s="689" t="n"/>
      <c r="Y213" s="618" t="inlineStr">
        <is>
          <t>F</t>
        </is>
      </c>
      <c r="Z213" s="619" t="inlineStr">
        <is>
          <t>200 IM</t>
        </is>
      </c>
      <c r="AA213" s="705" t="n">
        <v>13</v>
      </c>
      <c r="AB213" s="701" t="inlineStr">
        <is>
          <t xml:space="preserve">HANNAH WONG </t>
        </is>
      </c>
      <c r="AC213" s="614" t="inlineStr">
        <is>
          <t>2:46.94</t>
        </is>
      </c>
      <c r="AD213" s="628">
        <f>IFERROR(__xludf.DUMMYFUNCTION("IF(ISNUMBER(AC213), AC213, IF(REGEXMATCH(AC213, "":""), SUMPRODUCT(VALUE(SPLIT(AC213, "":"")) * (60^(COUNTIF(SPLIT(AC213, "":""), ""&lt;&gt;"")-COLUMN(OFFSET('MOT Tables 25'!$A$1,,,1,COUNTIF(SPLIT(AC213, "":""),""&lt;&gt;"")))))), VALUE(AC213)))"),166.94)</f>
        <v/>
      </c>
      <c r="AE213" s="616" t="n">
        <v>16</v>
      </c>
      <c r="AF213" s="617">
        <f t="array" ref="AF213">1000*(INDEX('Bakat Base Times'!$E:$E,MATCH(1,('Bakat Base Times'!$A:$A=Y213)*('Bakat Base Times'!$B:$B=Z213)*('Bakat Base Times'!$C:$C=AA213),0))/(VALUE(AD213)))^3
</f>
        <v/>
      </c>
      <c r="AG213" s="693" t="n"/>
      <c r="AH213" s="721" t="n"/>
      <c r="AI213" s="721" t="n"/>
      <c r="AJ213" s="688" t="n"/>
      <c r="AK213" s="689" t="n"/>
      <c r="AL213" s="690" t="n"/>
      <c r="AM213" s="691" t="n"/>
      <c r="AN213" s="692" t="n"/>
      <c r="AO213" s="693" t="n"/>
      <c r="AP213" s="693" t="n"/>
      <c r="AQ213" s="693" t="n"/>
      <c r="AR213" s="693" t="n"/>
      <c r="AS213" s="693" t="n"/>
      <c r="AT213" s="693" t="n"/>
      <c r="AU213" s="699" t="n"/>
      <c r="AV213" s="693" t="n"/>
      <c r="AW213" s="693" t="n"/>
      <c r="AX213" s="693" t="n"/>
      <c r="AY213" s="693" t="n"/>
      <c r="AZ213" s="693" t="n"/>
    </row>
    <row r="214">
      <c r="A214" s="654" t="n"/>
      <c r="B214" s="710" t="inlineStr">
        <is>
          <t>F</t>
        </is>
      </c>
      <c r="C214" s="709" t="inlineStr">
        <is>
          <t>200 Back</t>
        </is>
      </c>
      <c r="D214" s="710" t="n">
        <v>13</v>
      </c>
      <c r="E214" s="590" t="inlineStr">
        <is>
          <t>CAREYNA BULAWAN JOSEPH</t>
        </is>
      </c>
      <c r="F214" s="707" t="inlineStr">
        <is>
          <t>2:43.76</t>
        </is>
      </c>
      <c r="G214" s="62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4" s="460">
        <f>G214/#REF!</f>
        <v/>
      </c>
      <c r="I214" s="591" t="inlineStr">
        <is>
          <t>2:45.21</t>
        </is>
      </c>
      <c r="J214"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4" s="460">
        <f>J214/#REF!</f>
        <v/>
      </c>
      <c r="L214" s="709" t="n">
        <v>14</v>
      </c>
      <c r="M214" s="593" t="n">
        <v>14</v>
      </c>
      <c r="N214" s="655">
        <f t="array" ref="N214">1000*(INDEX('Bakat Base Times'!$E:$E,MATCH(1,('Bakat Base Times'!$A:$A=B214)*('Bakat Base Times'!$B:$B=C214)*('Bakat Base Times'!$C:$C=D214),0))/(VALUE(O214)))^3
</f>
        <v/>
      </c>
      <c r="O214" s="582">
        <f>IFERROR(__xludf.DUMMYFUNCTION("IF(ISNUMBER(I214), I214, IF(REGEXMATCH(I214, "":""), SUMPRODUCT(VALUE(SPLIT(I214, "":"")) * (60^(COUNTIF(SPLIT(I214, "":""), ""&lt;&gt;"")-COLUMN(OFFSET('MOT Tables 25'!$A$1,,,1,COUNTIF(SPLIT(I214, "":""),""&lt;&gt;"")))))), VALUE(I214)))"),165.21)</f>
        <v/>
      </c>
      <c r="P214" s="689" t="n"/>
      <c r="Q214" s="689" t="n"/>
      <c r="R214" s="689" t="n"/>
      <c r="S214" s="689" t="n"/>
      <c r="T214" s="689" t="n"/>
      <c r="U214" s="689" t="n"/>
      <c r="V214" s="689" t="n"/>
      <c r="W214" s="689" t="n"/>
      <c r="X214" s="689" t="n"/>
      <c r="Y214" s="596" t="inlineStr">
        <is>
          <t>F</t>
        </is>
      </c>
      <c r="Z214" s="597" t="inlineStr">
        <is>
          <t>200 Back</t>
        </is>
      </c>
      <c r="AA214" s="589" t="n">
        <v>13</v>
      </c>
      <c r="AB214" s="590" t="inlineStr">
        <is>
          <t>CAREYNA BULAWAN JOSEPH</t>
        </is>
      </c>
      <c r="AC214" s="591" t="inlineStr">
        <is>
          <t>2:45.21</t>
        </is>
      </c>
      <c r="AD214" s="592">
        <f>IFERROR(__xludf.DUMMYFUNCTION("IF(ISNUMBER(AC214), AC214, IF(REGEXMATCH(AC214, "":""), SUMPRODUCT(VALUE(SPLIT(AC214, "":"")) * (60^(COUNTIF(SPLIT(AC214, "":""), ""&lt;&gt;"")-COLUMN(OFFSET('MOT Tables 25'!$A$1,,,1,COUNTIF(SPLIT(AC214, "":""),""&lt;&gt;"")))))), VALUE(AC214)))"),165.21)</f>
        <v/>
      </c>
      <c r="AE214" s="593" t="n">
        <v>14</v>
      </c>
      <c r="AF214" s="594">
        <f t="array" ref="AF214">1000*(INDEX('Bakat Base Times'!$E:$E,MATCH(1,('Bakat Base Times'!$A:$A=Y214)*('Bakat Base Times'!$B:$B=Z214)*('Bakat Base Times'!$C:$C=AA214),0))/(VALUE(AD214)))^3
</f>
        <v/>
      </c>
      <c r="AG214" s="693" t="n"/>
      <c r="AH214" s="721" t="n"/>
      <c r="AI214" s="721" t="n"/>
      <c r="AJ214" s="688" t="n"/>
      <c r="AK214" s="689" t="n"/>
      <c r="AL214" s="690" t="n"/>
      <c r="AM214" s="691" t="n"/>
      <c r="AN214" s="692" t="n"/>
      <c r="AO214" s="693" t="n"/>
      <c r="AP214" s="693" t="n"/>
      <c r="AQ214" s="693" t="n"/>
      <c r="AR214" s="693" t="n"/>
      <c r="AS214" s="693" t="n"/>
      <c r="AT214" s="693" t="n"/>
      <c r="AU214" s="699" t="n"/>
      <c r="AV214" s="693" t="n"/>
      <c r="AW214" s="693" t="n"/>
      <c r="AX214" s="693" t="n"/>
      <c r="AY214" s="693" t="n"/>
      <c r="AZ214" s="693" t="n"/>
    </row>
    <row r="215">
      <c r="A215" s="651" t="n"/>
      <c r="B215" s="705" t="inlineStr">
        <is>
          <t>F</t>
        </is>
      </c>
      <c r="C215" s="704" t="inlineStr">
        <is>
          <t>200 Back</t>
        </is>
      </c>
      <c r="D215" s="705" t="n">
        <v>13</v>
      </c>
      <c r="E215" s="613" t="inlineStr">
        <is>
          <t>NATALIE LIM RONG LI</t>
        </is>
      </c>
      <c r="F215" s="701" t="inlineStr">
        <is>
          <t>2:45.46</t>
        </is>
      </c>
      <c r="G21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5" s="464">
        <f>G215/#REF!</f>
        <v/>
      </c>
      <c r="I215" s="614" t="inlineStr">
        <is>
          <t>2:45.62</t>
        </is>
      </c>
      <c r="J21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5" s="464">
        <f>J215/#REF!</f>
        <v/>
      </c>
      <c r="L215" s="704" t="n">
        <v>15</v>
      </c>
      <c r="M215" s="616" t="n">
        <v>15</v>
      </c>
      <c r="N215" s="652">
        <f t="array" ref="N215">1000*(INDEX('Bakat Base Times'!$E:$E,MATCH(1,('Bakat Base Times'!$A:$A=B215)*('Bakat Base Times'!$B:$B=C215)*('Bakat Base Times'!$C:$C=D215),0))/(VALUE(O215)))^3
</f>
        <v/>
      </c>
      <c r="O215" s="609">
        <f>IFERROR(__xludf.DUMMYFUNCTION("IF(ISNUMBER(I215), I215, IF(REGEXMATCH(I215, "":""), SUMPRODUCT(VALUE(SPLIT(I215, "":"")) * (60^(COUNTIF(SPLIT(I215, "":""), ""&lt;&gt;"")-COLUMN(OFFSET('MOT Tables 25'!$A$1,,,1,COUNTIF(SPLIT(I215, "":""),""&lt;&gt;"")))))), VALUE(I215)))"),165.62)</f>
        <v/>
      </c>
      <c r="P215" s="689" t="n"/>
      <c r="Q215" s="689" t="n"/>
      <c r="R215" s="689" t="n"/>
      <c r="S215" s="689" t="n"/>
      <c r="T215" s="689" t="n"/>
      <c r="U215" s="689" t="n"/>
      <c r="V215" s="689" t="n"/>
      <c r="W215" s="689" t="n"/>
      <c r="X215" s="689" t="n"/>
      <c r="Y215" s="618" t="inlineStr">
        <is>
          <t>F</t>
        </is>
      </c>
      <c r="Z215" s="619" t="inlineStr">
        <is>
          <t>200 Back</t>
        </is>
      </c>
      <c r="AA215" s="612" t="n">
        <v>13</v>
      </c>
      <c r="AB215" s="613" t="inlineStr">
        <is>
          <t>NATALIE LIM RONG LI</t>
        </is>
      </c>
      <c r="AC215" s="614" t="inlineStr">
        <is>
          <t>2:45.62</t>
        </is>
      </c>
      <c r="AD215" s="628">
        <f>IFERROR(__xludf.DUMMYFUNCTION("IF(ISNUMBER(AC215), AC215, IF(REGEXMATCH(AC215, "":""), SUMPRODUCT(VALUE(SPLIT(AC215, "":"")) * (60^(COUNTIF(SPLIT(AC215, "":""), ""&lt;&gt;"")-COLUMN(OFFSET('MOT Tables 25'!$A$1,,,1,COUNTIF(SPLIT(AC215, "":""),""&lt;&gt;"")))))), VALUE(AC215)))"),165.62)</f>
        <v/>
      </c>
      <c r="AE215" s="616" t="n">
        <v>15</v>
      </c>
      <c r="AF215" s="617">
        <f t="array" ref="AF215">1000*(INDEX('Bakat Base Times'!$E:$E,MATCH(1,('Bakat Base Times'!$A:$A=Y215)*('Bakat Base Times'!$B:$B=Z215)*('Bakat Base Times'!$C:$C=AA215),0))/(VALUE(AD215)))^3
</f>
        <v/>
      </c>
      <c r="AG215" s="693" t="n"/>
      <c r="AH215" s="721" t="n"/>
      <c r="AI215" s="721" t="n"/>
      <c r="AJ215" s="688" t="n"/>
      <c r="AK215" s="689" t="n"/>
      <c r="AL215" s="690" t="n"/>
      <c r="AM215" s="691" t="n"/>
      <c r="AN215" s="692" t="n"/>
      <c r="AO215" s="693" t="n"/>
      <c r="AP215" s="693" t="n"/>
      <c r="AQ215" s="693" t="n"/>
      <c r="AR215" s="693" t="n"/>
      <c r="AS215" s="693" t="n"/>
      <c r="AT215" s="693" t="n"/>
      <c r="AU215" s="699" t="n"/>
      <c r="AV215" s="693" t="n"/>
      <c r="AW215" s="693" t="n"/>
      <c r="AX215" s="693" t="n"/>
      <c r="AY215" s="693" t="n"/>
      <c r="AZ215" s="693" t="n"/>
    </row>
    <row r="216">
      <c r="A216" s="654" t="n"/>
      <c r="B216" s="710" t="inlineStr">
        <is>
          <t>F</t>
        </is>
      </c>
      <c r="C216" s="709" t="inlineStr">
        <is>
          <t>200 Fly</t>
        </is>
      </c>
      <c r="D216" s="710" t="n">
        <v>13</v>
      </c>
      <c r="E216" s="590" t="inlineStr">
        <is>
          <t>CHENG VALERIE</t>
        </is>
      </c>
      <c r="F216" s="707" t="inlineStr">
        <is>
          <t>2:45.85</t>
        </is>
      </c>
      <c r="G21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6" s="460">
        <f>G216/#REF!</f>
        <v/>
      </c>
      <c r="I216" s="591" t="inlineStr">
        <is>
          <t>2:45.61</t>
        </is>
      </c>
      <c r="J216"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6" s="460">
        <f>J216/#REF!</f>
        <v/>
      </c>
      <c r="L216" s="709" t="n">
        <v>12</v>
      </c>
      <c r="M216" s="593" t="n">
        <v>10</v>
      </c>
      <c r="N216" s="655">
        <f t="array" ref="N216">1000*(INDEX('Bakat Base Times'!$E:$E,MATCH(1,('Bakat Base Times'!$A:$A=B216)*('Bakat Base Times'!$B:$B=C216)*('Bakat Base Times'!$C:$C=D216),0))/(VALUE(O216)))^3
</f>
        <v/>
      </c>
      <c r="O216" s="582">
        <f>IFERROR(__xludf.DUMMYFUNCTION("IF(ISNUMBER(I216), I216, IF(REGEXMATCH(I216, "":""), SUMPRODUCT(VALUE(SPLIT(I216, "":"")) * (60^(COUNTIF(SPLIT(I216, "":""), ""&lt;&gt;"")-COLUMN(OFFSET('MOT Tables 25'!$A$1,,,1,COUNTIF(SPLIT(I216, "":""),""&lt;&gt;"")))))), VALUE(I216)))"),165.61)</f>
        <v/>
      </c>
      <c r="P216" s="689" t="n"/>
      <c r="Q216" s="689" t="n"/>
      <c r="R216" s="689" t="n"/>
      <c r="S216" s="689" t="n"/>
      <c r="T216" s="689" t="n"/>
      <c r="U216" s="689" t="n"/>
      <c r="V216" s="689" t="n"/>
      <c r="W216" s="689" t="n"/>
      <c r="X216" s="689" t="n"/>
      <c r="Y216" s="596" t="inlineStr">
        <is>
          <t>F</t>
        </is>
      </c>
      <c r="Z216" s="597" t="inlineStr">
        <is>
          <t>200 Fly</t>
        </is>
      </c>
      <c r="AA216" s="589" t="n">
        <v>13</v>
      </c>
      <c r="AB216" s="590" t="inlineStr">
        <is>
          <t>CHENG VALERIE</t>
        </is>
      </c>
      <c r="AC216" s="591" t="inlineStr">
        <is>
          <t>2:45.61</t>
        </is>
      </c>
      <c r="AD216" s="592">
        <f>IFERROR(__xludf.DUMMYFUNCTION("IF(ISNUMBER(AC216), AC216, IF(REGEXMATCH(AC216, "":""), SUMPRODUCT(VALUE(SPLIT(AC216, "":"")) * (60^(COUNTIF(SPLIT(AC216, "":""), ""&lt;&gt;"")-COLUMN(OFFSET('MOT Tables 25'!$A$1,,,1,COUNTIF(SPLIT(AC216, "":""),""&lt;&gt;"")))))), VALUE(AC216)))"),165.61)</f>
        <v/>
      </c>
      <c r="AE216" s="593" t="n">
        <v>10</v>
      </c>
      <c r="AF216" s="594">
        <f t="array" ref="AF216">1000*(INDEX('Bakat Base Times'!$E:$E,MATCH(1,('Bakat Base Times'!$A:$A=Y216)*('Bakat Base Times'!$B:$B=Z216)*('Bakat Base Times'!$C:$C=AA216),0))/(VALUE(AD216)))^3
</f>
        <v/>
      </c>
      <c r="AG216" s="693" t="n"/>
      <c r="AH216" s="721" t="n"/>
      <c r="AI216" s="721" t="n"/>
      <c r="AJ216" s="688" t="n"/>
      <c r="AK216" s="689" t="n"/>
      <c r="AL216" s="690" t="n"/>
      <c r="AM216" s="691" t="n"/>
      <c r="AN216" s="692" t="n"/>
      <c r="AO216" s="693" t="n"/>
      <c r="AP216" s="693" t="n"/>
      <c r="AQ216" s="693" t="n"/>
      <c r="AR216" s="693" t="n"/>
      <c r="AS216" s="693" t="n"/>
      <c r="AT216" s="693" t="n"/>
      <c r="AU216" s="699" t="n"/>
      <c r="AV216" s="693" t="n"/>
      <c r="AW216" s="693" t="n"/>
      <c r="AX216" s="693" t="n"/>
      <c r="AY216" s="693" t="n"/>
      <c r="AZ216" s="693" t="n"/>
    </row>
    <row r="217">
      <c r="A217" s="651" t="n"/>
      <c r="B217" s="705" t="inlineStr">
        <is>
          <t>F</t>
        </is>
      </c>
      <c r="C217" s="704" t="inlineStr">
        <is>
          <t>100 Back</t>
        </is>
      </c>
      <c r="D217" s="705" t="n">
        <v>13</v>
      </c>
      <c r="E217" s="613" t="inlineStr">
        <is>
          <t>KAMILA IRIS GHANI-SAYER</t>
        </is>
      </c>
      <c r="F217" s="701" t="inlineStr">
        <is>
          <t>1:16.73</t>
        </is>
      </c>
      <c r="G21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7" s="464">
        <f>G217/#REF!</f>
        <v/>
      </c>
      <c r="I217" s="614" t="inlineStr">
        <is>
          <t>1:17.08</t>
        </is>
      </c>
      <c r="J217"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7" s="464">
        <f>J217/#REF!</f>
        <v/>
      </c>
      <c r="L217" s="704" t="n">
        <v>16</v>
      </c>
      <c r="M217" s="616" t="n">
        <v>15</v>
      </c>
      <c r="N217" s="652">
        <f t="array" ref="N217">1000*(INDEX('Bakat Base Times'!$E:$E,MATCH(1,('Bakat Base Times'!$A:$A=B217)*('Bakat Base Times'!$B:$B=C217)*('Bakat Base Times'!$C:$C=D217),0))/(VALUE(O217)))^3
</f>
        <v/>
      </c>
      <c r="O217" s="609">
        <f>IFERROR(__xludf.DUMMYFUNCTION("IF(ISNUMBER(I217), I217, IF(REGEXMATCH(I217, "":""), SUMPRODUCT(VALUE(SPLIT(I217, "":"")) * (60^(COUNTIF(SPLIT(I217, "":""), ""&lt;&gt;"")-COLUMN(OFFSET('MOT Tables 25'!$A$1,,,1,COUNTIF(SPLIT(I217, "":""),""&lt;&gt;"")))))), VALUE(I217)))"),77.08)</f>
        <v/>
      </c>
      <c r="P217" s="697" t="n"/>
      <c r="Q217" s="697" t="n"/>
      <c r="R217" s="697" t="n"/>
      <c r="S217" s="697" t="n"/>
      <c r="T217" s="697" t="n"/>
      <c r="U217" s="697" t="n"/>
      <c r="V217" s="697" t="n"/>
      <c r="W217" s="697" t="n"/>
      <c r="X217" s="697" t="n"/>
      <c r="Y217" s="618" t="inlineStr">
        <is>
          <t>F</t>
        </is>
      </c>
      <c r="Z217" s="619" t="inlineStr">
        <is>
          <t>100 Back</t>
        </is>
      </c>
      <c r="AA217" s="612" t="n">
        <v>13</v>
      </c>
      <c r="AB217" s="613" t="inlineStr">
        <is>
          <t>KAMILA IRIS GHANI-SAYER</t>
        </is>
      </c>
      <c r="AC217" s="614" t="inlineStr">
        <is>
          <t>1:17.08</t>
        </is>
      </c>
      <c r="AD217" s="628">
        <f>IFERROR(__xludf.DUMMYFUNCTION("IF(ISNUMBER(AC217), AC217, IF(REGEXMATCH(AC217, "":""), SUMPRODUCT(VALUE(SPLIT(AC217, "":"")) * (60^(COUNTIF(SPLIT(AC217, "":""), ""&lt;&gt;"")-COLUMN(OFFSET('MOT Tables 25'!$A$1,,,1,COUNTIF(SPLIT(AC217, "":""),""&lt;&gt;"")))))), VALUE(AC217)))"),77.08)</f>
        <v/>
      </c>
      <c r="AE217" s="616" t="n">
        <v>15</v>
      </c>
      <c r="AF217" s="617">
        <f t="array" ref="AF217">1000*(INDEX('Bakat Base Times'!$E:$E,MATCH(1,('Bakat Base Times'!$A:$A=Y217)*('Bakat Base Times'!$B:$B=Z217)*('Bakat Base Times'!$C:$C=AA217),0))/(VALUE(AD217)))^3
</f>
        <v/>
      </c>
      <c r="AG217" s="693" t="n"/>
      <c r="AH217" s="721" t="n"/>
      <c r="AI217" s="721" t="n"/>
      <c r="AJ217" s="688" t="n"/>
      <c r="AK217" s="689" t="n"/>
      <c r="AL217" s="690" t="n"/>
      <c r="AM217" s="691" t="n"/>
      <c r="AN217" s="692" t="n"/>
      <c r="AO217" s="693" t="n"/>
      <c r="AP217" s="693" t="n"/>
      <c r="AQ217" s="693" t="n"/>
      <c r="AR217" s="693" t="n"/>
      <c r="AS217" s="693" t="n"/>
      <c r="AT217" s="693" t="n"/>
      <c r="AU217" s="699" t="n"/>
      <c r="AV217" s="693" t="n"/>
      <c r="AW217" s="693" t="n"/>
      <c r="AX217" s="693" t="n"/>
      <c r="AY217" s="693" t="n"/>
      <c r="AZ217" s="693" t="n"/>
    </row>
    <row r="218">
      <c r="A218" s="654" t="n"/>
      <c r="B218" s="710" t="inlineStr">
        <is>
          <t>F</t>
        </is>
      </c>
      <c r="C218" s="709" t="inlineStr">
        <is>
          <t>100 Back</t>
        </is>
      </c>
      <c r="D218" s="710" t="n">
        <v>13</v>
      </c>
      <c r="E218" s="590" t="inlineStr">
        <is>
          <t>KOK YUN YI</t>
        </is>
      </c>
      <c r="F218" s="707" t="inlineStr">
        <is>
          <t>1:15.27</t>
        </is>
      </c>
      <c r="G21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8" s="460">
        <f>G218/#REF!</f>
        <v/>
      </c>
      <c r="I218" s="591" t="inlineStr">
        <is>
          <t>1:17.23</t>
        </is>
      </c>
      <c r="J218"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8" s="460">
        <f>J218/#REF!</f>
        <v/>
      </c>
      <c r="L218" s="709" t="n">
        <v>14</v>
      </c>
      <c r="M218" s="593" t="n">
        <v>16</v>
      </c>
      <c r="N218" s="655">
        <f t="array" ref="N218">1000*(INDEX('Bakat Base Times'!$E:$E,MATCH(1,('Bakat Base Times'!$A:$A=B218)*('Bakat Base Times'!$B:$B=C218)*('Bakat Base Times'!$C:$C=D218),0))/(VALUE(O218)))^3
</f>
        <v/>
      </c>
      <c r="O218" s="582">
        <f>IFERROR(__xludf.DUMMYFUNCTION("IF(ISNUMBER(I218), I218, IF(REGEXMATCH(I218, "":""), SUMPRODUCT(VALUE(SPLIT(I218, "":"")) * (60^(COUNTIF(SPLIT(I218, "":""), ""&lt;&gt;"")-COLUMN(OFFSET('MOT Tables 25'!$A$1,,,1,COUNTIF(SPLIT(I218, "":""),""&lt;&gt;"")))))), VALUE(I218)))"),77.23)</f>
        <v/>
      </c>
      <c r="P218" s="689" t="n"/>
      <c r="Q218" s="689" t="n"/>
      <c r="R218" s="689" t="n"/>
      <c r="S218" s="689" t="n"/>
      <c r="T218" s="689" t="n"/>
      <c r="U218" s="689" t="n"/>
      <c r="V218" s="689" t="n"/>
      <c r="W218" s="689" t="n"/>
      <c r="X218" s="689" t="n"/>
      <c r="Y218" s="596" t="inlineStr">
        <is>
          <t>F</t>
        </is>
      </c>
      <c r="Z218" s="597" t="inlineStr">
        <is>
          <t>100 Back</t>
        </is>
      </c>
      <c r="AA218" s="589" t="n">
        <v>13</v>
      </c>
      <c r="AB218" s="590" t="inlineStr">
        <is>
          <t>KOK YUN YI</t>
        </is>
      </c>
      <c r="AC218" s="591" t="inlineStr">
        <is>
          <t>1:17.23</t>
        </is>
      </c>
      <c r="AD218" s="592">
        <f>IFERROR(__xludf.DUMMYFUNCTION("IF(ISNUMBER(AC218), AC218, IF(REGEXMATCH(AC218, "":""), SUMPRODUCT(VALUE(SPLIT(AC218, "":"")) * (60^(COUNTIF(SPLIT(AC218, "":""), ""&lt;&gt;"")-COLUMN(OFFSET('MOT Tables 25'!$A$1,,,1,COUNTIF(SPLIT(AC218, "":""),""&lt;&gt;"")))))), VALUE(AC218)))"),77.23)</f>
        <v/>
      </c>
      <c r="AE218" s="593" t="n">
        <v>16</v>
      </c>
      <c r="AF218" s="594">
        <f t="array" ref="AF218">1000*(INDEX('Bakat Base Times'!$E:$E,MATCH(1,('Bakat Base Times'!$A:$A=Y218)*('Bakat Base Times'!$B:$B=Z218)*('Bakat Base Times'!$C:$C=AA218),0))/(VALUE(AD218)))^3
</f>
        <v/>
      </c>
      <c r="AG218" s="693" t="n"/>
      <c r="AH218" s="721" t="n"/>
      <c r="AI218" s="721" t="n"/>
      <c r="AJ218" s="688" t="n"/>
      <c r="AK218" s="689" t="n"/>
      <c r="AL218" s="690" t="n"/>
      <c r="AM218" s="691" t="n"/>
      <c r="AN218" s="692" t="n"/>
      <c r="AO218" s="693" t="n"/>
      <c r="AP218" s="693" t="n"/>
      <c r="AQ218" s="693" t="n"/>
      <c r="AR218" s="693" t="n"/>
      <c r="AS218" s="693" t="n"/>
      <c r="AT218" s="693" t="n"/>
      <c r="AU218" s="699" t="n"/>
      <c r="AV218" s="693" t="n"/>
      <c r="AW218" s="693" t="n"/>
      <c r="AX218" s="693" t="n"/>
      <c r="AY218" s="693" t="n"/>
      <c r="AZ218" s="693" t="n"/>
    </row>
    <row r="219">
      <c r="A219" s="651" t="n"/>
      <c r="B219" s="705" t="inlineStr">
        <is>
          <t>F</t>
        </is>
      </c>
      <c r="C219" s="704" t="inlineStr">
        <is>
          <t>100 Fly</t>
        </is>
      </c>
      <c r="D219" s="705" t="n">
        <v>13</v>
      </c>
      <c r="E219" s="613" t="inlineStr">
        <is>
          <t>CHENG VALERIE</t>
        </is>
      </c>
      <c r="F219" s="701" t="inlineStr">
        <is>
          <t>1:13.26</t>
        </is>
      </c>
      <c r="G21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19" s="464">
        <f>G219/#REF!</f>
        <v/>
      </c>
      <c r="I219" s="665" t="inlineStr">
        <is>
          <t>1:15.00</t>
        </is>
      </c>
      <c r="J219" s="701">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19" s="464">
        <f>J219/#REF!</f>
        <v/>
      </c>
      <c r="L219" s="704" t="n">
        <v>11</v>
      </c>
      <c r="M219" s="616" t="n">
        <v>12</v>
      </c>
      <c r="N219" s="652">
        <f t="array" ref="N219">1000*(INDEX('Bakat Base Times'!$E:$E,MATCH(1,('Bakat Base Times'!$A:$A=B219)*('Bakat Base Times'!$B:$B=C219)*('Bakat Base Times'!$C:$C=D219),0))/(VALUE(O219)))^3
</f>
        <v/>
      </c>
      <c r="O219" s="609">
        <f>IFERROR(__xludf.DUMMYFUNCTION("IF(ISNUMBER(I219), I219, IF(REGEXMATCH(I219, "":""), SUMPRODUCT(VALUE(SPLIT(I219, "":"")) * (60^(COUNTIF(SPLIT(I219, "":""), ""&lt;&gt;"")-COLUMN(OFFSET('MOT Tables 25'!$A$1,,,1,COUNTIF(SPLIT(I219, "":""),""&lt;&gt;"")))))), VALUE(I219)))"),75.0)</f>
        <v/>
      </c>
      <c r="P219" s="689" t="n"/>
      <c r="Q219" s="689" t="n"/>
      <c r="R219" s="689" t="n"/>
      <c r="S219" s="689" t="n"/>
      <c r="T219" s="689" t="n"/>
      <c r="U219" s="689" t="n"/>
      <c r="V219" s="689" t="n"/>
      <c r="W219" s="689" t="n"/>
      <c r="X219" s="689" t="n"/>
      <c r="Y219" s="618" t="inlineStr">
        <is>
          <t>F</t>
        </is>
      </c>
      <c r="Z219" s="619" t="inlineStr">
        <is>
          <t>100 Fly</t>
        </is>
      </c>
      <c r="AA219" s="612" t="n">
        <v>13</v>
      </c>
      <c r="AB219" s="613" t="inlineStr">
        <is>
          <t>CHENG VALERIE</t>
        </is>
      </c>
      <c r="AC219" s="665" t="inlineStr">
        <is>
          <t>1:15.00</t>
        </is>
      </c>
      <c r="AD219" s="628">
        <f>IFERROR(__xludf.DUMMYFUNCTION("IF(ISNUMBER(AC219), AC219, IF(REGEXMATCH(AC219, "":""), SUMPRODUCT(VALUE(SPLIT(AC219, "":"")) * (60^(COUNTIF(SPLIT(AC219, "":""), ""&lt;&gt;"")-COLUMN(OFFSET('MOT Tables 25'!$A$1,,,1,COUNTIF(SPLIT(AC219, "":""),""&lt;&gt;"")))))), VALUE(AC219)))"),75.0)</f>
        <v/>
      </c>
      <c r="AE219" s="616" t="n">
        <v>12</v>
      </c>
      <c r="AF219" s="617">
        <f t="array" ref="AF219">1000*(INDEX('Bakat Base Times'!$E:$E,MATCH(1,('Bakat Base Times'!$A:$A=Y219)*('Bakat Base Times'!$B:$B=Z219)*('Bakat Base Times'!$C:$C=AA219),0))/(VALUE(AD219)))^3
</f>
        <v/>
      </c>
      <c r="AG219" s="693" t="n"/>
      <c r="AH219" s="721" t="n"/>
      <c r="AI219" s="721" t="n"/>
      <c r="AJ219" s="688" t="n"/>
      <c r="AK219" s="689" t="n"/>
      <c r="AL219" s="690" t="n"/>
      <c r="AM219" s="691" t="n"/>
      <c r="AN219" s="692" t="n"/>
      <c r="AO219" s="693" t="n"/>
      <c r="AP219" s="693" t="n"/>
      <c r="AQ219" s="693" t="n"/>
      <c r="AR219" s="693" t="n"/>
      <c r="AS219" s="693" t="n"/>
      <c r="AT219" s="693" t="n"/>
      <c r="AU219" s="699" t="n"/>
      <c r="AV219" s="693" t="n"/>
      <c r="AW219" s="693" t="n"/>
      <c r="AX219" s="693" t="n"/>
      <c r="AY219" s="693" t="n"/>
      <c r="AZ219" s="693" t="n"/>
    </row>
    <row r="220">
      <c r="A220" s="654" t="n"/>
      <c r="B220" s="710" t="inlineStr">
        <is>
          <t>F</t>
        </is>
      </c>
      <c r="C220" s="709" t="inlineStr">
        <is>
          <t>100 Fly</t>
        </is>
      </c>
      <c r="D220" s="710" t="n">
        <v>13</v>
      </c>
      <c r="E220" s="590" t="inlineStr">
        <is>
          <t>JOVIAL CHAN ZEN EE</t>
        </is>
      </c>
      <c r="F220" s="629" t="inlineStr">
        <is>
          <t>1:11.08</t>
        </is>
      </c>
      <c r="G22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0" s="460">
        <f>G220/#REF!</f>
        <v/>
      </c>
      <c r="I220" s="591" t="inlineStr">
        <is>
          <t>1:15.00</t>
        </is>
      </c>
      <c r="J220"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0" s="460">
        <f>J220/#REF!</f>
        <v/>
      </c>
      <c r="L220" s="709" t="n">
        <v>8</v>
      </c>
      <c r="M220" s="593" t="n">
        <v>10</v>
      </c>
      <c r="N220" s="655">
        <f t="array" ref="N220">1000*(INDEX('Bakat Base Times'!$E:$E,MATCH(1,('Bakat Base Times'!$A:$A=B220)*('Bakat Base Times'!$B:$B=C220)*('Bakat Base Times'!$C:$C=D220),0))/(VALUE(O220)))^3
</f>
        <v/>
      </c>
      <c r="O220" s="582">
        <f>IFERROR(__xludf.DUMMYFUNCTION("IF(ISNUMBER(I220), I220, IF(REGEXMATCH(I220, "":""), SUMPRODUCT(VALUE(SPLIT(I220, "":"")) * (60^(COUNTIF(SPLIT(I220, "":""), ""&lt;&gt;"")-COLUMN(OFFSET('MOT Tables 25'!$A$1,,,1,COUNTIF(SPLIT(I220, "":""),""&lt;&gt;"")))))), VALUE(I220)))"),75.0)</f>
        <v/>
      </c>
      <c r="P220" s="689" t="n"/>
      <c r="Q220" s="689" t="n"/>
      <c r="R220" s="689" t="n"/>
      <c r="S220" s="689" t="n"/>
      <c r="T220" s="689" t="n"/>
      <c r="U220" s="689" t="n"/>
      <c r="V220" s="689" t="n"/>
      <c r="W220" s="689" t="n"/>
      <c r="X220" s="689" t="n"/>
      <c r="Y220" s="596" t="inlineStr">
        <is>
          <t>F</t>
        </is>
      </c>
      <c r="Z220" s="597" t="inlineStr">
        <is>
          <t>100 Fly</t>
        </is>
      </c>
      <c r="AA220" s="589" t="n">
        <v>13</v>
      </c>
      <c r="AB220" s="590" t="inlineStr">
        <is>
          <t>JOVIAL CHAN ZEN EE</t>
        </is>
      </c>
      <c r="AC220" s="591" t="inlineStr">
        <is>
          <t>1:15.00</t>
        </is>
      </c>
      <c r="AD220" s="592">
        <f>IFERROR(__xludf.DUMMYFUNCTION("IF(ISNUMBER(AC220), AC220, IF(REGEXMATCH(AC220, "":""), SUMPRODUCT(VALUE(SPLIT(AC220, "":"")) * (60^(COUNTIF(SPLIT(AC220, "":""), ""&lt;&gt;"")-COLUMN(OFFSET('MOT Tables 25'!$A$1,,,1,COUNTIF(SPLIT(AC220, "":""),""&lt;&gt;"")))))), VALUE(AC220)))"),75.0)</f>
        <v/>
      </c>
      <c r="AE220" s="593" t="n">
        <v>10</v>
      </c>
      <c r="AF220" s="594">
        <f t="array" ref="AF220">1000*(INDEX('Bakat Base Times'!$E:$E,MATCH(1,('Bakat Base Times'!$A:$A=Y220)*('Bakat Base Times'!$B:$B=Z220)*('Bakat Base Times'!$C:$C=AA220),0))/(VALUE(AD220)))^3
</f>
        <v/>
      </c>
      <c r="AG220" s="693" t="n"/>
      <c r="AH220" s="721" t="n"/>
      <c r="AI220" s="721" t="n"/>
      <c r="AJ220" s="688" t="n"/>
      <c r="AK220" s="689" t="n"/>
      <c r="AL220" s="690" t="n"/>
      <c r="AM220" s="691" t="n"/>
      <c r="AN220" s="692" t="n"/>
      <c r="AO220" s="693" t="n"/>
      <c r="AP220" s="693" t="n"/>
      <c r="AQ220" s="693" t="n"/>
      <c r="AR220" s="693" t="n"/>
      <c r="AS220" s="693" t="n"/>
      <c r="AT220" s="693" t="n"/>
      <c r="AU220" s="699" t="n"/>
      <c r="AV220" s="693" t="n"/>
      <c r="AW220" s="693" t="n"/>
      <c r="AX220" s="693" t="n"/>
      <c r="AY220" s="693" t="n"/>
      <c r="AZ220" s="693" t="n"/>
    </row>
    <row r="221">
      <c r="A221" s="651" t="n"/>
      <c r="B221" s="705" t="inlineStr">
        <is>
          <t>F</t>
        </is>
      </c>
      <c r="C221" s="704" t="inlineStr">
        <is>
          <t>200 Back</t>
        </is>
      </c>
      <c r="D221" s="705" t="n">
        <v>13</v>
      </c>
      <c r="E221" s="613" t="inlineStr">
        <is>
          <t>KAMILA IRIS GHANI-SAYER</t>
        </is>
      </c>
      <c r="F221" s="701" t="inlineStr">
        <is>
          <t>2:46.17</t>
        </is>
      </c>
      <c r="G221"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1" s="464">
        <f>G221/#REF!</f>
        <v/>
      </c>
      <c r="I221" s="614" t="inlineStr">
        <is>
          <t>2:47.53</t>
        </is>
      </c>
      <c r="J221"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1" s="464">
        <f>J221/#REF!</f>
        <v/>
      </c>
      <c r="L221" s="704" t="n">
        <v>16</v>
      </c>
      <c r="M221" s="616" t="n">
        <v>16</v>
      </c>
      <c r="N221" s="652">
        <f t="array" ref="N221">1000*(INDEX('Bakat Base Times'!$E:$E,MATCH(1,('Bakat Base Times'!$A:$A=B221)*('Bakat Base Times'!$B:$B=C221)*('Bakat Base Times'!$C:$C=D221),0))/(VALUE(O221)))^3
</f>
        <v/>
      </c>
      <c r="O221" s="609">
        <f>IFERROR(__xludf.DUMMYFUNCTION("IF(ISNUMBER(I221), I221, IF(REGEXMATCH(I221, "":""), SUMPRODUCT(VALUE(SPLIT(I221, "":"")) * (60^(COUNTIF(SPLIT(I221, "":""), ""&lt;&gt;"")-COLUMN(OFFSET('MOT Tables 25'!$A$1,,,1,COUNTIF(SPLIT(I221, "":""),""&lt;&gt;"")))))), VALUE(I221)))"),167.53)</f>
        <v/>
      </c>
      <c r="P221" s="689" t="n"/>
      <c r="Q221" s="689" t="n"/>
      <c r="R221" s="689" t="n"/>
      <c r="S221" s="689" t="n"/>
      <c r="T221" s="689" t="n"/>
      <c r="U221" s="689" t="n"/>
      <c r="V221" s="689" t="n"/>
      <c r="W221" s="689" t="n"/>
      <c r="X221" s="689" t="n"/>
      <c r="Y221" s="618" t="inlineStr">
        <is>
          <t>F</t>
        </is>
      </c>
      <c r="Z221" s="619" t="inlineStr">
        <is>
          <t>200 Back</t>
        </is>
      </c>
      <c r="AA221" s="612" t="n">
        <v>13</v>
      </c>
      <c r="AB221" s="613" t="inlineStr">
        <is>
          <t>KAMILA IRIS GHANI-SAYER</t>
        </is>
      </c>
      <c r="AC221" s="614" t="inlineStr">
        <is>
          <t>2:47.53</t>
        </is>
      </c>
      <c r="AD221" s="628">
        <f>IFERROR(__xludf.DUMMYFUNCTION("IF(ISNUMBER(AC221), AC221, IF(REGEXMATCH(AC221, "":""), SUMPRODUCT(VALUE(SPLIT(AC221, "":"")) * (60^(COUNTIF(SPLIT(AC221, "":""), ""&lt;&gt;"")-COLUMN(OFFSET('MOT Tables 25'!$A$1,,,1,COUNTIF(SPLIT(AC221, "":""),""&lt;&gt;"")))))), VALUE(AC221)))"),167.53)</f>
        <v/>
      </c>
      <c r="AE221" s="616" t="n">
        <v>16</v>
      </c>
      <c r="AF221" s="617">
        <f t="array" ref="AF221">1000*(INDEX('Bakat Base Times'!$E:$E,MATCH(1,('Bakat Base Times'!$A:$A=Y221)*('Bakat Base Times'!$B:$B=Z221)*('Bakat Base Times'!$C:$C=AA221),0))/(VALUE(AD221)))^3
</f>
        <v/>
      </c>
      <c r="AG221" s="693" t="n"/>
      <c r="AH221" s="721" t="n"/>
      <c r="AI221" s="721" t="n"/>
      <c r="AJ221" s="688" t="n"/>
      <c r="AK221" s="689" t="n"/>
      <c r="AL221" s="690" t="n"/>
      <c r="AM221" s="691" t="n"/>
      <c r="AN221" s="692" t="n"/>
      <c r="AO221" s="693" t="n"/>
      <c r="AP221" s="693" t="n"/>
      <c r="AQ221" s="693" t="n"/>
      <c r="AR221" s="693" t="n"/>
      <c r="AS221" s="693" t="n"/>
      <c r="AT221" s="693" t="n"/>
      <c r="AU221" s="699" t="n"/>
      <c r="AV221" s="693" t="n"/>
      <c r="AW221" s="693" t="n"/>
      <c r="AX221" s="693" t="n"/>
      <c r="AY221" s="693" t="n"/>
      <c r="AZ221" s="693" t="n"/>
    </row>
    <row r="222">
      <c r="A222" s="654" t="n"/>
      <c r="B222" s="710" t="inlineStr">
        <is>
          <t>F</t>
        </is>
      </c>
      <c r="C222" s="709" t="inlineStr">
        <is>
          <t>100 Fly</t>
        </is>
      </c>
      <c r="D222" s="710" t="n">
        <v>13</v>
      </c>
      <c r="E222" s="590" t="inlineStr">
        <is>
          <t>NATALIE LIM RONG LI</t>
        </is>
      </c>
      <c r="F222" s="707" t="inlineStr">
        <is>
          <t>1:17.43</t>
        </is>
      </c>
      <c r="G22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2" s="460">
        <f>G222/#REF!</f>
        <v/>
      </c>
      <c r="I222" s="667" t="inlineStr">
        <is>
          <t>1:16.80</t>
        </is>
      </c>
      <c r="J222" s="707">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2" s="460">
        <f>J222/#REF!</f>
        <v/>
      </c>
      <c r="L222" s="709" t="n">
        <v>13</v>
      </c>
      <c r="M222" s="593" t="n">
        <v>13</v>
      </c>
      <c r="N222" s="655">
        <f t="array" ref="N222">1000*(INDEX('Bakat Base Times'!$E:$E,MATCH(1,('Bakat Base Times'!$A:$A=B222)*('Bakat Base Times'!$B:$B=C222)*('Bakat Base Times'!$C:$C=D222),0))/(VALUE(O222)))^3
</f>
        <v/>
      </c>
      <c r="O222" s="582">
        <f>IFERROR(__xludf.DUMMYFUNCTION("IF(ISNUMBER(I222), I222, IF(REGEXMATCH(I222, "":""), SUMPRODUCT(VALUE(SPLIT(I222, "":"")) * (60^(COUNTIF(SPLIT(I222, "":""), ""&lt;&gt;"")-COLUMN(OFFSET('MOT Tables 25'!$A$1,,,1,COUNTIF(SPLIT(I222, "":""),""&lt;&gt;"")))))), VALUE(I222)))"),76.8)</f>
        <v/>
      </c>
      <c r="P222" s="689" t="n"/>
      <c r="Q222" s="689" t="n"/>
      <c r="R222" s="689" t="n"/>
      <c r="S222" s="689" t="n"/>
      <c r="T222" s="689" t="n"/>
      <c r="U222" s="689" t="n"/>
      <c r="V222" s="689" t="n"/>
      <c r="W222" s="689" t="n"/>
      <c r="X222" s="689" t="n"/>
      <c r="Y222" s="596" t="inlineStr">
        <is>
          <t>F</t>
        </is>
      </c>
      <c r="Z222" s="597" t="inlineStr">
        <is>
          <t>100 Fly</t>
        </is>
      </c>
      <c r="AA222" s="589" t="n">
        <v>13</v>
      </c>
      <c r="AB222" s="590" t="inlineStr">
        <is>
          <t>NATALIE LIM RONG LI</t>
        </is>
      </c>
      <c r="AC222" s="667" t="inlineStr">
        <is>
          <t>1:16.80</t>
        </is>
      </c>
      <c r="AD222" s="592">
        <f>IFERROR(__xludf.DUMMYFUNCTION("IF(ISNUMBER(AC222), AC222, IF(REGEXMATCH(AC222, "":""), SUMPRODUCT(VALUE(SPLIT(AC222, "":"")) * (60^(COUNTIF(SPLIT(AC222, "":""), ""&lt;&gt;"")-COLUMN(OFFSET('MOT Tables 25'!$A$1,,,1,COUNTIF(SPLIT(AC222, "":""),""&lt;&gt;"")))))), VALUE(AC222)))"),76.8)</f>
        <v/>
      </c>
      <c r="AE222" s="593" t="n">
        <v>13</v>
      </c>
      <c r="AF222" s="594">
        <f t="array" ref="AF222">1000*(INDEX('Bakat Base Times'!$E:$E,MATCH(1,('Bakat Base Times'!$A:$A=Y222)*('Bakat Base Times'!$B:$B=Z222)*('Bakat Base Times'!$C:$C=AA222),0))/(VALUE(AD222)))^3
</f>
        <v/>
      </c>
      <c r="AG222" s="693" t="n"/>
      <c r="AH222" s="721" t="n"/>
      <c r="AI222" s="721" t="n"/>
      <c r="AJ222" s="688" t="n"/>
      <c r="AK222" s="689" t="n"/>
      <c r="AL222" s="690" t="n"/>
      <c r="AM222" s="691" t="n"/>
      <c r="AN222" s="692" t="n"/>
      <c r="AO222" s="693" t="n"/>
      <c r="AP222" s="693" t="n"/>
      <c r="AQ222" s="693" t="n"/>
      <c r="AR222" s="693" t="n"/>
      <c r="AS222" s="693" t="n"/>
      <c r="AT222" s="693" t="n"/>
      <c r="AU222" s="699" t="n"/>
      <c r="AV222" s="693" t="n"/>
      <c r="AW222" s="693" t="n"/>
      <c r="AX222" s="693" t="n"/>
      <c r="AY222" s="693" t="n"/>
      <c r="AZ222" s="693" t="n"/>
    </row>
    <row r="223">
      <c r="A223" s="651" t="n"/>
      <c r="B223" s="700" t="n"/>
      <c r="C223" s="701" t="n"/>
      <c r="D223" s="705" t="n"/>
      <c r="E223" s="613" t="n"/>
      <c r="F223" s="701" t="n"/>
      <c r="G22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3" s="464">
        <f>G223/#REF!</f>
        <v/>
      </c>
      <c r="I223" s="614" t="n"/>
      <c r="J223"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3" s="464">
        <f>J223/#REF!</f>
        <v/>
      </c>
      <c r="L223" s="704" t="n"/>
      <c r="M223" s="616" t="n"/>
      <c r="N223" s="652" t="n"/>
      <c r="O223" s="609" t="n"/>
      <c r="P223" s="702" t="n"/>
      <c r="Q223" s="702" t="n"/>
      <c r="R223" s="702" t="n"/>
      <c r="S223" s="702" t="n"/>
      <c r="T223" s="702" t="n"/>
      <c r="U223" s="702" t="n"/>
      <c r="V223" s="702" t="n"/>
      <c r="W223" s="702" t="n"/>
      <c r="X223" s="702" t="n"/>
      <c r="Y223" s="703" t="n"/>
      <c r="Z223" s="704" t="n"/>
      <c r="AA223" s="705" t="n"/>
      <c r="AB223" s="613" t="n"/>
      <c r="AC223" s="614" t="n"/>
      <c r="AD223" s="628" t="n"/>
      <c r="AE223" s="616" t="n"/>
      <c r="AF223" s="617" t="n"/>
      <c r="AG223" s="693" t="n"/>
      <c r="AH223" s="721" t="n"/>
      <c r="AI223" s="721" t="n"/>
      <c r="AJ223" s="688" t="n"/>
      <c r="AK223" s="689" t="n"/>
      <c r="AL223" s="690" t="n"/>
      <c r="AM223" s="691" t="n"/>
      <c r="AN223" s="692" t="n"/>
      <c r="AO223" s="693" t="n"/>
      <c r="AP223" s="693" t="n"/>
      <c r="AQ223" s="693" t="n"/>
      <c r="AR223" s="693" t="n"/>
      <c r="AS223" s="693" t="n"/>
      <c r="AT223" s="693" t="n"/>
      <c r="AU223" s="699" t="n"/>
      <c r="AV223" s="693" t="n"/>
      <c r="AW223" s="693" t="n"/>
      <c r="AX223" s="693" t="n"/>
      <c r="AY223" s="693" t="n"/>
      <c r="AZ223" s="693" t="n"/>
    </row>
    <row r="224">
      <c r="A224" s="654" t="n"/>
      <c r="B224" s="706" t="n"/>
      <c r="C224" s="707" t="n"/>
      <c r="D224" s="710" t="n"/>
      <c r="E224" s="590" t="n"/>
      <c r="F224" s="707" t="n"/>
      <c r="G224"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4" s="460">
        <f>G224/#REF!</f>
        <v/>
      </c>
      <c r="I224" s="591" t="n"/>
      <c r="J224"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4" s="460">
        <f>J224/#REF!</f>
        <v/>
      </c>
      <c r="L224" s="709" t="n"/>
      <c r="M224" s="593" t="n"/>
      <c r="N224" s="655" t="n"/>
      <c r="O224" s="582" t="n"/>
      <c r="P224" s="702" t="n"/>
      <c r="Q224" s="702" t="n"/>
      <c r="R224" s="702" t="n"/>
      <c r="S224" s="702" t="n"/>
      <c r="T224" s="702" t="n"/>
      <c r="U224" s="702" t="n"/>
      <c r="V224" s="702" t="n"/>
      <c r="W224" s="702" t="n"/>
      <c r="X224" s="702" t="n"/>
      <c r="Y224" s="708" t="n"/>
      <c r="Z224" s="709" t="n"/>
      <c r="AA224" s="710" t="n"/>
      <c r="AB224" s="590" t="n"/>
      <c r="AC224" s="591" t="n"/>
      <c r="AD224" s="592" t="n"/>
      <c r="AE224" s="593" t="n"/>
      <c r="AF224" s="594" t="n"/>
      <c r="AG224" s="693" t="n"/>
      <c r="AH224" s="721" t="n"/>
      <c r="AI224" s="721" t="n"/>
      <c r="AJ224" s="688" t="n"/>
      <c r="AK224" s="689" t="n"/>
      <c r="AL224" s="690" t="n"/>
      <c r="AM224" s="691" t="n"/>
      <c r="AN224" s="692" t="n"/>
      <c r="AO224" s="693" t="n"/>
      <c r="AP224" s="693" t="n"/>
      <c r="AQ224" s="693" t="n"/>
      <c r="AR224" s="693" t="n"/>
      <c r="AS224" s="693" t="n"/>
      <c r="AT224" s="693" t="n"/>
      <c r="AU224" s="699" t="n"/>
      <c r="AV224" s="693" t="n"/>
      <c r="AW224" s="693" t="n"/>
      <c r="AX224" s="693" t="n"/>
      <c r="AY224" s="693" t="n"/>
      <c r="AZ224" s="693" t="n"/>
    </row>
    <row r="225">
      <c r="A225" s="651" t="n"/>
      <c r="B225" s="700" t="n"/>
      <c r="C225" s="701" t="n"/>
      <c r="D225" s="705" t="n"/>
      <c r="E225" s="613" t="n"/>
      <c r="F225" s="701" t="n"/>
      <c r="G22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5" s="464">
        <f>G225/#REF!</f>
        <v/>
      </c>
      <c r="I225" s="614" t="n"/>
      <c r="J225" s="704">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5" s="464">
        <f>J225/#REF!</f>
        <v/>
      </c>
      <c r="L225" s="704" t="n"/>
      <c r="M225" s="616" t="n"/>
      <c r="N225" s="652" t="n"/>
      <c r="O225" s="609" t="n"/>
      <c r="P225" s="129" t="n"/>
      <c r="Q225" s="129" t="n"/>
      <c r="R225" s="129" t="n"/>
      <c r="S225" s="129" t="n"/>
      <c r="T225" s="129" t="n"/>
      <c r="U225" s="129" t="n"/>
      <c r="V225" s="129" t="n"/>
      <c r="W225" s="129" t="n"/>
      <c r="X225" s="129" t="n"/>
      <c r="Y225" s="703" t="n"/>
      <c r="Z225" s="704" t="n"/>
      <c r="AA225" s="705" t="n"/>
      <c r="AB225" s="613" t="n"/>
      <c r="AC225" s="614" t="n"/>
      <c r="AD225" s="628" t="n"/>
      <c r="AE225" s="616" t="n"/>
      <c r="AF225" s="617" t="n"/>
      <c r="AG225" s="693" t="n"/>
      <c r="AH225" s="721" t="n"/>
      <c r="AI225" s="721" t="n"/>
      <c r="AJ225" s="688" t="n"/>
      <c r="AK225" s="689" t="n"/>
      <c r="AL225" s="690" t="n"/>
      <c r="AM225" s="691" t="n"/>
      <c r="AN225" s="692" t="n"/>
      <c r="AO225" s="693" t="n"/>
      <c r="AP225" s="693" t="n"/>
      <c r="AQ225" s="693" t="n"/>
      <c r="AR225" s="693" t="n"/>
      <c r="AS225" s="693" t="n"/>
      <c r="AT225" s="693" t="n"/>
      <c r="AU225" s="699" t="n"/>
      <c r="AV225" s="693" t="n"/>
      <c r="AW225" s="693" t="n"/>
      <c r="AX225" s="693" t="n"/>
      <c r="AY225" s="693" t="n"/>
      <c r="AZ225" s="693" t="n"/>
    </row>
    <row r="226">
      <c r="A226" s="654" t="n"/>
      <c r="B226" s="706" t="n"/>
      <c r="C226" s="707" t="n"/>
      <c r="D226" s="710" t="n"/>
      <c r="E226" s="590" t="n"/>
      <c r="F226" s="707" t="n"/>
      <c r="G226"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6" s="460">
        <f>G226/#REF!</f>
        <v/>
      </c>
      <c r="I226" s="591" t="n"/>
      <c r="J226" s="709">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6" s="460">
        <f>J226/#REF!</f>
        <v/>
      </c>
      <c r="L226" s="709" t="n"/>
      <c r="M226" s="593" t="n"/>
      <c r="N226" s="655" t="n"/>
      <c r="O226" s="582" t="n"/>
      <c r="P226" s="129" t="n"/>
      <c r="Q226" s="129" t="n"/>
      <c r="R226" s="129" t="n"/>
      <c r="S226" s="129" t="n"/>
      <c r="T226" s="129" t="n"/>
      <c r="U226" s="129" t="n"/>
      <c r="V226" s="129" t="n"/>
      <c r="W226" s="129" t="n"/>
      <c r="X226" s="129" t="n"/>
      <c r="Y226" s="708" t="n"/>
      <c r="Z226" s="709" t="n"/>
      <c r="AA226" s="710" t="n"/>
      <c r="AB226" s="590" t="n"/>
      <c r="AC226" s="591" t="n"/>
      <c r="AD226" s="592" t="n"/>
      <c r="AE226" s="593" t="n"/>
      <c r="AF226" s="594" t="n"/>
      <c r="AG226" s="693" t="n"/>
      <c r="AH226" s="721" t="n"/>
      <c r="AI226" s="721" t="n"/>
      <c r="AJ226" s="688" t="n"/>
      <c r="AK226" s="689" t="n"/>
      <c r="AL226" s="690" t="n"/>
      <c r="AM226" s="691" t="n"/>
      <c r="AN226" s="692" t="n"/>
      <c r="AO226" s="693" t="n"/>
      <c r="AP226" s="693" t="n"/>
      <c r="AQ226" s="693" t="n"/>
      <c r="AR226" s="693" t="n"/>
      <c r="AS226" s="693" t="n"/>
      <c r="AT226" s="693" t="n"/>
      <c r="AU226" s="699" t="n"/>
      <c r="AV226" s="693" t="n"/>
      <c r="AW226" s="693" t="n"/>
      <c r="AX226" s="693" t="n"/>
      <c r="AY226" s="693" t="n"/>
      <c r="AZ226" s="693" t="n"/>
    </row>
    <row r="227">
      <c r="A227" s="711" t="n"/>
      <c r="B227" s="712" t="n"/>
      <c r="C227" s="715" t="n"/>
      <c r="D227" s="714" t="n"/>
      <c r="E227" s="681" t="n"/>
      <c r="F227" s="715" t="n"/>
      <c r="G227" s="716">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7" s="717">
        <f>G227/#REF!</f>
        <v/>
      </c>
      <c r="I227" s="682" t="n"/>
      <c r="J227" s="716">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7" s="717">
        <f>J227/#REF!</f>
        <v/>
      </c>
      <c r="L227" s="716" t="n"/>
      <c r="M227" s="718" t="n"/>
      <c r="N227" s="719" t="n"/>
      <c r="O227" s="720" t="n"/>
      <c r="P227" s="129" t="n"/>
      <c r="Q227" s="129" t="n"/>
      <c r="R227" s="129" t="n"/>
      <c r="S227" s="129" t="n"/>
      <c r="T227" s="129" t="n"/>
      <c r="U227" s="129" t="n"/>
      <c r="V227" s="129" t="n"/>
      <c r="W227" s="129" t="n"/>
      <c r="X227" s="129" t="n"/>
      <c r="Y227" s="703" t="n"/>
      <c r="Z227" s="704" t="n"/>
      <c r="AA227" s="705" t="n"/>
      <c r="AB227" s="613" t="n"/>
      <c r="AC227" s="614" t="n"/>
      <c r="AD227" s="628" t="n"/>
      <c r="AE227" s="616" t="n"/>
      <c r="AF227" s="617" t="n"/>
      <c r="AG227" s="693" t="n"/>
      <c r="AH227" s="721" t="n"/>
      <c r="AI227" s="721" t="n"/>
      <c r="AJ227" s="688" t="n"/>
      <c r="AK227" s="689" t="n"/>
      <c r="AL227" s="690" t="n"/>
      <c r="AM227" s="691" t="n"/>
      <c r="AN227" s="692" t="n"/>
      <c r="AO227" s="693" t="n"/>
      <c r="AP227" s="693" t="n"/>
      <c r="AQ227" s="693" t="n"/>
      <c r="AR227" s="693" t="n"/>
      <c r="AS227" s="693" t="n"/>
      <c r="AT227" s="693" t="n"/>
      <c r="AU227" s="699" t="n"/>
      <c r="AV227" s="693" t="n"/>
      <c r="AW227" s="693" t="n"/>
      <c r="AX227" s="693" t="n"/>
      <c r="AY227" s="693" t="n"/>
      <c r="AZ227" s="693" t="n"/>
    </row>
    <row r="228">
      <c r="A228" s="688" t="n"/>
      <c r="B228" s="688" t="n"/>
      <c r="C228" s="473" t="n"/>
      <c r="D228" s="688" t="n"/>
      <c r="E228" s="689" t="n"/>
      <c r="F228" s="721" t="n"/>
      <c r="G2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8" s="474">
        <f>G228/#REF!</f>
        <v/>
      </c>
      <c r="I228" s="690" t="n"/>
      <c r="J2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8" s="474">
        <f>J228/#REF!</f>
        <v/>
      </c>
      <c r="L228" s="473" t="n"/>
      <c r="M228" s="692" t="n"/>
      <c r="N228" s="693" t="n"/>
      <c r="O228" s="78" t="n"/>
      <c r="P228" s="129" t="n"/>
      <c r="Q228" s="129" t="n"/>
      <c r="R228" s="129" t="n"/>
      <c r="S228" s="129" t="n"/>
      <c r="T228" s="129" t="n"/>
      <c r="U228" s="129" t="n"/>
      <c r="V228" s="129" t="n"/>
      <c r="W228" s="129" t="n"/>
      <c r="X228" s="129" t="n"/>
      <c r="Y228" s="708" t="n"/>
      <c r="Z228" s="709" t="n"/>
      <c r="AA228" s="710" t="n"/>
      <c r="AB228" s="590" t="n"/>
      <c r="AC228" s="591" t="n"/>
      <c r="AD228" s="592" t="n"/>
      <c r="AE228" s="593" t="n"/>
      <c r="AF228" s="594" t="n"/>
      <c r="AG228" s="693" t="n"/>
      <c r="AH228" s="721" t="n"/>
      <c r="AI228" s="721" t="n"/>
      <c r="AJ228" s="688" t="n"/>
      <c r="AK228" s="689" t="n"/>
      <c r="AL228" s="690" t="n"/>
      <c r="AM228" s="691" t="n"/>
      <c r="AN228" s="692" t="n"/>
      <c r="AO228" s="693" t="n"/>
      <c r="AP228" s="693" t="n"/>
      <c r="AQ228" s="693" t="n"/>
      <c r="AR228" s="693" t="n"/>
      <c r="AS228" s="693" t="n"/>
      <c r="AT228" s="693" t="n"/>
      <c r="AU228" s="699" t="n"/>
      <c r="AV228" s="693" t="n"/>
      <c r="AW228" s="693" t="n"/>
      <c r="AX228" s="693" t="n"/>
      <c r="AY228" s="693" t="n"/>
      <c r="AZ228" s="693" t="n"/>
    </row>
    <row r="229">
      <c r="A229" s="688" t="n"/>
      <c r="B229" s="688" t="n"/>
      <c r="C229" s="473" t="n"/>
      <c r="D229" s="688" t="n"/>
      <c r="E229" s="689" t="n"/>
      <c r="F229" s="721" t="n"/>
      <c r="G2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29" s="474">
        <f>G229/#REF!</f>
        <v/>
      </c>
      <c r="I229" s="690" t="n"/>
      <c r="J2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29" s="474">
        <f>J229/#REF!</f>
        <v/>
      </c>
      <c r="L229" s="473" t="n"/>
      <c r="M229" s="692" t="n"/>
      <c r="N229" s="693" t="n"/>
      <c r="O229" s="78" t="n"/>
      <c r="P229" s="129" t="n"/>
      <c r="Q229" s="129" t="n"/>
      <c r="R229" s="129" t="n"/>
      <c r="S229" s="129" t="n"/>
      <c r="T229" s="129" t="n"/>
      <c r="U229" s="129" t="n"/>
      <c r="V229" s="129" t="n"/>
      <c r="W229" s="129" t="n"/>
      <c r="X229" s="129" t="n"/>
      <c r="Y229" s="703" t="n"/>
      <c r="Z229" s="704" t="n"/>
      <c r="AA229" s="705" t="n"/>
      <c r="AB229" s="613" t="n"/>
      <c r="AC229" s="614" t="n"/>
      <c r="AD229" s="628" t="n"/>
      <c r="AE229" s="616" t="n"/>
      <c r="AF229" s="617" t="n"/>
      <c r="AG229" s="693" t="n"/>
      <c r="AH229" s="721" t="n"/>
      <c r="AI229" s="721" t="n"/>
      <c r="AJ229" s="688" t="n"/>
      <c r="AK229" s="689" t="n"/>
      <c r="AL229" s="690" t="n"/>
      <c r="AM229" s="691" t="n"/>
      <c r="AN229" s="692" t="n"/>
      <c r="AO229" s="693" t="n"/>
      <c r="AP229" s="693" t="n"/>
      <c r="AQ229" s="693" t="n"/>
      <c r="AR229" s="693" t="n"/>
      <c r="AS229" s="693" t="n"/>
      <c r="AT229" s="693" t="n"/>
      <c r="AU229" s="699" t="n"/>
      <c r="AV229" s="693" t="n"/>
      <c r="AW229" s="693" t="n"/>
      <c r="AX229" s="693" t="n"/>
      <c r="AY229" s="693" t="n"/>
      <c r="AZ229" s="693" t="n"/>
    </row>
    <row r="230">
      <c r="A230" s="688" t="n"/>
      <c r="B230" s="688" t="n"/>
      <c r="C230" s="473" t="n"/>
      <c r="D230" s="688" t="n"/>
      <c r="E230" s="689" t="n"/>
      <c r="F230" s="721" t="n"/>
      <c r="G2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0" s="474">
        <f>G230/#REF!</f>
        <v/>
      </c>
      <c r="I230" s="690" t="n"/>
      <c r="J2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0" s="474">
        <f>J230/#REF!</f>
        <v/>
      </c>
      <c r="L230" s="473" t="n"/>
      <c r="M230" s="692" t="n"/>
      <c r="N230" s="693" t="n"/>
      <c r="O230" s="78" t="n"/>
      <c r="P230" s="129" t="n"/>
      <c r="Q230" s="129" t="n"/>
      <c r="R230" s="129" t="n"/>
      <c r="S230" s="129" t="n"/>
      <c r="T230" s="129" t="n"/>
      <c r="U230" s="129" t="n"/>
      <c r="V230" s="129" t="n"/>
      <c r="W230" s="129" t="n"/>
      <c r="X230" s="129" t="n"/>
      <c r="Y230" s="708" t="n"/>
      <c r="Z230" s="709" t="n"/>
      <c r="AA230" s="710" t="n"/>
      <c r="AB230" s="590" t="n"/>
      <c r="AC230" s="591" t="n"/>
      <c r="AD230" s="592" t="n"/>
      <c r="AE230" s="593" t="n"/>
      <c r="AF230" s="594" t="n"/>
      <c r="AG230" s="693" t="n"/>
      <c r="AH230" s="721" t="n"/>
      <c r="AI230" s="721" t="n"/>
      <c r="AJ230" s="688" t="n"/>
      <c r="AK230" s="689" t="n"/>
      <c r="AL230" s="690" t="n"/>
      <c r="AM230" s="691" t="n"/>
      <c r="AN230" s="692" t="n"/>
      <c r="AO230" s="693" t="n"/>
      <c r="AP230" s="693" t="n"/>
      <c r="AQ230" s="693" t="n"/>
      <c r="AR230" s="693" t="n"/>
      <c r="AS230" s="693" t="n"/>
      <c r="AT230" s="693" t="n"/>
      <c r="AU230" s="699" t="n"/>
      <c r="AV230" s="693" t="n"/>
      <c r="AW230" s="693" t="n"/>
      <c r="AX230" s="693" t="n"/>
      <c r="AY230" s="693" t="n"/>
      <c r="AZ230" s="693" t="n"/>
    </row>
    <row r="231">
      <c r="A231" s="688" t="n"/>
      <c r="B231" s="688" t="n"/>
      <c r="C231" s="473" t="n"/>
      <c r="D231" s="688" t="n"/>
      <c r="E231" s="689" t="n"/>
      <c r="F231" s="721" t="n"/>
      <c r="G2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1" s="474">
        <f>G231/#REF!</f>
        <v/>
      </c>
      <c r="I231" s="690" t="n"/>
      <c r="J2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1" s="474">
        <f>J231/#REF!</f>
        <v/>
      </c>
      <c r="L231" s="473" t="n"/>
      <c r="M231" s="692" t="n"/>
      <c r="N231" s="693" t="n"/>
      <c r="O231" s="78" t="n"/>
      <c r="P231" s="129" t="n"/>
      <c r="Q231" s="129" t="n"/>
      <c r="R231" s="129" t="n"/>
      <c r="S231" s="129" t="n"/>
      <c r="T231" s="129" t="n"/>
      <c r="U231" s="129" t="n"/>
      <c r="V231" s="129" t="n"/>
      <c r="W231" s="129" t="n"/>
      <c r="X231" s="129" t="n"/>
      <c r="Y231" s="703" t="n"/>
      <c r="Z231" s="704" t="n"/>
      <c r="AA231" s="705" t="n"/>
      <c r="AB231" s="613" t="n"/>
      <c r="AC231" s="614" t="n"/>
      <c r="AD231" s="628" t="n"/>
      <c r="AE231" s="616" t="n"/>
      <c r="AF231" s="617" t="n"/>
      <c r="AG231" s="693" t="n"/>
      <c r="AH231" s="721" t="n"/>
      <c r="AI231" s="721" t="n"/>
      <c r="AJ231" s="688" t="n"/>
      <c r="AK231" s="689" t="n"/>
      <c r="AL231" s="690" t="n"/>
      <c r="AM231" s="691" t="n"/>
      <c r="AN231" s="692" t="n"/>
      <c r="AO231" s="693" t="n"/>
      <c r="AP231" s="693" t="n"/>
      <c r="AQ231" s="693" t="n"/>
      <c r="AR231" s="693" t="n"/>
      <c r="AS231" s="693" t="n"/>
      <c r="AT231" s="693" t="n"/>
      <c r="AU231" s="699" t="n"/>
      <c r="AV231" s="693" t="n"/>
      <c r="AW231" s="693" t="n"/>
      <c r="AX231" s="693" t="n"/>
      <c r="AY231" s="693" t="n"/>
      <c r="AZ231" s="693" t="n"/>
    </row>
    <row r="232">
      <c r="A232" s="688" t="n"/>
      <c r="B232" s="688" t="n"/>
      <c r="C232" s="473" t="n"/>
      <c r="D232" s="688" t="n"/>
      <c r="E232" s="689" t="n"/>
      <c r="F232" s="721" t="n"/>
      <c r="G2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2" s="474">
        <f>G232/#REF!</f>
        <v/>
      </c>
      <c r="I232" s="690" t="n"/>
      <c r="J2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2" s="474">
        <f>J232/#REF!</f>
        <v/>
      </c>
      <c r="L232" s="473" t="n"/>
      <c r="M232" s="692" t="n"/>
      <c r="N232" s="693" t="n"/>
      <c r="O232" s="78" t="n"/>
      <c r="P232" s="129" t="n"/>
      <c r="Q232" s="129" t="n"/>
      <c r="R232" s="129" t="n"/>
      <c r="S232" s="129" t="n"/>
      <c r="T232" s="129" t="n"/>
      <c r="U232" s="129" t="n"/>
      <c r="V232" s="129" t="n"/>
      <c r="W232" s="129" t="n"/>
      <c r="X232" s="129" t="n"/>
      <c r="Y232" s="708" t="n"/>
      <c r="Z232" s="709" t="n"/>
      <c r="AA232" s="710" t="n"/>
      <c r="AB232" s="590" t="n"/>
      <c r="AC232" s="591" t="n"/>
      <c r="AD232" s="592" t="n"/>
      <c r="AE232" s="593" t="n"/>
      <c r="AF232" s="594" t="n"/>
      <c r="AG232" s="693" t="n"/>
      <c r="AH232" s="721" t="n"/>
      <c r="AI232" s="721" t="n"/>
      <c r="AJ232" s="688" t="n"/>
      <c r="AK232" s="689" t="n"/>
      <c r="AL232" s="690" t="n"/>
      <c r="AM232" s="691" t="n"/>
      <c r="AN232" s="692" t="n"/>
      <c r="AO232" s="693" t="n"/>
      <c r="AP232" s="693" t="n"/>
      <c r="AQ232" s="693" t="n"/>
      <c r="AR232" s="693" t="n"/>
      <c r="AS232" s="693" t="n"/>
      <c r="AT232" s="693" t="n"/>
      <c r="AU232" s="699" t="n"/>
      <c r="AV232" s="693" t="n"/>
      <c r="AW232" s="693" t="n"/>
      <c r="AX232" s="693" t="n"/>
      <c r="AY232" s="693" t="n"/>
      <c r="AZ232" s="693" t="n"/>
    </row>
    <row r="233">
      <c r="A233" s="688" t="n"/>
      <c r="B233" s="688" t="n"/>
      <c r="C233" s="473" t="n"/>
      <c r="D233" s="688" t="n"/>
      <c r="E233" s="689" t="n"/>
      <c r="F233" s="721" t="n"/>
      <c r="G2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3" s="474">
        <f>G233/#REF!</f>
        <v/>
      </c>
      <c r="I233" s="690" t="n"/>
      <c r="J2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3" s="474">
        <f>J233/#REF!</f>
        <v/>
      </c>
      <c r="L233" s="473" t="n"/>
      <c r="M233" s="692" t="n"/>
      <c r="N233" s="693" t="n"/>
      <c r="O233" s="78" t="n"/>
      <c r="P233" s="129" t="n"/>
      <c r="Q233" s="129" t="n"/>
      <c r="R233" s="129" t="n"/>
      <c r="S233" s="129" t="n"/>
      <c r="T233" s="129" t="n"/>
      <c r="U233" s="129" t="n"/>
      <c r="V233" s="129" t="n"/>
      <c r="W233" s="129" t="n"/>
      <c r="X233" s="129" t="n"/>
      <c r="Y233" s="703" t="n"/>
      <c r="Z233" s="704" t="n"/>
      <c r="AA233" s="705" t="n"/>
      <c r="AB233" s="613" t="n"/>
      <c r="AC233" s="614" t="n"/>
      <c r="AD233" s="628" t="n"/>
      <c r="AE233" s="616" t="n"/>
      <c r="AF233" s="617" t="n"/>
      <c r="AG233" s="693" t="n"/>
      <c r="AH233" s="721" t="n"/>
      <c r="AI233" s="721" t="n"/>
      <c r="AJ233" s="688" t="n"/>
      <c r="AK233" s="689" t="n"/>
      <c r="AL233" s="690" t="n"/>
      <c r="AM233" s="691" t="n"/>
      <c r="AN233" s="692" t="n"/>
      <c r="AO233" s="693" t="n"/>
      <c r="AP233" s="693" t="n"/>
      <c r="AQ233" s="693" t="n"/>
      <c r="AR233" s="693" t="n"/>
      <c r="AS233" s="693" t="n"/>
      <c r="AT233" s="693" t="n"/>
      <c r="AU233" s="699" t="n"/>
      <c r="AV233" s="693" t="n"/>
      <c r="AW233" s="693" t="n"/>
      <c r="AX233" s="693" t="n"/>
      <c r="AY233" s="693" t="n"/>
      <c r="AZ233" s="693" t="n"/>
    </row>
    <row r="234">
      <c r="A234" s="688" t="n"/>
      <c r="B234" s="688" t="n"/>
      <c r="C234" s="473" t="n"/>
      <c r="D234" s="688" t="n"/>
      <c r="E234" s="689" t="n"/>
      <c r="F234" s="721" t="n"/>
      <c r="G2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4" s="474">
        <f>G234/#REF!</f>
        <v/>
      </c>
      <c r="I234" s="690" t="n"/>
      <c r="J2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4" s="474">
        <f>J234/#REF!</f>
        <v/>
      </c>
      <c r="L234" s="473" t="n"/>
      <c r="M234" s="692" t="n"/>
      <c r="N234" s="693" t="n"/>
      <c r="O234" s="78" t="n"/>
      <c r="P234" s="129" t="n"/>
      <c r="Q234" s="129" t="n"/>
      <c r="R234" s="129" t="n"/>
      <c r="S234" s="129" t="n"/>
      <c r="T234" s="129" t="n"/>
      <c r="U234" s="129" t="n"/>
      <c r="V234" s="129" t="n"/>
      <c r="W234" s="129" t="n"/>
      <c r="X234" s="129" t="n"/>
      <c r="Y234" s="708" t="n"/>
      <c r="Z234" s="709" t="n"/>
      <c r="AA234" s="710" t="n"/>
      <c r="AB234" s="590" t="n"/>
      <c r="AC234" s="591" t="n"/>
      <c r="AD234" s="592" t="n"/>
      <c r="AE234" s="593" t="n"/>
      <c r="AF234" s="594" t="n"/>
      <c r="AG234" s="693" t="n"/>
      <c r="AH234" s="721" t="n"/>
      <c r="AI234" s="721" t="n"/>
      <c r="AJ234" s="688" t="n"/>
      <c r="AK234" s="689" t="n"/>
      <c r="AL234" s="690" t="n"/>
      <c r="AM234" s="691" t="n"/>
      <c r="AN234" s="692" t="n"/>
      <c r="AO234" s="693" t="n"/>
      <c r="AP234" s="693" t="n"/>
      <c r="AQ234" s="693" t="n"/>
      <c r="AR234" s="693" t="n"/>
      <c r="AS234" s="693" t="n"/>
      <c r="AT234" s="693" t="n"/>
      <c r="AU234" s="699" t="n"/>
      <c r="AV234" s="693" t="n"/>
      <c r="AW234" s="693" t="n"/>
      <c r="AX234" s="693" t="n"/>
      <c r="AY234" s="693" t="n"/>
      <c r="AZ234" s="693" t="n"/>
    </row>
    <row r="235">
      <c r="A235" s="688" t="n"/>
      <c r="B235" s="688" t="n"/>
      <c r="C235" s="473" t="n"/>
      <c r="D235" s="688" t="n"/>
      <c r="E235" s="689" t="n"/>
      <c r="F235" s="721" t="n"/>
      <c r="G2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5" s="474">
        <f>G235/#REF!</f>
        <v/>
      </c>
      <c r="I235" s="690" t="n"/>
      <c r="J2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5" s="474">
        <f>J235/#REF!</f>
        <v/>
      </c>
      <c r="L235" s="473" t="n"/>
      <c r="M235" s="692" t="n"/>
      <c r="N235" s="693" t="n"/>
      <c r="O235" s="78" t="n"/>
      <c r="P235" s="129" t="n"/>
      <c r="Q235" s="129" t="n"/>
      <c r="R235" s="129" t="n"/>
      <c r="S235" s="129" t="n"/>
      <c r="T235" s="129" t="n"/>
      <c r="U235" s="129" t="n"/>
      <c r="V235" s="129" t="n"/>
      <c r="W235" s="129" t="n"/>
      <c r="X235" s="129" t="n"/>
      <c r="Y235" s="703" t="n"/>
      <c r="Z235" s="704" t="n"/>
      <c r="AA235" s="705" t="n"/>
      <c r="AB235" s="613" t="n"/>
      <c r="AC235" s="614" t="n"/>
      <c r="AD235" s="628" t="n"/>
      <c r="AE235" s="616" t="n"/>
      <c r="AF235" s="617" t="n"/>
      <c r="AG235" s="693" t="n"/>
      <c r="AH235" s="721" t="n"/>
      <c r="AI235" s="721" t="n"/>
      <c r="AJ235" s="688" t="n"/>
      <c r="AK235" s="689" t="n"/>
      <c r="AL235" s="690" t="n"/>
      <c r="AM235" s="691" t="n"/>
      <c r="AN235" s="692" t="n"/>
      <c r="AO235" s="693" t="n"/>
      <c r="AP235" s="693" t="n"/>
      <c r="AQ235" s="693" t="n"/>
      <c r="AR235" s="693" t="n"/>
      <c r="AS235" s="693" t="n"/>
      <c r="AT235" s="693" t="n"/>
      <c r="AU235" s="699" t="n"/>
      <c r="AV235" s="693" t="n"/>
      <c r="AW235" s="693" t="n"/>
      <c r="AX235" s="693" t="n"/>
      <c r="AY235" s="693" t="n"/>
      <c r="AZ235" s="693" t="n"/>
    </row>
    <row r="236">
      <c r="A236" s="688" t="n"/>
      <c r="B236" s="688" t="n"/>
      <c r="C236" s="473" t="n"/>
      <c r="D236" s="688" t="n"/>
      <c r="E236" s="689" t="n"/>
      <c r="F236" s="721" t="n"/>
      <c r="G2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6" s="474">
        <f>G236/#REF!</f>
        <v/>
      </c>
      <c r="I236" s="690" t="n"/>
      <c r="J2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6" s="474">
        <f>J236/#REF!</f>
        <v/>
      </c>
      <c r="L236" s="473" t="n"/>
      <c r="M236" s="692" t="n"/>
      <c r="N236" s="693" t="n"/>
      <c r="O236" s="78" t="n"/>
      <c r="P236" s="129" t="n"/>
      <c r="Q236" s="129" t="n"/>
      <c r="R236" s="129" t="n"/>
      <c r="S236" s="129" t="n"/>
      <c r="T236" s="129" t="n"/>
      <c r="U236" s="129" t="n"/>
      <c r="V236" s="129" t="n"/>
      <c r="W236" s="129" t="n"/>
      <c r="X236" s="129" t="n"/>
      <c r="Y236" s="708" t="n"/>
      <c r="Z236" s="709" t="n"/>
      <c r="AA236" s="710" t="n"/>
      <c r="AB236" s="590" t="n"/>
      <c r="AC236" s="591" t="n"/>
      <c r="AD236" s="592" t="n"/>
      <c r="AE236" s="593" t="n"/>
      <c r="AF236" s="594" t="n"/>
      <c r="AG236" s="693" t="n"/>
      <c r="AH236" s="721" t="n"/>
      <c r="AI236" s="721" t="n"/>
      <c r="AJ236" s="688" t="n"/>
      <c r="AK236" s="689" t="n"/>
      <c r="AL236" s="690" t="n"/>
      <c r="AM236" s="691" t="n"/>
      <c r="AN236" s="692" t="n"/>
      <c r="AO236" s="693" t="n"/>
      <c r="AP236" s="693" t="n"/>
      <c r="AQ236" s="693" t="n"/>
      <c r="AR236" s="693" t="n"/>
      <c r="AS236" s="693" t="n"/>
      <c r="AT236" s="693" t="n"/>
      <c r="AU236" s="699" t="n"/>
      <c r="AV236" s="693" t="n"/>
      <c r="AW236" s="693" t="n"/>
      <c r="AX236" s="693" t="n"/>
      <c r="AY236" s="693" t="n"/>
      <c r="AZ236" s="693" t="n"/>
    </row>
    <row r="237">
      <c r="A237" s="688" t="n"/>
      <c r="B237" s="688" t="n"/>
      <c r="C237" s="473" t="n"/>
      <c r="D237" s="688" t="n"/>
      <c r="E237" s="689" t="n"/>
      <c r="F237" s="721" t="n"/>
      <c r="G2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7" s="474">
        <f>G237/#REF!</f>
        <v/>
      </c>
      <c r="I237" s="690" t="n"/>
      <c r="J2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7" s="474">
        <f>J237/#REF!</f>
        <v/>
      </c>
      <c r="L237" s="473" t="n"/>
      <c r="M237" s="692" t="n"/>
      <c r="N237" s="693" t="n"/>
      <c r="O237" s="78" t="n"/>
      <c r="P237" s="129" t="n"/>
      <c r="Q237" s="129" t="n"/>
      <c r="R237" s="129" t="n"/>
      <c r="S237" s="129" t="n"/>
      <c r="T237" s="129" t="n"/>
      <c r="U237" s="129" t="n"/>
      <c r="V237" s="129" t="n"/>
      <c r="W237" s="129" t="n"/>
      <c r="X237" s="129" t="n"/>
      <c r="Y237" s="703" t="n"/>
      <c r="Z237" s="704" t="n"/>
      <c r="AA237" s="705" t="n"/>
      <c r="AB237" s="613" t="n"/>
      <c r="AC237" s="614" t="n"/>
      <c r="AD237" s="628" t="n"/>
      <c r="AE237" s="616" t="n"/>
      <c r="AF237" s="617" t="n"/>
      <c r="AG237" s="693" t="n"/>
      <c r="AH237" s="721" t="n"/>
      <c r="AI237" s="721" t="n"/>
      <c r="AJ237" s="688" t="n"/>
      <c r="AK237" s="689" t="n"/>
      <c r="AL237" s="690" t="n"/>
      <c r="AM237" s="691" t="n"/>
      <c r="AN237" s="692" t="n"/>
      <c r="AO237" s="693" t="n"/>
      <c r="AP237" s="693" t="n"/>
      <c r="AQ237" s="693" t="n"/>
      <c r="AR237" s="693" t="n"/>
      <c r="AS237" s="693" t="n"/>
      <c r="AT237" s="693" t="n"/>
      <c r="AU237" s="699" t="n"/>
      <c r="AV237" s="693" t="n"/>
      <c r="AW237" s="693" t="n"/>
      <c r="AX237" s="693" t="n"/>
      <c r="AY237" s="693" t="n"/>
      <c r="AZ237" s="693" t="n"/>
    </row>
    <row r="238">
      <c r="A238" s="688" t="n"/>
      <c r="B238" s="688" t="n"/>
      <c r="C238" s="473" t="n"/>
      <c r="D238" s="688" t="n"/>
      <c r="E238" s="689" t="n"/>
      <c r="F238" s="721" t="n"/>
      <c r="G2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8" s="474">
        <f>G238/#REF!</f>
        <v/>
      </c>
      <c r="I238" s="690" t="n"/>
      <c r="J2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8" s="474">
        <f>J238/#REF!</f>
        <v/>
      </c>
      <c r="L238" s="473" t="n"/>
      <c r="M238" s="692" t="n"/>
      <c r="N238" s="693" t="n"/>
      <c r="O238" s="78" t="n"/>
      <c r="P238" s="129" t="n"/>
      <c r="Q238" s="129" t="n"/>
      <c r="R238" s="129" t="n"/>
      <c r="S238" s="129" t="n"/>
      <c r="T238" s="129" t="n"/>
      <c r="U238" s="129" t="n"/>
      <c r="V238" s="129" t="n"/>
      <c r="W238" s="129" t="n"/>
      <c r="X238" s="129" t="n"/>
      <c r="Y238" s="708" t="n"/>
      <c r="Z238" s="709" t="n"/>
      <c r="AA238" s="710" t="n"/>
      <c r="AB238" s="590" t="n"/>
      <c r="AC238" s="591" t="n"/>
      <c r="AD238" s="592" t="n"/>
      <c r="AE238" s="593" t="n"/>
      <c r="AF238" s="594" t="n"/>
      <c r="AG238" s="693" t="n"/>
      <c r="AH238" s="721" t="n"/>
      <c r="AI238" s="721" t="n"/>
      <c r="AJ238" s="688" t="n"/>
      <c r="AK238" s="689" t="n"/>
      <c r="AL238" s="690" t="n"/>
      <c r="AM238" s="691" t="n"/>
      <c r="AN238" s="692" t="n"/>
      <c r="AO238" s="693" t="n"/>
      <c r="AP238" s="693" t="n"/>
      <c r="AQ238" s="693" t="n"/>
      <c r="AR238" s="693" t="n"/>
      <c r="AS238" s="693" t="n"/>
      <c r="AT238" s="693" t="n"/>
      <c r="AU238" s="699" t="n"/>
      <c r="AV238" s="693" t="n"/>
      <c r="AW238" s="693" t="n"/>
      <c r="AX238" s="693" t="n"/>
      <c r="AY238" s="693" t="n"/>
      <c r="AZ238" s="693" t="n"/>
    </row>
    <row r="239">
      <c r="A239" s="688" t="n"/>
      <c r="B239" s="688" t="n"/>
      <c r="C239" s="473" t="n"/>
      <c r="D239" s="688" t="n"/>
      <c r="E239" s="689" t="n"/>
      <c r="F239" s="721" t="n"/>
      <c r="G2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39" s="474">
        <f>G239/#REF!</f>
        <v/>
      </c>
      <c r="I239" s="690" t="n"/>
      <c r="J2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39" s="474">
        <f>J239/#REF!</f>
        <v/>
      </c>
      <c r="L239" s="473" t="n"/>
      <c r="M239" s="692" t="n"/>
      <c r="N239" s="693" t="n"/>
      <c r="O239" s="78" t="n"/>
      <c r="P239" s="129" t="n"/>
      <c r="Q239" s="129" t="n"/>
      <c r="R239" s="129" t="n"/>
      <c r="S239" s="129" t="n"/>
      <c r="T239" s="129" t="n"/>
      <c r="U239" s="129" t="n"/>
      <c r="V239" s="129" t="n"/>
      <c r="W239" s="129" t="n"/>
      <c r="X239" s="129" t="n"/>
      <c r="Y239" s="703" t="n"/>
      <c r="Z239" s="704" t="n"/>
      <c r="AA239" s="705" t="n"/>
      <c r="AB239" s="613" t="n"/>
      <c r="AC239" s="614" t="n"/>
      <c r="AD239" s="628" t="n"/>
      <c r="AE239" s="616" t="n"/>
      <c r="AF239" s="617" t="n"/>
      <c r="AG239" s="693" t="n"/>
      <c r="AH239" s="721" t="n"/>
      <c r="AI239" s="721" t="n"/>
      <c r="AJ239" s="688" t="n"/>
      <c r="AK239" s="689" t="n"/>
      <c r="AL239" s="690" t="n"/>
      <c r="AM239" s="691" t="n"/>
      <c r="AN239" s="692" t="n"/>
      <c r="AO239" s="693" t="n"/>
      <c r="AP239" s="693" t="n"/>
      <c r="AQ239" s="693" t="n"/>
      <c r="AR239" s="693" t="n"/>
      <c r="AS239" s="693" t="n"/>
      <c r="AT239" s="693" t="n"/>
      <c r="AU239" s="699" t="n"/>
      <c r="AV239" s="693" t="n"/>
      <c r="AW239" s="693" t="n"/>
      <c r="AX239" s="693" t="n"/>
      <c r="AY239" s="693" t="n"/>
      <c r="AZ239" s="693" t="n"/>
    </row>
    <row r="240">
      <c r="A240" s="688" t="n"/>
      <c r="B240" s="688" t="n"/>
      <c r="C240" s="473" t="n"/>
      <c r="D240" s="688" t="n"/>
      <c r="E240" s="689" t="n"/>
      <c r="F240" s="721" t="n"/>
      <c r="G2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0" s="474">
        <f>G240/#REF!</f>
        <v/>
      </c>
      <c r="I240" s="690" t="n"/>
      <c r="J2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0" s="474">
        <f>J240/#REF!</f>
        <v/>
      </c>
      <c r="L240" s="473" t="n"/>
      <c r="M240" s="692" t="n"/>
      <c r="N240" s="693" t="n"/>
      <c r="O240" s="78" t="n"/>
      <c r="P240" s="129" t="n"/>
      <c r="Q240" s="129" t="n"/>
      <c r="R240" s="129" t="n"/>
      <c r="S240" s="129" t="n"/>
      <c r="T240" s="129" t="n"/>
      <c r="U240" s="129" t="n"/>
      <c r="V240" s="129" t="n"/>
      <c r="W240" s="129" t="n"/>
      <c r="X240" s="129" t="n"/>
      <c r="Y240" s="708" t="n"/>
      <c r="Z240" s="709" t="n"/>
      <c r="AA240" s="710" t="n"/>
      <c r="AB240" s="590" t="n"/>
      <c r="AC240" s="591" t="n"/>
      <c r="AD240" s="592" t="n"/>
      <c r="AE240" s="593" t="n"/>
      <c r="AF240" s="594" t="n"/>
      <c r="AG240" s="693" t="n"/>
      <c r="AH240" s="721" t="n"/>
      <c r="AI240" s="721" t="n"/>
      <c r="AJ240" s="688" t="n"/>
      <c r="AK240" s="689" t="n"/>
      <c r="AL240" s="690" t="n"/>
      <c r="AM240" s="691" t="n"/>
      <c r="AN240" s="692" t="n"/>
      <c r="AO240" s="693" t="n"/>
      <c r="AP240" s="693" t="n"/>
      <c r="AQ240" s="693" t="n"/>
      <c r="AR240" s="693" t="n"/>
      <c r="AS240" s="693" t="n"/>
      <c r="AT240" s="693" t="n"/>
      <c r="AU240" s="699" t="n"/>
      <c r="AV240" s="693" t="n"/>
      <c r="AW240" s="693" t="n"/>
      <c r="AX240" s="693" t="n"/>
      <c r="AY240" s="693" t="n"/>
      <c r="AZ240" s="693" t="n"/>
    </row>
    <row r="241">
      <c r="A241" s="688" t="n"/>
      <c r="B241" s="688" t="n"/>
      <c r="C241" s="473" t="n"/>
      <c r="D241" s="688" t="n"/>
      <c r="E241" s="689" t="n"/>
      <c r="F241" s="721" t="n"/>
      <c r="G2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1" s="474">
        <f>G241/#REF!</f>
        <v/>
      </c>
      <c r="I241" s="690" t="n"/>
      <c r="J2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1" s="474">
        <f>J241/#REF!</f>
        <v/>
      </c>
      <c r="L241" s="473" t="n"/>
      <c r="M241" s="692" t="n"/>
      <c r="N241" s="693" t="n"/>
      <c r="O241" s="78" t="n"/>
      <c r="P241" s="129" t="n"/>
      <c r="Q241" s="129" t="n"/>
      <c r="R241" s="129" t="n"/>
      <c r="S241" s="129" t="n"/>
      <c r="T241" s="129" t="n"/>
      <c r="U241" s="129" t="n"/>
      <c r="V241" s="129" t="n"/>
      <c r="W241" s="129" t="n"/>
      <c r="X241" s="129" t="n"/>
      <c r="Y241" s="703" t="n"/>
      <c r="Z241" s="704" t="n"/>
      <c r="AA241" s="705" t="n"/>
      <c r="AB241" s="613" t="n"/>
      <c r="AC241" s="614" t="n"/>
      <c r="AD241" s="628" t="n"/>
      <c r="AE241" s="616" t="n"/>
      <c r="AF241" s="617" t="n"/>
      <c r="AG241" s="693" t="n"/>
      <c r="AH241" s="721" t="n"/>
      <c r="AI241" s="721" t="n"/>
      <c r="AJ241" s="688" t="n"/>
      <c r="AK241" s="689" t="n"/>
      <c r="AL241" s="690" t="n"/>
      <c r="AM241" s="691" t="n"/>
      <c r="AN241" s="692" t="n"/>
      <c r="AO241" s="693" t="n"/>
      <c r="AP241" s="693" t="n"/>
      <c r="AQ241" s="693" t="n"/>
      <c r="AR241" s="693" t="n"/>
      <c r="AS241" s="693" t="n"/>
      <c r="AT241" s="693" t="n"/>
      <c r="AU241" s="699" t="n"/>
      <c r="AV241" s="693" t="n"/>
      <c r="AW241" s="693" t="n"/>
      <c r="AX241" s="693" t="n"/>
      <c r="AY241" s="693" t="n"/>
      <c r="AZ241" s="693" t="n"/>
    </row>
    <row r="242">
      <c r="A242" s="688" t="n"/>
      <c r="B242" s="688" t="n"/>
      <c r="C242" s="473" t="n"/>
      <c r="D242" s="688" t="n"/>
      <c r="E242" s="689" t="n"/>
      <c r="F242" s="721" t="n"/>
      <c r="G2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2" s="474">
        <f>G242/#REF!</f>
        <v/>
      </c>
      <c r="I242" s="690" t="n"/>
      <c r="J2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2" s="474">
        <f>J242/#REF!</f>
        <v/>
      </c>
      <c r="L242" s="473" t="n"/>
      <c r="M242" s="692" t="n"/>
      <c r="N242" s="693" t="n"/>
      <c r="O242" s="78" t="n"/>
      <c r="P242" s="129" t="n"/>
      <c r="Q242" s="129" t="n"/>
      <c r="R242" s="129" t="n"/>
      <c r="S242" s="129" t="n"/>
      <c r="T242" s="129" t="n"/>
      <c r="U242" s="129" t="n"/>
      <c r="V242" s="129" t="n"/>
      <c r="W242" s="129" t="n"/>
      <c r="X242" s="129" t="n"/>
      <c r="Y242" s="708" t="n"/>
      <c r="Z242" s="709" t="n"/>
      <c r="AA242" s="710" t="n"/>
      <c r="AB242" s="590" t="n"/>
      <c r="AC242" s="591" t="n"/>
      <c r="AD242" s="592" t="n"/>
      <c r="AE242" s="593" t="n"/>
      <c r="AF242" s="594" t="n"/>
      <c r="AG242" s="693" t="n"/>
      <c r="AH242" s="721" t="n"/>
      <c r="AI242" s="721" t="n"/>
      <c r="AJ242" s="688" t="n"/>
      <c r="AK242" s="689" t="n"/>
      <c r="AL242" s="690" t="n"/>
      <c r="AM242" s="691" t="n"/>
      <c r="AN242" s="692" t="n"/>
      <c r="AO242" s="693" t="n"/>
      <c r="AP242" s="693" t="n"/>
      <c r="AQ242" s="693" t="n"/>
      <c r="AR242" s="693" t="n"/>
      <c r="AS242" s="693" t="n"/>
      <c r="AT242" s="693" t="n"/>
      <c r="AU242" s="699" t="n"/>
      <c r="AV242" s="693" t="n"/>
      <c r="AW242" s="693" t="n"/>
      <c r="AX242" s="693" t="n"/>
      <c r="AY242" s="693" t="n"/>
      <c r="AZ242" s="693" t="n"/>
    </row>
    <row r="243">
      <c r="A243" s="688" t="n"/>
      <c r="B243" s="688" t="n"/>
      <c r="C243" s="473" t="n"/>
      <c r="D243" s="688" t="n"/>
      <c r="E243" s="689" t="n"/>
      <c r="F243" s="721" t="n"/>
      <c r="G2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3" s="474">
        <f>G243/#REF!</f>
        <v/>
      </c>
      <c r="I243" s="690" t="n"/>
      <c r="J2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3" s="474">
        <f>J243/#REF!</f>
        <v/>
      </c>
      <c r="L243" s="473" t="n"/>
      <c r="M243" s="692" t="n"/>
      <c r="N243" s="693" t="n"/>
      <c r="O243" s="78" t="n"/>
      <c r="P243" s="129" t="n"/>
      <c r="Q243" s="129" t="n"/>
      <c r="R243" s="129" t="n"/>
      <c r="S243" s="129" t="n"/>
      <c r="T243" s="129" t="n"/>
      <c r="U243" s="129" t="n"/>
      <c r="V243" s="129" t="n"/>
      <c r="W243" s="129" t="n"/>
      <c r="X243" s="129" t="n"/>
      <c r="Y243" s="703" t="n"/>
      <c r="Z243" s="704" t="n"/>
      <c r="AA243" s="705" t="n"/>
      <c r="AB243" s="613" t="n"/>
      <c r="AC243" s="614" t="n"/>
      <c r="AD243" s="628" t="n"/>
      <c r="AE243" s="616" t="n"/>
      <c r="AF243" s="617" t="n"/>
      <c r="AG243" s="693" t="n"/>
      <c r="AH243" s="721" t="n"/>
      <c r="AI243" s="721" t="n"/>
      <c r="AJ243" s="688" t="n"/>
      <c r="AK243" s="689" t="n"/>
      <c r="AL243" s="690" t="n"/>
      <c r="AM243" s="691" t="n"/>
      <c r="AN243" s="692" t="n"/>
      <c r="AO243" s="693" t="n"/>
      <c r="AP243" s="693" t="n"/>
      <c r="AQ243" s="693" t="n"/>
      <c r="AR243" s="693" t="n"/>
      <c r="AS243" s="693" t="n"/>
      <c r="AT243" s="693" t="n"/>
      <c r="AU243" s="699" t="n"/>
      <c r="AV243" s="693" t="n"/>
      <c r="AW243" s="693" t="n"/>
      <c r="AX243" s="693" t="n"/>
      <c r="AY243" s="693" t="n"/>
      <c r="AZ243" s="693" t="n"/>
    </row>
    <row r="244">
      <c r="A244" s="688" t="n"/>
      <c r="B244" s="688" t="n"/>
      <c r="C244" s="473" t="n"/>
      <c r="D244" s="688" t="n"/>
      <c r="E244" s="689" t="n"/>
      <c r="F244" s="721" t="n"/>
      <c r="G2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4" s="474">
        <f>G244/#REF!</f>
        <v/>
      </c>
      <c r="I244" s="690" t="n"/>
      <c r="J2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4" s="474">
        <f>J244/#REF!</f>
        <v/>
      </c>
      <c r="L244" s="473" t="n"/>
      <c r="M244" s="692" t="n"/>
      <c r="N244" s="693" t="n"/>
      <c r="O244" s="78" t="n"/>
      <c r="P244" s="129" t="n"/>
      <c r="Q244" s="129" t="n"/>
      <c r="R244" s="129" t="n"/>
      <c r="S244" s="129" t="n"/>
      <c r="T244" s="129" t="n"/>
      <c r="U244" s="129" t="n"/>
      <c r="V244" s="129" t="n"/>
      <c r="W244" s="129" t="n"/>
      <c r="X244" s="129" t="n"/>
      <c r="Y244" s="708" t="n"/>
      <c r="Z244" s="709" t="n"/>
      <c r="AA244" s="710" t="n"/>
      <c r="AB244" s="590" t="n"/>
      <c r="AC244" s="591" t="n"/>
      <c r="AD244" s="592" t="n"/>
      <c r="AE244" s="593" t="n"/>
      <c r="AF244" s="594" t="n"/>
      <c r="AG244" s="693" t="n"/>
      <c r="AH244" s="721" t="n"/>
      <c r="AI244" s="721" t="n"/>
      <c r="AJ244" s="688" t="n"/>
      <c r="AK244" s="689" t="n"/>
      <c r="AL244" s="690" t="n"/>
      <c r="AM244" s="691" t="n"/>
      <c r="AN244" s="692" t="n"/>
      <c r="AO244" s="693" t="n"/>
      <c r="AP244" s="693" t="n"/>
      <c r="AQ244" s="693" t="n"/>
      <c r="AR244" s="693" t="n"/>
      <c r="AS244" s="693" t="n"/>
      <c r="AT244" s="693" t="n"/>
      <c r="AU244" s="699" t="n"/>
      <c r="AV244" s="693" t="n"/>
      <c r="AW244" s="693" t="n"/>
      <c r="AX244" s="693" t="n"/>
      <c r="AY244" s="693" t="n"/>
      <c r="AZ244" s="693" t="n"/>
    </row>
    <row r="245">
      <c r="A245" s="688" t="n"/>
      <c r="B245" s="688" t="n"/>
      <c r="C245" s="473" t="n"/>
      <c r="D245" s="688" t="n"/>
      <c r="E245" s="689" t="n"/>
      <c r="F245" s="721" t="n"/>
      <c r="G2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5" s="474">
        <f>G245/#REF!</f>
        <v/>
      </c>
      <c r="I245" s="690" t="n"/>
      <c r="J2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5" s="474">
        <f>J245/#REF!</f>
        <v/>
      </c>
      <c r="L245" s="473" t="n"/>
      <c r="M245" s="692" t="n"/>
      <c r="N245" s="693" t="n"/>
      <c r="O245" s="78" t="n"/>
      <c r="P245" s="129" t="n"/>
      <c r="Q245" s="129" t="n"/>
      <c r="R245" s="129" t="n"/>
      <c r="S245" s="129" t="n"/>
      <c r="T245" s="129" t="n"/>
      <c r="U245" s="129" t="n"/>
      <c r="V245" s="129" t="n"/>
      <c r="W245" s="129" t="n"/>
      <c r="X245" s="129" t="n"/>
      <c r="Y245" s="703" t="n"/>
      <c r="Z245" s="704" t="n"/>
      <c r="AA245" s="705" t="n"/>
      <c r="AB245" s="613" t="n"/>
      <c r="AC245" s="614" t="n"/>
      <c r="AD245" s="628" t="n"/>
      <c r="AE245" s="616" t="n"/>
      <c r="AF245" s="617" t="n"/>
      <c r="AG245" s="693" t="n"/>
      <c r="AH245" s="721" t="n"/>
      <c r="AI245" s="721" t="n"/>
      <c r="AJ245" s="688" t="n"/>
      <c r="AK245" s="689" t="n"/>
      <c r="AL245" s="690" t="n"/>
      <c r="AM245" s="691" t="n"/>
      <c r="AN245" s="692" t="n"/>
      <c r="AO245" s="693" t="n"/>
      <c r="AP245" s="693" t="n"/>
      <c r="AQ245" s="693" t="n"/>
      <c r="AR245" s="693" t="n"/>
      <c r="AS245" s="693" t="n"/>
      <c r="AT245" s="693" t="n"/>
      <c r="AU245" s="699" t="n"/>
      <c r="AV245" s="693" t="n"/>
      <c r="AW245" s="693" t="n"/>
      <c r="AX245" s="693" t="n"/>
      <c r="AY245" s="693" t="n"/>
      <c r="AZ245" s="693" t="n"/>
    </row>
    <row r="246">
      <c r="A246" s="688" t="n"/>
      <c r="B246" s="688" t="n"/>
      <c r="C246" s="473" t="n"/>
      <c r="D246" s="688" t="n"/>
      <c r="E246" s="689" t="n"/>
      <c r="F246" s="721" t="n"/>
      <c r="G2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6" s="474">
        <f>G246/#REF!</f>
        <v/>
      </c>
      <c r="I246" s="690" t="n"/>
      <c r="J2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6" s="474">
        <f>J246/#REF!</f>
        <v/>
      </c>
      <c r="L246" s="473" t="n"/>
      <c r="M246" s="692" t="n"/>
      <c r="N246" s="693" t="n"/>
      <c r="O246" s="78" t="n"/>
      <c r="P246" s="129" t="n"/>
      <c r="Q246" s="129" t="n"/>
      <c r="R246" s="129" t="n"/>
      <c r="S246" s="129" t="n"/>
      <c r="T246" s="129" t="n"/>
      <c r="U246" s="129" t="n"/>
      <c r="V246" s="129" t="n"/>
      <c r="W246" s="129" t="n"/>
      <c r="X246" s="129" t="n"/>
      <c r="Y246" s="708" t="n"/>
      <c r="Z246" s="709" t="n"/>
      <c r="AA246" s="710" t="n"/>
      <c r="AB246" s="590" t="n"/>
      <c r="AC246" s="591" t="n"/>
      <c r="AD246" s="592" t="n"/>
      <c r="AE246" s="593" t="n"/>
      <c r="AF246" s="594" t="n"/>
      <c r="AG246" s="693" t="n"/>
      <c r="AH246" s="721" t="n"/>
      <c r="AI246" s="721" t="n"/>
      <c r="AJ246" s="688" t="n"/>
      <c r="AK246" s="689" t="n"/>
      <c r="AL246" s="690" t="n"/>
      <c r="AM246" s="691" t="n"/>
      <c r="AN246" s="692" t="n"/>
      <c r="AO246" s="693" t="n"/>
      <c r="AP246" s="693" t="n"/>
      <c r="AQ246" s="693" t="n"/>
      <c r="AR246" s="693" t="n"/>
      <c r="AS246" s="693" t="n"/>
      <c r="AT246" s="693" t="n"/>
      <c r="AU246" s="699" t="n"/>
      <c r="AV246" s="693" t="n"/>
      <c r="AW246" s="693" t="n"/>
      <c r="AX246" s="693" t="n"/>
      <c r="AY246" s="693" t="n"/>
      <c r="AZ246" s="693" t="n"/>
    </row>
    <row r="247">
      <c r="A247" s="688" t="n"/>
      <c r="B247" s="688" t="n"/>
      <c r="C247" s="473" t="n"/>
      <c r="D247" s="688" t="n"/>
      <c r="E247" s="689" t="n"/>
      <c r="F247" s="721" t="n"/>
      <c r="G2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7" s="474">
        <f>G247/#REF!</f>
        <v/>
      </c>
      <c r="I247" s="690" t="n"/>
      <c r="J2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7" s="474">
        <f>J247/#REF!</f>
        <v/>
      </c>
      <c r="L247" s="473" t="n"/>
      <c r="M247" s="692" t="n"/>
      <c r="N247" s="693" t="n"/>
      <c r="O247" s="78" t="n"/>
      <c r="P247" s="129" t="n"/>
      <c r="Q247" s="129" t="n"/>
      <c r="R247" s="129" t="n"/>
      <c r="S247" s="129" t="n"/>
      <c r="T247" s="129" t="n"/>
      <c r="U247" s="129" t="n"/>
      <c r="V247" s="129" t="n"/>
      <c r="W247" s="129" t="n"/>
      <c r="X247" s="129" t="n"/>
      <c r="Y247" s="703" t="n"/>
      <c r="Z247" s="704" t="n"/>
      <c r="AA247" s="705" t="n"/>
      <c r="AB247" s="613" t="n"/>
      <c r="AC247" s="614" t="n"/>
      <c r="AD247" s="628" t="n"/>
      <c r="AE247" s="616" t="n"/>
      <c r="AF247" s="617" t="n"/>
      <c r="AG247" s="693" t="n"/>
      <c r="AH247" s="721" t="n"/>
      <c r="AI247" s="721" t="n"/>
      <c r="AJ247" s="688" t="n"/>
      <c r="AK247" s="689" t="n"/>
      <c r="AL247" s="690" t="n"/>
      <c r="AM247" s="691" t="n"/>
      <c r="AN247" s="692" t="n"/>
      <c r="AO247" s="693" t="n"/>
      <c r="AP247" s="693" t="n"/>
      <c r="AQ247" s="693" t="n"/>
      <c r="AR247" s="693" t="n"/>
      <c r="AS247" s="693" t="n"/>
      <c r="AT247" s="693" t="n"/>
      <c r="AU247" s="699" t="n"/>
      <c r="AV247" s="693" t="n"/>
      <c r="AW247" s="693" t="n"/>
      <c r="AX247" s="693" t="n"/>
      <c r="AY247" s="693" t="n"/>
      <c r="AZ247" s="693" t="n"/>
    </row>
    <row r="248">
      <c r="A248" s="688" t="n"/>
      <c r="B248" s="688" t="n"/>
      <c r="C248" s="473" t="n"/>
      <c r="D248" s="688" t="n"/>
      <c r="E248" s="689" t="n"/>
      <c r="F248" s="721" t="n"/>
      <c r="G2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8" s="474">
        <f>G248/#REF!</f>
        <v/>
      </c>
      <c r="I248" s="690" t="n"/>
      <c r="J2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8" s="474">
        <f>J248/#REF!</f>
        <v/>
      </c>
      <c r="L248" s="473" t="n"/>
      <c r="M248" s="692" t="n"/>
      <c r="N248" s="693" t="n"/>
      <c r="O248" s="78" t="n"/>
      <c r="P248" s="129" t="n"/>
      <c r="Q248" s="129" t="n"/>
      <c r="R248" s="129" t="n"/>
      <c r="S248" s="129" t="n"/>
      <c r="T248" s="129" t="n"/>
      <c r="U248" s="129" t="n"/>
      <c r="V248" s="129" t="n"/>
      <c r="W248" s="129" t="n"/>
      <c r="X248" s="129" t="n"/>
      <c r="Y248" s="708" t="n"/>
      <c r="Z248" s="709" t="n"/>
      <c r="AA248" s="710" t="n"/>
      <c r="AB248" s="590" t="n"/>
      <c r="AC248" s="591" t="n"/>
      <c r="AD248" s="592" t="n"/>
      <c r="AE248" s="593" t="n"/>
      <c r="AF248" s="594" t="n"/>
      <c r="AG248" s="693" t="n"/>
      <c r="AH248" s="721" t="n"/>
      <c r="AI248" s="721" t="n"/>
      <c r="AJ248" s="688" t="n"/>
      <c r="AK248" s="689" t="n"/>
      <c r="AL248" s="690" t="n"/>
      <c r="AM248" s="691" t="n"/>
      <c r="AN248" s="692" t="n"/>
      <c r="AO248" s="693" t="n"/>
      <c r="AP248" s="693" t="n"/>
      <c r="AQ248" s="693" t="n"/>
      <c r="AR248" s="693" t="n"/>
      <c r="AS248" s="693" t="n"/>
      <c r="AT248" s="693" t="n"/>
      <c r="AU248" s="699" t="n"/>
      <c r="AV248" s="693" t="n"/>
      <c r="AW248" s="693" t="n"/>
      <c r="AX248" s="693" t="n"/>
      <c r="AY248" s="693" t="n"/>
      <c r="AZ248" s="693" t="n"/>
    </row>
    <row r="249">
      <c r="A249" s="688" t="n"/>
      <c r="B249" s="688" t="n"/>
      <c r="C249" s="473" t="n"/>
      <c r="D249" s="688" t="n"/>
      <c r="E249" s="689" t="n"/>
      <c r="F249" s="721" t="n"/>
      <c r="G2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49" s="474">
        <f>G249/#REF!</f>
        <v/>
      </c>
      <c r="I249" s="690" t="n"/>
      <c r="J2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49" s="474">
        <f>J249/#REF!</f>
        <v/>
      </c>
      <c r="L249" s="473" t="n"/>
      <c r="M249" s="692" t="n"/>
      <c r="N249" s="693" t="n"/>
      <c r="O249" s="78" t="n"/>
      <c r="P249" s="129" t="n"/>
      <c r="Q249" s="129" t="n"/>
      <c r="R249" s="129" t="n"/>
      <c r="S249" s="129" t="n"/>
      <c r="T249" s="129" t="n"/>
      <c r="U249" s="129" t="n"/>
      <c r="V249" s="129" t="n"/>
      <c r="W249" s="129" t="n"/>
      <c r="X249" s="129" t="n"/>
      <c r="Y249" s="703" t="n"/>
      <c r="Z249" s="704" t="n"/>
      <c r="AA249" s="705" t="n"/>
      <c r="AB249" s="613" t="n"/>
      <c r="AC249" s="614" t="n"/>
      <c r="AD249" s="628" t="n"/>
      <c r="AE249" s="616" t="n"/>
      <c r="AF249" s="617" t="n"/>
      <c r="AG249" s="693" t="n"/>
      <c r="AH249" s="721" t="n"/>
      <c r="AI249" s="721" t="n"/>
      <c r="AJ249" s="688" t="n"/>
      <c r="AK249" s="689" t="n"/>
      <c r="AL249" s="690" t="n"/>
      <c r="AM249" s="691" t="n"/>
      <c r="AN249" s="692" t="n"/>
      <c r="AO249" s="693" t="n"/>
      <c r="AP249" s="693" t="n"/>
      <c r="AQ249" s="693" t="n"/>
      <c r="AR249" s="693" t="n"/>
      <c r="AS249" s="693" t="n"/>
      <c r="AT249" s="693" t="n"/>
      <c r="AU249" s="699" t="n"/>
      <c r="AV249" s="693" t="n"/>
      <c r="AW249" s="693" t="n"/>
      <c r="AX249" s="693" t="n"/>
      <c r="AY249" s="693" t="n"/>
      <c r="AZ249" s="693" t="n"/>
    </row>
    <row r="250">
      <c r="A250" s="688" t="n"/>
      <c r="B250" s="688" t="n"/>
      <c r="C250" s="473" t="n"/>
      <c r="D250" s="688" t="n"/>
      <c r="E250" s="689" t="n"/>
      <c r="F250" s="721" t="n"/>
      <c r="G2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0" s="474">
        <f>G250/#REF!</f>
        <v/>
      </c>
      <c r="I250" s="690" t="n"/>
      <c r="J2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0" s="474">
        <f>J250/#REF!</f>
        <v/>
      </c>
      <c r="L250" s="473" t="n"/>
      <c r="M250" s="692" t="n"/>
      <c r="N250" s="693" t="n"/>
      <c r="O250" s="78" t="n"/>
      <c r="P250" s="129" t="n"/>
      <c r="Q250" s="129" t="n"/>
      <c r="R250" s="129" t="n"/>
      <c r="S250" s="129" t="n"/>
      <c r="T250" s="129" t="n"/>
      <c r="U250" s="129" t="n"/>
      <c r="V250" s="129" t="n"/>
      <c r="W250" s="129" t="n"/>
      <c r="X250" s="129" t="n"/>
      <c r="Y250" s="708" t="n"/>
      <c r="Z250" s="709" t="n"/>
      <c r="AA250" s="710" t="n"/>
      <c r="AB250" s="590" t="n"/>
      <c r="AC250" s="591" t="n"/>
      <c r="AD250" s="592" t="n"/>
      <c r="AE250" s="593" t="n"/>
      <c r="AF250" s="594" t="n"/>
      <c r="AG250" s="693" t="n"/>
      <c r="AH250" s="721" t="n"/>
      <c r="AI250" s="721" t="n"/>
      <c r="AJ250" s="688" t="n"/>
      <c r="AK250" s="689" t="n"/>
      <c r="AL250" s="690" t="n"/>
      <c r="AM250" s="691" t="n"/>
      <c r="AN250" s="692" t="n"/>
      <c r="AO250" s="693" t="n"/>
      <c r="AP250" s="693" t="n"/>
      <c r="AQ250" s="693" t="n"/>
      <c r="AR250" s="693" t="n"/>
      <c r="AS250" s="693" t="n"/>
      <c r="AT250" s="693" t="n"/>
      <c r="AU250" s="699" t="n"/>
      <c r="AV250" s="693" t="n"/>
      <c r="AW250" s="693" t="n"/>
      <c r="AX250" s="693" t="n"/>
      <c r="AY250" s="693" t="n"/>
      <c r="AZ250" s="693" t="n"/>
    </row>
    <row r="251">
      <c r="A251" s="688" t="n"/>
      <c r="B251" s="688" t="n"/>
      <c r="C251" s="473" t="n"/>
      <c r="D251" s="688" t="n"/>
      <c r="E251" s="689" t="n"/>
      <c r="F251" s="721" t="n"/>
      <c r="G2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1" s="474">
        <f>G251/#REF!</f>
        <v/>
      </c>
      <c r="I251" s="690" t="n"/>
      <c r="J2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1" s="474">
        <f>J251/#REF!</f>
        <v/>
      </c>
      <c r="L251" s="473" t="n"/>
      <c r="M251" s="692" t="n"/>
      <c r="N251" s="693" t="n"/>
      <c r="O251" s="78" t="n"/>
      <c r="P251" s="129" t="n"/>
      <c r="Q251" s="129" t="n"/>
      <c r="R251" s="129" t="n"/>
      <c r="S251" s="129" t="n"/>
      <c r="T251" s="129" t="n"/>
      <c r="U251" s="129" t="n"/>
      <c r="V251" s="129" t="n"/>
      <c r="W251" s="129" t="n"/>
      <c r="X251" s="129" t="n"/>
      <c r="Y251" s="703" t="n"/>
      <c r="Z251" s="704" t="n"/>
      <c r="AA251" s="705" t="n"/>
      <c r="AB251" s="613" t="n"/>
      <c r="AC251" s="614" t="n"/>
      <c r="AD251" s="628" t="n"/>
      <c r="AE251" s="616" t="n"/>
      <c r="AF251" s="617" t="n"/>
      <c r="AG251" s="693" t="n"/>
      <c r="AH251" s="721" t="n"/>
      <c r="AI251" s="721" t="n"/>
      <c r="AJ251" s="688" t="n"/>
      <c r="AK251" s="689" t="n"/>
      <c r="AL251" s="690" t="n"/>
      <c r="AM251" s="691" t="n"/>
      <c r="AN251" s="692" t="n"/>
      <c r="AO251" s="693" t="n"/>
      <c r="AP251" s="693" t="n"/>
      <c r="AQ251" s="693" t="n"/>
      <c r="AR251" s="693" t="n"/>
      <c r="AS251" s="693" t="n"/>
      <c r="AT251" s="693" t="n"/>
      <c r="AU251" s="699" t="n"/>
      <c r="AV251" s="693" t="n"/>
      <c r="AW251" s="693" t="n"/>
      <c r="AX251" s="693" t="n"/>
      <c r="AY251" s="693" t="n"/>
      <c r="AZ251" s="693" t="n"/>
    </row>
    <row r="252">
      <c r="A252" s="688" t="n"/>
      <c r="B252" s="688" t="n"/>
      <c r="C252" s="473" t="n"/>
      <c r="D252" s="688" t="n"/>
      <c r="E252" s="689" t="n"/>
      <c r="F252" s="721" t="n"/>
      <c r="G2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2" s="474">
        <f>G252/#REF!</f>
        <v/>
      </c>
      <c r="I252" s="690" t="n"/>
      <c r="J2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2" s="474">
        <f>J252/#REF!</f>
        <v/>
      </c>
      <c r="L252" s="473" t="n"/>
      <c r="M252" s="692" t="n"/>
      <c r="N252" s="693" t="n"/>
      <c r="O252" s="78" t="n"/>
      <c r="P252" s="129" t="n"/>
      <c r="Q252" s="129" t="n"/>
      <c r="R252" s="129" t="n"/>
      <c r="S252" s="129" t="n"/>
      <c r="T252" s="129" t="n"/>
      <c r="U252" s="129" t="n"/>
      <c r="V252" s="129" t="n"/>
      <c r="W252" s="129" t="n"/>
      <c r="X252" s="129" t="n"/>
      <c r="Y252" s="708" t="n"/>
      <c r="Z252" s="709" t="n"/>
      <c r="AA252" s="710" t="n"/>
      <c r="AB252" s="590" t="n"/>
      <c r="AC252" s="591" t="n"/>
      <c r="AD252" s="592" t="n"/>
      <c r="AE252" s="593" t="n"/>
      <c r="AF252" s="594" t="n"/>
      <c r="AG252" s="693" t="n"/>
      <c r="AH252" s="721" t="n"/>
      <c r="AI252" s="721" t="n"/>
      <c r="AJ252" s="688" t="n"/>
      <c r="AK252" s="689" t="n"/>
      <c r="AL252" s="690" t="n"/>
      <c r="AM252" s="691" t="n"/>
      <c r="AN252" s="692" t="n"/>
      <c r="AO252" s="693" t="n"/>
      <c r="AP252" s="693" t="n"/>
      <c r="AQ252" s="693" t="n"/>
      <c r="AR252" s="693" t="n"/>
      <c r="AS252" s="693" t="n"/>
      <c r="AT252" s="693" t="n"/>
      <c r="AU252" s="699" t="n"/>
      <c r="AV252" s="693" t="n"/>
      <c r="AW252" s="693" t="n"/>
      <c r="AX252" s="693" t="n"/>
      <c r="AY252" s="693" t="n"/>
      <c r="AZ252" s="693" t="n"/>
    </row>
    <row r="253">
      <c r="A253" s="688" t="n"/>
      <c r="B253" s="688" t="n"/>
      <c r="C253" s="473" t="n"/>
      <c r="D253" s="688" t="n"/>
      <c r="E253" s="689" t="n"/>
      <c r="F253" s="721" t="n"/>
      <c r="G2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3" s="474">
        <f>G253/#REF!</f>
        <v/>
      </c>
      <c r="I253" s="690" t="n"/>
      <c r="J2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3" s="474">
        <f>J253/#REF!</f>
        <v/>
      </c>
      <c r="L253" s="473" t="n"/>
      <c r="M253" s="692" t="n"/>
      <c r="N253" s="693" t="n"/>
      <c r="O253" s="78" t="n"/>
      <c r="P253" s="129" t="n"/>
      <c r="Q253" s="129" t="n"/>
      <c r="R253" s="129" t="n"/>
      <c r="S253" s="129" t="n"/>
      <c r="T253" s="129" t="n"/>
      <c r="U253" s="129" t="n"/>
      <c r="V253" s="129" t="n"/>
      <c r="W253" s="129" t="n"/>
      <c r="X253" s="129" t="n"/>
      <c r="Y253" s="703" t="n"/>
      <c r="Z253" s="704" t="n"/>
      <c r="AA253" s="705" t="n"/>
      <c r="AB253" s="613" t="n"/>
      <c r="AC253" s="614" t="n"/>
      <c r="AD253" s="628" t="n"/>
      <c r="AE253" s="616" t="n"/>
      <c r="AF253" s="617" t="n"/>
      <c r="AG253" s="693" t="n"/>
      <c r="AH253" s="721" t="n"/>
      <c r="AI253" s="721" t="n"/>
      <c r="AJ253" s="688" t="n"/>
      <c r="AK253" s="689" t="n"/>
      <c r="AL253" s="690" t="n"/>
      <c r="AM253" s="691" t="n"/>
      <c r="AN253" s="692" t="n"/>
      <c r="AO253" s="693" t="n"/>
      <c r="AP253" s="693" t="n"/>
      <c r="AQ253" s="693" t="n"/>
      <c r="AR253" s="693" t="n"/>
      <c r="AS253" s="693" t="n"/>
      <c r="AT253" s="693" t="n"/>
      <c r="AU253" s="699" t="n"/>
      <c r="AV253" s="693" t="n"/>
      <c r="AW253" s="693" t="n"/>
      <c r="AX253" s="693" t="n"/>
      <c r="AY253" s="693" t="n"/>
      <c r="AZ253" s="693" t="n"/>
    </row>
    <row r="254">
      <c r="A254" s="688" t="n"/>
      <c r="B254" s="688" t="n"/>
      <c r="C254" s="473" t="n"/>
      <c r="D254" s="688" t="n"/>
      <c r="E254" s="689" t="n"/>
      <c r="F254" s="721" t="n"/>
      <c r="G2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4" s="474">
        <f>G254/#REF!</f>
        <v/>
      </c>
      <c r="I254" s="690" t="n"/>
      <c r="J2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4" s="474">
        <f>J254/#REF!</f>
        <v/>
      </c>
      <c r="L254" s="473" t="n"/>
      <c r="M254" s="692" t="n"/>
      <c r="N254" s="693" t="n"/>
      <c r="O254" s="78" t="n"/>
      <c r="P254" s="129" t="n"/>
      <c r="Q254" s="129" t="n"/>
      <c r="R254" s="129" t="n"/>
      <c r="S254" s="129" t="n"/>
      <c r="T254" s="129" t="n"/>
      <c r="U254" s="129" t="n"/>
      <c r="V254" s="129" t="n"/>
      <c r="W254" s="129" t="n"/>
      <c r="X254" s="129" t="n"/>
      <c r="Y254" s="708" t="n"/>
      <c r="Z254" s="709" t="n"/>
      <c r="AA254" s="710" t="n"/>
      <c r="AB254" s="590" t="n"/>
      <c r="AC254" s="591" t="n"/>
      <c r="AD254" s="592" t="n"/>
      <c r="AE254" s="593" t="n"/>
      <c r="AF254" s="594" t="n"/>
      <c r="AG254" s="693" t="n"/>
      <c r="AH254" s="721" t="n"/>
      <c r="AI254" s="721" t="n"/>
      <c r="AJ254" s="688" t="n"/>
      <c r="AK254" s="689" t="n"/>
      <c r="AL254" s="690" t="n"/>
      <c r="AM254" s="691" t="n"/>
      <c r="AN254" s="692" t="n"/>
      <c r="AO254" s="693" t="n"/>
      <c r="AP254" s="693" t="n"/>
      <c r="AQ254" s="693" t="n"/>
      <c r="AR254" s="693" t="n"/>
      <c r="AS254" s="693" t="n"/>
      <c r="AT254" s="693" t="n"/>
      <c r="AU254" s="699" t="n"/>
      <c r="AV254" s="693" t="n"/>
      <c r="AW254" s="693" t="n"/>
      <c r="AX254" s="693" t="n"/>
      <c r="AY254" s="693" t="n"/>
      <c r="AZ254" s="693" t="n"/>
    </row>
    <row r="255">
      <c r="A255" s="688" t="n"/>
      <c r="B255" s="688" t="n"/>
      <c r="C255" s="473" t="n"/>
      <c r="D255" s="688" t="n"/>
      <c r="E255" s="689" t="n"/>
      <c r="F255" s="721" t="n"/>
      <c r="G2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5" s="474">
        <f>G255/#REF!</f>
        <v/>
      </c>
      <c r="I255" s="690" t="n"/>
      <c r="J2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5" s="474">
        <f>J255/#REF!</f>
        <v/>
      </c>
      <c r="L255" s="473" t="n"/>
      <c r="M255" s="692" t="n"/>
      <c r="N255" s="693" t="n"/>
      <c r="O255" s="78" t="n"/>
      <c r="P255" s="129" t="n"/>
      <c r="Q255" s="129" t="n"/>
      <c r="R255" s="129" t="n"/>
      <c r="S255" s="129" t="n"/>
      <c r="T255" s="129" t="n"/>
      <c r="U255" s="129" t="n"/>
      <c r="V255" s="129" t="n"/>
      <c r="W255" s="129" t="n"/>
      <c r="X255" s="129" t="n"/>
      <c r="Y255" s="703" t="n"/>
      <c r="Z255" s="704" t="n"/>
      <c r="AA255" s="705" t="n"/>
      <c r="AB255" s="613" t="n"/>
      <c r="AC255" s="614" t="n"/>
      <c r="AD255" s="628" t="n"/>
      <c r="AE255" s="616" t="n"/>
      <c r="AF255" s="617" t="n"/>
      <c r="AG255" s="693" t="n"/>
      <c r="AH255" s="721" t="n"/>
      <c r="AI255" s="721" t="n"/>
      <c r="AJ255" s="688" t="n"/>
      <c r="AK255" s="689" t="n"/>
      <c r="AL255" s="690" t="n"/>
      <c r="AM255" s="691" t="n"/>
      <c r="AN255" s="692" t="n"/>
      <c r="AO255" s="693" t="n"/>
      <c r="AP255" s="693" t="n"/>
      <c r="AQ255" s="693" t="n"/>
      <c r="AR255" s="693" t="n"/>
      <c r="AS255" s="693" t="n"/>
      <c r="AT255" s="693" t="n"/>
      <c r="AU255" s="699" t="n"/>
      <c r="AV255" s="693" t="n"/>
      <c r="AW255" s="693" t="n"/>
      <c r="AX255" s="693" t="n"/>
      <c r="AY255" s="693" t="n"/>
      <c r="AZ255" s="693" t="n"/>
    </row>
    <row r="256">
      <c r="A256" s="688" t="n"/>
      <c r="B256" s="688" t="n"/>
      <c r="C256" s="473" t="n"/>
      <c r="D256" s="688" t="n"/>
      <c r="E256" s="689" t="n"/>
      <c r="F256" s="721" t="n"/>
      <c r="G2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6" s="474">
        <f>G256/#REF!</f>
        <v/>
      </c>
      <c r="I256" s="690" t="n"/>
      <c r="J2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6" s="474">
        <f>J256/#REF!</f>
        <v/>
      </c>
      <c r="L256" s="473" t="n"/>
      <c r="M256" s="692" t="n"/>
      <c r="N256" s="693" t="n"/>
      <c r="O256" s="78" t="n"/>
      <c r="P256" s="129" t="n"/>
      <c r="Q256" s="129" t="n"/>
      <c r="R256" s="129" t="n"/>
      <c r="S256" s="129" t="n"/>
      <c r="T256" s="129" t="n"/>
      <c r="U256" s="129" t="n"/>
      <c r="V256" s="129" t="n"/>
      <c r="W256" s="129" t="n"/>
      <c r="X256" s="129" t="n"/>
      <c r="Y256" s="708" t="n"/>
      <c r="Z256" s="709" t="n"/>
      <c r="AA256" s="710" t="n"/>
      <c r="AB256" s="590" t="n"/>
      <c r="AC256" s="591" t="n"/>
      <c r="AD256" s="592" t="n"/>
      <c r="AE256" s="593" t="n"/>
      <c r="AF256" s="594" t="n"/>
      <c r="AG256" s="693" t="n"/>
      <c r="AH256" s="721" t="n"/>
      <c r="AI256" s="721" t="n"/>
      <c r="AJ256" s="688" t="n"/>
      <c r="AK256" s="689" t="n"/>
      <c r="AL256" s="690" t="n"/>
      <c r="AM256" s="691" t="n"/>
      <c r="AN256" s="692" t="n"/>
      <c r="AO256" s="693" t="n"/>
      <c r="AP256" s="693" t="n"/>
      <c r="AQ256" s="693" t="n"/>
      <c r="AR256" s="693" t="n"/>
      <c r="AS256" s="693" t="n"/>
      <c r="AT256" s="693" t="n"/>
      <c r="AU256" s="699" t="n"/>
      <c r="AV256" s="693" t="n"/>
      <c r="AW256" s="693" t="n"/>
      <c r="AX256" s="693" t="n"/>
      <c r="AY256" s="693" t="n"/>
      <c r="AZ256" s="693" t="n"/>
    </row>
    <row r="257">
      <c r="A257" s="688" t="n"/>
      <c r="B257" s="688" t="n"/>
      <c r="C257" s="473" t="n"/>
      <c r="D257" s="688" t="n"/>
      <c r="E257" s="689" t="n"/>
      <c r="F257" s="721" t="n"/>
      <c r="G2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7" s="474">
        <f>G257/#REF!</f>
        <v/>
      </c>
      <c r="I257" s="690" t="n"/>
      <c r="J2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7" s="474">
        <f>J257/#REF!</f>
        <v/>
      </c>
      <c r="L257" s="473" t="n"/>
      <c r="M257" s="692" t="n"/>
      <c r="N257" s="693" t="n"/>
      <c r="O257" s="78" t="n"/>
      <c r="P257" s="129" t="n"/>
      <c r="Q257" s="129" t="n"/>
      <c r="R257" s="129" t="n"/>
      <c r="S257" s="129" t="n"/>
      <c r="T257" s="129" t="n"/>
      <c r="U257" s="129" t="n"/>
      <c r="V257" s="129" t="n"/>
      <c r="W257" s="129" t="n"/>
      <c r="X257" s="129" t="n"/>
      <c r="Y257" s="703" t="n"/>
      <c r="Z257" s="704" t="n"/>
      <c r="AA257" s="705" t="n"/>
      <c r="AB257" s="613" t="n"/>
      <c r="AC257" s="614" t="n"/>
      <c r="AD257" s="628" t="n"/>
      <c r="AE257" s="616" t="n"/>
      <c r="AF257" s="617" t="n"/>
      <c r="AG257" s="693" t="n"/>
      <c r="AH257" s="721" t="n"/>
      <c r="AI257" s="721" t="n"/>
      <c r="AJ257" s="688" t="n"/>
      <c r="AK257" s="689" t="n"/>
      <c r="AL257" s="690" t="n"/>
      <c r="AM257" s="691" t="n"/>
      <c r="AN257" s="692" t="n"/>
      <c r="AO257" s="693" t="n"/>
      <c r="AP257" s="693" t="n"/>
      <c r="AQ257" s="693" t="n"/>
      <c r="AR257" s="693" t="n"/>
      <c r="AS257" s="693" t="n"/>
      <c r="AT257" s="693" t="n"/>
      <c r="AU257" s="699" t="n"/>
      <c r="AV257" s="693" t="n"/>
      <c r="AW257" s="693" t="n"/>
      <c r="AX257" s="693" t="n"/>
      <c r="AY257" s="693" t="n"/>
      <c r="AZ257" s="693" t="n"/>
    </row>
    <row r="258">
      <c r="A258" s="688" t="n"/>
      <c r="B258" s="688" t="n"/>
      <c r="C258" s="473" t="n"/>
      <c r="D258" s="688" t="n"/>
      <c r="E258" s="689" t="n"/>
      <c r="F258" s="721" t="n"/>
      <c r="G2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8" s="474">
        <f>G258/#REF!</f>
        <v/>
      </c>
      <c r="I258" s="690" t="n"/>
      <c r="J2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8" s="474">
        <f>J258/#REF!</f>
        <v/>
      </c>
      <c r="L258" s="473" t="n"/>
      <c r="M258" s="692" t="n"/>
      <c r="N258" s="693" t="n"/>
      <c r="O258" s="78" t="n"/>
      <c r="P258" s="129" t="n"/>
      <c r="Q258" s="129" t="n"/>
      <c r="R258" s="129" t="n"/>
      <c r="S258" s="129" t="n"/>
      <c r="T258" s="129" t="n"/>
      <c r="U258" s="129" t="n"/>
      <c r="V258" s="129" t="n"/>
      <c r="W258" s="129" t="n"/>
      <c r="X258" s="129" t="n"/>
      <c r="Y258" s="708" t="n"/>
      <c r="Z258" s="709" t="n"/>
      <c r="AA258" s="710" t="n"/>
      <c r="AB258" s="590" t="n"/>
      <c r="AC258" s="591" t="n"/>
      <c r="AD258" s="592" t="n"/>
      <c r="AE258" s="593" t="n"/>
      <c r="AF258" s="594" t="n"/>
      <c r="AG258" s="693" t="n"/>
      <c r="AH258" s="721" t="n"/>
      <c r="AI258" s="721" t="n"/>
      <c r="AJ258" s="688" t="n"/>
      <c r="AK258" s="689" t="n"/>
      <c r="AL258" s="690" t="n"/>
      <c r="AM258" s="691" t="n"/>
      <c r="AN258" s="692" t="n"/>
      <c r="AO258" s="693" t="n"/>
      <c r="AP258" s="693" t="n"/>
      <c r="AQ258" s="693" t="n"/>
      <c r="AR258" s="693" t="n"/>
      <c r="AS258" s="693" t="n"/>
      <c r="AT258" s="693" t="n"/>
      <c r="AU258" s="699" t="n"/>
      <c r="AV258" s="693" t="n"/>
      <c r="AW258" s="693" t="n"/>
      <c r="AX258" s="693" t="n"/>
      <c r="AY258" s="693" t="n"/>
      <c r="AZ258" s="693" t="n"/>
    </row>
    <row r="259">
      <c r="A259" s="688" t="n"/>
      <c r="B259" s="688" t="n"/>
      <c r="C259" s="473" t="n"/>
      <c r="D259" s="688" t="n"/>
      <c r="E259" s="689" t="n"/>
      <c r="F259" s="721" t="n"/>
      <c r="G2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59" s="474">
        <f>G259/#REF!</f>
        <v/>
      </c>
      <c r="I259" s="690" t="n"/>
      <c r="J2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59" s="474">
        <f>J259/#REF!</f>
        <v/>
      </c>
      <c r="L259" s="473" t="n"/>
      <c r="M259" s="692" t="n"/>
      <c r="N259" s="693" t="n"/>
      <c r="O259" s="78" t="n"/>
      <c r="P259" s="129" t="n"/>
      <c r="Q259" s="129" t="n"/>
      <c r="R259" s="129" t="n"/>
      <c r="S259" s="129" t="n"/>
      <c r="T259" s="129" t="n"/>
      <c r="U259" s="129" t="n"/>
      <c r="V259" s="129" t="n"/>
      <c r="W259" s="129" t="n"/>
      <c r="X259" s="129" t="n"/>
      <c r="Y259" s="703" t="n"/>
      <c r="Z259" s="704" t="n"/>
      <c r="AA259" s="705" t="n"/>
      <c r="AB259" s="613" t="n"/>
      <c r="AC259" s="614" t="n"/>
      <c r="AD259" s="628" t="n"/>
      <c r="AE259" s="616" t="n"/>
      <c r="AF259" s="617" t="n"/>
      <c r="AG259" s="693" t="n"/>
      <c r="AH259" s="721" t="n"/>
      <c r="AI259" s="721" t="n"/>
      <c r="AJ259" s="688" t="n"/>
      <c r="AK259" s="689" t="n"/>
      <c r="AL259" s="690" t="n"/>
      <c r="AM259" s="691" t="n"/>
      <c r="AN259" s="692" t="n"/>
      <c r="AO259" s="693" t="n"/>
      <c r="AP259" s="693" t="n"/>
      <c r="AQ259" s="693" t="n"/>
      <c r="AR259" s="693" t="n"/>
      <c r="AS259" s="693" t="n"/>
      <c r="AT259" s="693" t="n"/>
      <c r="AU259" s="699" t="n"/>
      <c r="AV259" s="693" t="n"/>
      <c r="AW259" s="693" t="n"/>
      <c r="AX259" s="693" t="n"/>
      <c r="AY259" s="693" t="n"/>
      <c r="AZ259" s="693" t="n"/>
    </row>
    <row r="260">
      <c r="A260" s="688" t="n"/>
      <c r="B260" s="688" t="n"/>
      <c r="C260" s="473" t="n"/>
      <c r="D260" s="688" t="n"/>
      <c r="E260" s="689" t="n"/>
      <c r="F260" s="721" t="n"/>
      <c r="G2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0" s="474">
        <f>G260/#REF!</f>
        <v/>
      </c>
      <c r="I260" s="690" t="n"/>
      <c r="J2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0" s="474">
        <f>J260/#REF!</f>
        <v/>
      </c>
      <c r="L260" s="473" t="n"/>
      <c r="M260" s="692" t="n"/>
      <c r="N260" s="693" t="n"/>
      <c r="O260" s="78" t="n"/>
      <c r="P260" s="129" t="n"/>
      <c r="Q260" s="129" t="n"/>
      <c r="R260" s="129" t="n"/>
      <c r="S260" s="129" t="n"/>
      <c r="T260" s="129" t="n"/>
      <c r="U260" s="129" t="n"/>
      <c r="V260" s="129" t="n"/>
      <c r="W260" s="129" t="n"/>
      <c r="X260" s="129" t="n"/>
      <c r="Y260" s="708" t="n"/>
      <c r="Z260" s="709" t="n"/>
      <c r="AA260" s="710" t="n"/>
      <c r="AB260" s="590" t="n"/>
      <c r="AC260" s="591" t="n"/>
      <c r="AD260" s="592" t="n"/>
      <c r="AE260" s="593" t="n"/>
      <c r="AF260" s="594" t="n"/>
      <c r="AG260" s="693" t="n"/>
      <c r="AH260" s="721" t="n"/>
      <c r="AI260" s="721" t="n"/>
      <c r="AJ260" s="688" t="n"/>
      <c r="AK260" s="689" t="n"/>
      <c r="AL260" s="690" t="n"/>
      <c r="AM260" s="691" t="n"/>
      <c r="AN260" s="692" t="n"/>
      <c r="AO260" s="693" t="n"/>
      <c r="AP260" s="693" t="n"/>
      <c r="AQ260" s="693" t="n"/>
      <c r="AR260" s="693" t="n"/>
      <c r="AS260" s="693" t="n"/>
      <c r="AT260" s="693" t="n"/>
      <c r="AU260" s="699" t="n"/>
      <c r="AV260" s="693" t="n"/>
      <c r="AW260" s="693" t="n"/>
      <c r="AX260" s="693" t="n"/>
      <c r="AY260" s="693" t="n"/>
      <c r="AZ260" s="693" t="n"/>
    </row>
    <row r="261">
      <c r="A261" s="688" t="n"/>
      <c r="B261" s="688" t="n"/>
      <c r="C261" s="473" t="n"/>
      <c r="D261" s="688" t="n"/>
      <c r="E261" s="689" t="n"/>
      <c r="F261" s="721" t="n"/>
      <c r="G2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1" s="474">
        <f>G261/#REF!</f>
        <v/>
      </c>
      <c r="I261" s="690" t="n"/>
      <c r="J2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1" s="474">
        <f>J261/#REF!</f>
        <v/>
      </c>
      <c r="L261" s="473" t="n"/>
      <c r="M261" s="692" t="n"/>
      <c r="N261" s="693" t="n"/>
      <c r="O261" s="78" t="n"/>
      <c r="P261" s="129" t="n"/>
      <c r="Q261" s="129" t="n"/>
      <c r="R261" s="129" t="n"/>
      <c r="S261" s="129" t="n"/>
      <c r="T261" s="129" t="n"/>
      <c r="U261" s="129" t="n"/>
      <c r="V261" s="129" t="n"/>
      <c r="W261" s="129" t="n"/>
      <c r="X261" s="129" t="n"/>
      <c r="Y261" s="703" t="n"/>
      <c r="Z261" s="704" t="n"/>
      <c r="AA261" s="705" t="n"/>
      <c r="AB261" s="613" t="n"/>
      <c r="AC261" s="614" t="n"/>
      <c r="AD261" s="628" t="n"/>
      <c r="AE261" s="616" t="n"/>
      <c r="AF261" s="617" t="n"/>
      <c r="AG261" s="693" t="n"/>
      <c r="AH261" s="721" t="n"/>
      <c r="AI261" s="721" t="n"/>
      <c r="AJ261" s="688" t="n"/>
      <c r="AK261" s="689" t="n"/>
      <c r="AL261" s="690" t="n"/>
      <c r="AM261" s="691" t="n"/>
      <c r="AN261" s="692" t="n"/>
      <c r="AO261" s="693" t="n"/>
      <c r="AP261" s="693" t="n"/>
      <c r="AQ261" s="693" t="n"/>
      <c r="AR261" s="693" t="n"/>
      <c r="AS261" s="693" t="n"/>
      <c r="AT261" s="693" t="n"/>
      <c r="AU261" s="699" t="n"/>
      <c r="AV261" s="693" t="n"/>
      <c r="AW261" s="693" t="n"/>
      <c r="AX261" s="693" t="n"/>
      <c r="AY261" s="693" t="n"/>
      <c r="AZ261" s="693" t="n"/>
    </row>
    <row r="262">
      <c r="A262" s="688" t="n"/>
      <c r="B262" s="688" t="n"/>
      <c r="C262" s="473" t="n"/>
      <c r="D262" s="688" t="n"/>
      <c r="E262" s="689" t="n"/>
      <c r="F262" s="721" t="n"/>
      <c r="G2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2" s="474">
        <f>G262/#REF!</f>
        <v/>
      </c>
      <c r="I262" s="690" t="n"/>
      <c r="J2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2" s="474">
        <f>J262/#REF!</f>
        <v/>
      </c>
      <c r="L262" s="473" t="n"/>
      <c r="M262" s="692" t="n"/>
      <c r="N262" s="693" t="n"/>
      <c r="O262" s="78" t="n"/>
      <c r="P262" s="129" t="n"/>
      <c r="Q262" s="129" t="n"/>
      <c r="R262" s="129" t="n"/>
      <c r="S262" s="129" t="n"/>
      <c r="T262" s="129" t="n"/>
      <c r="U262" s="129" t="n"/>
      <c r="V262" s="129" t="n"/>
      <c r="W262" s="129" t="n"/>
      <c r="X262" s="129" t="n"/>
      <c r="Y262" s="708" t="n"/>
      <c r="Z262" s="709" t="n"/>
      <c r="AA262" s="710" t="n"/>
      <c r="AB262" s="590" t="n"/>
      <c r="AC262" s="591" t="n"/>
      <c r="AD262" s="592" t="n"/>
      <c r="AE262" s="593" t="n"/>
      <c r="AF262" s="594" t="n"/>
      <c r="AG262" s="693" t="n"/>
      <c r="AH262" s="721" t="n"/>
      <c r="AI262" s="721" t="n"/>
      <c r="AJ262" s="688" t="n"/>
      <c r="AK262" s="689" t="n"/>
      <c r="AL262" s="690" t="n"/>
      <c r="AM262" s="691" t="n"/>
      <c r="AN262" s="692" t="n"/>
      <c r="AO262" s="693" t="n"/>
      <c r="AP262" s="693" t="n"/>
      <c r="AQ262" s="693" t="n"/>
      <c r="AR262" s="693" t="n"/>
      <c r="AS262" s="693" t="n"/>
      <c r="AT262" s="693" t="n"/>
      <c r="AU262" s="699" t="n"/>
      <c r="AV262" s="693" t="n"/>
      <c r="AW262" s="693" t="n"/>
      <c r="AX262" s="693" t="n"/>
      <c r="AY262" s="693" t="n"/>
      <c r="AZ262" s="693" t="n"/>
    </row>
    <row r="263">
      <c r="A263" s="688" t="n"/>
      <c r="B263" s="688" t="n"/>
      <c r="C263" s="473" t="n"/>
      <c r="D263" s="688" t="n"/>
      <c r="E263" s="689" t="n"/>
      <c r="F263" s="721" t="n"/>
      <c r="G2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3" s="474">
        <f>G263/#REF!</f>
        <v/>
      </c>
      <c r="I263" s="690" t="n"/>
      <c r="J2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3" s="474">
        <f>J263/#REF!</f>
        <v/>
      </c>
      <c r="L263" s="473" t="n"/>
      <c r="M263" s="692" t="n"/>
      <c r="N263" s="693" t="n"/>
      <c r="O263" s="78" t="n"/>
      <c r="P263" s="129" t="n"/>
      <c r="Q263" s="129" t="n"/>
      <c r="R263" s="129" t="n"/>
      <c r="S263" s="129" t="n"/>
      <c r="T263" s="129" t="n"/>
      <c r="U263" s="129" t="n"/>
      <c r="V263" s="129" t="n"/>
      <c r="W263" s="129" t="n"/>
      <c r="X263" s="129" t="n"/>
      <c r="Y263" s="703" t="n"/>
      <c r="Z263" s="704" t="n"/>
      <c r="AA263" s="705" t="n"/>
      <c r="AB263" s="613" t="n"/>
      <c r="AC263" s="614" t="n"/>
      <c r="AD263" s="628" t="n"/>
      <c r="AE263" s="616" t="n"/>
      <c r="AF263" s="617" t="n"/>
      <c r="AG263" s="693" t="n"/>
      <c r="AH263" s="721" t="n"/>
      <c r="AI263" s="721" t="n"/>
      <c r="AJ263" s="688" t="n"/>
      <c r="AK263" s="689" t="n"/>
      <c r="AL263" s="690" t="n"/>
      <c r="AM263" s="691" t="n"/>
      <c r="AN263" s="692" t="n"/>
      <c r="AO263" s="693" t="n"/>
      <c r="AP263" s="693" t="n"/>
      <c r="AQ263" s="693" t="n"/>
      <c r="AR263" s="693" t="n"/>
      <c r="AS263" s="693" t="n"/>
      <c r="AT263" s="693" t="n"/>
      <c r="AU263" s="699" t="n"/>
      <c r="AV263" s="693" t="n"/>
      <c r="AW263" s="693" t="n"/>
      <c r="AX263" s="693" t="n"/>
      <c r="AY263" s="693" t="n"/>
      <c r="AZ263" s="693" t="n"/>
    </row>
    <row r="264">
      <c r="A264" s="688" t="n"/>
      <c r="B264" s="688" t="n"/>
      <c r="C264" s="473" t="n"/>
      <c r="D264" s="688" t="n"/>
      <c r="E264" s="689" t="n"/>
      <c r="F264" s="721" t="n"/>
      <c r="G2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4" s="474">
        <f>G264/#REF!</f>
        <v/>
      </c>
      <c r="I264" s="690" t="n"/>
      <c r="J2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4" s="474">
        <f>J264/#REF!</f>
        <v/>
      </c>
      <c r="L264" s="473" t="n"/>
      <c r="M264" s="692" t="n"/>
      <c r="N264" s="693" t="n"/>
      <c r="O264" s="78" t="n"/>
      <c r="P264" s="129" t="n"/>
      <c r="Q264" s="129" t="n"/>
      <c r="R264" s="129" t="n"/>
      <c r="S264" s="129" t="n"/>
      <c r="T264" s="129" t="n"/>
      <c r="U264" s="129" t="n"/>
      <c r="V264" s="129" t="n"/>
      <c r="W264" s="129" t="n"/>
      <c r="X264" s="129" t="n"/>
      <c r="Y264" s="708" t="n"/>
      <c r="Z264" s="709" t="n"/>
      <c r="AA264" s="710" t="n"/>
      <c r="AB264" s="590" t="n"/>
      <c r="AC264" s="591" t="n"/>
      <c r="AD264" s="592" t="n"/>
      <c r="AE264" s="593" t="n"/>
      <c r="AF264" s="594" t="n"/>
      <c r="AG264" s="693" t="n"/>
      <c r="AH264" s="721" t="n"/>
      <c r="AI264" s="721" t="n"/>
      <c r="AJ264" s="688" t="n"/>
      <c r="AK264" s="689" t="n"/>
      <c r="AL264" s="690" t="n"/>
      <c r="AM264" s="691" t="n"/>
      <c r="AN264" s="692" t="n"/>
      <c r="AO264" s="693" t="n"/>
      <c r="AP264" s="693" t="n"/>
      <c r="AQ264" s="693" t="n"/>
      <c r="AR264" s="693" t="n"/>
      <c r="AS264" s="693" t="n"/>
      <c r="AT264" s="693" t="n"/>
      <c r="AU264" s="699" t="n"/>
      <c r="AV264" s="693" t="n"/>
      <c r="AW264" s="693" t="n"/>
      <c r="AX264" s="693" t="n"/>
      <c r="AY264" s="693" t="n"/>
      <c r="AZ264" s="693" t="n"/>
    </row>
    <row r="265">
      <c r="A265" s="688" t="n"/>
      <c r="B265" s="688" t="n"/>
      <c r="C265" s="473" t="n"/>
      <c r="D265" s="688" t="n"/>
      <c r="E265" s="689" t="n"/>
      <c r="F265" s="721" t="n"/>
      <c r="G2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5" s="474">
        <f>G265/#REF!</f>
        <v/>
      </c>
      <c r="I265" s="690" t="n"/>
      <c r="J2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5" s="474">
        <f>J265/#REF!</f>
        <v/>
      </c>
      <c r="L265" s="473" t="n"/>
      <c r="M265" s="692" t="n"/>
      <c r="N265" s="693" t="n"/>
      <c r="O265" s="78" t="n"/>
      <c r="P265" s="129" t="n"/>
      <c r="Q265" s="129" t="n"/>
      <c r="R265" s="129" t="n"/>
      <c r="S265" s="129" t="n"/>
      <c r="T265" s="129" t="n"/>
      <c r="U265" s="129" t="n"/>
      <c r="V265" s="129" t="n"/>
      <c r="W265" s="129" t="n"/>
      <c r="X265" s="129" t="n"/>
      <c r="Y265" s="703" t="n"/>
      <c r="Z265" s="704" t="n"/>
      <c r="AA265" s="705" t="n"/>
      <c r="AB265" s="613" t="n"/>
      <c r="AC265" s="614" t="n"/>
      <c r="AD265" s="628" t="n"/>
      <c r="AE265" s="616" t="n"/>
      <c r="AF265" s="617" t="n"/>
      <c r="AG265" s="693" t="n"/>
      <c r="AH265" s="721" t="n"/>
      <c r="AI265" s="721" t="n"/>
      <c r="AJ265" s="688" t="n"/>
      <c r="AK265" s="689" t="n"/>
      <c r="AL265" s="690" t="n"/>
      <c r="AM265" s="691" t="n"/>
      <c r="AN265" s="692" t="n"/>
      <c r="AO265" s="693" t="n"/>
      <c r="AP265" s="693" t="n"/>
      <c r="AQ265" s="693" t="n"/>
      <c r="AR265" s="693" t="n"/>
      <c r="AS265" s="693" t="n"/>
      <c r="AT265" s="693" t="n"/>
      <c r="AU265" s="699" t="n"/>
      <c r="AV265" s="693" t="n"/>
      <c r="AW265" s="693" t="n"/>
      <c r="AX265" s="693" t="n"/>
      <c r="AY265" s="693" t="n"/>
      <c r="AZ265" s="693" t="n"/>
    </row>
    <row r="266">
      <c r="A266" s="688" t="n"/>
      <c r="B266" s="688" t="n"/>
      <c r="C266" s="473" t="n"/>
      <c r="D266" s="688" t="n"/>
      <c r="E266" s="689" t="n"/>
      <c r="F266" s="721" t="n"/>
      <c r="G2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6" s="474">
        <f>G266/#REF!</f>
        <v/>
      </c>
      <c r="I266" s="690" t="n"/>
      <c r="J2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6" s="474">
        <f>J266/#REF!</f>
        <v/>
      </c>
      <c r="L266" s="473" t="n"/>
      <c r="M266" s="692" t="n"/>
      <c r="N266" s="693" t="n"/>
      <c r="O266" s="78" t="n"/>
      <c r="P266" s="129" t="n"/>
      <c r="Q266" s="129" t="n"/>
      <c r="R266" s="129" t="n"/>
      <c r="S266" s="129" t="n"/>
      <c r="T266" s="129" t="n"/>
      <c r="U266" s="129" t="n"/>
      <c r="V266" s="129" t="n"/>
      <c r="W266" s="129" t="n"/>
      <c r="X266" s="129" t="n"/>
      <c r="Y266" s="708" t="n"/>
      <c r="Z266" s="709" t="n"/>
      <c r="AA266" s="710" t="n"/>
      <c r="AB266" s="590" t="n"/>
      <c r="AC266" s="591" t="n"/>
      <c r="AD266" s="592" t="n"/>
      <c r="AE266" s="593" t="n"/>
      <c r="AF266" s="594" t="n"/>
      <c r="AG266" s="693" t="n"/>
      <c r="AH266" s="721" t="n"/>
      <c r="AI266" s="721" t="n"/>
      <c r="AJ266" s="688" t="n"/>
      <c r="AK266" s="689" t="n"/>
      <c r="AL266" s="690" t="n"/>
      <c r="AM266" s="691" t="n"/>
      <c r="AN266" s="692" t="n"/>
      <c r="AO266" s="693" t="n"/>
      <c r="AP266" s="693" t="n"/>
      <c r="AQ266" s="693" t="n"/>
      <c r="AR266" s="693" t="n"/>
      <c r="AS266" s="693" t="n"/>
      <c r="AT266" s="693" t="n"/>
      <c r="AU266" s="699" t="n"/>
      <c r="AV266" s="693" t="n"/>
      <c r="AW266" s="693" t="n"/>
      <c r="AX266" s="693" t="n"/>
      <c r="AY266" s="693" t="n"/>
      <c r="AZ266" s="693" t="n"/>
    </row>
    <row r="267">
      <c r="A267" s="688" t="n"/>
      <c r="B267" s="688" t="n"/>
      <c r="C267" s="473" t="n"/>
      <c r="D267" s="688" t="n"/>
      <c r="E267" s="689" t="n"/>
      <c r="F267" s="721" t="n"/>
      <c r="G2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7" s="474">
        <f>G267/#REF!</f>
        <v/>
      </c>
      <c r="I267" s="690" t="n"/>
      <c r="J2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7" s="474">
        <f>J267/#REF!</f>
        <v/>
      </c>
      <c r="L267" s="473" t="n"/>
      <c r="M267" s="692" t="n"/>
      <c r="N267" s="693" t="n"/>
      <c r="O267" s="78" t="n"/>
      <c r="P267" s="129" t="n"/>
      <c r="Q267" s="129" t="n"/>
      <c r="R267" s="129" t="n"/>
      <c r="S267" s="129" t="n"/>
      <c r="T267" s="129" t="n"/>
      <c r="U267" s="129" t="n"/>
      <c r="V267" s="129" t="n"/>
      <c r="W267" s="129" t="n"/>
      <c r="X267" s="129" t="n"/>
      <c r="Y267" s="703" t="n"/>
      <c r="Z267" s="704" t="n"/>
      <c r="AA267" s="705" t="n"/>
      <c r="AB267" s="613" t="n"/>
      <c r="AC267" s="614" t="n"/>
      <c r="AD267" s="628" t="n"/>
      <c r="AE267" s="616" t="n"/>
      <c r="AF267" s="617" t="n"/>
      <c r="AG267" s="693" t="n"/>
      <c r="AH267" s="721" t="n"/>
      <c r="AI267" s="721" t="n"/>
      <c r="AJ267" s="688" t="n"/>
      <c r="AK267" s="689" t="n"/>
      <c r="AL267" s="690" t="n"/>
      <c r="AM267" s="691" t="n"/>
      <c r="AN267" s="692" t="n"/>
      <c r="AO267" s="693" t="n"/>
      <c r="AP267" s="693" t="n"/>
      <c r="AQ267" s="693" t="n"/>
      <c r="AR267" s="693" t="n"/>
      <c r="AS267" s="693" t="n"/>
      <c r="AT267" s="693" t="n"/>
      <c r="AU267" s="699" t="n"/>
      <c r="AV267" s="693" t="n"/>
      <c r="AW267" s="693" t="n"/>
      <c r="AX267" s="693" t="n"/>
      <c r="AY267" s="693" t="n"/>
      <c r="AZ267" s="693" t="n"/>
    </row>
    <row r="268">
      <c r="A268" s="688" t="n"/>
      <c r="B268" s="688" t="n"/>
      <c r="C268" s="473" t="n"/>
      <c r="D268" s="688" t="n"/>
      <c r="E268" s="689" t="n"/>
      <c r="F268" s="721" t="n"/>
      <c r="G2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8" s="474">
        <f>G268/#REF!</f>
        <v/>
      </c>
      <c r="I268" s="690" t="n"/>
      <c r="J2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8" s="474">
        <f>J268/#REF!</f>
        <v/>
      </c>
      <c r="L268" s="473" t="n"/>
      <c r="M268" s="692" t="n"/>
      <c r="N268" s="693" t="n"/>
      <c r="O268" s="78" t="n"/>
      <c r="P268" s="129" t="n"/>
      <c r="Q268" s="129" t="n"/>
      <c r="R268" s="129" t="n"/>
      <c r="S268" s="129" t="n"/>
      <c r="T268" s="129" t="n"/>
      <c r="U268" s="129" t="n"/>
      <c r="V268" s="129" t="n"/>
      <c r="W268" s="129" t="n"/>
      <c r="X268" s="129" t="n"/>
      <c r="Y268" s="708" t="n"/>
      <c r="Z268" s="709" t="n"/>
      <c r="AA268" s="710" t="n"/>
      <c r="AB268" s="590" t="n"/>
      <c r="AC268" s="591" t="n"/>
      <c r="AD268" s="592" t="n"/>
      <c r="AE268" s="593" t="n"/>
      <c r="AF268" s="594" t="n"/>
      <c r="AG268" s="693" t="n"/>
      <c r="AH268" s="721" t="n"/>
      <c r="AI268" s="721" t="n"/>
      <c r="AJ268" s="688" t="n"/>
      <c r="AK268" s="689" t="n"/>
      <c r="AL268" s="690" t="n"/>
      <c r="AM268" s="691" t="n"/>
      <c r="AN268" s="692" t="n"/>
      <c r="AO268" s="693" t="n"/>
      <c r="AP268" s="693" t="n"/>
      <c r="AQ268" s="693" t="n"/>
      <c r="AR268" s="693" t="n"/>
      <c r="AS268" s="693" t="n"/>
      <c r="AT268" s="693" t="n"/>
      <c r="AU268" s="699" t="n"/>
      <c r="AV268" s="693" t="n"/>
      <c r="AW268" s="693" t="n"/>
      <c r="AX268" s="693" t="n"/>
      <c r="AY268" s="693" t="n"/>
      <c r="AZ268" s="693" t="n"/>
    </row>
    <row r="269">
      <c r="A269" s="688" t="n"/>
      <c r="B269" s="688" t="n"/>
      <c r="C269" s="473" t="n"/>
      <c r="D269" s="688" t="n"/>
      <c r="E269" s="689" t="n"/>
      <c r="F269" s="721" t="n"/>
      <c r="G2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69" s="474">
        <f>G269/#REF!</f>
        <v/>
      </c>
      <c r="I269" s="690" t="n"/>
      <c r="J2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69" s="474">
        <f>J269/#REF!</f>
        <v/>
      </c>
      <c r="L269" s="473" t="n"/>
      <c r="M269" s="692" t="n"/>
      <c r="N269" s="693" t="n"/>
      <c r="O269" s="78" t="n"/>
      <c r="P269" s="129" t="n"/>
      <c r="Q269" s="129" t="n"/>
      <c r="R269" s="129" t="n"/>
      <c r="S269" s="129" t="n"/>
      <c r="T269" s="129" t="n"/>
      <c r="U269" s="129" t="n"/>
      <c r="V269" s="129" t="n"/>
      <c r="W269" s="129" t="n"/>
      <c r="X269" s="129" t="n"/>
      <c r="Y269" s="703" t="n"/>
      <c r="Z269" s="704" t="n"/>
      <c r="AA269" s="705" t="n"/>
      <c r="AB269" s="613" t="n"/>
      <c r="AC269" s="614" t="n"/>
      <c r="AD269" s="628" t="n"/>
      <c r="AE269" s="616" t="n"/>
      <c r="AF269" s="617" t="n"/>
      <c r="AG269" s="693" t="n"/>
      <c r="AH269" s="721" t="n"/>
      <c r="AI269" s="721" t="n"/>
      <c r="AJ269" s="688" t="n"/>
      <c r="AK269" s="689" t="n"/>
      <c r="AL269" s="690" t="n"/>
      <c r="AM269" s="691" t="n"/>
      <c r="AN269" s="692" t="n"/>
      <c r="AO269" s="693" t="n"/>
      <c r="AP269" s="693" t="n"/>
      <c r="AQ269" s="693" t="n"/>
      <c r="AR269" s="693" t="n"/>
      <c r="AS269" s="693" t="n"/>
      <c r="AT269" s="693" t="n"/>
      <c r="AU269" s="699" t="n"/>
      <c r="AV269" s="693" t="n"/>
      <c r="AW269" s="693" t="n"/>
      <c r="AX269" s="693" t="n"/>
      <c r="AY269" s="693" t="n"/>
      <c r="AZ269" s="693" t="n"/>
    </row>
    <row r="270">
      <c r="A270" s="688" t="n"/>
      <c r="B270" s="688" t="n"/>
      <c r="C270" s="473" t="n"/>
      <c r="D270" s="688" t="n"/>
      <c r="E270" s="689" t="n"/>
      <c r="F270" s="721" t="n"/>
      <c r="G2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0" s="474">
        <f>G270/#REF!</f>
        <v/>
      </c>
      <c r="I270" s="690" t="n"/>
      <c r="J2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0" s="474">
        <f>J270/#REF!</f>
        <v/>
      </c>
      <c r="L270" s="473" t="n"/>
      <c r="M270" s="692" t="n"/>
      <c r="N270" s="693" t="n"/>
      <c r="O270" s="78" t="n"/>
      <c r="P270" s="129" t="n"/>
      <c r="Q270" s="129" t="n"/>
      <c r="R270" s="129" t="n"/>
      <c r="S270" s="129" t="n"/>
      <c r="T270" s="129" t="n"/>
      <c r="U270" s="129" t="n"/>
      <c r="V270" s="129" t="n"/>
      <c r="W270" s="129" t="n"/>
      <c r="X270" s="129" t="n"/>
      <c r="Y270" s="708" t="n"/>
      <c r="Z270" s="709" t="n"/>
      <c r="AA270" s="710" t="n"/>
      <c r="AB270" s="590" t="n"/>
      <c r="AC270" s="591" t="n"/>
      <c r="AD270" s="592" t="n"/>
      <c r="AE270" s="593" t="n"/>
      <c r="AF270" s="594" t="n"/>
      <c r="AG270" s="693" t="n"/>
      <c r="AH270" s="721" t="n"/>
      <c r="AI270" s="721" t="n"/>
      <c r="AJ270" s="688" t="n"/>
      <c r="AK270" s="689" t="n"/>
      <c r="AL270" s="690" t="n"/>
      <c r="AM270" s="691" t="n"/>
      <c r="AN270" s="692" t="n"/>
      <c r="AO270" s="693" t="n"/>
      <c r="AP270" s="693" t="n"/>
      <c r="AQ270" s="693" t="n"/>
      <c r="AR270" s="693" t="n"/>
      <c r="AS270" s="693" t="n"/>
      <c r="AT270" s="693" t="n"/>
      <c r="AU270" s="699" t="n"/>
      <c r="AV270" s="693" t="n"/>
      <c r="AW270" s="693" t="n"/>
      <c r="AX270" s="693" t="n"/>
      <c r="AY270" s="693" t="n"/>
      <c r="AZ270" s="693" t="n"/>
    </row>
    <row r="271">
      <c r="A271" s="688" t="n"/>
      <c r="B271" s="688" t="n"/>
      <c r="C271" s="473" t="n"/>
      <c r="D271" s="688" t="n"/>
      <c r="E271" s="689" t="n"/>
      <c r="F271" s="721" t="n"/>
      <c r="G2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1" s="474">
        <f>G271/#REF!</f>
        <v/>
      </c>
      <c r="I271" s="690" t="n"/>
      <c r="J2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1" s="474">
        <f>J271/#REF!</f>
        <v/>
      </c>
      <c r="L271" s="473" t="n"/>
      <c r="M271" s="692" t="n"/>
      <c r="N271" s="693" t="n"/>
      <c r="O271" s="78" t="n"/>
      <c r="P271" s="129" t="n"/>
      <c r="Q271" s="129" t="n"/>
      <c r="R271" s="129" t="n"/>
      <c r="S271" s="129" t="n"/>
      <c r="T271" s="129" t="n"/>
      <c r="U271" s="129" t="n"/>
      <c r="V271" s="129" t="n"/>
      <c r="W271" s="129" t="n"/>
      <c r="X271" s="129" t="n"/>
      <c r="Y271" s="703" t="n"/>
      <c r="Z271" s="704" t="n"/>
      <c r="AA271" s="705" t="n"/>
      <c r="AB271" s="613" t="n"/>
      <c r="AC271" s="614" t="n"/>
      <c r="AD271" s="628" t="n"/>
      <c r="AE271" s="616" t="n"/>
      <c r="AF271" s="617" t="n"/>
      <c r="AG271" s="693" t="n"/>
      <c r="AH271" s="721" t="n"/>
      <c r="AI271" s="721" t="n"/>
      <c r="AJ271" s="688" t="n"/>
      <c r="AK271" s="689" t="n"/>
      <c r="AL271" s="690" t="n"/>
      <c r="AM271" s="691" t="n"/>
      <c r="AN271" s="692" t="n"/>
      <c r="AO271" s="693" t="n"/>
      <c r="AP271" s="693" t="n"/>
      <c r="AQ271" s="693" t="n"/>
      <c r="AR271" s="693" t="n"/>
      <c r="AS271" s="693" t="n"/>
      <c r="AT271" s="693" t="n"/>
      <c r="AU271" s="699" t="n"/>
      <c r="AV271" s="693" t="n"/>
      <c r="AW271" s="693" t="n"/>
      <c r="AX271" s="693" t="n"/>
      <c r="AY271" s="693" t="n"/>
      <c r="AZ271" s="693" t="n"/>
    </row>
    <row r="272">
      <c r="A272" s="688" t="n"/>
      <c r="B272" s="688" t="n"/>
      <c r="C272" s="473" t="n"/>
      <c r="D272" s="688" t="n"/>
      <c r="E272" s="689" t="n"/>
      <c r="F272" s="721" t="n"/>
      <c r="G2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2" s="474">
        <f>G272/#REF!</f>
        <v/>
      </c>
      <c r="I272" s="690" t="n"/>
      <c r="J2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2" s="474">
        <f>J272/#REF!</f>
        <v/>
      </c>
      <c r="L272" s="473" t="n"/>
      <c r="M272" s="692" t="n"/>
      <c r="N272" s="693" t="n"/>
      <c r="O272" s="78" t="n"/>
      <c r="P272" s="129" t="n"/>
      <c r="Q272" s="129" t="n"/>
      <c r="R272" s="129" t="n"/>
      <c r="S272" s="129" t="n"/>
      <c r="T272" s="129" t="n"/>
      <c r="U272" s="129" t="n"/>
      <c r="V272" s="129" t="n"/>
      <c r="W272" s="129" t="n"/>
      <c r="X272" s="129" t="n"/>
      <c r="Y272" s="708" t="n"/>
      <c r="Z272" s="709" t="n"/>
      <c r="AA272" s="710" t="n"/>
      <c r="AB272" s="590" t="n"/>
      <c r="AC272" s="591" t="n"/>
      <c r="AD272" s="592" t="n"/>
      <c r="AE272" s="593" t="n"/>
      <c r="AF272" s="594" t="n"/>
      <c r="AG272" s="693" t="n"/>
      <c r="AH272" s="721" t="n"/>
      <c r="AI272" s="721" t="n"/>
      <c r="AJ272" s="688" t="n"/>
      <c r="AK272" s="689" t="n"/>
      <c r="AL272" s="690" t="n"/>
      <c r="AM272" s="691" t="n"/>
      <c r="AN272" s="692" t="n"/>
      <c r="AO272" s="693" t="n"/>
      <c r="AP272" s="693" t="n"/>
      <c r="AQ272" s="693" t="n"/>
      <c r="AR272" s="693" t="n"/>
      <c r="AS272" s="693" t="n"/>
      <c r="AT272" s="693" t="n"/>
      <c r="AU272" s="699" t="n"/>
      <c r="AV272" s="693" t="n"/>
      <c r="AW272" s="693" t="n"/>
      <c r="AX272" s="693" t="n"/>
      <c r="AY272" s="693" t="n"/>
      <c r="AZ272" s="693" t="n"/>
    </row>
    <row r="273">
      <c r="A273" s="688" t="n"/>
      <c r="B273" s="688" t="n"/>
      <c r="C273" s="473" t="n"/>
      <c r="D273" s="688" t="n"/>
      <c r="E273" s="689" t="n"/>
      <c r="F273" s="721" t="n"/>
      <c r="G2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3" s="474">
        <f>G273/#REF!</f>
        <v/>
      </c>
      <c r="I273" s="690" t="n"/>
      <c r="J2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3" s="474">
        <f>J273/#REF!</f>
        <v/>
      </c>
      <c r="L273" s="473" t="n"/>
      <c r="M273" s="692" t="n"/>
      <c r="N273" s="693" t="n"/>
      <c r="O273" s="78" t="n"/>
      <c r="P273" s="129" t="n"/>
      <c r="Q273" s="129" t="n"/>
      <c r="R273" s="129" t="n"/>
      <c r="S273" s="129" t="n"/>
      <c r="T273" s="129" t="n"/>
      <c r="U273" s="129" t="n"/>
      <c r="V273" s="129" t="n"/>
      <c r="W273" s="129" t="n"/>
      <c r="X273" s="129" t="n"/>
      <c r="Y273" s="703" t="n"/>
      <c r="Z273" s="704" t="n"/>
      <c r="AA273" s="705" t="n"/>
      <c r="AB273" s="613" t="n"/>
      <c r="AC273" s="614" t="n"/>
      <c r="AD273" s="628" t="n"/>
      <c r="AE273" s="616" t="n"/>
      <c r="AF273" s="617" t="n"/>
      <c r="AG273" s="693" t="n"/>
      <c r="AH273" s="721" t="n"/>
      <c r="AI273" s="721" t="n"/>
      <c r="AJ273" s="688" t="n"/>
      <c r="AK273" s="689" t="n"/>
      <c r="AL273" s="690" t="n"/>
      <c r="AM273" s="691" t="n"/>
      <c r="AN273" s="692" t="n"/>
      <c r="AO273" s="693" t="n"/>
      <c r="AP273" s="693" t="n"/>
      <c r="AQ273" s="693" t="n"/>
      <c r="AR273" s="693" t="n"/>
      <c r="AS273" s="693" t="n"/>
      <c r="AT273" s="693" t="n"/>
      <c r="AU273" s="699" t="n"/>
      <c r="AV273" s="693" t="n"/>
      <c r="AW273" s="693" t="n"/>
      <c r="AX273" s="693" t="n"/>
      <c r="AY273" s="693" t="n"/>
      <c r="AZ273" s="693" t="n"/>
    </row>
    <row r="274">
      <c r="A274" s="688" t="n"/>
      <c r="B274" s="688" t="n"/>
      <c r="C274" s="473" t="n"/>
      <c r="D274" s="688" t="n"/>
      <c r="E274" s="689" t="n"/>
      <c r="F274" s="721" t="n"/>
      <c r="G2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4" s="474">
        <f>G274/#REF!</f>
        <v/>
      </c>
      <c r="I274" s="690" t="n"/>
      <c r="J2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4" s="474">
        <f>J274/#REF!</f>
        <v/>
      </c>
      <c r="L274" s="473" t="n"/>
      <c r="M274" s="692" t="n"/>
      <c r="N274" s="693" t="n"/>
      <c r="O274" s="78" t="n"/>
      <c r="P274" s="129" t="n"/>
      <c r="Q274" s="129" t="n"/>
      <c r="R274" s="129" t="n"/>
      <c r="S274" s="129" t="n"/>
      <c r="T274" s="129" t="n"/>
      <c r="U274" s="129" t="n"/>
      <c r="V274" s="129" t="n"/>
      <c r="W274" s="129" t="n"/>
      <c r="X274" s="129" t="n"/>
      <c r="Y274" s="708" t="n"/>
      <c r="Z274" s="709" t="n"/>
      <c r="AA274" s="710" t="n"/>
      <c r="AB274" s="590" t="n"/>
      <c r="AC274" s="591" t="n"/>
      <c r="AD274" s="592" t="n"/>
      <c r="AE274" s="593" t="n"/>
      <c r="AF274" s="594" t="n"/>
      <c r="AG274" s="693" t="n"/>
      <c r="AH274" s="721" t="n"/>
      <c r="AI274" s="721" t="n"/>
      <c r="AJ274" s="688" t="n"/>
      <c r="AK274" s="689" t="n"/>
      <c r="AL274" s="690" t="n"/>
      <c r="AM274" s="691" t="n"/>
      <c r="AN274" s="692" t="n"/>
      <c r="AO274" s="693" t="n"/>
      <c r="AP274" s="693" t="n"/>
      <c r="AQ274" s="693" t="n"/>
      <c r="AR274" s="693" t="n"/>
      <c r="AS274" s="693" t="n"/>
      <c r="AT274" s="693" t="n"/>
      <c r="AU274" s="699" t="n"/>
      <c r="AV274" s="693" t="n"/>
      <c r="AW274" s="693" t="n"/>
      <c r="AX274" s="693" t="n"/>
      <c r="AY274" s="693" t="n"/>
      <c r="AZ274" s="693" t="n"/>
    </row>
    <row r="275">
      <c r="A275" s="688" t="n"/>
      <c r="B275" s="688" t="n"/>
      <c r="C275" s="473" t="n"/>
      <c r="D275" s="688" t="n"/>
      <c r="E275" s="689" t="n"/>
      <c r="F275" s="721" t="n"/>
      <c r="G2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5" s="474">
        <f>G275/#REF!</f>
        <v/>
      </c>
      <c r="I275" s="690" t="n"/>
      <c r="J2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5" s="474">
        <f>J275/#REF!</f>
        <v/>
      </c>
      <c r="L275" s="473" t="n"/>
      <c r="M275" s="692" t="n"/>
      <c r="N275" s="693" t="n"/>
      <c r="O275" s="78" t="n"/>
      <c r="P275" s="129" t="n"/>
      <c r="Q275" s="129" t="n"/>
      <c r="R275" s="129" t="n"/>
      <c r="S275" s="129" t="n"/>
      <c r="T275" s="129" t="n"/>
      <c r="U275" s="129" t="n"/>
      <c r="V275" s="129" t="n"/>
      <c r="W275" s="129" t="n"/>
      <c r="X275" s="129" t="n"/>
      <c r="Y275" s="703" t="n"/>
      <c r="Z275" s="704" t="n"/>
      <c r="AA275" s="705" t="n"/>
      <c r="AB275" s="613" t="n"/>
      <c r="AC275" s="614" t="n"/>
      <c r="AD275" s="628" t="n"/>
      <c r="AE275" s="616" t="n"/>
      <c r="AF275" s="617" t="n"/>
      <c r="AG275" s="693" t="n"/>
      <c r="AH275" s="721" t="n"/>
      <c r="AI275" s="721" t="n"/>
      <c r="AJ275" s="688" t="n"/>
      <c r="AK275" s="689" t="n"/>
      <c r="AL275" s="690" t="n"/>
      <c r="AM275" s="691" t="n"/>
      <c r="AN275" s="692" t="n"/>
      <c r="AO275" s="693" t="n"/>
      <c r="AP275" s="693" t="n"/>
      <c r="AQ275" s="693" t="n"/>
      <c r="AR275" s="693" t="n"/>
      <c r="AS275" s="693" t="n"/>
      <c r="AT275" s="693" t="n"/>
      <c r="AU275" s="699" t="n"/>
      <c r="AV275" s="693" t="n"/>
      <c r="AW275" s="693" t="n"/>
      <c r="AX275" s="693" t="n"/>
      <c r="AY275" s="693" t="n"/>
      <c r="AZ275" s="693" t="n"/>
    </row>
    <row r="276">
      <c r="A276" s="688" t="n"/>
      <c r="B276" s="688" t="n"/>
      <c r="C276" s="473" t="n"/>
      <c r="D276" s="688" t="n"/>
      <c r="E276" s="689" t="n"/>
      <c r="F276" s="721" t="n"/>
      <c r="G2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6" s="474">
        <f>G276/#REF!</f>
        <v/>
      </c>
      <c r="I276" s="690" t="n"/>
      <c r="J2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6" s="474">
        <f>J276/#REF!</f>
        <v/>
      </c>
      <c r="L276" s="473" t="n"/>
      <c r="M276" s="692" t="n"/>
      <c r="N276" s="693" t="n"/>
      <c r="O276" s="78" t="n"/>
      <c r="P276" s="129" t="n"/>
      <c r="Q276" s="129" t="n"/>
      <c r="R276" s="129" t="n"/>
      <c r="S276" s="129" t="n"/>
      <c r="T276" s="129" t="n"/>
      <c r="U276" s="129" t="n"/>
      <c r="V276" s="129" t="n"/>
      <c r="W276" s="129" t="n"/>
      <c r="X276" s="129" t="n"/>
      <c r="Y276" s="708" t="n"/>
      <c r="Z276" s="709" t="n"/>
      <c r="AA276" s="710" t="n"/>
      <c r="AB276" s="590" t="n"/>
      <c r="AC276" s="591" t="n"/>
      <c r="AD276" s="592" t="n"/>
      <c r="AE276" s="593" t="n"/>
      <c r="AF276" s="594" t="n"/>
      <c r="AG276" s="693" t="n"/>
      <c r="AH276" s="721" t="n"/>
      <c r="AI276" s="721" t="n"/>
      <c r="AJ276" s="688" t="n"/>
      <c r="AK276" s="689" t="n"/>
      <c r="AL276" s="690" t="n"/>
      <c r="AM276" s="691" t="n"/>
      <c r="AN276" s="692" t="n"/>
      <c r="AO276" s="693" t="n"/>
      <c r="AP276" s="693" t="n"/>
      <c r="AQ276" s="693" t="n"/>
      <c r="AR276" s="693" t="n"/>
      <c r="AS276" s="693" t="n"/>
      <c r="AT276" s="693" t="n"/>
      <c r="AU276" s="699" t="n"/>
      <c r="AV276" s="693" t="n"/>
      <c r="AW276" s="693" t="n"/>
      <c r="AX276" s="693" t="n"/>
      <c r="AY276" s="693" t="n"/>
      <c r="AZ276" s="693" t="n"/>
    </row>
    <row r="277">
      <c r="A277" s="688" t="n"/>
      <c r="B277" s="688" t="n"/>
      <c r="C277" s="473" t="n"/>
      <c r="D277" s="688" t="n"/>
      <c r="E277" s="689" t="n"/>
      <c r="F277" s="721" t="n"/>
      <c r="G2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7" s="474">
        <f>G277/#REF!</f>
        <v/>
      </c>
      <c r="I277" s="690" t="n"/>
      <c r="J2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7" s="474">
        <f>J277/#REF!</f>
        <v/>
      </c>
      <c r="L277" s="473" t="n"/>
      <c r="M277" s="692" t="n"/>
      <c r="N277" s="693" t="n"/>
      <c r="O277" s="78" t="n"/>
      <c r="P277" s="129" t="n"/>
      <c r="Q277" s="129" t="n"/>
      <c r="R277" s="129" t="n"/>
      <c r="S277" s="129" t="n"/>
      <c r="T277" s="129" t="n"/>
      <c r="U277" s="129" t="n"/>
      <c r="V277" s="129" t="n"/>
      <c r="W277" s="129" t="n"/>
      <c r="X277" s="129" t="n"/>
      <c r="Y277" s="703" t="n"/>
      <c r="Z277" s="704" t="n"/>
      <c r="AA277" s="705" t="n"/>
      <c r="AB277" s="613" t="n"/>
      <c r="AC277" s="614" t="n"/>
      <c r="AD277" s="628" t="n"/>
      <c r="AE277" s="616" t="n"/>
      <c r="AF277" s="617" t="n"/>
      <c r="AG277" s="693" t="n"/>
      <c r="AH277" s="721" t="n"/>
      <c r="AI277" s="721" t="n"/>
      <c r="AJ277" s="688" t="n"/>
      <c r="AK277" s="689" t="n"/>
      <c r="AL277" s="690" t="n"/>
      <c r="AM277" s="691" t="n"/>
      <c r="AN277" s="692" t="n"/>
      <c r="AO277" s="693" t="n"/>
      <c r="AP277" s="693" t="n"/>
      <c r="AQ277" s="693" t="n"/>
      <c r="AR277" s="693" t="n"/>
      <c r="AS277" s="693" t="n"/>
      <c r="AT277" s="693" t="n"/>
      <c r="AU277" s="699" t="n"/>
      <c r="AV277" s="693" t="n"/>
      <c r="AW277" s="693" t="n"/>
      <c r="AX277" s="693" t="n"/>
      <c r="AY277" s="693" t="n"/>
      <c r="AZ277" s="693" t="n"/>
    </row>
    <row r="278">
      <c r="A278" s="688" t="n"/>
      <c r="B278" s="688" t="n"/>
      <c r="C278" s="473" t="n"/>
      <c r="D278" s="688" t="n"/>
      <c r="E278" s="689" t="n"/>
      <c r="F278" s="721" t="n"/>
      <c r="G2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8" s="474">
        <f>G278/#REF!</f>
        <v/>
      </c>
      <c r="I278" s="690" t="n"/>
      <c r="J2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8" s="474">
        <f>J278/#REF!</f>
        <v/>
      </c>
      <c r="L278" s="473" t="n"/>
      <c r="M278" s="692" t="n"/>
      <c r="N278" s="693" t="n"/>
      <c r="O278" s="78" t="n"/>
      <c r="P278" s="129" t="n"/>
      <c r="Q278" s="129" t="n"/>
      <c r="R278" s="129" t="n"/>
      <c r="S278" s="129" t="n"/>
      <c r="T278" s="129" t="n"/>
      <c r="U278" s="129" t="n"/>
      <c r="V278" s="129" t="n"/>
      <c r="W278" s="129" t="n"/>
      <c r="X278" s="129" t="n"/>
      <c r="Y278" s="708" t="n"/>
      <c r="Z278" s="709" t="n"/>
      <c r="AA278" s="710" t="n"/>
      <c r="AB278" s="590" t="n"/>
      <c r="AC278" s="591" t="n"/>
      <c r="AD278" s="592" t="n"/>
      <c r="AE278" s="593" t="n"/>
      <c r="AF278" s="594" t="n"/>
      <c r="AG278" s="693" t="n"/>
      <c r="AH278" s="721" t="n"/>
      <c r="AI278" s="721" t="n"/>
      <c r="AJ278" s="688" t="n"/>
      <c r="AK278" s="689" t="n"/>
      <c r="AL278" s="690" t="n"/>
      <c r="AM278" s="691" t="n"/>
      <c r="AN278" s="692" t="n"/>
      <c r="AO278" s="693" t="n"/>
      <c r="AP278" s="693" t="n"/>
      <c r="AQ278" s="693" t="n"/>
      <c r="AR278" s="693" t="n"/>
      <c r="AS278" s="693" t="n"/>
      <c r="AT278" s="693" t="n"/>
      <c r="AU278" s="699" t="n"/>
      <c r="AV278" s="693" t="n"/>
      <c r="AW278" s="693" t="n"/>
      <c r="AX278" s="693" t="n"/>
      <c r="AY278" s="693" t="n"/>
      <c r="AZ278" s="693" t="n"/>
    </row>
    <row r="279">
      <c r="A279" s="688" t="n"/>
      <c r="B279" s="688" t="n"/>
      <c r="C279" s="473" t="n"/>
      <c r="D279" s="688" t="n"/>
      <c r="E279" s="689" t="n"/>
      <c r="F279" s="721" t="n"/>
      <c r="G2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79" s="474">
        <f>G279/#REF!</f>
        <v/>
      </c>
      <c r="I279" s="690" t="n"/>
      <c r="J2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79" s="474">
        <f>J279/#REF!</f>
        <v/>
      </c>
      <c r="L279" s="473" t="n"/>
      <c r="M279" s="692" t="n"/>
      <c r="N279" s="693" t="n"/>
      <c r="O279" s="78" t="n"/>
      <c r="P279" s="129" t="n"/>
      <c r="Q279" s="129" t="n"/>
      <c r="R279" s="129" t="n"/>
      <c r="S279" s="129" t="n"/>
      <c r="T279" s="129" t="n"/>
      <c r="U279" s="129" t="n"/>
      <c r="V279" s="129" t="n"/>
      <c r="W279" s="129" t="n"/>
      <c r="X279" s="129" t="n"/>
      <c r="Y279" s="703" t="n"/>
      <c r="Z279" s="704" t="n"/>
      <c r="AA279" s="705" t="n"/>
      <c r="AB279" s="613" t="n"/>
      <c r="AC279" s="614" t="n"/>
      <c r="AD279" s="628" t="n"/>
      <c r="AE279" s="616" t="n"/>
      <c r="AF279" s="617" t="n"/>
      <c r="AG279" s="693" t="n"/>
      <c r="AH279" s="721" t="n"/>
      <c r="AI279" s="721" t="n"/>
      <c r="AJ279" s="688" t="n"/>
      <c r="AK279" s="689" t="n"/>
      <c r="AL279" s="690" t="n"/>
      <c r="AM279" s="691" t="n"/>
      <c r="AN279" s="692" t="n"/>
      <c r="AO279" s="693" t="n"/>
      <c r="AP279" s="693" t="n"/>
      <c r="AQ279" s="693" t="n"/>
      <c r="AR279" s="693" t="n"/>
      <c r="AS279" s="693" t="n"/>
      <c r="AT279" s="693" t="n"/>
      <c r="AU279" s="699" t="n"/>
      <c r="AV279" s="693" t="n"/>
      <c r="AW279" s="693" t="n"/>
      <c r="AX279" s="693" t="n"/>
      <c r="AY279" s="693" t="n"/>
      <c r="AZ279" s="693" t="n"/>
    </row>
    <row r="280">
      <c r="A280" s="688" t="n"/>
      <c r="B280" s="688" t="n"/>
      <c r="C280" s="473" t="n"/>
      <c r="D280" s="688" t="n"/>
      <c r="E280" s="689" t="n"/>
      <c r="F280" s="721" t="n"/>
      <c r="G2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0" s="474">
        <f>G280/#REF!</f>
        <v/>
      </c>
      <c r="I280" s="690" t="n"/>
      <c r="J2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0" s="474">
        <f>J280/#REF!</f>
        <v/>
      </c>
      <c r="L280" s="473" t="n"/>
      <c r="M280" s="692" t="n"/>
      <c r="N280" s="693" t="n"/>
      <c r="O280" s="78" t="n"/>
      <c r="P280" s="129" t="n"/>
      <c r="Q280" s="129" t="n"/>
      <c r="R280" s="129" t="n"/>
      <c r="S280" s="129" t="n"/>
      <c r="T280" s="129" t="n"/>
      <c r="U280" s="129" t="n"/>
      <c r="V280" s="129" t="n"/>
      <c r="W280" s="129" t="n"/>
      <c r="X280" s="129" t="n"/>
      <c r="Y280" s="708" t="n"/>
      <c r="Z280" s="709" t="n"/>
      <c r="AA280" s="710" t="n"/>
      <c r="AB280" s="590" t="n"/>
      <c r="AC280" s="591" t="n"/>
      <c r="AD280" s="592" t="n"/>
      <c r="AE280" s="593" t="n"/>
      <c r="AF280" s="594" t="n"/>
      <c r="AG280" s="693" t="n"/>
      <c r="AH280" s="721" t="n"/>
      <c r="AI280" s="721" t="n"/>
      <c r="AJ280" s="688" t="n"/>
      <c r="AK280" s="689" t="n"/>
      <c r="AL280" s="690" t="n"/>
      <c r="AM280" s="691" t="n"/>
      <c r="AN280" s="692" t="n"/>
      <c r="AO280" s="693" t="n"/>
      <c r="AP280" s="693" t="n"/>
      <c r="AQ280" s="693" t="n"/>
      <c r="AR280" s="693" t="n"/>
      <c r="AS280" s="693" t="n"/>
      <c r="AT280" s="693" t="n"/>
      <c r="AU280" s="699" t="n"/>
      <c r="AV280" s="693" t="n"/>
      <c r="AW280" s="693" t="n"/>
      <c r="AX280" s="693" t="n"/>
      <c r="AY280" s="693" t="n"/>
      <c r="AZ280" s="693" t="n"/>
    </row>
    <row r="281">
      <c r="A281" s="688" t="n"/>
      <c r="B281" s="688" t="n"/>
      <c r="C281" s="473" t="n"/>
      <c r="D281" s="688" t="n"/>
      <c r="E281" s="689" t="n"/>
      <c r="F281" s="721" t="n"/>
      <c r="G2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1" s="474">
        <f>G281/#REF!</f>
        <v/>
      </c>
      <c r="I281" s="690" t="n"/>
      <c r="J2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1" s="474">
        <f>J281/#REF!</f>
        <v/>
      </c>
      <c r="L281" s="473" t="n"/>
      <c r="M281" s="692" t="n"/>
      <c r="N281" s="693" t="n"/>
      <c r="O281" s="78" t="n"/>
      <c r="P281" s="129" t="n"/>
      <c r="Q281" s="129" t="n"/>
      <c r="R281" s="129" t="n"/>
      <c r="S281" s="129" t="n"/>
      <c r="T281" s="129" t="n"/>
      <c r="U281" s="129" t="n"/>
      <c r="V281" s="129" t="n"/>
      <c r="W281" s="129" t="n"/>
      <c r="X281" s="129" t="n"/>
      <c r="Y281" s="703" t="n"/>
      <c r="Z281" s="704" t="n"/>
      <c r="AA281" s="705" t="n"/>
      <c r="AB281" s="613" t="n"/>
      <c r="AC281" s="614" t="n"/>
      <c r="AD281" s="628" t="n"/>
      <c r="AE281" s="616" t="n"/>
      <c r="AF281" s="617" t="n"/>
      <c r="AG281" s="693" t="n"/>
      <c r="AH281" s="721" t="n"/>
      <c r="AI281" s="721" t="n"/>
      <c r="AJ281" s="688" t="n"/>
      <c r="AK281" s="689" t="n"/>
      <c r="AL281" s="690" t="n"/>
      <c r="AM281" s="691" t="n"/>
      <c r="AN281" s="692" t="n"/>
      <c r="AO281" s="693" t="n"/>
      <c r="AP281" s="693" t="n"/>
      <c r="AQ281" s="693" t="n"/>
      <c r="AR281" s="693" t="n"/>
      <c r="AS281" s="693" t="n"/>
      <c r="AT281" s="693" t="n"/>
      <c r="AU281" s="699" t="n"/>
      <c r="AV281" s="693" t="n"/>
      <c r="AW281" s="693" t="n"/>
      <c r="AX281" s="693" t="n"/>
      <c r="AY281" s="693" t="n"/>
      <c r="AZ281" s="693" t="n"/>
    </row>
    <row r="282">
      <c r="A282" s="688" t="n"/>
      <c r="B282" s="688" t="n"/>
      <c r="C282" s="473" t="n"/>
      <c r="D282" s="688" t="n"/>
      <c r="E282" s="689" t="n"/>
      <c r="F282" s="721" t="n"/>
      <c r="G2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2" s="474">
        <f>G282/#REF!</f>
        <v/>
      </c>
      <c r="I282" s="690" t="n"/>
      <c r="J2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2" s="474">
        <f>J282/#REF!</f>
        <v/>
      </c>
      <c r="L282" s="473" t="n"/>
      <c r="M282" s="692" t="n"/>
      <c r="N282" s="693" t="n"/>
      <c r="O282" s="78" t="n"/>
      <c r="P282" s="129" t="n"/>
      <c r="Q282" s="129" t="n"/>
      <c r="R282" s="129" t="n"/>
      <c r="S282" s="129" t="n"/>
      <c r="T282" s="129" t="n"/>
      <c r="U282" s="129" t="n"/>
      <c r="V282" s="129" t="n"/>
      <c r="W282" s="129" t="n"/>
      <c r="X282" s="129" t="n"/>
      <c r="Y282" s="708" t="n"/>
      <c r="Z282" s="709" t="n"/>
      <c r="AA282" s="710" t="n"/>
      <c r="AB282" s="590" t="n"/>
      <c r="AC282" s="591" t="n"/>
      <c r="AD282" s="592" t="n"/>
      <c r="AE282" s="593" t="n"/>
      <c r="AF282" s="594" t="n"/>
      <c r="AG282" s="693" t="n"/>
      <c r="AH282" s="721" t="n"/>
      <c r="AI282" s="721" t="n"/>
      <c r="AJ282" s="688" t="n"/>
      <c r="AK282" s="689" t="n"/>
      <c r="AL282" s="690" t="n"/>
      <c r="AM282" s="691" t="n"/>
      <c r="AN282" s="692" t="n"/>
      <c r="AO282" s="693" t="n"/>
      <c r="AP282" s="693" t="n"/>
      <c r="AQ282" s="693" t="n"/>
      <c r="AR282" s="693" t="n"/>
      <c r="AS282" s="693" t="n"/>
      <c r="AT282" s="693" t="n"/>
      <c r="AU282" s="699" t="n"/>
      <c r="AV282" s="693" t="n"/>
      <c r="AW282" s="693" t="n"/>
      <c r="AX282" s="693" t="n"/>
      <c r="AY282" s="693" t="n"/>
      <c r="AZ282" s="693" t="n"/>
    </row>
    <row r="283">
      <c r="A283" s="688" t="n"/>
      <c r="B283" s="688" t="n"/>
      <c r="C283" s="473" t="n"/>
      <c r="D283" s="688" t="n"/>
      <c r="E283" s="689" t="n"/>
      <c r="F283" s="721" t="n"/>
      <c r="G2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3" s="474">
        <f>G283/#REF!</f>
        <v/>
      </c>
      <c r="I283" s="690" t="n"/>
      <c r="J2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3" s="474">
        <f>J283/#REF!</f>
        <v/>
      </c>
      <c r="L283" s="473" t="n"/>
      <c r="M283" s="692" t="n"/>
      <c r="N283" s="693" t="n"/>
      <c r="O283" s="78" t="n"/>
      <c r="P283" s="129" t="n"/>
      <c r="Q283" s="129" t="n"/>
      <c r="R283" s="129" t="n"/>
      <c r="S283" s="129" t="n"/>
      <c r="T283" s="129" t="n"/>
      <c r="U283" s="129" t="n"/>
      <c r="V283" s="129" t="n"/>
      <c r="W283" s="129" t="n"/>
      <c r="X283" s="129" t="n"/>
      <c r="Y283" s="703" t="n"/>
      <c r="Z283" s="704" t="n"/>
      <c r="AA283" s="705" t="n"/>
      <c r="AB283" s="613" t="n"/>
      <c r="AC283" s="614" t="n"/>
      <c r="AD283" s="628" t="n"/>
      <c r="AE283" s="616" t="n"/>
      <c r="AF283" s="617" t="n"/>
      <c r="AG283" s="693" t="n"/>
      <c r="AH283" s="721" t="n"/>
      <c r="AI283" s="721" t="n"/>
      <c r="AJ283" s="688" t="n"/>
      <c r="AK283" s="689" t="n"/>
      <c r="AL283" s="690" t="n"/>
      <c r="AM283" s="691" t="n"/>
      <c r="AN283" s="692" t="n"/>
      <c r="AO283" s="693" t="n"/>
      <c r="AP283" s="693" t="n"/>
      <c r="AQ283" s="693" t="n"/>
      <c r="AR283" s="693" t="n"/>
      <c r="AS283" s="693" t="n"/>
      <c r="AT283" s="693" t="n"/>
      <c r="AU283" s="699" t="n"/>
      <c r="AV283" s="693" t="n"/>
      <c r="AW283" s="693" t="n"/>
      <c r="AX283" s="693" t="n"/>
      <c r="AY283" s="693" t="n"/>
      <c r="AZ283" s="693" t="n"/>
    </row>
    <row r="284">
      <c r="A284" s="688" t="n"/>
      <c r="B284" s="688" t="n"/>
      <c r="C284" s="473" t="n"/>
      <c r="D284" s="688" t="n"/>
      <c r="E284" s="689" t="n"/>
      <c r="F284" s="721" t="n"/>
      <c r="G2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4" s="474">
        <f>G284/#REF!</f>
        <v/>
      </c>
      <c r="I284" s="690" t="n"/>
      <c r="J2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4" s="474">
        <f>J284/#REF!</f>
        <v/>
      </c>
      <c r="L284" s="473" t="n"/>
      <c r="M284" s="692" t="n"/>
      <c r="N284" s="693" t="n"/>
      <c r="O284" s="78" t="n"/>
      <c r="P284" s="129" t="n"/>
      <c r="Q284" s="129" t="n"/>
      <c r="R284" s="129" t="n"/>
      <c r="S284" s="129" t="n"/>
      <c r="T284" s="129" t="n"/>
      <c r="U284" s="129" t="n"/>
      <c r="V284" s="129" t="n"/>
      <c r="W284" s="129" t="n"/>
      <c r="X284" s="129" t="n"/>
      <c r="Y284" s="708" t="n"/>
      <c r="Z284" s="709" t="n"/>
      <c r="AA284" s="710" t="n"/>
      <c r="AB284" s="590" t="n"/>
      <c r="AC284" s="591" t="n"/>
      <c r="AD284" s="592" t="n"/>
      <c r="AE284" s="593" t="n"/>
      <c r="AF284" s="594" t="n"/>
      <c r="AG284" s="693" t="n"/>
      <c r="AH284" s="721" t="n"/>
      <c r="AI284" s="721" t="n"/>
      <c r="AJ284" s="688" t="n"/>
      <c r="AK284" s="689" t="n"/>
      <c r="AL284" s="690" t="n"/>
      <c r="AM284" s="691" t="n"/>
      <c r="AN284" s="692" t="n"/>
      <c r="AO284" s="693" t="n"/>
      <c r="AP284" s="693" t="n"/>
      <c r="AQ284" s="693" t="n"/>
      <c r="AR284" s="693" t="n"/>
      <c r="AS284" s="693" t="n"/>
      <c r="AT284" s="693" t="n"/>
      <c r="AU284" s="699" t="n"/>
      <c r="AV284" s="693" t="n"/>
      <c r="AW284" s="693" t="n"/>
      <c r="AX284" s="693" t="n"/>
      <c r="AY284" s="693" t="n"/>
      <c r="AZ284" s="693" t="n"/>
    </row>
    <row r="285">
      <c r="A285" s="688" t="n"/>
      <c r="B285" s="688" t="n"/>
      <c r="C285" s="473" t="n"/>
      <c r="D285" s="688" t="n"/>
      <c r="E285" s="689" t="n"/>
      <c r="F285" s="721" t="n"/>
      <c r="G2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5" s="474">
        <f>G285/#REF!</f>
        <v/>
      </c>
      <c r="I285" s="690" t="n"/>
      <c r="J2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5" s="474">
        <f>J285/#REF!</f>
        <v/>
      </c>
      <c r="L285" s="473" t="n"/>
      <c r="M285" s="692" t="n"/>
      <c r="N285" s="693" t="n"/>
      <c r="O285" s="78" t="n"/>
      <c r="P285" s="129" t="n"/>
      <c r="Q285" s="129" t="n"/>
      <c r="R285" s="129" t="n"/>
      <c r="S285" s="129" t="n"/>
      <c r="T285" s="129" t="n"/>
      <c r="U285" s="129" t="n"/>
      <c r="V285" s="129" t="n"/>
      <c r="W285" s="129" t="n"/>
      <c r="X285" s="129" t="n"/>
      <c r="Y285" s="703" t="n"/>
      <c r="Z285" s="704" t="n"/>
      <c r="AA285" s="705" t="n"/>
      <c r="AB285" s="613" t="n"/>
      <c r="AC285" s="614" t="n"/>
      <c r="AD285" s="628" t="n"/>
      <c r="AE285" s="616" t="n"/>
      <c r="AF285" s="617" t="n"/>
      <c r="AG285" s="693" t="n"/>
      <c r="AH285" s="721" t="n"/>
      <c r="AI285" s="721" t="n"/>
      <c r="AJ285" s="688" t="n"/>
      <c r="AK285" s="689" t="n"/>
      <c r="AL285" s="690" t="n"/>
      <c r="AM285" s="691" t="n"/>
      <c r="AN285" s="692" t="n"/>
      <c r="AO285" s="693" t="n"/>
      <c r="AP285" s="693" t="n"/>
      <c r="AQ285" s="693" t="n"/>
      <c r="AR285" s="693" t="n"/>
      <c r="AS285" s="693" t="n"/>
      <c r="AT285" s="693" t="n"/>
      <c r="AU285" s="699" t="n"/>
      <c r="AV285" s="693" t="n"/>
      <c r="AW285" s="693" t="n"/>
      <c r="AX285" s="693" t="n"/>
      <c r="AY285" s="693" t="n"/>
      <c r="AZ285" s="693" t="n"/>
    </row>
    <row r="286">
      <c r="A286" s="688" t="n"/>
      <c r="B286" s="688" t="n"/>
      <c r="C286" s="473" t="n"/>
      <c r="D286" s="688" t="n"/>
      <c r="E286" s="689" t="n"/>
      <c r="F286" s="721" t="n"/>
      <c r="G2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6" s="474">
        <f>G286/#REF!</f>
        <v/>
      </c>
      <c r="I286" s="690" t="n"/>
      <c r="J2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6" s="474">
        <f>J286/#REF!</f>
        <v/>
      </c>
      <c r="L286" s="473" t="n"/>
      <c r="M286" s="692" t="n"/>
      <c r="N286" s="693" t="n"/>
      <c r="O286" s="78" t="n"/>
      <c r="P286" s="129" t="n"/>
      <c r="Q286" s="129" t="n"/>
      <c r="R286" s="129" t="n"/>
      <c r="S286" s="129" t="n"/>
      <c r="T286" s="129" t="n"/>
      <c r="U286" s="129" t="n"/>
      <c r="V286" s="129" t="n"/>
      <c r="W286" s="129" t="n"/>
      <c r="X286" s="129" t="n"/>
      <c r="Y286" s="708" t="n"/>
      <c r="Z286" s="709" t="n"/>
      <c r="AA286" s="710" t="n"/>
      <c r="AB286" s="590" t="n"/>
      <c r="AC286" s="591" t="n"/>
      <c r="AD286" s="592" t="n"/>
      <c r="AE286" s="593" t="n"/>
      <c r="AF286" s="594" t="n"/>
      <c r="AG286" s="693" t="n"/>
      <c r="AH286" s="721" t="n"/>
      <c r="AI286" s="721" t="n"/>
      <c r="AJ286" s="688" t="n"/>
      <c r="AK286" s="689" t="n"/>
      <c r="AL286" s="690" t="n"/>
      <c r="AM286" s="691" t="n"/>
      <c r="AN286" s="692" t="n"/>
      <c r="AO286" s="693" t="n"/>
      <c r="AP286" s="693" t="n"/>
      <c r="AQ286" s="693" t="n"/>
      <c r="AR286" s="693" t="n"/>
      <c r="AS286" s="693" t="n"/>
      <c r="AT286" s="693" t="n"/>
      <c r="AU286" s="699" t="n"/>
      <c r="AV286" s="693" t="n"/>
      <c r="AW286" s="693" t="n"/>
      <c r="AX286" s="693" t="n"/>
      <c r="AY286" s="693" t="n"/>
      <c r="AZ286" s="693" t="n"/>
    </row>
    <row r="287">
      <c r="A287" s="688" t="n"/>
      <c r="B287" s="688" t="n"/>
      <c r="C287" s="473" t="n"/>
      <c r="D287" s="688" t="n"/>
      <c r="E287" s="689" t="n"/>
      <c r="F287" s="721" t="n"/>
      <c r="G2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7" s="474">
        <f>G287/#REF!</f>
        <v/>
      </c>
      <c r="I287" s="690" t="n"/>
      <c r="J2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7" s="474">
        <f>J287/#REF!</f>
        <v/>
      </c>
      <c r="L287" s="473" t="n"/>
      <c r="M287" s="692" t="n"/>
      <c r="N287" s="693" t="n"/>
      <c r="O287" s="78" t="n"/>
      <c r="P287" s="129" t="n"/>
      <c r="Q287" s="129" t="n"/>
      <c r="R287" s="129" t="n"/>
      <c r="S287" s="129" t="n"/>
      <c r="T287" s="129" t="n"/>
      <c r="U287" s="129" t="n"/>
      <c r="V287" s="129" t="n"/>
      <c r="W287" s="129" t="n"/>
      <c r="X287" s="129" t="n"/>
      <c r="Y287" s="703" t="n"/>
      <c r="Z287" s="704" t="n"/>
      <c r="AA287" s="705" t="n"/>
      <c r="AB287" s="613" t="n"/>
      <c r="AC287" s="614" t="n"/>
      <c r="AD287" s="628" t="n"/>
      <c r="AE287" s="616" t="n"/>
      <c r="AF287" s="617" t="n"/>
      <c r="AG287" s="693" t="n"/>
      <c r="AH287" s="721" t="n"/>
      <c r="AI287" s="721" t="n"/>
      <c r="AJ287" s="688" t="n"/>
      <c r="AK287" s="689" t="n"/>
      <c r="AL287" s="690" t="n"/>
      <c r="AM287" s="691" t="n"/>
      <c r="AN287" s="692" t="n"/>
      <c r="AO287" s="693" t="n"/>
      <c r="AP287" s="693" t="n"/>
      <c r="AQ287" s="693" t="n"/>
      <c r="AR287" s="693" t="n"/>
      <c r="AS287" s="693" t="n"/>
      <c r="AT287" s="693" t="n"/>
      <c r="AU287" s="699" t="n"/>
      <c r="AV287" s="693" t="n"/>
      <c r="AW287" s="693" t="n"/>
      <c r="AX287" s="693" t="n"/>
      <c r="AY287" s="693" t="n"/>
      <c r="AZ287" s="693" t="n"/>
    </row>
    <row r="288">
      <c r="A288" s="688" t="n"/>
      <c r="B288" s="688" t="n"/>
      <c r="C288" s="473" t="n"/>
      <c r="D288" s="688" t="n"/>
      <c r="E288" s="689" t="n"/>
      <c r="F288" s="721" t="n"/>
      <c r="G2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8" s="474">
        <f>G288/#REF!</f>
        <v/>
      </c>
      <c r="I288" s="690" t="n"/>
      <c r="J2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8" s="474">
        <f>J288/#REF!</f>
        <v/>
      </c>
      <c r="L288" s="473" t="n"/>
      <c r="M288" s="692" t="n"/>
      <c r="N288" s="693" t="n"/>
      <c r="O288" s="78" t="n"/>
      <c r="P288" s="129" t="n"/>
      <c r="Q288" s="129" t="n"/>
      <c r="R288" s="129" t="n"/>
      <c r="S288" s="129" t="n"/>
      <c r="T288" s="129" t="n"/>
      <c r="U288" s="129" t="n"/>
      <c r="V288" s="129" t="n"/>
      <c r="W288" s="129" t="n"/>
      <c r="X288" s="129" t="n"/>
      <c r="Y288" s="708" t="n"/>
      <c r="Z288" s="709" t="n"/>
      <c r="AA288" s="710" t="n"/>
      <c r="AB288" s="590" t="n"/>
      <c r="AC288" s="591" t="n"/>
      <c r="AD288" s="592" t="n"/>
      <c r="AE288" s="593" t="n"/>
      <c r="AF288" s="594" t="n"/>
      <c r="AG288" s="693" t="n"/>
      <c r="AH288" s="721" t="n"/>
      <c r="AI288" s="721" t="n"/>
      <c r="AJ288" s="688" t="n"/>
      <c r="AK288" s="689" t="n"/>
      <c r="AL288" s="690" t="n"/>
      <c r="AM288" s="691" t="n"/>
      <c r="AN288" s="692" t="n"/>
      <c r="AO288" s="693" t="n"/>
      <c r="AP288" s="693" t="n"/>
      <c r="AQ288" s="693" t="n"/>
      <c r="AR288" s="693" t="n"/>
      <c r="AS288" s="693" t="n"/>
      <c r="AT288" s="693" t="n"/>
      <c r="AU288" s="699" t="n"/>
      <c r="AV288" s="693" t="n"/>
      <c r="AW288" s="693" t="n"/>
      <c r="AX288" s="693" t="n"/>
      <c r="AY288" s="693" t="n"/>
      <c r="AZ288" s="693" t="n"/>
    </row>
    <row r="289">
      <c r="A289" s="688" t="n"/>
      <c r="B289" s="688" t="n"/>
      <c r="C289" s="473" t="n"/>
      <c r="D289" s="688" t="n"/>
      <c r="E289" s="689" t="n"/>
      <c r="F289" s="721" t="n"/>
      <c r="G2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89" s="474">
        <f>G289/#REF!</f>
        <v/>
      </c>
      <c r="I289" s="690" t="n"/>
      <c r="J2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89" s="474">
        <f>J289/#REF!</f>
        <v/>
      </c>
      <c r="L289" s="473" t="n"/>
      <c r="M289" s="692" t="n"/>
      <c r="N289" s="693" t="n"/>
      <c r="O289" s="78" t="n"/>
      <c r="P289" s="129" t="n"/>
      <c r="Q289" s="129" t="n"/>
      <c r="R289" s="129" t="n"/>
      <c r="S289" s="129" t="n"/>
      <c r="T289" s="129" t="n"/>
      <c r="U289" s="129" t="n"/>
      <c r="V289" s="129" t="n"/>
      <c r="W289" s="129" t="n"/>
      <c r="X289" s="129" t="n"/>
      <c r="Y289" s="703" t="n"/>
      <c r="Z289" s="704" t="n"/>
      <c r="AA289" s="705" t="n"/>
      <c r="AB289" s="613" t="n"/>
      <c r="AC289" s="614" t="n"/>
      <c r="AD289" s="628" t="n"/>
      <c r="AE289" s="616" t="n"/>
      <c r="AF289" s="617" t="n"/>
      <c r="AG289" s="693" t="n"/>
      <c r="AH289" s="721" t="n"/>
      <c r="AI289" s="721" t="n"/>
      <c r="AJ289" s="688" t="n"/>
      <c r="AK289" s="689" t="n"/>
      <c r="AL289" s="690" t="n"/>
      <c r="AM289" s="691" t="n"/>
      <c r="AN289" s="692" t="n"/>
      <c r="AO289" s="693" t="n"/>
      <c r="AP289" s="693" t="n"/>
      <c r="AQ289" s="693" t="n"/>
      <c r="AR289" s="693" t="n"/>
      <c r="AS289" s="693" t="n"/>
      <c r="AT289" s="693" t="n"/>
      <c r="AU289" s="699" t="n"/>
      <c r="AV289" s="693" t="n"/>
      <c r="AW289" s="693" t="n"/>
      <c r="AX289" s="693" t="n"/>
      <c r="AY289" s="693" t="n"/>
      <c r="AZ289" s="693" t="n"/>
    </row>
    <row r="290">
      <c r="A290" s="688" t="n"/>
      <c r="B290" s="688" t="n"/>
      <c r="C290" s="473" t="n"/>
      <c r="D290" s="688" t="n"/>
      <c r="E290" s="689" t="n"/>
      <c r="F290" s="721" t="n"/>
      <c r="G2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0" s="474">
        <f>G290/#REF!</f>
        <v/>
      </c>
      <c r="I290" s="690" t="n"/>
      <c r="J2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0" s="474">
        <f>J290/#REF!</f>
        <v/>
      </c>
      <c r="L290" s="473" t="n"/>
      <c r="M290" s="692" t="n"/>
      <c r="N290" s="693" t="n"/>
      <c r="O290" s="78" t="n"/>
      <c r="P290" s="129" t="n"/>
      <c r="Q290" s="129" t="n"/>
      <c r="R290" s="129" t="n"/>
      <c r="S290" s="129" t="n"/>
      <c r="T290" s="129" t="n"/>
      <c r="U290" s="129" t="n"/>
      <c r="V290" s="129" t="n"/>
      <c r="W290" s="129" t="n"/>
      <c r="X290" s="129" t="n"/>
      <c r="Y290" s="708" t="n"/>
      <c r="Z290" s="709" t="n"/>
      <c r="AA290" s="710" t="n"/>
      <c r="AB290" s="590" t="n"/>
      <c r="AC290" s="591" t="n"/>
      <c r="AD290" s="592" t="n"/>
      <c r="AE290" s="593" t="n"/>
      <c r="AF290" s="594" t="n"/>
      <c r="AG290" s="693" t="n"/>
      <c r="AH290" s="721" t="n"/>
      <c r="AI290" s="721" t="n"/>
      <c r="AJ290" s="688" t="n"/>
      <c r="AK290" s="689" t="n"/>
      <c r="AL290" s="690" t="n"/>
      <c r="AM290" s="691" t="n"/>
      <c r="AN290" s="692" t="n"/>
      <c r="AO290" s="693" t="n"/>
      <c r="AP290" s="693" t="n"/>
      <c r="AQ290" s="693" t="n"/>
      <c r="AR290" s="693" t="n"/>
      <c r="AS290" s="693" t="n"/>
      <c r="AT290" s="693" t="n"/>
      <c r="AU290" s="699" t="n"/>
      <c r="AV290" s="693" t="n"/>
      <c r="AW290" s="693" t="n"/>
      <c r="AX290" s="693" t="n"/>
      <c r="AY290" s="693" t="n"/>
      <c r="AZ290" s="693" t="n"/>
    </row>
    <row r="291">
      <c r="A291" s="688" t="n"/>
      <c r="B291" s="688" t="n"/>
      <c r="C291" s="473" t="n"/>
      <c r="D291" s="688" t="n"/>
      <c r="E291" s="689" t="n"/>
      <c r="F291" s="721" t="n"/>
      <c r="G2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1" s="474">
        <f>G291/#REF!</f>
        <v/>
      </c>
      <c r="I291" s="690" t="n"/>
      <c r="J2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1" s="474">
        <f>J291/#REF!</f>
        <v/>
      </c>
      <c r="L291" s="473" t="n"/>
      <c r="M291" s="692" t="n"/>
      <c r="N291" s="693" t="n"/>
      <c r="O291" s="78" t="n"/>
      <c r="P291" s="129" t="n"/>
      <c r="Q291" s="129" t="n"/>
      <c r="R291" s="129" t="n"/>
      <c r="S291" s="129" t="n"/>
      <c r="T291" s="129" t="n"/>
      <c r="U291" s="129" t="n"/>
      <c r="V291" s="129" t="n"/>
      <c r="W291" s="129" t="n"/>
      <c r="X291" s="129" t="n"/>
      <c r="Y291" s="703" t="n"/>
      <c r="Z291" s="704" t="n"/>
      <c r="AA291" s="705" t="n"/>
      <c r="AB291" s="613" t="n"/>
      <c r="AC291" s="614" t="n"/>
      <c r="AD291" s="628" t="n"/>
      <c r="AE291" s="616" t="n"/>
      <c r="AF291" s="617" t="n"/>
      <c r="AG291" s="693" t="n"/>
      <c r="AH291" s="721" t="n"/>
      <c r="AI291" s="721" t="n"/>
      <c r="AJ291" s="688" t="n"/>
      <c r="AK291" s="689" t="n"/>
      <c r="AL291" s="690" t="n"/>
      <c r="AM291" s="691" t="n"/>
      <c r="AN291" s="692" t="n"/>
      <c r="AO291" s="693" t="n"/>
      <c r="AP291" s="693" t="n"/>
      <c r="AQ291" s="693" t="n"/>
      <c r="AR291" s="693" t="n"/>
      <c r="AS291" s="693" t="n"/>
      <c r="AT291" s="693" t="n"/>
      <c r="AU291" s="699" t="n"/>
      <c r="AV291" s="693" t="n"/>
      <c r="AW291" s="693" t="n"/>
      <c r="AX291" s="693" t="n"/>
      <c r="AY291" s="693" t="n"/>
      <c r="AZ291" s="693" t="n"/>
    </row>
    <row r="292">
      <c r="A292" s="688" t="n"/>
      <c r="B292" s="688" t="n"/>
      <c r="C292" s="473" t="n"/>
      <c r="D292" s="688" t="n"/>
      <c r="E292" s="689" t="n"/>
      <c r="F292" s="721" t="n"/>
      <c r="G2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2" s="474">
        <f>G292/#REF!</f>
        <v/>
      </c>
      <c r="I292" s="690" t="n"/>
      <c r="J2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2" s="474">
        <f>J292/#REF!</f>
        <v/>
      </c>
      <c r="L292" s="473" t="n"/>
      <c r="M292" s="692" t="n"/>
      <c r="N292" s="693" t="n"/>
      <c r="O292" s="78" t="n"/>
      <c r="P292" s="129" t="n"/>
      <c r="Q292" s="129" t="n"/>
      <c r="R292" s="129" t="n"/>
      <c r="S292" s="129" t="n"/>
      <c r="T292" s="129" t="n"/>
      <c r="U292" s="129" t="n"/>
      <c r="V292" s="129" t="n"/>
      <c r="W292" s="129" t="n"/>
      <c r="X292" s="129" t="n"/>
      <c r="Y292" s="708" t="n"/>
      <c r="Z292" s="709" t="n"/>
      <c r="AA292" s="710" t="n"/>
      <c r="AB292" s="590" t="n"/>
      <c r="AC292" s="591" t="n"/>
      <c r="AD292" s="592" t="n"/>
      <c r="AE292" s="593" t="n"/>
      <c r="AF292" s="594" t="n"/>
      <c r="AG292" s="693" t="n"/>
      <c r="AH292" s="721" t="n"/>
      <c r="AI292" s="721" t="n"/>
      <c r="AJ292" s="688" t="n"/>
      <c r="AK292" s="689" t="n"/>
      <c r="AL292" s="690" t="n"/>
      <c r="AM292" s="691" t="n"/>
      <c r="AN292" s="692" t="n"/>
      <c r="AO292" s="693" t="n"/>
      <c r="AP292" s="693" t="n"/>
      <c r="AQ292" s="693" t="n"/>
      <c r="AR292" s="693" t="n"/>
      <c r="AS292" s="693" t="n"/>
      <c r="AT292" s="693" t="n"/>
      <c r="AU292" s="699" t="n"/>
      <c r="AV292" s="693" t="n"/>
      <c r="AW292" s="693" t="n"/>
      <c r="AX292" s="693" t="n"/>
      <c r="AY292" s="693" t="n"/>
      <c r="AZ292" s="693" t="n"/>
    </row>
    <row r="293">
      <c r="A293" s="688" t="n"/>
      <c r="B293" s="688" t="n"/>
      <c r="C293" s="473" t="n"/>
      <c r="D293" s="688" t="n"/>
      <c r="E293" s="689" t="n"/>
      <c r="F293" s="721" t="n"/>
      <c r="G2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3" s="474">
        <f>G293/#REF!</f>
        <v/>
      </c>
      <c r="I293" s="690" t="n"/>
      <c r="J2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3" s="474">
        <f>J293/#REF!</f>
        <v/>
      </c>
      <c r="L293" s="473" t="n"/>
      <c r="M293" s="692" t="n"/>
      <c r="N293" s="693" t="n"/>
      <c r="O293" s="78" t="n"/>
      <c r="P293" s="129" t="n"/>
      <c r="Q293" s="129" t="n"/>
      <c r="R293" s="129" t="n"/>
      <c r="S293" s="129" t="n"/>
      <c r="T293" s="129" t="n"/>
      <c r="U293" s="129" t="n"/>
      <c r="V293" s="129" t="n"/>
      <c r="W293" s="129" t="n"/>
      <c r="X293" s="129" t="n"/>
      <c r="Y293" s="703" t="n"/>
      <c r="Z293" s="704" t="n"/>
      <c r="AA293" s="705" t="n"/>
      <c r="AB293" s="613" t="n"/>
      <c r="AC293" s="614" t="n"/>
      <c r="AD293" s="628" t="n"/>
      <c r="AE293" s="616" t="n"/>
      <c r="AF293" s="617" t="n"/>
      <c r="AG293" s="693" t="n"/>
      <c r="AH293" s="721" t="n"/>
      <c r="AI293" s="721" t="n"/>
      <c r="AJ293" s="688" t="n"/>
      <c r="AK293" s="689" t="n"/>
      <c r="AL293" s="690" t="n"/>
      <c r="AM293" s="691" t="n"/>
      <c r="AN293" s="692" t="n"/>
      <c r="AO293" s="693" t="n"/>
      <c r="AP293" s="693" t="n"/>
      <c r="AQ293" s="693" t="n"/>
      <c r="AR293" s="693" t="n"/>
      <c r="AS293" s="693" t="n"/>
      <c r="AT293" s="693" t="n"/>
      <c r="AU293" s="699" t="n"/>
      <c r="AV293" s="693" t="n"/>
      <c r="AW293" s="693" t="n"/>
      <c r="AX293" s="693" t="n"/>
      <c r="AY293" s="693" t="n"/>
      <c r="AZ293" s="693" t="n"/>
    </row>
    <row r="294">
      <c r="A294" s="688" t="n"/>
      <c r="B294" s="688" t="n"/>
      <c r="C294" s="473" t="n"/>
      <c r="D294" s="688" t="n"/>
      <c r="E294" s="689" t="n"/>
      <c r="F294" s="721" t="n"/>
      <c r="G2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4" s="474">
        <f>G294/#REF!</f>
        <v/>
      </c>
      <c r="I294" s="690" t="n"/>
      <c r="J2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4" s="474">
        <f>J294/#REF!</f>
        <v/>
      </c>
      <c r="L294" s="473" t="n"/>
      <c r="M294" s="692" t="n"/>
      <c r="N294" s="693" t="n"/>
      <c r="O294" s="78" t="n"/>
      <c r="P294" s="129" t="n"/>
      <c r="Q294" s="129" t="n"/>
      <c r="R294" s="129" t="n"/>
      <c r="S294" s="129" t="n"/>
      <c r="T294" s="129" t="n"/>
      <c r="U294" s="129" t="n"/>
      <c r="V294" s="129" t="n"/>
      <c r="W294" s="129" t="n"/>
      <c r="X294" s="129" t="n"/>
      <c r="Y294" s="708" t="n"/>
      <c r="Z294" s="709" t="n"/>
      <c r="AA294" s="710" t="n"/>
      <c r="AB294" s="590" t="n"/>
      <c r="AC294" s="591" t="n"/>
      <c r="AD294" s="592" t="n"/>
      <c r="AE294" s="593" t="n"/>
      <c r="AF294" s="594" t="n"/>
      <c r="AG294" s="693" t="n"/>
      <c r="AH294" s="721" t="n"/>
      <c r="AI294" s="721" t="n"/>
      <c r="AJ294" s="688" t="n"/>
      <c r="AK294" s="689" t="n"/>
      <c r="AL294" s="690" t="n"/>
      <c r="AM294" s="691" t="n"/>
      <c r="AN294" s="692" t="n"/>
      <c r="AO294" s="693" t="n"/>
      <c r="AP294" s="693" t="n"/>
      <c r="AQ294" s="693" t="n"/>
      <c r="AR294" s="693" t="n"/>
      <c r="AS294" s="693" t="n"/>
      <c r="AT294" s="693" t="n"/>
      <c r="AU294" s="699" t="n"/>
      <c r="AV294" s="693" t="n"/>
      <c r="AW294" s="693" t="n"/>
      <c r="AX294" s="693" t="n"/>
      <c r="AY294" s="693" t="n"/>
      <c r="AZ294" s="693" t="n"/>
    </row>
    <row r="295">
      <c r="A295" s="688" t="n"/>
      <c r="B295" s="688" t="n"/>
      <c r="C295" s="473" t="n"/>
      <c r="D295" s="688" t="n"/>
      <c r="E295" s="689" t="n"/>
      <c r="F295" s="721" t="n"/>
      <c r="G2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5" s="474">
        <f>G295/#REF!</f>
        <v/>
      </c>
      <c r="I295" s="690" t="n"/>
      <c r="J2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5" s="474">
        <f>J295/#REF!</f>
        <v/>
      </c>
      <c r="L295" s="473" t="n"/>
      <c r="M295" s="692" t="n"/>
      <c r="N295" s="693" t="n"/>
      <c r="O295" s="78" t="n"/>
      <c r="P295" s="129" t="n"/>
      <c r="Q295" s="129" t="n"/>
      <c r="R295" s="129" t="n"/>
      <c r="S295" s="129" t="n"/>
      <c r="T295" s="129" t="n"/>
      <c r="U295" s="129" t="n"/>
      <c r="V295" s="129" t="n"/>
      <c r="W295" s="129" t="n"/>
      <c r="X295" s="129" t="n"/>
      <c r="Y295" s="703" t="n"/>
      <c r="Z295" s="704" t="n"/>
      <c r="AA295" s="705" t="n"/>
      <c r="AB295" s="613" t="n"/>
      <c r="AC295" s="614" t="n"/>
      <c r="AD295" s="628" t="n"/>
      <c r="AE295" s="616" t="n"/>
      <c r="AF295" s="617" t="n"/>
      <c r="AG295" s="693" t="n"/>
      <c r="AH295" s="721" t="n"/>
      <c r="AI295" s="721" t="n"/>
      <c r="AJ295" s="688" t="n"/>
      <c r="AK295" s="689" t="n"/>
      <c r="AL295" s="690" t="n"/>
      <c r="AM295" s="691" t="n"/>
      <c r="AN295" s="692" t="n"/>
      <c r="AO295" s="693" t="n"/>
      <c r="AP295" s="693" t="n"/>
      <c r="AQ295" s="693" t="n"/>
      <c r="AR295" s="693" t="n"/>
      <c r="AS295" s="693" t="n"/>
      <c r="AT295" s="693" t="n"/>
      <c r="AU295" s="699" t="n"/>
      <c r="AV295" s="693" t="n"/>
      <c r="AW295" s="693" t="n"/>
      <c r="AX295" s="693" t="n"/>
      <c r="AY295" s="693" t="n"/>
      <c r="AZ295" s="693" t="n"/>
    </row>
    <row r="296">
      <c r="A296" s="688" t="n"/>
      <c r="B296" s="688" t="n"/>
      <c r="C296" s="473" t="n"/>
      <c r="D296" s="688" t="n"/>
      <c r="E296" s="689" t="n"/>
      <c r="F296" s="721" t="n"/>
      <c r="G2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6" s="474">
        <f>G296/#REF!</f>
        <v/>
      </c>
      <c r="I296" s="690" t="n"/>
      <c r="J2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6" s="474">
        <f>J296/#REF!</f>
        <v/>
      </c>
      <c r="L296" s="473" t="n"/>
      <c r="M296" s="692" t="n"/>
      <c r="N296" s="693" t="n"/>
      <c r="O296" s="78" t="n"/>
      <c r="P296" s="129" t="n"/>
      <c r="Q296" s="129" t="n"/>
      <c r="R296" s="129" t="n"/>
      <c r="S296" s="129" t="n"/>
      <c r="T296" s="129" t="n"/>
      <c r="U296" s="129" t="n"/>
      <c r="V296" s="129" t="n"/>
      <c r="W296" s="129" t="n"/>
      <c r="X296" s="129" t="n"/>
      <c r="Y296" s="708" t="n"/>
      <c r="Z296" s="709" t="n"/>
      <c r="AA296" s="710" t="n"/>
      <c r="AB296" s="590" t="n"/>
      <c r="AC296" s="591" t="n"/>
      <c r="AD296" s="592" t="n"/>
      <c r="AE296" s="593" t="n"/>
      <c r="AF296" s="594" t="n"/>
      <c r="AG296" s="693" t="n"/>
      <c r="AH296" s="721" t="n"/>
      <c r="AI296" s="721" t="n"/>
      <c r="AJ296" s="688" t="n"/>
      <c r="AK296" s="689" t="n"/>
      <c r="AL296" s="690" t="n"/>
      <c r="AM296" s="691" t="n"/>
      <c r="AN296" s="692" t="n"/>
      <c r="AO296" s="693" t="n"/>
      <c r="AP296" s="693" t="n"/>
      <c r="AQ296" s="693" t="n"/>
      <c r="AR296" s="693" t="n"/>
      <c r="AS296" s="693" t="n"/>
      <c r="AT296" s="693" t="n"/>
      <c r="AU296" s="699" t="n"/>
      <c r="AV296" s="693" t="n"/>
      <c r="AW296" s="693" t="n"/>
      <c r="AX296" s="693" t="n"/>
      <c r="AY296" s="693" t="n"/>
      <c r="AZ296" s="693" t="n"/>
    </row>
    <row r="297">
      <c r="A297" s="688" t="n"/>
      <c r="B297" s="688" t="n"/>
      <c r="C297" s="473" t="n"/>
      <c r="D297" s="688" t="n"/>
      <c r="E297" s="689" t="n"/>
      <c r="F297" s="721" t="n"/>
      <c r="G2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7" s="474">
        <f>G297/#REF!</f>
        <v/>
      </c>
      <c r="I297" s="690" t="n"/>
      <c r="J2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7" s="474">
        <f>J297/#REF!</f>
        <v/>
      </c>
      <c r="L297" s="473" t="n"/>
      <c r="M297" s="692" t="n"/>
      <c r="N297" s="693" t="n"/>
      <c r="O297" s="78" t="n"/>
      <c r="P297" s="129" t="n"/>
      <c r="Q297" s="129" t="n"/>
      <c r="R297" s="129" t="n"/>
      <c r="S297" s="129" t="n"/>
      <c r="T297" s="129" t="n"/>
      <c r="U297" s="129" t="n"/>
      <c r="V297" s="129" t="n"/>
      <c r="W297" s="129" t="n"/>
      <c r="X297" s="129" t="n"/>
      <c r="Y297" s="703" t="n"/>
      <c r="Z297" s="704" t="n"/>
      <c r="AA297" s="705" t="n"/>
      <c r="AB297" s="613" t="n"/>
      <c r="AC297" s="614" t="n"/>
      <c r="AD297" s="628" t="n"/>
      <c r="AE297" s="616" t="n"/>
      <c r="AF297" s="617" t="n"/>
      <c r="AG297" s="693" t="n"/>
      <c r="AH297" s="721" t="n"/>
      <c r="AI297" s="721" t="n"/>
      <c r="AJ297" s="688" t="n"/>
      <c r="AK297" s="689" t="n"/>
      <c r="AL297" s="690" t="n"/>
      <c r="AM297" s="691" t="n"/>
      <c r="AN297" s="692" t="n"/>
      <c r="AO297" s="693" t="n"/>
      <c r="AP297" s="693" t="n"/>
      <c r="AQ297" s="693" t="n"/>
      <c r="AR297" s="693" t="n"/>
      <c r="AS297" s="693" t="n"/>
      <c r="AT297" s="693" t="n"/>
      <c r="AU297" s="699" t="n"/>
      <c r="AV297" s="693" t="n"/>
      <c r="AW297" s="693" t="n"/>
      <c r="AX297" s="693" t="n"/>
      <c r="AY297" s="693" t="n"/>
      <c r="AZ297" s="693" t="n"/>
    </row>
    <row r="298">
      <c r="A298" s="688" t="n"/>
      <c r="B298" s="688" t="n"/>
      <c r="C298" s="473" t="n"/>
      <c r="D298" s="688" t="n"/>
      <c r="E298" s="689" t="n"/>
      <c r="F298" s="721" t="n"/>
      <c r="G2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8" s="474">
        <f>G298/#REF!</f>
        <v/>
      </c>
      <c r="I298" s="690" t="n"/>
      <c r="J2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8" s="474">
        <f>J298/#REF!</f>
        <v/>
      </c>
      <c r="L298" s="473" t="n"/>
      <c r="M298" s="692" t="n"/>
      <c r="N298" s="693" t="n"/>
      <c r="O298" s="78" t="n"/>
      <c r="P298" s="129" t="n"/>
      <c r="Q298" s="129" t="n"/>
      <c r="R298" s="129" t="n"/>
      <c r="S298" s="129" t="n"/>
      <c r="T298" s="129" t="n"/>
      <c r="U298" s="129" t="n"/>
      <c r="V298" s="129" t="n"/>
      <c r="W298" s="129" t="n"/>
      <c r="X298" s="129" t="n"/>
      <c r="Y298" s="708" t="n"/>
      <c r="Z298" s="709" t="n"/>
      <c r="AA298" s="710" t="n"/>
      <c r="AB298" s="590" t="n"/>
      <c r="AC298" s="591" t="n"/>
      <c r="AD298" s="592" t="n"/>
      <c r="AE298" s="593" t="n"/>
      <c r="AF298" s="594" t="n"/>
      <c r="AG298" s="693" t="n"/>
      <c r="AH298" s="721" t="n"/>
      <c r="AI298" s="721" t="n"/>
      <c r="AJ298" s="688" t="n"/>
      <c r="AK298" s="689" t="n"/>
      <c r="AL298" s="690" t="n"/>
      <c r="AM298" s="691" t="n"/>
      <c r="AN298" s="692" t="n"/>
      <c r="AO298" s="693" t="n"/>
      <c r="AP298" s="693" t="n"/>
      <c r="AQ298" s="693" t="n"/>
      <c r="AR298" s="693" t="n"/>
      <c r="AS298" s="693" t="n"/>
      <c r="AT298" s="693" t="n"/>
      <c r="AU298" s="699" t="n"/>
      <c r="AV298" s="693" t="n"/>
      <c r="AW298" s="693" t="n"/>
      <c r="AX298" s="693" t="n"/>
      <c r="AY298" s="693" t="n"/>
      <c r="AZ298" s="693" t="n"/>
    </row>
    <row r="299">
      <c r="A299" s="688" t="n"/>
      <c r="B299" s="688" t="n"/>
      <c r="C299" s="473" t="n"/>
      <c r="D299" s="688" t="n"/>
      <c r="E299" s="689" t="n"/>
      <c r="F299" s="721" t="n"/>
      <c r="G2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299" s="474">
        <f>G299/#REF!</f>
        <v/>
      </c>
      <c r="I299" s="690" t="n"/>
      <c r="J2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299" s="474">
        <f>J299/#REF!</f>
        <v/>
      </c>
      <c r="L299" s="473" t="n"/>
      <c r="M299" s="692" t="n"/>
      <c r="N299" s="693" t="n"/>
      <c r="O299" s="78" t="n"/>
      <c r="P299" s="129" t="n"/>
      <c r="Q299" s="129" t="n"/>
      <c r="R299" s="129" t="n"/>
      <c r="S299" s="129" t="n"/>
      <c r="T299" s="129" t="n"/>
      <c r="U299" s="129" t="n"/>
      <c r="V299" s="129" t="n"/>
      <c r="W299" s="129" t="n"/>
      <c r="X299" s="129" t="n"/>
      <c r="Y299" s="703" t="n"/>
      <c r="Z299" s="704" t="n"/>
      <c r="AA299" s="705" t="n"/>
      <c r="AB299" s="613" t="n"/>
      <c r="AC299" s="614" t="n"/>
      <c r="AD299" s="628" t="n"/>
      <c r="AE299" s="616" t="n"/>
      <c r="AF299" s="617" t="n"/>
      <c r="AG299" s="693" t="n"/>
      <c r="AH299" s="721" t="n"/>
      <c r="AI299" s="721" t="n"/>
      <c r="AJ299" s="688" t="n"/>
      <c r="AK299" s="689" t="n"/>
      <c r="AL299" s="690" t="n"/>
      <c r="AM299" s="691" t="n"/>
      <c r="AN299" s="692" t="n"/>
      <c r="AO299" s="693" t="n"/>
      <c r="AP299" s="693" t="n"/>
      <c r="AQ299" s="693" t="n"/>
      <c r="AR299" s="693" t="n"/>
      <c r="AS299" s="693" t="n"/>
      <c r="AT299" s="693" t="n"/>
      <c r="AU299" s="699" t="n"/>
      <c r="AV299" s="693" t="n"/>
      <c r="AW299" s="693" t="n"/>
      <c r="AX299" s="693" t="n"/>
      <c r="AY299" s="693" t="n"/>
      <c r="AZ299" s="693" t="n"/>
    </row>
    <row r="300">
      <c r="A300" s="688" t="n"/>
      <c r="B300" s="688" t="n"/>
      <c r="C300" s="473" t="n"/>
      <c r="D300" s="688" t="n"/>
      <c r="E300" s="689" t="n"/>
      <c r="F300" s="721" t="n"/>
      <c r="G3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0" s="474">
        <f>G300/#REF!</f>
        <v/>
      </c>
      <c r="I300" s="690" t="n"/>
      <c r="J3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0" s="474">
        <f>J300/#REF!</f>
        <v/>
      </c>
      <c r="L300" s="473" t="n"/>
      <c r="M300" s="692" t="n"/>
      <c r="N300" s="693" t="n"/>
      <c r="O300" s="78" t="n"/>
      <c r="P300" s="129" t="n"/>
      <c r="Q300" s="129" t="n"/>
      <c r="R300" s="129" t="n"/>
      <c r="S300" s="129" t="n"/>
      <c r="T300" s="129" t="n"/>
      <c r="U300" s="129" t="n"/>
      <c r="V300" s="129" t="n"/>
      <c r="W300" s="129" t="n"/>
      <c r="X300" s="129" t="n"/>
      <c r="Y300" s="708" t="n"/>
      <c r="Z300" s="709" t="n"/>
      <c r="AA300" s="710" t="n"/>
      <c r="AB300" s="590" t="n"/>
      <c r="AC300" s="591" t="n"/>
      <c r="AD300" s="592" t="n"/>
      <c r="AE300" s="593" t="n"/>
      <c r="AF300" s="594" t="n"/>
      <c r="AG300" s="693" t="n"/>
      <c r="AH300" s="721" t="n"/>
      <c r="AI300" s="721" t="n"/>
      <c r="AJ300" s="688" t="n"/>
      <c r="AK300" s="689" t="n"/>
      <c r="AL300" s="690" t="n"/>
      <c r="AM300" s="691" t="n"/>
      <c r="AN300" s="692" t="n"/>
      <c r="AO300" s="693" t="n"/>
      <c r="AP300" s="693" t="n"/>
      <c r="AQ300" s="693" t="n"/>
      <c r="AR300" s="693" t="n"/>
      <c r="AS300" s="693" t="n"/>
      <c r="AT300" s="693" t="n"/>
      <c r="AU300" s="699" t="n"/>
      <c r="AV300" s="693" t="n"/>
      <c r="AW300" s="693" t="n"/>
      <c r="AX300" s="693" t="n"/>
      <c r="AY300" s="693" t="n"/>
      <c r="AZ300" s="693" t="n"/>
    </row>
    <row r="301">
      <c r="A301" s="688" t="n"/>
      <c r="B301" s="688" t="n"/>
      <c r="C301" s="473" t="n"/>
      <c r="D301" s="688" t="n"/>
      <c r="E301" s="689" t="n"/>
      <c r="F301" s="721" t="n"/>
      <c r="G3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1" s="474">
        <f>G301/#REF!</f>
        <v/>
      </c>
      <c r="I301" s="690" t="n"/>
      <c r="J3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1" s="474">
        <f>J301/#REF!</f>
        <v/>
      </c>
      <c r="L301" s="473" t="n"/>
      <c r="M301" s="692" t="n"/>
      <c r="N301" s="693" t="n"/>
      <c r="O301" s="78" t="n"/>
      <c r="P301" s="129" t="n"/>
      <c r="Q301" s="129" t="n"/>
      <c r="R301" s="129" t="n"/>
      <c r="S301" s="129" t="n"/>
      <c r="T301" s="129" t="n"/>
      <c r="U301" s="129" t="n"/>
      <c r="V301" s="129" t="n"/>
      <c r="W301" s="129" t="n"/>
      <c r="X301" s="129" t="n"/>
      <c r="Y301" s="703" t="n"/>
      <c r="Z301" s="704" t="n"/>
      <c r="AA301" s="705" t="n"/>
      <c r="AB301" s="613" t="n"/>
      <c r="AC301" s="614" t="n"/>
      <c r="AD301" s="628" t="n"/>
      <c r="AE301" s="616" t="n"/>
      <c r="AF301" s="617" t="n"/>
      <c r="AG301" s="693" t="n"/>
      <c r="AH301" s="721" t="n"/>
      <c r="AI301" s="721" t="n"/>
      <c r="AJ301" s="688" t="n"/>
      <c r="AK301" s="689" t="n"/>
      <c r="AL301" s="690" t="n"/>
      <c r="AM301" s="691" t="n"/>
      <c r="AN301" s="692" t="n"/>
      <c r="AO301" s="693" t="n"/>
      <c r="AP301" s="693" t="n"/>
      <c r="AQ301" s="693" t="n"/>
      <c r="AR301" s="693" t="n"/>
      <c r="AS301" s="693" t="n"/>
      <c r="AT301" s="693" t="n"/>
      <c r="AU301" s="699" t="n"/>
      <c r="AV301" s="693" t="n"/>
      <c r="AW301" s="693" t="n"/>
      <c r="AX301" s="693" t="n"/>
      <c r="AY301" s="693" t="n"/>
      <c r="AZ301" s="693" t="n"/>
    </row>
    <row r="302">
      <c r="A302" s="688" t="n"/>
      <c r="B302" s="688" t="n"/>
      <c r="C302" s="473" t="n"/>
      <c r="D302" s="688" t="n"/>
      <c r="E302" s="689" t="n"/>
      <c r="F302" s="721" t="n"/>
      <c r="G3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2" s="474">
        <f>G302/#REF!</f>
        <v/>
      </c>
      <c r="I302" s="690" t="n"/>
      <c r="J3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2" s="474">
        <f>J302/#REF!</f>
        <v/>
      </c>
      <c r="L302" s="473" t="n"/>
      <c r="M302" s="692" t="n"/>
      <c r="N302" s="693" t="n"/>
      <c r="O302" s="78" t="n"/>
      <c r="P302" s="129" t="n"/>
      <c r="Q302" s="129" t="n"/>
      <c r="R302" s="129" t="n"/>
      <c r="S302" s="129" t="n"/>
      <c r="T302" s="129" t="n"/>
      <c r="U302" s="129" t="n"/>
      <c r="V302" s="129" t="n"/>
      <c r="W302" s="129" t="n"/>
      <c r="X302" s="129" t="n"/>
      <c r="Y302" s="708" t="n"/>
      <c r="Z302" s="709" t="n"/>
      <c r="AA302" s="710" t="n"/>
      <c r="AB302" s="590" t="n"/>
      <c r="AC302" s="591" t="n"/>
      <c r="AD302" s="592" t="n"/>
      <c r="AE302" s="593" t="n"/>
      <c r="AF302" s="594" t="n"/>
      <c r="AG302" s="693" t="n"/>
      <c r="AH302" s="721" t="n"/>
      <c r="AI302" s="721" t="n"/>
      <c r="AJ302" s="688" t="n"/>
      <c r="AK302" s="689" t="n"/>
      <c r="AL302" s="690" t="n"/>
      <c r="AM302" s="691" t="n"/>
      <c r="AN302" s="692" t="n"/>
      <c r="AO302" s="693" t="n"/>
      <c r="AP302" s="693" t="n"/>
      <c r="AQ302" s="693" t="n"/>
      <c r="AR302" s="693" t="n"/>
      <c r="AS302" s="693" t="n"/>
      <c r="AT302" s="693" t="n"/>
      <c r="AU302" s="699" t="n"/>
      <c r="AV302" s="693" t="n"/>
      <c r="AW302" s="693" t="n"/>
      <c r="AX302" s="693" t="n"/>
      <c r="AY302" s="693" t="n"/>
      <c r="AZ302" s="693" t="n"/>
    </row>
    <row r="303">
      <c r="A303" s="688" t="n"/>
      <c r="B303" s="688" t="n"/>
      <c r="C303" s="473" t="n"/>
      <c r="D303" s="688" t="n"/>
      <c r="E303" s="689" t="n"/>
      <c r="F303" s="721" t="n"/>
      <c r="G3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3" s="474">
        <f>G303/#REF!</f>
        <v/>
      </c>
      <c r="I303" s="690" t="n"/>
      <c r="J3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3" s="474">
        <f>J303/#REF!</f>
        <v/>
      </c>
      <c r="L303" s="473" t="n"/>
      <c r="M303" s="692" t="n"/>
      <c r="N303" s="693" t="n"/>
      <c r="O303" s="78" t="n"/>
      <c r="P303" s="129" t="n"/>
      <c r="Q303" s="129" t="n"/>
      <c r="R303" s="129" t="n"/>
      <c r="S303" s="129" t="n"/>
      <c r="T303" s="129" t="n"/>
      <c r="U303" s="129" t="n"/>
      <c r="V303" s="129" t="n"/>
      <c r="W303" s="129" t="n"/>
      <c r="X303" s="129" t="n"/>
      <c r="Y303" s="703" t="n"/>
      <c r="Z303" s="704" t="n"/>
      <c r="AA303" s="705" t="n"/>
      <c r="AB303" s="613" t="n"/>
      <c r="AC303" s="614" t="n"/>
      <c r="AD303" s="628" t="n"/>
      <c r="AE303" s="616" t="n"/>
      <c r="AF303" s="617" t="n"/>
      <c r="AG303" s="693" t="n"/>
      <c r="AH303" s="721" t="n"/>
      <c r="AI303" s="721" t="n"/>
      <c r="AJ303" s="688" t="n"/>
      <c r="AK303" s="689" t="n"/>
      <c r="AL303" s="690" t="n"/>
      <c r="AM303" s="691" t="n"/>
      <c r="AN303" s="692" t="n"/>
      <c r="AO303" s="693" t="n"/>
      <c r="AP303" s="693" t="n"/>
      <c r="AQ303" s="693" t="n"/>
      <c r="AR303" s="693" t="n"/>
      <c r="AS303" s="693" t="n"/>
      <c r="AT303" s="693" t="n"/>
      <c r="AU303" s="699" t="n"/>
      <c r="AV303" s="693" t="n"/>
      <c r="AW303" s="693" t="n"/>
      <c r="AX303" s="693" t="n"/>
      <c r="AY303" s="693" t="n"/>
      <c r="AZ303" s="693" t="n"/>
    </row>
    <row r="304">
      <c r="A304" s="688" t="n"/>
      <c r="B304" s="688" t="n"/>
      <c r="C304" s="473" t="n"/>
      <c r="D304" s="688" t="n"/>
      <c r="E304" s="689" t="n"/>
      <c r="F304" s="721" t="n"/>
      <c r="G3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4" s="474">
        <f>G304/#REF!</f>
        <v/>
      </c>
      <c r="I304" s="690" t="n"/>
      <c r="J3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4" s="474">
        <f>J304/#REF!</f>
        <v/>
      </c>
      <c r="L304" s="473" t="n"/>
      <c r="M304" s="692" t="n"/>
      <c r="N304" s="693" t="n"/>
      <c r="O304" s="78" t="n"/>
      <c r="P304" s="129" t="n"/>
      <c r="Q304" s="129" t="n"/>
      <c r="R304" s="129" t="n"/>
      <c r="S304" s="129" t="n"/>
      <c r="T304" s="129" t="n"/>
      <c r="U304" s="129" t="n"/>
      <c r="V304" s="129" t="n"/>
      <c r="W304" s="129" t="n"/>
      <c r="X304" s="129" t="n"/>
      <c r="Y304" s="708" t="n"/>
      <c r="Z304" s="709" t="n"/>
      <c r="AA304" s="710" t="n"/>
      <c r="AB304" s="590" t="n"/>
      <c r="AC304" s="591" t="n"/>
      <c r="AD304" s="592" t="n"/>
      <c r="AE304" s="593" t="n"/>
      <c r="AF304" s="594" t="n"/>
      <c r="AG304" s="693" t="n"/>
      <c r="AH304" s="721" t="n"/>
      <c r="AI304" s="721" t="n"/>
      <c r="AJ304" s="688" t="n"/>
      <c r="AK304" s="689" t="n"/>
      <c r="AL304" s="690" t="n"/>
      <c r="AM304" s="691" t="n"/>
      <c r="AN304" s="692" t="n"/>
      <c r="AO304" s="693" t="n"/>
      <c r="AP304" s="693" t="n"/>
      <c r="AQ304" s="693" t="n"/>
      <c r="AR304" s="693" t="n"/>
      <c r="AS304" s="693" t="n"/>
      <c r="AT304" s="693" t="n"/>
      <c r="AU304" s="699" t="n"/>
      <c r="AV304" s="693" t="n"/>
      <c r="AW304" s="693" t="n"/>
      <c r="AX304" s="693" t="n"/>
      <c r="AY304" s="693" t="n"/>
      <c r="AZ304" s="693" t="n"/>
    </row>
    <row r="305">
      <c r="A305" s="688" t="n"/>
      <c r="B305" s="688" t="n"/>
      <c r="C305" s="473" t="n"/>
      <c r="D305" s="688" t="n"/>
      <c r="E305" s="689" t="n"/>
      <c r="F305" s="721" t="n"/>
      <c r="G3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5" s="474">
        <f>G305/#REF!</f>
        <v/>
      </c>
      <c r="I305" s="690" t="n"/>
      <c r="J3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5" s="474">
        <f>J305/#REF!</f>
        <v/>
      </c>
      <c r="L305" s="473" t="n"/>
      <c r="M305" s="692" t="n"/>
      <c r="N305" s="693" t="n"/>
      <c r="O305" s="78" t="n"/>
      <c r="P305" s="129" t="n"/>
      <c r="Q305" s="129" t="n"/>
      <c r="R305" s="129" t="n"/>
      <c r="S305" s="129" t="n"/>
      <c r="T305" s="129" t="n"/>
      <c r="U305" s="129" t="n"/>
      <c r="V305" s="129" t="n"/>
      <c r="W305" s="129" t="n"/>
      <c r="X305" s="129" t="n"/>
      <c r="Y305" s="703" t="n"/>
      <c r="Z305" s="704" t="n"/>
      <c r="AA305" s="705" t="n"/>
      <c r="AB305" s="613" t="n"/>
      <c r="AC305" s="614" t="n"/>
      <c r="AD305" s="628" t="n"/>
      <c r="AE305" s="616" t="n"/>
      <c r="AF305" s="617" t="n"/>
      <c r="AG305" s="693" t="n"/>
      <c r="AH305" s="721" t="n"/>
      <c r="AI305" s="721" t="n"/>
      <c r="AJ305" s="688" t="n"/>
      <c r="AK305" s="689" t="n"/>
      <c r="AL305" s="690" t="n"/>
      <c r="AM305" s="691" t="n"/>
      <c r="AN305" s="692" t="n"/>
      <c r="AO305" s="693" t="n"/>
      <c r="AP305" s="693" t="n"/>
      <c r="AQ305" s="693" t="n"/>
      <c r="AR305" s="693" t="n"/>
      <c r="AS305" s="693" t="n"/>
      <c r="AT305" s="693" t="n"/>
      <c r="AU305" s="699" t="n"/>
      <c r="AV305" s="693" t="n"/>
      <c r="AW305" s="693" t="n"/>
      <c r="AX305" s="693" t="n"/>
      <c r="AY305" s="693" t="n"/>
      <c r="AZ305" s="693" t="n"/>
    </row>
    <row r="306">
      <c r="A306" s="688" t="n"/>
      <c r="B306" s="688" t="n"/>
      <c r="C306" s="473" t="n"/>
      <c r="D306" s="688" t="n"/>
      <c r="E306" s="689" t="n"/>
      <c r="F306" s="721" t="n"/>
      <c r="G3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6" s="474">
        <f>G306/#REF!</f>
        <v/>
      </c>
      <c r="I306" s="690" t="n"/>
      <c r="J3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6" s="474">
        <f>J306/#REF!</f>
        <v/>
      </c>
      <c r="L306" s="473" t="n"/>
      <c r="M306" s="692" t="n"/>
      <c r="N306" s="693" t="n"/>
      <c r="O306" s="78" t="n"/>
      <c r="P306" s="129" t="n"/>
      <c r="Q306" s="129" t="n"/>
      <c r="R306" s="129" t="n"/>
      <c r="S306" s="129" t="n"/>
      <c r="T306" s="129" t="n"/>
      <c r="U306" s="129" t="n"/>
      <c r="V306" s="129" t="n"/>
      <c r="W306" s="129" t="n"/>
      <c r="X306" s="129" t="n"/>
      <c r="Y306" s="708" t="n"/>
      <c r="Z306" s="709" t="n"/>
      <c r="AA306" s="710" t="n"/>
      <c r="AB306" s="590" t="n"/>
      <c r="AC306" s="591" t="n"/>
      <c r="AD306" s="592" t="n"/>
      <c r="AE306" s="593" t="n"/>
      <c r="AF306" s="594" t="n"/>
      <c r="AG306" s="693" t="n"/>
      <c r="AH306" s="721" t="n"/>
      <c r="AI306" s="721" t="n"/>
      <c r="AJ306" s="688" t="n"/>
      <c r="AK306" s="689" t="n"/>
      <c r="AL306" s="690" t="n"/>
      <c r="AM306" s="691" t="n"/>
      <c r="AN306" s="692" t="n"/>
      <c r="AO306" s="693" t="n"/>
      <c r="AP306" s="693" t="n"/>
      <c r="AQ306" s="693" t="n"/>
      <c r="AR306" s="693" t="n"/>
      <c r="AS306" s="693" t="n"/>
      <c r="AT306" s="693" t="n"/>
      <c r="AU306" s="699" t="n"/>
      <c r="AV306" s="693" t="n"/>
      <c r="AW306" s="693" t="n"/>
      <c r="AX306" s="693" t="n"/>
      <c r="AY306" s="693" t="n"/>
      <c r="AZ306" s="693" t="n"/>
    </row>
    <row r="307">
      <c r="A307" s="688" t="n"/>
      <c r="B307" s="688" t="n"/>
      <c r="C307" s="473" t="n"/>
      <c r="D307" s="688" t="n"/>
      <c r="E307" s="689" t="n"/>
      <c r="F307" s="721" t="n"/>
      <c r="G3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7" s="474">
        <f>G307/#REF!</f>
        <v/>
      </c>
      <c r="I307" s="690" t="n"/>
      <c r="J3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7" s="474">
        <f>J307/#REF!</f>
        <v/>
      </c>
      <c r="L307" s="473" t="n"/>
      <c r="M307" s="692" t="n"/>
      <c r="N307" s="693" t="n"/>
      <c r="O307" s="78" t="n"/>
      <c r="P307" s="129" t="n"/>
      <c r="Q307" s="129" t="n"/>
      <c r="R307" s="129" t="n"/>
      <c r="S307" s="129" t="n"/>
      <c r="T307" s="129" t="n"/>
      <c r="U307" s="129" t="n"/>
      <c r="V307" s="129" t="n"/>
      <c r="W307" s="129" t="n"/>
      <c r="X307" s="129" t="n"/>
      <c r="Y307" s="703" t="n"/>
      <c r="Z307" s="704" t="n"/>
      <c r="AA307" s="705" t="n"/>
      <c r="AB307" s="613" t="n"/>
      <c r="AC307" s="614" t="n"/>
      <c r="AD307" s="628" t="n"/>
      <c r="AE307" s="616" t="n"/>
      <c r="AF307" s="617" t="n"/>
      <c r="AG307" s="693" t="n"/>
      <c r="AH307" s="721" t="n"/>
      <c r="AI307" s="721" t="n"/>
      <c r="AJ307" s="688" t="n"/>
      <c r="AK307" s="689" t="n"/>
      <c r="AL307" s="690" t="n"/>
      <c r="AM307" s="691" t="n"/>
      <c r="AN307" s="692" t="n"/>
      <c r="AO307" s="693" t="n"/>
      <c r="AP307" s="693" t="n"/>
      <c r="AQ307" s="693" t="n"/>
      <c r="AR307" s="693" t="n"/>
      <c r="AS307" s="693" t="n"/>
      <c r="AT307" s="693" t="n"/>
      <c r="AU307" s="699" t="n"/>
      <c r="AV307" s="693" t="n"/>
      <c r="AW307" s="693" t="n"/>
      <c r="AX307" s="693" t="n"/>
      <c r="AY307" s="693" t="n"/>
      <c r="AZ307" s="693" t="n"/>
    </row>
    <row r="308">
      <c r="A308" s="688" t="n"/>
      <c r="B308" s="688" t="n"/>
      <c r="C308" s="473" t="n"/>
      <c r="D308" s="688" t="n"/>
      <c r="E308" s="689" t="n"/>
      <c r="F308" s="721" t="n"/>
      <c r="G3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8" s="474">
        <f>G308/#REF!</f>
        <v/>
      </c>
      <c r="I308" s="690" t="n"/>
      <c r="J3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8" s="474">
        <f>J308/#REF!</f>
        <v/>
      </c>
      <c r="L308" s="473" t="n"/>
      <c r="M308" s="692" t="n"/>
      <c r="N308" s="693" t="n"/>
      <c r="O308" s="78" t="n"/>
      <c r="P308" s="129" t="n"/>
      <c r="Q308" s="129" t="n"/>
      <c r="R308" s="129" t="n"/>
      <c r="S308" s="129" t="n"/>
      <c r="T308" s="129" t="n"/>
      <c r="U308" s="129" t="n"/>
      <c r="V308" s="129" t="n"/>
      <c r="W308" s="129" t="n"/>
      <c r="X308" s="129" t="n"/>
      <c r="Y308" s="708" t="n"/>
      <c r="Z308" s="709" t="n"/>
      <c r="AA308" s="710" t="n"/>
      <c r="AB308" s="590" t="n"/>
      <c r="AC308" s="591" t="n"/>
      <c r="AD308" s="592" t="n"/>
      <c r="AE308" s="593" t="n"/>
      <c r="AF308" s="594" t="n"/>
      <c r="AG308" s="693" t="n"/>
      <c r="AH308" s="721" t="n"/>
      <c r="AI308" s="721" t="n"/>
      <c r="AJ308" s="688" t="n"/>
      <c r="AK308" s="689" t="n"/>
      <c r="AL308" s="690" t="n"/>
      <c r="AM308" s="691" t="n"/>
      <c r="AN308" s="692" t="n"/>
      <c r="AO308" s="693" t="n"/>
      <c r="AP308" s="693" t="n"/>
      <c r="AQ308" s="693" t="n"/>
      <c r="AR308" s="693" t="n"/>
      <c r="AS308" s="693" t="n"/>
      <c r="AT308" s="693" t="n"/>
      <c r="AU308" s="699" t="n"/>
      <c r="AV308" s="693" t="n"/>
      <c r="AW308" s="693" t="n"/>
      <c r="AX308" s="693" t="n"/>
      <c r="AY308" s="693" t="n"/>
      <c r="AZ308" s="693" t="n"/>
    </row>
    <row r="309">
      <c r="A309" s="688" t="n"/>
      <c r="B309" s="688" t="n"/>
      <c r="C309" s="473" t="n"/>
      <c r="D309" s="688" t="n"/>
      <c r="E309" s="689" t="n"/>
      <c r="F309" s="721" t="n"/>
      <c r="G3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09" s="474">
        <f>G309/#REF!</f>
        <v/>
      </c>
      <c r="I309" s="690" t="n"/>
      <c r="J3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09" s="474">
        <f>J309/#REF!</f>
        <v/>
      </c>
      <c r="L309" s="473" t="n"/>
      <c r="M309" s="692" t="n"/>
      <c r="N309" s="693" t="n"/>
      <c r="O309" s="78" t="n"/>
      <c r="P309" s="129" t="n"/>
      <c r="Q309" s="129" t="n"/>
      <c r="R309" s="129" t="n"/>
      <c r="S309" s="129" t="n"/>
      <c r="T309" s="129" t="n"/>
      <c r="U309" s="129" t="n"/>
      <c r="V309" s="129" t="n"/>
      <c r="W309" s="129" t="n"/>
      <c r="X309" s="129" t="n"/>
      <c r="Y309" s="703" t="n"/>
      <c r="Z309" s="704" t="n"/>
      <c r="AA309" s="705" t="n"/>
      <c r="AB309" s="613" t="n"/>
      <c r="AC309" s="614" t="n"/>
      <c r="AD309" s="628" t="n"/>
      <c r="AE309" s="616" t="n"/>
      <c r="AF309" s="617" t="n"/>
      <c r="AG309" s="693" t="n"/>
      <c r="AH309" s="721" t="n"/>
      <c r="AI309" s="721" t="n"/>
      <c r="AJ309" s="688" t="n"/>
      <c r="AK309" s="689" t="n"/>
      <c r="AL309" s="690" t="n"/>
      <c r="AM309" s="691" t="n"/>
      <c r="AN309" s="692" t="n"/>
      <c r="AO309" s="693" t="n"/>
      <c r="AP309" s="693" t="n"/>
      <c r="AQ309" s="693" t="n"/>
      <c r="AR309" s="693" t="n"/>
      <c r="AS309" s="693" t="n"/>
      <c r="AT309" s="693" t="n"/>
      <c r="AU309" s="699" t="n"/>
      <c r="AV309" s="693" t="n"/>
      <c r="AW309" s="693" t="n"/>
      <c r="AX309" s="693" t="n"/>
      <c r="AY309" s="693" t="n"/>
      <c r="AZ309" s="693" t="n"/>
    </row>
    <row r="310">
      <c r="A310" s="688" t="n"/>
      <c r="B310" s="688" t="n"/>
      <c r="C310" s="473" t="n"/>
      <c r="D310" s="688" t="n"/>
      <c r="E310" s="689" t="n"/>
      <c r="F310" s="721" t="n"/>
      <c r="G3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0" s="474">
        <f>G310/#REF!</f>
        <v/>
      </c>
      <c r="I310" s="690" t="n"/>
      <c r="J3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0" s="474">
        <f>J310/#REF!</f>
        <v/>
      </c>
      <c r="L310" s="473" t="n"/>
      <c r="M310" s="692" t="n"/>
      <c r="N310" s="693" t="n"/>
      <c r="O310" s="78" t="n"/>
      <c r="P310" s="129" t="n"/>
      <c r="Q310" s="129" t="n"/>
      <c r="R310" s="129" t="n"/>
      <c r="S310" s="129" t="n"/>
      <c r="T310" s="129" t="n"/>
      <c r="U310" s="129" t="n"/>
      <c r="V310" s="129" t="n"/>
      <c r="W310" s="129" t="n"/>
      <c r="X310" s="129" t="n"/>
      <c r="Y310" s="708" t="n"/>
      <c r="Z310" s="709" t="n"/>
      <c r="AA310" s="710" t="n"/>
      <c r="AB310" s="590" t="n"/>
      <c r="AC310" s="591" t="n"/>
      <c r="AD310" s="592" t="n"/>
      <c r="AE310" s="593" t="n"/>
      <c r="AF310" s="594" t="n"/>
      <c r="AG310" s="693" t="n"/>
      <c r="AH310" s="721" t="n"/>
      <c r="AI310" s="721" t="n"/>
      <c r="AJ310" s="688" t="n"/>
      <c r="AK310" s="689" t="n"/>
      <c r="AL310" s="690" t="n"/>
      <c r="AM310" s="691" t="n"/>
      <c r="AN310" s="692" t="n"/>
      <c r="AO310" s="693" t="n"/>
      <c r="AP310" s="693" t="n"/>
      <c r="AQ310" s="693" t="n"/>
      <c r="AR310" s="693" t="n"/>
      <c r="AS310" s="693" t="n"/>
      <c r="AT310" s="693" t="n"/>
      <c r="AU310" s="699" t="n"/>
      <c r="AV310" s="693" t="n"/>
      <c r="AW310" s="693" t="n"/>
      <c r="AX310" s="693" t="n"/>
      <c r="AY310" s="693" t="n"/>
      <c r="AZ310" s="693" t="n"/>
    </row>
    <row r="311">
      <c r="A311" s="688" t="n"/>
      <c r="B311" s="688" t="n"/>
      <c r="C311" s="473" t="n"/>
      <c r="D311" s="688" t="n"/>
      <c r="E311" s="689" t="n"/>
      <c r="F311" s="721" t="n"/>
      <c r="G3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1" s="474">
        <f>G311/#REF!</f>
        <v/>
      </c>
      <c r="I311" s="690" t="n"/>
      <c r="J3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1" s="474">
        <f>J311/#REF!</f>
        <v/>
      </c>
      <c r="L311" s="473" t="n"/>
      <c r="M311" s="692" t="n"/>
      <c r="N311" s="693" t="n"/>
      <c r="O311" s="78" t="n"/>
      <c r="P311" s="129" t="n"/>
      <c r="Q311" s="129" t="n"/>
      <c r="R311" s="129" t="n"/>
      <c r="S311" s="129" t="n"/>
      <c r="T311" s="129" t="n"/>
      <c r="U311" s="129" t="n"/>
      <c r="V311" s="129" t="n"/>
      <c r="W311" s="129" t="n"/>
      <c r="X311" s="129" t="n"/>
      <c r="Y311" s="703" t="n"/>
      <c r="Z311" s="704" t="n"/>
      <c r="AA311" s="705" t="n"/>
      <c r="AB311" s="613" t="n"/>
      <c r="AC311" s="614" t="n"/>
      <c r="AD311" s="628" t="n"/>
      <c r="AE311" s="616" t="n"/>
      <c r="AF311" s="617" t="n"/>
      <c r="AG311" s="693" t="n"/>
      <c r="AH311" s="721" t="n"/>
      <c r="AI311" s="721" t="n"/>
      <c r="AJ311" s="688" t="n"/>
      <c r="AK311" s="689" t="n"/>
      <c r="AL311" s="690" t="n"/>
      <c r="AM311" s="691" t="n"/>
      <c r="AN311" s="692" t="n"/>
      <c r="AO311" s="693" t="n"/>
      <c r="AP311" s="693" t="n"/>
      <c r="AQ311" s="693" t="n"/>
      <c r="AR311" s="693" t="n"/>
      <c r="AS311" s="693" t="n"/>
      <c r="AT311" s="693" t="n"/>
      <c r="AU311" s="699" t="n"/>
      <c r="AV311" s="693" t="n"/>
      <c r="AW311" s="693" t="n"/>
      <c r="AX311" s="693" t="n"/>
      <c r="AY311" s="693" t="n"/>
      <c r="AZ311" s="693" t="n"/>
    </row>
    <row r="312">
      <c r="A312" s="688" t="n"/>
      <c r="B312" s="688" t="n"/>
      <c r="C312" s="473" t="n"/>
      <c r="D312" s="688" t="n"/>
      <c r="E312" s="689" t="n"/>
      <c r="F312" s="721" t="n"/>
      <c r="G3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2" s="474">
        <f>G312/#REF!</f>
        <v/>
      </c>
      <c r="I312" s="690" t="n"/>
      <c r="J3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2" s="474">
        <f>J312/#REF!</f>
        <v/>
      </c>
      <c r="L312" s="473" t="n"/>
      <c r="M312" s="692" t="n"/>
      <c r="N312" s="693" t="n"/>
      <c r="O312" s="78" t="n"/>
      <c r="P312" s="129" t="n"/>
      <c r="Q312" s="129" t="n"/>
      <c r="R312" s="129" t="n"/>
      <c r="S312" s="129" t="n"/>
      <c r="T312" s="129" t="n"/>
      <c r="U312" s="129" t="n"/>
      <c r="V312" s="129" t="n"/>
      <c r="W312" s="129" t="n"/>
      <c r="X312" s="129" t="n"/>
      <c r="Y312" s="708" t="n"/>
      <c r="Z312" s="709" t="n"/>
      <c r="AA312" s="710" t="n"/>
      <c r="AB312" s="590" t="n"/>
      <c r="AC312" s="591" t="n"/>
      <c r="AD312" s="592" t="n"/>
      <c r="AE312" s="593" t="n"/>
      <c r="AF312" s="594" t="n"/>
      <c r="AG312" s="693" t="n"/>
      <c r="AH312" s="721" t="n"/>
      <c r="AI312" s="721" t="n"/>
      <c r="AJ312" s="688" t="n"/>
      <c r="AK312" s="689" t="n"/>
      <c r="AL312" s="690" t="n"/>
      <c r="AM312" s="691" t="n"/>
      <c r="AN312" s="692" t="n"/>
      <c r="AO312" s="693" t="n"/>
      <c r="AP312" s="693" t="n"/>
      <c r="AQ312" s="693" t="n"/>
      <c r="AR312" s="693" t="n"/>
      <c r="AS312" s="693" t="n"/>
      <c r="AT312" s="693" t="n"/>
      <c r="AU312" s="699" t="n"/>
      <c r="AV312" s="693" t="n"/>
      <c r="AW312" s="693" t="n"/>
      <c r="AX312" s="693" t="n"/>
      <c r="AY312" s="693" t="n"/>
      <c r="AZ312" s="693" t="n"/>
    </row>
    <row r="313">
      <c r="A313" s="688" t="n"/>
      <c r="B313" s="688" t="n"/>
      <c r="C313" s="473" t="n"/>
      <c r="D313" s="688" t="n"/>
      <c r="E313" s="689" t="n"/>
      <c r="F313" s="721" t="n"/>
      <c r="G3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3" s="474">
        <f>G313/#REF!</f>
        <v/>
      </c>
      <c r="I313" s="690" t="n"/>
      <c r="J3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3" s="474">
        <f>J313/#REF!</f>
        <v/>
      </c>
      <c r="L313" s="473" t="n"/>
      <c r="M313" s="692" t="n"/>
      <c r="N313" s="693" t="n"/>
      <c r="O313" s="78" t="n"/>
      <c r="P313" s="129" t="n"/>
      <c r="Q313" s="129" t="n"/>
      <c r="R313" s="129" t="n"/>
      <c r="S313" s="129" t="n"/>
      <c r="T313" s="129" t="n"/>
      <c r="U313" s="129" t="n"/>
      <c r="V313" s="129" t="n"/>
      <c r="W313" s="129" t="n"/>
      <c r="X313" s="129" t="n"/>
      <c r="Y313" s="703" t="n"/>
      <c r="Z313" s="704" t="n"/>
      <c r="AA313" s="705" t="n"/>
      <c r="AB313" s="613" t="n"/>
      <c r="AC313" s="614" t="n"/>
      <c r="AD313" s="628" t="n"/>
      <c r="AE313" s="616" t="n"/>
      <c r="AF313" s="617" t="n"/>
      <c r="AG313" s="693" t="n"/>
      <c r="AH313" s="721" t="n"/>
      <c r="AI313" s="721" t="n"/>
      <c r="AJ313" s="688" t="n"/>
      <c r="AK313" s="689" t="n"/>
      <c r="AL313" s="690" t="n"/>
      <c r="AM313" s="691" t="n"/>
      <c r="AN313" s="692" t="n"/>
      <c r="AO313" s="693" t="n"/>
      <c r="AP313" s="693" t="n"/>
      <c r="AQ313" s="693" t="n"/>
      <c r="AR313" s="693" t="n"/>
      <c r="AS313" s="693" t="n"/>
      <c r="AT313" s="693" t="n"/>
      <c r="AU313" s="699" t="n"/>
      <c r="AV313" s="693" t="n"/>
      <c r="AW313" s="693" t="n"/>
      <c r="AX313" s="693" t="n"/>
      <c r="AY313" s="693" t="n"/>
      <c r="AZ313" s="693" t="n"/>
    </row>
    <row r="314">
      <c r="A314" s="688" t="n"/>
      <c r="B314" s="688" t="n"/>
      <c r="C314" s="473" t="n"/>
      <c r="D314" s="688" t="n"/>
      <c r="E314" s="689" t="n"/>
      <c r="F314" s="721" t="n"/>
      <c r="G3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4" s="474">
        <f>G314/#REF!</f>
        <v/>
      </c>
      <c r="I314" s="690" t="n"/>
      <c r="J3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4" s="474">
        <f>J314/#REF!</f>
        <v/>
      </c>
      <c r="L314" s="473" t="n"/>
      <c r="M314" s="692" t="n"/>
      <c r="N314" s="693" t="n"/>
      <c r="O314" s="78" t="n"/>
      <c r="P314" s="129" t="n"/>
      <c r="Q314" s="129" t="n"/>
      <c r="R314" s="129" t="n"/>
      <c r="S314" s="129" t="n"/>
      <c r="T314" s="129" t="n"/>
      <c r="U314" s="129" t="n"/>
      <c r="V314" s="129" t="n"/>
      <c r="W314" s="129" t="n"/>
      <c r="X314" s="129" t="n"/>
      <c r="Y314" s="708" t="n"/>
      <c r="Z314" s="709" t="n"/>
      <c r="AA314" s="710" t="n"/>
      <c r="AB314" s="590" t="n"/>
      <c r="AC314" s="591" t="n"/>
      <c r="AD314" s="592" t="n"/>
      <c r="AE314" s="593" t="n"/>
      <c r="AF314" s="594" t="n"/>
      <c r="AG314" s="693" t="n"/>
      <c r="AH314" s="721" t="n"/>
      <c r="AI314" s="721" t="n"/>
      <c r="AJ314" s="688" t="n"/>
      <c r="AK314" s="689" t="n"/>
      <c r="AL314" s="690" t="n"/>
      <c r="AM314" s="691" t="n"/>
      <c r="AN314" s="692" t="n"/>
      <c r="AO314" s="693" t="n"/>
      <c r="AP314" s="693" t="n"/>
      <c r="AQ314" s="693" t="n"/>
      <c r="AR314" s="693" t="n"/>
      <c r="AS314" s="693" t="n"/>
      <c r="AT314" s="693" t="n"/>
      <c r="AU314" s="699" t="n"/>
      <c r="AV314" s="693" t="n"/>
      <c r="AW314" s="693" t="n"/>
      <c r="AX314" s="693" t="n"/>
      <c r="AY314" s="693" t="n"/>
      <c r="AZ314" s="693" t="n"/>
    </row>
    <row r="315">
      <c r="A315" s="688" t="n"/>
      <c r="B315" s="688" t="n"/>
      <c r="C315" s="473" t="n"/>
      <c r="D315" s="688" t="n"/>
      <c r="E315" s="689" t="n"/>
      <c r="F315" s="721" t="n"/>
      <c r="G3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5" s="474">
        <f>G315/#REF!</f>
        <v/>
      </c>
      <c r="I315" s="690" t="n"/>
      <c r="J3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5" s="474">
        <f>J315/#REF!</f>
        <v/>
      </c>
      <c r="L315" s="473" t="n"/>
      <c r="M315" s="692" t="n"/>
      <c r="N315" s="693" t="n"/>
      <c r="O315" s="78" t="n"/>
      <c r="P315" s="129" t="n"/>
      <c r="Q315" s="129" t="n"/>
      <c r="R315" s="129" t="n"/>
      <c r="S315" s="129" t="n"/>
      <c r="T315" s="129" t="n"/>
      <c r="U315" s="129" t="n"/>
      <c r="V315" s="129" t="n"/>
      <c r="W315" s="129" t="n"/>
      <c r="X315" s="129" t="n"/>
      <c r="Y315" s="703" t="n"/>
      <c r="Z315" s="704" t="n"/>
      <c r="AA315" s="705" t="n"/>
      <c r="AB315" s="613" t="n"/>
      <c r="AC315" s="614" t="n"/>
      <c r="AD315" s="628" t="n"/>
      <c r="AE315" s="616" t="n"/>
      <c r="AF315" s="617" t="n"/>
      <c r="AG315" s="693" t="n"/>
      <c r="AH315" s="721" t="n"/>
      <c r="AI315" s="721" t="n"/>
      <c r="AJ315" s="688" t="n"/>
      <c r="AK315" s="689" t="n"/>
      <c r="AL315" s="690" t="n"/>
      <c r="AM315" s="691" t="n"/>
      <c r="AN315" s="692" t="n"/>
      <c r="AO315" s="693" t="n"/>
      <c r="AP315" s="693" t="n"/>
      <c r="AQ315" s="693" t="n"/>
      <c r="AR315" s="693" t="n"/>
      <c r="AS315" s="693" t="n"/>
      <c r="AT315" s="693" t="n"/>
      <c r="AU315" s="699" t="n"/>
      <c r="AV315" s="693" t="n"/>
      <c r="AW315" s="693" t="n"/>
      <c r="AX315" s="693" t="n"/>
      <c r="AY315" s="693" t="n"/>
      <c r="AZ315" s="693" t="n"/>
    </row>
    <row r="316">
      <c r="A316" s="688" t="n"/>
      <c r="B316" s="688" t="n"/>
      <c r="C316" s="473" t="n"/>
      <c r="D316" s="688" t="n"/>
      <c r="E316" s="689" t="n"/>
      <c r="F316" s="721" t="n"/>
      <c r="G3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6" s="474">
        <f>G316/#REF!</f>
        <v/>
      </c>
      <c r="I316" s="690" t="n"/>
      <c r="J3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6" s="474">
        <f>J316/#REF!</f>
        <v/>
      </c>
      <c r="L316" s="473" t="n"/>
      <c r="M316" s="692" t="n"/>
      <c r="N316" s="693" t="n"/>
      <c r="O316" s="78" t="n"/>
      <c r="P316" s="129" t="n"/>
      <c r="Q316" s="129" t="n"/>
      <c r="R316" s="129" t="n"/>
      <c r="S316" s="129" t="n"/>
      <c r="T316" s="129" t="n"/>
      <c r="U316" s="129" t="n"/>
      <c r="V316" s="129" t="n"/>
      <c r="W316" s="129" t="n"/>
      <c r="X316" s="129" t="n"/>
      <c r="Y316" s="708" t="n"/>
      <c r="Z316" s="709" t="n"/>
      <c r="AA316" s="710" t="n"/>
      <c r="AB316" s="590" t="n"/>
      <c r="AC316" s="591" t="n"/>
      <c r="AD316" s="592" t="n"/>
      <c r="AE316" s="593" t="n"/>
      <c r="AF316" s="594" t="n"/>
      <c r="AG316" s="693" t="n"/>
      <c r="AH316" s="721" t="n"/>
      <c r="AI316" s="721" t="n"/>
      <c r="AJ316" s="688" t="n"/>
      <c r="AK316" s="689" t="n"/>
      <c r="AL316" s="690" t="n"/>
      <c r="AM316" s="691" t="n"/>
      <c r="AN316" s="692" t="n"/>
      <c r="AO316" s="693" t="n"/>
      <c r="AP316" s="693" t="n"/>
      <c r="AQ316" s="693" t="n"/>
      <c r="AR316" s="693" t="n"/>
      <c r="AS316" s="693" t="n"/>
      <c r="AT316" s="693" t="n"/>
      <c r="AU316" s="699" t="n"/>
      <c r="AV316" s="693" t="n"/>
      <c r="AW316" s="693" t="n"/>
      <c r="AX316" s="693" t="n"/>
      <c r="AY316" s="693" t="n"/>
      <c r="AZ316" s="693" t="n"/>
    </row>
    <row r="317">
      <c r="A317" s="688" t="n"/>
      <c r="B317" s="688" t="n"/>
      <c r="C317" s="473" t="n"/>
      <c r="D317" s="688" t="n"/>
      <c r="E317" s="689" t="n"/>
      <c r="F317" s="721" t="n"/>
      <c r="G3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7" s="474">
        <f>G317/#REF!</f>
        <v/>
      </c>
      <c r="I317" s="690" t="n"/>
      <c r="J3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7" s="474">
        <f>J317/#REF!</f>
        <v/>
      </c>
      <c r="L317" s="473" t="n"/>
      <c r="M317" s="692" t="n"/>
      <c r="N317" s="693" t="n"/>
      <c r="O317" s="78" t="n"/>
      <c r="P317" s="129" t="n"/>
      <c r="Q317" s="129" t="n"/>
      <c r="R317" s="129" t="n"/>
      <c r="S317" s="129" t="n"/>
      <c r="T317" s="129" t="n"/>
      <c r="U317" s="129" t="n"/>
      <c r="V317" s="129" t="n"/>
      <c r="W317" s="129" t="n"/>
      <c r="X317" s="129" t="n"/>
      <c r="Y317" s="703" t="n"/>
      <c r="Z317" s="704" t="n"/>
      <c r="AA317" s="705" t="n"/>
      <c r="AB317" s="613" t="n"/>
      <c r="AC317" s="614" t="n"/>
      <c r="AD317" s="628" t="n"/>
      <c r="AE317" s="616" t="n"/>
      <c r="AF317" s="617" t="n"/>
      <c r="AG317" s="693" t="n"/>
      <c r="AH317" s="721" t="n"/>
      <c r="AI317" s="721" t="n"/>
      <c r="AJ317" s="688" t="n"/>
      <c r="AK317" s="689" t="n"/>
      <c r="AL317" s="690" t="n"/>
      <c r="AM317" s="691" t="n"/>
      <c r="AN317" s="692" t="n"/>
      <c r="AO317" s="693" t="n"/>
      <c r="AP317" s="693" t="n"/>
      <c r="AQ317" s="693" t="n"/>
      <c r="AR317" s="693" t="n"/>
      <c r="AS317" s="693" t="n"/>
      <c r="AT317" s="693" t="n"/>
      <c r="AU317" s="699" t="n"/>
      <c r="AV317" s="693" t="n"/>
      <c r="AW317" s="693" t="n"/>
      <c r="AX317" s="693" t="n"/>
      <c r="AY317" s="693" t="n"/>
      <c r="AZ317" s="693" t="n"/>
    </row>
    <row r="318">
      <c r="A318" s="688" t="n"/>
      <c r="B318" s="688" t="n"/>
      <c r="C318" s="473" t="n"/>
      <c r="D318" s="688" t="n"/>
      <c r="E318" s="689" t="n"/>
      <c r="F318" s="721" t="n"/>
      <c r="G3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8" s="474">
        <f>G318/#REF!</f>
        <v/>
      </c>
      <c r="I318" s="690" t="n"/>
      <c r="J3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8" s="474">
        <f>J318/#REF!</f>
        <v/>
      </c>
      <c r="L318" s="473" t="n"/>
      <c r="M318" s="692" t="n"/>
      <c r="N318" s="693" t="n"/>
      <c r="O318" s="78" t="n"/>
      <c r="P318" s="129" t="n"/>
      <c r="Q318" s="129" t="n"/>
      <c r="R318" s="129" t="n"/>
      <c r="S318" s="129" t="n"/>
      <c r="T318" s="129" t="n"/>
      <c r="U318" s="129" t="n"/>
      <c r="V318" s="129" t="n"/>
      <c r="W318" s="129" t="n"/>
      <c r="X318" s="129" t="n"/>
      <c r="Y318" s="708" t="n"/>
      <c r="Z318" s="709" t="n"/>
      <c r="AA318" s="710" t="n"/>
      <c r="AB318" s="590" t="n"/>
      <c r="AC318" s="591" t="n"/>
      <c r="AD318" s="592" t="n"/>
      <c r="AE318" s="593" t="n"/>
      <c r="AF318" s="594" t="n"/>
      <c r="AG318" s="693" t="n"/>
      <c r="AH318" s="721" t="n"/>
      <c r="AI318" s="721" t="n"/>
      <c r="AJ318" s="688" t="n"/>
      <c r="AK318" s="689" t="n"/>
      <c r="AL318" s="690" t="n"/>
      <c r="AM318" s="691" t="n"/>
      <c r="AN318" s="692" t="n"/>
      <c r="AO318" s="693" t="n"/>
      <c r="AP318" s="693" t="n"/>
      <c r="AQ318" s="693" t="n"/>
      <c r="AR318" s="693" t="n"/>
      <c r="AS318" s="693" t="n"/>
      <c r="AT318" s="693" t="n"/>
      <c r="AU318" s="699" t="n"/>
      <c r="AV318" s="693" t="n"/>
      <c r="AW318" s="693" t="n"/>
      <c r="AX318" s="693" t="n"/>
      <c r="AY318" s="693" t="n"/>
      <c r="AZ318" s="693" t="n"/>
    </row>
    <row r="319">
      <c r="A319" s="688" t="n"/>
      <c r="B319" s="688" t="n"/>
      <c r="C319" s="473" t="n"/>
      <c r="D319" s="688" t="n"/>
      <c r="E319" s="689" t="n"/>
      <c r="F319" s="721" t="n"/>
      <c r="G3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19" s="474">
        <f>G319/#REF!</f>
        <v/>
      </c>
      <c r="I319" s="690" t="n"/>
      <c r="J3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19" s="474">
        <f>J319/#REF!</f>
        <v/>
      </c>
      <c r="L319" s="473" t="n"/>
      <c r="M319" s="692" t="n"/>
      <c r="N319" s="693" t="n"/>
      <c r="O319" s="78" t="n"/>
      <c r="P319" s="129" t="n"/>
      <c r="Q319" s="129" t="n"/>
      <c r="R319" s="129" t="n"/>
      <c r="S319" s="129" t="n"/>
      <c r="T319" s="129" t="n"/>
      <c r="U319" s="129" t="n"/>
      <c r="V319" s="129" t="n"/>
      <c r="W319" s="129" t="n"/>
      <c r="X319" s="129" t="n"/>
      <c r="Y319" s="703" t="n"/>
      <c r="Z319" s="704" t="n"/>
      <c r="AA319" s="705" t="n"/>
      <c r="AB319" s="613" t="n"/>
      <c r="AC319" s="614" t="n"/>
      <c r="AD319" s="628" t="n"/>
      <c r="AE319" s="616" t="n"/>
      <c r="AF319" s="617" t="n"/>
      <c r="AG319" s="693" t="n"/>
      <c r="AH319" s="721" t="n"/>
      <c r="AI319" s="721" t="n"/>
      <c r="AJ319" s="688" t="n"/>
      <c r="AK319" s="689" t="n"/>
      <c r="AL319" s="690" t="n"/>
      <c r="AM319" s="691" t="n"/>
      <c r="AN319" s="692" t="n"/>
      <c r="AO319" s="693" t="n"/>
      <c r="AP319" s="693" t="n"/>
      <c r="AQ319" s="693" t="n"/>
      <c r="AR319" s="693" t="n"/>
      <c r="AS319" s="693" t="n"/>
      <c r="AT319" s="693" t="n"/>
      <c r="AU319" s="699" t="n"/>
      <c r="AV319" s="693" t="n"/>
      <c r="AW319" s="693" t="n"/>
      <c r="AX319" s="693" t="n"/>
      <c r="AY319" s="693" t="n"/>
      <c r="AZ319" s="693" t="n"/>
    </row>
    <row r="320">
      <c r="A320" s="688" t="n"/>
      <c r="B320" s="688" t="n"/>
      <c r="C320" s="473" t="n"/>
      <c r="D320" s="688" t="n"/>
      <c r="E320" s="689" t="n"/>
      <c r="F320" s="721" t="n"/>
      <c r="G3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0" s="474">
        <f>G320/#REF!</f>
        <v/>
      </c>
      <c r="I320" s="690" t="n"/>
      <c r="J3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0" s="474">
        <f>J320/#REF!</f>
        <v/>
      </c>
      <c r="L320" s="473" t="n"/>
      <c r="M320" s="692" t="n"/>
      <c r="N320" s="693" t="n"/>
      <c r="O320" s="78" t="n"/>
      <c r="P320" s="129" t="n"/>
      <c r="Q320" s="129" t="n"/>
      <c r="R320" s="129" t="n"/>
      <c r="S320" s="129" t="n"/>
      <c r="T320" s="129" t="n"/>
      <c r="U320" s="129" t="n"/>
      <c r="V320" s="129" t="n"/>
      <c r="W320" s="129" t="n"/>
      <c r="X320" s="129" t="n"/>
      <c r="Y320" s="708" t="n"/>
      <c r="Z320" s="709" t="n"/>
      <c r="AA320" s="710" t="n"/>
      <c r="AB320" s="590" t="n"/>
      <c r="AC320" s="591" t="n"/>
      <c r="AD320" s="592" t="n"/>
      <c r="AE320" s="593" t="n"/>
      <c r="AF320" s="594" t="n"/>
      <c r="AG320" s="693" t="n"/>
      <c r="AH320" s="721" t="n"/>
      <c r="AI320" s="721" t="n"/>
      <c r="AJ320" s="688" t="n"/>
      <c r="AK320" s="689" t="n"/>
      <c r="AL320" s="690" t="n"/>
      <c r="AM320" s="691" t="n"/>
      <c r="AN320" s="692" t="n"/>
      <c r="AO320" s="693" t="n"/>
      <c r="AP320" s="693" t="n"/>
      <c r="AQ320" s="693" t="n"/>
      <c r="AR320" s="693" t="n"/>
      <c r="AS320" s="693" t="n"/>
      <c r="AT320" s="693" t="n"/>
      <c r="AU320" s="699" t="n"/>
      <c r="AV320" s="693" t="n"/>
      <c r="AW320" s="693" t="n"/>
      <c r="AX320" s="693" t="n"/>
      <c r="AY320" s="693" t="n"/>
      <c r="AZ320" s="693" t="n"/>
    </row>
    <row r="321">
      <c r="A321" s="688" t="n"/>
      <c r="B321" s="688" t="n"/>
      <c r="C321" s="473" t="n"/>
      <c r="D321" s="688" t="n"/>
      <c r="E321" s="689" t="n"/>
      <c r="F321" s="721" t="n"/>
      <c r="G3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1" s="474">
        <f>G321/#REF!</f>
        <v/>
      </c>
      <c r="I321" s="690" t="n"/>
      <c r="J3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1" s="474">
        <f>J321/#REF!</f>
        <v/>
      </c>
      <c r="L321" s="473" t="n"/>
      <c r="M321" s="692" t="n"/>
      <c r="N321" s="693" t="n"/>
      <c r="O321" s="78" t="n"/>
      <c r="P321" s="129" t="n"/>
      <c r="Q321" s="129" t="n"/>
      <c r="R321" s="129" t="n"/>
      <c r="S321" s="129" t="n"/>
      <c r="T321" s="129" t="n"/>
      <c r="U321" s="129" t="n"/>
      <c r="V321" s="129" t="n"/>
      <c r="W321" s="129" t="n"/>
      <c r="X321" s="129" t="n"/>
      <c r="Y321" s="703" t="n"/>
      <c r="Z321" s="704" t="n"/>
      <c r="AA321" s="705" t="n"/>
      <c r="AB321" s="613" t="n"/>
      <c r="AC321" s="614" t="n"/>
      <c r="AD321" s="628" t="n"/>
      <c r="AE321" s="616" t="n"/>
      <c r="AF321" s="617" t="n"/>
      <c r="AG321" s="693" t="n"/>
      <c r="AH321" s="721" t="n"/>
      <c r="AI321" s="721" t="n"/>
      <c r="AJ321" s="688" t="n"/>
      <c r="AK321" s="689" t="n"/>
      <c r="AL321" s="690" t="n"/>
      <c r="AM321" s="691" t="n"/>
      <c r="AN321" s="692" t="n"/>
      <c r="AO321" s="693" t="n"/>
      <c r="AP321" s="693" t="n"/>
      <c r="AQ321" s="693" t="n"/>
      <c r="AR321" s="693" t="n"/>
      <c r="AS321" s="693" t="n"/>
      <c r="AT321" s="693" t="n"/>
      <c r="AU321" s="699" t="n"/>
      <c r="AV321" s="693" t="n"/>
      <c r="AW321" s="693" t="n"/>
      <c r="AX321" s="693" t="n"/>
      <c r="AY321" s="693" t="n"/>
      <c r="AZ321" s="693" t="n"/>
    </row>
    <row r="322">
      <c r="A322" s="688" t="n"/>
      <c r="B322" s="688" t="n"/>
      <c r="C322" s="473" t="n"/>
      <c r="D322" s="688" t="n"/>
      <c r="E322" s="689" t="n"/>
      <c r="F322" s="721" t="n"/>
      <c r="G3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2" s="474">
        <f>G322/#REF!</f>
        <v/>
      </c>
      <c r="I322" s="690" t="n"/>
      <c r="J3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2" s="474">
        <f>J322/#REF!</f>
        <v/>
      </c>
      <c r="L322" s="473" t="n"/>
      <c r="M322" s="692" t="n"/>
      <c r="N322" s="693" t="n"/>
      <c r="O322" s="78" t="n"/>
      <c r="P322" s="129" t="n"/>
      <c r="Q322" s="129" t="n"/>
      <c r="R322" s="129" t="n"/>
      <c r="S322" s="129" t="n"/>
      <c r="T322" s="129" t="n"/>
      <c r="U322" s="129" t="n"/>
      <c r="V322" s="129" t="n"/>
      <c r="W322" s="129" t="n"/>
      <c r="X322" s="129" t="n"/>
      <c r="Y322" s="708" t="n"/>
      <c r="Z322" s="709" t="n"/>
      <c r="AA322" s="710" t="n"/>
      <c r="AB322" s="590" t="n"/>
      <c r="AC322" s="591" t="n"/>
      <c r="AD322" s="592" t="n"/>
      <c r="AE322" s="593" t="n"/>
      <c r="AF322" s="594" t="n"/>
      <c r="AG322" s="693" t="n"/>
      <c r="AH322" s="721" t="n"/>
      <c r="AI322" s="721" t="n"/>
      <c r="AJ322" s="688" t="n"/>
      <c r="AK322" s="689" t="n"/>
      <c r="AL322" s="690" t="n"/>
      <c r="AM322" s="691" t="n"/>
      <c r="AN322" s="692" t="n"/>
      <c r="AO322" s="693" t="n"/>
      <c r="AP322" s="693" t="n"/>
      <c r="AQ322" s="693" t="n"/>
      <c r="AR322" s="693" t="n"/>
      <c r="AS322" s="693" t="n"/>
      <c r="AT322" s="693" t="n"/>
      <c r="AU322" s="699" t="n"/>
      <c r="AV322" s="693" t="n"/>
      <c r="AW322" s="693" t="n"/>
      <c r="AX322" s="693" t="n"/>
      <c r="AY322" s="693" t="n"/>
      <c r="AZ322" s="693" t="n"/>
    </row>
    <row r="323">
      <c r="A323" s="688" t="n"/>
      <c r="B323" s="688" t="n"/>
      <c r="C323" s="473" t="n"/>
      <c r="D323" s="688" t="n"/>
      <c r="E323" s="689" t="n"/>
      <c r="F323" s="721" t="n"/>
      <c r="G3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3" s="474">
        <f>G323/#REF!</f>
        <v/>
      </c>
      <c r="I323" s="690" t="n"/>
      <c r="J3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3" s="474">
        <f>J323/#REF!</f>
        <v/>
      </c>
      <c r="L323" s="473" t="n"/>
      <c r="M323" s="692" t="n"/>
      <c r="N323" s="693" t="n"/>
      <c r="O323" s="78" t="n"/>
      <c r="P323" s="129" t="n"/>
      <c r="Q323" s="129" t="n"/>
      <c r="R323" s="129" t="n"/>
      <c r="S323" s="129" t="n"/>
      <c r="T323" s="129" t="n"/>
      <c r="U323" s="129" t="n"/>
      <c r="V323" s="129" t="n"/>
      <c r="W323" s="129" t="n"/>
      <c r="X323" s="129" t="n"/>
      <c r="Y323" s="703" t="n"/>
      <c r="Z323" s="704" t="n"/>
      <c r="AA323" s="705" t="n"/>
      <c r="AB323" s="613" t="n"/>
      <c r="AC323" s="614" t="n"/>
      <c r="AD323" s="628" t="n"/>
      <c r="AE323" s="616" t="n"/>
      <c r="AF323" s="617" t="n"/>
      <c r="AG323" s="693" t="n"/>
      <c r="AH323" s="721" t="n"/>
      <c r="AI323" s="721" t="n"/>
      <c r="AJ323" s="688" t="n"/>
      <c r="AK323" s="689" t="n"/>
      <c r="AL323" s="690" t="n"/>
      <c r="AM323" s="691" t="n"/>
      <c r="AN323" s="692" t="n"/>
      <c r="AO323" s="693" t="n"/>
      <c r="AP323" s="693" t="n"/>
      <c r="AQ323" s="693" t="n"/>
      <c r="AR323" s="693" t="n"/>
      <c r="AS323" s="693" t="n"/>
      <c r="AT323" s="693" t="n"/>
      <c r="AU323" s="699" t="n"/>
      <c r="AV323" s="693" t="n"/>
      <c r="AW323" s="693" t="n"/>
      <c r="AX323" s="693" t="n"/>
      <c r="AY323" s="693" t="n"/>
      <c r="AZ323" s="693" t="n"/>
    </row>
    <row r="324">
      <c r="A324" s="688" t="n"/>
      <c r="B324" s="688" t="n"/>
      <c r="C324" s="473" t="n"/>
      <c r="D324" s="688" t="n"/>
      <c r="E324" s="689" t="n"/>
      <c r="F324" s="721" t="n"/>
      <c r="G3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4" s="474">
        <f>G324/#REF!</f>
        <v/>
      </c>
      <c r="I324" s="690" t="n"/>
      <c r="J3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4" s="474">
        <f>J324/#REF!</f>
        <v/>
      </c>
      <c r="L324" s="473" t="n"/>
      <c r="M324" s="692" t="n"/>
      <c r="N324" s="693" t="n"/>
      <c r="O324" s="78" t="n"/>
      <c r="P324" s="129" t="n"/>
      <c r="Q324" s="129" t="n"/>
      <c r="R324" s="129" t="n"/>
      <c r="S324" s="129" t="n"/>
      <c r="T324" s="129" t="n"/>
      <c r="U324" s="129" t="n"/>
      <c r="V324" s="129" t="n"/>
      <c r="W324" s="129" t="n"/>
      <c r="X324" s="129" t="n"/>
      <c r="Y324" s="708" t="n"/>
      <c r="Z324" s="709" t="n"/>
      <c r="AA324" s="710" t="n"/>
      <c r="AB324" s="590" t="n"/>
      <c r="AC324" s="591" t="n"/>
      <c r="AD324" s="592" t="n"/>
      <c r="AE324" s="593" t="n"/>
      <c r="AF324" s="594" t="n"/>
      <c r="AG324" s="693" t="n"/>
      <c r="AH324" s="721" t="n"/>
      <c r="AI324" s="721" t="n"/>
      <c r="AJ324" s="688" t="n"/>
      <c r="AK324" s="689" t="n"/>
      <c r="AL324" s="690" t="n"/>
      <c r="AM324" s="691" t="n"/>
      <c r="AN324" s="692" t="n"/>
      <c r="AO324" s="693" t="n"/>
      <c r="AP324" s="693" t="n"/>
      <c r="AQ324" s="693" t="n"/>
      <c r="AR324" s="693" t="n"/>
      <c r="AS324" s="693" t="n"/>
      <c r="AT324" s="693" t="n"/>
      <c r="AU324" s="699" t="n"/>
      <c r="AV324" s="693" t="n"/>
      <c r="AW324" s="693" t="n"/>
      <c r="AX324" s="693" t="n"/>
      <c r="AY324" s="693" t="n"/>
      <c r="AZ324" s="693" t="n"/>
    </row>
    <row r="325">
      <c r="A325" s="688" t="n"/>
      <c r="B325" s="688" t="n"/>
      <c r="C325" s="473" t="n"/>
      <c r="D325" s="688" t="n"/>
      <c r="E325" s="689" t="n"/>
      <c r="F325" s="721" t="n"/>
      <c r="G3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5" s="474">
        <f>G325/#REF!</f>
        <v/>
      </c>
      <c r="I325" s="690" t="n"/>
      <c r="J3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5" s="474">
        <f>J325/#REF!</f>
        <v/>
      </c>
      <c r="L325" s="473" t="n"/>
      <c r="M325" s="692" t="n"/>
      <c r="N325" s="693" t="n"/>
      <c r="O325" s="78" t="n"/>
      <c r="P325" s="129" t="n"/>
      <c r="Q325" s="129" t="n"/>
      <c r="R325" s="129" t="n"/>
      <c r="S325" s="129" t="n"/>
      <c r="T325" s="129" t="n"/>
      <c r="U325" s="129" t="n"/>
      <c r="V325" s="129" t="n"/>
      <c r="W325" s="129" t="n"/>
      <c r="X325" s="129" t="n"/>
      <c r="Y325" s="703" t="n"/>
      <c r="Z325" s="704" t="n"/>
      <c r="AA325" s="705" t="n"/>
      <c r="AB325" s="613" t="n"/>
      <c r="AC325" s="614" t="n"/>
      <c r="AD325" s="628" t="n"/>
      <c r="AE325" s="616" t="n"/>
      <c r="AF325" s="617" t="n"/>
      <c r="AG325" s="693" t="n"/>
      <c r="AH325" s="721" t="n"/>
      <c r="AI325" s="721" t="n"/>
      <c r="AJ325" s="688" t="n"/>
      <c r="AK325" s="689" t="n"/>
      <c r="AL325" s="690" t="n"/>
      <c r="AM325" s="691" t="n"/>
      <c r="AN325" s="692" t="n"/>
      <c r="AO325" s="693" t="n"/>
      <c r="AP325" s="693" t="n"/>
      <c r="AQ325" s="693" t="n"/>
      <c r="AR325" s="693" t="n"/>
      <c r="AS325" s="693" t="n"/>
      <c r="AT325" s="693" t="n"/>
      <c r="AU325" s="699" t="n"/>
      <c r="AV325" s="693" t="n"/>
      <c r="AW325" s="693" t="n"/>
      <c r="AX325" s="693" t="n"/>
      <c r="AY325" s="693" t="n"/>
      <c r="AZ325" s="693" t="n"/>
    </row>
    <row r="326">
      <c r="A326" s="688" t="n"/>
      <c r="B326" s="688" t="n"/>
      <c r="C326" s="473" t="n"/>
      <c r="D326" s="688" t="n"/>
      <c r="E326" s="689" t="n"/>
      <c r="F326" s="721" t="n"/>
      <c r="G3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6" s="474">
        <f>G326/#REF!</f>
        <v/>
      </c>
      <c r="I326" s="690" t="n"/>
      <c r="J3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6" s="474">
        <f>J326/#REF!</f>
        <v/>
      </c>
      <c r="L326" s="473" t="n"/>
      <c r="M326" s="692" t="n"/>
      <c r="N326" s="693" t="n"/>
      <c r="O326" s="78" t="n"/>
      <c r="P326" s="129" t="n"/>
      <c r="Q326" s="129" t="n"/>
      <c r="R326" s="129" t="n"/>
      <c r="S326" s="129" t="n"/>
      <c r="T326" s="129" t="n"/>
      <c r="U326" s="129" t="n"/>
      <c r="V326" s="129" t="n"/>
      <c r="W326" s="129" t="n"/>
      <c r="X326" s="129" t="n"/>
      <c r="Y326" s="708" t="n"/>
      <c r="Z326" s="709" t="n"/>
      <c r="AA326" s="710" t="n"/>
      <c r="AB326" s="590" t="n"/>
      <c r="AC326" s="591" t="n"/>
      <c r="AD326" s="592" t="n"/>
      <c r="AE326" s="593" t="n"/>
      <c r="AF326" s="594" t="n"/>
      <c r="AG326" s="693" t="n"/>
      <c r="AH326" s="721" t="n"/>
      <c r="AI326" s="721" t="n"/>
      <c r="AJ326" s="688" t="n"/>
      <c r="AK326" s="689" t="n"/>
      <c r="AL326" s="690" t="n"/>
      <c r="AM326" s="691" t="n"/>
      <c r="AN326" s="692" t="n"/>
      <c r="AO326" s="693" t="n"/>
      <c r="AP326" s="693" t="n"/>
      <c r="AQ326" s="693" t="n"/>
      <c r="AR326" s="693" t="n"/>
      <c r="AS326" s="693" t="n"/>
      <c r="AT326" s="693" t="n"/>
      <c r="AU326" s="699" t="n"/>
      <c r="AV326" s="693" t="n"/>
      <c r="AW326" s="693" t="n"/>
      <c r="AX326" s="693" t="n"/>
      <c r="AY326" s="693" t="n"/>
      <c r="AZ326" s="693" t="n"/>
    </row>
    <row r="327">
      <c r="A327" s="688" t="n"/>
      <c r="B327" s="688" t="n"/>
      <c r="C327" s="473" t="n"/>
      <c r="D327" s="688" t="n"/>
      <c r="E327" s="689" t="n"/>
      <c r="F327" s="721" t="n"/>
      <c r="G3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7" s="474">
        <f>G327/#REF!</f>
        <v/>
      </c>
      <c r="I327" s="690" t="n"/>
      <c r="J3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7" s="474">
        <f>J327/#REF!</f>
        <v/>
      </c>
      <c r="L327" s="473" t="n"/>
      <c r="M327" s="692" t="n"/>
      <c r="N327" s="693" t="n"/>
      <c r="O327" s="78" t="n"/>
      <c r="P327" s="129" t="n"/>
      <c r="Q327" s="129" t="n"/>
      <c r="R327" s="129" t="n"/>
      <c r="S327" s="129" t="n"/>
      <c r="T327" s="129" t="n"/>
      <c r="U327" s="129" t="n"/>
      <c r="V327" s="129" t="n"/>
      <c r="W327" s="129" t="n"/>
      <c r="X327" s="129" t="n"/>
      <c r="Y327" s="703" t="n"/>
      <c r="Z327" s="704" t="n"/>
      <c r="AA327" s="705" t="n"/>
      <c r="AB327" s="613" t="n"/>
      <c r="AC327" s="614" t="n"/>
      <c r="AD327" s="628" t="n"/>
      <c r="AE327" s="616" t="n"/>
      <c r="AF327" s="617" t="n"/>
      <c r="AG327" s="693" t="n"/>
      <c r="AH327" s="721" t="n"/>
      <c r="AI327" s="721" t="n"/>
      <c r="AJ327" s="688" t="n"/>
      <c r="AK327" s="689" t="n"/>
      <c r="AL327" s="690" t="n"/>
      <c r="AM327" s="691" t="n"/>
      <c r="AN327" s="692" t="n"/>
      <c r="AO327" s="693" t="n"/>
      <c r="AP327" s="693" t="n"/>
      <c r="AQ327" s="693" t="n"/>
      <c r="AR327" s="693" t="n"/>
      <c r="AS327" s="693" t="n"/>
      <c r="AT327" s="693" t="n"/>
      <c r="AU327" s="699" t="n"/>
      <c r="AV327" s="693" t="n"/>
      <c r="AW327" s="693" t="n"/>
      <c r="AX327" s="693" t="n"/>
      <c r="AY327" s="693" t="n"/>
      <c r="AZ327" s="693" t="n"/>
    </row>
    <row r="328">
      <c r="A328" s="688" t="n"/>
      <c r="B328" s="688" t="n"/>
      <c r="C328" s="473" t="n"/>
      <c r="D328" s="688" t="n"/>
      <c r="E328" s="689" t="n"/>
      <c r="F328" s="721" t="n"/>
      <c r="G3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8" s="474">
        <f>G328/#REF!</f>
        <v/>
      </c>
      <c r="I328" s="690" t="n"/>
      <c r="J3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8" s="474">
        <f>J328/#REF!</f>
        <v/>
      </c>
      <c r="L328" s="473" t="n"/>
      <c r="M328" s="692" t="n"/>
      <c r="N328" s="693" t="n"/>
      <c r="O328" s="78" t="n"/>
      <c r="P328" s="129" t="n"/>
      <c r="Q328" s="129" t="n"/>
      <c r="R328" s="129" t="n"/>
      <c r="S328" s="129" t="n"/>
      <c r="T328" s="129" t="n"/>
      <c r="U328" s="129" t="n"/>
      <c r="V328" s="129" t="n"/>
      <c r="W328" s="129" t="n"/>
      <c r="X328" s="129" t="n"/>
      <c r="Y328" s="708" t="n"/>
      <c r="Z328" s="709" t="n"/>
      <c r="AA328" s="710" t="n"/>
      <c r="AB328" s="590" t="n"/>
      <c r="AC328" s="591" t="n"/>
      <c r="AD328" s="592" t="n"/>
      <c r="AE328" s="593" t="n"/>
      <c r="AF328" s="594" t="n"/>
      <c r="AG328" s="693" t="n"/>
      <c r="AH328" s="721" t="n"/>
      <c r="AI328" s="721" t="n"/>
      <c r="AJ328" s="688" t="n"/>
      <c r="AK328" s="689" t="n"/>
      <c r="AL328" s="690" t="n"/>
      <c r="AM328" s="691" t="n"/>
      <c r="AN328" s="692" t="n"/>
      <c r="AO328" s="693" t="n"/>
      <c r="AP328" s="693" t="n"/>
      <c r="AQ328" s="693" t="n"/>
      <c r="AR328" s="693" t="n"/>
      <c r="AS328" s="693" t="n"/>
      <c r="AT328" s="693" t="n"/>
      <c r="AU328" s="699" t="n"/>
      <c r="AV328" s="693" t="n"/>
      <c r="AW328" s="693" t="n"/>
      <c r="AX328" s="693" t="n"/>
      <c r="AY328" s="693" t="n"/>
      <c r="AZ328" s="693" t="n"/>
    </row>
    <row r="329">
      <c r="A329" s="688" t="n"/>
      <c r="B329" s="688" t="n"/>
      <c r="C329" s="473" t="n"/>
      <c r="D329" s="688" t="n"/>
      <c r="E329" s="689" t="n"/>
      <c r="F329" s="721" t="n"/>
      <c r="G3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29" s="474">
        <f>G329/#REF!</f>
        <v/>
      </c>
      <c r="I329" s="690" t="n"/>
      <c r="J3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29" s="474">
        <f>J329/#REF!</f>
        <v/>
      </c>
      <c r="L329" s="473" t="n"/>
      <c r="M329" s="692" t="n"/>
      <c r="N329" s="693" t="n"/>
      <c r="O329" s="78" t="n"/>
      <c r="P329" s="129" t="n"/>
      <c r="Q329" s="129" t="n"/>
      <c r="R329" s="129" t="n"/>
      <c r="S329" s="129" t="n"/>
      <c r="T329" s="129" t="n"/>
      <c r="U329" s="129" t="n"/>
      <c r="V329" s="129" t="n"/>
      <c r="W329" s="129" t="n"/>
      <c r="X329" s="129" t="n"/>
      <c r="Y329" s="703" t="n"/>
      <c r="Z329" s="704" t="n"/>
      <c r="AA329" s="705" t="n"/>
      <c r="AB329" s="613" t="n"/>
      <c r="AC329" s="614" t="n"/>
      <c r="AD329" s="628" t="n"/>
      <c r="AE329" s="616" t="n"/>
      <c r="AF329" s="617" t="n"/>
      <c r="AG329" s="693" t="n"/>
      <c r="AH329" s="721" t="n"/>
      <c r="AI329" s="721" t="n"/>
      <c r="AJ329" s="688" t="n"/>
      <c r="AK329" s="689" t="n"/>
      <c r="AL329" s="690" t="n"/>
      <c r="AM329" s="691" t="n"/>
      <c r="AN329" s="692" t="n"/>
      <c r="AO329" s="693" t="n"/>
      <c r="AP329" s="693" t="n"/>
      <c r="AQ329" s="693" t="n"/>
      <c r="AR329" s="693" t="n"/>
      <c r="AS329" s="693" t="n"/>
      <c r="AT329" s="693" t="n"/>
      <c r="AU329" s="699" t="n"/>
      <c r="AV329" s="693" t="n"/>
      <c r="AW329" s="693" t="n"/>
      <c r="AX329" s="693" t="n"/>
      <c r="AY329" s="693" t="n"/>
      <c r="AZ329" s="693" t="n"/>
    </row>
    <row r="330">
      <c r="A330" s="688" t="n"/>
      <c r="B330" s="688" t="n"/>
      <c r="C330" s="473" t="n"/>
      <c r="D330" s="688" t="n"/>
      <c r="E330" s="689" t="n"/>
      <c r="F330" s="721" t="n"/>
      <c r="G3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0" s="474">
        <f>G330/#REF!</f>
        <v/>
      </c>
      <c r="I330" s="690" t="n"/>
      <c r="J3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0" s="474">
        <f>J330/#REF!</f>
        <v/>
      </c>
      <c r="L330" s="473" t="n"/>
      <c r="M330" s="692" t="n"/>
      <c r="N330" s="693" t="n"/>
      <c r="O330" s="78" t="n"/>
      <c r="P330" s="129" t="n"/>
      <c r="Q330" s="129" t="n"/>
      <c r="R330" s="129" t="n"/>
      <c r="S330" s="129" t="n"/>
      <c r="T330" s="129" t="n"/>
      <c r="U330" s="129" t="n"/>
      <c r="V330" s="129" t="n"/>
      <c r="W330" s="129" t="n"/>
      <c r="X330" s="129" t="n"/>
      <c r="Y330" s="708" t="n"/>
      <c r="Z330" s="709" t="n"/>
      <c r="AA330" s="710" t="n"/>
      <c r="AB330" s="590" t="n"/>
      <c r="AC330" s="591" t="n"/>
      <c r="AD330" s="592" t="n"/>
      <c r="AE330" s="593" t="n"/>
      <c r="AF330" s="594" t="n"/>
      <c r="AG330" s="693" t="n"/>
      <c r="AH330" s="721" t="n"/>
      <c r="AI330" s="721" t="n"/>
      <c r="AJ330" s="688" t="n"/>
      <c r="AK330" s="689" t="n"/>
      <c r="AL330" s="690" t="n"/>
      <c r="AM330" s="691" t="n"/>
      <c r="AN330" s="692" t="n"/>
      <c r="AO330" s="693" t="n"/>
      <c r="AP330" s="693" t="n"/>
      <c r="AQ330" s="693" t="n"/>
      <c r="AR330" s="693" t="n"/>
      <c r="AS330" s="693" t="n"/>
      <c r="AT330" s="693" t="n"/>
      <c r="AU330" s="699" t="n"/>
      <c r="AV330" s="693" t="n"/>
      <c r="AW330" s="693" t="n"/>
      <c r="AX330" s="693" t="n"/>
      <c r="AY330" s="693" t="n"/>
      <c r="AZ330" s="693" t="n"/>
    </row>
    <row r="331">
      <c r="A331" s="688" t="n"/>
      <c r="B331" s="688" t="n"/>
      <c r="C331" s="473" t="n"/>
      <c r="D331" s="688" t="n"/>
      <c r="E331" s="689" t="n"/>
      <c r="F331" s="721" t="n"/>
      <c r="G3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1" s="474">
        <f>G331/#REF!</f>
        <v/>
      </c>
      <c r="I331" s="690" t="n"/>
      <c r="J3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1" s="474">
        <f>J331/#REF!</f>
        <v/>
      </c>
      <c r="L331" s="473" t="n"/>
      <c r="M331" s="692" t="n"/>
      <c r="N331" s="693" t="n"/>
      <c r="O331" s="78" t="n"/>
      <c r="P331" s="129" t="n"/>
      <c r="Q331" s="129" t="n"/>
      <c r="R331" s="129" t="n"/>
      <c r="S331" s="129" t="n"/>
      <c r="T331" s="129" t="n"/>
      <c r="U331" s="129" t="n"/>
      <c r="V331" s="129" t="n"/>
      <c r="W331" s="129" t="n"/>
      <c r="X331" s="129" t="n"/>
      <c r="Y331" s="703" t="n"/>
      <c r="Z331" s="704" t="n"/>
      <c r="AA331" s="705" t="n"/>
      <c r="AB331" s="613" t="n"/>
      <c r="AC331" s="614" t="n"/>
      <c r="AD331" s="628" t="n"/>
      <c r="AE331" s="616" t="n"/>
      <c r="AF331" s="617" t="n"/>
      <c r="AG331" s="693" t="n"/>
      <c r="AH331" s="721" t="n"/>
      <c r="AI331" s="721" t="n"/>
      <c r="AJ331" s="688" t="n"/>
      <c r="AK331" s="689" t="n"/>
      <c r="AL331" s="690" t="n"/>
      <c r="AM331" s="691" t="n"/>
      <c r="AN331" s="692" t="n"/>
      <c r="AO331" s="693" t="n"/>
      <c r="AP331" s="693" t="n"/>
      <c r="AQ331" s="693" t="n"/>
      <c r="AR331" s="693" t="n"/>
      <c r="AS331" s="693" t="n"/>
      <c r="AT331" s="693" t="n"/>
      <c r="AU331" s="699" t="n"/>
      <c r="AV331" s="693" t="n"/>
      <c r="AW331" s="693" t="n"/>
      <c r="AX331" s="693" t="n"/>
      <c r="AY331" s="693" t="n"/>
      <c r="AZ331" s="693" t="n"/>
    </row>
    <row r="332">
      <c r="A332" s="688" t="n"/>
      <c r="B332" s="688" t="n"/>
      <c r="C332" s="473" t="n"/>
      <c r="D332" s="688" t="n"/>
      <c r="E332" s="689" t="n"/>
      <c r="F332" s="721" t="n"/>
      <c r="G3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2" s="474">
        <f>G332/#REF!</f>
        <v/>
      </c>
      <c r="I332" s="690" t="n"/>
      <c r="J3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2" s="474">
        <f>J332/#REF!</f>
        <v/>
      </c>
      <c r="L332" s="473" t="n"/>
      <c r="M332" s="692" t="n"/>
      <c r="N332" s="693" t="n"/>
      <c r="O332" s="78" t="n"/>
      <c r="P332" s="129" t="n"/>
      <c r="Q332" s="129" t="n"/>
      <c r="R332" s="129" t="n"/>
      <c r="S332" s="129" t="n"/>
      <c r="T332" s="129" t="n"/>
      <c r="U332" s="129" t="n"/>
      <c r="V332" s="129" t="n"/>
      <c r="W332" s="129" t="n"/>
      <c r="X332" s="129" t="n"/>
      <c r="Y332" s="708" t="n"/>
      <c r="Z332" s="709" t="n"/>
      <c r="AA332" s="710" t="n"/>
      <c r="AB332" s="590" t="n"/>
      <c r="AC332" s="591" t="n"/>
      <c r="AD332" s="592" t="n"/>
      <c r="AE332" s="593" t="n"/>
      <c r="AF332" s="594" t="n"/>
      <c r="AG332" s="693" t="n"/>
      <c r="AH332" s="721" t="n"/>
      <c r="AI332" s="721" t="n"/>
      <c r="AJ332" s="688" t="n"/>
      <c r="AK332" s="689" t="n"/>
      <c r="AL332" s="690" t="n"/>
      <c r="AM332" s="691" t="n"/>
      <c r="AN332" s="692" t="n"/>
      <c r="AO332" s="693" t="n"/>
      <c r="AP332" s="693" t="n"/>
      <c r="AQ332" s="693" t="n"/>
      <c r="AR332" s="693" t="n"/>
      <c r="AS332" s="693" t="n"/>
      <c r="AT332" s="693" t="n"/>
      <c r="AU332" s="699" t="n"/>
      <c r="AV332" s="693" t="n"/>
      <c r="AW332" s="693" t="n"/>
      <c r="AX332" s="693" t="n"/>
      <c r="AY332" s="693" t="n"/>
      <c r="AZ332" s="693" t="n"/>
    </row>
    <row r="333">
      <c r="A333" s="688" t="n"/>
      <c r="B333" s="688" t="n"/>
      <c r="C333" s="473" t="n"/>
      <c r="D333" s="688" t="n"/>
      <c r="E333" s="689" t="n"/>
      <c r="F333" s="721" t="n"/>
      <c r="G3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3" s="474">
        <f>G333/#REF!</f>
        <v/>
      </c>
      <c r="I333" s="690" t="n"/>
      <c r="J3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3" s="474">
        <f>J333/#REF!</f>
        <v/>
      </c>
      <c r="L333" s="473" t="n"/>
      <c r="M333" s="692" t="n"/>
      <c r="N333" s="693" t="n"/>
      <c r="O333" s="78" t="n"/>
      <c r="P333" s="129" t="n"/>
      <c r="Q333" s="129" t="n"/>
      <c r="R333" s="129" t="n"/>
      <c r="S333" s="129" t="n"/>
      <c r="T333" s="129" t="n"/>
      <c r="U333" s="129" t="n"/>
      <c r="V333" s="129" t="n"/>
      <c r="W333" s="129" t="n"/>
      <c r="X333" s="129" t="n"/>
      <c r="Y333" s="703" t="n"/>
      <c r="Z333" s="704" t="n"/>
      <c r="AA333" s="705" t="n"/>
      <c r="AB333" s="613" t="n"/>
      <c r="AC333" s="614" t="n"/>
      <c r="AD333" s="628" t="n"/>
      <c r="AE333" s="616" t="n"/>
      <c r="AF333" s="617" t="n"/>
      <c r="AG333" s="693" t="n"/>
      <c r="AH333" s="721" t="n"/>
      <c r="AI333" s="721" t="n"/>
      <c r="AJ333" s="688" t="n"/>
      <c r="AK333" s="689" t="n"/>
      <c r="AL333" s="690" t="n"/>
      <c r="AM333" s="691" t="n"/>
      <c r="AN333" s="692" t="n"/>
      <c r="AO333" s="693" t="n"/>
      <c r="AP333" s="693" t="n"/>
      <c r="AQ333" s="693" t="n"/>
      <c r="AR333" s="693" t="n"/>
      <c r="AS333" s="693" t="n"/>
      <c r="AT333" s="693" t="n"/>
      <c r="AU333" s="699" t="n"/>
      <c r="AV333" s="693" t="n"/>
      <c r="AW333" s="693" t="n"/>
      <c r="AX333" s="693" t="n"/>
      <c r="AY333" s="693" t="n"/>
      <c r="AZ333" s="693" t="n"/>
    </row>
    <row r="334">
      <c r="A334" s="688" t="n"/>
      <c r="B334" s="688" t="n"/>
      <c r="C334" s="473" t="n"/>
      <c r="D334" s="688" t="n"/>
      <c r="E334" s="689" t="n"/>
      <c r="F334" s="721" t="n"/>
      <c r="G3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4" s="474">
        <f>G334/#REF!</f>
        <v/>
      </c>
      <c r="I334" s="690" t="n"/>
      <c r="J3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4" s="474">
        <f>J334/#REF!</f>
        <v/>
      </c>
      <c r="L334" s="473" t="n"/>
      <c r="M334" s="692" t="n"/>
      <c r="N334" s="693" t="n"/>
      <c r="O334" s="78" t="n"/>
      <c r="P334" s="129" t="n"/>
      <c r="Q334" s="129" t="n"/>
      <c r="R334" s="129" t="n"/>
      <c r="S334" s="129" t="n"/>
      <c r="T334" s="129" t="n"/>
      <c r="U334" s="129" t="n"/>
      <c r="V334" s="129" t="n"/>
      <c r="W334" s="129" t="n"/>
      <c r="X334" s="129" t="n"/>
      <c r="Y334" s="708" t="n"/>
      <c r="Z334" s="709" t="n"/>
      <c r="AA334" s="710" t="n"/>
      <c r="AB334" s="590" t="n"/>
      <c r="AC334" s="591" t="n"/>
      <c r="AD334" s="592" t="n"/>
      <c r="AE334" s="593" t="n"/>
      <c r="AF334" s="594" t="n"/>
      <c r="AG334" s="693" t="n"/>
      <c r="AH334" s="721" t="n"/>
      <c r="AI334" s="721" t="n"/>
      <c r="AJ334" s="688" t="n"/>
      <c r="AK334" s="689" t="n"/>
      <c r="AL334" s="690" t="n"/>
      <c r="AM334" s="691" t="n"/>
      <c r="AN334" s="692" t="n"/>
      <c r="AO334" s="693" t="n"/>
      <c r="AP334" s="693" t="n"/>
      <c r="AQ334" s="693" t="n"/>
      <c r="AR334" s="693" t="n"/>
      <c r="AS334" s="693" t="n"/>
      <c r="AT334" s="693" t="n"/>
      <c r="AU334" s="699" t="n"/>
      <c r="AV334" s="693" t="n"/>
      <c r="AW334" s="693" t="n"/>
      <c r="AX334" s="693" t="n"/>
      <c r="AY334" s="693" t="n"/>
      <c r="AZ334" s="693" t="n"/>
    </row>
    <row r="335">
      <c r="A335" s="688" t="n"/>
      <c r="B335" s="688" t="n"/>
      <c r="C335" s="473" t="n"/>
      <c r="D335" s="688" t="n"/>
      <c r="E335" s="689" t="n"/>
      <c r="F335" s="721" t="n"/>
      <c r="G3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5" s="474">
        <f>G335/#REF!</f>
        <v/>
      </c>
      <c r="I335" s="690" t="n"/>
      <c r="J3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5" s="474">
        <f>J335/#REF!</f>
        <v/>
      </c>
      <c r="L335" s="473" t="n"/>
      <c r="M335" s="692" t="n"/>
      <c r="N335" s="693" t="n"/>
      <c r="O335" s="78" t="n"/>
      <c r="P335" s="129" t="n"/>
      <c r="Q335" s="129" t="n"/>
      <c r="R335" s="129" t="n"/>
      <c r="S335" s="129" t="n"/>
      <c r="T335" s="129" t="n"/>
      <c r="U335" s="129" t="n"/>
      <c r="V335" s="129" t="n"/>
      <c r="W335" s="129" t="n"/>
      <c r="X335" s="129" t="n"/>
      <c r="Y335" s="703" t="n"/>
      <c r="Z335" s="704" t="n"/>
      <c r="AA335" s="705" t="n"/>
      <c r="AB335" s="613" t="n"/>
      <c r="AC335" s="614" t="n"/>
      <c r="AD335" s="628" t="n"/>
      <c r="AE335" s="616" t="n"/>
      <c r="AF335" s="617" t="n"/>
      <c r="AG335" s="693" t="n"/>
      <c r="AH335" s="721" t="n"/>
      <c r="AI335" s="721" t="n"/>
      <c r="AJ335" s="688" t="n"/>
      <c r="AK335" s="689" t="n"/>
      <c r="AL335" s="690" t="n"/>
      <c r="AM335" s="691" t="n"/>
      <c r="AN335" s="692" t="n"/>
      <c r="AO335" s="693" t="n"/>
      <c r="AP335" s="693" t="n"/>
      <c r="AQ335" s="693" t="n"/>
      <c r="AR335" s="693" t="n"/>
      <c r="AS335" s="693" t="n"/>
      <c r="AT335" s="693" t="n"/>
      <c r="AU335" s="699" t="n"/>
      <c r="AV335" s="693" t="n"/>
      <c r="AW335" s="693" t="n"/>
      <c r="AX335" s="693" t="n"/>
      <c r="AY335" s="693" t="n"/>
      <c r="AZ335" s="693" t="n"/>
    </row>
    <row r="336">
      <c r="A336" s="688" t="n"/>
      <c r="B336" s="688" t="n"/>
      <c r="C336" s="473" t="n"/>
      <c r="D336" s="688" t="n"/>
      <c r="E336" s="689" t="n"/>
      <c r="F336" s="721" t="n"/>
      <c r="G3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6" s="474">
        <f>G336/#REF!</f>
        <v/>
      </c>
      <c r="I336" s="690" t="n"/>
      <c r="J3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6" s="474">
        <f>J336/#REF!</f>
        <v/>
      </c>
      <c r="L336" s="473" t="n"/>
      <c r="M336" s="692" t="n"/>
      <c r="N336" s="693" t="n"/>
      <c r="O336" s="78" t="n"/>
      <c r="P336" s="129" t="n"/>
      <c r="Q336" s="129" t="n"/>
      <c r="R336" s="129" t="n"/>
      <c r="S336" s="129" t="n"/>
      <c r="T336" s="129" t="n"/>
      <c r="U336" s="129" t="n"/>
      <c r="V336" s="129" t="n"/>
      <c r="W336" s="129" t="n"/>
      <c r="X336" s="129" t="n"/>
      <c r="Y336" s="708" t="n"/>
      <c r="Z336" s="709" t="n"/>
      <c r="AA336" s="710" t="n"/>
      <c r="AB336" s="590" t="n"/>
      <c r="AC336" s="591" t="n"/>
      <c r="AD336" s="592" t="n"/>
      <c r="AE336" s="593" t="n"/>
      <c r="AF336" s="594" t="n"/>
      <c r="AG336" s="693" t="n"/>
      <c r="AH336" s="721" t="n"/>
      <c r="AI336" s="721" t="n"/>
      <c r="AJ336" s="688" t="n"/>
      <c r="AK336" s="689" t="n"/>
      <c r="AL336" s="690" t="n"/>
      <c r="AM336" s="691" t="n"/>
      <c r="AN336" s="692" t="n"/>
      <c r="AO336" s="693" t="n"/>
      <c r="AP336" s="693" t="n"/>
      <c r="AQ336" s="693" t="n"/>
      <c r="AR336" s="693" t="n"/>
      <c r="AS336" s="693" t="n"/>
      <c r="AT336" s="693" t="n"/>
      <c r="AU336" s="699" t="n"/>
      <c r="AV336" s="693" t="n"/>
      <c r="AW336" s="693" t="n"/>
      <c r="AX336" s="693" t="n"/>
      <c r="AY336" s="693" t="n"/>
      <c r="AZ336" s="693" t="n"/>
    </row>
    <row r="337">
      <c r="A337" s="688" t="n"/>
      <c r="B337" s="688" t="n"/>
      <c r="C337" s="473" t="n"/>
      <c r="D337" s="688" t="n"/>
      <c r="E337" s="689" t="n"/>
      <c r="F337" s="721" t="n"/>
      <c r="G3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7" s="474">
        <f>G337/#REF!</f>
        <v/>
      </c>
      <c r="I337" s="690" t="n"/>
      <c r="J3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7" s="474">
        <f>J337/#REF!</f>
        <v/>
      </c>
      <c r="L337" s="473" t="n"/>
      <c r="M337" s="692" t="n"/>
      <c r="N337" s="693" t="n"/>
      <c r="O337" s="78" t="n"/>
      <c r="P337" s="129" t="n"/>
      <c r="Q337" s="129" t="n"/>
      <c r="R337" s="129" t="n"/>
      <c r="S337" s="129" t="n"/>
      <c r="T337" s="129" t="n"/>
      <c r="U337" s="129" t="n"/>
      <c r="V337" s="129" t="n"/>
      <c r="W337" s="129" t="n"/>
      <c r="X337" s="129" t="n"/>
      <c r="Y337" s="703" t="n"/>
      <c r="Z337" s="704" t="n"/>
      <c r="AA337" s="705" t="n"/>
      <c r="AB337" s="613" t="n"/>
      <c r="AC337" s="614" t="n"/>
      <c r="AD337" s="628" t="n"/>
      <c r="AE337" s="616" t="n"/>
      <c r="AF337" s="617" t="n"/>
      <c r="AG337" s="693" t="n"/>
      <c r="AH337" s="721" t="n"/>
      <c r="AI337" s="721" t="n"/>
      <c r="AJ337" s="688" t="n"/>
      <c r="AK337" s="689" t="n"/>
      <c r="AL337" s="690" t="n"/>
      <c r="AM337" s="691" t="n"/>
      <c r="AN337" s="692" t="n"/>
      <c r="AO337" s="693" t="n"/>
      <c r="AP337" s="693" t="n"/>
      <c r="AQ337" s="693" t="n"/>
      <c r="AR337" s="693" t="n"/>
      <c r="AS337" s="693" t="n"/>
      <c r="AT337" s="693" t="n"/>
      <c r="AU337" s="699" t="n"/>
      <c r="AV337" s="693" t="n"/>
      <c r="AW337" s="693" t="n"/>
      <c r="AX337" s="693" t="n"/>
      <c r="AY337" s="693" t="n"/>
      <c r="AZ337" s="693" t="n"/>
    </row>
    <row r="338">
      <c r="A338" s="688" t="n"/>
      <c r="B338" s="688" t="n"/>
      <c r="C338" s="473" t="n"/>
      <c r="D338" s="688" t="n"/>
      <c r="E338" s="689" t="n"/>
      <c r="F338" s="721" t="n"/>
      <c r="G3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8" s="474">
        <f>G338/#REF!</f>
        <v/>
      </c>
      <c r="I338" s="690" t="n"/>
      <c r="J3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8" s="474">
        <f>J338/#REF!</f>
        <v/>
      </c>
      <c r="L338" s="473" t="n"/>
      <c r="M338" s="692" t="n"/>
      <c r="N338" s="693" t="n"/>
      <c r="O338" s="78" t="n"/>
      <c r="P338" s="129" t="n"/>
      <c r="Q338" s="129" t="n"/>
      <c r="R338" s="129" t="n"/>
      <c r="S338" s="129" t="n"/>
      <c r="T338" s="129" t="n"/>
      <c r="U338" s="129" t="n"/>
      <c r="V338" s="129" t="n"/>
      <c r="W338" s="129" t="n"/>
      <c r="X338" s="129" t="n"/>
      <c r="Y338" s="708" t="n"/>
      <c r="Z338" s="709" t="n"/>
      <c r="AA338" s="710" t="n"/>
      <c r="AB338" s="590" t="n"/>
      <c r="AC338" s="591" t="n"/>
      <c r="AD338" s="592" t="n"/>
      <c r="AE338" s="593" t="n"/>
      <c r="AF338" s="594" t="n"/>
      <c r="AG338" s="693" t="n"/>
      <c r="AH338" s="721" t="n"/>
      <c r="AI338" s="721" t="n"/>
      <c r="AJ338" s="688" t="n"/>
      <c r="AK338" s="689" t="n"/>
      <c r="AL338" s="690" t="n"/>
      <c r="AM338" s="691" t="n"/>
      <c r="AN338" s="692" t="n"/>
      <c r="AO338" s="693" t="n"/>
      <c r="AP338" s="693" t="n"/>
      <c r="AQ338" s="693" t="n"/>
      <c r="AR338" s="693" t="n"/>
      <c r="AS338" s="693" t="n"/>
      <c r="AT338" s="693" t="n"/>
      <c r="AU338" s="699" t="n"/>
      <c r="AV338" s="693" t="n"/>
      <c r="AW338" s="693" t="n"/>
      <c r="AX338" s="693" t="n"/>
      <c r="AY338" s="693" t="n"/>
      <c r="AZ338" s="693" t="n"/>
    </row>
    <row r="339">
      <c r="A339" s="688" t="n"/>
      <c r="B339" s="688" t="n"/>
      <c r="C339" s="473" t="n"/>
      <c r="D339" s="688" t="n"/>
      <c r="E339" s="689" t="n"/>
      <c r="F339" s="721" t="n"/>
      <c r="G3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39" s="474">
        <f>G339/#REF!</f>
        <v/>
      </c>
      <c r="I339" s="690" t="n"/>
      <c r="J3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39" s="474">
        <f>J339/#REF!</f>
        <v/>
      </c>
      <c r="L339" s="473" t="n"/>
      <c r="M339" s="692" t="n"/>
      <c r="N339" s="693" t="n"/>
      <c r="O339" s="78" t="n"/>
      <c r="P339" s="129" t="n"/>
      <c r="Q339" s="129" t="n"/>
      <c r="R339" s="129" t="n"/>
      <c r="S339" s="129" t="n"/>
      <c r="T339" s="129" t="n"/>
      <c r="U339" s="129" t="n"/>
      <c r="V339" s="129" t="n"/>
      <c r="W339" s="129" t="n"/>
      <c r="X339" s="129" t="n"/>
      <c r="Y339" s="703" t="n"/>
      <c r="Z339" s="704" t="n"/>
      <c r="AA339" s="705" t="n"/>
      <c r="AB339" s="613" t="n"/>
      <c r="AC339" s="614" t="n"/>
      <c r="AD339" s="628" t="n"/>
      <c r="AE339" s="616" t="n"/>
      <c r="AF339" s="617" t="n"/>
      <c r="AG339" s="693" t="n"/>
      <c r="AH339" s="721" t="n"/>
      <c r="AI339" s="721" t="n"/>
      <c r="AJ339" s="688" t="n"/>
      <c r="AK339" s="689" t="n"/>
      <c r="AL339" s="690" t="n"/>
      <c r="AM339" s="691" t="n"/>
      <c r="AN339" s="692" t="n"/>
      <c r="AO339" s="693" t="n"/>
      <c r="AP339" s="693" t="n"/>
      <c r="AQ339" s="693" t="n"/>
      <c r="AR339" s="693" t="n"/>
      <c r="AS339" s="693" t="n"/>
      <c r="AT339" s="693" t="n"/>
      <c r="AU339" s="699" t="n"/>
      <c r="AV339" s="693" t="n"/>
      <c r="AW339" s="693" t="n"/>
      <c r="AX339" s="693" t="n"/>
      <c r="AY339" s="693" t="n"/>
      <c r="AZ339" s="693" t="n"/>
    </row>
    <row r="340">
      <c r="A340" s="688" t="n"/>
      <c r="B340" s="688" t="n"/>
      <c r="C340" s="473" t="n"/>
      <c r="D340" s="688" t="n"/>
      <c r="E340" s="689" t="n"/>
      <c r="F340" s="721" t="n"/>
      <c r="G3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0" s="474">
        <f>G340/#REF!</f>
        <v/>
      </c>
      <c r="I340" s="690" t="n"/>
      <c r="J3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0" s="474">
        <f>J340/#REF!</f>
        <v/>
      </c>
      <c r="L340" s="473" t="n"/>
      <c r="M340" s="692" t="n"/>
      <c r="N340" s="693" t="n"/>
      <c r="O340" s="78" t="n"/>
      <c r="P340" s="129" t="n"/>
      <c r="Q340" s="129" t="n"/>
      <c r="R340" s="129" t="n"/>
      <c r="S340" s="129" t="n"/>
      <c r="T340" s="129" t="n"/>
      <c r="U340" s="129" t="n"/>
      <c r="V340" s="129" t="n"/>
      <c r="W340" s="129" t="n"/>
      <c r="X340" s="129" t="n"/>
      <c r="Y340" s="708" t="n"/>
      <c r="Z340" s="709" t="n"/>
      <c r="AA340" s="710" t="n"/>
      <c r="AB340" s="590" t="n"/>
      <c r="AC340" s="591" t="n"/>
      <c r="AD340" s="592" t="n"/>
      <c r="AE340" s="593" t="n"/>
      <c r="AF340" s="594" t="n"/>
      <c r="AG340" s="693" t="n"/>
      <c r="AH340" s="721" t="n"/>
      <c r="AI340" s="721" t="n"/>
      <c r="AJ340" s="688" t="n"/>
      <c r="AK340" s="689" t="n"/>
      <c r="AL340" s="690" t="n"/>
      <c r="AM340" s="691" t="n"/>
      <c r="AN340" s="692" t="n"/>
      <c r="AO340" s="693" t="n"/>
      <c r="AP340" s="693" t="n"/>
      <c r="AQ340" s="693" t="n"/>
      <c r="AR340" s="693" t="n"/>
      <c r="AS340" s="693" t="n"/>
      <c r="AT340" s="693" t="n"/>
      <c r="AU340" s="699" t="n"/>
      <c r="AV340" s="693" t="n"/>
      <c r="AW340" s="693" t="n"/>
      <c r="AX340" s="693" t="n"/>
      <c r="AY340" s="693" t="n"/>
      <c r="AZ340" s="693" t="n"/>
    </row>
    <row r="341">
      <c r="A341" s="688" t="n"/>
      <c r="B341" s="688" t="n"/>
      <c r="C341" s="473" t="n"/>
      <c r="D341" s="688" t="n"/>
      <c r="E341" s="689" t="n"/>
      <c r="F341" s="721" t="n"/>
      <c r="G3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1" s="474">
        <f>G341/#REF!</f>
        <v/>
      </c>
      <c r="I341" s="690" t="n"/>
      <c r="J3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1" s="474">
        <f>J341/#REF!</f>
        <v/>
      </c>
      <c r="L341" s="473" t="n"/>
      <c r="M341" s="692" t="n"/>
      <c r="N341" s="693" t="n"/>
      <c r="O341" s="78" t="n"/>
      <c r="P341" s="129" t="n"/>
      <c r="Q341" s="129" t="n"/>
      <c r="R341" s="129" t="n"/>
      <c r="S341" s="129" t="n"/>
      <c r="T341" s="129" t="n"/>
      <c r="U341" s="129" t="n"/>
      <c r="V341" s="129" t="n"/>
      <c r="W341" s="129" t="n"/>
      <c r="X341" s="129" t="n"/>
      <c r="Y341" s="703" t="n"/>
      <c r="Z341" s="704" t="n"/>
      <c r="AA341" s="705" t="n"/>
      <c r="AB341" s="613" t="n"/>
      <c r="AC341" s="614" t="n"/>
      <c r="AD341" s="628" t="n"/>
      <c r="AE341" s="616" t="n"/>
      <c r="AF341" s="617" t="n"/>
      <c r="AG341" s="693" t="n"/>
      <c r="AH341" s="721" t="n"/>
      <c r="AI341" s="721" t="n"/>
      <c r="AJ341" s="688" t="n"/>
      <c r="AK341" s="689" t="n"/>
      <c r="AL341" s="690" t="n"/>
      <c r="AM341" s="691" t="n"/>
      <c r="AN341" s="692" t="n"/>
      <c r="AO341" s="693" t="n"/>
      <c r="AP341" s="693" t="n"/>
      <c r="AQ341" s="693" t="n"/>
      <c r="AR341" s="693" t="n"/>
      <c r="AS341" s="693" t="n"/>
      <c r="AT341" s="693" t="n"/>
      <c r="AU341" s="699" t="n"/>
      <c r="AV341" s="693" t="n"/>
      <c r="AW341" s="693" t="n"/>
      <c r="AX341" s="693" t="n"/>
      <c r="AY341" s="693" t="n"/>
      <c r="AZ341" s="693" t="n"/>
    </row>
    <row r="342">
      <c r="A342" s="688" t="n"/>
      <c r="B342" s="688" t="n"/>
      <c r="C342" s="473" t="n"/>
      <c r="D342" s="688" t="n"/>
      <c r="E342" s="689" t="n"/>
      <c r="F342" s="721" t="n"/>
      <c r="G3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2" s="474">
        <f>G342/#REF!</f>
        <v/>
      </c>
      <c r="I342" s="690" t="n"/>
      <c r="J3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2" s="474">
        <f>J342/#REF!</f>
        <v/>
      </c>
      <c r="L342" s="473" t="n"/>
      <c r="M342" s="692" t="n"/>
      <c r="N342" s="693" t="n"/>
      <c r="O342" s="78" t="n"/>
      <c r="P342" s="129" t="n"/>
      <c r="Q342" s="129" t="n"/>
      <c r="R342" s="129" t="n"/>
      <c r="S342" s="129" t="n"/>
      <c r="T342" s="129" t="n"/>
      <c r="U342" s="129" t="n"/>
      <c r="V342" s="129" t="n"/>
      <c r="W342" s="129" t="n"/>
      <c r="X342" s="129" t="n"/>
      <c r="Y342" s="708" t="n"/>
      <c r="Z342" s="709" t="n"/>
      <c r="AA342" s="710" t="n"/>
      <c r="AB342" s="590" t="n"/>
      <c r="AC342" s="591" t="n"/>
      <c r="AD342" s="592" t="n"/>
      <c r="AE342" s="593" t="n"/>
      <c r="AF342" s="594" t="n"/>
      <c r="AG342" s="693" t="n"/>
      <c r="AH342" s="721" t="n"/>
      <c r="AI342" s="721" t="n"/>
      <c r="AJ342" s="688" t="n"/>
      <c r="AK342" s="689" t="n"/>
      <c r="AL342" s="690" t="n"/>
      <c r="AM342" s="691" t="n"/>
      <c r="AN342" s="692" t="n"/>
      <c r="AO342" s="693" t="n"/>
      <c r="AP342" s="693" t="n"/>
      <c r="AQ342" s="693" t="n"/>
      <c r="AR342" s="693" t="n"/>
      <c r="AS342" s="693" t="n"/>
      <c r="AT342" s="693" t="n"/>
      <c r="AU342" s="699" t="n"/>
      <c r="AV342" s="693" t="n"/>
      <c r="AW342" s="693" t="n"/>
      <c r="AX342" s="693" t="n"/>
      <c r="AY342" s="693" t="n"/>
      <c r="AZ342" s="693" t="n"/>
    </row>
    <row r="343">
      <c r="A343" s="688" t="n"/>
      <c r="B343" s="688" t="n"/>
      <c r="C343" s="473" t="n"/>
      <c r="D343" s="688" t="n"/>
      <c r="E343" s="689" t="n"/>
      <c r="F343" s="721" t="n"/>
      <c r="G3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3" s="474">
        <f>G343/#REF!</f>
        <v/>
      </c>
      <c r="I343" s="690" t="n"/>
      <c r="J3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3" s="474">
        <f>J343/#REF!</f>
        <v/>
      </c>
      <c r="L343" s="473" t="n"/>
      <c r="M343" s="692" t="n"/>
      <c r="N343" s="693" t="n"/>
      <c r="O343" s="78" t="n"/>
      <c r="P343" s="129" t="n"/>
      <c r="Q343" s="129" t="n"/>
      <c r="R343" s="129" t="n"/>
      <c r="S343" s="129" t="n"/>
      <c r="T343" s="129" t="n"/>
      <c r="U343" s="129" t="n"/>
      <c r="V343" s="129" t="n"/>
      <c r="W343" s="129" t="n"/>
      <c r="X343" s="129" t="n"/>
      <c r="Y343" s="703" t="n"/>
      <c r="Z343" s="704" t="n"/>
      <c r="AA343" s="705" t="n"/>
      <c r="AB343" s="613" t="n"/>
      <c r="AC343" s="614" t="n"/>
      <c r="AD343" s="628" t="n"/>
      <c r="AE343" s="616" t="n"/>
      <c r="AF343" s="617" t="n"/>
      <c r="AG343" s="693" t="n"/>
      <c r="AH343" s="721" t="n"/>
      <c r="AI343" s="721" t="n"/>
      <c r="AJ343" s="688" t="n"/>
      <c r="AK343" s="689" t="n"/>
      <c r="AL343" s="690" t="n"/>
      <c r="AM343" s="691" t="n"/>
      <c r="AN343" s="692" t="n"/>
      <c r="AO343" s="693" t="n"/>
      <c r="AP343" s="693" t="n"/>
      <c r="AQ343" s="693" t="n"/>
      <c r="AR343" s="693" t="n"/>
      <c r="AS343" s="693" t="n"/>
      <c r="AT343" s="693" t="n"/>
      <c r="AU343" s="699" t="n"/>
      <c r="AV343" s="693" t="n"/>
      <c r="AW343" s="693" t="n"/>
      <c r="AX343" s="693" t="n"/>
      <c r="AY343" s="693" t="n"/>
      <c r="AZ343" s="693" t="n"/>
    </row>
    <row r="344">
      <c r="A344" s="688" t="n"/>
      <c r="B344" s="688" t="n"/>
      <c r="C344" s="473" t="n"/>
      <c r="D344" s="688" t="n"/>
      <c r="E344" s="689" t="n"/>
      <c r="F344" s="721" t="n"/>
      <c r="G3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4" s="474">
        <f>G344/#REF!</f>
        <v/>
      </c>
      <c r="I344" s="690" t="n"/>
      <c r="J3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4" s="474">
        <f>J344/#REF!</f>
        <v/>
      </c>
      <c r="L344" s="473" t="n"/>
      <c r="M344" s="692" t="n"/>
      <c r="N344" s="693" t="n"/>
      <c r="O344" s="78" t="n"/>
      <c r="P344" s="129" t="n"/>
      <c r="Q344" s="129" t="n"/>
      <c r="R344" s="129" t="n"/>
      <c r="S344" s="129" t="n"/>
      <c r="T344" s="129" t="n"/>
      <c r="U344" s="129" t="n"/>
      <c r="V344" s="129" t="n"/>
      <c r="W344" s="129" t="n"/>
      <c r="X344" s="129" t="n"/>
      <c r="Y344" s="708" t="n"/>
      <c r="Z344" s="709" t="n"/>
      <c r="AA344" s="710" t="n"/>
      <c r="AB344" s="590" t="n"/>
      <c r="AC344" s="591" t="n"/>
      <c r="AD344" s="592" t="n"/>
      <c r="AE344" s="593" t="n"/>
      <c r="AF344" s="594" t="n"/>
      <c r="AG344" s="693" t="n"/>
      <c r="AH344" s="721" t="n"/>
      <c r="AI344" s="721" t="n"/>
      <c r="AJ344" s="688" t="n"/>
      <c r="AK344" s="689" t="n"/>
      <c r="AL344" s="690" t="n"/>
      <c r="AM344" s="691" t="n"/>
      <c r="AN344" s="692" t="n"/>
      <c r="AO344" s="693" t="n"/>
      <c r="AP344" s="693" t="n"/>
      <c r="AQ344" s="693" t="n"/>
      <c r="AR344" s="693" t="n"/>
      <c r="AS344" s="693" t="n"/>
      <c r="AT344" s="693" t="n"/>
      <c r="AU344" s="699" t="n"/>
      <c r="AV344" s="693" t="n"/>
      <c r="AW344" s="693" t="n"/>
      <c r="AX344" s="693" t="n"/>
      <c r="AY344" s="693" t="n"/>
      <c r="AZ344" s="693" t="n"/>
    </row>
    <row r="345">
      <c r="A345" s="688" t="n"/>
      <c r="B345" s="688" t="n"/>
      <c r="C345" s="473" t="n"/>
      <c r="D345" s="688" t="n"/>
      <c r="E345" s="689" t="n"/>
      <c r="F345" s="721" t="n"/>
      <c r="G3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5" s="474">
        <f>G345/#REF!</f>
        <v/>
      </c>
      <c r="I345" s="690" t="n"/>
      <c r="J3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5" s="474">
        <f>J345/#REF!</f>
        <v/>
      </c>
      <c r="L345" s="473" t="n"/>
      <c r="M345" s="692" t="n"/>
      <c r="N345" s="693" t="n"/>
      <c r="O345" s="78" t="n"/>
      <c r="P345" s="129" t="n"/>
      <c r="Q345" s="129" t="n"/>
      <c r="R345" s="129" t="n"/>
      <c r="S345" s="129" t="n"/>
      <c r="T345" s="129" t="n"/>
      <c r="U345" s="129" t="n"/>
      <c r="V345" s="129" t="n"/>
      <c r="W345" s="129" t="n"/>
      <c r="X345" s="129" t="n"/>
      <c r="Y345" s="703" t="n"/>
      <c r="Z345" s="704" t="n"/>
      <c r="AA345" s="705" t="n"/>
      <c r="AB345" s="613" t="n"/>
      <c r="AC345" s="614" t="n"/>
      <c r="AD345" s="628" t="n"/>
      <c r="AE345" s="616" t="n"/>
      <c r="AF345" s="617" t="n"/>
      <c r="AG345" s="693" t="n"/>
      <c r="AH345" s="721" t="n"/>
      <c r="AI345" s="721" t="n"/>
      <c r="AJ345" s="688" t="n"/>
      <c r="AK345" s="689" t="n"/>
      <c r="AL345" s="690" t="n"/>
      <c r="AM345" s="691" t="n"/>
      <c r="AN345" s="692" t="n"/>
      <c r="AO345" s="693" t="n"/>
      <c r="AP345" s="693" t="n"/>
      <c r="AQ345" s="693" t="n"/>
      <c r="AR345" s="693" t="n"/>
      <c r="AS345" s="693" t="n"/>
      <c r="AT345" s="693" t="n"/>
      <c r="AU345" s="699" t="n"/>
      <c r="AV345" s="693" t="n"/>
      <c r="AW345" s="693" t="n"/>
      <c r="AX345" s="693" t="n"/>
      <c r="AY345" s="693" t="n"/>
      <c r="AZ345" s="693" t="n"/>
    </row>
    <row r="346">
      <c r="A346" s="688" t="n"/>
      <c r="B346" s="688" t="n"/>
      <c r="C346" s="473" t="n"/>
      <c r="D346" s="688" t="n"/>
      <c r="E346" s="689" t="n"/>
      <c r="F346" s="721" t="n"/>
      <c r="G3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6" s="474">
        <f>G346/#REF!</f>
        <v/>
      </c>
      <c r="I346" s="690" t="n"/>
      <c r="J3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6" s="474">
        <f>J346/#REF!</f>
        <v/>
      </c>
      <c r="L346" s="473" t="n"/>
      <c r="M346" s="692" t="n"/>
      <c r="N346" s="693" t="n"/>
      <c r="O346" s="78" t="n"/>
      <c r="P346" s="129" t="n"/>
      <c r="Q346" s="129" t="n"/>
      <c r="R346" s="129" t="n"/>
      <c r="S346" s="129" t="n"/>
      <c r="T346" s="129" t="n"/>
      <c r="U346" s="129" t="n"/>
      <c r="V346" s="129" t="n"/>
      <c r="W346" s="129" t="n"/>
      <c r="X346" s="129" t="n"/>
      <c r="Y346" s="708" t="n"/>
      <c r="Z346" s="709" t="n"/>
      <c r="AA346" s="710" t="n"/>
      <c r="AB346" s="590" t="n"/>
      <c r="AC346" s="591" t="n"/>
      <c r="AD346" s="592" t="n"/>
      <c r="AE346" s="593" t="n"/>
      <c r="AF346" s="594" t="n"/>
      <c r="AG346" s="693" t="n"/>
      <c r="AH346" s="721" t="n"/>
      <c r="AI346" s="721" t="n"/>
      <c r="AJ346" s="688" t="n"/>
      <c r="AK346" s="689" t="n"/>
      <c r="AL346" s="690" t="n"/>
      <c r="AM346" s="691" t="n"/>
      <c r="AN346" s="692" t="n"/>
      <c r="AO346" s="693" t="n"/>
      <c r="AP346" s="693" t="n"/>
      <c r="AQ346" s="693" t="n"/>
      <c r="AR346" s="693" t="n"/>
      <c r="AS346" s="693" t="n"/>
      <c r="AT346" s="693" t="n"/>
      <c r="AU346" s="699" t="n"/>
      <c r="AV346" s="693" t="n"/>
      <c r="AW346" s="693" t="n"/>
      <c r="AX346" s="693" t="n"/>
      <c r="AY346" s="693" t="n"/>
      <c r="AZ346" s="693" t="n"/>
    </row>
    <row r="347">
      <c r="A347" s="688" t="n"/>
      <c r="B347" s="688" t="n"/>
      <c r="C347" s="473" t="n"/>
      <c r="D347" s="688" t="n"/>
      <c r="E347" s="689" t="n"/>
      <c r="F347" s="721" t="n"/>
      <c r="G3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7" s="474">
        <f>G347/#REF!</f>
        <v/>
      </c>
      <c r="I347" s="690" t="n"/>
      <c r="J3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7" s="474">
        <f>J347/#REF!</f>
        <v/>
      </c>
      <c r="L347" s="473" t="n"/>
      <c r="M347" s="692" t="n"/>
      <c r="N347" s="693" t="n"/>
      <c r="O347" s="78" t="n"/>
      <c r="P347" s="129" t="n"/>
      <c r="Q347" s="129" t="n"/>
      <c r="R347" s="129" t="n"/>
      <c r="S347" s="129" t="n"/>
      <c r="T347" s="129" t="n"/>
      <c r="U347" s="129" t="n"/>
      <c r="V347" s="129" t="n"/>
      <c r="W347" s="129" t="n"/>
      <c r="X347" s="129" t="n"/>
      <c r="Y347" s="703" t="n"/>
      <c r="Z347" s="704" t="n"/>
      <c r="AA347" s="705" t="n"/>
      <c r="AB347" s="613" t="n"/>
      <c r="AC347" s="614" t="n"/>
      <c r="AD347" s="628" t="n"/>
      <c r="AE347" s="616" t="n"/>
      <c r="AF347" s="617" t="n"/>
      <c r="AG347" s="693" t="n"/>
      <c r="AH347" s="721" t="n"/>
      <c r="AI347" s="721" t="n"/>
      <c r="AJ347" s="688" t="n"/>
      <c r="AK347" s="689" t="n"/>
      <c r="AL347" s="690" t="n"/>
      <c r="AM347" s="691" t="n"/>
      <c r="AN347" s="692" t="n"/>
      <c r="AO347" s="693" t="n"/>
      <c r="AP347" s="693" t="n"/>
      <c r="AQ347" s="693" t="n"/>
      <c r="AR347" s="693" t="n"/>
      <c r="AS347" s="693" t="n"/>
      <c r="AT347" s="693" t="n"/>
      <c r="AU347" s="699" t="n"/>
      <c r="AV347" s="693" t="n"/>
      <c r="AW347" s="693" t="n"/>
      <c r="AX347" s="693" t="n"/>
      <c r="AY347" s="693" t="n"/>
      <c r="AZ347" s="693" t="n"/>
    </row>
    <row r="348">
      <c r="A348" s="688" t="n"/>
      <c r="B348" s="688" t="n"/>
      <c r="C348" s="473" t="n"/>
      <c r="D348" s="688" t="n"/>
      <c r="E348" s="689" t="n"/>
      <c r="F348" s="721" t="n"/>
      <c r="G3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8" s="474">
        <f>G348/#REF!</f>
        <v/>
      </c>
      <c r="I348" s="690" t="n"/>
      <c r="J3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8" s="474">
        <f>J348/#REF!</f>
        <v/>
      </c>
      <c r="L348" s="473" t="n"/>
      <c r="M348" s="692" t="n"/>
      <c r="N348" s="693" t="n"/>
      <c r="O348" s="78" t="n"/>
      <c r="P348" s="129" t="n"/>
      <c r="Q348" s="129" t="n"/>
      <c r="R348" s="129" t="n"/>
      <c r="S348" s="129" t="n"/>
      <c r="T348" s="129" t="n"/>
      <c r="U348" s="129" t="n"/>
      <c r="V348" s="129" t="n"/>
      <c r="W348" s="129" t="n"/>
      <c r="X348" s="129" t="n"/>
      <c r="Y348" s="708" t="n"/>
      <c r="Z348" s="709" t="n"/>
      <c r="AA348" s="710" t="n"/>
      <c r="AB348" s="590" t="n"/>
      <c r="AC348" s="591" t="n"/>
      <c r="AD348" s="592" t="n"/>
      <c r="AE348" s="593" t="n"/>
      <c r="AF348" s="594" t="n"/>
      <c r="AG348" s="693" t="n"/>
      <c r="AH348" s="721" t="n"/>
      <c r="AI348" s="721" t="n"/>
      <c r="AJ348" s="688" t="n"/>
      <c r="AK348" s="689" t="n"/>
      <c r="AL348" s="690" t="n"/>
      <c r="AM348" s="691" t="n"/>
      <c r="AN348" s="692" t="n"/>
      <c r="AO348" s="693" t="n"/>
      <c r="AP348" s="693" t="n"/>
      <c r="AQ348" s="693" t="n"/>
      <c r="AR348" s="693" t="n"/>
      <c r="AS348" s="693" t="n"/>
      <c r="AT348" s="693" t="n"/>
      <c r="AU348" s="699" t="n"/>
      <c r="AV348" s="693" t="n"/>
      <c r="AW348" s="693" t="n"/>
      <c r="AX348" s="693" t="n"/>
      <c r="AY348" s="693" t="n"/>
      <c r="AZ348" s="693" t="n"/>
    </row>
    <row r="349">
      <c r="A349" s="688" t="n"/>
      <c r="B349" s="688" t="n"/>
      <c r="C349" s="473" t="n"/>
      <c r="D349" s="688" t="n"/>
      <c r="E349" s="689" t="n"/>
      <c r="F349" s="721" t="n"/>
      <c r="G3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49" s="474">
        <f>G349/#REF!</f>
        <v/>
      </c>
      <c r="I349" s="690" t="n"/>
      <c r="J3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49" s="474">
        <f>J349/#REF!</f>
        <v/>
      </c>
      <c r="L349" s="473" t="n"/>
      <c r="M349" s="692" t="n"/>
      <c r="N349" s="693" t="n"/>
      <c r="O349" s="78" t="n"/>
      <c r="P349" s="129" t="n"/>
      <c r="Q349" s="129" t="n"/>
      <c r="R349" s="129" t="n"/>
      <c r="S349" s="129" t="n"/>
      <c r="T349" s="129" t="n"/>
      <c r="U349" s="129" t="n"/>
      <c r="V349" s="129" t="n"/>
      <c r="W349" s="129" t="n"/>
      <c r="X349" s="129" t="n"/>
      <c r="Y349" s="703" t="n"/>
      <c r="Z349" s="704" t="n"/>
      <c r="AA349" s="705" t="n"/>
      <c r="AB349" s="613" t="n"/>
      <c r="AC349" s="614" t="n"/>
      <c r="AD349" s="628" t="n"/>
      <c r="AE349" s="616" t="n"/>
      <c r="AF349" s="617" t="n"/>
      <c r="AG349" s="693" t="n"/>
      <c r="AH349" s="721" t="n"/>
      <c r="AI349" s="721" t="n"/>
      <c r="AJ349" s="688" t="n"/>
      <c r="AK349" s="689" t="n"/>
      <c r="AL349" s="690" t="n"/>
      <c r="AM349" s="691" t="n"/>
      <c r="AN349" s="692" t="n"/>
      <c r="AO349" s="693" t="n"/>
      <c r="AP349" s="693" t="n"/>
      <c r="AQ349" s="693" t="n"/>
      <c r="AR349" s="693" t="n"/>
      <c r="AS349" s="693" t="n"/>
      <c r="AT349" s="693" t="n"/>
      <c r="AU349" s="699" t="n"/>
      <c r="AV349" s="693" t="n"/>
      <c r="AW349" s="693" t="n"/>
      <c r="AX349" s="693" t="n"/>
      <c r="AY349" s="693" t="n"/>
      <c r="AZ349" s="693" t="n"/>
    </row>
    <row r="350">
      <c r="A350" s="688" t="n"/>
      <c r="B350" s="688" t="n"/>
      <c r="C350" s="473" t="n"/>
      <c r="D350" s="688" t="n"/>
      <c r="E350" s="689" t="n"/>
      <c r="F350" s="721" t="n"/>
      <c r="G3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0" s="474">
        <f>G350/#REF!</f>
        <v/>
      </c>
      <c r="I350" s="690" t="n"/>
      <c r="J3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0" s="474">
        <f>J350/#REF!</f>
        <v/>
      </c>
      <c r="L350" s="473" t="n"/>
      <c r="M350" s="692" t="n"/>
      <c r="N350" s="693" t="n"/>
      <c r="O350" s="78" t="n"/>
      <c r="P350" s="129" t="n"/>
      <c r="Q350" s="129" t="n"/>
      <c r="R350" s="129" t="n"/>
      <c r="S350" s="129" t="n"/>
      <c r="T350" s="129" t="n"/>
      <c r="U350" s="129" t="n"/>
      <c r="V350" s="129" t="n"/>
      <c r="W350" s="129" t="n"/>
      <c r="X350" s="129" t="n"/>
      <c r="Y350" s="708" t="n"/>
      <c r="Z350" s="709" t="n"/>
      <c r="AA350" s="710" t="n"/>
      <c r="AB350" s="590" t="n"/>
      <c r="AC350" s="591" t="n"/>
      <c r="AD350" s="592" t="n"/>
      <c r="AE350" s="593" t="n"/>
      <c r="AF350" s="594" t="n"/>
      <c r="AG350" s="693" t="n"/>
      <c r="AH350" s="721" t="n"/>
      <c r="AI350" s="721" t="n"/>
      <c r="AJ350" s="688" t="n"/>
      <c r="AK350" s="689" t="n"/>
      <c r="AL350" s="690" t="n"/>
      <c r="AM350" s="691" t="n"/>
      <c r="AN350" s="692" t="n"/>
      <c r="AO350" s="693" t="n"/>
      <c r="AP350" s="693" t="n"/>
      <c r="AQ350" s="693" t="n"/>
      <c r="AR350" s="693" t="n"/>
      <c r="AS350" s="693" t="n"/>
      <c r="AT350" s="693" t="n"/>
      <c r="AU350" s="699" t="n"/>
      <c r="AV350" s="693" t="n"/>
      <c r="AW350" s="693" t="n"/>
      <c r="AX350" s="693" t="n"/>
      <c r="AY350" s="693" t="n"/>
      <c r="AZ350" s="693" t="n"/>
    </row>
    <row r="351">
      <c r="A351" s="688" t="n"/>
      <c r="B351" s="688" t="n"/>
      <c r="C351" s="473" t="n"/>
      <c r="D351" s="688" t="n"/>
      <c r="E351" s="689" t="n"/>
      <c r="F351" s="721" t="n"/>
      <c r="G3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1" s="474">
        <f>G351/#REF!</f>
        <v/>
      </c>
      <c r="I351" s="690" t="n"/>
      <c r="J3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1" s="474">
        <f>J351/#REF!</f>
        <v/>
      </c>
      <c r="L351" s="473" t="n"/>
      <c r="M351" s="692" t="n"/>
      <c r="N351" s="693" t="n"/>
      <c r="O351" s="78" t="n"/>
      <c r="P351" s="129" t="n"/>
      <c r="Q351" s="129" t="n"/>
      <c r="R351" s="129" t="n"/>
      <c r="S351" s="129" t="n"/>
      <c r="T351" s="129" t="n"/>
      <c r="U351" s="129" t="n"/>
      <c r="V351" s="129" t="n"/>
      <c r="W351" s="129" t="n"/>
      <c r="X351" s="129" t="n"/>
      <c r="Y351" s="703" t="n"/>
      <c r="Z351" s="704" t="n"/>
      <c r="AA351" s="705" t="n"/>
      <c r="AB351" s="613" t="n"/>
      <c r="AC351" s="614" t="n"/>
      <c r="AD351" s="628" t="n"/>
      <c r="AE351" s="616" t="n"/>
      <c r="AF351" s="617" t="n"/>
      <c r="AG351" s="693" t="n"/>
      <c r="AH351" s="721" t="n"/>
      <c r="AI351" s="721" t="n"/>
      <c r="AJ351" s="688" t="n"/>
      <c r="AK351" s="689" t="n"/>
      <c r="AL351" s="690" t="n"/>
      <c r="AM351" s="691" t="n"/>
      <c r="AN351" s="692" t="n"/>
      <c r="AO351" s="693" t="n"/>
      <c r="AP351" s="693" t="n"/>
      <c r="AQ351" s="693" t="n"/>
      <c r="AR351" s="693" t="n"/>
      <c r="AS351" s="693" t="n"/>
      <c r="AT351" s="693" t="n"/>
      <c r="AU351" s="699" t="n"/>
      <c r="AV351" s="693" t="n"/>
      <c r="AW351" s="693" t="n"/>
      <c r="AX351" s="693" t="n"/>
      <c r="AY351" s="693" t="n"/>
      <c r="AZ351" s="693" t="n"/>
    </row>
    <row r="352">
      <c r="A352" s="688" t="n"/>
      <c r="B352" s="688" t="n"/>
      <c r="C352" s="473" t="n"/>
      <c r="D352" s="688" t="n"/>
      <c r="E352" s="689" t="n"/>
      <c r="F352" s="721" t="n"/>
      <c r="G3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2" s="474">
        <f>G352/#REF!</f>
        <v/>
      </c>
      <c r="I352" s="690" t="n"/>
      <c r="J3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2" s="474">
        <f>J352/#REF!</f>
        <v/>
      </c>
      <c r="L352" s="473" t="n"/>
      <c r="M352" s="692" t="n"/>
      <c r="N352" s="693" t="n"/>
      <c r="O352" s="78" t="n"/>
      <c r="P352" s="129" t="n"/>
      <c r="Q352" s="129" t="n"/>
      <c r="R352" s="129" t="n"/>
      <c r="S352" s="129" t="n"/>
      <c r="T352" s="129" t="n"/>
      <c r="U352" s="129" t="n"/>
      <c r="V352" s="129" t="n"/>
      <c r="W352" s="129" t="n"/>
      <c r="X352" s="129" t="n"/>
      <c r="Y352" s="708" t="n"/>
      <c r="Z352" s="709" t="n"/>
      <c r="AA352" s="710" t="n"/>
      <c r="AB352" s="590" t="n"/>
      <c r="AC352" s="591" t="n"/>
      <c r="AD352" s="592" t="n"/>
      <c r="AE352" s="593" t="n"/>
      <c r="AF352" s="594" t="n"/>
      <c r="AG352" s="693" t="n"/>
      <c r="AH352" s="721" t="n"/>
      <c r="AI352" s="721" t="n"/>
      <c r="AJ352" s="688" t="n"/>
      <c r="AK352" s="689" t="n"/>
      <c r="AL352" s="690" t="n"/>
      <c r="AM352" s="691" t="n"/>
      <c r="AN352" s="692" t="n"/>
      <c r="AO352" s="693" t="n"/>
      <c r="AP352" s="693" t="n"/>
      <c r="AQ352" s="693" t="n"/>
      <c r="AR352" s="693" t="n"/>
      <c r="AS352" s="693" t="n"/>
      <c r="AT352" s="693" t="n"/>
      <c r="AU352" s="699" t="n"/>
      <c r="AV352" s="693" t="n"/>
      <c r="AW352" s="693" t="n"/>
      <c r="AX352" s="693" t="n"/>
      <c r="AY352" s="693" t="n"/>
      <c r="AZ352" s="693" t="n"/>
    </row>
    <row r="353">
      <c r="A353" s="688" t="n"/>
      <c r="B353" s="688" t="n"/>
      <c r="C353" s="473" t="n"/>
      <c r="D353" s="688" t="n"/>
      <c r="E353" s="689" t="n"/>
      <c r="F353" s="721" t="n"/>
      <c r="G3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3" s="474">
        <f>G353/#REF!</f>
        <v/>
      </c>
      <c r="I353" s="690" t="n"/>
      <c r="J3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3" s="474">
        <f>J353/#REF!</f>
        <v/>
      </c>
      <c r="L353" s="473" t="n"/>
      <c r="M353" s="692" t="n"/>
      <c r="N353" s="693" t="n"/>
      <c r="O353" s="78" t="n"/>
      <c r="P353" s="129" t="n"/>
      <c r="Q353" s="129" t="n"/>
      <c r="R353" s="129" t="n"/>
      <c r="S353" s="129" t="n"/>
      <c r="T353" s="129" t="n"/>
      <c r="U353" s="129" t="n"/>
      <c r="V353" s="129" t="n"/>
      <c r="W353" s="129" t="n"/>
      <c r="X353" s="129" t="n"/>
      <c r="Y353" s="703" t="n"/>
      <c r="Z353" s="704" t="n"/>
      <c r="AA353" s="705" t="n"/>
      <c r="AB353" s="613" t="n"/>
      <c r="AC353" s="614" t="n"/>
      <c r="AD353" s="628" t="n"/>
      <c r="AE353" s="616" t="n"/>
      <c r="AF353" s="617" t="n"/>
      <c r="AG353" s="693" t="n"/>
      <c r="AH353" s="721" t="n"/>
      <c r="AI353" s="721" t="n"/>
      <c r="AJ353" s="688" t="n"/>
      <c r="AK353" s="689" t="n"/>
      <c r="AL353" s="690" t="n"/>
      <c r="AM353" s="691" t="n"/>
      <c r="AN353" s="692" t="n"/>
      <c r="AO353" s="693" t="n"/>
      <c r="AP353" s="693" t="n"/>
      <c r="AQ353" s="693" t="n"/>
      <c r="AR353" s="693" t="n"/>
      <c r="AS353" s="693" t="n"/>
      <c r="AT353" s="693" t="n"/>
      <c r="AU353" s="699" t="n"/>
      <c r="AV353" s="693" t="n"/>
      <c r="AW353" s="693" t="n"/>
      <c r="AX353" s="693" t="n"/>
      <c r="AY353" s="693" t="n"/>
      <c r="AZ353" s="693" t="n"/>
    </row>
    <row r="354">
      <c r="A354" s="688" t="n"/>
      <c r="B354" s="688" t="n"/>
      <c r="C354" s="473" t="n"/>
      <c r="D354" s="688" t="n"/>
      <c r="E354" s="689" t="n"/>
      <c r="F354" s="721" t="n"/>
      <c r="G3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4" s="474">
        <f>G354/#REF!</f>
        <v/>
      </c>
      <c r="I354" s="690" t="n"/>
      <c r="J3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4" s="474">
        <f>J354/#REF!</f>
        <v/>
      </c>
      <c r="L354" s="473" t="n"/>
      <c r="M354" s="692" t="n"/>
      <c r="N354" s="693" t="n"/>
      <c r="O354" s="78" t="n"/>
      <c r="P354" s="129" t="n"/>
      <c r="Q354" s="129" t="n"/>
      <c r="R354" s="129" t="n"/>
      <c r="S354" s="129" t="n"/>
      <c r="T354" s="129" t="n"/>
      <c r="U354" s="129" t="n"/>
      <c r="V354" s="129" t="n"/>
      <c r="W354" s="129" t="n"/>
      <c r="X354" s="129" t="n"/>
      <c r="Y354" s="708" t="n"/>
      <c r="Z354" s="709" t="n"/>
      <c r="AA354" s="710" t="n"/>
      <c r="AB354" s="590" t="n"/>
      <c r="AC354" s="591" t="n"/>
      <c r="AD354" s="592" t="n"/>
      <c r="AE354" s="593" t="n"/>
      <c r="AF354" s="594" t="n"/>
      <c r="AG354" s="693" t="n"/>
      <c r="AH354" s="721" t="n"/>
      <c r="AI354" s="721" t="n"/>
      <c r="AJ354" s="688" t="n"/>
      <c r="AK354" s="689" t="n"/>
      <c r="AL354" s="690" t="n"/>
      <c r="AM354" s="691" t="n"/>
      <c r="AN354" s="692" t="n"/>
      <c r="AO354" s="693" t="n"/>
      <c r="AP354" s="693" t="n"/>
      <c r="AQ354" s="693" t="n"/>
      <c r="AR354" s="693" t="n"/>
      <c r="AS354" s="693" t="n"/>
      <c r="AT354" s="693" t="n"/>
      <c r="AU354" s="699" t="n"/>
      <c r="AV354" s="693" t="n"/>
      <c r="AW354" s="693" t="n"/>
      <c r="AX354" s="693" t="n"/>
      <c r="AY354" s="693" t="n"/>
      <c r="AZ354" s="693" t="n"/>
    </row>
    <row r="355">
      <c r="A355" s="688" t="n"/>
      <c r="B355" s="688" t="n"/>
      <c r="C355" s="473" t="n"/>
      <c r="D355" s="688" t="n"/>
      <c r="E355" s="689" t="n"/>
      <c r="F355" s="721" t="n"/>
      <c r="G3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5" s="474">
        <f>G355/#REF!</f>
        <v/>
      </c>
      <c r="I355" s="690" t="n"/>
      <c r="J3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5" s="474">
        <f>J355/#REF!</f>
        <v/>
      </c>
      <c r="L355" s="473" t="n"/>
      <c r="M355" s="692" t="n"/>
      <c r="N355" s="693" t="n"/>
      <c r="O355" s="78" t="n"/>
      <c r="P355" s="129" t="n"/>
      <c r="Q355" s="129" t="n"/>
      <c r="R355" s="129" t="n"/>
      <c r="S355" s="129" t="n"/>
      <c r="T355" s="129" t="n"/>
      <c r="U355" s="129" t="n"/>
      <c r="V355" s="129" t="n"/>
      <c r="W355" s="129" t="n"/>
      <c r="X355" s="129" t="n"/>
      <c r="Y355" s="703" t="n"/>
      <c r="Z355" s="704" t="n"/>
      <c r="AA355" s="705" t="n"/>
      <c r="AB355" s="613" t="n"/>
      <c r="AC355" s="614" t="n"/>
      <c r="AD355" s="628" t="n"/>
      <c r="AE355" s="616" t="n"/>
      <c r="AF355" s="617" t="n"/>
      <c r="AG355" s="693" t="n"/>
      <c r="AH355" s="721" t="n"/>
      <c r="AI355" s="721" t="n"/>
      <c r="AJ355" s="688" t="n"/>
      <c r="AK355" s="689" t="n"/>
      <c r="AL355" s="690" t="n"/>
      <c r="AM355" s="691" t="n"/>
      <c r="AN355" s="692" t="n"/>
      <c r="AO355" s="693" t="n"/>
      <c r="AP355" s="693" t="n"/>
      <c r="AQ355" s="693" t="n"/>
      <c r="AR355" s="693" t="n"/>
      <c r="AS355" s="693" t="n"/>
      <c r="AT355" s="693" t="n"/>
      <c r="AU355" s="699" t="n"/>
      <c r="AV355" s="693" t="n"/>
      <c r="AW355" s="693" t="n"/>
      <c r="AX355" s="693" t="n"/>
      <c r="AY355" s="693" t="n"/>
      <c r="AZ355" s="693" t="n"/>
    </row>
    <row r="356">
      <c r="A356" s="688" t="n"/>
      <c r="B356" s="688" t="n"/>
      <c r="C356" s="473" t="n"/>
      <c r="D356" s="688" t="n"/>
      <c r="E356" s="689" t="n"/>
      <c r="F356" s="721" t="n"/>
      <c r="G3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6" s="474">
        <f>G356/#REF!</f>
        <v/>
      </c>
      <c r="I356" s="690" t="n"/>
      <c r="J3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6" s="474">
        <f>J356/#REF!</f>
        <v/>
      </c>
      <c r="L356" s="473" t="n"/>
      <c r="M356" s="692" t="n"/>
      <c r="N356" s="693" t="n"/>
      <c r="O356" s="78" t="n"/>
      <c r="P356" s="129" t="n"/>
      <c r="Q356" s="129" t="n"/>
      <c r="R356" s="129" t="n"/>
      <c r="S356" s="129" t="n"/>
      <c r="T356" s="129" t="n"/>
      <c r="U356" s="129" t="n"/>
      <c r="V356" s="129" t="n"/>
      <c r="W356" s="129" t="n"/>
      <c r="X356" s="129" t="n"/>
      <c r="Y356" s="708" t="n"/>
      <c r="Z356" s="709" t="n"/>
      <c r="AA356" s="710" t="n"/>
      <c r="AB356" s="590" t="n"/>
      <c r="AC356" s="591" t="n"/>
      <c r="AD356" s="592" t="n"/>
      <c r="AE356" s="593" t="n"/>
      <c r="AF356" s="594" t="n"/>
      <c r="AG356" s="693" t="n"/>
      <c r="AH356" s="721" t="n"/>
      <c r="AI356" s="721" t="n"/>
      <c r="AJ356" s="688" t="n"/>
      <c r="AK356" s="689" t="n"/>
      <c r="AL356" s="690" t="n"/>
      <c r="AM356" s="691" t="n"/>
      <c r="AN356" s="692" t="n"/>
      <c r="AO356" s="693" t="n"/>
      <c r="AP356" s="693" t="n"/>
      <c r="AQ356" s="693" t="n"/>
      <c r="AR356" s="693" t="n"/>
      <c r="AS356" s="693" t="n"/>
      <c r="AT356" s="693" t="n"/>
      <c r="AU356" s="699" t="n"/>
      <c r="AV356" s="693" t="n"/>
      <c r="AW356" s="693" t="n"/>
      <c r="AX356" s="693" t="n"/>
      <c r="AY356" s="693" t="n"/>
      <c r="AZ356" s="693" t="n"/>
    </row>
    <row r="357">
      <c r="A357" s="688" t="n"/>
      <c r="B357" s="688" t="n"/>
      <c r="C357" s="473" t="n"/>
      <c r="D357" s="688" t="n"/>
      <c r="E357" s="689" t="n"/>
      <c r="F357" s="721" t="n"/>
      <c r="G3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7" s="474">
        <f>G357/#REF!</f>
        <v/>
      </c>
      <c r="I357" s="690" t="n"/>
      <c r="J3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7" s="474">
        <f>J357/#REF!</f>
        <v/>
      </c>
      <c r="L357" s="473" t="n"/>
      <c r="M357" s="692" t="n"/>
      <c r="N357" s="693" t="n"/>
      <c r="O357" s="78" t="n"/>
      <c r="P357" s="129" t="n"/>
      <c r="Q357" s="129" t="n"/>
      <c r="R357" s="129" t="n"/>
      <c r="S357" s="129" t="n"/>
      <c r="T357" s="129" t="n"/>
      <c r="U357" s="129" t="n"/>
      <c r="V357" s="129" t="n"/>
      <c r="W357" s="129" t="n"/>
      <c r="X357" s="129" t="n"/>
      <c r="Y357" s="703" t="n"/>
      <c r="Z357" s="704" t="n"/>
      <c r="AA357" s="705" t="n"/>
      <c r="AB357" s="613" t="n"/>
      <c r="AC357" s="614" t="n"/>
      <c r="AD357" s="628" t="n"/>
      <c r="AE357" s="616" t="n"/>
      <c r="AF357" s="617" t="n"/>
      <c r="AG357" s="693" t="n"/>
      <c r="AH357" s="721" t="n"/>
      <c r="AI357" s="721" t="n"/>
      <c r="AJ357" s="688" t="n"/>
      <c r="AK357" s="689" t="n"/>
      <c r="AL357" s="690" t="n"/>
      <c r="AM357" s="691" t="n"/>
      <c r="AN357" s="692" t="n"/>
      <c r="AO357" s="693" t="n"/>
      <c r="AP357" s="693" t="n"/>
      <c r="AQ357" s="693" t="n"/>
      <c r="AR357" s="693" t="n"/>
      <c r="AS357" s="693" t="n"/>
      <c r="AT357" s="693" t="n"/>
      <c r="AU357" s="699" t="n"/>
      <c r="AV357" s="693" t="n"/>
      <c r="AW357" s="693" t="n"/>
      <c r="AX357" s="693" t="n"/>
      <c r="AY357" s="693" t="n"/>
      <c r="AZ357" s="693" t="n"/>
    </row>
    <row r="358">
      <c r="A358" s="688" t="n"/>
      <c r="B358" s="688" t="n"/>
      <c r="C358" s="473" t="n"/>
      <c r="D358" s="688" t="n"/>
      <c r="E358" s="689" t="n"/>
      <c r="F358" s="721" t="n"/>
      <c r="G3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8" s="474">
        <f>G358/#REF!</f>
        <v/>
      </c>
      <c r="I358" s="690" t="n"/>
      <c r="J3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8" s="474">
        <f>J358/#REF!</f>
        <v/>
      </c>
      <c r="L358" s="473" t="n"/>
      <c r="M358" s="692" t="n"/>
      <c r="N358" s="693" t="n"/>
      <c r="O358" s="78" t="n"/>
      <c r="P358" s="129" t="n"/>
      <c r="Q358" s="129" t="n"/>
      <c r="R358" s="129" t="n"/>
      <c r="S358" s="129" t="n"/>
      <c r="T358" s="129" t="n"/>
      <c r="U358" s="129" t="n"/>
      <c r="V358" s="129" t="n"/>
      <c r="W358" s="129" t="n"/>
      <c r="X358" s="129" t="n"/>
      <c r="Y358" s="708" t="n"/>
      <c r="Z358" s="709" t="n"/>
      <c r="AA358" s="710" t="n"/>
      <c r="AB358" s="590" t="n"/>
      <c r="AC358" s="591" t="n"/>
      <c r="AD358" s="592" t="n"/>
      <c r="AE358" s="593" t="n"/>
      <c r="AF358" s="594" t="n"/>
      <c r="AG358" s="693" t="n"/>
      <c r="AH358" s="721" t="n"/>
      <c r="AI358" s="721" t="n"/>
      <c r="AJ358" s="688" t="n"/>
      <c r="AK358" s="689" t="n"/>
      <c r="AL358" s="690" t="n"/>
      <c r="AM358" s="691" t="n"/>
      <c r="AN358" s="692" t="n"/>
      <c r="AO358" s="693" t="n"/>
      <c r="AP358" s="693" t="n"/>
      <c r="AQ358" s="693" t="n"/>
      <c r="AR358" s="693" t="n"/>
      <c r="AS358" s="693" t="n"/>
      <c r="AT358" s="693" t="n"/>
      <c r="AU358" s="699" t="n"/>
      <c r="AV358" s="693" t="n"/>
      <c r="AW358" s="693" t="n"/>
      <c r="AX358" s="693" t="n"/>
      <c r="AY358" s="693" t="n"/>
      <c r="AZ358" s="693" t="n"/>
    </row>
    <row r="359">
      <c r="A359" s="688" t="n"/>
      <c r="B359" s="688" t="n"/>
      <c r="C359" s="473" t="n"/>
      <c r="D359" s="688" t="n"/>
      <c r="E359" s="689" t="n"/>
      <c r="F359" s="721" t="n"/>
      <c r="G3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59" s="474">
        <f>G359/#REF!</f>
        <v/>
      </c>
      <c r="I359" s="690" t="n"/>
      <c r="J3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59" s="474">
        <f>J359/#REF!</f>
        <v/>
      </c>
      <c r="L359" s="473" t="n"/>
      <c r="M359" s="692" t="n"/>
      <c r="N359" s="693" t="n"/>
      <c r="O359" s="78" t="n"/>
      <c r="P359" s="129" t="n"/>
      <c r="Q359" s="129" t="n"/>
      <c r="R359" s="129" t="n"/>
      <c r="S359" s="129" t="n"/>
      <c r="T359" s="129" t="n"/>
      <c r="U359" s="129" t="n"/>
      <c r="V359" s="129" t="n"/>
      <c r="W359" s="129" t="n"/>
      <c r="X359" s="129" t="n"/>
      <c r="Y359" s="703" t="n"/>
      <c r="Z359" s="704" t="n"/>
      <c r="AA359" s="705" t="n"/>
      <c r="AB359" s="613" t="n"/>
      <c r="AC359" s="614" t="n"/>
      <c r="AD359" s="628" t="n"/>
      <c r="AE359" s="616" t="n"/>
      <c r="AF359" s="617" t="n"/>
      <c r="AG359" s="693" t="n"/>
      <c r="AH359" s="721" t="n"/>
      <c r="AI359" s="721" t="n"/>
      <c r="AJ359" s="688" t="n"/>
      <c r="AK359" s="689" t="n"/>
      <c r="AL359" s="690" t="n"/>
      <c r="AM359" s="691" t="n"/>
      <c r="AN359" s="692" t="n"/>
      <c r="AO359" s="693" t="n"/>
      <c r="AP359" s="693" t="n"/>
      <c r="AQ359" s="693" t="n"/>
      <c r="AR359" s="693" t="n"/>
      <c r="AS359" s="693" t="n"/>
      <c r="AT359" s="693" t="n"/>
      <c r="AU359" s="699" t="n"/>
      <c r="AV359" s="693" t="n"/>
      <c r="AW359" s="693" t="n"/>
      <c r="AX359" s="693" t="n"/>
      <c r="AY359" s="693" t="n"/>
      <c r="AZ359" s="693" t="n"/>
    </row>
    <row r="360">
      <c r="A360" s="688" t="n"/>
      <c r="B360" s="688" t="n"/>
      <c r="C360" s="473" t="n"/>
      <c r="D360" s="688" t="n"/>
      <c r="E360" s="689" t="n"/>
      <c r="F360" s="721" t="n"/>
      <c r="G3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0" s="474">
        <f>G360/#REF!</f>
        <v/>
      </c>
      <c r="I360" s="690" t="n"/>
      <c r="J3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0" s="474">
        <f>J360/#REF!</f>
        <v/>
      </c>
      <c r="L360" s="473" t="n"/>
      <c r="M360" s="692" t="n"/>
      <c r="N360" s="693" t="n"/>
      <c r="O360" s="78" t="n"/>
      <c r="P360" s="129" t="n"/>
      <c r="Q360" s="129" t="n"/>
      <c r="R360" s="129" t="n"/>
      <c r="S360" s="129" t="n"/>
      <c r="T360" s="129" t="n"/>
      <c r="U360" s="129" t="n"/>
      <c r="V360" s="129" t="n"/>
      <c r="W360" s="129" t="n"/>
      <c r="X360" s="129" t="n"/>
      <c r="Y360" s="708" t="n"/>
      <c r="Z360" s="709" t="n"/>
      <c r="AA360" s="710" t="n"/>
      <c r="AB360" s="590" t="n"/>
      <c r="AC360" s="591" t="n"/>
      <c r="AD360" s="592" t="n"/>
      <c r="AE360" s="593" t="n"/>
      <c r="AF360" s="594" t="n"/>
      <c r="AG360" s="693" t="n"/>
      <c r="AH360" s="721" t="n"/>
      <c r="AI360" s="721" t="n"/>
      <c r="AJ360" s="688" t="n"/>
      <c r="AK360" s="689" t="n"/>
      <c r="AL360" s="690" t="n"/>
      <c r="AM360" s="691" t="n"/>
      <c r="AN360" s="692" t="n"/>
      <c r="AO360" s="693" t="n"/>
      <c r="AP360" s="693" t="n"/>
      <c r="AQ360" s="693" t="n"/>
      <c r="AR360" s="693" t="n"/>
      <c r="AS360" s="693" t="n"/>
      <c r="AT360" s="693" t="n"/>
      <c r="AU360" s="699" t="n"/>
      <c r="AV360" s="693" t="n"/>
      <c r="AW360" s="693" t="n"/>
      <c r="AX360" s="693" t="n"/>
      <c r="AY360" s="693" t="n"/>
      <c r="AZ360" s="693" t="n"/>
    </row>
    <row r="361">
      <c r="A361" s="688" t="n"/>
      <c r="B361" s="688" t="n"/>
      <c r="C361" s="473" t="n"/>
      <c r="D361" s="688" t="n"/>
      <c r="E361" s="689" t="n"/>
      <c r="F361" s="721" t="n"/>
      <c r="G3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1" s="474">
        <f>G361/#REF!</f>
        <v/>
      </c>
      <c r="I361" s="690" t="n"/>
      <c r="J3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1" s="474">
        <f>J361/#REF!</f>
        <v/>
      </c>
      <c r="L361" s="473" t="n"/>
      <c r="M361" s="692" t="n"/>
      <c r="N361" s="693" t="n"/>
      <c r="O361" s="78" t="n"/>
      <c r="P361" s="129" t="n"/>
      <c r="Q361" s="129" t="n"/>
      <c r="R361" s="129" t="n"/>
      <c r="S361" s="129" t="n"/>
      <c r="T361" s="129" t="n"/>
      <c r="U361" s="129" t="n"/>
      <c r="V361" s="129" t="n"/>
      <c r="W361" s="129" t="n"/>
      <c r="X361" s="129" t="n"/>
      <c r="Y361" s="703" t="n"/>
      <c r="Z361" s="704" t="n"/>
      <c r="AA361" s="705" t="n"/>
      <c r="AB361" s="613" t="n"/>
      <c r="AC361" s="614" t="n"/>
      <c r="AD361" s="628" t="n"/>
      <c r="AE361" s="616" t="n"/>
      <c r="AF361" s="617" t="n"/>
      <c r="AG361" s="693" t="n"/>
      <c r="AH361" s="721" t="n"/>
      <c r="AI361" s="721" t="n"/>
      <c r="AJ361" s="688" t="n"/>
      <c r="AK361" s="689" t="n"/>
      <c r="AL361" s="690" t="n"/>
      <c r="AM361" s="691" t="n"/>
      <c r="AN361" s="692" t="n"/>
      <c r="AO361" s="693" t="n"/>
      <c r="AP361" s="693" t="n"/>
      <c r="AQ361" s="693" t="n"/>
      <c r="AR361" s="693" t="n"/>
      <c r="AS361" s="693" t="n"/>
      <c r="AT361" s="693" t="n"/>
      <c r="AU361" s="699" t="n"/>
      <c r="AV361" s="693" t="n"/>
      <c r="AW361" s="693" t="n"/>
      <c r="AX361" s="693" t="n"/>
      <c r="AY361" s="693" t="n"/>
      <c r="AZ361" s="693" t="n"/>
    </row>
    <row r="362">
      <c r="A362" s="688" t="n"/>
      <c r="B362" s="688" t="n"/>
      <c r="C362" s="473" t="n"/>
      <c r="D362" s="688" t="n"/>
      <c r="E362" s="689" t="n"/>
      <c r="F362" s="721" t="n"/>
      <c r="G3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2" s="474">
        <f>G362/#REF!</f>
        <v/>
      </c>
      <c r="I362" s="690" t="n"/>
      <c r="J3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2" s="474">
        <f>J362/#REF!</f>
        <v/>
      </c>
      <c r="L362" s="473" t="n"/>
      <c r="M362" s="692" t="n"/>
      <c r="N362" s="693" t="n"/>
      <c r="O362" s="78" t="n"/>
      <c r="P362" s="129" t="n"/>
      <c r="Q362" s="129" t="n"/>
      <c r="R362" s="129" t="n"/>
      <c r="S362" s="129" t="n"/>
      <c r="T362" s="129" t="n"/>
      <c r="U362" s="129" t="n"/>
      <c r="V362" s="129" t="n"/>
      <c r="W362" s="129" t="n"/>
      <c r="X362" s="129" t="n"/>
      <c r="Y362" s="708" t="n"/>
      <c r="Z362" s="709" t="n"/>
      <c r="AA362" s="710" t="n"/>
      <c r="AB362" s="590" t="n"/>
      <c r="AC362" s="591" t="n"/>
      <c r="AD362" s="592" t="n"/>
      <c r="AE362" s="593" t="n"/>
      <c r="AF362" s="594" t="n"/>
      <c r="AG362" s="693" t="n"/>
      <c r="AH362" s="721" t="n"/>
      <c r="AI362" s="721" t="n"/>
      <c r="AJ362" s="688" t="n"/>
      <c r="AK362" s="689" t="n"/>
      <c r="AL362" s="690" t="n"/>
      <c r="AM362" s="691" t="n"/>
      <c r="AN362" s="692" t="n"/>
      <c r="AO362" s="693" t="n"/>
      <c r="AP362" s="693" t="n"/>
      <c r="AQ362" s="693" t="n"/>
      <c r="AR362" s="693" t="n"/>
      <c r="AS362" s="693" t="n"/>
      <c r="AT362" s="693" t="n"/>
      <c r="AU362" s="699" t="n"/>
      <c r="AV362" s="693" t="n"/>
      <c r="AW362" s="693" t="n"/>
      <c r="AX362" s="693" t="n"/>
      <c r="AY362" s="693" t="n"/>
      <c r="AZ362" s="693" t="n"/>
    </row>
    <row r="363">
      <c r="A363" s="688" t="n"/>
      <c r="B363" s="688" t="n"/>
      <c r="C363" s="473" t="n"/>
      <c r="D363" s="688" t="n"/>
      <c r="E363" s="689" t="n"/>
      <c r="F363" s="721" t="n"/>
      <c r="G3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3" s="474">
        <f>G363/#REF!</f>
        <v/>
      </c>
      <c r="I363" s="690" t="n"/>
      <c r="J3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3" s="474">
        <f>J363/#REF!</f>
        <v/>
      </c>
      <c r="L363" s="473" t="n"/>
      <c r="M363" s="692" t="n"/>
      <c r="N363" s="693" t="n"/>
      <c r="O363" s="78" t="n"/>
      <c r="P363" s="129" t="n"/>
      <c r="Q363" s="129" t="n"/>
      <c r="R363" s="129" t="n"/>
      <c r="S363" s="129" t="n"/>
      <c r="T363" s="129" t="n"/>
      <c r="U363" s="129" t="n"/>
      <c r="V363" s="129" t="n"/>
      <c r="W363" s="129" t="n"/>
      <c r="X363" s="129" t="n"/>
      <c r="Y363" s="703" t="n"/>
      <c r="Z363" s="704" t="n"/>
      <c r="AA363" s="705" t="n"/>
      <c r="AB363" s="613" t="n"/>
      <c r="AC363" s="614" t="n"/>
      <c r="AD363" s="628" t="n"/>
      <c r="AE363" s="616" t="n"/>
      <c r="AF363" s="617" t="n"/>
      <c r="AG363" s="693" t="n"/>
      <c r="AH363" s="721" t="n"/>
      <c r="AI363" s="721" t="n"/>
      <c r="AJ363" s="688" t="n"/>
      <c r="AK363" s="689" t="n"/>
      <c r="AL363" s="690" t="n"/>
      <c r="AM363" s="691" t="n"/>
      <c r="AN363" s="692" t="n"/>
      <c r="AO363" s="693" t="n"/>
      <c r="AP363" s="693" t="n"/>
      <c r="AQ363" s="693" t="n"/>
      <c r="AR363" s="693" t="n"/>
      <c r="AS363" s="693" t="n"/>
      <c r="AT363" s="693" t="n"/>
      <c r="AU363" s="699" t="n"/>
      <c r="AV363" s="693" t="n"/>
      <c r="AW363" s="693" t="n"/>
      <c r="AX363" s="693" t="n"/>
      <c r="AY363" s="693" t="n"/>
      <c r="AZ363" s="693" t="n"/>
    </row>
    <row r="364">
      <c r="A364" s="688" t="n"/>
      <c r="B364" s="688" t="n"/>
      <c r="C364" s="473" t="n"/>
      <c r="D364" s="688" t="n"/>
      <c r="E364" s="689" t="n"/>
      <c r="F364" s="721" t="n"/>
      <c r="G3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4" s="474">
        <f>G364/#REF!</f>
        <v/>
      </c>
      <c r="I364" s="690" t="n"/>
      <c r="J3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4" s="474">
        <f>J364/#REF!</f>
        <v/>
      </c>
      <c r="L364" s="473" t="n"/>
      <c r="M364" s="692" t="n"/>
      <c r="N364" s="693" t="n"/>
      <c r="O364" s="78" t="n"/>
      <c r="P364" s="129" t="n"/>
      <c r="Q364" s="129" t="n"/>
      <c r="R364" s="129" t="n"/>
      <c r="S364" s="129" t="n"/>
      <c r="T364" s="129" t="n"/>
      <c r="U364" s="129" t="n"/>
      <c r="V364" s="129" t="n"/>
      <c r="W364" s="129" t="n"/>
      <c r="X364" s="129" t="n"/>
      <c r="Y364" s="708" t="n"/>
      <c r="Z364" s="709" t="n"/>
      <c r="AA364" s="710" t="n"/>
      <c r="AB364" s="590" t="n"/>
      <c r="AC364" s="591" t="n"/>
      <c r="AD364" s="592" t="n"/>
      <c r="AE364" s="593" t="n"/>
      <c r="AF364" s="594" t="n"/>
      <c r="AG364" s="693" t="n"/>
      <c r="AH364" s="721" t="n"/>
      <c r="AI364" s="721" t="n"/>
      <c r="AJ364" s="688" t="n"/>
      <c r="AK364" s="689" t="n"/>
      <c r="AL364" s="690" t="n"/>
      <c r="AM364" s="691" t="n"/>
      <c r="AN364" s="692" t="n"/>
      <c r="AO364" s="693" t="n"/>
      <c r="AP364" s="693" t="n"/>
      <c r="AQ364" s="693" t="n"/>
      <c r="AR364" s="693" t="n"/>
      <c r="AS364" s="693" t="n"/>
      <c r="AT364" s="693" t="n"/>
      <c r="AU364" s="699" t="n"/>
      <c r="AV364" s="693" t="n"/>
      <c r="AW364" s="693" t="n"/>
      <c r="AX364" s="693" t="n"/>
      <c r="AY364" s="693" t="n"/>
      <c r="AZ364" s="693" t="n"/>
    </row>
    <row r="365">
      <c r="A365" s="688" t="n"/>
      <c r="B365" s="688" t="n"/>
      <c r="C365" s="473" t="n"/>
      <c r="D365" s="688" t="n"/>
      <c r="E365" s="689" t="n"/>
      <c r="F365" s="721" t="n"/>
      <c r="G3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5" s="474">
        <f>G365/#REF!</f>
        <v/>
      </c>
      <c r="I365" s="690" t="n"/>
      <c r="J3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5" s="474">
        <f>J365/#REF!</f>
        <v/>
      </c>
      <c r="L365" s="473" t="n"/>
      <c r="M365" s="692" t="n"/>
      <c r="N365" s="693" t="n"/>
      <c r="O365" s="78" t="n"/>
      <c r="P365" s="129" t="n"/>
      <c r="Q365" s="129" t="n"/>
      <c r="R365" s="129" t="n"/>
      <c r="S365" s="129" t="n"/>
      <c r="T365" s="129" t="n"/>
      <c r="U365" s="129" t="n"/>
      <c r="V365" s="129" t="n"/>
      <c r="W365" s="129" t="n"/>
      <c r="X365" s="129" t="n"/>
      <c r="Y365" s="703" t="n"/>
      <c r="Z365" s="704" t="n"/>
      <c r="AA365" s="705" t="n"/>
      <c r="AB365" s="613" t="n"/>
      <c r="AC365" s="614" t="n"/>
      <c r="AD365" s="628" t="n"/>
      <c r="AE365" s="616" t="n"/>
      <c r="AF365" s="617" t="n"/>
      <c r="AG365" s="693" t="n"/>
      <c r="AH365" s="721" t="n"/>
      <c r="AI365" s="721" t="n"/>
      <c r="AJ365" s="688" t="n"/>
      <c r="AK365" s="689" t="n"/>
      <c r="AL365" s="690" t="n"/>
      <c r="AM365" s="691" t="n"/>
      <c r="AN365" s="692" t="n"/>
      <c r="AO365" s="693" t="n"/>
      <c r="AP365" s="693" t="n"/>
      <c r="AQ365" s="693" t="n"/>
      <c r="AR365" s="693" t="n"/>
      <c r="AS365" s="693" t="n"/>
      <c r="AT365" s="693" t="n"/>
      <c r="AU365" s="699" t="n"/>
      <c r="AV365" s="693" t="n"/>
      <c r="AW365" s="693" t="n"/>
      <c r="AX365" s="693" t="n"/>
      <c r="AY365" s="693" t="n"/>
      <c r="AZ365" s="693" t="n"/>
    </row>
    <row r="366">
      <c r="A366" s="688" t="n"/>
      <c r="B366" s="688" t="n"/>
      <c r="C366" s="473" t="n"/>
      <c r="D366" s="688" t="n"/>
      <c r="E366" s="689" t="n"/>
      <c r="F366" s="721" t="n"/>
      <c r="G3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6" s="474">
        <f>G366/#REF!</f>
        <v/>
      </c>
      <c r="I366" s="690" t="n"/>
      <c r="J3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6" s="474">
        <f>J366/#REF!</f>
        <v/>
      </c>
      <c r="L366" s="473" t="n"/>
      <c r="M366" s="692" t="n"/>
      <c r="N366" s="693" t="n"/>
      <c r="O366" s="78" t="n"/>
      <c r="P366" s="129" t="n"/>
      <c r="Q366" s="129" t="n"/>
      <c r="R366" s="129" t="n"/>
      <c r="S366" s="129" t="n"/>
      <c r="T366" s="129" t="n"/>
      <c r="U366" s="129" t="n"/>
      <c r="V366" s="129" t="n"/>
      <c r="W366" s="129" t="n"/>
      <c r="X366" s="129" t="n"/>
      <c r="Y366" s="708" t="n"/>
      <c r="Z366" s="709" t="n"/>
      <c r="AA366" s="710" t="n"/>
      <c r="AB366" s="590" t="n"/>
      <c r="AC366" s="591" t="n"/>
      <c r="AD366" s="592" t="n"/>
      <c r="AE366" s="593" t="n"/>
      <c r="AF366" s="594" t="n"/>
      <c r="AG366" s="693" t="n"/>
      <c r="AH366" s="721" t="n"/>
      <c r="AI366" s="721" t="n"/>
      <c r="AJ366" s="688" t="n"/>
      <c r="AK366" s="689" t="n"/>
      <c r="AL366" s="690" t="n"/>
      <c r="AM366" s="691" t="n"/>
      <c r="AN366" s="692" t="n"/>
      <c r="AO366" s="693" t="n"/>
      <c r="AP366" s="693" t="n"/>
      <c r="AQ366" s="693" t="n"/>
      <c r="AR366" s="693" t="n"/>
      <c r="AS366" s="693" t="n"/>
      <c r="AT366" s="693" t="n"/>
      <c r="AU366" s="699" t="n"/>
      <c r="AV366" s="693" t="n"/>
      <c r="AW366" s="693" t="n"/>
      <c r="AX366" s="693" t="n"/>
      <c r="AY366" s="693" t="n"/>
      <c r="AZ366" s="693" t="n"/>
    </row>
    <row r="367">
      <c r="A367" s="688" t="n"/>
      <c r="B367" s="688" t="n"/>
      <c r="C367" s="473" t="n"/>
      <c r="D367" s="688" t="n"/>
      <c r="E367" s="689" t="n"/>
      <c r="F367" s="721" t="n"/>
      <c r="G3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7" s="474">
        <f>G367/#REF!</f>
        <v/>
      </c>
      <c r="I367" s="690" t="n"/>
      <c r="J3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7" s="474">
        <f>J367/#REF!</f>
        <v/>
      </c>
      <c r="L367" s="473" t="n"/>
      <c r="M367" s="692" t="n"/>
      <c r="N367" s="693" t="n"/>
      <c r="O367" s="78" t="n"/>
      <c r="P367" s="129" t="n"/>
      <c r="Q367" s="129" t="n"/>
      <c r="R367" s="129" t="n"/>
      <c r="S367" s="129" t="n"/>
      <c r="T367" s="129" t="n"/>
      <c r="U367" s="129" t="n"/>
      <c r="V367" s="129" t="n"/>
      <c r="W367" s="129" t="n"/>
      <c r="X367" s="129" t="n"/>
      <c r="Y367" s="703" t="n"/>
      <c r="Z367" s="704" t="n"/>
      <c r="AA367" s="705" t="n"/>
      <c r="AB367" s="613" t="n"/>
      <c r="AC367" s="614" t="n"/>
      <c r="AD367" s="628" t="n"/>
      <c r="AE367" s="616" t="n"/>
      <c r="AF367" s="617" t="n"/>
      <c r="AG367" s="693" t="n"/>
      <c r="AH367" s="721" t="n"/>
      <c r="AI367" s="721" t="n"/>
      <c r="AJ367" s="688" t="n"/>
      <c r="AK367" s="689" t="n"/>
      <c r="AL367" s="690" t="n"/>
      <c r="AM367" s="691" t="n"/>
      <c r="AN367" s="692" t="n"/>
      <c r="AO367" s="693" t="n"/>
      <c r="AP367" s="693" t="n"/>
      <c r="AQ367" s="693" t="n"/>
      <c r="AR367" s="693" t="n"/>
      <c r="AS367" s="693" t="n"/>
      <c r="AT367" s="693" t="n"/>
      <c r="AU367" s="699" t="n"/>
      <c r="AV367" s="693" t="n"/>
      <c r="AW367" s="693" t="n"/>
      <c r="AX367" s="693" t="n"/>
      <c r="AY367" s="693" t="n"/>
      <c r="AZ367" s="693" t="n"/>
    </row>
    <row r="368">
      <c r="A368" s="688" t="n"/>
      <c r="B368" s="688" t="n"/>
      <c r="C368" s="473" t="n"/>
      <c r="D368" s="688" t="n"/>
      <c r="E368" s="689" t="n"/>
      <c r="F368" s="721" t="n"/>
      <c r="G3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8" s="474">
        <f>G368/#REF!</f>
        <v/>
      </c>
      <c r="I368" s="690" t="n"/>
      <c r="J3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8" s="474">
        <f>J368/#REF!</f>
        <v/>
      </c>
      <c r="L368" s="473" t="n"/>
      <c r="M368" s="692" t="n"/>
      <c r="N368" s="693" t="n"/>
      <c r="O368" s="78" t="n"/>
      <c r="P368" s="129" t="n"/>
      <c r="Q368" s="129" t="n"/>
      <c r="R368" s="129" t="n"/>
      <c r="S368" s="129" t="n"/>
      <c r="T368" s="129" t="n"/>
      <c r="U368" s="129" t="n"/>
      <c r="V368" s="129" t="n"/>
      <c r="W368" s="129" t="n"/>
      <c r="X368" s="129" t="n"/>
      <c r="Y368" s="708" t="n"/>
      <c r="Z368" s="709" t="n"/>
      <c r="AA368" s="710" t="n"/>
      <c r="AB368" s="590" t="n"/>
      <c r="AC368" s="591" t="n"/>
      <c r="AD368" s="592" t="n"/>
      <c r="AE368" s="593" t="n"/>
      <c r="AF368" s="594" t="n"/>
      <c r="AG368" s="693" t="n"/>
      <c r="AH368" s="721" t="n"/>
      <c r="AI368" s="721" t="n"/>
      <c r="AJ368" s="688" t="n"/>
      <c r="AK368" s="689" t="n"/>
      <c r="AL368" s="690" t="n"/>
      <c r="AM368" s="691" t="n"/>
      <c r="AN368" s="692" t="n"/>
      <c r="AO368" s="693" t="n"/>
      <c r="AP368" s="693" t="n"/>
      <c r="AQ368" s="693" t="n"/>
      <c r="AR368" s="693" t="n"/>
      <c r="AS368" s="693" t="n"/>
      <c r="AT368" s="693" t="n"/>
      <c r="AU368" s="699" t="n"/>
      <c r="AV368" s="693" t="n"/>
      <c r="AW368" s="693" t="n"/>
      <c r="AX368" s="693" t="n"/>
      <c r="AY368" s="693" t="n"/>
      <c r="AZ368" s="693" t="n"/>
    </row>
    <row r="369">
      <c r="A369" s="688" t="n"/>
      <c r="B369" s="688" t="n"/>
      <c r="C369" s="473" t="n"/>
      <c r="D369" s="688" t="n"/>
      <c r="E369" s="689" t="n"/>
      <c r="F369" s="721" t="n"/>
      <c r="G3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69" s="474">
        <f>G369/#REF!</f>
        <v/>
      </c>
      <c r="I369" s="690" t="n"/>
      <c r="J3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69" s="474">
        <f>J369/#REF!</f>
        <v/>
      </c>
      <c r="L369" s="473" t="n"/>
      <c r="M369" s="692" t="n"/>
      <c r="N369" s="693" t="n"/>
      <c r="O369" s="78" t="n"/>
      <c r="P369" s="129" t="n"/>
      <c r="Q369" s="129" t="n"/>
      <c r="R369" s="129" t="n"/>
      <c r="S369" s="129" t="n"/>
      <c r="T369" s="129" t="n"/>
      <c r="U369" s="129" t="n"/>
      <c r="V369" s="129" t="n"/>
      <c r="W369" s="129" t="n"/>
      <c r="X369" s="129" t="n"/>
      <c r="Y369" s="703" t="n"/>
      <c r="Z369" s="704" t="n"/>
      <c r="AA369" s="705" t="n"/>
      <c r="AB369" s="613" t="n"/>
      <c r="AC369" s="614" t="n"/>
      <c r="AD369" s="628" t="n"/>
      <c r="AE369" s="616" t="n"/>
      <c r="AF369" s="617" t="n"/>
      <c r="AG369" s="693" t="n"/>
      <c r="AH369" s="721" t="n"/>
      <c r="AI369" s="721" t="n"/>
      <c r="AJ369" s="688" t="n"/>
      <c r="AK369" s="689" t="n"/>
      <c r="AL369" s="690" t="n"/>
      <c r="AM369" s="691" t="n"/>
      <c r="AN369" s="692" t="n"/>
      <c r="AO369" s="693" t="n"/>
      <c r="AP369" s="693" t="n"/>
      <c r="AQ369" s="693" t="n"/>
      <c r="AR369" s="693" t="n"/>
      <c r="AS369" s="693" t="n"/>
      <c r="AT369" s="693" t="n"/>
      <c r="AU369" s="699" t="n"/>
      <c r="AV369" s="693" t="n"/>
      <c r="AW369" s="693" t="n"/>
      <c r="AX369" s="693" t="n"/>
      <c r="AY369" s="693" t="n"/>
      <c r="AZ369" s="693" t="n"/>
    </row>
    <row r="370">
      <c r="A370" s="688" t="n"/>
      <c r="B370" s="688" t="n"/>
      <c r="C370" s="473" t="n"/>
      <c r="D370" s="688" t="n"/>
      <c r="E370" s="689" t="n"/>
      <c r="F370" s="721" t="n"/>
      <c r="G3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0" s="474">
        <f>G370/#REF!</f>
        <v/>
      </c>
      <c r="I370" s="690" t="n"/>
      <c r="J3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0" s="474">
        <f>J370/#REF!</f>
        <v/>
      </c>
      <c r="L370" s="473" t="n"/>
      <c r="M370" s="692" t="n"/>
      <c r="N370" s="693" t="n"/>
      <c r="O370" s="78" t="n"/>
      <c r="P370" s="129" t="n"/>
      <c r="Q370" s="129" t="n"/>
      <c r="R370" s="129" t="n"/>
      <c r="S370" s="129" t="n"/>
      <c r="T370" s="129" t="n"/>
      <c r="U370" s="129" t="n"/>
      <c r="V370" s="129" t="n"/>
      <c r="W370" s="129" t="n"/>
      <c r="X370" s="129" t="n"/>
      <c r="Y370" s="708" t="n"/>
      <c r="Z370" s="709" t="n"/>
      <c r="AA370" s="710" t="n"/>
      <c r="AB370" s="590" t="n"/>
      <c r="AC370" s="591" t="n"/>
      <c r="AD370" s="592" t="n"/>
      <c r="AE370" s="593" t="n"/>
      <c r="AF370" s="594" t="n"/>
      <c r="AG370" s="693" t="n"/>
      <c r="AH370" s="721" t="n"/>
      <c r="AI370" s="721" t="n"/>
      <c r="AJ370" s="688" t="n"/>
      <c r="AK370" s="689" t="n"/>
      <c r="AL370" s="690" t="n"/>
      <c r="AM370" s="691" t="n"/>
      <c r="AN370" s="692" t="n"/>
      <c r="AO370" s="693" t="n"/>
      <c r="AP370" s="693" t="n"/>
      <c r="AQ370" s="693" t="n"/>
      <c r="AR370" s="693" t="n"/>
      <c r="AS370" s="693" t="n"/>
      <c r="AT370" s="693" t="n"/>
      <c r="AU370" s="699" t="n"/>
      <c r="AV370" s="693" t="n"/>
      <c r="AW370" s="693" t="n"/>
      <c r="AX370" s="693" t="n"/>
      <c r="AY370" s="693" t="n"/>
      <c r="AZ370" s="693" t="n"/>
    </row>
    <row r="371">
      <c r="A371" s="688" t="n"/>
      <c r="B371" s="688" t="n"/>
      <c r="C371" s="473" t="n"/>
      <c r="D371" s="688" t="n"/>
      <c r="E371" s="689" t="n"/>
      <c r="F371" s="721" t="n"/>
      <c r="G3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1" s="474">
        <f>G371/#REF!</f>
        <v/>
      </c>
      <c r="I371" s="690" t="n"/>
      <c r="J3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1" s="474">
        <f>J371/#REF!</f>
        <v/>
      </c>
      <c r="L371" s="473" t="n"/>
      <c r="M371" s="692" t="n"/>
      <c r="N371" s="693" t="n"/>
      <c r="O371" s="78" t="n"/>
      <c r="P371" s="129" t="n"/>
      <c r="Q371" s="129" t="n"/>
      <c r="R371" s="129" t="n"/>
      <c r="S371" s="129" t="n"/>
      <c r="T371" s="129" t="n"/>
      <c r="U371" s="129" t="n"/>
      <c r="V371" s="129" t="n"/>
      <c r="W371" s="129" t="n"/>
      <c r="X371" s="129" t="n"/>
      <c r="Y371" s="703" t="n"/>
      <c r="Z371" s="704" t="n"/>
      <c r="AA371" s="705" t="n"/>
      <c r="AB371" s="613" t="n"/>
      <c r="AC371" s="614" t="n"/>
      <c r="AD371" s="628" t="n"/>
      <c r="AE371" s="616" t="n"/>
      <c r="AF371" s="617" t="n"/>
      <c r="AG371" s="693" t="n"/>
      <c r="AH371" s="721" t="n"/>
      <c r="AI371" s="721" t="n"/>
      <c r="AJ371" s="688" t="n"/>
      <c r="AK371" s="689" t="n"/>
      <c r="AL371" s="690" t="n"/>
      <c r="AM371" s="691" t="n"/>
      <c r="AN371" s="692" t="n"/>
      <c r="AO371" s="693" t="n"/>
      <c r="AP371" s="693" t="n"/>
      <c r="AQ371" s="693" t="n"/>
      <c r="AR371" s="693" t="n"/>
      <c r="AS371" s="693" t="n"/>
      <c r="AT371" s="693" t="n"/>
      <c r="AU371" s="699" t="n"/>
      <c r="AV371" s="693" t="n"/>
      <c r="AW371" s="693" t="n"/>
      <c r="AX371" s="693" t="n"/>
      <c r="AY371" s="693" t="n"/>
      <c r="AZ371" s="693" t="n"/>
    </row>
    <row r="372">
      <c r="A372" s="688" t="n"/>
      <c r="B372" s="688" t="n"/>
      <c r="C372" s="473" t="n"/>
      <c r="D372" s="688" t="n"/>
      <c r="E372" s="689" t="n"/>
      <c r="F372" s="721" t="n"/>
      <c r="G3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2" s="474">
        <f>G372/#REF!</f>
        <v/>
      </c>
      <c r="I372" s="690" t="n"/>
      <c r="J3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2" s="474">
        <f>J372/#REF!</f>
        <v/>
      </c>
      <c r="L372" s="473" t="n"/>
      <c r="M372" s="692" t="n"/>
      <c r="N372" s="693" t="n"/>
      <c r="O372" s="78" t="n"/>
      <c r="P372" s="129" t="n"/>
      <c r="Q372" s="129" t="n"/>
      <c r="R372" s="129" t="n"/>
      <c r="S372" s="129" t="n"/>
      <c r="T372" s="129" t="n"/>
      <c r="U372" s="129" t="n"/>
      <c r="V372" s="129" t="n"/>
      <c r="W372" s="129" t="n"/>
      <c r="X372" s="129" t="n"/>
      <c r="Y372" s="708" t="n"/>
      <c r="Z372" s="709" t="n"/>
      <c r="AA372" s="710" t="n"/>
      <c r="AB372" s="590" t="n"/>
      <c r="AC372" s="591" t="n"/>
      <c r="AD372" s="592" t="n"/>
      <c r="AE372" s="593" t="n"/>
      <c r="AF372" s="594" t="n"/>
      <c r="AG372" s="693" t="n"/>
      <c r="AH372" s="721" t="n"/>
      <c r="AI372" s="721" t="n"/>
      <c r="AJ372" s="688" t="n"/>
      <c r="AK372" s="689" t="n"/>
      <c r="AL372" s="690" t="n"/>
      <c r="AM372" s="691" t="n"/>
      <c r="AN372" s="692" t="n"/>
      <c r="AO372" s="693" t="n"/>
      <c r="AP372" s="693" t="n"/>
      <c r="AQ372" s="693" t="n"/>
      <c r="AR372" s="693" t="n"/>
      <c r="AS372" s="693" t="n"/>
      <c r="AT372" s="693" t="n"/>
      <c r="AU372" s="699" t="n"/>
      <c r="AV372" s="693" t="n"/>
      <c r="AW372" s="693" t="n"/>
      <c r="AX372" s="693" t="n"/>
      <c r="AY372" s="693" t="n"/>
      <c r="AZ372" s="693" t="n"/>
    </row>
    <row r="373">
      <c r="A373" s="688" t="n"/>
      <c r="B373" s="688" t="n"/>
      <c r="C373" s="473" t="n"/>
      <c r="D373" s="688" t="n"/>
      <c r="E373" s="689" t="n"/>
      <c r="F373" s="721" t="n"/>
      <c r="G3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3" s="474">
        <f>G373/#REF!</f>
        <v/>
      </c>
      <c r="I373" s="690" t="n"/>
      <c r="J3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3" s="474">
        <f>J373/#REF!</f>
        <v/>
      </c>
      <c r="L373" s="473" t="n"/>
      <c r="M373" s="692" t="n"/>
      <c r="N373" s="693" t="n"/>
      <c r="O373" s="78" t="n"/>
      <c r="P373" s="129" t="n"/>
      <c r="Q373" s="129" t="n"/>
      <c r="R373" s="129" t="n"/>
      <c r="S373" s="129" t="n"/>
      <c r="T373" s="129" t="n"/>
      <c r="U373" s="129" t="n"/>
      <c r="V373" s="129" t="n"/>
      <c r="W373" s="129" t="n"/>
      <c r="X373" s="129" t="n"/>
      <c r="Y373" s="703" t="n"/>
      <c r="Z373" s="704" t="n"/>
      <c r="AA373" s="705" t="n"/>
      <c r="AB373" s="613" t="n"/>
      <c r="AC373" s="614" t="n"/>
      <c r="AD373" s="628" t="n"/>
      <c r="AE373" s="616" t="n"/>
      <c r="AF373" s="617" t="n"/>
      <c r="AG373" s="693" t="n"/>
      <c r="AH373" s="721" t="n"/>
      <c r="AI373" s="721" t="n"/>
      <c r="AJ373" s="688" t="n"/>
      <c r="AK373" s="689" t="n"/>
      <c r="AL373" s="690" t="n"/>
      <c r="AM373" s="691" t="n"/>
      <c r="AN373" s="692" t="n"/>
      <c r="AO373" s="693" t="n"/>
      <c r="AP373" s="693" t="n"/>
      <c r="AQ373" s="693" t="n"/>
      <c r="AR373" s="693" t="n"/>
      <c r="AS373" s="693" t="n"/>
      <c r="AT373" s="693" t="n"/>
      <c r="AU373" s="699" t="n"/>
      <c r="AV373" s="693" t="n"/>
      <c r="AW373" s="693" t="n"/>
      <c r="AX373" s="693" t="n"/>
      <c r="AY373" s="693" t="n"/>
      <c r="AZ373" s="693" t="n"/>
    </row>
    <row r="374">
      <c r="A374" s="688" t="n"/>
      <c r="B374" s="688" t="n"/>
      <c r="C374" s="473" t="n"/>
      <c r="D374" s="688" t="n"/>
      <c r="E374" s="689" t="n"/>
      <c r="F374" s="721" t="n"/>
      <c r="G3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4" s="474">
        <f>G374/#REF!</f>
        <v/>
      </c>
      <c r="I374" s="690" t="n"/>
      <c r="J3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4" s="474">
        <f>J374/#REF!</f>
        <v/>
      </c>
      <c r="L374" s="473" t="n"/>
      <c r="M374" s="692" t="n"/>
      <c r="N374" s="693" t="n"/>
      <c r="O374" s="78" t="n"/>
      <c r="P374" s="129" t="n"/>
      <c r="Q374" s="129" t="n"/>
      <c r="R374" s="129" t="n"/>
      <c r="S374" s="129" t="n"/>
      <c r="T374" s="129" t="n"/>
      <c r="U374" s="129" t="n"/>
      <c r="V374" s="129" t="n"/>
      <c r="W374" s="129" t="n"/>
      <c r="X374" s="129" t="n"/>
      <c r="Y374" s="708" t="n"/>
      <c r="Z374" s="709" t="n"/>
      <c r="AA374" s="710" t="n"/>
      <c r="AB374" s="590" t="n"/>
      <c r="AC374" s="591" t="n"/>
      <c r="AD374" s="592" t="n"/>
      <c r="AE374" s="593" t="n"/>
      <c r="AF374" s="594" t="n"/>
      <c r="AG374" s="693" t="n"/>
      <c r="AH374" s="721" t="n"/>
      <c r="AI374" s="721" t="n"/>
      <c r="AJ374" s="688" t="n"/>
      <c r="AK374" s="689" t="n"/>
      <c r="AL374" s="690" t="n"/>
      <c r="AM374" s="691" t="n"/>
      <c r="AN374" s="692" t="n"/>
      <c r="AO374" s="693" t="n"/>
      <c r="AP374" s="693" t="n"/>
      <c r="AQ374" s="693" t="n"/>
      <c r="AR374" s="693" t="n"/>
      <c r="AS374" s="693" t="n"/>
      <c r="AT374" s="693" t="n"/>
      <c r="AU374" s="699" t="n"/>
      <c r="AV374" s="693" t="n"/>
      <c r="AW374" s="693" t="n"/>
      <c r="AX374" s="693" t="n"/>
      <c r="AY374" s="693" t="n"/>
      <c r="AZ374" s="693" t="n"/>
    </row>
    <row r="375">
      <c r="A375" s="688" t="n"/>
      <c r="B375" s="688" t="n"/>
      <c r="C375" s="473" t="n"/>
      <c r="D375" s="688" t="n"/>
      <c r="E375" s="689" t="n"/>
      <c r="F375" s="721" t="n"/>
      <c r="G3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5" s="474">
        <f>G375/#REF!</f>
        <v/>
      </c>
      <c r="I375" s="690" t="n"/>
      <c r="J3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5" s="474">
        <f>J375/#REF!</f>
        <v/>
      </c>
      <c r="L375" s="473" t="n"/>
      <c r="M375" s="692" t="n"/>
      <c r="N375" s="693" t="n"/>
      <c r="O375" s="78" t="n"/>
      <c r="P375" s="129" t="n"/>
      <c r="Q375" s="129" t="n"/>
      <c r="R375" s="129" t="n"/>
      <c r="S375" s="129" t="n"/>
      <c r="T375" s="129" t="n"/>
      <c r="U375" s="129" t="n"/>
      <c r="V375" s="129" t="n"/>
      <c r="W375" s="129" t="n"/>
      <c r="X375" s="129" t="n"/>
      <c r="Y375" s="703" t="n"/>
      <c r="Z375" s="704" t="n"/>
      <c r="AA375" s="705" t="n"/>
      <c r="AB375" s="613" t="n"/>
      <c r="AC375" s="614" t="n"/>
      <c r="AD375" s="628" t="n"/>
      <c r="AE375" s="616" t="n"/>
      <c r="AF375" s="617" t="n"/>
      <c r="AG375" s="693" t="n"/>
      <c r="AH375" s="721" t="n"/>
      <c r="AI375" s="721" t="n"/>
      <c r="AJ375" s="688" t="n"/>
      <c r="AK375" s="689" t="n"/>
      <c r="AL375" s="690" t="n"/>
      <c r="AM375" s="691" t="n"/>
      <c r="AN375" s="692" t="n"/>
      <c r="AO375" s="693" t="n"/>
      <c r="AP375" s="693" t="n"/>
      <c r="AQ375" s="693" t="n"/>
      <c r="AR375" s="693" t="n"/>
      <c r="AS375" s="693" t="n"/>
      <c r="AT375" s="693" t="n"/>
      <c r="AU375" s="699" t="n"/>
      <c r="AV375" s="693" t="n"/>
      <c r="AW375" s="693" t="n"/>
      <c r="AX375" s="693" t="n"/>
      <c r="AY375" s="693" t="n"/>
      <c r="AZ375" s="693" t="n"/>
    </row>
    <row r="376">
      <c r="A376" s="688" t="n"/>
      <c r="B376" s="688" t="n"/>
      <c r="C376" s="473" t="n"/>
      <c r="D376" s="688" t="n"/>
      <c r="E376" s="689" t="n"/>
      <c r="F376" s="721" t="n"/>
      <c r="G3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6" s="474">
        <f>G376/#REF!</f>
        <v/>
      </c>
      <c r="I376" s="690" t="n"/>
      <c r="J3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6" s="474">
        <f>J376/#REF!</f>
        <v/>
      </c>
      <c r="L376" s="473" t="n"/>
      <c r="M376" s="692" t="n"/>
      <c r="N376" s="693" t="n"/>
      <c r="O376" s="78" t="n"/>
      <c r="P376" s="129" t="n"/>
      <c r="Q376" s="129" t="n"/>
      <c r="R376" s="129" t="n"/>
      <c r="S376" s="129" t="n"/>
      <c r="T376" s="129" t="n"/>
      <c r="U376" s="129" t="n"/>
      <c r="V376" s="129" t="n"/>
      <c r="W376" s="129" t="n"/>
      <c r="X376" s="129" t="n"/>
      <c r="Y376" s="708" t="n"/>
      <c r="Z376" s="709" t="n"/>
      <c r="AA376" s="710" t="n"/>
      <c r="AB376" s="590" t="n"/>
      <c r="AC376" s="591" t="n"/>
      <c r="AD376" s="592" t="n"/>
      <c r="AE376" s="593" t="n"/>
      <c r="AF376" s="594" t="n"/>
      <c r="AG376" s="693" t="n"/>
      <c r="AH376" s="721" t="n"/>
      <c r="AI376" s="721" t="n"/>
      <c r="AJ376" s="688" t="n"/>
      <c r="AK376" s="689" t="n"/>
      <c r="AL376" s="690" t="n"/>
      <c r="AM376" s="691" t="n"/>
      <c r="AN376" s="692" t="n"/>
      <c r="AO376" s="693" t="n"/>
      <c r="AP376" s="693" t="n"/>
      <c r="AQ376" s="693" t="n"/>
      <c r="AR376" s="693" t="n"/>
      <c r="AS376" s="693" t="n"/>
      <c r="AT376" s="693" t="n"/>
      <c r="AU376" s="699" t="n"/>
      <c r="AV376" s="693" t="n"/>
      <c r="AW376" s="693" t="n"/>
      <c r="AX376" s="693" t="n"/>
      <c r="AY376" s="693" t="n"/>
      <c r="AZ376" s="693" t="n"/>
    </row>
    <row r="377">
      <c r="A377" s="688" t="n"/>
      <c r="B377" s="688" t="n"/>
      <c r="C377" s="473" t="n"/>
      <c r="D377" s="688" t="n"/>
      <c r="E377" s="689" t="n"/>
      <c r="F377" s="721" t="n"/>
      <c r="G3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7" s="474">
        <f>G377/#REF!</f>
        <v/>
      </c>
      <c r="I377" s="690" t="n"/>
      <c r="J3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7" s="474">
        <f>J377/#REF!</f>
        <v/>
      </c>
      <c r="L377" s="473" t="n"/>
      <c r="M377" s="692" t="n"/>
      <c r="N377" s="693" t="n"/>
      <c r="O377" s="78" t="n"/>
      <c r="P377" s="129" t="n"/>
      <c r="Q377" s="129" t="n"/>
      <c r="R377" s="129" t="n"/>
      <c r="S377" s="129" t="n"/>
      <c r="T377" s="129" t="n"/>
      <c r="U377" s="129" t="n"/>
      <c r="V377" s="129" t="n"/>
      <c r="W377" s="129" t="n"/>
      <c r="X377" s="129" t="n"/>
      <c r="Y377" s="703" t="n"/>
      <c r="Z377" s="704" t="n"/>
      <c r="AA377" s="705" t="n"/>
      <c r="AB377" s="613" t="n"/>
      <c r="AC377" s="614" t="n"/>
      <c r="AD377" s="628" t="n"/>
      <c r="AE377" s="616" t="n"/>
      <c r="AF377" s="617" t="n"/>
      <c r="AG377" s="693" t="n"/>
      <c r="AH377" s="721" t="n"/>
      <c r="AI377" s="721" t="n"/>
      <c r="AJ377" s="688" t="n"/>
      <c r="AK377" s="689" t="n"/>
      <c r="AL377" s="690" t="n"/>
      <c r="AM377" s="691" t="n"/>
      <c r="AN377" s="692" t="n"/>
      <c r="AO377" s="693" t="n"/>
      <c r="AP377" s="693" t="n"/>
      <c r="AQ377" s="693" t="n"/>
      <c r="AR377" s="693" t="n"/>
      <c r="AS377" s="693" t="n"/>
      <c r="AT377" s="693" t="n"/>
      <c r="AU377" s="699" t="n"/>
      <c r="AV377" s="693" t="n"/>
      <c r="AW377" s="693" t="n"/>
      <c r="AX377" s="693" t="n"/>
      <c r="AY377" s="693" t="n"/>
      <c r="AZ377" s="693" t="n"/>
    </row>
    <row r="378">
      <c r="A378" s="688" t="n"/>
      <c r="B378" s="688" t="n"/>
      <c r="C378" s="473" t="n"/>
      <c r="D378" s="688" t="n"/>
      <c r="E378" s="689" t="n"/>
      <c r="F378" s="721" t="n"/>
      <c r="G3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8" s="474">
        <f>G378/#REF!</f>
        <v/>
      </c>
      <c r="I378" s="690" t="n"/>
      <c r="J3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8" s="474">
        <f>J378/#REF!</f>
        <v/>
      </c>
      <c r="L378" s="473" t="n"/>
      <c r="M378" s="692" t="n"/>
      <c r="N378" s="693" t="n"/>
      <c r="O378" s="78" t="n"/>
      <c r="P378" s="129" t="n"/>
      <c r="Q378" s="129" t="n"/>
      <c r="R378" s="129" t="n"/>
      <c r="S378" s="129" t="n"/>
      <c r="T378" s="129" t="n"/>
      <c r="U378" s="129" t="n"/>
      <c r="V378" s="129" t="n"/>
      <c r="W378" s="129" t="n"/>
      <c r="X378" s="129" t="n"/>
      <c r="Y378" s="708" t="n"/>
      <c r="Z378" s="709" t="n"/>
      <c r="AA378" s="710" t="n"/>
      <c r="AB378" s="590" t="n"/>
      <c r="AC378" s="591" t="n"/>
      <c r="AD378" s="592" t="n"/>
      <c r="AE378" s="593" t="n"/>
      <c r="AF378" s="594" t="n"/>
      <c r="AG378" s="693" t="n"/>
      <c r="AH378" s="721" t="n"/>
      <c r="AI378" s="721" t="n"/>
      <c r="AJ378" s="688" t="n"/>
      <c r="AK378" s="689" t="n"/>
      <c r="AL378" s="690" t="n"/>
      <c r="AM378" s="691" t="n"/>
      <c r="AN378" s="692" t="n"/>
      <c r="AO378" s="693" t="n"/>
      <c r="AP378" s="693" t="n"/>
      <c r="AQ378" s="693" t="n"/>
      <c r="AR378" s="693" t="n"/>
      <c r="AS378" s="693" t="n"/>
      <c r="AT378" s="693" t="n"/>
      <c r="AU378" s="699" t="n"/>
      <c r="AV378" s="693" t="n"/>
      <c r="AW378" s="693" t="n"/>
      <c r="AX378" s="693" t="n"/>
      <c r="AY378" s="693" t="n"/>
      <c r="AZ378" s="693" t="n"/>
    </row>
    <row r="379">
      <c r="A379" s="688" t="n"/>
      <c r="B379" s="688" t="n"/>
      <c r="C379" s="473" t="n"/>
      <c r="D379" s="688" t="n"/>
      <c r="E379" s="689" t="n"/>
      <c r="F379" s="721" t="n"/>
      <c r="G3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79" s="474">
        <f>G379/#REF!</f>
        <v/>
      </c>
      <c r="I379" s="690" t="n"/>
      <c r="J3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79" s="474">
        <f>J379/#REF!</f>
        <v/>
      </c>
      <c r="L379" s="473" t="n"/>
      <c r="M379" s="692" t="n"/>
      <c r="N379" s="693" t="n"/>
      <c r="O379" s="78" t="n"/>
      <c r="P379" s="129" t="n"/>
      <c r="Q379" s="129" t="n"/>
      <c r="R379" s="129" t="n"/>
      <c r="S379" s="129" t="n"/>
      <c r="T379" s="129" t="n"/>
      <c r="U379" s="129" t="n"/>
      <c r="V379" s="129" t="n"/>
      <c r="W379" s="129" t="n"/>
      <c r="X379" s="129" t="n"/>
      <c r="Y379" s="703" t="n"/>
      <c r="Z379" s="704" t="n"/>
      <c r="AA379" s="705" t="n"/>
      <c r="AB379" s="613" t="n"/>
      <c r="AC379" s="614" t="n"/>
      <c r="AD379" s="628" t="n"/>
      <c r="AE379" s="616" t="n"/>
      <c r="AF379" s="617" t="n"/>
      <c r="AG379" s="693" t="n"/>
      <c r="AH379" s="721" t="n"/>
      <c r="AI379" s="721" t="n"/>
      <c r="AJ379" s="688" t="n"/>
      <c r="AK379" s="689" t="n"/>
      <c r="AL379" s="690" t="n"/>
      <c r="AM379" s="691" t="n"/>
      <c r="AN379" s="692" t="n"/>
      <c r="AO379" s="693" t="n"/>
      <c r="AP379" s="693" t="n"/>
      <c r="AQ379" s="693" t="n"/>
      <c r="AR379" s="693" t="n"/>
      <c r="AS379" s="693" t="n"/>
      <c r="AT379" s="693" t="n"/>
      <c r="AU379" s="699" t="n"/>
      <c r="AV379" s="693" t="n"/>
      <c r="AW379" s="693" t="n"/>
      <c r="AX379" s="693" t="n"/>
      <c r="AY379" s="693" t="n"/>
      <c r="AZ379" s="693" t="n"/>
    </row>
    <row r="380">
      <c r="A380" s="688" t="n"/>
      <c r="B380" s="688" t="n"/>
      <c r="C380" s="473" t="n"/>
      <c r="D380" s="688" t="n"/>
      <c r="E380" s="689" t="n"/>
      <c r="F380" s="721" t="n"/>
      <c r="G3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0" s="474">
        <f>G380/#REF!</f>
        <v/>
      </c>
      <c r="I380" s="690" t="n"/>
      <c r="J3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0" s="474">
        <f>J380/#REF!</f>
        <v/>
      </c>
      <c r="L380" s="473" t="n"/>
      <c r="M380" s="692" t="n"/>
      <c r="N380" s="693" t="n"/>
      <c r="O380" s="78" t="n"/>
      <c r="P380" s="129" t="n"/>
      <c r="Q380" s="129" t="n"/>
      <c r="R380" s="129" t="n"/>
      <c r="S380" s="129" t="n"/>
      <c r="T380" s="129" t="n"/>
      <c r="U380" s="129" t="n"/>
      <c r="V380" s="129" t="n"/>
      <c r="W380" s="129" t="n"/>
      <c r="X380" s="129" t="n"/>
      <c r="Y380" s="708" t="n"/>
      <c r="Z380" s="709" t="n"/>
      <c r="AA380" s="710" t="n"/>
      <c r="AB380" s="590" t="n"/>
      <c r="AC380" s="591" t="n"/>
      <c r="AD380" s="592" t="n"/>
      <c r="AE380" s="593" t="n"/>
      <c r="AF380" s="594" t="n"/>
      <c r="AG380" s="693" t="n"/>
      <c r="AH380" s="721" t="n"/>
      <c r="AI380" s="721" t="n"/>
      <c r="AJ380" s="688" t="n"/>
      <c r="AK380" s="689" t="n"/>
      <c r="AL380" s="690" t="n"/>
      <c r="AM380" s="691" t="n"/>
      <c r="AN380" s="692" t="n"/>
      <c r="AO380" s="693" t="n"/>
      <c r="AP380" s="693" t="n"/>
      <c r="AQ380" s="693" t="n"/>
      <c r="AR380" s="693" t="n"/>
      <c r="AS380" s="693" t="n"/>
      <c r="AT380" s="693" t="n"/>
      <c r="AU380" s="699" t="n"/>
      <c r="AV380" s="693" t="n"/>
      <c r="AW380" s="693" t="n"/>
      <c r="AX380" s="693" t="n"/>
      <c r="AY380" s="693" t="n"/>
      <c r="AZ380" s="693" t="n"/>
    </row>
    <row r="381">
      <c r="A381" s="688" t="n"/>
      <c r="B381" s="688" t="n"/>
      <c r="C381" s="473" t="n"/>
      <c r="D381" s="688" t="n"/>
      <c r="E381" s="689" t="n"/>
      <c r="F381" s="721" t="n"/>
      <c r="G3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1" s="474">
        <f>G381/#REF!</f>
        <v/>
      </c>
      <c r="I381" s="690" t="n"/>
      <c r="J3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1" s="474">
        <f>J381/#REF!</f>
        <v/>
      </c>
      <c r="L381" s="473" t="n"/>
      <c r="M381" s="692" t="n"/>
      <c r="N381" s="693" t="n"/>
      <c r="O381" s="78" t="n"/>
      <c r="P381" s="129" t="n"/>
      <c r="Q381" s="129" t="n"/>
      <c r="R381" s="129" t="n"/>
      <c r="S381" s="129" t="n"/>
      <c r="T381" s="129" t="n"/>
      <c r="U381" s="129" t="n"/>
      <c r="V381" s="129" t="n"/>
      <c r="W381" s="129" t="n"/>
      <c r="X381" s="129" t="n"/>
      <c r="Y381" s="703" t="n"/>
      <c r="Z381" s="704" t="n"/>
      <c r="AA381" s="705" t="n"/>
      <c r="AB381" s="613" t="n"/>
      <c r="AC381" s="614" t="n"/>
      <c r="AD381" s="628" t="n"/>
      <c r="AE381" s="616" t="n"/>
      <c r="AF381" s="617" t="n"/>
      <c r="AG381" s="693" t="n"/>
      <c r="AH381" s="721" t="n"/>
      <c r="AI381" s="721" t="n"/>
      <c r="AJ381" s="688" t="n"/>
      <c r="AK381" s="689" t="n"/>
      <c r="AL381" s="690" t="n"/>
      <c r="AM381" s="691" t="n"/>
      <c r="AN381" s="692" t="n"/>
      <c r="AO381" s="693" t="n"/>
      <c r="AP381" s="693" t="n"/>
      <c r="AQ381" s="693" t="n"/>
      <c r="AR381" s="693" t="n"/>
      <c r="AS381" s="693" t="n"/>
      <c r="AT381" s="693" t="n"/>
      <c r="AU381" s="699" t="n"/>
      <c r="AV381" s="693" t="n"/>
      <c r="AW381" s="693" t="n"/>
      <c r="AX381" s="693" t="n"/>
      <c r="AY381" s="693" t="n"/>
      <c r="AZ381" s="693" t="n"/>
    </row>
    <row r="382">
      <c r="A382" s="688" t="n"/>
      <c r="B382" s="688" t="n"/>
      <c r="C382" s="473" t="n"/>
      <c r="D382" s="688" t="n"/>
      <c r="E382" s="689" t="n"/>
      <c r="F382" s="721" t="n"/>
      <c r="G3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2" s="474">
        <f>G382/#REF!</f>
        <v/>
      </c>
      <c r="I382" s="690" t="n"/>
      <c r="J3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2" s="474">
        <f>J382/#REF!</f>
        <v/>
      </c>
      <c r="L382" s="473" t="n"/>
      <c r="M382" s="692" t="n"/>
      <c r="N382" s="693" t="n"/>
      <c r="O382" s="78" t="n"/>
      <c r="P382" s="129" t="n"/>
      <c r="Q382" s="129" t="n"/>
      <c r="R382" s="129" t="n"/>
      <c r="S382" s="129" t="n"/>
      <c r="T382" s="129" t="n"/>
      <c r="U382" s="129" t="n"/>
      <c r="V382" s="129" t="n"/>
      <c r="W382" s="129" t="n"/>
      <c r="X382" s="129" t="n"/>
      <c r="Y382" s="708" t="n"/>
      <c r="Z382" s="709" t="n"/>
      <c r="AA382" s="710" t="n"/>
      <c r="AB382" s="590" t="n"/>
      <c r="AC382" s="591" t="n"/>
      <c r="AD382" s="592" t="n"/>
      <c r="AE382" s="593" t="n"/>
      <c r="AF382" s="594" t="n"/>
      <c r="AG382" s="693" t="n"/>
      <c r="AH382" s="721" t="n"/>
      <c r="AI382" s="721" t="n"/>
      <c r="AJ382" s="688" t="n"/>
      <c r="AK382" s="689" t="n"/>
      <c r="AL382" s="690" t="n"/>
      <c r="AM382" s="691" t="n"/>
      <c r="AN382" s="692" t="n"/>
      <c r="AO382" s="693" t="n"/>
      <c r="AP382" s="693" t="n"/>
      <c r="AQ382" s="693" t="n"/>
      <c r="AR382" s="693" t="n"/>
      <c r="AS382" s="693" t="n"/>
      <c r="AT382" s="693" t="n"/>
      <c r="AU382" s="699" t="n"/>
      <c r="AV382" s="693" t="n"/>
      <c r="AW382" s="693" t="n"/>
      <c r="AX382" s="693" t="n"/>
      <c r="AY382" s="693" t="n"/>
      <c r="AZ382" s="693" t="n"/>
    </row>
    <row r="383">
      <c r="A383" s="688" t="n"/>
      <c r="B383" s="688" t="n"/>
      <c r="C383" s="473" t="n"/>
      <c r="D383" s="688" t="n"/>
      <c r="E383" s="689" t="n"/>
      <c r="F383" s="721" t="n"/>
      <c r="G3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3" s="474">
        <f>G383/#REF!</f>
        <v/>
      </c>
      <c r="I383" s="690" t="n"/>
      <c r="J3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3" s="474">
        <f>J383/#REF!</f>
        <v/>
      </c>
      <c r="L383" s="473" t="n"/>
      <c r="M383" s="692" t="n"/>
      <c r="N383" s="693" t="n"/>
      <c r="O383" s="78" t="n"/>
      <c r="P383" s="129" t="n"/>
      <c r="Q383" s="129" t="n"/>
      <c r="R383" s="129" t="n"/>
      <c r="S383" s="129" t="n"/>
      <c r="T383" s="129" t="n"/>
      <c r="U383" s="129" t="n"/>
      <c r="V383" s="129" t="n"/>
      <c r="W383" s="129" t="n"/>
      <c r="X383" s="129" t="n"/>
      <c r="Y383" s="703" t="n"/>
      <c r="Z383" s="704" t="n"/>
      <c r="AA383" s="705" t="n"/>
      <c r="AB383" s="613" t="n"/>
      <c r="AC383" s="614" t="n"/>
      <c r="AD383" s="628" t="n"/>
      <c r="AE383" s="616" t="n"/>
      <c r="AF383" s="617" t="n"/>
      <c r="AG383" s="693" t="n"/>
      <c r="AH383" s="721" t="n"/>
      <c r="AI383" s="721" t="n"/>
      <c r="AJ383" s="688" t="n"/>
      <c r="AK383" s="689" t="n"/>
      <c r="AL383" s="690" t="n"/>
      <c r="AM383" s="691" t="n"/>
      <c r="AN383" s="692" t="n"/>
      <c r="AO383" s="693" t="n"/>
      <c r="AP383" s="693" t="n"/>
      <c r="AQ383" s="693" t="n"/>
      <c r="AR383" s="693" t="n"/>
      <c r="AS383" s="693" t="n"/>
      <c r="AT383" s="693" t="n"/>
      <c r="AU383" s="699" t="n"/>
      <c r="AV383" s="693" t="n"/>
      <c r="AW383" s="693" t="n"/>
      <c r="AX383" s="693" t="n"/>
      <c r="AY383" s="693" t="n"/>
      <c r="AZ383" s="693" t="n"/>
    </row>
    <row r="384">
      <c r="A384" s="688" t="n"/>
      <c r="B384" s="688" t="n"/>
      <c r="C384" s="473" t="n"/>
      <c r="D384" s="688" t="n"/>
      <c r="E384" s="689" t="n"/>
      <c r="F384" s="721" t="n"/>
      <c r="G3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4" s="474">
        <f>G384/#REF!</f>
        <v/>
      </c>
      <c r="I384" s="690" t="n"/>
      <c r="J3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4" s="474">
        <f>J384/#REF!</f>
        <v/>
      </c>
      <c r="L384" s="473" t="n"/>
      <c r="M384" s="692" t="n"/>
      <c r="N384" s="693" t="n"/>
      <c r="O384" s="78" t="n"/>
      <c r="P384" s="129" t="n"/>
      <c r="Q384" s="129" t="n"/>
      <c r="R384" s="129" t="n"/>
      <c r="S384" s="129" t="n"/>
      <c r="T384" s="129" t="n"/>
      <c r="U384" s="129" t="n"/>
      <c r="V384" s="129" t="n"/>
      <c r="W384" s="129" t="n"/>
      <c r="X384" s="129" t="n"/>
      <c r="Y384" s="708" t="n"/>
      <c r="Z384" s="709" t="n"/>
      <c r="AA384" s="710" t="n"/>
      <c r="AB384" s="590" t="n"/>
      <c r="AC384" s="591" t="n"/>
      <c r="AD384" s="592" t="n"/>
      <c r="AE384" s="593" t="n"/>
      <c r="AF384" s="594" t="n"/>
      <c r="AG384" s="693" t="n"/>
      <c r="AH384" s="721" t="n"/>
      <c r="AI384" s="721" t="n"/>
      <c r="AJ384" s="688" t="n"/>
      <c r="AK384" s="689" t="n"/>
      <c r="AL384" s="690" t="n"/>
      <c r="AM384" s="691" t="n"/>
      <c r="AN384" s="692" t="n"/>
      <c r="AO384" s="693" t="n"/>
      <c r="AP384" s="693" t="n"/>
      <c r="AQ384" s="693" t="n"/>
      <c r="AR384" s="693" t="n"/>
      <c r="AS384" s="693" t="n"/>
      <c r="AT384" s="693" t="n"/>
      <c r="AU384" s="699" t="n"/>
      <c r="AV384" s="693" t="n"/>
      <c r="AW384" s="693" t="n"/>
      <c r="AX384" s="693" t="n"/>
      <c r="AY384" s="693" t="n"/>
      <c r="AZ384" s="693" t="n"/>
    </row>
    <row r="385">
      <c r="A385" s="688" t="n"/>
      <c r="B385" s="688" t="n"/>
      <c r="C385" s="473" t="n"/>
      <c r="D385" s="688" t="n"/>
      <c r="E385" s="689" t="n"/>
      <c r="F385" s="721" t="n"/>
      <c r="G3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5" s="474">
        <f>G385/#REF!</f>
        <v/>
      </c>
      <c r="I385" s="690" t="n"/>
      <c r="J3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5" s="474">
        <f>J385/#REF!</f>
        <v/>
      </c>
      <c r="L385" s="473" t="n"/>
      <c r="M385" s="692" t="n"/>
      <c r="N385" s="693" t="n"/>
      <c r="O385" s="78" t="n"/>
      <c r="P385" s="129" t="n"/>
      <c r="Q385" s="129" t="n"/>
      <c r="R385" s="129" t="n"/>
      <c r="S385" s="129" t="n"/>
      <c r="T385" s="129" t="n"/>
      <c r="U385" s="129" t="n"/>
      <c r="V385" s="129" t="n"/>
      <c r="W385" s="129" t="n"/>
      <c r="X385" s="129" t="n"/>
      <c r="Y385" s="703" t="n"/>
      <c r="Z385" s="704" t="n"/>
      <c r="AA385" s="705" t="n"/>
      <c r="AB385" s="613" t="n"/>
      <c r="AC385" s="614" t="n"/>
      <c r="AD385" s="628" t="n"/>
      <c r="AE385" s="616" t="n"/>
      <c r="AF385" s="617" t="n"/>
      <c r="AG385" s="693" t="n"/>
      <c r="AH385" s="721" t="n"/>
      <c r="AI385" s="721" t="n"/>
      <c r="AJ385" s="688" t="n"/>
      <c r="AK385" s="689" t="n"/>
      <c r="AL385" s="690" t="n"/>
      <c r="AM385" s="691" t="n"/>
      <c r="AN385" s="692" t="n"/>
      <c r="AO385" s="693" t="n"/>
      <c r="AP385" s="693" t="n"/>
      <c r="AQ385" s="693" t="n"/>
      <c r="AR385" s="693" t="n"/>
      <c r="AS385" s="693" t="n"/>
      <c r="AT385" s="693" t="n"/>
      <c r="AU385" s="699" t="n"/>
      <c r="AV385" s="693" t="n"/>
      <c r="AW385" s="693" t="n"/>
      <c r="AX385" s="693" t="n"/>
      <c r="AY385" s="693" t="n"/>
      <c r="AZ385" s="693" t="n"/>
    </row>
    <row r="386">
      <c r="A386" s="688" t="n"/>
      <c r="B386" s="688" t="n"/>
      <c r="C386" s="473" t="n"/>
      <c r="D386" s="688" t="n"/>
      <c r="E386" s="689" t="n"/>
      <c r="F386" s="721" t="n"/>
      <c r="G3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6" s="474">
        <f>G386/#REF!</f>
        <v/>
      </c>
      <c r="I386" s="690" t="n"/>
      <c r="J3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6" s="474">
        <f>J386/#REF!</f>
        <v/>
      </c>
      <c r="L386" s="473" t="n"/>
      <c r="M386" s="692" t="n"/>
      <c r="N386" s="693" t="n"/>
      <c r="O386" s="78" t="n"/>
      <c r="P386" s="129" t="n"/>
      <c r="Q386" s="129" t="n"/>
      <c r="R386" s="129" t="n"/>
      <c r="S386" s="129" t="n"/>
      <c r="T386" s="129" t="n"/>
      <c r="U386" s="129" t="n"/>
      <c r="V386" s="129" t="n"/>
      <c r="W386" s="129" t="n"/>
      <c r="X386" s="129" t="n"/>
      <c r="Y386" s="708" t="n"/>
      <c r="Z386" s="709" t="n"/>
      <c r="AA386" s="710" t="n"/>
      <c r="AB386" s="590" t="n"/>
      <c r="AC386" s="591" t="n"/>
      <c r="AD386" s="592" t="n"/>
      <c r="AE386" s="593" t="n"/>
      <c r="AF386" s="594" t="n"/>
      <c r="AG386" s="693" t="n"/>
      <c r="AH386" s="721" t="n"/>
      <c r="AI386" s="721" t="n"/>
      <c r="AJ386" s="688" t="n"/>
      <c r="AK386" s="689" t="n"/>
      <c r="AL386" s="690" t="n"/>
      <c r="AM386" s="691" t="n"/>
      <c r="AN386" s="692" t="n"/>
      <c r="AO386" s="693" t="n"/>
      <c r="AP386" s="693" t="n"/>
      <c r="AQ386" s="693" t="n"/>
      <c r="AR386" s="693" t="n"/>
      <c r="AS386" s="693" t="n"/>
      <c r="AT386" s="693" t="n"/>
      <c r="AU386" s="699" t="n"/>
      <c r="AV386" s="693" t="n"/>
      <c r="AW386" s="693" t="n"/>
      <c r="AX386" s="693" t="n"/>
      <c r="AY386" s="693" t="n"/>
      <c r="AZ386" s="693" t="n"/>
    </row>
    <row r="387">
      <c r="A387" s="688" t="n"/>
      <c r="B387" s="688" t="n"/>
      <c r="C387" s="473" t="n"/>
      <c r="D387" s="688" t="n"/>
      <c r="E387" s="689" t="n"/>
      <c r="F387" s="721" t="n"/>
      <c r="G3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7" s="474">
        <f>G387/#REF!</f>
        <v/>
      </c>
      <c r="I387" s="690" t="n"/>
      <c r="J3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7" s="474">
        <f>J387/#REF!</f>
        <v/>
      </c>
      <c r="L387" s="473" t="n"/>
      <c r="M387" s="692" t="n"/>
      <c r="N387" s="693" t="n"/>
      <c r="O387" s="78" t="n"/>
      <c r="P387" s="129" t="n"/>
      <c r="Q387" s="129" t="n"/>
      <c r="R387" s="129" t="n"/>
      <c r="S387" s="129" t="n"/>
      <c r="T387" s="129" t="n"/>
      <c r="U387" s="129" t="n"/>
      <c r="V387" s="129" t="n"/>
      <c r="W387" s="129" t="n"/>
      <c r="X387" s="129" t="n"/>
      <c r="Y387" s="703" t="n"/>
      <c r="Z387" s="704" t="n"/>
      <c r="AA387" s="705" t="n"/>
      <c r="AB387" s="613" t="n"/>
      <c r="AC387" s="614" t="n"/>
      <c r="AD387" s="628" t="n"/>
      <c r="AE387" s="616" t="n"/>
      <c r="AF387" s="617" t="n"/>
      <c r="AG387" s="693" t="n"/>
      <c r="AH387" s="721" t="n"/>
      <c r="AI387" s="721" t="n"/>
      <c r="AJ387" s="688" t="n"/>
      <c r="AK387" s="689" t="n"/>
      <c r="AL387" s="690" t="n"/>
      <c r="AM387" s="691" t="n"/>
      <c r="AN387" s="692" t="n"/>
      <c r="AO387" s="693" t="n"/>
      <c r="AP387" s="693" t="n"/>
      <c r="AQ387" s="693" t="n"/>
      <c r="AR387" s="693" t="n"/>
      <c r="AS387" s="693" t="n"/>
      <c r="AT387" s="693" t="n"/>
      <c r="AU387" s="699" t="n"/>
      <c r="AV387" s="693" t="n"/>
      <c r="AW387" s="693" t="n"/>
      <c r="AX387" s="693" t="n"/>
      <c r="AY387" s="693" t="n"/>
      <c r="AZ387" s="693" t="n"/>
    </row>
    <row r="388">
      <c r="A388" s="688" t="n"/>
      <c r="B388" s="688" t="n"/>
      <c r="C388" s="473" t="n"/>
      <c r="D388" s="688" t="n"/>
      <c r="E388" s="689" t="n"/>
      <c r="F388" s="721" t="n"/>
      <c r="G3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8" s="474">
        <f>G388/#REF!</f>
        <v/>
      </c>
      <c r="I388" s="690" t="n"/>
      <c r="J3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8" s="474">
        <f>J388/#REF!</f>
        <v/>
      </c>
      <c r="L388" s="473" t="n"/>
      <c r="M388" s="692" t="n"/>
      <c r="N388" s="693" t="n"/>
      <c r="O388" s="78" t="n"/>
      <c r="P388" s="129" t="n"/>
      <c r="Q388" s="129" t="n"/>
      <c r="R388" s="129" t="n"/>
      <c r="S388" s="129" t="n"/>
      <c r="T388" s="129" t="n"/>
      <c r="U388" s="129" t="n"/>
      <c r="V388" s="129" t="n"/>
      <c r="W388" s="129" t="n"/>
      <c r="X388" s="129" t="n"/>
      <c r="Y388" s="708" t="n"/>
      <c r="Z388" s="709" t="n"/>
      <c r="AA388" s="710" t="n"/>
      <c r="AB388" s="590" t="n"/>
      <c r="AC388" s="591" t="n"/>
      <c r="AD388" s="592" t="n"/>
      <c r="AE388" s="593" t="n"/>
      <c r="AF388" s="594" t="n"/>
      <c r="AG388" s="693" t="n"/>
      <c r="AH388" s="721" t="n"/>
      <c r="AI388" s="721" t="n"/>
      <c r="AJ388" s="688" t="n"/>
      <c r="AK388" s="689" t="n"/>
      <c r="AL388" s="690" t="n"/>
      <c r="AM388" s="691" t="n"/>
      <c r="AN388" s="692" t="n"/>
      <c r="AO388" s="693" t="n"/>
      <c r="AP388" s="693" t="n"/>
      <c r="AQ388" s="693" t="n"/>
      <c r="AR388" s="693" t="n"/>
      <c r="AS388" s="693" t="n"/>
      <c r="AT388" s="693" t="n"/>
      <c r="AU388" s="699" t="n"/>
      <c r="AV388" s="693" t="n"/>
      <c r="AW388" s="693" t="n"/>
      <c r="AX388" s="693" t="n"/>
      <c r="AY388" s="693" t="n"/>
      <c r="AZ388" s="693" t="n"/>
    </row>
    <row r="389">
      <c r="A389" s="688" t="n"/>
      <c r="B389" s="688" t="n"/>
      <c r="C389" s="473" t="n"/>
      <c r="D389" s="688" t="n"/>
      <c r="E389" s="689" t="n"/>
      <c r="F389" s="721" t="n"/>
      <c r="G3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89" s="474">
        <f>G389/#REF!</f>
        <v/>
      </c>
      <c r="I389" s="690" t="n"/>
      <c r="J3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89" s="474">
        <f>J389/#REF!</f>
        <v/>
      </c>
      <c r="L389" s="473" t="n"/>
      <c r="M389" s="692" t="n"/>
      <c r="N389" s="693" t="n"/>
      <c r="O389" s="78" t="n"/>
      <c r="P389" s="129" t="n"/>
      <c r="Q389" s="129" t="n"/>
      <c r="R389" s="129" t="n"/>
      <c r="S389" s="129" t="n"/>
      <c r="T389" s="129" t="n"/>
      <c r="U389" s="129" t="n"/>
      <c r="V389" s="129" t="n"/>
      <c r="W389" s="129" t="n"/>
      <c r="X389" s="129" t="n"/>
      <c r="Y389" s="703" t="n"/>
      <c r="Z389" s="704" t="n"/>
      <c r="AA389" s="705" t="n"/>
      <c r="AB389" s="613" t="n"/>
      <c r="AC389" s="614" t="n"/>
      <c r="AD389" s="628" t="n"/>
      <c r="AE389" s="616" t="n"/>
      <c r="AF389" s="617" t="n"/>
      <c r="AG389" s="693" t="n"/>
      <c r="AH389" s="721" t="n"/>
      <c r="AI389" s="721" t="n"/>
      <c r="AJ389" s="688" t="n"/>
      <c r="AK389" s="689" t="n"/>
      <c r="AL389" s="690" t="n"/>
      <c r="AM389" s="691" t="n"/>
      <c r="AN389" s="692" t="n"/>
      <c r="AO389" s="693" t="n"/>
      <c r="AP389" s="693" t="n"/>
      <c r="AQ389" s="693" t="n"/>
      <c r="AR389" s="693" t="n"/>
      <c r="AS389" s="693" t="n"/>
      <c r="AT389" s="693" t="n"/>
      <c r="AU389" s="699" t="n"/>
      <c r="AV389" s="693" t="n"/>
      <c r="AW389" s="693" t="n"/>
      <c r="AX389" s="693" t="n"/>
      <c r="AY389" s="693" t="n"/>
      <c r="AZ389" s="693" t="n"/>
    </row>
    <row r="390">
      <c r="A390" s="688" t="n"/>
      <c r="B390" s="688" t="n"/>
      <c r="C390" s="473" t="n"/>
      <c r="D390" s="688" t="n"/>
      <c r="E390" s="689" t="n"/>
      <c r="F390" s="721" t="n"/>
      <c r="G3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0" s="474">
        <f>G390/#REF!</f>
        <v/>
      </c>
      <c r="I390" s="690" t="n"/>
      <c r="J3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0" s="474">
        <f>J390/#REF!</f>
        <v/>
      </c>
      <c r="L390" s="473" t="n"/>
      <c r="M390" s="692" t="n"/>
      <c r="N390" s="693" t="n"/>
      <c r="O390" s="78" t="n"/>
      <c r="P390" s="129" t="n"/>
      <c r="Q390" s="129" t="n"/>
      <c r="R390" s="129" t="n"/>
      <c r="S390" s="129" t="n"/>
      <c r="T390" s="129" t="n"/>
      <c r="U390" s="129" t="n"/>
      <c r="V390" s="129" t="n"/>
      <c r="W390" s="129" t="n"/>
      <c r="X390" s="129" t="n"/>
      <c r="Y390" s="708" t="n"/>
      <c r="Z390" s="709" t="n"/>
      <c r="AA390" s="710" t="n"/>
      <c r="AB390" s="590" t="n"/>
      <c r="AC390" s="591" t="n"/>
      <c r="AD390" s="592" t="n"/>
      <c r="AE390" s="593" t="n"/>
      <c r="AF390" s="594" t="n"/>
      <c r="AG390" s="693" t="n"/>
      <c r="AH390" s="721" t="n"/>
      <c r="AI390" s="721" t="n"/>
      <c r="AJ390" s="688" t="n"/>
      <c r="AK390" s="689" t="n"/>
      <c r="AL390" s="690" t="n"/>
      <c r="AM390" s="691" t="n"/>
      <c r="AN390" s="692" t="n"/>
      <c r="AO390" s="693" t="n"/>
      <c r="AP390" s="693" t="n"/>
      <c r="AQ390" s="693" t="n"/>
      <c r="AR390" s="693" t="n"/>
      <c r="AS390" s="693" t="n"/>
      <c r="AT390" s="693" t="n"/>
      <c r="AU390" s="699" t="n"/>
      <c r="AV390" s="693" t="n"/>
      <c r="AW390" s="693" t="n"/>
      <c r="AX390" s="693" t="n"/>
      <c r="AY390" s="693" t="n"/>
      <c r="AZ390" s="693" t="n"/>
    </row>
    <row r="391">
      <c r="A391" s="688" t="n"/>
      <c r="B391" s="688" t="n"/>
      <c r="C391" s="473" t="n"/>
      <c r="D391" s="688" t="n"/>
      <c r="E391" s="689" t="n"/>
      <c r="F391" s="721" t="n"/>
      <c r="G3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1" s="474">
        <f>G391/#REF!</f>
        <v/>
      </c>
      <c r="I391" s="690" t="n"/>
      <c r="J3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1" s="474">
        <f>J391/#REF!</f>
        <v/>
      </c>
      <c r="L391" s="473" t="n"/>
      <c r="M391" s="692" t="n"/>
      <c r="N391" s="693" t="n"/>
      <c r="O391" s="78" t="n"/>
      <c r="P391" s="129" t="n"/>
      <c r="Q391" s="129" t="n"/>
      <c r="R391" s="129" t="n"/>
      <c r="S391" s="129" t="n"/>
      <c r="T391" s="129" t="n"/>
      <c r="U391" s="129" t="n"/>
      <c r="V391" s="129" t="n"/>
      <c r="W391" s="129" t="n"/>
      <c r="X391" s="129" t="n"/>
      <c r="Y391" s="703" t="n"/>
      <c r="Z391" s="704" t="n"/>
      <c r="AA391" s="705" t="n"/>
      <c r="AB391" s="613" t="n"/>
      <c r="AC391" s="614" t="n"/>
      <c r="AD391" s="628" t="n"/>
      <c r="AE391" s="616" t="n"/>
      <c r="AF391" s="617" t="n"/>
      <c r="AG391" s="693" t="n"/>
      <c r="AH391" s="721" t="n"/>
      <c r="AI391" s="721" t="n"/>
      <c r="AJ391" s="688" t="n"/>
      <c r="AK391" s="689" t="n"/>
      <c r="AL391" s="690" t="n"/>
      <c r="AM391" s="691" t="n"/>
      <c r="AN391" s="692" t="n"/>
      <c r="AO391" s="693" t="n"/>
      <c r="AP391" s="693" t="n"/>
      <c r="AQ391" s="693" t="n"/>
      <c r="AR391" s="693" t="n"/>
      <c r="AS391" s="693" t="n"/>
      <c r="AT391" s="693" t="n"/>
      <c r="AU391" s="699" t="n"/>
      <c r="AV391" s="693" t="n"/>
      <c r="AW391" s="693" t="n"/>
      <c r="AX391" s="693" t="n"/>
      <c r="AY391" s="693" t="n"/>
      <c r="AZ391" s="693" t="n"/>
    </row>
    <row r="392">
      <c r="A392" s="688" t="n"/>
      <c r="B392" s="688" t="n"/>
      <c r="C392" s="473" t="n"/>
      <c r="D392" s="688" t="n"/>
      <c r="E392" s="689" t="n"/>
      <c r="F392" s="721" t="n"/>
      <c r="G3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2" s="474">
        <f>G392/#REF!</f>
        <v/>
      </c>
      <c r="I392" s="690" t="n"/>
      <c r="J3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2" s="474">
        <f>J392/#REF!</f>
        <v/>
      </c>
      <c r="L392" s="473" t="n"/>
      <c r="M392" s="692" t="n"/>
      <c r="N392" s="693" t="n"/>
      <c r="O392" s="78" t="n"/>
      <c r="P392" s="129" t="n"/>
      <c r="Q392" s="129" t="n"/>
      <c r="R392" s="129" t="n"/>
      <c r="S392" s="129" t="n"/>
      <c r="T392" s="129" t="n"/>
      <c r="U392" s="129" t="n"/>
      <c r="V392" s="129" t="n"/>
      <c r="W392" s="129" t="n"/>
      <c r="X392" s="129" t="n"/>
      <c r="Y392" s="708" t="n"/>
      <c r="Z392" s="709" t="n"/>
      <c r="AA392" s="710" t="n"/>
      <c r="AB392" s="590" t="n"/>
      <c r="AC392" s="591" t="n"/>
      <c r="AD392" s="592" t="n"/>
      <c r="AE392" s="593" t="n"/>
      <c r="AF392" s="594" t="n"/>
      <c r="AG392" s="693" t="n"/>
      <c r="AH392" s="721" t="n"/>
      <c r="AI392" s="721" t="n"/>
      <c r="AJ392" s="688" t="n"/>
      <c r="AK392" s="689" t="n"/>
      <c r="AL392" s="690" t="n"/>
      <c r="AM392" s="691" t="n"/>
      <c r="AN392" s="692" t="n"/>
      <c r="AO392" s="693" t="n"/>
      <c r="AP392" s="693" t="n"/>
      <c r="AQ392" s="693" t="n"/>
      <c r="AR392" s="693" t="n"/>
      <c r="AS392" s="693" t="n"/>
      <c r="AT392" s="693" t="n"/>
      <c r="AU392" s="699" t="n"/>
      <c r="AV392" s="693" t="n"/>
      <c r="AW392" s="693" t="n"/>
      <c r="AX392" s="693" t="n"/>
      <c r="AY392" s="693" t="n"/>
      <c r="AZ392" s="693" t="n"/>
    </row>
    <row r="393">
      <c r="A393" s="688" t="n"/>
      <c r="B393" s="688" t="n"/>
      <c r="C393" s="473" t="n"/>
      <c r="D393" s="688" t="n"/>
      <c r="E393" s="689" t="n"/>
      <c r="F393" s="721" t="n"/>
      <c r="G3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3" s="474">
        <f>G393/#REF!</f>
        <v/>
      </c>
      <c r="I393" s="690" t="n"/>
      <c r="J3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3" s="474">
        <f>J393/#REF!</f>
        <v/>
      </c>
      <c r="L393" s="473" t="n"/>
      <c r="M393" s="692" t="n"/>
      <c r="N393" s="693" t="n"/>
      <c r="O393" s="78" t="n"/>
      <c r="P393" s="129" t="n"/>
      <c r="Q393" s="129" t="n"/>
      <c r="R393" s="129" t="n"/>
      <c r="S393" s="129" t="n"/>
      <c r="T393" s="129" t="n"/>
      <c r="U393" s="129" t="n"/>
      <c r="V393" s="129" t="n"/>
      <c r="W393" s="129" t="n"/>
      <c r="X393" s="129" t="n"/>
      <c r="Y393" s="703" t="n"/>
      <c r="Z393" s="704" t="n"/>
      <c r="AA393" s="705" t="n"/>
      <c r="AB393" s="613" t="n"/>
      <c r="AC393" s="614" t="n"/>
      <c r="AD393" s="628" t="n"/>
      <c r="AE393" s="616" t="n"/>
      <c r="AF393" s="617" t="n"/>
      <c r="AG393" s="693" t="n"/>
      <c r="AH393" s="721" t="n"/>
      <c r="AI393" s="721" t="n"/>
      <c r="AJ393" s="688" t="n"/>
      <c r="AK393" s="689" t="n"/>
      <c r="AL393" s="690" t="n"/>
      <c r="AM393" s="691" t="n"/>
      <c r="AN393" s="692" t="n"/>
      <c r="AO393" s="693" t="n"/>
      <c r="AP393" s="693" t="n"/>
      <c r="AQ393" s="693" t="n"/>
      <c r="AR393" s="693" t="n"/>
      <c r="AS393" s="693" t="n"/>
      <c r="AT393" s="693" t="n"/>
      <c r="AU393" s="699" t="n"/>
      <c r="AV393" s="693" t="n"/>
      <c r="AW393" s="693" t="n"/>
      <c r="AX393" s="693" t="n"/>
      <c r="AY393" s="693" t="n"/>
      <c r="AZ393" s="693" t="n"/>
    </row>
    <row r="394">
      <c r="A394" s="688" t="n"/>
      <c r="B394" s="688" t="n"/>
      <c r="C394" s="473" t="n"/>
      <c r="D394" s="688" t="n"/>
      <c r="E394" s="689" t="n"/>
      <c r="F394" s="721" t="n"/>
      <c r="G3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4" s="474">
        <f>G394/#REF!</f>
        <v/>
      </c>
      <c r="I394" s="690" t="n"/>
      <c r="J3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4" s="474">
        <f>J394/#REF!</f>
        <v/>
      </c>
      <c r="L394" s="473" t="n"/>
      <c r="M394" s="692" t="n"/>
      <c r="N394" s="693" t="n"/>
      <c r="O394" s="78" t="n"/>
      <c r="P394" s="129" t="n"/>
      <c r="Q394" s="129" t="n"/>
      <c r="R394" s="129" t="n"/>
      <c r="S394" s="129" t="n"/>
      <c r="T394" s="129" t="n"/>
      <c r="U394" s="129" t="n"/>
      <c r="V394" s="129" t="n"/>
      <c r="W394" s="129" t="n"/>
      <c r="X394" s="129" t="n"/>
      <c r="Y394" s="708" t="n"/>
      <c r="Z394" s="709" t="n"/>
      <c r="AA394" s="710" t="n"/>
      <c r="AB394" s="590" t="n"/>
      <c r="AC394" s="591" t="n"/>
      <c r="AD394" s="592" t="n"/>
      <c r="AE394" s="593" t="n"/>
      <c r="AF394" s="594" t="n"/>
      <c r="AG394" s="693" t="n"/>
      <c r="AH394" s="721" t="n"/>
      <c r="AI394" s="721" t="n"/>
      <c r="AJ394" s="688" t="n"/>
      <c r="AK394" s="689" t="n"/>
      <c r="AL394" s="690" t="n"/>
      <c r="AM394" s="691" t="n"/>
      <c r="AN394" s="692" t="n"/>
      <c r="AO394" s="693" t="n"/>
      <c r="AP394" s="693" t="n"/>
      <c r="AQ394" s="693" t="n"/>
      <c r="AR394" s="693" t="n"/>
      <c r="AS394" s="693" t="n"/>
      <c r="AT394" s="693" t="n"/>
      <c r="AU394" s="699" t="n"/>
      <c r="AV394" s="693" t="n"/>
      <c r="AW394" s="693" t="n"/>
      <c r="AX394" s="693" t="n"/>
      <c r="AY394" s="693" t="n"/>
      <c r="AZ394" s="693" t="n"/>
    </row>
    <row r="395">
      <c r="A395" s="688" t="n"/>
      <c r="B395" s="688" t="n"/>
      <c r="C395" s="473" t="n"/>
      <c r="D395" s="688" t="n"/>
      <c r="E395" s="689" t="n"/>
      <c r="F395" s="721" t="n"/>
      <c r="G3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5" s="474">
        <f>G395/#REF!</f>
        <v/>
      </c>
      <c r="I395" s="690" t="n"/>
      <c r="J3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5" s="474">
        <f>J395/#REF!</f>
        <v/>
      </c>
      <c r="L395" s="473" t="n"/>
      <c r="M395" s="692" t="n"/>
      <c r="N395" s="693" t="n"/>
      <c r="O395" s="78" t="n"/>
      <c r="P395" s="129" t="n"/>
      <c r="Q395" s="129" t="n"/>
      <c r="R395" s="129" t="n"/>
      <c r="S395" s="129" t="n"/>
      <c r="T395" s="129" t="n"/>
      <c r="U395" s="129" t="n"/>
      <c r="V395" s="129" t="n"/>
      <c r="W395" s="129" t="n"/>
      <c r="X395" s="129" t="n"/>
      <c r="Y395" s="703" t="n"/>
      <c r="Z395" s="704" t="n"/>
      <c r="AA395" s="705" t="n"/>
      <c r="AB395" s="613" t="n"/>
      <c r="AC395" s="614" t="n"/>
      <c r="AD395" s="628" t="n"/>
      <c r="AE395" s="616" t="n"/>
      <c r="AF395" s="617" t="n"/>
      <c r="AG395" s="693" t="n"/>
      <c r="AH395" s="721" t="n"/>
      <c r="AI395" s="721" t="n"/>
      <c r="AJ395" s="688" t="n"/>
      <c r="AK395" s="689" t="n"/>
      <c r="AL395" s="690" t="n"/>
      <c r="AM395" s="691" t="n"/>
      <c r="AN395" s="692" t="n"/>
      <c r="AO395" s="693" t="n"/>
      <c r="AP395" s="693" t="n"/>
      <c r="AQ395" s="693" t="n"/>
      <c r="AR395" s="693" t="n"/>
      <c r="AS395" s="693" t="n"/>
      <c r="AT395" s="693" t="n"/>
      <c r="AU395" s="699" t="n"/>
      <c r="AV395" s="693" t="n"/>
      <c r="AW395" s="693" t="n"/>
      <c r="AX395" s="693" t="n"/>
      <c r="AY395" s="693" t="n"/>
      <c r="AZ395" s="693" t="n"/>
    </row>
    <row r="396">
      <c r="A396" s="688" t="n"/>
      <c r="B396" s="688" t="n"/>
      <c r="C396" s="473" t="n"/>
      <c r="D396" s="688" t="n"/>
      <c r="E396" s="689" t="n"/>
      <c r="F396" s="721" t="n"/>
      <c r="G3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6" s="474">
        <f>G396/#REF!</f>
        <v/>
      </c>
      <c r="I396" s="690" t="n"/>
      <c r="J3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6" s="474">
        <f>J396/#REF!</f>
        <v/>
      </c>
      <c r="L396" s="473" t="n"/>
      <c r="M396" s="692" t="n"/>
      <c r="N396" s="693" t="n"/>
      <c r="O396" s="78" t="n"/>
      <c r="P396" s="129" t="n"/>
      <c r="Q396" s="129" t="n"/>
      <c r="R396" s="129" t="n"/>
      <c r="S396" s="129" t="n"/>
      <c r="T396" s="129" t="n"/>
      <c r="U396" s="129" t="n"/>
      <c r="V396" s="129" t="n"/>
      <c r="W396" s="129" t="n"/>
      <c r="X396" s="129" t="n"/>
      <c r="Y396" s="708" t="n"/>
      <c r="Z396" s="709" t="n"/>
      <c r="AA396" s="710" t="n"/>
      <c r="AB396" s="590" t="n"/>
      <c r="AC396" s="591" t="n"/>
      <c r="AD396" s="592" t="n"/>
      <c r="AE396" s="593" t="n"/>
      <c r="AF396" s="594" t="n"/>
      <c r="AG396" s="693" t="n"/>
      <c r="AH396" s="721" t="n"/>
      <c r="AI396" s="721" t="n"/>
      <c r="AJ396" s="688" t="n"/>
      <c r="AK396" s="689" t="n"/>
      <c r="AL396" s="690" t="n"/>
      <c r="AM396" s="691" t="n"/>
      <c r="AN396" s="692" t="n"/>
      <c r="AO396" s="693" t="n"/>
      <c r="AP396" s="693" t="n"/>
      <c r="AQ396" s="693" t="n"/>
      <c r="AR396" s="693" t="n"/>
      <c r="AS396" s="693" t="n"/>
      <c r="AT396" s="693" t="n"/>
      <c r="AU396" s="699" t="n"/>
      <c r="AV396" s="693" t="n"/>
      <c r="AW396" s="693" t="n"/>
      <c r="AX396" s="693" t="n"/>
      <c r="AY396" s="693" t="n"/>
      <c r="AZ396" s="693" t="n"/>
    </row>
    <row r="397">
      <c r="A397" s="688" t="n"/>
      <c r="B397" s="688" t="n"/>
      <c r="C397" s="473" t="n"/>
      <c r="D397" s="688" t="n"/>
      <c r="E397" s="689" t="n"/>
      <c r="F397" s="721" t="n"/>
      <c r="G3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7" s="474">
        <f>G397/#REF!</f>
        <v/>
      </c>
      <c r="I397" s="690" t="n"/>
      <c r="J3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7" s="474">
        <f>J397/#REF!</f>
        <v/>
      </c>
      <c r="L397" s="473" t="n"/>
      <c r="M397" s="692" t="n"/>
      <c r="N397" s="693" t="n"/>
      <c r="O397" s="78" t="n"/>
      <c r="P397" s="129" t="n"/>
      <c r="Q397" s="129" t="n"/>
      <c r="R397" s="129" t="n"/>
      <c r="S397" s="129" t="n"/>
      <c r="T397" s="129" t="n"/>
      <c r="U397" s="129" t="n"/>
      <c r="V397" s="129" t="n"/>
      <c r="W397" s="129" t="n"/>
      <c r="X397" s="129" t="n"/>
      <c r="Y397" s="703" t="n"/>
      <c r="Z397" s="704" t="n"/>
      <c r="AA397" s="705" t="n"/>
      <c r="AB397" s="613" t="n"/>
      <c r="AC397" s="614" t="n"/>
      <c r="AD397" s="628" t="n"/>
      <c r="AE397" s="616" t="n"/>
      <c r="AF397" s="617" t="n"/>
      <c r="AG397" s="693" t="n"/>
      <c r="AH397" s="721" t="n"/>
      <c r="AI397" s="721" t="n"/>
      <c r="AJ397" s="688" t="n"/>
      <c r="AK397" s="689" t="n"/>
      <c r="AL397" s="690" t="n"/>
      <c r="AM397" s="691" t="n"/>
      <c r="AN397" s="692" t="n"/>
      <c r="AO397" s="693" t="n"/>
      <c r="AP397" s="693" t="n"/>
      <c r="AQ397" s="693" t="n"/>
      <c r="AR397" s="693" t="n"/>
      <c r="AS397" s="693" t="n"/>
      <c r="AT397" s="693" t="n"/>
      <c r="AU397" s="699" t="n"/>
      <c r="AV397" s="693" t="n"/>
      <c r="AW397" s="693" t="n"/>
      <c r="AX397" s="693" t="n"/>
      <c r="AY397" s="693" t="n"/>
      <c r="AZ397" s="693" t="n"/>
    </row>
    <row r="398">
      <c r="A398" s="688" t="n"/>
      <c r="B398" s="688" t="n"/>
      <c r="C398" s="473" t="n"/>
      <c r="D398" s="688" t="n"/>
      <c r="E398" s="689" t="n"/>
      <c r="F398" s="721" t="n"/>
      <c r="G3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8" s="474">
        <f>G398/#REF!</f>
        <v/>
      </c>
      <c r="I398" s="690" t="n"/>
      <c r="J3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8" s="474">
        <f>J398/#REF!</f>
        <v/>
      </c>
      <c r="L398" s="473" t="n"/>
      <c r="M398" s="692" t="n"/>
      <c r="N398" s="693" t="n"/>
      <c r="O398" s="78" t="n"/>
      <c r="P398" s="129" t="n"/>
      <c r="Q398" s="129" t="n"/>
      <c r="R398" s="129" t="n"/>
      <c r="S398" s="129" t="n"/>
      <c r="T398" s="129" t="n"/>
      <c r="U398" s="129" t="n"/>
      <c r="V398" s="129" t="n"/>
      <c r="W398" s="129" t="n"/>
      <c r="X398" s="129" t="n"/>
      <c r="Y398" s="708" t="n"/>
      <c r="Z398" s="709" t="n"/>
      <c r="AA398" s="710" t="n"/>
      <c r="AB398" s="590" t="n"/>
      <c r="AC398" s="591" t="n"/>
      <c r="AD398" s="592" t="n"/>
      <c r="AE398" s="593" t="n"/>
      <c r="AF398" s="594" t="n"/>
      <c r="AG398" s="693" t="n"/>
      <c r="AH398" s="721" t="n"/>
      <c r="AI398" s="721" t="n"/>
      <c r="AJ398" s="688" t="n"/>
      <c r="AK398" s="689" t="n"/>
      <c r="AL398" s="690" t="n"/>
      <c r="AM398" s="691" t="n"/>
      <c r="AN398" s="692" t="n"/>
      <c r="AO398" s="693" t="n"/>
      <c r="AP398" s="693" t="n"/>
      <c r="AQ398" s="693" t="n"/>
      <c r="AR398" s="693" t="n"/>
      <c r="AS398" s="693" t="n"/>
      <c r="AT398" s="693" t="n"/>
      <c r="AU398" s="699" t="n"/>
      <c r="AV398" s="693" t="n"/>
      <c r="AW398" s="693" t="n"/>
      <c r="AX398" s="693" t="n"/>
      <c r="AY398" s="693" t="n"/>
      <c r="AZ398" s="693" t="n"/>
    </row>
    <row r="399">
      <c r="A399" s="688" t="n"/>
      <c r="B399" s="688" t="n"/>
      <c r="C399" s="473" t="n"/>
      <c r="D399" s="688" t="n"/>
      <c r="E399" s="689" t="n"/>
      <c r="F399" s="721" t="n"/>
      <c r="G3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399" s="474">
        <f>G399/#REF!</f>
        <v/>
      </c>
      <c r="I399" s="690" t="n"/>
      <c r="J3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399" s="474">
        <f>J399/#REF!</f>
        <v/>
      </c>
      <c r="L399" s="473" t="n"/>
      <c r="M399" s="692" t="n"/>
      <c r="N399" s="693" t="n"/>
      <c r="O399" s="78" t="n"/>
      <c r="P399" s="129" t="n"/>
      <c r="Q399" s="129" t="n"/>
      <c r="R399" s="129" t="n"/>
      <c r="S399" s="129" t="n"/>
      <c r="T399" s="129" t="n"/>
      <c r="U399" s="129" t="n"/>
      <c r="V399" s="129" t="n"/>
      <c r="W399" s="129" t="n"/>
      <c r="X399" s="129" t="n"/>
      <c r="Y399" s="703" t="n"/>
      <c r="Z399" s="704" t="n"/>
      <c r="AA399" s="705" t="n"/>
      <c r="AB399" s="613" t="n"/>
      <c r="AC399" s="614" t="n"/>
      <c r="AD399" s="628" t="n"/>
      <c r="AE399" s="616" t="n"/>
      <c r="AF399" s="617" t="n"/>
      <c r="AG399" s="693" t="n"/>
      <c r="AH399" s="721" t="n"/>
      <c r="AI399" s="721" t="n"/>
      <c r="AJ399" s="688" t="n"/>
      <c r="AK399" s="689" t="n"/>
      <c r="AL399" s="690" t="n"/>
      <c r="AM399" s="691" t="n"/>
      <c r="AN399" s="692" t="n"/>
      <c r="AO399" s="693" t="n"/>
      <c r="AP399" s="693" t="n"/>
      <c r="AQ399" s="693" t="n"/>
      <c r="AR399" s="693" t="n"/>
      <c r="AS399" s="693" t="n"/>
      <c r="AT399" s="693" t="n"/>
      <c r="AU399" s="699" t="n"/>
      <c r="AV399" s="693" t="n"/>
      <c r="AW399" s="693" t="n"/>
      <c r="AX399" s="693" t="n"/>
      <c r="AY399" s="693" t="n"/>
      <c r="AZ399" s="693" t="n"/>
    </row>
    <row r="400">
      <c r="A400" s="688" t="n"/>
      <c r="B400" s="688" t="n"/>
      <c r="C400" s="473" t="n"/>
      <c r="D400" s="688" t="n"/>
      <c r="E400" s="689" t="n"/>
      <c r="F400" s="721" t="n"/>
      <c r="G4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0" s="474">
        <f>G400/#REF!</f>
        <v/>
      </c>
      <c r="I400" s="690" t="n"/>
      <c r="J4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0" s="474">
        <f>J400/#REF!</f>
        <v/>
      </c>
      <c r="L400" s="473" t="n"/>
      <c r="M400" s="692" t="n"/>
      <c r="N400" s="693" t="n"/>
      <c r="O400" s="78" t="n"/>
      <c r="P400" s="129" t="n"/>
      <c r="Q400" s="129" t="n"/>
      <c r="R400" s="129" t="n"/>
      <c r="S400" s="129" t="n"/>
      <c r="T400" s="129" t="n"/>
      <c r="U400" s="129" t="n"/>
      <c r="V400" s="129" t="n"/>
      <c r="W400" s="129" t="n"/>
      <c r="X400" s="129" t="n"/>
      <c r="Y400" s="708" t="n"/>
      <c r="Z400" s="709" t="n"/>
      <c r="AA400" s="710" t="n"/>
      <c r="AB400" s="590" t="n"/>
      <c r="AC400" s="591" t="n"/>
      <c r="AD400" s="592" t="n"/>
      <c r="AE400" s="593" t="n"/>
      <c r="AF400" s="594" t="n"/>
      <c r="AG400" s="693" t="n"/>
      <c r="AH400" s="721" t="n"/>
      <c r="AI400" s="721" t="n"/>
      <c r="AJ400" s="688" t="n"/>
      <c r="AK400" s="689" t="n"/>
      <c r="AL400" s="690" t="n"/>
      <c r="AM400" s="691" t="n"/>
      <c r="AN400" s="692" t="n"/>
      <c r="AO400" s="693" t="n"/>
      <c r="AP400" s="693" t="n"/>
      <c r="AQ400" s="693" t="n"/>
      <c r="AR400" s="693" t="n"/>
      <c r="AS400" s="693" t="n"/>
      <c r="AT400" s="693" t="n"/>
      <c r="AU400" s="699" t="n"/>
      <c r="AV400" s="693" t="n"/>
      <c r="AW400" s="693" t="n"/>
      <c r="AX400" s="693" t="n"/>
      <c r="AY400" s="693" t="n"/>
      <c r="AZ400" s="693" t="n"/>
    </row>
    <row r="401">
      <c r="A401" s="688" t="n"/>
      <c r="B401" s="688" t="n"/>
      <c r="C401" s="473" t="n"/>
      <c r="D401" s="688" t="n"/>
      <c r="E401" s="689" t="n"/>
      <c r="F401" s="721" t="n"/>
      <c r="G4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1" s="474">
        <f>G401/#REF!</f>
        <v/>
      </c>
      <c r="I401" s="690" t="n"/>
      <c r="J4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1" s="474">
        <f>J401/#REF!</f>
        <v/>
      </c>
      <c r="L401" s="473" t="n"/>
      <c r="M401" s="692" t="n"/>
      <c r="N401" s="693" t="n"/>
      <c r="O401" s="78" t="n"/>
      <c r="P401" s="129" t="n"/>
      <c r="Q401" s="129" t="n"/>
      <c r="R401" s="129" t="n"/>
      <c r="S401" s="129" t="n"/>
      <c r="T401" s="129" t="n"/>
      <c r="U401" s="129" t="n"/>
      <c r="V401" s="129" t="n"/>
      <c r="W401" s="129" t="n"/>
      <c r="X401" s="129" t="n"/>
      <c r="Y401" s="703" t="n"/>
      <c r="Z401" s="704" t="n"/>
      <c r="AA401" s="705" t="n"/>
      <c r="AB401" s="613" t="n"/>
      <c r="AC401" s="614" t="n"/>
      <c r="AD401" s="628" t="n"/>
      <c r="AE401" s="616" t="n"/>
      <c r="AF401" s="617" t="n"/>
      <c r="AG401" s="693" t="n"/>
      <c r="AH401" s="721" t="n"/>
      <c r="AI401" s="721" t="n"/>
      <c r="AJ401" s="688" t="n"/>
      <c r="AK401" s="689" t="n"/>
      <c r="AL401" s="690" t="n"/>
      <c r="AM401" s="691" t="n"/>
      <c r="AN401" s="692" t="n"/>
      <c r="AO401" s="693" t="n"/>
      <c r="AP401" s="693" t="n"/>
      <c r="AQ401" s="693" t="n"/>
      <c r="AR401" s="693" t="n"/>
      <c r="AS401" s="693" t="n"/>
      <c r="AT401" s="693" t="n"/>
      <c r="AU401" s="699" t="n"/>
      <c r="AV401" s="693" t="n"/>
      <c r="AW401" s="693" t="n"/>
      <c r="AX401" s="693" t="n"/>
      <c r="AY401" s="693" t="n"/>
      <c r="AZ401" s="693" t="n"/>
    </row>
    <row r="402">
      <c r="A402" s="688" t="n"/>
      <c r="B402" s="688" t="n"/>
      <c r="C402" s="473" t="n"/>
      <c r="D402" s="688" t="n"/>
      <c r="E402" s="689" t="n"/>
      <c r="F402" s="721" t="n"/>
      <c r="G4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2" s="474">
        <f>G402/#REF!</f>
        <v/>
      </c>
      <c r="I402" s="690" t="n"/>
      <c r="J4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2" s="474">
        <f>J402/#REF!</f>
        <v/>
      </c>
      <c r="L402" s="473" t="n"/>
      <c r="M402" s="692" t="n"/>
      <c r="N402" s="693" t="n"/>
      <c r="O402" s="78" t="n"/>
      <c r="P402" s="129" t="n"/>
      <c r="Q402" s="129" t="n"/>
      <c r="R402" s="129" t="n"/>
      <c r="S402" s="129" t="n"/>
      <c r="T402" s="129" t="n"/>
      <c r="U402" s="129" t="n"/>
      <c r="V402" s="129" t="n"/>
      <c r="W402" s="129" t="n"/>
      <c r="X402" s="129" t="n"/>
      <c r="Y402" s="708" t="n"/>
      <c r="Z402" s="709" t="n"/>
      <c r="AA402" s="710" t="n"/>
      <c r="AB402" s="590" t="n"/>
      <c r="AC402" s="591" t="n"/>
      <c r="AD402" s="592" t="n"/>
      <c r="AE402" s="593" t="n"/>
      <c r="AF402" s="594" t="n"/>
      <c r="AG402" s="693" t="n"/>
      <c r="AH402" s="721" t="n"/>
      <c r="AI402" s="721" t="n"/>
      <c r="AJ402" s="688" t="n"/>
      <c r="AK402" s="689" t="n"/>
      <c r="AL402" s="690" t="n"/>
      <c r="AM402" s="691" t="n"/>
      <c r="AN402" s="692" t="n"/>
      <c r="AO402" s="693" t="n"/>
      <c r="AP402" s="693" t="n"/>
      <c r="AQ402" s="693" t="n"/>
      <c r="AR402" s="693" t="n"/>
      <c r="AS402" s="693" t="n"/>
      <c r="AT402" s="693" t="n"/>
      <c r="AU402" s="699" t="n"/>
      <c r="AV402" s="693" t="n"/>
      <c r="AW402" s="693" t="n"/>
      <c r="AX402" s="693" t="n"/>
      <c r="AY402" s="693" t="n"/>
      <c r="AZ402" s="693" t="n"/>
    </row>
    <row r="403">
      <c r="A403" s="688" t="n"/>
      <c r="B403" s="688" t="n"/>
      <c r="C403" s="473" t="n"/>
      <c r="D403" s="688" t="n"/>
      <c r="E403" s="689" t="n"/>
      <c r="F403" s="721" t="n"/>
      <c r="G4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3" s="474">
        <f>G403/#REF!</f>
        <v/>
      </c>
      <c r="I403" s="690" t="n"/>
      <c r="J4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3" s="474">
        <f>J403/#REF!</f>
        <v/>
      </c>
      <c r="L403" s="473" t="n"/>
      <c r="M403" s="692" t="n"/>
      <c r="N403" s="693" t="n"/>
      <c r="O403" s="78" t="n"/>
      <c r="P403" s="129" t="n"/>
      <c r="Q403" s="129" t="n"/>
      <c r="R403" s="129" t="n"/>
      <c r="S403" s="129" t="n"/>
      <c r="T403" s="129" t="n"/>
      <c r="U403" s="129" t="n"/>
      <c r="V403" s="129" t="n"/>
      <c r="W403" s="129" t="n"/>
      <c r="X403" s="129" t="n"/>
      <c r="Y403" s="703" t="n"/>
      <c r="Z403" s="704" t="n"/>
      <c r="AA403" s="705" t="n"/>
      <c r="AB403" s="613" t="n"/>
      <c r="AC403" s="614" t="n"/>
      <c r="AD403" s="628" t="n"/>
      <c r="AE403" s="616" t="n"/>
      <c r="AF403" s="617" t="n"/>
      <c r="AG403" s="693" t="n"/>
      <c r="AH403" s="721" t="n"/>
      <c r="AI403" s="721" t="n"/>
      <c r="AJ403" s="688" t="n"/>
      <c r="AK403" s="689" t="n"/>
      <c r="AL403" s="690" t="n"/>
      <c r="AM403" s="691" t="n"/>
      <c r="AN403" s="692" t="n"/>
      <c r="AO403" s="693" t="n"/>
      <c r="AP403" s="693" t="n"/>
      <c r="AQ403" s="693" t="n"/>
      <c r="AR403" s="693" t="n"/>
      <c r="AS403" s="693" t="n"/>
      <c r="AT403" s="693" t="n"/>
      <c r="AU403" s="699" t="n"/>
      <c r="AV403" s="693" t="n"/>
      <c r="AW403" s="693" t="n"/>
      <c r="AX403" s="693" t="n"/>
      <c r="AY403" s="693" t="n"/>
      <c r="AZ403" s="693" t="n"/>
    </row>
    <row r="404">
      <c r="A404" s="688" t="n"/>
      <c r="B404" s="688" t="n"/>
      <c r="C404" s="473" t="n"/>
      <c r="D404" s="688" t="n"/>
      <c r="E404" s="689" t="n"/>
      <c r="F404" s="721" t="n"/>
      <c r="G4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4" s="474">
        <f>G404/#REF!</f>
        <v/>
      </c>
      <c r="I404" s="690" t="n"/>
      <c r="J4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4" s="474">
        <f>J404/#REF!</f>
        <v/>
      </c>
      <c r="L404" s="473" t="n"/>
      <c r="M404" s="692" t="n"/>
      <c r="N404" s="693" t="n"/>
      <c r="O404" s="78" t="n"/>
      <c r="P404" s="129" t="n"/>
      <c r="Q404" s="129" t="n"/>
      <c r="R404" s="129" t="n"/>
      <c r="S404" s="129" t="n"/>
      <c r="T404" s="129" t="n"/>
      <c r="U404" s="129" t="n"/>
      <c r="V404" s="129" t="n"/>
      <c r="W404" s="129" t="n"/>
      <c r="X404" s="129" t="n"/>
      <c r="Y404" s="708" t="n"/>
      <c r="Z404" s="709" t="n"/>
      <c r="AA404" s="710" t="n"/>
      <c r="AB404" s="590" t="n"/>
      <c r="AC404" s="591" t="n"/>
      <c r="AD404" s="592" t="n"/>
      <c r="AE404" s="593" t="n"/>
      <c r="AF404" s="594" t="n"/>
      <c r="AG404" s="693" t="n"/>
      <c r="AH404" s="721" t="n"/>
      <c r="AI404" s="721" t="n"/>
      <c r="AJ404" s="688" t="n"/>
      <c r="AK404" s="689" t="n"/>
      <c r="AL404" s="690" t="n"/>
      <c r="AM404" s="691" t="n"/>
      <c r="AN404" s="692" t="n"/>
      <c r="AO404" s="693" t="n"/>
      <c r="AP404" s="693" t="n"/>
      <c r="AQ404" s="693" t="n"/>
      <c r="AR404" s="693" t="n"/>
      <c r="AS404" s="693" t="n"/>
      <c r="AT404" s="693" t="n"/>
      <c r="AU404" s="699" t="n"/>
      <c r="AV404" s="693" t="n"/>
      <c r="AW404" s="693" t="n"/>
      <c r="AX404" s="693" t="n"/>
      <c r="AY404" s="693" t="n"/>
      <c r="AZ404" s="693" t="n"/>
    </row>
    <row r="405">
      <c r="A405" s="688" t="n"/>
      <c r="B405" s="688" t="n"/>
      <c r="C405" s="473" t="n"/>
      <c r="D405" s="688" t="n"/>
      <c r="E405" s="689" t="n"/>
      <c r="F405" s="721" t="n"/>
      <c r="G4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5" s="474">
        <f>G405/#REF!</f>
        <v/>
      </c>
      <c r="I405" s="690" t="n"/>
      <c r="J4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5" s="474">
        <f>J405/#REF!</f>
        <v/>
      </c>
      <c r="L405" s="473" t="n"/>
      <c r="M405" s="692" t="n"/>
      <c r="N405" s="693" t="n"/>
      <c r="O405" s="78" t="n"/>
      <c r="P405" s="129" t="n"/>
      <c r="Q405" s="129" t="n"/>
      <c r="R405" s="129" t="n"/>
      <c r="S405" s="129" t="n"/>
      <c r="T405" s="129" t="n"/>
      <c r="U405" s="129" t="n"/>
      <c r="V405" s="129" t="n"/>
      <c r="W405" s="129" t="n"/>
      <c r="X405" s="129" t="n"/>
      <c r="Y405" s="703" t="n"/>
      <c r="Z405" s="704" t="n"/>
      <c r="AA405" s="705" t="n"/>
      <c r="AB405" s="613" t="n"/>
      <c r="AC405" s="614" t="n"/>
      <c r="AD405" s="628" t="n"/>
      <c r="AE405" s="616" t="n"/>
      <c r="AF405" s="617" t="n"/>
      <c r="AG405" s="693" t="n"/>
      <c r="AH405" s="721" t="n"/>
      <c r="AI405" s="721" t="n"/>
      <c r="AJ405" s="688" t="n"/>
      <c r="AK405" s="689" t="n"/>
      <c r="AL405" s="690" t="n"/>
      <c r="AM405" s="691" t="n"/>
      <c r="AN405" s="692" t="n"/>
      <c r="AO405" s="693" t="n"/>
      <c r="AP405" s="693" t="n"/>
      <c r="AQ405" s="693" t="n"/>
      <c r="AR405" s="693" t="n"/>
      <c r="AS405" s="693" t="n"/>
      <c r="AT405" s="693" t="n"/>
      <c r="AU405" s="699" t="n"/>
      <c r="AV405" s="693" t="n"/>
      <c r="AW405" s="693" t="n"/>
      <c r="AX405" s="693" t="n"/>
      <c r="AY405" s="693" t="n"/>
      <c r="AZ405" s="693" t="n"/>
    </row>
    <row r="406">
      <c r="A406" s="688" t="n"/>
      <c r="B406" s="688" t="n"/>
      <c r="C406" s="473" t="n"/>
      <c r="D406" s="688" t="n"/>
      <c r="E406" s="689" t="n"/>
      <c r="F406" s="721" t="n"/>
      <c r="G4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6" s="474">
        <f>G406/#REF!</f>
        <v/>
      </c>
      <c r="I406" s="690" t="n"/>
      <c r="J4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6" s="474">
        <f>J406/#REF!</f>
        <v/>
      </c>
      <c r="L406" s="473" t="n"/>
      <c r="M406" s="692" t="n"/>
      <c r="N406" s="693" t="n"/>
      <c r="O406" s="78" t="n"/>
      <c r="P406" s="129" t="n"/>
      <c r="Q406" s="129" t="n"/>
      <c r="R406" s="129" t="n"/>
      <c r="S406" s="129" t="n"/>
      <c r="T406" s="129" t="n"/>
      <c r="U406" s="129" t="n"/>
      <c r="V406" s="129" t="n"/>
      <c r="W406" s="129" t="n"/>
      <c r="X406" s="129" t="n"/>
      <c r="Y406" s="708" t="n"/>
      <c r="Z406" s="709" t="n"/>
      <c r="AA406" s="710" t="n"/>
      <c r="AB406" s="590" t="n"/>
      <c r="AC406" s="591" t="n"/>
      <c r="AD406" s="592" t="n"/>
      <c r="AE406" s="593" t="n"/>
      <c r="AF406" s="594" t="n"/>
      <c r="AG406" s="693" t="n"/>
      <c r="AH406" s="721" t="n"/>
      <c r="AI406" s="721" t="n"/>
      <c r="AJ406" s="688" t="n"/>
      <c r="AK406" s="689" t="n"/>
      <c r="AL406" s="690" t="n"/>
      <c r="AM406" s="691" t="n"/>
      <c r="AN406" s="692" t="n"/>
      <c r="AO406" s="693" t="n"/>
      <c r="AP406" s="693" t="n"/>
      <c r="AQ406" s="693" t="n"/>
      <c r="AR406" s="693" t="n"/>
      <c r="AS406" s="693" t="n"/>
      <c r="AT406" s="693" t="n"/>
      <c r="AU406" s="699" t="n"/>
      <c r="AV406" s="693" t="n"/>
      <c r="AW406" s="693" t="n"/>
      <c r="AX406" s="693" t="n"/>
      <c r="AY406" s="693" t="n"/>
      <c r="AZ406" s="693" t="n"/>
    </row>
    <row r="407">
      <c r="A407" s="688" t="n"/>
      <c r="B407" s="688" t="n"/>
      <c r="C407" s="473" t="n"/>
      <c r="D407" s="688" t="n"/>
      <c r="E407" s="689" t="n"/>
      <c r="F407" s="721" t="n"/>
      <c r="G4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7" s="474">
        <f>G407/#REF!</f>
        <v/>
      </c>
      <c r="I407" s="690" t="n"/>
      <c r="J4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7" s="474">
        <f>J407/#REF!</f>
        <v/>
      </c>
      <c r="L407" s="473" t="n"/>
      <c r="M407" s="692" t="n"/>
      <c r="N407" s="693" t="n"/>
      <c r="O407" s="78" t="n"/>
      <c r="P407" s="129" t="n"/>
      <c r="Q407" s="129" t="n"/>
      <c r="R407" s="129" t="n"/>
      <c r="S407" s="129" t="n"/>
      <c r="T407" s="129" t="n"/>
      <c r="U407" s="129" t="n"/>
      <c r="V407" s="129" t="n"/>
      <c r="W407" s="129" t="n"/>
      <c r="X407" s="129" t="n"/>
      <c r="Y407" s="703" t="n"/>
      <c r="Z407" s="704" t="n"/>
      <c r="AA407" s="705" t="n"/>
      <c r="AB407" s="613" t="n"/>
      <c r="AC407" s="614" t="n"/>
      <c r="AD407" s="628" t="n"/>
      <c r="AE407" s="616" t="n"/>
      <c r="AF407" s="617" t="n"/>
      <c r="AG407" s="693" t="n"/>
      <c r="AH407" s="721" t="n"/>
      <c r="AI407" s="721" t="n"/>
      <c r="AJ407" s="688" t="n"/>
      <c r="AK407" s="689" t="n"/>
      <c r="AL407" s="690" t="n"/>
      <c r="AM407" s="691" t="n"/>
      <c r="AN407" s="692" t="n"/>
      <c r="AO407" s="693" t="n"/>
      <c r="AP407" s="693" t="n"/>
      <c r="AQ407" s="693" t="n"/>
      <c r="AR407" s="693" t="n"/>
      <c r="AS407" s="693" t="n"/>
      <c r="AT407" s="693" t="n"/>
      <c r="AU407" s="699" t="n"/>
      <c r="AV407" s="693" t="n"/>
      <c r="AW407" s="693" t="n"/>
      <c r="AX407" s="693" t="n"/>
      <c r="AY407" s="693" t="n"/>
      <c r="AZ407" s="693" t="n"/>
    </row>
    <row r="408">
      <c r="A408" s="688" t="n"/>
      <c r="B408" s="688" t="n"/>
      <c r="C408" s="473" t="n"/>
      <c r="D408" s="688" t="n"/>
      <c r="E408" s="689" t="n"/>
      <c r="F408" s="721" t="n"/>
      <c r="G4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8" s="474">
        <f>G408/#REF!</f>
        <v/>
      </c>
      <c r="I408" s="690" t="n"/>
      <c r="J4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8" s="474">
        <f>J408/#REF!</f>
        <v/>
      </c>
      <c r="L408" s="473" t="n"/>
      <c r="M408" s="692" t="n"/>
      <c r="N408" s="693" t="n"/>
      <c r="O408" s="78" t="n"/>
      <c r="P408" s="129" t="n"/>
      <c r="Q408" s="129" t="n"/>
      <c r="R408" s="129" t="n"/>
      <c r="S408" s="129" t="n"/>
      <c r="T408" s="129" t="n"/>
      <c r="U408" s="129" t="n"/>
      <c r="V408" s="129" t="n"/>
      <c r="W408" s="129" t="n"/>
      <c r="X408" s="129" t="n"/>
      <c r="Y408" s="708" t="n"/>
      <c r="Z408" s="709" t="n"/>
      <c r="AA408" s="710" t="n"/>
      <c r="AB408" s="590" t="n"/>
      <c r="AC408" s="591" t="n"/>
      <c r="AD408" s="592" t="n"/>
      <c r="AE408" s="593" t="n"/>
      <c r="AF408" s="594" t="n"/>
      <c r="AG408" s="693" t="n"/>
      <c r="AH408" s="721" t="n"/>
      <c r="AI408" s="721" t="n"/>
      <c r="AJ408" s="688" t="n"/>
      <c r="AK408" s="689" t="n"/>
      <c r="AL408" s="690" t="n"/>
      <c r="AM408" s="691" t="n"/>
      <c r="AN408" s="692" t="n"/>
      <c r="AO408" s="693" t="n"/>
      <c r="AP408" s="693" t="n"/>
      <c r="AQ408" s="693" t="n"/>
      <c r="AR408" s="693" t="n"/>
      <c r="AS408" s="693" t="n"/>
      <c r="AT408" s="693" t="n"/>
      <c r="AU408" s="699" t="n"/>
      <c r="AV408" s="693" t="n"/>
      <c r="AW408" s="693" t="n"/>
      <c r="AX408" s="693" t="n"/>
      <c r="AY408" s="693" t="n"/>
      <c r="AZ408" s="693" t="n"/>
    </row>
    <row r="409">
      <c r="A409" s="688" t="n"/>
      <c r="B409" s="688" t="n"/>
      <c r="C409" s="473" t="n"/>
      <c r="D409" s="688" t="n"/>
      <c r="E409" s="689" t="n"/>
      <c r="F409" s="721" t="n"/>
      <c r="G4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09" s="474">
        <f>G409/#REF!</f>
        <v/>
      </c>
      <c r="I409" s="690" t="n"/>
      <c r="J4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09" s="474">
        <f>J409/#REF!</f>
        <v/>
      </c>
      <c r="L409" s="473" t="n"/>
      <c r="M409" s="692" t="n"/>
      <c r="N409" s="693" t="n"/>
      <c r="O409" s="78" t="n"/>
      <c r="P409" s="129" t="n"/>
      <c r="Q409" s="129" t="n"/>
      <c r="R409" s="129" t="n"/>
      <c r="S409" s="129" t="n"/>
      <c r="T409" s="129" t="n"/>
      <c r="U409" s="129" t="n"/>
      <c r="V409" s="129" t="n"/>
      <c r="W409" s="129" t="n"/>
      <c r="X409" s="129" t="n"/>
      <c r="Y409" s="703" t="n"/>
      <c r="Z409" s="704" t="n"/>
      <c r="AA409" s="705" t="n"/>
      <c r="AB409" s="613" t="n"/>
      <c r="AC409" s="614" t="n"/>
      <c r="AD409" s="628" t="n"/>
      <c r="AE409" s="616" t="n"/>
      <c r="AF409" s="617" t="n"/>
      <c r="AG409" s="693" t="n"/>
      <c r="AH409" s="721" t="n"/>
      <c r="AI409" s="721" t="n"/>
      <c r="AJ409" s="688" t="n"/>
      <c r="AK409" s="689" t="n"/>
      <c r="AL409" s="690" t="n"/>
      <c r="AM409" s="691" t="n"/>
      <c r="AN409" s="692" t="n"/>
      <c r="AO409" s="693" t="n"/>
      <c r="AP409" s="693" t="n"/>
      <c r="AQ409" s="693" t="n"/>
      <c r="AR409" s="693" t="n"/>
      <c r="AS409" s="693" t="n"/>
      <c r="AT409" s="693" t="n"/>
      <c r="AU409" s="699" t="n"/>
      <c r="AV409" s="693" t="n"/>
      <c r="AW409" s="693" t="n"/>
      <c r="AX409" s="693" t="n"/>
      <c r="AY409" s="693" t="n"/>
      <c r="AZ409" s="693" t="n"/>
    </row>
    <row r="410">
      <c r="A410" s="688" t="n"/>
      <c r="B410" s="688" t="n"/>
      <c r="C410" s="473" t="n"/>
      <c r="D410" s="688" t="n"/>
      <c r="E410" s="689" t="n"/>
      <c r="F410" s="721" t="n"/>
      <c r="G4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0" s="474">
        <f>G410/#REF!</f>
        <v/>
      </c>
      <c r="I410" s="690" t="n"/>
      <c r="J4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0" s="474">
        <f>J410/#REF!</f>
        <v/>
      </c>
      <c r="L410" s="473" t="n"/>
      <c r="M410" s="692" t="n"/>
      <c r="N410" s="693" t="n"/>
      <c r="O410" s="78" t="n"/>
      <c r="P410" s="129" t="n"/>
      <c r="Q410" s="129" t="n"/>
      <c r="R410" s="129" t="n"/>
      <c r="S410" s="129" t="n"/>
      <c r="T410" s="129" t="n"/>
      <c r="U410" s="129" t="n"/>
      <c r="V410" s="129" t="n"/>
      <c r="W410" s="129" t="n"/>
      <c r="X410" s="129" t="n"/>
      <c r="Y410" s="708" t="n"/>
      <c r="Z410" s="709" t="n"/>
      <c r="AA410" s="710" t="n"/>
      <c r="AB410" s="590" t="n"/>
      <c r="AC410" s="591" t="n"/>
      <c r="AD410" s="592" t="n"/>
      <c r="AE410" s="593" t="n"/>
      <c r="AF410" s="594" t="n"/>
      <c r="AG410" s="693" t="n"/>
      <c r="AH410" s="721" t="n"/>
      <c r="AI410" s="721" t="n"/>
      <c r="AJ410" s="688" t="n"/>
      <c r="AK410" s="689" t="n"/>
      <c r="AL410" s="690" t="n"/>
      <c r="AM410" s="691" t="n"/>
      <c r="AN410" s="692" t="n"/>
      <c r="AO410" s="693" t="n"/>
      <c r="AP410" s="693" t="n"/>
      <c r="AQ410" s="693" t="n"/>
      <c r="AR410" s="693" t="n"/>
      <c r="AS410" s="693" t="n"/>
      <c r="AT410" s="693" t="n"/>
      <c r="AU410" s="699" t="n"/>
      <c r="AV410" s="693" t="n"/>
      <c r="AW410" s="693" t="n"/>
      <c r="AX410" s="693" t="n"/>
      <c r="AY410" s="693" t="n"/>
      <c r="AZ410" s="693" t="n"/>
    </row>
    <row r="411">
      <c r="A411" s="688" t="n"/>
      <c r="B411" s="688" t="n"/>
      <c r="C411" s="473" t="n"/>
      <c r="D411" s="688" t="n"/>
      <c r="E411" s="689" t="n"/>
      <c r="F411" s="721" t="n"/>
      <c r="G4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1" s="474">
        <f>G411/#REF!</f>
        <v/>
      </c>
      <c r="I411" s="690" t="n"/>
      <c r="J4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1" s="474">
        <f>J411/#REF!</f>
        <v/>
      </c>
      <c r="L411" s="473" t="n"/>
      <c r="M411" s="692" t="n"/>
      <c r="N411" s="693" t="n"/>
      <c r="O411" s="78" t="n"/>
      <c r="P411" s="129" t="n"/>
      <c r="Q411" s="129" t="n"/>
      <c r="R411" s="129" t="n"/>
      <c r="S411" s="129" t="n"/>
      <c r="T411" s="129" t="n"/>
      <c r="U411" s="129" t="n"/>
      <c r="V411" s="129" t="n"/>
      <c r="W411" s="129" t="n"/>
      <c r="X411" s="129" t="n"/>
      <c r="Y411" s="703" t="n"/>
      <c r="Z411" s="704" t="n"/>
      <c r="AA411" s="705" t="n"/>
      <c r="AB411" s="613" t="n"/>
      <c r="AC411" s="614" t="n"/>
      <c r="AD411" s="628" t="n"/>
      <c r="AE411" s="616" t="n"/>
      <c r="AF411" s="617" t="n"/>
      <c r="AG411" s="693" t="n"/>
      <c r="AH411" s="721" t="n"/>
      <c r="AI411" s="721" t="n"/>
      <c r="AJ411" s="688" t="n"/>
      <c r="AK411" s="689" t="n"/>
      <c r="AL411" s="690" t="n"/>
      <c r="AM411" s="691" t="n"/>
      <c r="AN411" s="692" t="n"/>
      <c r="AO411" s="693" t="n"/>
      <c r="AP411" s="693" t="n"/>
      <c r="AQ411" s="693" t="n"/>
      <c r="AR411" s="693" t="n"/>
      <c r="AS411" s="693" t="n"/>
      <c r="AT411" s="693" t="n"/>
      <c r="AU411" s="699" t="n"/>
      <c r="AV411" s="693" t="n"/>
      <c r="AW411" s="693" t="n"/>
      <c r="AX411" s="693" t="n"/>
      <c r="AY411" s="693" t="n"/>
      <c r="AZ411" s="693" t="n"/>
    </row>
    <row r="412">
      <c r="A412" s="688" t="n"/>
      <c r="B412" s="688" t="n"/>
      <c r="C412" s="473" t="n"/>
      <c r="D412" s="688" t="n"/>
      <c r="E412" s="689" t="n"/>
      <c r="F412" s="721" t="n"/>
      <c r="G4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2" s="474">
        <f>G412/#REF!</f>
        <v/>
      </c>
      <c r="I412" s="690" t="n"/>
      <c r="J4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2" s="474">
        <f>J412/#REF!</f>
        <v/>
      </c>
      <c r="L412" s="473" t="n"/>
      <c r="M412" s="692" t="n"/>
      <c r="N412" s="693" t="n"/>
      <c r="O412" s="78" t="n"/>
      <c r="P412" s="129" t="n"/>
      <c r="Q412" s="129" t="n"/>
      <c r="R412" s="129" t="n"/>
      <c r="S412" s="129" t="n"/>
      <c r="T412" s="129" t="n"/>
      <c r="U412" s="129" t="n"/>
      <c r="V412" s="129" t="n"/>
      <c r="W412" s="129" t="n"/>
      <c r="X412" s="129" t="n"/>
      <c r="Y412" s="708" t="n"/>
      <c r="Z412" s="709" t="n"/>
      <c r="AA412" s="710" t="n"/>
      <c r="AB412" s="590" t="n"/>
      <c r="AC412" s="591" t="n"/>
      <c r="AD412" s="592" t="n"/>
      <c r="AE412" s="593" t="n"/>
      <c r="AF412" s="594" t="n"/>
      <c r="AG412" s="693" t="n"/>
      <c r="AH412" s="721" t="n"/>
      <c r="AI412" s="721" t="n"/>
      <c r="AJ412" s="688" t="n"/>
      <c r="AK412" s="689" t="n"/>
      <c r="AL412" s="690" t="n"/>
      <c r="AM412" s="691" t="n"/>
      <c r="AN412" s="692" t="n"/>
      <c r="AO412" s="693" t="n"/>
      <c r="AP412" s="693" t="n"/>
      <c r="AQ412" s="693" t="n"/>
      <c r="AR412" s="693" t="n"/>
      <c r="AS412" s="693" t="n"/>
      <c r="AT412" s="693" t="n"/>
      <c r="AU412" s="699" t="n"/>
      <c r="AV412" s="693" t="n"/>
      <c r="AW412" s="693" t="n"/>
      <c r="AX412" s="693" t="n"/>
      <c r="AY412" s="693" t="n"/>
      <c r="AZ412" s="693" t="n"/>
    </row>
    <row r="413">
      <c r="A413" s="688" t="n"/>
      <c r="B413" s="688" t="n"/>
      <c r="C413" s="473" t="n"/>
      <c r="D413" s="688" t="n"/>
      <c r="E413" s="689" t="n"/>
      <c r="F413" s="721" t="n"/>
      <c r="G4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3" s="474">
        <f>G413/#REF!</f>
        <v/>
      </c>
      <c r="I413" s="690" t="n"/>
      <c r="J4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3" s="474">
        <f>J413/#REF!</f>
        <v/>
      </c>
      <c r="L413" s="473" t="n"/>
      <c r="M413" s="692" t="n"/>
      <c r="N413" s="693" t="n"/>
      <c r="O413" s="78" t="n"/>
      <c r="P413" s="129" t="n"/>
      <c r="Q413" s="129" t="n"/>
      <c r="R413" s="129" t="n"/>
      <c r="S413" s="129" t="n"/>
      <c r="T413" s="129" t="n"/>
      <c r="U413" s="129" t="n"/>
      <c r="V413" s="129" t="n"/>
      <c r="W413" s="129" t="n"/>
      <c r="X413" s="129" t="n"/>
      <c r="Y413" s="703" t="n"/>
      <c r="Z413" s="704" t="n"/>
      <c r="AA413" s="705" t="n"/>
      <c r="AB413" s="613" t="n"/>
      <c r="AC413" s="614" t="n"/>
      <c r="AD413" s="628" t="n"/>
      <c r="AE413" s="616" t="n"/>
      <c r="AF413" s="617" t="n"/>
      <c r="AG413" s="693" t="n"/>
      <c r="AH413" s="721" t="n"/>
      <c r="AI413" s="721" t="n"/>
      <c r="AJ413" s="688" t="n"/>
      <c r="AK413" s="689" t="n"/>
      <c r="AL413" s="690" t="n"/>
      <c r="AM413" s="691" t="n"/>
      <c r="AN413" s="692" t="n"/>
      <c r="AO413" s="693" t="n"/>
      <c r="AP413" s="693" t="n"/>
      <c r="AQ413" s="693" t="n"/>
      <c r="AR413" s="693" t="n"/>
      <c r="AS413" s="693" t="n"/>
      <c r="AT413" s="693" t="n"/>
      <c r="AU413" s="699" t="n"/>
      <c r="AV413" s="693" t="n"/>
      <c r="AW413" s="693" t="n"/>
      <c r="AX413" s="693" t="n"/>
      <c r="AY413" s="693" t="n"/>
      <c r="AZ413" s="693" t="n"/>
    </row>
    <row r="414">
      <c r="A414" s="688" t="n"/>
      <c r="B414" s="688" t="n"/>
      <c r="C414" s="473" t="n"/>
      <c r="D414" s="688" t="n"/>
      <c r="E414" s="689" t="n"/>
      <c r="F414" s="721" t="n"/>
      <c r="G4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4" s="474">
        <f>G414/#REF!</f>
        <v/>
      </c>
      <c r="I414" s="690" t="n"/>
      <c r="J4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4" s="474">
        <f>J414/#REF!</f>
        <v/>
      </c>
      <c r="L414" s="473" t="n"/>
      <c r="M414" s="692" t="n"/>
      <c r="N414" s="693" t="n"/>
      <c r="O414" s="78" t="n"/>
      <c r="P414" s="129" t="n"/>
      <c r="Q414" s="129" t="n"/>
      <c r="R414" s="129" t="n"/>
      <c r="S414" s="129" t="n"/>
      <c r="T414" s="129" t="n"/>
      <c r="U414" s="129" t="n"/>
      <c r="V414" s="129" t="n"/>
      <c r="W414" s="129" t="n"/>
      <c r="X414" s="129" t="n"/>
      <c r="Y414" s="708" t="n"/>
      <c r="Z414" s="709" t="n"/>
      <c r="AA414" s="710" t="n"/>
      <c r="AB414" s="590" t="n"/>
      <c r="AC414" s="591" t="n"/>
      <c r="AD414" s="592" t="n"/>
      <c r="AE414" s="593" t="n"/>
      <c r="AF414" s="594" t="n"/>
      <c r="AG414" s="693" t="n"/>
      <c r="AH414" s="721" t="n"/>
      <c r="AI414" s="721" t="n"/>
      <c r="AJ414" s="688" t="n"/>
      <c r="AK414" s="689" t="n"/>
      <c r="AL414" s="690" t="n"/>
      <c r="AM414" s="691" t="n"/>
      <c r="AN414" s="692" t="n"/>
      <c r="AO414" s="693" t="n"/>
      <c r="AP414" s="693" t="n"/>
      <c r="AQ414" s="693" t="n"/>
      <c r="AR414" s="693" t="n"/>
      <c r="AS414" s="693" t="n"/>
      <c r="AT414" s="693" t="n"/>
      <c r="AU414" s="699" t="n"/>
      <c r="AV414" s="693" t="n"/>
      <c r="AW414" s="693" t="n"/>
      <c r="AX414" s="693" t="n"/>
      <c r="AY414" s="693" t="n"/>
      <c r="AZ414" s="693" t="n"/>
    </row>
    <row r="415">
      <c r="A415" s="688" t="n"/>
      <c r="B415" s="688" t="n"/>
      <c r="C415" s="473" t="n"/>
      <c r="D415" s="688" t="n"/>
      <c r="E415" s="689" t="n"/>
      <c r="F415" s="721" t="n"/>
      <c r="G4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5" s="474">
        <f>G415/#REF!</f>
        <v/>
      </c>
      <c r="I415" s="690" t="n"/>
      <c r="J4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5" s="474">
        <f>J415/#REF!</f>
        <v/>
      </c>
      <c r="L415" s="473" t="n"/>
      <c r="M415" s="692" t="n"/>
      <c r="N415" s="693" t="n"/>
      <c r="O415" s="78" t="n"/>
      <c r="P415" s="129" t="n"/>
      <c r="Q415" s="129" t="n"/>
      <c r="R415" s="129" t="n"/>
      <c r="S415" s="129" t="n"/>
      <c r="T415" s="129" t="n"/>
      <c r="U415" s="129" t="n"/>
      <c r="V415" s="129" t="n"/>
      <c r="W415" s="129" t="n"/>
      <c r="X415" s="129" t="n"/>
      <c r="Y415" s="703" t="n"/>
      <c r="Z415" s="704" t="n"/>
      <c r="AA415" s="705" t="n"/>
      <c r="AB415" s="613" t="n"/>
      <c r="AC415" s="614" t="n"/>
      <c r="AD415" s="628" t="n"/>
      <c r="AE415" s="616" t="n"/>
      <c r="AF415" s="617" t="n"/>
      <c r="AG415" s="693" t="n"/>
      <c r="AH415" s="721" t="n"/>
      <c r="AI415" s="721" t="n"/>
      <c r="AJ415" s="688" t="n"/>
      <c r="AK415" s="689" t="n"/>
      <c r="AL415" s="690" t="n"/>
      <c r="AM415" s="691" t="n"/>
      <c r="AN415" s="692" t="n"/>
      <c r="AO415" s="693" t="n"/>
      <c r="AP415" s="693" t="n"/>
      <c r="AQ415" s="693" t="n"/>
      <c r="AR415" s="693" t="n"/>
      <c r="AS415" s="693" t="n"/>
      <c r="AT415" s="693" t="n"/>
      <c r="AU415" s="699" t="n"/>
      <c r="AV415" s="693" t="n"/>
      <c r="AW415" s="693" t="n"/>
      <c r="AX415" s="693" t="n"/>
      <c r="AY415" s="693" t="n"/>
      <c r="AZ415" s="693" t="n"/>
    </row>
    <row r="416">
      <c r="A416" s="688" t="n"/>
      <c r="B416" s="688" t="n"/>
      <c r="C416" s="473" t="n"/>
      <c r="D416" s="688" t="n"/>
      <c r="E416" s="689" t="n"/>
      <c r="F416" s="721" t="n"/>
      <c r="G4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6" s="474">
        <f>G416/#REF!</f>
        <v/>
      </c>
      <c r="I416" s="690" t="n"/>
      <c r="J4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6" s="474">
        <f>J416/#REF!</f>
        <v/>
      </c>
      <c r="L416" s="473" t="n"/>
      <c r="M416" s="692" t="n"/>
      <c r="N416" s="693" t="n"/>
      <c r="O416" s="78" t="n"/>
      <c r="P416" s="129" t="n"/>
      <c r="Q416" s="129" t="n"/>
      <c r="R416" s="129" t="n"/>
      <c r="S416" s="129" t="n"/>
      <c r="T416" s="129" t="n"/>
      <c r="U416" s="129" t="n"/>
      <c r="V416" s="129" t="n"/>
      <c r="W416" s="129" t="n"/>
      <c r="X416" s="129" t="n"/>
      <c r="Y416" s="708" t="n"/>
      <c r="Z416" s="709" t="n"/>
      <c r="AA416" s="710" t="n"/>
      <c r="AB416" s="590" t="n"/>
      <c r="AC416" s="591" t="n"/>
      <c r="AD416" s="592" t="n"/>
      <c r="AE416" s="593" t="n"/>
      <c r="AF416" s="594" t="n"/>
      <c r="AG416" s="693" t="n"/>
      <c r="AH416" s="721" t="n"/>
      <c r="AI416" s="721" t="n"/>
      <c r="AJ416" s="688" t="n"/>
      <c r="AK416" s="689" t="n"/>
      <c r="AL416" s="690" t="n"/>
      <c r="AM416" s="691" t="n"/>
      <c r="AN416" s="692" t="n"/>
      <c r="AO416" s="693" t="n"/>
      <c r="AP416" s="693" t="n"/>
      <c r="AQ416" s="693" t="n"/>
      <c r="AR416" s="693" t="n"/>
      <c r="AS416" s="693" t="n"/>
      <c r="AT416" s="693" t="n"/>
      <c r="AU416" s="699" t="n"/>
      <c r="AV416" s="693" t="n"/>
      <c r="AW416" s="693" t="n"/>
      <c r="AX416" s="693" t="n"/>
      <c r="AY416" s="693" t="n"/>
      <c r="AZ416" s="693" t="n"/>
    </row>
    <row r="417">
      <c r="A417" s="688" t="n"/>
      <c r="B417" s="688" t="n"/>
      <c r="C417" s="473" t="n"/>
      <c r="D417" s="688" t="n"/>
      <c r="E417" s="689" t="n"/>
      <c r="F417" s="721" t="n"/>
      <c r="G4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7" s="474">
        <f>G417/#REF!</f>
        <v/>
      </c>
      <c r="I417" s="690" t="n"/>
      <c r="J4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7" s="474">
        <f>J417/#REF!</f>
        <v/>
      </c>
      <c r="L417" s="473" t="n"/>
      <c r="M417" s="692" t="n"/>
      <c r="N417" s="693" t="n"/>
      <c r="O417" s="78" t="n"/>
      <c r="P417" s="129" t="n"/>
      <c r="Q417" s="129" t="n"/>
      <c r="R417" s="129" t="n"/>
      <c r="S417" s="129" t="n"/>
      <c r="T417" s="129" t="n"/>
      <c r="U417" s="129" t="n"/>
      <c r="V417" s="129" t="n"/>
      <c r="W417" s="129" t="n"/>
      <c r="X417" s="129" t="n"/>
      <c r="Y417" s="703" t="n"/>
      <c r="Z417" s="704" t="n"/>
      <c r="AA417" s="705" t="n"/>
      <c r="AB417" s="613" t="n"/>
      <c r="AC417" s="614" t="n"/>
      <c r="AD417" s="628" t="n"/>
      <c r="AE417" s="616" t="n"/>
      <c r="AF417" s="617" t="n"/>
      <c r="AG417" s="693" t="n"/>
      <c r="AH417" s="721" t="n"/>
      <c r="AI417" s="721" t="n"/>
      <c r="AJ417" s="688" t="n"/>
      <c r="AK417" s="689" t="n"/>
      <c r="AL417" s="690" t="n"/>
      <c r="AM417" s="691" t="n"/>
      <c r="AN417" s="692" t="n"/>
      <c r="AO417" s="693" t="n"/>
      <c r="AP417" s="693" t="n"/>
      <c r="AQ417" s="693" t="n"/>
      <c r="AR417" s="693" t="n"/>
      <c r="AS417" s="693" t="n"/>
      <c r="AT417" s="693" t="n"/>
      <c r="AU417" s="699" t="n"/>
      <c r="AV417" s="693" t="n"/>
      <c r="AW417" s="693" t="n"/>
      <c r="AX417" s="693" t="n"/>
      <c r="AY417" s="693" t="n"/>
      <c r="AZ417" s="693" t="n"/>
    </row>
    <row r="418">
      <c r="A418" s="688" t="n"/>
      <c r="B418" s="688" t="n"/>
      <c r="C418" s="473" t="n"/>
      <c r="D418" s="688" t="n"/>
      <c r="E418" s="689" t="n"/>
      <c r="F418" s="721" t="n"/>
      <c r="G4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8" s="474">
        <f>G418/#REF!</f>
        <v/>
      </c>
      <c r="I418" s="690" t="n"/>
      <c r="J4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8" s="474">
        <f>J418/#REF!</f>
        <v/>
      </c>
      <c r="L418" s="473" t="n"/>
      <c r="M418" s="692" t="n"/>
      <c r="N418" s="693" t="n"/>
      <c r="O418" s="78" t="n"/>
      <c r="P418" s="129" t="n"/>
      <c r="Q418" s="129" t="n"/>
      <c r="R418" s="129" t="n"/>
      <c r="S418" s="129" t="n"/>
      <c r="T418" s="129" t="n"/>
      <c r="U418" s="129" t="n"/>
      <c r="V418" s="129" t="n"/>
      <c r="W418" s="129" t="n"/>
      <c r="X418" s="129" t="n"/>
      <c r="Y418" s="708" t="n"/>
      <c r="Z418" s="709" t="n"/>
      <c r="AA418" s="710" t="n"/>
      <c r="AB418" s="590" t="n"/>
      <c r="AC418" s="591" t="n"/>
      <c r="AD418" s="592" t="n"/>
      <c r="AE418" s="593" t="n"/>
      <c r="AF418" s="594" t="n"/>
      <c r="AG418" s="693" t="n"/>
      <c r="AH418" s="721" t="n"/>
      <c r="AI418" s="721" t="n"/>
      <c r="AJ418" s="688" t="n"/>
      <c r="AK418" s="689" t="n"/>
      <c r="AL418" s="690" t="n"/>
      <c r="AM418" s="691" t="n"/>
      <c r="AN418" s="692" t="n"/>
      <c r="AO418" s="693" t="n"/>
      <c r="AP418" s="693" t="n"/>
      <c r="AQ418" s="693" t="n"/>
      <c r="AR418" s="693" t="n"/>
      <c r="AS418" s="693" t="n"/>
      <c r="AT418" s="693" t="n"/>
      <c r="AU418" s="699" t="n"/>
      <c r="AV418" s="693" t="n"/>
      <c r="AW418" s="693" t="n"/>
      <c r="AX418" s="693" t="n"/>
      <c r="AY418" s="693" t="n"/>
      <c r="AZ418" s="693" t="n"/>
    </row>
    <row r="419">
      <c r="A419" s="688" t="n"/>
      <c r="B419" s="688" t="n"/>
      <c r="C419" s="473" t="n"/>
      <c r="D419" s="688" t="n"/>
      <c r="E419" s="689" t="n"/>
      <c r="F419" s="721" t="n"/>
      <c r="G4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19" s="474">
        <f>G419/#REF!</f>
        <v/>
      </c>
      <c r="I419" s="690" t="n"/>
      <c r="J4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19" s="474">
        <f>J419/#REF!</f>
        <v/>
      </c>
      <c r="L419" s="473" t="n"/>
      <c r="M419" s="692" t="n"/>
      <c r="N419" s="693" t="n"/>
      <c r="O419" s="78" t="n"/>
      <c r="P419" s="129" t="n"/>
      <c r="Q419" s="129" t="n"/>
      <c r="R419" s="129" t="n"/>
      <c r="S419" s="129" t="n"/>
      <c r="T419" s="129" t="n"/>
      <c r="U419" s="129" t="n"/>
      <c r="V419" s="129" t="n"/>
      <c r="W419" s="129" t="n"/>
      <c r="X419" s="129" t="n"/>
      <c r="Y419" s="703" t="n"/>
      <c r="Z419" s="704" t="n"/>
      <c r="AA419" s="705" t="n"/>
      <c r="AB419" s="613" t="n"/>
      <c r="AC419" s="614" t="n"/>
      <c r="AD419" s="628" t="n"/>
      <c r="AE419" s="616" t="n"/>
      <c r="AF419" s="617" t="n"/>
      <c r="AG419" s="693" t="n"/>
      <c r="AH419" s="721" t="n"/>
      <c r="AI419" s="721" t="n"/>
      <c r="AJ419" s="688" t="n"/>
      <c r="AK419" s="689" t="n"/>
      <c r="AL419" s="690" t="n"/>
      <c r="AM419" s="691" t="n"/>
      <c r="AN419" s="692" t="n"/>
      <c r="AO419" s="693" t="n"/>
      <c r="AP419" s="693" t="n"/>
      <c r="AQ419" s="693" t="n"/>
      <c r="AR419" s="693" t="n"/>
      <c r="AS419" s="693" t="n"/>
      <c r="AT419" s="693" t="n"/>
      <c r="AU419" s="699" t="n"/>
      <c r="AV419" s="693" t="n"/>
      <c r="AW419" s="693" t="n"/>
      <c r="AX419" s="693" t="n"/>
      <c r="AY419" s="693" t="n"/>
      <c r="AZ419" s="693" t="n"/>
    </row>
    <row r="420">
      <c r="A420" s="688" t="n"/>
      <c r="B420" s="688" t="n"/>
      <c r="C420" s="473" t="n"/>
      <c r="D420" s="688" t="n"/>
      <c r="E420" s="689" t="n"/>
      <c r="F420" s="721" t="n"/>
      <c r="G4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0" s="474">
        <f>G420/#REF!</f>
        <v/>
      </c>
      <c r="I420" s="690" t="n"/>
      <c r="J4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0" s="474">
        <f>J420/#REF!</f>
        <v/>
      </c>
      <c r="L420" s="473" t="n"/>
      <c r="M420" s="692" t="n"/>
      <c r="N420" s="693" t="n"/>
      <c r="O420" s="78" t="n"/>
      <c r="P420" s="129" t="n"/>
      <c r="Q420" s="129" t="n"/>
      <c r="R420" s="129" t="n"/>
      <c r="S420" s="129" t="n"/>
      <c r="T420" s="129" t="n"/>
      <c r="U420" s="129" t="n"/>
      <c r="V420" s="129" t="n"/>
      <c r="W420" s="129" t="n"/>
      <c r="X420" s="129" t="n"/>
      <c r="Y420" s="708" t="n"/>
      <c r="Z420" s="709" t="n"/>
      <c r="AA420" s="710" t="n"/>
      <c r="AB420" s="590" t="n"/>
      <c r="AC420" s="591" t="n"/>
      <c r="AD420" s="592" t="n"/>
      <c r="AE420" s="593" t="n"/>
      <c r="AF420" s="594" t="n"/>
      <c r="AG420" s="693" t="n"/>
      <c r="AH420" s="721" t="n"/>
      <c r="AI420" s="721" t="n"/>
      <c r="AJ420" s="688" t="n"/>
      <c r="AK420" s="689" t="n"/>
      <c r="AL420" s="690" t="n"/>
      <c r="AM420" s="691" t="n"/>
      <c r="AN420" s="692" t="n"/>
      <c r="AO420" s="693" t="n"/>
      <c r="AP420" s="693" t="n"/>
      <c r="AQ420" s="693" t="n"/>
      <c r="AR420" s="693" t="n"/>
      <c r="AS420" s="693" t="n"/>
      <c r="AT420" s="693" t="n"/>
      <c r="AU420" s="699" t="n"/>
      <c r="AV420" s="693" t="n"/>
      <c r="AW420" s="693" t="n"/>
      <c r="AX420" s="693" t="n"/>
      <c r="AY420" s="693" t="n"/>
      <c r="AZ420" s="693" t="n"/>
    </row>
    <row r="421">
      <c r="A421" s="688" t="n"/>
      <c r="B421" s="688" t="n"/>
      <c r="C421" s="473" t="n"/>
      <c r="D421" s="688" t="n"/>
      <c r="E421" s="689" t="n"/>
      <c r="F421" s="721" t="n"/>
      <c r="G4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1" s="474">
        <f>G421/#REF!</f>
        <v/>
      </c>
      <c r="I421" s="690" t="n"/>
      <c r="J4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1" s="474">
        <f>J421/#REF!</f>
        <v/>
      </c>
      <c r="L421" s="473" t="n"/>
      <c r="M421" s="692" t="n"/>
      <c r="N421" s="693" t="n"/>
      <c r="O421" s="78" t="n"/>
      <c r="P421" s="129" t="n"/>
      <c r="Q421" s="129" t="n"/>
      <c r="R421" s="129" t="n"/>
      <c r="S421" s="129" t="n"/>
      <c r="T421" s="129" t="n"/>
      <c r="U421" s="129" t="n"/>
      <c r="V421" s="129" t="n"/>
      <c r="W421" s="129" t="n"/>
      <c r="X421" s="129" t="n"/>
      <c r="Y421" s="703" t="n"/>
      <c r="Z421" s="704" t="n"/>
      <c r="AA421" s="705" t="n"/>
      <c r="AB421" s="613" t="n"/>
      <c r="AC421" s="614" t="n"/>
      <c r="AD421" s="628" t="n"/>
      <c r="AE421" s="616" t="n"/>
      <c r="AF421" s="617" t="n"/>
      <c r="AG421" s="693" t="n"/>
      <c r="AH421" s="721" t="n"/>
      <c r="AI421" s="721" t="n"/>
      <c r="AJ421" s="688" t="n"/>
      <c r="AK421" s="689" t="n"/>
      <c r="AL421" s="690" t="n"/>
      <c r="AM421" s="691" t="n"/>
      <c r="AN421" s="692" t="n"/>
      <c r="AO421" s="693" t="n"/>
      <c r="AP421" s="693" t="n"/>
      <c r="AQ421" s="693" t="n"/>
      <c r="AR421" s="693" t="n"/>
      <c r="AS421" s="693" t="n"/>
      <c r="AT421" s="693" t="n"/>
      <c r="AU421" s="699" t="n"/>
      <c r="AV421" s="693" t="n"/>
      <c r="AW421" s="693" t="n"/>
      <c r="AX421" s="693" t="n"/>
      <c r="AY421" s="693" t="n"/>
      <c r="AZ421" s="693" t="n"/>
    </row>
    <row r="422">
      <c r="A422" s="688" t="n"/>
      <c r="B422" s="688" t="n"/>
      <c r="C422" s="473" t="n"/>
      <c r="D422" s="688" t="n"/>
      <c r="E422" s="689" t="n"/>
      <c r="F422" s="721" t="n"/>
      <c r="G4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2" s="474">
        <f>G422/#REF!</f>
        <v/>
      </c>
      <c r="I422" s="690" t="n"/>
      <c r="J4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2" s="474">
        <f>J422/#REF!</f>
        <v/>
      </c>
      <c r="L422" s="473" t="n"/>
      <c r="M422" s="692" t="n"/>
      <c r="N422" s="693" t="n"/>
      <c r="O422" s="78" t="n"/>
      <c r="P422" s="129" t="n"/>
      <c r="Q422" s="129" t="n"/>
      <c r="R422" s="129" t="n"/>
      <c r="S422" s="129" t="n"/>
      <c r="T422" s="129" t="n"/>
      <c r="U422" s="129" t="n"/>
      <c r="V422" s="129" t="n"/>
      <c r="W422" s="129" t="n"/>
      <c r="X422" s="129" t="n"/>
      <c r="Y422" s="708" t="n"/>
      <c r="Z422" s="709" t="n"/>
      <c r="AA422" s="710" t="n"/>
      <c r="AB422" s="590" t="n"/>
      <c r="AC422" s="591" t="n"/>
      <c r="AD422" s="592" t="n"/>
      <c r="AE422" s="593" t="n"/>
      <c r="AF422" s="594" t="n"/>
      <c r="AG422" s="693" t="n"/>
      <c r="AH422" s="721" t="n"/>
      <c r="AI422" s="721" t="n"/>
      <c r="AJ422" s="688" t="n"/>
      <c r="AK422" s="689" t="n"/>
      <c r="AL422" s="690" t="n"/>
      <c r="AM422" s="691" t="n"/>
      <c r="AN422" s="692" t="n"/>
      <c r="AO422" s="693" t="n"/>
      <c r="AP422" s="693" t="n"/>
      <c r="AQ422" s="693" t="n"/>
      <c r="AR422" s="693" t="n"/>
      <c r="AS422" s="693" t="n"/>
      <c r="AT422" s="693" t="n"/>
      <c r="AU422" s="699" t="n"/>
      <c r="AV422" s="693" t="n"/>
      <c r="AW422" s="693" t="n"/>
      <c r="AX422" s="693" t="n"/>
      <c r="AY422" s="693" t="n"/>
      <c r="AZ422" s="693" t="n"/>
    </row>
    <row r="423">
      <c r="A423" s="688" t="n"/>
      <c r="B423" s="688" t="n"/>
      <c r="C423" s="473" t="n"/>
      <c r="D423" s="688" t="n"/>
      <c r="E423" s="689" t="n"/>
      <c r="F423" s="721" t="n"/>
      <c r="G4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3" s="474">
        <f>G423/#REF!</f>
        <v/>
      </c>
      <c r="I423" s="690" t="n"/>
      <c r="J4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3" s="474">
        <f>J423/#REF!</f>
        <v/>
      </c>
      <c r="L423" s="473" t="n"/>
      <c r="M423" s="692" t="n"/>
      <c r="N423" s="693" t="n"/>
      <c r="O423" s="78" t="n"/>
      <c r="P423" s="129" t="n"/>
      <c r="Q423" s="129" t="n"/>
      <c r="R423" s="129" t="n"/>
      <c r="S423" s="129" t="n"/>
      <c r="T423" s="129" t="n"/>
      <c r="U423" s="129" t="n"/>
      <c r="V423" s="129" t="n"/>
      <c r="W423" s="129" t="n"/>
      <c r="X423" s="129" t="n"/>
      <c r="Y423" s="703" t="n"/>
      <c r="Z423" s="704" t="n"/>
      <c r="AA423" s="705" t="n"/>
      <c r="AB423" s="613" t="n"/>
      <c r="AC423" s="614" t="n"/>
      <c r="AD423" s="628" t="n"/>
      <c r="AE423" s="616" t="n"/>
      <c r="AF423" s="617" t="n"/>
      <c r="AG423" s="693" t="n"/>
      <c r="AH423" s="721" t="n"/>
      <c r="AI423" s="721" t="n"/>
      <c r="AJ423" s="688" t="n"/>
      <c r="AK423" s="689" t="n"/>
      <c r="AL423" s="690" t="n"/>
      <c r="AM423" s="691" t="n"/>
      <c r="AN423" s="692" t="n"/>
      <c r="AO423" s="693" t="n"/>
      <c r="AP423" s="693" t="n"/>
      <c r="AQ423" s="693" t="n"/>
      <c r="AR423" s="693" t="n"/>
      <c r="AS423" s="693" t="n"/>
      <c r="AT423" s="693" t="n"/>
      <c r="AU423" s="699" t="n"/>
      <c r="AV423" s="693" t="n"/>
      <c r="AW423" s="693" t="n"/>
      <c r="AX423" s="693" t="n"/>
      <c r="AY423" s="693" t="n"/>
      <c r="AZ423" s="693" t="n"/>
    </row>
    <row r="424">
      <c r="A424" s="688" t="n"/>
      <c r="B424" s="688" t="n"/>
      <c r="C424" s="473" t="n"/>
      <c r="D424" s="688" t="n"/>
      <c r="E424" s="689" t="n"/>
      <c r="F424" s="721" t="n"/>
      <c r="G4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4" s="474">
        <f>G424/#REF!</f>
        <v/>
      </c>
      <c r="I424" s="690" t="n"/>
      <c r="J4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4" s="474">
        <f>J424/#REF!</f>
        <v/>
      </c>
      <c r="L424" s="473" t="n"/>
      <c r="M424" s="692" t="n"/>
      <c r="N424" s="693" t="n"/>
      <c r="O424" s="78" t="n"/>
      <c r="P424" s="129" t="n"/>
      <c r="Q424" s="129" t="n"/>
      <c r="R424" s="129" t="n"/>
      <c r="S424" s="129" t="n"/>
      <c r="T424" s="129" t="n"/>
      <c r="U424" s="129" t="n"/>
      <c r="V424" s="129" t="n"/>
      <c r="W424" s="129" t="n"/>
      <c r="X424" s="129" t="n"/>
      <c r="Y424" s="708" t="n"/>
      <c r="Z424" s="709" t="n"/>
      <c r="AA424" s="710" t="n"/>
      <c r="AB424" s="590" t="n"/>
      <c r="AC424" s="591" t="n"/>
      <c r="AD424" s="592" t="n"/>
      <c r="AE424" s="593" t="n"/>
      <c r="AF424" s="594" t="n"/>
      <c r="AG424" s="693" t="n"/>
      <c r="AH424" s="721" t="n"/>
      <c r="AI424" s="721" t="n"/>
      <c r="AJ424" s="688" t="n"/>
      <c r="AK424" s="689" t="n"/>
      <c r="AL424" s="690" t="n"/>
      <c r="AM424" s="691" t="n"/>
      <c r="AN424" s="692" t="n"/>
      <c r="AO424" s="693" t="n"/>
      <c r="AP424" s="693" t="n"/>
      <c r="AQ424" s="693" t="n"/>
      <c r="AR424" s="693" t="n"/>
      <c r="AS424" s="693" t="n"/>
      <c r="AT424" s="693" t="n"/>
      <c r="AU424" s="699" t="n"/>
      <c r="AV424" s="693" t="n"/>
      <c r="AW424" s="693" t="n"/>
      <c r="AX424" s="693" t="n"/>
      <c r="AY424" s="693" t="n"/>
      <c r="AZ424" s="693" t="n"/>
    </row>
    <row r="425">
      <c r="A425" s="688" t="n"/>
      <c r="B425" s="688" t="n"/>
      <c r="C425" s="473" t="n"/>
      <c r="D425" s="688" t="n"/>
      <c r="E425" s="689" t="n"/>
      <c r="F425" s="721" t="n"/>
      <c r="G4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5" s="474">
        <f>G425/#REF!</f>
        <v/>
      </c>
      <c r="I425" s="690" t="n"/>
      <c r="J4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5" s="474">
        <f>J425/#REF!</f>
        <v/>
      </c>
      <c r="L425" s="473" t="n"/>
      <c r="M425" s="692" t="n"/>
      <c r="N425" s="693" t="n"/>
      <c r="O425" s="78" t="n"/>
      <c r="P425" s="129" t="n"/>
      <c r="Q425" s="129" t="n"/>
      <c r="R425" s="129" t="n"/>
      <c r="S425" s="129" t="n"/>
      <c r="T425" s="129" t="n"/>
      <c r="U425" s="129" t="n"/>
      <c r="V425" s="129" t="n"/>
      <c r="W425" s="129" t="n"/>
      <c r="X425" s="129" t="n"/>
      <c r="Y425" s="703" t="n"/>
      <c r="Z425" s="704" t="n"/>
      <c r="AA425" s="705" t="n"/>
      <c r="AB425" s="613" t="n"/>
      <c r="AC425" s="614" t="n"/>
      <c r="AD425" s="628" t="n"/>
      <c r="AE425" s="616" t="n"/>
      <c r="AF425" s="617" t="n"/>
      <c r="AG425" s="693" t="n"/>
      <c r="AH425" s="721" t="n"/>
      <c r="AI425" s="721" t="n"/>
      <c r="AJ425" s="688" t="n"/>
      <c r="AK425" s="689" t="n"/>
      <c r="AL425" s="690" t="n"/>
      <c r="AM425" s="691" t="n"/>
      <c r="AN425" s="692" t="n"/>
      <c r="AO425" s="693" t="n"/>
      <c r="AP425" s="693" t="n"/>
      <c r="AQ425" s="693" t="n"/>
      <c r="AR425" s="693" t="n"/>
      <c r="AS425" s="693" t="n"/>
      <c r="AT425" s="693" t="n"/>
      <c r="AU425" s="699" t="n"/>
      <c r="AV425" s="693" t="n"/>
      <c r="AW425" s="693" t="n"/>
      <c r="AX425" s="693" t="n"/>
      <c r="AY425" s="693" t="n"/>
      <c r="AZ425" s="693" t="n"/>
    </row>
    <row r="426">
      <c r="A426" s="688" t="n"/>
      <c r="B426" s="688" t="n"/>
      <c r="C426" s="473" t="n"/>
      <c r="D426" s="688" t="n"/>
      <c r="E426" s="689" t="n"/>
      <c r="F426" s="721" t="n"/>
      <c r="G4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6" s="474">
        <f>G426/#REF!</f>
        <v/>
      </c>
      <c r="I426" s="690" t="n"/>
      <c r="J4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6" s="474">
        <f>J426/#REF!</f>
        <v/>
      </c>
      <c r="L426" s="473" t="n"/>
      <c r="M426" s="692" t="n"/>
      <c r="N426" s="693" t="n"/>
      <c r="O426" s="78" t="n"/>
      <c r="P426" s="129" t="n"/>
      <c r="Q426" s="129" t="n"/>
      <c r="R426" s="129" t="n"/>
      <c r="S426" s="129" t="n"/>
      <c r="T426" s="129" t="n"/>
      <c r="U426" s="129" t="n"/>
      <c r="V426" s="129" t="n"/>
      <c r="W426" s="129" t="n"/>
      <c r="X426" s="129" t="n"/>
      <c r="Y426" s="708" t="n"/>
      <c r="Z426" s="709" t="n"/>
      <c r="AA426" s="710" t="n"/>
      <c r="AB426" s="590" t="n"/>
      <c r="AC426" s="591" t="n"/>
      <c r="AD426" s="592" t="n"/>
      <c r="AE426" s="593" t="n"/>
      <c r="AF426" s="594" t="n"/>
      <c r="AG426" s="693" t="n"/>
      <c r="AH426" s="721" t="n"/>
      <c r="AI426" s="721" t="n"/>
      <c r="AJ426" s="688" t="n"/>
      <c r="AK426" s="689" t="n"/>
      <c r="AL426" s="690" t="n"/>
      <c r="AM426" s="691" t="n"/>
      <c r="AN426" s="692" t="n"/>
      <c r="AO426" s="693" t="n"/>
      <c r="AP426" s="693" t="n"/>
      <c r="AQ426" s="693" t="n"/>
      <c r="AR426" s="693" t="n"/>
      <c r="AS426" s="693" t="n"/>
      <c r="AT426" s="693" t="n"/>
      <c r="AU426" s="699" t="n"/>
      <c r="AV426" s="693" t="n"/>
      <c r="AW426" s="693" t="n"/>
      <c r="AX426" s="693" t="n"/>
      <c r="AY426" s="693" t="n"/>
      <c r="AZ426" s="693" t="n"/>
    </row>
    <row r="427">
      <c r="A427" s="688" t="n"/>
      <c r="B427" s="688" t="n"/>
      <c r="C427" s="473" t="n"/>
      <c r="D427" s="688" t="n"/>
      <c r="E427" s="689" t="n"/>
      <c r="F427" s="721" t="n"/>
      <c r="G4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7" s="474">
        <f>G427/#REF!</f>
        <v/>
      </c>
      <c r="I427" s="690" t="n"/>
      <c r="J4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7" s="474">
        <f>J427/#REF!</f>
        <v/>
      </c>
      <c r="L427" s="473" t="n"/>
      <c r="M427" s="692" t="n"/>
      <c r="N427" s="693" t="n"/>
      <c r="O427" s="78" t="n"/>
      <c r="P427" s="129" t="n"/>
      <c r="Q427" s="129" t="n"/>
      <c r="R427" s="129" t="n"/>
      <c r="S427" s="129" t="n"/>
      <c r="T427" s="129" t="n"/>
      <c r="U427" s="129" t="n"/>
      <c r="V427" s="129" t="n"/>
      <c r="W427" s="129" t="n"/>
      <c r="X427" s="129" t="n"/>
      <c r="Y427" s="703" t="n"/>
      <c r="Z427" s="704" t="n"/>
      <c r="AA427" s="705" t="n"/>
      <c r="AB427" s="613" t="n"/>
      <c r="AC427" s="614" t="n"/>
      <c r="AD427" s="628" t="n"/>
      <c r="AE427" s="616" t="n"/>
      <c r="AF427" s="617" t="n"/>
      <c r="AG427" s="693" t="n"/>
      <c r="AH427" s="721" t="n"/>
      <c r="AI427" s="721" t="n"/>
      <c r="AJ427" s="688" t="n"/>
      <c r="AK427" s="689" t="n"/>
      <c r="AL427" s="690" t="n"/>
      <c r="AM427" s="691" t="n"/>
      <c r="AN427" s="692" t="n"/>
      <c r="AO427" s="693" t="n"/>
      <c r="AP427" s="693" t="n"/>
      <c r="AQ427" s="693" t="n"/>
      <c r="AR427" s="693" t="n"/>
      <c r="AS427" s="693" t="n"/>
      <c r="AT427" s="693" t="n"/>
      <c r="AU427" s="699" t="n"/>
      <c r="AV427" s="693" t="n"/>
      <c r="AW427" s="693" t="n"/>
      <c r="AX427" s="693" t="n"/>
      <c r="AY427" s="693" t="n"/>
      <c r="AZ427" s="693" t="n"/>
    </row>
    <row r="428">
      <c r="A428" s="688" t="n"/>
      <c r="B428" s="688" t="n"/>
      <c r="C428" s="473" t="n"/>
      <c r="D428" s="688" t="n"/>
      <c r="E428" s="689" t="n"/>
      <c r="F428" s="721" t="n"/>
      <c r="G4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8" s="474">
        <f>G428/#REF!</f>
        <v/>
      </c>
      <c r="I428" s="690" t="n"/>
      <c r="J4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8" s="474">
        <f>J428/#REF!</f>
        <v/>
      </c>
      <c r="L428" s="473" t="n"/>
      <c r="M428" s="692" t="n"/>
      <c r="N428" s="693" t="n"/>
      <c r="O428" s="78" t="n"/>
      <c r="P428" s="129" t="n"/>
      <c r="Q428" s="129" t="n"/>
      <c r="R428" s="129" t="n"/>
      <c r="S428" s="129" t="n"/>
      <c r="T428" s="129" t="n"/>
      <c r="U428" s="129" t="n"/>
      <c r="V428" s="129" t="n"/>
      <c r="W428" s="129" t="n"/>
      <c r="X428" s="129" t="n"/>
      <c r="Y428" s="708" t="n"/>
      <c r="Z428" s="709" t="n"/>
      <c r="AA428" s="710" t="n"/>
      <c r="AB428" s="590" t="n"/>
      <c r="AC428" s="591" t="n"/>
      <c r="AD428" s="592" t="n"/>
      <c r="AE428" s="593" t="n"/>
      <c r="AF428" s="594" t="n"/>
      <c r="AG428" s="693" t="n"/>
      <c r="AH428" s="721" t="n"/>
      <c r="AI428" s="721" t="n"/>
      <c r="AJ428" s="688" t="n"/>
      <c r="AK428" s="689" t="n"/>
      <c r="AL428" s="690" t="n"/>
      <c r="AM428" s="691" t="n"/>
      <c r="AN428" s="692" t="n"/>
      <c r="AO428" s="693" t="n"/>
      <c r="AP428" s="693" t="n"/>
      <c r="AQ428" s="693" t="n"/>
      <c r="AR428" s="693" t="n"/>
      <c r="AS428" s="693" t="n"/>
      <c r="AT428" s="693" t="n"/>
      <c r="AU428" s="699" t="n"/>
      <c r="AV428" s="693" t="n"/>
      <c r="AW428" s="693" t="n"/>
      <c r="AX428" s="693" t="n"/>
      <c r="AY428" s="693" t="n"/>
      <c r="AZ428" s="693" t="n"/>
    </row>
    <row r="429">
      <c r="A429" s="688" t="n"/>
      <c r="B429" s="688" t="n"/>
      <c r="C429" s="473" t="n"/>
      <c r="D429" s="688" t="n"/>
      <c r="E429" s="689" t="n"/>
      <c r="F429" s="721" t="n"/>
      <c r="G4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29" s="474">
        <f>G429/#REF!</f>
        <v/>
      </c>
      <c r="I429" s="690" t="n"/>
      <c r="J4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29" s="474">
        <f>J429/#REF!</f>
        <v/>
      </c>
      <c r="L429" s="473" t="n"/>
      <c r="M429" s="692" t="n"/>
      <c r="N429" s="693" t="n"/>
      <c r="O429" s="78" t="n"/>
      <c r="P429" s="129" t="n"/>
      <c r="Q429" s="129" t="n"/>
      <c r="R429" s="129" t="n"/>
      <c r="S429" s="129" t="n"/>
      <c r="T429" s="129" t="n"/>
      <c r="U429" s="129" t="n"/>
      <c r="V429" s="129" t="n"/>
      <c r="W429" s="129" t="n"/>
      <c r="X429" s="129" t="n"/>
      <c r="Y429" s="703" t="n"/>
      <c r="Z429" s="704" t="n"/>
      <c r="AA429" s="705" t="n"/>
      <c r="AB429" s="613" t="n"/>
      <c r="AC429" s="614" t="n"/>
      <c r="AD429" s="628" t="n"/>
      <c r="AE429" s="616" t="n"/>
      <c r="AF429" s="617" t="n"/>
      <c r="AG429" s="693" t="n"/>
      <c r="AH429" s="721" t="n"/>
      <c r="AI429" s="721" t="n"/>
      <c r="AJ429" s="688" t="n"/>
      <c r="AK429" s="689" t="n"/>
      <c r="AL429" s="690" t="n"/>
      <c r="AM429" s="691" t="n"/>
      <c r="AN429" s="692" t="n"/>
      <c r="AO429" s="693" t="n"/>
      <c r="AP429" s="693" t="n"/>
      <c r="AQ429" s="693" t="n"/>
      <c r="AR429" s="693" t="n"/>
      <c r="AS429" s="693" t="n"/>
      <c r="AT429" s="693" t="n"/>
      <c r="AU429" s="699" t="n"/>
      <c r="AV429" s="693" t="n"/>
      <c r="AW429" s="693" t="n"/>
      <c r="AX429" s="693" t="n"/>
      <c r="AY429" s="693" t="n"/>
      <c r="AZ429" s="693" t="n"/>
    </row>
    <row r="430">
      <c r="A430" s="688" t="n"/>
      <c r="B430" s="688" t="n"/>
      <c r="C430" s="473" t="n"/>
      <c r="D430" s="688" t="n"/>
      <c r="E430" s="689" t="n"/>
      <c r="F430" s="721" t="n"/>
      <c r="G4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0" s="474">
        <f>G430/#REF!</f>
        <v/>
      </c>
      <c r="I430" s="690" t="n"/>
      <c r="J4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0" s="474">
        <f>J430/#REF!</f>
        <v/>
      </c>
      <c r="L430" s="473" t="n"/>
      <c r="M430" s="692" t="n"/>
      <c r="N430" s="693" t="n"/>
      <c r="O430" s="78" t="n"/>
      <c r="P430" s="129" t="n"/>
      <c r="Q430" s="129" t="n"/>
      <c r="R430" s="129" t="n"/>
      <c r="S430" s="129" t="n"/>
      <c r="T430" s="129" t="n"/>
      <c r="U430" s="129" t="n"/>
      <c r="V430" s="129" t="n"/>
      <c r="W430" s="129" t="n"/>
      <c r="X430" s="129" t="n"/>
      <c r="Y430" s="708" t="n"/>
      <c r="Z430" s="709" t="n"/>
      <c r="AA430" s="710" t="n"/>
      <c r="AB430" s="590" t="n"/>
      <c r="AC430" s="591" t="n"/>
      <c r="AD430" s="592" t="n"/>
      <c r="AE430" s="593" t="n"/>
      <c r="AF430" s="594" t="n"/>
      <c r="AG430" s="693" t="n"/>
      <c r="AH430" s="721" t="n"/>
      <c r="AI430" s="721" t="n"/>
      <c r="AJ430" s="688" t="n"/>
      <c r="AK430" s="689" t="n"/>
      <c r="AL430" s="690" t="n"/>
      <c r="AM430" s="691" t="n"/>
      <c r="AN430" s="692" t="n"/>
      <c r="AO430" s="693" t="n"/>
      <c r="AP430" s="693" t="n"/>
      <c r="AQ430" s="693" t="n"/>
      <c r="AR430" s="693" t="n"/>
      <c r="AS430" s="693" t="n"/>
      <c r="AT430" s="693" t="n"/>
      <c r="AU430" s="699" t="n"/>
      <c r="AV430" s="693" t="n"/>
      <c r="AW430" s="693" t="n"/>
      <c r="AX430" s="693" t="n"/>
      <c r="AY430" s="693" t="n"/>
      <c r="AZ430" s="693" t="n"/>
    </row>
    <row r="431">
      <c r="A431" s="688" t="n"/>
      <c r="B431" s="688" t="n"/>
      <c r="C431" s="473" t="n"/>
      <c r="D431" s="688" t="n"/>
      <c r="E431" s="689" t="n"/>
      <c r="F431" s="721" t="n"/>
      <c r="G4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1" s="474">
        <f>G431/#REF!</f>
        <v/>
      </c>
      <c r="I431" s="690" t="n"/>
      <c r="J4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1" s="474">
        <f>J431/#REF!</f>
        <v/>
      </c>
      <c r="L431" s="473" t="n"/>
      <c r="M431" s="692" t="n"/>
      <c r="N431" s="693" t="n"/>
      <c r="O431" s="78" t="n"/>
      <c r="P431" s="129" t="n"/>
      <c r="Q431" s="129" t="n"/>
      <c r="R431" s="129" t="n"/>
      <c r="S431" s="129" t="n"/>
      <c r="T431" s="129" t="n"/>
      <c r="U431" s="129" t="n"/>
      <c r="V431" s="129" t="n"/>
      <c r="W431" s="129" t="n"/>
      <c r="X431" s="129" t="n"/>
      <c r="Y431" s="703" t="n"/>
      <c r="Z431" s="704" t="n"/>
      <c r="AA431" s="705" t="n"/>
      <c r="AB431" s="613" t="n"/>
      <c r="AC431" s="614" t="n"/>
      <c r="AD431" s="628" t="n"/>
      <c r="AE431" s="616" t="n"/>
      <c r="AF431" s="617" t="n"/>
      <c r="AG431" s="693" t="n"/>
      <c r="AH431" s="721" t="n"/>
      <c r="AI431" s="721" t="n"/>
      <c r="AJ431" s="688" t="n"/>
      <c r="AK431" s="689" t="n"/>
      <c r="AL431" s="690" t="n"/>
      <c r="AM431" s="691" t="n"/>
      <c r="AN431" s="692" t="n"/>
      <c r="AO431" s="693" t="n"/>
      <c r="AP431" s="693" t="n"/>
      <c r="AQ431" s="693" t="n"/>
      <c r="AR431" s="693" t="n"/>
      <c r="AS431" s="693" t="n"/>
      <c r="AT431" s="693" t="n"/>
      <c r="AU431" s="699" t="n"/>
      <c r="AV431" s="693" t="n"/>
      <c r="AW431" s="693" t="n"/>
      <c r="AX431" s="693" t="n"/>
      <c r="AY431" s="693" t="n"/>
      <c r="AZ431" s="693" t="n"/>
    </row>
    <row r="432">
      <c r="A432" s="688" t="n"/>
      <c r="B432" s="688" t="n"/>
      <c r="C432" s="473" t="n"/>
      <c r="D432" s="688" t="n"/>
      <c r="E432" s="689" t="n"/>
      <c r="F432" s="721" t="n"/>
      <c r="G4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2" s="474">
        <f>G432/#REF!</f>
        <v/>
      </c>
      <c r="I432" s="690" t="n"/>
      <c r="J4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2" s="474">
        <f>J432/#REF!</f>
        <v/>
      </c>
      <c r="L432" s="473" t="n"/>
      <c r="M432" s="692" t="n"/>
      <c r="N432" s="693" t="n"/>
      <c r="O432" s="78" t="n"/>
      <c r="P432" s="129" t="n"/>
      <c r="Q432" s="129" t="n"/>
      <c r="R432" s="129" t="n"/>
      <c r="S432" s="129" t="n"/>
      <c r="T432" s="129" t="n"/>
      <c r="U432" s="129" t="n"/>
      <c r="V432" s="129" t="n"/>
      <c r="W432" s="129" t="n"/>
      <c r="X432" s="129" t="n"/>
      <c r="Y432" s="708" t="n"/>
      <c r="Z432" s="709" t="n"/>
      <c r="AA432" s="710" t="n"/>
      <c r="AB432" s="590" t="n"/>
      <c r="AC432" s="591" t="n"/>
      <c r="AD432" s="592" t="n"/>
      <c r="AE432" s="593" t="n"/>
      <c r="AF432" s="594" t="n"/>
      <c r="AG432" s="693" t="n"/>
      <c r="AH432" s="721" t="n"/>
      <c r="AI432" s="721" t="n"/>
      <c r="AJ432" s="688" t="n"/>
      <c r="AK432" s="689" t="n"/>
      <c r="AL432" s="690" t="n"/>
      <c r="AM432" s="691" t="n"/>
      <c r="AN432" s="692" t="n"/>
      <c r="AO432" s="693" t="n"/>
      <c r="AP432" s="693" t="n"/>
      <c r="AQ432" s="693" t="n"/>
      <c r="AR432" s="693" t="n"/>
      <c r="AS432" s="693" t="n"/>
      <c r="AT432" s="693" t="n"/>
      <c r="AU432" s="699" t="n"/>
      <c r="AV432" s="693" t="n"/>
      <c r="AW432" s="693" t="n"/>
      <c r="AX432" s="693" t="n"/>
      <c r="AY432" s="693" t="n"/>
      <c r="AZ432" s="693" t="n"/>
    </row>
    <row r="433">
      <c r="A433" s="688" t="n"/>
      <c r="B433" s="688" t="n"/>
      <c r="C433" s="473" t="n"/>
      <c r="D433" s="688" t="n"/>
      <c r="E433" s="689" t="n"/>
      <c r="F433" s="721" t="n"/>
      <c r="G4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3" s="474">
        <f>G433/#REF!</f>
        <v/>
      </c>
      <c r="I433" s="690" t="n"/>
      <c r="J4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3" s="474">
        <f>J433/#REF!</f>
        <v/>
      </c>
      <c r="L433" s="473" t="n"/>
      <c r="M433" s="692" t="n"/>
      <c r="N433" s="693" t="n"/>
      <c r="O433" s="78" t="n"/>
      <c r="P433" s="129" t="n"/>
      <c r="Q433" s="129" t="n"/>
      <c r="R433" s="129" t="n"/>
      <c r="S433" s="129" t="n"/>
      <c r="T433" s="129" t="n"/>
      <c r="U433" s="129" t="n"/>
      <c r="V433" s="129" t="n"/>
      <c r="W433" s="129" t="n"/>
      <c r="X433" s="129" t="n"/>
      <c r="Y433" s="703" t="n"/>
      <c r="Z433" s="704" t="n"/>
      <c r="AA433" s="705" t="n"/>
      <c r="AB433" s="613" t="n"/>
      <c r="AC433" s="614" t="n"/>
      <c r="AD433" s="628" t="n"/>
      <c r="AE433" s="616" t="n"/>
      <c r="AF433" s="617" t="n"/>
      <c r="AG433" s="693" t="n"/>
      <c r="AH433" s="721" t="n"/>
      <c r="AI433" s="721" t="n"/>
      <c r="AJ433" s="688" t="n"/>
      <c r="AK433" s="689" t="n"/>
      <c r="AL433" s="690" t="n"/>
      <c r="AM433" s="691" t="n"/>
      <c r="AN433" s="692" t="n"/>
      <c r="AO433" s="693" t="n"/>
      <c r="AP433" s="693" t="n"/>
      <c r="AQ433" s="693" t="n"/>
      <c r="AR433" s="693" t="n"/>
      <c r="AS433" s="693" t="n"/>
      <c r="AT433" s="693" t="n"/>
      <c r="AU433" s="699" t="n"/>
      <c r="AV433" s="693" t="n"/>
      <c r="AW433" s="693" t="n"/>
      <c r="AX433" s="693" t="n"/>
      <c r="AY433" s="693" t="n"/>
      <c r="AZ433" s="693" t="n"/>
    </row>
    <row r="434">
      <c r="A434" s="688" t="n"/>
      <c r="B434" s="688" t="n"/>
      <c r="C434" s="473" t="n"/>
      <c r="D434" s="688" t="n"/>
      <c r="E434" s="689" t="n"/>
      <c r="F434" s="721" t="n"/>
      <c r="G4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4" s="474">
        <f>G434/#REF!</f>
        <v/>
      </c>
      <c r="I434" s="690" t="n"/>
      <c r="J4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4" s="474">
        <f>J434/#REF!</f>
        <v/>
      </c>
      <c r="L434" s="473" t="n"/>
      <c r="M434" s="692" t="n"/>
      <c r="N434" s="693" t="n"/>
      <c r="O434" s="78" t="n"/>
      <c r="P434" s="129" t="n"/>
      <c r="Q434" s="129" t="n"/>
      <c r="R434" s="129" t="n"/>
      <c r="S434" s="129" t="n"/>
      <c r="T434" s="129" t="n"/>
      <c r="U434" s="129" t="n"/>
      <c r="V434" s="129" t="n"/>
      <c r="W434" s="129" t="n"/>
      <c r="X434" s="129" t="n"/>
      <c r="Y434" s="708" t="n"/>
      <c r="Z434" s="709" t="n"/>
      <c r="AA434" s="710" t="n"/>
      <c r="AB434" s="590" t="n"/>
      <c r="AC434" s="591" t="n"/>
      <c r="AD434" s="592" t="n"/>
      <c r="AE434" s="593" t="n"/>
      <c r="AF434" s="594" t="n"/>
      <c r="AG434" s="693" t="n"/>
      <c r="AH434" s="721" t="n"/>
      <c r="AI434" s="721" t="n"/>
      <c r="AJ434" s="688" t="n"/>
      <c r="AK434" s="689" t="n"/>
      <c r="AL434" s="690" t="n"/>
      <c r="AM434" s="691" t="n"/>
      <c r="AN434" s="692" t="n"/>
      <c r="AO434" s="693" t="n"/>
      <c r="AP434" s="693" t="n"/>
      <c r="AQ434" s="693" t="n"/>
      <c r="AR434" s="693" t="n"/>
      <c r="AS434" s="693" t="n"/>
      <c r="AT434" s="693" t="n"/>
      <c r="AU434" s="699" t="n"/>
      <c r="AV434" s="693" t="n"/>
      <c r="AW434" s="693" t="n"/>
      <c r="AX434" s="693" t="n"/>
      <c r="AY434" s="693" t="n"/>
      <c r="AZ434" s="693" t="n"/>
    </row>
    <row r="435">
      <c r="A435" s="688" t="n"/>
      <c r="B435" s="688" t="n"/>
      <c r="C435" s="473" t="n"/>
      <c r="D435" s="688" t="n"/>
      <c r="E435" s="689" t="n"/>
      <c r="F435" s="721" t="n"/>
      <c r="G4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5" s="474">
        <f>G435/#REF!</f>
        <v/>
      </c>
      <c r="I435" s="690" t="n"/>
      <c r="J4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5" s="474">
        <f>J435/#REF!</f>
        <v/>
      </c>
      <c r="L435" s="473" t="n"/>
      <c r="M435" s="692" t="n"/>
      <c r="N435" s="693" t="n"/>
      <c r="O435" s="78" t="n"/>
      <c r="P435" s="129" t="n"/>
      <c r="Q435" s="129" t="n"/>
      <c r="R435" s="129" t="n"/>
      <c r="S435" s="129" t="n"/>
      <c r="T435" s="129" t="n"/>
      <c r="U435" s="129" t="n"/>
      <c r="V435" s="129" t="n"/>
      <c r="W435" s="129" t="n"/>
      <c r="X435" s="129" t="n"/>
      <c r="Y435" s="703" t="n"/>
      <c r="Z435" s="704" t="n"/>
      <c r="AA435" s="705" t="n"/>
      <c r="AB435" s="613" t="n"/>
      <c r="AC435" s="614" t="n"/>
      <c r="AD435" s="628" t="n"/>
      <c r="AE435" s="616" t="n"/>
      <c r="AF435" s="617" t="n"/>
      <c r="AG435" s="693" t="n"/>
      <c r="AH435" s="721" t="n"/>
      <c r="AI435" s="721" t="n"/>
      <c r="AJ435" s="688" t="n"/>
      <c r="AK435" s="689" t="n"/>
      <c r="AL435" s="690" t="n"/>
      <c r="AM435" s="691" t="n"/>
      <c r="AN435" s="692" t="n"/>
      <c r="AO435" s="693" t="n"/>
      <c r="AP435" s="693" t="n"/>
      <c r="AQ435" s="693" t="n"/>
      <c r="AR435" s="693" t="n"/>
      <c r="AS435" s="693" t="n"/>
      <c r="AT435" s="693" t="n"/>
      <c r="AU435" s="699" t="n"/>
      <c r="AV435" s="693" t="n"/>
      <c r="AW435" s="693" t="n"/>
      <c r="AX435" s="693" t="n"/>
      <c r="AY435" s="693" t="n"/>
      <c r="AZ435" s="693" t="n"/>
    </row>
    <row r="436">
      <c r="A436" s="688" t="n"/>
      <c r="B436" s="688" t="n"/>
      <c r="C436" s="473" t="n"/>
      <c r="D436" s="688" t="n"/>
      <c r="E436" s="689" t="n"/>
      <c r="F436" s="721" t="n"/>
      <c r="G4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6" s="474">
        <f>G436/#REF!</f>
        <v/>
      </c>
      <c r="I436" s="690" t="n"/>
      <c r="J4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6" s="474">
        <f>J436/#REF!</f>
        <v/>
      </c>
      <c r="L436" s="473" t="n"/>
      <c r="M436" s="692" t="n"/>
      <c r="N436" s="693" t="n"/>
      <c r="O436" s="78" t="n"/>
      <c r="P436" s="129" t="n"/>
      <c r="Q436" s="129" t="n"/>
      <c r="R436" s="129" t="n"/>
      <c r="S436" s="129" t="n"/>
      <c r="T436" s="129" t="n"/>
      <c r="U436" s="129" t="n"/>
      <c r="V436" s="129" t="n"/>
      <c r="W436" s="129" t="n"/>
      <c r="X436" s="129" t="n"/>
      <c r="Y436" s="708" t="n"/>
      <c r="Z436" s="709" t="n"/>
      <c r="AA436" s="710" t="n"/>
      <c r="AB436" s="590" t="n"/>
      <c r="AC436" s="591" t="n"/>
      <c r="AD436" s="592" t="n"/>
      <c r="AE436" s="593" t="n"/>
      <c r="AF436" s="594" t="n"/>
      <c r="AG436" s="693" t="n"/>
      <c r="AH436" s="721" t="n"/>
      <c r="AI436" s="721" t="n"/>
      <c r="AJ436" s="688" t="n"/>
      <c r="AK436" s="689" t="n"/>
      <c r="AL436" s="690" t="n"/>
      <c r="AM436" s="691" t="n"/>
      <c r="AN436" s="692" t="n"/>
      <c r="AO436" s="693" t="n"/>
      <c r="AP436" s="693" t="n"/>
      <c r="AQ436" s="693" t="n"/>
      <c r="AR436" s="693" t="n"/>
      <c r="AS436" s="693" t="n"/>
      <c r="AT436" s="693" t="n"/>
      <c r="AU436" s="699" t="n"/>
      <c r="AV436" s="693" t="n"/>
      <c r="AW436" s="693" t="n"/>
      <c r="AX436" s="693" t="n"/>
      <c r="AY436" s="693" t="n"/>
      <c r="AZ436" s="693" t="n"/>
    </row>
    <row r="437">
      <c r="A437" s="688" t="n"/>
      <c r="B437" s="688" t="n"/>
      <c r="C437" s="473" t="n"/>
      <c r="D437" s="688" t="n"/>
      <c r="E437" s="689" t="n"/>
      <c r="F437" s="721" t="n"/>
      <c r="G4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7" s="474">
        <f>G437/#REF!</f>
        <v/>
      </c>
      <c r="I437" s="690" t="n"/>
      <c r="J4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7" s="474">
        <f>J437/#REF!</f>
        <v/>
      </c>
      <c r="L437" s="473" t="n"/>
      <c r="M437" s="692" t="n"/>
      <c r="N437" s="693" t="n"/>
      <c r="O437" s="78" t="n"/>
      <c r="P437" s="129" t="n"/>
      <c r="Q437" s="129" t="n"/>
      <c r="R437" s="129" t="n"/>
      <c r="S437" s="129" t="n"/>
      <c r="T437" s="129" t="n"/>
      <c r="U437" s="129" t="n"/>
      <c r="V437" s="129" t="n"/>
      <c r="W437" s="129" t="n"/>
      <c r="X437" s="129" t="n"/>
      <c r="Y437" s="703" t="n"/>
      <c r="Z437" s="704" t="n"/>
      <c r="AA437" s="705" t="n"/>
      <c r="AB437" s="613" t="n"/>
      <c r="AC437" s="614" t="n"/>
      <c r="AD437" s="628" t="n"/>
      <c r="AE437" s="616" t="n"/>
      <c r="AF437" s="617" t="n"/>
      <c r="AG437" s="693" t="n"/>
      <c r="AH437" s="721" t="n"/>
      <c r="AI437" s="721" t="n"/>
      <c r="AJ437" s="688" t="n"/>
      <c r="AK437" s="689" t="n"/>
      <c r="AL437" s="690" t="n"/>
      <c r="AM437" s="691" t="n"/>
      <c r="AN437" s="692" t="n"/>
      <c r="AO437" s="693" t="n"/>
      <c r="AP437" s="693" t="n"/>
      <c r="AQ437" s="693" t="n"/>
      <c r="AR437" s="693" t="n"/>
      <c r="AS437" s="693" t="n"/>
      <c r="AT437" s="693" t="n"/>
      <c r="AU437" s="699" t="n"/>
      <c r="AV437" s="693" t="n"/>
      <c r="AW437" s="693" t="n"/>
      <c r="AX437" s="693" t="n"/>
      <c r="AY437" s="693" t="n"/>
      <c r="AZ437" s="693" t="n"/>
    </row>
    <row r="438">
      <c r="A438" s="688" t="n"/>
      <c r="B438" s="688" t="n"/>
      <c r="C438" s="473" t="n"/>
      <c r="D438" s="688" t="n"/>
      <c r="E438" s="689" t="n"/>
      <c r="F438" s="721" t="n"/>
      <c r="G4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8" s="474">
        <f>G438/#REF!</f>
        <v/>
      </c>
      <c r="I438" s="690" t="n"/>
      <c r="J4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8" s="474">
        <f>J438/#REF!</f>
        <v/>
      </c>
      <c r="L438" s="473" t="n"/>
      <c r="M438" s="692" t="n"/>
      <c r="N438" s="693" t="n"/>
      <c r="O438" s="78" t="n"/>
      <c r="P438" s="129" t="n"/>
      <c r="Q438" s="129" t="n"/>
      <c r="R438" s="129" t="n"/>
      <c r="S438" s="129" t="n"/>
      <c r="T438" s="129" t="n"/>
      <c r="U438" s="129" t="n"/>
      <c r="V438" s="129" t="n"/>
      <c r="W438" s="129" t="n"/>
      <c r="X438" s="129" t="n"/>
      <c r="Y438" s="708" t="n"/>
      <c r="Z438" s="709" t="n"/>
      <c r="AA438" s="710" t="n"/>
      <c r="AB438" s="590" t="n"/>
      <c r="AC438" s="591" t="n"/>
      <c r="AD438" s="592" t="n"/>
      <c r="AE438" s="593" t="n"/>
      <c r="AF438" s="594" t="n"/>
      <c r="AG438" s="693" t="n"/>
      <c r="AH438" s="721" t="n"/>
      <c r="AI438" s="721" t="n"/>
      <c r="AJ438" s="688" t="n"/>
      <c r="AK438" s="689" t="n"/>
      <c r="AL438" s="690" t="n"/>
      <c r="AM438" s="691" t="n"/>
      <c r="AN438" s="692" t="n"/>
      <c r="AO438" s="693" t="n"/>
      <c r="AP438" s="693" t="n"/>
      <c r="AQ438" s="693" t="n"/>
      <c r="AR438" s="693" t="n"/>
      <c r="AS438" s="693" t="n"/>
      <c r="AT438" s="693" t="n"/>
      <c r="AU438" s="699" t="n"/>
      <c r="AV438" s="693" t="n"/>
      <c r="AW438" s="693" t="n"/>
      <c r="AX438" s="693" t="n"/>
      <c r="AY438" s="693" t="n"/>
      <c r="AZ438" s="693" t="n"/>
    </row>
    <row r="439">
      <c r="A439" s="688" t="n"/>
      <c r="B439" s="688" t="n"/>
      <c r="C439" s="473" t="n"/>
      <c r="D439" s="688" t="n"/>
      <c r="E439" s="689" t="n"/>
      <c r="F439" s="721" t="n"/>
      <c r="G4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39" s="474">
        <f>G439/#REF!</f>
        <v/>
      </c>
      <c r="I439" s="690" t="n"/>
      <c r="J4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39" s="474">
        <f>J439/#REF!</f>
        <v/>
      </c>
      <c r="L439" s="473" t="n"/>
      <c r="M439" s="692" t="n"/>
      <c r="N439" s="693" t="n"/>
      <c r="O439" s="78" t="n"/>
      <c r="P439" s="129" t="n"/>
      <c r="Q439" s="129" t="n"/>
      <c r="R439" s="129" t="n"/>
      <c r="S439" s="129" t="n"/>
      <c r="T439" s="129" t="n"/>
      <c r="U439" s="129" t="n"/>
      <c r="V439" s="129" t="n"/>
      <c r="W439" s="129" t="n"/>
      <c r="X439" s="129" t="n"/>
      <c r="Y439" s="703" t="n"/>
      <c r="Z439" s="704" t="n"/>
      <c r="AA439" s="705" t="n"/>
      <c r="AB439" s="613" t="n"/>
      <c r="AC439" s="614" t="n"/>
      <c r="AD439" s="628" t="n"/>
      <c r="AE439" s="616" t="n"/>
      <c r="AF439" s="617" t="n"/>
      <c r="AG439" s="693" t="n"/>
      <c r="AH439" s="721" t="n"/>
      <c r="AI439" s="721" t="n"/>
      <c r="AJ439" s="688" t="n"/>
      <c r="AK439" s="689" t="n"/>
      <c r="AL439" s="690" t="n"/>
      <c r="AM439" s="691" t="n"/>
      <c r="AN439" s="692" t="n"/>
      <c r="AO439" s="693" t="n"/>
      <c r="AP439" s="693" t="n"/>
      <c r="AQ439" s="693" t="n"/>
      <c r="AR439" s="693" t="n"/>
      <c r="AS439" s="693" t="n"/>
      <c r="AT439" s="693" t="n"/>
      <c r="AU439" s="699" t="n"/>
      <c r="AV439" s="693" t="n"/>
      <c r="AW439" s="693" t="n"/>
      <c r="AX439" s="693" t="n"/>
      <c r="AY439" s="693" t="n"/>
      <c r="AZ439" s="693" t="n"/>
    </row>
    <row r="440">
      <c r="A440" s="688" t="n"/>
      <c r="B440" s="688" t="n"/>
      <c r="C440" s="473" t="n"/>
      <c r="D440" s="688" t="n"/>
      <c r="E440" s="689" t="n"/>
      <c r="F440" s="721" t="n"/>
      <c r="G4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0" s="474">
        <f>G440/#REF!</f>
        <v/>
      </c>
      <c r="I440" s="690" t="n"/>
      <c r="J4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0" s="474">
        <f>J440/#REF!</f>
        <v/>
      </c>
      <c r="L440" s="473" t="n"/>
      <c r="M440" s="692" t="n"/>
      <c r="N440" s="693" t="n"/>
      <c r="O440" s="78" t="n"/>
      <c r="P440" s="129" t="n"/>
      <c r="Q440" s="129" t="n"/>
      <c r="R440" s="129" t="n"/>
      <c r="S440" s="129" t="n"/>
      <c r="T440" s="129" t="n"/>
      <c r="U440" s="129" t="n"/>
      <c r="V440" s="129" t="n"/>
      <c r="W440" s="129" t="n"/>
      <c r="X440" s="129" t="n"/>
      <c r="Y440" s="708" t="n"/>
      <c r="Z440" s="709" t="n"/>
      <c r="AA440" s="710" t="n"/>
      <c r="AB440" s="590" t="n"/>
      <c r="AC440" s="591" t="n"/>
      <c r="AD440" s="592" t="n"/>
      <c r="AE440" s="593" t="n"/>
      <c r="AF440" s="594" t="n"/>
      <c r="AG440" s="693" t="n"/>
      <c r="AH440" s="721" t="n"/>
      <c r="AI440" s="721" t="n"/>
      <c r="AJ440" s="688" t="n"/>
      <c r="AK440" s="689" t="n"/>
      <c r="AL440" s="690" t="n"/>
      <c r="AM440" s="691" t="n"/>
      <c r="AN440" s="692" t="n"/>
      <c r="AO440" s="693" t="n"/>
      <c r="AP440" s="693" t="n"/>
      <c r="AQ440" s="693" t="n"/>
      <c r="AR440" s="693" t="n"/>
      <c r="AS440" s="693" t="n"/>
      <c r="AT440" s="693" t="n"/>
      <c r="AU440" s="699" t="n"/>
      <c r="AV440" s="693" t="n"/>
      <c r="AW440" s="693" t="n"/>
      <c r="AX440" s="693" t="n"/>
      <c r="AY440" s="693" t="n"/>
      <c r="AZ440" s="693" t="n"/>
    </row>
    <row r="441">
      <c r="A441" s="688" t="n"/>
      <c r="B441" s="688" t="n"/>
      <c r="C441" s="473" t="n"/>
      <c r="D441" s="688" t="n"/>
      <c r="E441" s="689" t="n"/>
      <c r="F441" s="721" t="n"/>
      <c r="G4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1" s="474">
        <f>G441/#REF!</f>
        <v/>
      </c>
      <c r="I441" s="690" t="n"/>
      <c r="J4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1" s="474">
        <f>J441/#REF!</f>
        <v/>
      </c>
      <c r="L441" s="473" t="n"/>
      <c r="M441" s="692" t="n"/>
      <c r="N441" s="693" t="n"/>
      <c r="O441" s="78" t="n"/>
      <c r="P441" s="129" t="n"/>
      <c r="Q441" s="129" t="n"/>
      <c r="R441" s="129" t="n"/>
      <c r="S441" s="129" t="n"/>
      <c r="T441" s="129" t="n"/>
      <c r="U441" s="129" t="n"/>
      <c r="V441" s="129" t="n"/>
      <c r="W441" s="129" t="n"/>
      <c r="X441" s="129" t="n"/>
      <c r="Y441" s="703" t="n"/>
      <c r="Z441" s="704" t="n"/>
      <c r="AA441" s="705" t="n"/>
      <c r="AB441" s="613" t="n"/>
      <c r="AC441" s="614" t="n"/>
      <c r="AD441" s="628" t="n"/>
      <c r="AE441" s="616" t="n"/>
      <c r="AF441" s="617" t="n"/>
      <c r="AG441" s="693" t="n"/>
      <c r="AH441" s="721" t="n"/>
      <c r="AI441" s="721" t="n"/>
      <c r="AJ441" s="688" t="n"/>
      <c r="AK441" s="689" t="n"/>
      <c r="AL441" s="690" t="n"/>
      <c r="AM441" s="691" t="n"/>
      <c r="AN441" s="692" t="n"/>
      <c r="AO441" s="693" t="n"/>
      <c r="AP441" s="693" t="n"/>
      <c r="AQ441" s="693" t="n"/>
      <c r="AR441" s="693" t="n"/>
      <c r="AS441" s="693" t="n"/>
      <c r="AT441" s="693" t="n"/>
      <c r="AU441" s="699" t="n"/>
      <c r="AV441" s="693" t="n"/>
      <c r="AW441" s="693" t="n"/>
      <c r="AX441" s="693" t="n"/>
      <c r="AY441" s="693" t="n"/>
      <c r="AZ441" s="693" t="n"/>
    </row>
    <row r="442">
      <c r="A442" s="688" t="n"/>
      <c r="B442" s="688" t="n"/>
      <c r="C442" s="473" t="n"/>
      <c r="D442" s="688" t="n"/>
      <c r="E442" s="689" t="n"/>
      <c r="F442" s="721" t="n"/>
      <c r="G4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2" s="474">
        <f>G442/#REF!</f>
        <v/>
      </c>
      <c r="I442" s="690" t="n"/>
      <c r="J4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2" s="474">
        <f>J442/#REF!</f>
        <v/>
      </c>
      <c r="L442" s="473" t="n"/>
      <c r="M442" s="692" t="n"/>
      <c r="N442" s="693" t="n"/>
      <c r="O442" s="78" t="n"/>
      <c r="P442" s="129" t="n"/>
      <c r="Q442" s="129" t="n"/>
      <c r="R442" s="129" t="n"/>
      <c r="S442" s="129" t="n"/>
      <c r="T442" s="129" t="n"/>
      <c r="U442" s="129" t="n"/>
      <c r="V442" s="129" t="n"/>
      <c r="W442" s="129" t="n"/>
      <c r="X442" s="129" t="n"/>
      <c r="Y442" s="708" t="n"/>
      <c r="Z442" s="709" t="n"/>
      <c r="AA442" s="710" t="n"/>
      <c r="AB442" s="590" t="n"/>
      <c r="AC442" s="591" t="n"/>
      <c r="AD442" s="592" t="n"/>
      <c r="AE442" s="593" t="n"/>
      <c r="AF442" s="594" t="n"/>
      <c r="AG442" s="693" t="n"/>
      <c r="AH442" s="721" t="n"/>
      <c r="AI442" s="721" t="n"/>
      <c r="AJ442" s="688" t="n"/>
      <c r="AK442" s="689" t="n"/>
      <c r="AL442" s="690" t="n"/>
      <c r="AM442" s="691" t="n"/>
      <c r="AN442" s="692" t="n"/>
      <c r="AO442" s="693" t="n"/>
      <c r="AP442" s="693" t="n"/>
      <c r="AQ442" s="693" t="n"/>
      <c r="AR442" s="693" t="n"/>
      <c r="AS442" s="693" t="n"/>
      <c r="AT442" s="693" t="n"/>
      <c r="AU442" s="699" t="n"/>
      <c r="AV442" s="693" t="n"/>
      <c r="AW442" s="693" t="n"/>
      <c r="AX442" s="693" t="n"/>
      <c r="AY442" s="693" t="n"/>
      <c r="AZ442" s="693" t="n"/>
    </row>
    <row r="443">
      <c r="A443" s="688" t="n"/>
      <c r="B443" s="688" t="n"/>
      <c r="C443" s="473" t="n"/>
      <c r="D443" s="688" t="n"/>
      <c r="E443" s="689" t="n"/>
      <c r="F443" s="721" t="n"/>
      <c r="G4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3" s="474">
        <f>G443/#REF!</f>
        <v/>
      </c>
      <c r="I443" s="690" t="n"/>
      <c r="J4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3" s="474">
        <f>J443/#REF!</f>
        <v/>
      </c>
      <c r="L443" s="473" t="n"/>
      <c r="M443" s="692" t="n"/>
      <c r="N443" s="693" t="n"/>
      <c r="O443" s="78" t="n"/>
      <c r="P443" s="129" t="n"/>
      <c r="Q443" s="129" t="n"/>
      <c r="R443" s="129" t="n"/>
      <c r="S443" s="129" t="n"/>
      <c r="T443" s="129" t="n"/>
      <c r="U443" s="129" t="n"/>
      <c r="V443" s="129" t="n"/>
      <c r="W443" s="129" t="n"/>
      <c r="X443" s="129" t="n"/>
      <c r="Y443" s="703" t="n"/>
      <c r="Z443" s="704" t="n"/>
      <c r="AA443" s="705" t="n"/>
      <c r="AB443" s="613" t="n"/>
      <c r="AC443" s="614" t="n"/>
      <c r="AD443" s="628" t="n"/>
      <c r="AE443" s="616" t="n"/>
      <c r="AF443" s="617" t="n"/>
      <c r="AG443" s="693" t="n"/>
      <c r="AH443" s="721" t="n"/>
      <c r="AI443" s="721" t="n"/>
      <c r="AJ443" s="688" t="n"/>
      <c r="AK443" s="689" t="n"/>
      <c r="AL443" s="690" t="n"/>
      <c r="AM443" s="691" t="n"/>
      <c r="AN443" s="692" t="n"/>
      <c r="AO443" s="693" t="n"/>
      <c r="AP443" s="693" t="n"/>
      <c r="AQ443" s="693" t="n"/>
      <c r="AR443" s="693" t="n"/>
      <c r="AS443" s="693" t="n"/>
      <c r="AT443" s="693" t="n"/>
      <c r="AU443" s="699" t="n"/>
      <c r="AV443" s="693" t="n"/>
      <c r="AW443" s="693" t="n"/>
      <c r="AX443" s="693" t="n"/>
      <c r="AY443" s="693" t="n"/>
      <c r="AZ443" s="693" t="n"/>
    </row>
    <row r="444">
      <c r="A444" s="688" t="n"/>
      <c r="B444" s="688" t="n"/>
      <c r="C444" s="473" t="n"/>
      <c r="D444" s="688" t="n"/>
      <c r="E444" s="689" t="n"/>
      <c r="F444" s="721" t="n"/>
      <c r="G4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4" s="474">
        <f>G444/#REF!</f>
        <v/>
      </c>
      <c r="I444" s="690" t="n"/>
      <c r="J4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4" s="474">
        <f>J444/#REF!</f>
        <v/>
      </c>
      <c r="L444" s="473" t="n"/>
      <c r="M444" s="692" t="n"/>
      <c r="N444" s="693" t="n"/>
      <c r="O444" s="78" t="n"/>
      <c r="P444" s="129" t="n"/>
      <c r="Q444" s="129" t="n"/>
      <c r="R444" s="129" t="n"/>
      <c r="S444" s="129" t="n"/>
      <c r="T444" s="129" t="n"/>
      <c r="U444" s="129" t="n"/>
      <c r="V444" s="129" t="n"/>
      <c r="W444" s="129" t="n"/>
      <c r="X444" s="129" t="n"/>
      <c r="Y444" s="708" t="n"/>
      <c r="Z444" s="709" t="n"/>
      <c r="AA444" s="710" t="n"/>
      <c r="AB444" s="590" t="n"/>
      <c r="AC444" s="591" t="n"/>
      <c r="AD444" s="592" t="n"/>
      <c r="AE444" s="593" t="n"/>
      <c r="AF444" s="594" t="n"/>
      <c r="AG444" s="693" t="n"/>
      <c r="AH444" s="721" t="n"/>
      <c r="AI444" s="721" t="n"/>
      <c r="AJ444" s="688" t="n"/>
      <c r="AK444" s="689" t="n"/>
      <c r="AL444" s="690" t="n"/>
      <c r="AM444" s="691" t="n"/>
      <c r="AN444" s="692" t="n"/>
      <c r="AO444" s="693" t="n"/>
      <c r="AP444" s="693" t="n"/>
      <c r="AQ444" s="693" t="n"/>
      <c r="AR444" s="693" t="n"/>
      <c r="AS444" s="693" t="n"/>
      <c r="AT444" s="693" t="n"/>
      <c r="AU444" s="699" t="n"/>
      <c r="AV444" s="693" t="n"/>
      <c r="AW444" s="693" t="n"/>
      <c r="AX444" s="693" t="n"/>
      <c r="AY444" s="693" t="n"/>
      <c r="AZ444" s="693" t="n"/>
    </row>
    <row r="445">
      <c r="A445" s="688" t="n"/>
      <c r="B445" s="688" t="n"/>
      <c r="C445" s="473" t="n"/>
      <c r="D445" s="688" t="n"/>
      <c r="E445" s="689" t="n"/>
      <c r="F445" s="721" t="n"/>
      <c r="G4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5" s="474">
        <f>G445/#REF!</f>
        <v/>
      </c>
      <c r="I445" s="690" t="n"/>
      <c r="J4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5" s="474">
        <f>J445/#REF!</f>
        <v/>
      </c>
      <c r="L445" s="473" t="n"/>
      <c r="M445" s="692" t="n"/>
      <c r="N445" s="693" t="n"/>
      <c r="O445" s="78" t="n"/>
      <c r="P445" s="129" t="n"/>
      <c r="Q445" s="129" t="n"/>
      <c r="R445" s="129" t="n"/>
      <c r="S445" s="129" t="n"/>
      <c r="T445" s="129" t="n"/>
      <c r="U445" s="129" t="n"/>
      <c r="V445" s="129" t="n"/>
      <c r="W445" s="129" t="n"/>
      <c r="X445" s="129" t="n"/>
      <c r="Y445" s="703" t="n"/>
      <c r="Z445" s="704" t="n"/>
      <c r="AA445" s="705" t="n"/>
      <c r="AB445" s="613" t="n"/>
      <c r="AC445" s="614" t="n"/>
      <c r="AD445" s="628" t="n"/>
      <c r="AE445" s="616" t="n"/>
      <c r="AF445" s="617" t="n"/>
      <c r="AG445" s="693" t="n"/>
      <c r="AH445" s="721" t="n"/>
      <c r="AI445" s="721" t="n"/>
      <c r="AJ445" s="688" t="n"/>
      <c r="AK445" s="689" t="n"/>
      <c r="AL445" s="690" t="n"/>
      <c r="AM445" s="691" t="n"/>
      <c r="AN445" s="692" t="n"/>
      <c r="AO445" s="693" t="n"/>
      <c r="AP445" s="693" t="n"/>
      <c r="AQ445" s="693" t="n"/>
      <c r="AR445" s="693" t="n"/>
      <c r="AS445" s="693" t="n"/>
      <c r="AT445" s="693" t="n"/>
      <c r="AU445" s="699" t="n"/>
      <c r="AV445" s="693" t="n"/>
      <c r="AW445" s="693" t="n"/>
      <c r="AX445" s="693" t="n"/>
      <c r="AY445" s="693" t="n"/>
      <c r="AZ445" s="693" t="n"/>
    </row>
    <row r="446">
      <c r="A446" s="688" t="n"/>
      <c r="B446" s="688" t="n"/>
      <c r="C446" s="473" t="n"/>
      <c r="D446" s="688" t="n"/>
      <c r="E446" s="689" t="n"/>
      <c r="F446" s="721" t="n"/>
      <c r="G4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6" s="474">
        <f>G446/#REF!</f>
        <v/>
      </c>
      <c r="I446" s="690" t="n"/>
      <c r="J4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6" s="474">
        <f>J446/#REF!</f>
        <v/>
      </c>
      <c r="L446" s="473" t="n"/>
      <c r="M446" s="692" t="n"/>
      <c r="N446" s="693" t="n"/>
      <c r="O446" s="78" t="n"/>
      <c r="P446" s="129" t="n"/>
      <c r="Q446" s="129" t="n"/>
      <c r="R446" s="129" t="n"/>
      <c r="S446" s="129" t="n"/>
      <c r="T446" s="129" t="n"/>
      <c r="U446" s="129" t="n"/>
      <c r="V446" s="129" t="n"/>
      <c r="W446" s="129" t="n"/>
      <c r="X446" s="129" t="n"/>
      <c r="Y446" s="708" t="n"/>
      <c r="Z446" s="709" t="n"/>
      <c r="AA446" s="710" t="n"/>
      <c r="AB446" s="590" t="n"/>
      <c r="AC446" s="591" t="n"/>
      <c r="AD446" s="592" t="n"/>
      <c r="AE446" s="593" t="n"/>
      <c r="AF446" s="594" t="n"/>
      <c r="AG446" s="693" t="n"/>
      <c r="AH446" s="721" t="n"/>
      <c r="AI446" s="721" t="n"/>
      <c r="AJ446" s="688" t="n"/>
      <c r="AK446" s="689" t="n"/>
      <c r="AL446" s="690" t="n"/>
      <c r="AM446" s="691" t="n"/>
      <c r="AN446" s="692" t="n"/>
      <c r="AO446" s="693" t="n"/>
      <c r="AP446" s="693" t="n"/>
      <c r="AQ446" s="693" t="n"/>
      <c r="AR446" s="693" t="n"/>
      <c r="AS446" s="693" t="n"/>
      <c r="AT446" s="693" t="n"/>
      <c r="AU446" s="699" t="n"/>
      <c r="AV446" s="693" t="n"/>
      <c r="AW446" s="693" t="n"/>
      <c r="AX446" s="693" t="n"/>
      <c r="AY446" s="693" t="n"/>
      <c r="AZ446" s="693" t="n"/>
    </row>
    <row r="447">
      <c r="A447" s="688" t="n"/>
      <c r="B447" s="688" t="n"/>
      <c r="C447" s="473" t="n"/>
      <c r="D447" s="688" t="n"/>
      <c r="E447" s="689" t="n"/>
      <c r="F447" s="721" t="n"/>
      <c r="G4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7" s="474">
        <f>G447/#REF!</f>
        <v/>
      </c>
      <c r="I447" s="690" t="n"/>
      <c r="J4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7" s="474">
        <f>J447/#REF!</f>
        <v/>
      </c>
      <c r="L447" s="473" t="n"/>
      <c r="M447" s="692" t="n"/>
      <c r="N447" s="693" t="n"/>
      <c r="O447" s="78" t="n"/>
      <c r="P447" s="129" t="n"/>
      <c r="Q447" s="129" t="n"/>
      <c r="R447" s="129" t="n"/>
      <c r="S447" s="129" t="n"/>
      <c r="T447" s="129" t="n"/>
      <c r="U447" s="129" t="n"/>
      <c r="V447" s="129" t="n"/>
      <c r="W447" s="129" t="n"/>
      <c r="X447" s="129" t="n"/>
      <c r="Y447" s="703" t="n"/>
      <c r="Z447" s="704" t="n"/>
      <c r="AA447" s="705" t="n"/>
      <c r="AB447" s="613" t="n"/>
      <c r="AC447" s="614" t="n"/>
      <c r="AD447" s="628" t="n"/>
      <c r="AE447" s="616" t="n"/>
      <c r="AF447" s="617" t="n"/>
      <c r="AG447" s="693" t="n"/>
      <c r="AH447" s="721" t="n"/>
      <c r="AI447" s="721" t="n"/>
      <c r="AJ447" s="688" t="n"/>
      <c r="AK447" s="689" t="n"/>
      <c r="AL447" s="690" t="n"/>
      <c r="AM447" s="691" t="n"/>
      <c r="AN447" s="692" t="n"/>
      <c r="AO447" s="693" t="n"/>
      <c r="AP447" s="693" t="n"/>
      <c r="AQ447" s="693" t="n"/>
      <c r="AR447" s="693" t="n"/>
      <c r="AS447" s="693" t="n"/>
      <c r="AT447" s="693" t="n"/>
      <c r="AU447" s="699" t="n"/>
      <c r="AV447" s="693" t="n"/>
      <c r="AW447" s="693" t="n"/>
      <c r="AX447" s="693" t="n"/>
      <c r="AY447" s="693" t="n"/>
      <c r="AZ447" s="693" t="n"/>
    </row>
    <row r="448">
      <c r="A448" s="688" t="n"/>
      <c r="B448" s="688" t="n"/>
      <c r="C448" s="473" t="n"/>
      <c r="D448" s="688" t="n"/>
      <c r="E448" s="689" t="n"/>
      <c r="F448" s="721" t="n"/>
      <c r="G4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8" s="474">
        <f>G448/#REF!</f>
        <v/>
      </c>
      <c r="I448" s="690" t="n"/>
      <c r="J4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8" s="474">
        <f>J448/#REF!</f>
        <v/>
      </c>
      <c r="L448" s="473" t="n"/>
      <c r="M448" s="692" t="n"/>
      <c r="N448" s="693" t="n"/>
      <c r="O448" s="78" t="n"/>
      <c r="P448" s="129" t="n"/>
      <c r="Q448" s="129" t="n"/>
      <c r="R448" s="129" t="n"/>
      <c r="S448" s="129" t="n"/>
      <c r="T448" s="129" t="n"/>
      <c r="U448" s="129" t="n"/>
      <c r="V448" s="129" t="n"/>
      <c r="W448" s="129" t="n"/>
      <c r="X448" s="129" t="n"/>
      <c r="Y448" s="708" t="n"/>
      <c r="Z448" s="709" t="n"/>
      <c r="AA448" s="710" t="n"/>
      <c r="AB448" s="590" t="n"/>
      <c r="AC448" s="591" t="n"/>
      <c r="AD448" s="592" t="n"/>
      <c r="AE448" s="593" t="n"/>
      <c r="AF448" s="594" t="n"/>
      <c r="AG448" s="693" t="n"/>
      <c r="AH448" s="721" t="n"/>
      <c r="AI448" s="721" t="n"/>
      <c r="AJ448" s="688" t="n"/>
      <c r="AK448" s="689" t="n"/>
      <c r="AL448" s="690" t="n"/>
      <c r="AM448" s="691" t="n"/>
      <c r="AN448" s="692" t="n"/>
      <c r="AO448" s="693" t="n"/>
      <c r="AP448" s="693" t="n"/>
      <c r="AQ448" s="693" t="n"/>
      <c r="AR448" s="693" t="n"/>
      <c r="AS448" s="693" t="n"/>
      <c r="AT448" s="693" t="n"/>
      <c r="AU448" s="699" t="n"/>
      <c r="AV448" s="693" t="n"/>
      <c r="AW448" s="693" t="n"/>
      <c r="AX448" s="693" t="n"/>
      <c r="AY448" s="693" t="n"/>
      <c r="AZ448" s="693" t="n"/>
    </row>
    <row r="449">
      <c r="A449" s="688" t="n"/>
      <c r="B449" s="688" t="n"/>
      <c r="C449" s="473" t="n"/>
      <c r="D449" s="688" t="n"/>
      <c r="E449" s="689" t="n"/>
      <c r="F449" s="721" t="n"/>
      <c r="G4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49" s="474">
        <f>G449/#REF!</f>
        <v/>
      </c>
      <c r="I449" s="690" t="n"/>
      <c r="J4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49" s="474">
        <f>J449/#REF!</f>
        <v/>
      </c>
      <c r="L449" s="473" t="n"/>
      <c r="M449" s="692" t="n"/>
      <c r="N449" s="693" t="n"/>
      <c r="O449" s="78" t="n"/>
      <c r="P449" s="129" t="n"/>
      <c r="Q449" s="129" t="n"/>
      <c r="R449" s="129" t="n"/>
      <c r="S449" s="129" t="n"/>
      <c r="T449" s="129" t="n"/>
      <c r="U449" s="129" t="n"/>
      <c r="V449" s="129" t="n"/>
      <c r="W449" s="129" t="n"/>
      <c r="X449" s="129" t="n"/>
      <c r="Y449" s="703" t="n"/>
      <c r="Z449" s="704" t="n"/>
      <c r="AA449" s="705" t="n"/>
      <c r="AB449" s="613" t="n"/>
      <c r="AC449" s="614" t="n"/>
      <c r="AD449" s="628" t="n"/>
      <c r="AE449" s="616" t="n"/>
      <c r="AF449" s="617" t="n"/>
      <c r="AG449" s="693" t="n"/>
      <c r="AH449" s="721" t="n"/>
      <c r="AI449" s="721" t="n"/>
      <c r="AJ449" s="688" t="n"/>
      <c r="AK449" s="689" t="n"/>
      <c r="AL449" s="690" t="n"/>
      <c r="AM449" s="691" t="n"/>
      <c r="AN449" s="692" t="n"/>
      <c r="AO449" s="693" t="n"/>
      <c r="AP449" s="693" t="n"/>
      <c r="AQ449" s="693" t="n"/>
      <c r="AR449" s="693" t="n"/>
      <c r="AS449" s="693" t="n"/>
      <c r="AT449" s="693" t="n"/>
      <c r="AU449" s="699" t="n"/>
      <c r="AV449" s="693" t="n"/>
      <c r="AW449" s="693" t="n"/>
      <c r="AX449" s="693" t="n"/>
      <c r="AY449" s="693" t="n"/>
      <c r="AZ449" s="693" t="n"/>
    </row>
    <row r="450">
      <c r="A450" s="688" t="n"/>
      <c r="B450" s="688" t="n"/>
      <c r="C450" s="473" t="n"/>
      <c r="D450" s="688" t="n"/>
      <c r="E450" s="689" t="n"/>
      <c r="F450" s="721" t="n"/>
      <c r="G4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0" s="474">
        <f>G450/#REF!</f>
        <v/>
      </c>
      <c r="I450" s="690" t="n"/>
      <c r="J4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0" s="474">
        <f>J450/#REF!</f>
        <v/>
      </c>
      <c r="L450" s="473" t="n"/>
      <c r="M450" s="692" t="n"/>
      <c r="N450" s="693" t="n"/>
      <c r="O450" s="78" t="n"/>
      <c r="P450" s="129" t="n"/>
      <c r="Q450" s="129" t="n"/>
      <c r="R450" s="129" t="n"/>
      <c r="S450" s="129" t="n"/>
      <c r="T450" s="129" t="n"/>
      <c r="U450" s="129" t="n"/>
      <c r="V450" s="129" t="n"/>
      <c r="W450" s="129" t="n"/>
      <c r="X450" s="129" t="n"/>
      <c r="Y450" s="708" t="n"/>
      <c r="Z450" s="709" t="n"/>
      <c r="AA450" s="710" t="n"/>
      <c r="AB450" s="590" t="n"/>
      <c r="AC450" s="591" t="n"/>
      <c r="AD450" s="592" t="n"/>
      <c r="AE450" s="593" t="n"/>
      <c r="AF450" s="594" t="n"/>
      <c r="AG450" s="693" t="n"/>
      <c r="AH450" s="721" t="n"/>
      <c r="AI450" s="721" t="n"/>
      <c r="AJ450" s="688" t="n"/>
      <c r="AK450" s="689" t="n"/>
      <c r="AL450" s="690" t="n"/>
      <c r="AM450" s="691" t="n"/>
      <c r="AN450" s="692" t="n"/>
      <c r="AO450" s="693" t="n"/>
      <c r="AP450" s="693" t="n"/>
      <c r="AQ450" s="693" t="n"/>
      <c r="AR450" s="693" t="n"/>
      <c r="AS450" s="693" t="n"/>
      <c r="AT450" s="693" t="n"/>
      <c r="AU450" s="699" t="n"/>
      <c r="AV450" s="693" t="n"/>
      <c r="AW450" s="693" t="n"/>
      <c r="AX450" s="693" t="n"/>
      <c r="AY450" s="693" t="n"/>
      <c r="AZ450" s="693" t="n"/>
    </row>
    <row r="451">
      <c r="A451" s="688" t="n"/>
      <c r="B451" s="688" t="n"/>
      <c r="C451" s="473" t="n"/>
      <c r="D451" s="688" t="n"/>
      <c r="E451" s="689" t="n"/>
      <c r="F451" s="721" t="n"/>
      <c r="G4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1" s="474">
        <f>G451/#REF!</f>
        <v/>
      </c>
      <c r="I451" s="690" t="n"/>
      <c r="J4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1" s="474">
        <f>J451/#REF!</f>
        <v/>
      </c>
      <c r="L451" s="473" t="n"/>
      <c r="M451" s="692" t="n"/>
      <c r="N451" s="693" t="n"/>
      <c r="O451" s="78" t="n"/>
      <c r="P451" s="129" t="n"/>
      <c r="Q451" s="129" t="n"/>
      <c r="R451" s="129" t="n"/>
      <c r="S451" s="129" t="n"/>
      <c r="T451" s="129" t="n"/>
      <c r="U451" s="129" t="n"/>
      <c r="V451" s="129" t="n"/>
      <c r="W451" s="129" t="n"/>
      <c r="X451" s="129" t="n"/>
      <c r="Y451" s="703" t="n"/>
      <c r="Z451" s="704" t="n"/>
      <c r="AA451" s="705" t="n"/>
      <c r="AB451" s="613" t="n"/>
      <c r="AC451" s="614" t="n"/>
      <c r="AD451" s="628" t="n"/>
      <c r="AE451" s="616" t="n"/>
      <c r="AF451" s="617" t="n"/>
      <c r="AG451" s="693" t="n"/>
      <c r="AH451" s="721" t="n"/>
      <c r="AI451" s="721" t="n"/>
      <c r="AJ451" s="688" t="n"/>
      <c r="AK451" s="689" t="n"/>
      <c r="AL451" s="690" t="n"/>
      <c r="AM451" s="691" t="n"/>
      <c r="AN451" s="692" t="n"/>
      <c r="AO451" s="693" t="n"/>
      <c r="AP451" s="693" t="n"/>
      <c r="AQ451" s="693" t="n"/>
      <c r="AR451" s="693" t="n"/>
      <c r="AS451" s="693" t="n"/>
      <c r="AT451" s="693" t="n"/>
      <c r="AU451" s="699" t="n"/>
      <c r="AV451" s="693" t="n"/>
      <c r="AW451" s="693" t="n"/>
      <c r="AX451" s="693" t="n"/>
      <c r="AY451" s="693" t="n"/>
      <c r="AZ451" s="693" t="n"/>
    </row>
    <row r="452">
      <c r="A452" s="688" t="n"/>
      <c r="B452" s="688" t="n"/>
      <c r="C452" s="473" t="n"/>
      <c r="D452" s="688" t="n"/>
      <c r="E452" s="689" t="n"/>
      <c r="F452" s="721" t="n"/>
      <c r="G4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2" s="474">
        <f>G452/#REF!</f>
        <v/>
      </c>
      <c r="I452" s="690" t="n"/>
      <c r="J4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2" s="474">
        <f>J452/#REF!</f>
        <v/>
      </c>
      <c r="L452" s="473" t="n"/>
      <c r="M452" s="692" t="n"/>
      <c r="N452" s="693" t="n"/>
      <c r="O452" s="78" t="n"/>
      <c r="P452" s="129" t="n"/>
      <c r="Q452" s="129" t="n"/>
      <c r="R452" s="129" t="n"/>
      <c r="S452" s="129" t="n"/>
      <c r="T452" s="129" t="n"/>
      <c r="U452" s="129" t="n"/>
      <c r="V452" s="129" t="n"/>
      <c r="W452" s="129" t="n"/>
      <c r="X452" s="129" t="n"/>
      <c r="Y452" s="708" t="n"/>
      <c r="Z452" s="709" t="n"/>
      <c r="AA452" s="710" t="n"/>
      <c r="AB452" s="590" t="n"/>
      <c r="AC452" s="591" t="n"/>
      <c r="AD452" s="592" t="n"/>
      <c r="AE452" s="593" t="n"/>
      <c r="AF452" s="594" t="n"/>
      <c r="AG452" s="693" t="n"/>
      <c r="AH452" s="721" t="n"/>
      <c r="AI452" s="721" t="n"/>
      <c r="AJ452" s="688" t="n"/>
      <c r="AK452" s="689" t="n"/>
      <c r="AL452" s="690" t="n"/>
      <c r="AM452" s="691" t="n"/>
      <c r="AN452" s="692" t="n"/>
      <c r="AO452" s="693" t="n"/>
      <c r="AP452" s="693" t="n"/>
      <c r="AQ452" s="693" t="n"/>
      <c r="AR452" s="693" t="n"/>
      <c r="AS452" s="693" t="n"/>
      <c r="AT452" s="693" t="n"/>
      <c r="AU452" s="699" t="n"/>
      <c r="AV452" s="693" t="n"/>
      <c r="AW452" s="693" t="n"/>
      <c r="AX452" s="693" t="n"/>
      <c r="AY452" s="693" t="n"/>
      <c r="AZ452" s="693" t="n"/>
    </row>
    <row r="453">
      <c r="A453" s="688" t="n"/>
      <c r="B453" s="688" t="n"/>
      <c r="C453" s="473" t="n"/>
      <c r="D453" s="688" t="n"/>
      <c r="E453" s="689" t="n"/>
      <c r="F453" s="721" t="n"/>
      <c r="G4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3" s="474">
        <f>G453/#REF!</f>
        <v/>
      </c>
      <c r="I453" s="690" t="n"/>
      <c r="J4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3" s="474">
        <f>J453/#REF!</f>
        <v/>
      </c>
      <c r="L453" s="473" t="n"/>
      <c r="M453" s="692" t="n"/>
      <c r="N453" s="693" t="n"/>
      <c r="O453" s="78" t="n"/>
      <c r="P453" s="129" t="n"/>
      <c r="Q453" s="129" t="n"/>
      <c r="R453" s="129" t="n"/>
      <c r="S453" s="129" t="n"/>
      <c r="T453" s="129" t="n"/>
      <c r="U453" s="129" t="n"/>
      <c r="V453" s="129" t="n"/>
      <c r="W453" s="129" t="n"/>
      <c r="X453" s="129" t="n"/>
      <c r="Y453" s="703" t="n"/>
      <c r="Z453" s="704" t="n"/>
      <c r="AA453" s="705" t="n"/>
      <c r="AB453" s="613" t="n"/>
      <c r="AC453" s="614" t="n"/>
      <c r="AD453" s="628" t="n"/>
      <c r="AE453" s="616" t="n"/>
      <c r="AF453" s="617" t="n"/>
      <c r="AG453" s="693" t="n"/>
      <c r="AH453" s="721" t="n"/>
      <c r="AI453" s="721" t="n"/>
      <c r="AJ453" s="688" t="n"/>
      <c r="AK453" s="689" t="n"/>
      <c r="AL453" s="690" t="n"/>
      <c r="AM453" s="691" t="n"/>
      <c r="AN453" s="692" t="n"/>
      <c r="AO453" s="693" t="n"/>
      <c r="AP453" s="693" t="n"/>
      <c r="AQ453" s="693" t="n"/>
      <c r="AR453" s="693" t="n"/>
      <c r="AS453" s="693" t="n"/>
      <c r="AT453" s="693" t="n"/>
      <c r="AU453" s="699" t="n"/>
      <c r="AV453" s="693" t="n"/>
      <c r="AW453" s="693" t="n"/>
      <c r="AX453" s="693" t="n"/>
      <c r="AY453" s="693" t="n"/>
      <c r="AZ453" s="693" t="n"/>
    </row>
    <row r="454">
      <c r="A454" s="688" t="n"/>
      <c r="B454" s="688" t="n"/>
      <c r="C454" s="473" t="n"/>
      <c r="D454" s="688" t="n"/>
      <c r="E454" s="689" t="n"/>
      <c r="F454" s="721" t="n"/>
      <c r="G4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4" s="474">
        <f>G454/#REF!</f>
        <v/>
      </c>
      <c r="I454" s="690" t="n"/>
      <c r="J4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4" s="474">
        <f>J454/#REF!</f>
        <v/>
      </c>
      <c r="L454" s="473" t="n"/>
      <c r="M454" s="692" t="n"/>
      <c r="N454" s="693" t="n"/>
      <c r="O454" s="78" t="n"/>
      <c r="P454" s="129" t="n"/>
      <c r="Q454" s="129" t="n"/>
      <c r="R454" s="129" t="n"/>
      <c r="S454" s="129" t="n"/>
      <c r="T454" s="129" t="n"/>
      <c r="U454" s="129" t="n"/>
      <c r="V454" s="129" t="n"/>
      <c r="W454" s="129" t="n"/>
      <c r="X454" s="129" t="n"/>
      <c r="Y454" s="708" t="n"/>
      <c r="Z454" s="709" t="n"/>
      <c r="AA454" s="710" t="n"/>
      <c r="AB454" s="590" t="n"/>
      <c r="AC454" s="591" t="n"/>
      <c r="AD454" s="592" t="n"/>
      <c r="AE454" s="593" t="n"/>
      <c r="AF454" s="594" t="n"/>
      <c r="AG454" s="693" t="n"/>
      <c r="AH454" s="721" t="n"/>
      <c r="AI454" s="721" t="n"/>
      <c r="AJ454" s="688" t="n"/>
      <c r="AK454" s="689" t="n"/>
      <c r="AL454" s="690" t="n"/>
      <c r="AM454" s="691" t="n"/>
      <c r="AN454" s="692" t="n"/>
      <c r="AO454" s="693" t="n"/>
      <c r="AP454" s="693" t="n"/>
      <c r="AQ454" s="693" t="n"/>
      <c r="AR454" s="693" t="n"/>
      <c r="AS454" s="693" t="n"/>
      <c r="AT454" s="693" t="n"/>
      <c r="AU454" s="699" t="n"/>
      <c r="AV454" s="693" t="n"/>
      <c r="AW454" s="693" t="n"/>
      <c r="AX454" s="693" t="n"/>
      <c r="AY454" s="693" t="n"/>
      <c r="AZ454" s="693" t="n"/>
    </row>
    <row r="455">
      <c r="A455" s="688" t="n"/>
      <c r="B455" s="688" t="n"/>
      <c r="C455" s="473" t="n"/>
      <c r="D455" s="688" t="n"/>
      <c r="E455" s="689" t="n"/>
      <c r="F455" s="721" t="n"/>
      <c r="G4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5" s="474">
        <f>G455/#REF!</f>
        <v/>
      </c>
      <c r="I455" s="690" t="n"/>
      <c r="J4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5" s="474">
        <f>J455/#REF!</f>
        <v/>
      </c>
      <c r="L455" s="473" t="n"/>
      <c r="M455" s="692" t="n"/>
      <c r="N455" s="693" t="n"/>
      <c r="O455" s="78" t="n"/>
      <c r="P455" s="129" t="n"/>
      <c r="Q455" s="129" t="n"/>
      <c r="R455" s="129" t="n"/>
      <c r="S455" s="129" t="n"/>
      <c r="T455" s="129" t="n"/>
      <c r="U455" s="129" t="n"/>
      <c r="V455" s="129" t="n"/>
      <c r="W455" s="129" t="n"/>
      <c r="X455" s="129" t="n"/>
      <c r="Y455" s="703" t="n"/>
      <c r="Z455" s="704" t="n"/>
      <c r="AA455" s="705" t="n"/>
      <c r="AB455" s="613" t="n"/>
      <c r="AC455" s="614" t="n"/>
      <c r="AD455" s="628" t="n"/>
      <c r="AE455" s="616" t="n"/>
      <c r="AF455" s="617" t="n"/>
      <c r="AG455" s="693" t="n"/>
      <c r="AH455" s="721" t="n"/>
      <c r="AI455" s="721" t="n"/>
      <c r="AJ455" s="688" t="n"/>
      <c r="AK455" s="689" t="n"/>
      <c r="AL455" s="690" t="n"/>
      <c r="AM455" s="691" t="n"/>
      <c r="AN455" s="692" t="n"/>
      <c r="AO455" s="693" t="n"/>
      <c r="AP455" s="693" t="n"/>
      <c r="AQ455" s="693" t="n"/>
      <c r="AR455" s="693" t="n"/>
      <c r="AS455" s="693" t="n"/>
      <c r="AT455" s="693" t="n"/>
      <c r="AU455" s="699" t="n"/>
      <c r="AV455" s="693" t="n"/>
      <c r="AW455" s="693" t="n"/>
      <c r="AX455" s="693" t="n"/>
      <c r="AY455" s="693" t="n"/>
      <c r="AZ455" s="693" t="n"/>
    </row>
    <row r="456">
      <c r="A456" s="688" t="n"/>
      <c r="B456" s="688" t="n"/>
      <c r="C456" s="473" t="n"/>
      <c r="D456" s="688" t="n"/>
      <c r="E456" s="689" t="n"/>
      <c r="F456" s="721" t="n"/>
      <c r="G4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6" s="474">
        <f>G456/#REF!</f>
        <v/>
      </c>
      <c r="I456" s="690" t="n"/>
      <c r="J4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6" s="474">
        <f>J456/#REF!</f>
        <v/>
      </c>
      <c r="L456" s="473" t="n"/>
      <c r="M456" s="692" t="n"/>
      <c r="N456" s="693" t="n"/>
      <c r="O456" s="78" t="n"/>
      <c r="P456" s="129" t="n"/>
      <c r="Q456" s="129" t="n"/>
      <c r="R456" s="129" t="n"/>
      <c r="S456" s="129" t="n"/>
      <c r="T456" s="129" t="n"/>
      <c r="U456" s="129" t="n"/>
      <c r="V456" s="129" t="n"/>
      <c r="W456" s="129" t="n"/>
      <c r="X456" s="129" t="n"/>
      <c r="Y456" s="708" t="n"/>
      <c r="Z456" s="709" t="n"/>
      <c r="AA456" s="710" t="n"/>
      <c r="AB456" s="590" t="n"/>
      <c r="AC456" s="591" t="n"/>
      <c r="AD456" s="592" t="n"/>
      <c r="AE456" s="593" t="n"/>
      <c r="AF456" s="594" t="n"/>
      <c r="AG456" s="693" t="n"/>
      <c r="AH456" s="721" t="n"/>
      <c r="AI456" s="721" t="n"/>
      <c r="AJ456" s="688" t="n"/>
      <c r="AK456" s="689" t="n"/>
      <c r="AL456" s="690" t="n"/>
      <c r="AM456" s="691" t="n"/>
      <c r="AN456" s="692" t="n"/>
      <c r="AO456" s="693" t="n"/>
      <c r="AP456" s="693" t="n"/>
      <c r="AQ456" s="693" t="n"/>
      <c r="AR456" s="693" t="n"/>
      <c r="AS456" s="693" t="n"/>
      <c r="AT456" s="693" t="n"/>
      <c r="AU456" s="699" t="n"/>
      <c r="AV456" s="693" t="n"/>
      <c r="AW456" s="693" t="n"/>
      <c r="AX456" s="693" t="n"/>
      <c r="AY456" s="693" t="n"/>
      <c r="AZ456" s="693" t="n"/>
    </row>
    <row r="457">
      <c r="A457" s="688" t="n"/>
      <c r="B457" s="688" t="n"/>
      <c r="C457" s="473" t="n"/>
      <c r="D457" s="688" t="n"/>
      <c r="E457" s="689" t="n"/>
      <c r="F457" s="721" t="n"/>
      <c r="G4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7" s="474">
        <f>G457/#REF!</f>
        <v/>
      </c>
      <c r="I457" s="690" t="n"/>
      <c r="J4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7" s="474">
        <f>J457/#REF!</f>
        <v/>
      </c>
      <c r="L457" s="473" t="n"/>
      <c r="M457" s="692" t="n"/>
      <c r="N457" s="693" t="n"/>
      <c r="O457" s="78" t="n"/>
      <c r="P457" s="129" t="n"/>
      <c r="Q457" s="129" t="n"/>
      <c r="R457" s="129" t="n"/>
      <c r="S457" s="129" t="n"/>
      <c r="T457" s="129" t="n"/>
      <c r="U457" s="129" t="n"/>
      <c r="V457" s="129" t="n"/>
      <c r="W457" s="129" t="n"/>
      <c r="X457" s="129" t="n"/>
      <c r="Y457" s="703" t="n"/>
      <c r="Z457" s="704" t="n"/>
      <c r="AA457" s="705" t="n"/>
      <c r="AB457" s="613" t="n"/>
      <c r="AC457" s="614" t="n"/>
      <c r="AD457" s="628" t="n"/>
      <c r="AE457" s="616" t="n"/>
      <c r="AF457" s="617" t="n"/>
      <c r="AG457" s="693" t="n"/>
      <c r="AH457" s="721" t="n"/>
      <c r="AI457" s="721" t="n"/>
      <c r="AJ457" s="688" t="n"/>
      <c r="AK457" s="689" t="n"/>
      <c r="AL457" s="690" t="n"/>
      <c r="AM457" s="691" t="n"/>
      <c r="AN457" s="692" t="n"/>
      <c r="AO457" s="693" t="n"/>
      <c r="AP457" s="693" t="n"/>
      <c r="AQ457" s="693" t="n"/>
      <c r="AR457" s="693" t="n"/>
      <c r="AS457" s="693" t="n"/>
      <c r="AT457" s="693" t="n"/>
      <c r="AU457" s="699" t="n"/>
      <c r="AV457" s="693" t="n"/>
      <c r="AW457" s="693" t="n"/>
      <c r="AX457" s="693" t="n"/>
      <c r="AY457" s="693" t="n"/>
      <c r="AZ457" s="693" t="n"/>
    </row>
    <row r="458">
      <c r="A458" s="688" t="n"/>
      <c r="B458" s="688" t="n"/>
      <c r="C458" s="473" t="n"/>
      <c r="D458" s="688" t="n"/>
      <c r="E458" s="689" t="n"/>
      <c r="F458" s="721" t="n"/>
      <c r="G4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8" s="474">
        <f>G458/#REF!</f>
        <v/>
      </c>
      <c r="I458" s="690" t="n"/>
      <c r="J4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8" s="474">
        <f>J458/#REF!</f>
        <v/>
      </c>
      <c r="L458" s="473" t="n"/>
      <c r="M458" s="692" t="n"/>
      <c r="N458" s="693" t="n"/>
      <c r="O458" s="78" t="n"/>
      <c r="P458" s="129" t="n"/>
      <c r="Q458" s="129" t="n"/>
      <c r="R458" s="129" t="n"/>
      <c r="S458" s="129" t="n"/>
      <c r="T458" s="129" t="n"/>
      <c r="U458" s="129" t="n"/>
      <c r="V458" s="129" t="n"/>
      <c r="W458" s="129" t="n"/>
      <c r="X458" s="129" t="n"/>
      <c r="Y458" s="708" t="n"/>
      <c r="Z458" s="709" t="n"/>
      <c r="AA458" s="710" t="n"/>
      <c r="AB458" s="590" t="n"/>
      <c r="AC458" s="591" t="n"/>
      <c r="AD458" s="592" t="n"/>
      <c r="AE458" s="593" t="n"/>
      <c r="AF458" s="594" t="n"/>
      <c r="AG458" s="693" t="n"/>
      <c r="AH458" s="721" t="n"/>
      <c r="AI458" s="721" t="n"/>
      <c r="AJ458" s="688" t="n"/>
      <c r="AK458" s="689" t="n"/>
      <c r="AL458" s="690" t="n"/>
      <c r="AM458" s="691" t="n"/>
      <c r="AN458" s="692" t="n"/>
      <c r="AO458" s="693" t="n"/>
      <c r="AP458" s="693" t="n"/>
      <c r="AQ458" s="693" t="n"/>
      <c r="AR458" s="693" t="n"/>
      <c r="AS458" s="693" t="n"/>
      <c r="AT458" s="693" t="n"/>
      <c r="AU458" s="699" t="n"/>
      <c r="AV458" s="693" t="n"/>
      <c r="AW458" s="693" t="n"/>
      <c r="AX458" s="693" t="n"/>
      <c r="AY458" s="693" t="n"/>
      <c r="AZ458" s="693" t="n"/>
    </row>
    <row r="459">
      <c r="A459" s="688" t="n"/>
      <c r="B459" s="688" t="n"/>
      <c r="C459" s="473" t="n"/>
      <c r="D459" s="688" t="n"/>
      <c r="E459" s="689" t="n"/>
      <c r="F459" s="721" t="n"/>
      <c r="G4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59" s="474">
        <f>G459/#REF!</f>
        <v/>
      </c>
      <c r="I459" s="690" t="n"/>
      <c r="J4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59" s="474">
        <f>J459/#REF!</f>
        <v/>
      </c>
      <c r="L459" s="473" t="n"/>
      <c r="M459" s="692" t="n"/>
      <c r="N459" s="693" t="n"/>
      <c r="O459" s="78" t="n"/>
      <c r="P459" s="129" t="n"/>
      <c r="Q459" s="129" t="n"/>
      <c r="R459" s="129" t="n"/>
      <c r="S459" s="129" t="n"/>
      <c r="T459" s="129" t="n"/>
      <c r="U459" s="129" t="n"/>
      <c r="V459" s="129" t="n"/>
      <c r="W459" s="129" t="n"/>
      <c r="X459" s="129" t="n"/>
      <c r="Y459" s="703" t="n"/>
      <c r="Z459" s="704" t="n"/>
      <c r="AA459" s="705" t="n"/>
      <c r="AB459" s="613" t="n"/>
      <c r="AC459" s="614" t="n"/>
      <c r="AD459" s="628" t="n"/>
      <c r="AE459" s="616" t="n"/>
      <c r="AF459" s="617" t="n"/>
      <c r="AG459" s="693" t="n"/>
      <c r="AH459" s="721" t="n"/>
      <c r="AI459" s="721" t="n"/>
      <c r="AJ459" s="688" t="n"/>
      <c r="AK459" s="689" t="n"/>
      <c r="AL459" s="690" t="n"/>
      <c r="AM459" s="691" t="n"/>
      <c r="AN459" s="692" t="n"/>
      <c r="AO459" s="693" t="n"/>
      <c r="AP459" s="693" t="n"/>
      <c r="AQ459" s="693" t="n"/>
      <c r="AR459" s="693" t="n"/>
      <c r="AS459" s="693" t="n"/>
      <c r="AT459" s="693" t="n"/>
      <c r="AU459" s="699" t="n"/>
      <c r="AV459" s="693" t="n"/>
      <c r="AW459" s="693" t="n"/>
      <c r="AX459" s="693" t="n"/>
      <c r="AY459" s="693" t="n"/>
      <c r="AZ459" s="693" t="n"/>
    </row>
    <row r="460">
      <c r="A460" s="688" t="n"/>
      <c r="B460" s="688" t="n"/>
      <c r="C460" s="473" t="n"/>
      <c r="D460" s="688" t="n"/>
      <c r="E460" s="689" t="n"/>
      <c r="F460" s="721" t="n"/>
      <c r="G4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0" s="474">
        <f>G460/#REF!</f>
        <v/>
      </c>
      <c r="I460" s="690" t="n"/>
      <c r="J4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0" s="474">
        <f>J460/#REF!</f>
        <v/>
      </c>
      <c r="L460" s="473" t="n"/>
      <c r="M460" s="692" t="n"/>
      <c r="N460" s="693" t="n"/>
      <c r="O460" s="78" t="n"/>
      <c r="P460" s="129" t="n"/>
      <c r="Q460" s="129" t="n"/>
      <c r="R460" s="129" t="n"/>
      <c r="S460" s="129" t="n"/>
      <c r="T460" s="129" t="n"/>
      <c r="U460" s="129" t="n"/>
      <c r="V460" s="129" t="n"/>
      <c r="W460" s="129" t="n"/>
      <c r="X460" s="129" t="n"/>
      <c r="Y460" s="708" t="n"/>
      <c r="Z460" s="709" t="n"/>
      <c r="AA460" s="710" t="n"/>
      <c r="AB460" s="590" t="n"/>
      <c r="AC460" s="591" t="n"/>
      <c r="AD460" s="592" t="n"/>
      <c r="AE460" s="593" t="n"/>
      <c r="AF460" s="594" t="n"/>
      <c r="AG460" s="693" t="n"/>
      <c r="AH460" s="721" t="n"/>
      <c r="AI460" s="721" t="n"/>
      <c r="AJ460" s="688" t="n"/>
      <c r="AK460" s="689" t="n"/>
      <c r="AL460" s="690" t="n"/>
      <c r="AM460" s="691" t="n"/>
      <c r="AN460" s="692" t="n"/>
      <c r="AO460" s="693" t="n"/>
      <c r="AP460" s="693" t="n"/>
      <c r="AQ460" s="693" t="n"/>
      <c r="AR460" s="693" t="n"/>
      <c r="AS460" s="693" t="n"/>
      <c r="AT460" s="693" t="n"/>
      <c r="AU460" s="699" t="n"/>
      <c r="AV460" s="693" t="n"/>
      <c r="AW460" s="693" t="n"/>
      <c r="AX460" s="693" t="n"/>
      <c r="AY460" s="693" t="n"/>
      <c r="AZ460" s="693" t="n"/>
    </row>
    <row r="461">
      <c r="A461" s="688" t="n"/>
      <c r="B461" s="688" t="n"/>
      <c r="C461" s="473" t="n"/>
      <c r="D461" s="688" t="n"/>
      <c r="E461" s="689" t="n"/>
      <c r="F461" s="721" t="n"/>
      <c r="G4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1" s="474">
        <f>G461/#REF!</f>
        <v/>
      </c>
      <c r="I461" s="690" t="n"/>
      <c r="J4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1" s="474">
        <f>J461/#REF!</f>
        <v/>
      </c>
      <c r="L461" s="473" t="n"/>
      <c r="M461" s="692" t="n"/>
      <c r="N461" s="693" t="n"/>
      <c r="O461" s="78" t="n"/>
      <c r="P461" s="129" t="n"/>
      <c r="Q461" s="129" t="n"/>
      <c r="R461" s="129" t="n"/>
      <c r="S461" s="129" t="n"/>
      <c r="T461" s="129" t="n"/>
      <c r="U461" s="129" t="n"/>
      <c r="V461" s="129" t="n"/>
      <c r="W461" s="129" t="n"/>
      <c r="X461" s="129" t="n"/>
      <c r="Y461" s="703" t="n"/>
      <c r="Z461" s="704" t="n"/>
      <c r="AA461" s="705" t="n"/>
      <c r="AB461" s="613" t="n"/>
      <c r="AC461" s="614" t="n"/>
      <c r="AD461" s="628" t="n"/>
      <c r="AE461" s="616" t="n"/>
      <c r="AF461" s="617" t="n"/>
      <c r="AG461" s="693" t="n"/>
      <c r="AH461" s="721" t="n"/>
      <c r="AI461" s="721" t="n"/>
      <c r="AJ461" s="688" t="n"/>
      <c r="AK461" s="689" t="n"/>
      <c r="AL461" s="690" t="n"/>
      <c r="AM461" s="691" t="n"/>
      <c r="AN461" s="692" t="n"/>
      <c r="AO461" s="693" t="n"/>
      <c r="AP461" s="693" t="n"/>
      <c r="AQ461" s="693" t="n"/>
      <c r="AR461" s="693" t="n"/>
      <c r="AS461" s="693" t="n"/>
      <c r="AT461" s="693" t="n"/>
      <c r="AU461" s="699" t="n"/>
      <c r="AV461" s="693" t="n"/>
      <c r="AW461" s="693" t="n"/>
      <c r="AX461" s="693" t="n"/>
      <c r="AY461" s="693" t="n"/>
      <c r="AZ461" s="693" t="n"/>
    </row>
    <row r="462">
      <c r="A462" s="688" t="n"/>
      <c r="B462" s="688" t="n"/>
      <c r="C462" s="473" t="n"/>
      <c r="D462" s="688" t="n"/>
      <c r="E462" s="689" t="n"/>
      <c r="F462" s="721" t="n"/>
      <c r="G4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2" s="474">
        <f>G462/#REF!</f>
        <v/>
      </c>
      <c r="I462" s="690" t="n"/>
      <c r="J4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2" s="474">
        <f>J462/#REF!</f>
        <v/>
      </c>
      <c r="L462" s="473" t="n"/>
      <c r="M462" s="692" t="n"/>
      <c r="N462" s="693" t="n"/>
      <c r="O462" s="78" t="n"/>
      <c r="P462" s="129" t="n"/>
      <c r="Q462" s="129" t="n"/>
      <c r="R462" s="129" t="n"/>
      <c r="S462" s="129" t="n"/>
      <c r="T462" s="129" t="n"/>
      <c r="U462" s="129" t="n"/>
      <c r="V462" s="129" t="n"/>
      <c r="W462" s="129" t="n"/>
      <c r="X462" s="129" t="n"/>
      <c r="Y462" s="708" t="n"/>
      <c r="Z462" s="709" t="n"/>
      <c r="AA462" s="710" t="n"/>
      <c r="AB462" s="590" t="n"/>
      <c r="AC462" s="591" t="n"/>
      <c r="AD462" s="592" t="n"/>
      <c r="AE462" s="593" t="n"/>
      <c r="AF462" s="594" t="n"/>
      <c r="AG462" s="693" t="n"/>
      <c r="AH462" s="721" t="n"/>
      <c r="AI462" s="721" t="n"/>
      <c r="AJ462" s="688" t="n"/>
      <c r="AK462" s="689" t="n"/>
      <c r="AL462" s="690" t="n"/>
      <c r="AM462" s="691" t="n"/>
      <c r="AN462" s="692" t="n"/>
      <c r="AO462" s="693" t="n"/>
      <c r="AP462" s="693" t="n"/>
      <c r="AQ462" s="693" t="n"/>
      <c r="AR462" s="693" t="n"/>
      <c r="AS462" s="693" t="n"/>
      <c r="AT462" s="693" t="n"/>
      <c r="AU462" s="699" t="n"/>
      <c r="AV462" s="693" t="n"/>
      <c r="AW462" s="693" t="n"/>
      <c r="AX462" s="693" t="n"/>
      <c r="AY462" s="693" t="n"/>
      <c r="AZ462" s="693" t="n"/>
    </row>
    <row r="463">
      <c r="A463" s="688" t="n"/>
      <c r="B463" s="688" t="n"/>
      <c r="C463" s="473" t="n"/>
      <c r="D463" s="688" t="n"/>
      <c r="E463" s="689" t="n"/>
      <c r="F463" s="721" t="n"/>
      <c r="G4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3" s="474">
        <f>G463/#REF!</f>
        <v/>
      </c>
      <c r="I463" s="690" t="n"/>
      <c r="J4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3" s="474">
        <f>J463/#REF!</f>
        <v/>
      </c>
      <c r="L463" s="473" t="n"/>
      <c r="M463" s="692" t="n"/>
      <c r="N463" s="693" t="n"/>
      <c r="O463" s="78" t="n"/>
      <c r="P463" s="129" t="n"/>
      <c r="Q463" s="129" t="n"/>
      <c r="R463" s="129" t="n"/>
      <c r="S463" s="129" t="n"/>
      <c r="T463" s="129" t="n"/>
      <c r="U463" s="129" t="n"/>
      <c r="V463" s="129" t="n"/>
      <c r="W463" s="129" t="n"/>
      <c r="X463" s="129" t="n"/>
      <c r="Y463" s="703" t="n"/>
      <c r="Z463" s="704" t="n"/>
      <c r="AA463" s="705" t="n"/>
      <c r="AB463" s="613" t="n"/>
      <c r="AC463" s="614" t="n"/>
      <c r="AD463" s="628" t="n"/>
      <c r="AE463" s="616" t="n"/>
      <c r="AF463" s="617" t="n"/>
      <c r="AG463" s="693" t="n"/>
      <c r="AH463" s="721" t="n"/>
      <c r="AI463" s="721" t="n"/>
      <c r="AJ463" s="688" t="n"/>
      <c r="AK463" s="689" t="n"/>
      <c r="AL463" s="690" t="n"/>
      <c r="AM463" s="691" t="n"/>
      <c r="AN463" s="692" t="n"/>
      <c r="AO463" s="693" t="n"/>
      <c r="AP463" s="693" t="n"/>
      <c r="AQ463" s="693" t="n"/>
      <c r="AR463" s="693" t="n"/>
      <c r="AS463" s="693" t="n"/>
      <c r="AT463" s="693" t="n"/>
      <c r="AU463" s="699" t="n"/>
      <c r="AV463" s="693" t="n"/>
      <c r="AW463" s="693" t="n"/>
      <c r="AX463" s="693" t="n"/>
      <c r="AY463" s="693" t="n"/>
      <c r="AZ463" s="693" t="n"/>
    </row>
    <row r="464">
      <c r="A464" s="688" t="n"/>
      <c r="B464" s="688" t="n"/>
      <c r="C464" s="473" t="n"/>
      <c r="D464" s="688" t="n"/>
      <c r="E464" s="689" t="n"/>
      <c r="F464" s="721" t="n"/>
      <c r="G4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4" s="474">
        <f>G464/#REF!</f>
        <v/>
      </c>
      <c r="I464" s="690" t="n"/>
      <c r="J4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4" s="474">
        <f>J464/#REF!</f>
        <v/>
      </c>
      <c r="L464" s="473" t="n"/>
      <c r="M464" s="692" t="n"/>
      <c r="N464" s="693" t="n"/>
      <c r="O464" s="78" t="n"/>
      <c r="P464" s="129" t="n"/>
      <c r="Q464" s="129" t="n"/>
      <c r="R464" s="129" t="n"/>
      <c r="S464" s="129" t="n"/>
      <c r="T464" s="129" t="n"/>
      <c r="U464" s="129" t="n"/>
      <c r="V464" s="129" t="n"/>
      <c r="W464" s="129" t="n"/>
      <c r="X464" s="129" t="n"/>
      <c r="Y464" s="708" t="n"/>
      <c r="Z464" s="709" t="n"/>
      <c r="AA464" s="710" t="n"/>
      <c r="AB464" s="590" t="n"/>
      <c r="AC464" s="591" t="n"/>
      <c r="AD464" s="592" t="n"/>
      <c r="AE464" s="593" t="n"/>
      <c r="AF464" s="594" t="n"/>
      <c r="AG464" s="693" t="n"/>
      <c r="AH464" s="721" t="n"/>
      <c r="AI464" s="721" t="n"/>
      <c r="AJ464" s="688" t="n"/>
      <c r="AK464" s="689" t="n"/>
      <c r="AL464" s="690" t="n"/>
      <c r="AM464" s="691" t="n"/>
      <c r="AN464" s="692" t="n"/>
      <c r="AO464" s="693" t="n"/>
      <c r="AP464" s="693" t="n"/>
      <c r="AQ464" s="693" t="n"/>
      <c r="AR464" s="693" t="n"/>
      <c r="AS464" s="693" t="n"/>
      <c r="AT464" s="693" t="n"/>
      <c r="AU464" s="699" t="n"/>
      <c r="AV464" s="693" t="n"/>
      <c r="AW464" s="693" t="n"/>
      <c r="AX464" s="693" t="n"/>
      <c r="AY464" s="693" t="n"/>
      <c r="AZ464" s="693" t="n"/>
    </row>
    <row r="465">
      <c r="A465" s="688" t="n"/>
      <c r="B465" s="688" t="n"/>
      <c r="C465" s="473" t="n"/>
      <c r="D465" s="688" t="n"/>
      <c r="E465" s="689" t="n"/>
      <c r="F465" s="721" t="n"/>
      <c r="G4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5" s="474">
        <f>G465/#REF!</f>
        <v/>
      </c>
      <c r="I465" s="690" t="n"/>
      <c r="J4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5" s="474">
        <f>J465/#REF!</f>
        <v/>
      </c>
      <c r="L465" s="473" t="n"/>
      <c r="M465" s="692" t="n"/>
      <c r="N465" s="693" t="n"/>
      <c r="O465" s="78" t="n"/>
      <c r="P465" s="129" t="n"/>
      <c r="Q465" s="129" t="n"/>
      <c r="R465" s="129" t="n"/>
      <c r="S465" s="129" t="n"/>
      <c r="T465" s="129" t="n"/>
      <c r="U465" s="129" t="n"/>
      <c r="V465" s="129" t="n"/>
      <c r="W465" s="129" t="n"/>
      <c r="X465" s="129" t="n"/>
      <c r="Y465" s="703" t="n"/>
      <c r="Z465" s="704" t="n"/>
      <c r="AA465" s="705" t="n"/>
      <c r="AB465" s="613" t="n"/>
      <c r="AC465" s="614" t="n"/>
      <c r="AD465" s="628" t="n"/>
      <c r="AE465" s="616" t="n"/>
      <c r="AF465" s="617" t="n"/>
      <c r="AG465" s="693" t="n"/>
      <c r="AH465" s="721" t="n"/>
      <c r="AI465" s="721" t="n"/>
      <c r="AJ465" s="688" t="n"/>
      <c r="AK465" s="689" t="n"/>
      <c r="AL465" s="690" t="n"/>
      <c r="AM465" s="691" t="n"/>
      <c r="AN465" s="692" t="n"/>
      <c r="AO465" s="693" t="n"/>
      <c r="AP465" s="693" t="n"/>
      <c r="AQ465" s="693" t="n"/>
      <c r="AR465" s="693" t="n"/>
      <c r="AS465" s="693" t="n"/>
      <c r="AT465" s="693" t="n"/>
      <c r="AU465" s="699" t="n"/>
      <c r="AV465" s="693" t="n"/>
      <c r="AW465" s="693" t="n"/>
      <c r="AX465" s="693" t="n"/>
      <c r="AY465" s="693" t="n"/>
      <c r="AZ465" s="693" t="n"/>
    </row>
    <row r="466">
      <c r="A466" s="688" t="n"/>
      <c r="B466" s="688" t="n"/>
      <c r="C466" s="473" t="n"/>
      <c r="D466" s="688" t="n"/>
      <c r="E466" s="689" t="n"/>
      <c r="F466" s="721" t="n"/>
      <c r="G4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6" s="474">
        <f>G466/#REF!</f>
        <v/>
      </c>
      <c r="I466" s="690" t="n"/>
      <c r="J4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6" s="474">
        <f>J466/#REF!</f>
        <v/>
      </c>
      <c r="L466" s="473" t="n"/>
      <c r="M466" s="692" t="n"/>
      <c r="N466" s="693" t="n"/>
      <c r="O466" s="78" t="n"/>
      <c r="P466" s="129" t="n"/>
      <c r="Q466" s="129" t="n"/>
      <c r="R466" s="129" t="n"/>
      <c r="S466" s="129" t="n"/>
      <c r="T466" s="129" t="n"/>
      <c r="U466" s="129" t="n"/>
      <c r="V466" s="129" t="n"/>
      <c r="W466" s="129" t="n"/>
      <c r="X466" s="129" t="n"/>
      <c r="Y466" s="708" t="n"/>
      <c r="Z466" s="709" t="n"/>
      <c r="AA466" s="710" t="n"/>
      <c r="AB466" s="590" t="n"/>
      <c r="AC466" s="591" t="n"/>
      <c r="AD466" s="592" t="n"/>
      <c r="AE466" s="593" t="n"/>
      <c r="AF466" s="594" t="n"/>
      <c r="AG466" s="693" t="n"/>
      <c r="AH466" s="721" t="n"/>
      <c r="AI466" s="721" t="n"/>
      <c r="AJ466" s="688" t="n"/>
      <c r="AK466" s="689" t="n"/>
      <c r="AL466" s="690" t="n"/>
      <c r="AM466" s="691" t="n"/>
      <c r="AN466" s="692" t="n"/>
      <c r="AO466" s="693" t="n"/>
      <c r="AP466" s="693" t="n"/>
      <c r="AQ466" s="693" t="n"/>
      <c r="AR466" s="693" t="n"/>
      <c r="AS466" s="693" t="n"/>
      <c r="AT466" s="693" t="n"/>
      <c r="AU466" s="699" t="n"/>
      <c r="AV466" s="693" t="n"/>
      <c r="AW466" s="693" t="n"/>
      <c r="AX466" s="693" t="n"/>
      <c r="AY466" s="693" t="n"/>
      <c r="AZ466" s="693" t="n"/>
    </row>
    <row r="467">
      <c r="A467" s="688" t="n"/>
      <c r="B467" s="688" t="n"/>
      <c r="C467" s="473" t="n"/>
      <c r="D467" s="688" t="n"/>
      <c r="E467" s="689" t="n"/>
      <c r="F467" s="721" t="n"/>
      <c r="G4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7" s="474">
        <f>G467/#REF!</f>
        <v/>
      </c>
      <c r="I467" s="690" t="n"/>
      <c r="J4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7" s="474">
        <f>J467/#REF!</f>
        <v/>
      </c>
      <c r="L467" s="473" t="n"/>
      <c r="M467" s="692" t="n"/>
      <c r="N467" s="693" t="n"/>
      <c r="O467" s="78" t="n"/>
      <c r="P467" s="129" t="n"/>
      <c r="Q467" s="129" t="n"/>
      <c r="R467" s="129" t="n"/>
      <c r="S467" s="129" t="n"/>
      <c r="T467" s="129" t="n"/>
      <c r="U467" s="129" t="n"/>
      <c r="V467" s="129" t="n"/>
      <c r="W467" s="129" t="n"/>
      <c r="X467" s="129" t="n"/>
      <c r="Y467" s="703" t="n"/>
      <c r="Z467" s="704" t="n"/>
      <c r="AA467" s="705" t="n"/>
      <c r="AB467" s="613" t="n"/>
      <c r="AC467" s="614" t="n"/>
      <c r="AD467" s="628" t="n"/>
      <c r="AE467" s="616" t="n"/>
      <c r="AF467" s="617" t="n"/>
      <c r="AG467" s="693" t="n"/>
      <c r="AH467" s="721" t="n"/>
      <c r="AI467" s="721" t="n"/>
      <c r="AJ467" s="688" t="n"/>
      <c r="AK467" s="689" t="n"/>
      <c r="AL467" s="690" t="n"/>
      <c r="AM467" s="691" t="n"/>
      <c r="AN467" s="692" t="n"/>
      <c r="AO467" s="693" t="n"/>
      <c r="AP467" s="693" t="n"/>
      <c r="AQ467" s="693" t="n"/>
      <c r="AR467" s="693" t="n"/>
      <c r="AS467" s="693" t="n"/>
      <c r="AT467" s="693" t="n"/>
      <c r="AU467" s="699" t="n"/>
      <c r="AV467" s="693" t="n"/>
      <c r="AW467" s="693" t="n"/>
      <c r="AX467" s="693" t="n"/>
      <c r="AY467" s="693" t="n"/>
      <c r="AZ467" s="693" t="n"/>
    </row>
    <row r="468">
      <c r="A468" s="688" t="n"/>
      <c r="B468" s="688" t="n"/>
      <c r="C468" s="473" t="n"/>
      <c r="D468" s="688" t="n"/>
      <c r="E468" s="689" t="n"/>
      <c r="F468" s="721" t="n"/>
      <c r="G4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8" s="474">
        <f>G468/#REF!</f>
        <v/>
      </c>
      <c r="I468" s="690" t="n"/>
      <c r="J4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8" s="474">
        <f>J468/#REF!</f>
        <v/>
      </c>
      <c r="L468" s="473" t="n"/>
      <c r="M468" s="692" t="n"/>
      <c r="N468" s="693" t="n"/>
      <c r="O468" s="78" t="n"/>
      <c r="P468" s="129" t="n"/>
      <c r="Q468" s="129" t="n"/>
      <c r="R468" s="129" t="n"/>
      <c r="S468" s="129" t="n"/>
      <c r="T468" s="129" t="n"/>
      <c r="U468" s="129" t="n"/>
      <c r="V468" s="129" t="n"/>
      <c r="W468" s="129" t="n"/>
      <c r="X468" s="129" t="n"/>
      <c r="Y468" s="708" t="n"/>
      <c r="Z468" s="709" t="n"/>
      <c r="AA468" s="710" t="n"/>
      <c r="AB468" s="590" t="n"/>
      <c r="AC468" s="591" t="n"/>
      <c r="AD468" s="592" t="n"/>
      <c r="AE468" s="593" t="n"/>
      <c r="AF468" s="594" t="n"/>
      <c r="AG468" s="693" t="n"/>
      <c r="AH468" s="721" t="n"/>
      <c r="AI468" s="721" t="n"/>
      <c r="AJ468" s="688" t="n"/>
      <c r="AK468" s="689" t="n"/>
      <c r="AL468" s="690" t="n"/>
      <c r="AM468" s="691" t="n"/>
      <c r="AN468" s="692" t="n"/>
      <c r="AO468" s="693" t="n"/>
      <c r="AP468" s="693" t="n"/>
      <c r="AQ468" s="693" t="n"/>
      <c r="AR468" s="693" t="n"/>
      <c r="AS468" s="693" t="n"/>
      <c r="AT468" s="693" t="n"/>
      <c r="AU468" s="699" t="n"/>
      <c r="AV468" s="693" t="n"/>
      <c r="AW468" s="693" t="n"/>
      <c r="AX468" s="693" t="n"/>
      <c r="AY468" s="693" t="n"/>
      <c r="AZ468" s="693" t="n"/>
    </row>
    <row r="469">
      <c r="A469" s="688" t="n"/>
      <c r="B469" s="688" t="n"/>
      <c r="C469" s="473" t="n"/>
      <c r="D469" s="688" t="n"/>
      <c r="E469" s="689" t="n"/>
      <c r="F469" s="721" t="n"/>
      <c r="G4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69" s="474">
        <f>G469/#REF!</f>
        <v/>
      </c>
      <c r="I469" s="690" t="n"/>
      <c r="J4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69" s="474">
        <f>J469/#REF!</f>
        <v/>
      </c>
      <c r="L469" s="473" t="n"/>
      <c r="M469" s="692" t="n"/>
      <c r="N469" s="693" t="n"/>
      <c r="O469" s="78" t="n"/>
      <c r="P469" s="129" t="n"/>
      <c r="Q469" s="129" t="n"/>
      <c r="R469" s="129" t="n"/>
      <c r="S469" s="129" t="n"/>
      <c r="T469" s="129" t="n"/>
      <c r="U469" s="129" t="n"/>
      <c r="V469" s="129" t="n"/>
      <c r="W469" s="129" t="n"/>
      <c r="X469" s="129" t="n"/>
      <c r="Y469" s="703" t="n"/>
      <c r="Z469" s="704" t="n"/>
      <c r="AA469" s="705" t="n"/>
      <c r="AB469" s="613" t="n"/>
      <c r="AC469" s="614" t="n"/>
      <c r="AD469" s="628" t="n"/>
      <c r="AE469" s="616" t="n"/>
      <c r="AF469" s="617" t="n"/>
      <c r="AG469" s="693" t="n"/>
      <c r="AH469" s="721" t="n"/>
      <c r="AI469" s="721" t="n"/>
      <c r="AJ469" s="688" t="n"/>
      <c r="AK469" s="689" t="n"/>
      <c r="AL469" s="690" t="n"/>
      <c r="AM469" s="691" t="n"/>
      <c r="AN469" s="692" t="n"/>
      <c r="AO469" s="693" t="n"/>
      <c r="AP469" s="693" t="n"/>
      <c r="AQ469" s="693" t="n"/>
      <c r="AR469" s="693" t="n"/>
      <c r="AS469" s="693" t="n"/>
      <c r="AT469" s="693" t="n"/>
      <c r="AU469" s="699" t="n"/>
      <c r="AV469" s="693" t="n"/>
      <c r="AW469" s="693" t="n"/>
      <c r="AX469" s="693" t="n"/>
      <c r="AY469" s="693" t="n"/>
      <c r="AZ469" s="693" t="n"/>
    </row>
    <row r="470">
      <c r="A470" s="688" t="n"/>
      <c r="B470" s="688" t="n"/>
      <c r="C470" s="473" t="n"/>
      <c r="D470" s="688" t="n"/>
      <c r="E470" s="689" t="n"/>
      <c r="F470" s="721" t="n"/>
      <c r="G4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0" s="474">
        <f>G470/#REF!</f>
        <v/>
      </c>
      <c r="I470" s="690" t="n"/>
      <c r="J4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0" s="474">
        <f>J470/#REF!</f>
        <v/>
      </c>
      <c r="L470" s="473" t="n"/>
      <c r="M470" s="692" t="n"/>
      <c r="N470" s="693" t="n"/>
      <c r="O470" s="78" t="n"/>
      <c r="P470" s="129" t="n"/>
      <c r="Q470" s="129" t="n"/>
      <c r="R470" s="129" t="n"/>
      <c r="S470" s="129" t="n"/>
      <c r="T470" s="129" t="n"/>
      <c r="U470" s="129" t="n"/>
      <c r="V470" s="129" t="n"/>
      <c r="W470" s="129" t="n"/>
      <c r="X470" s="129" t="n"/>
      <c r="Y470" s="708" t="n"/>
      <c r="Z470" s="709" t="n"/>
      <c r="AA470" s="710" t="n"/>
      <c r="AB470" s="590" t="n"/>
      <c r="AC470" s="591" t="n"/>
      <c r="AD470" s="592" t="n"/>
      <c r="AE470" s="593" t="n"/>
      <c r="AF470" s="594" t="n"/>
      <c r="AG470" s="693" t="n"/>
      <c r="AH470" s="721" t="n"/>
      <c r="AI470" s="721" t="n"/>
      <c r="AJ470" s="688" t="n"/>
      <c r="AK470" s="689" t="n"/>
      <c r="AL470" s="690" t="n"/>
      <c r="AM470" s="691" t="n"/>
      <c r="AN470" s="692" t="n"/>
      <c r="AO470" s="693" t="n"/>
      <c r="AP470" s="693" t="n"/>
      <c r="AQ470" s="693" t="n"/>
      <c r="AR470" s="693" t="n"/>
      <c r="AS470" s="693" t="n"/>
      <c r="AT470" s="693" t="n"/>
      <c r="AU470" s="699" t="n"/>
      <c r="AV470" s="693" t="n"/>
      <c r="AW470" s="693" t="n"/>
      <c r="AX470" s="693" t="n"/>
      <c r="AY470" s="693" t="n"/>
      <c r="AZ470" s="693" t="n"/>
    </row>
    <row r="471">
      <c r="A471" s="688" t="n"/>
      <c r="B471" s="688" t="n"/>
      <c r="C471" s="473" t="n"/>
      <c r="D471" s="688" t="n"/>
      <c r="E471" s="689" t="n"/>
      <c r="F471" s="721" t="n"/>
      <c r="G4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1" s="474">
        <f>G471/#REF!</f>
        <v/>
      </c>
      <c r="I471" s="690" t="n"/>
      <c r="J4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1" s="474">
        <f>J471/#REF!</f>
        <v/>
      </c>
      <c r="L471" s="473" t="n"/>
      <c r="M471" s="692" t="n"/>
      <c r="N471" s="693" t="n"/>
      <c r="O471" s="78" t="n"/>
      <c r="P471" s="129" t="n"/>
      <c r="Q471" s="129" t="n"/>
      <c r="R471" s="129" t="n"/>
      <c r="S471" s="129" t="n"/>
      <c r="T471" s="129" t="n"/>
      <c r="U471" s="129" t="n"/>
      <c r="V471" s="129" t="n"/>
      <c r="W471" s="129" t="n"/>
      <c r="X471" s="129" t="n"/>
      <c r="Y471" s="703" t="n"/>
      <c r="Z471" s="704" t="n"/>
      <c r="AA471" s="705" t="n"/>
      <c r="AB471" s="613" t="n"/>
      <c r="AC471" s="614" t="n"/>
      <c r="AD471" s="628" t="n"/>
      <c r="AE471" s="616" t="n"/>
      <c r="AF471" s="617" t="n"/>
      <c r="AG471" s="693" t="n"/>
      <c r="AH471" s="721" t="n"/>
      <c r="AI471" s="721" t="n"/>
      <c r="AJ471" s="688" t="n"/>
      <c r="AK471" s="689" t="n"/>
      <c r="AL471" s="690" t="n"/>
      <c r="AM471" s="691" t="n"/>
      <c r="AN471" s="692" t="n"/>
      <c r="AO471" s="693" t="n"/>
      <c r="AP471" s="693" t="n"/>
      <c r="AQ471" s="693" t="n"/>
      <c r="AR471" s="693" t="n"/>
      <c r="AS471" s="693" t="n"/>
      <c r="AT471" s="693" t="n"/>
      <c r="AU471" s="699" t="n"/>
      <c r="AV471" s="693" t="n"/>
      <c r="AW471" s="693" t="n"/>
      <c r="AX471" s="693" t="n"/>
      <c r="AY471" s="693" t="n"/>
      <c r="AZ471" s="693" t="n"/>
    </row>
    <row r="472">
      <c r="A472" s="688" t="n"/>
      <c r="B472" s="688" t="n"/>
      <c r="C472" s="473" t="n"/>
      <c r="D472" s="688" t="n"/>
      <c r="E472" s="689" t="n"/>
      <c r="F472" s="721" t="n"/>
      <c r="G4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2" s="474">
        <f>G472/#REF!</f>
        <v/>
      </c>
      <c r="I472" s="690" t="n"/>
      <c r="J4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2" s="474">
        <f>J472/#REF!</f>
        <v/>
      </c>
      <c r="L472" s="473" t="n"/>
      <c r="M472" s="692" t="n"/>
      <c r="N472" s="693" t="n"/>
      <c r="O472" s="78" t="n"/>
      <c r="P472" s="129" t="n"/>
      <c r="Q472" s="129" t="n"/>
      <c r="R472" s="129" t="n"/>
      <c r="S472" s="129" t="n"/>
      <c r="T472" s="129" t="n"/>
      <c r="U472" s="129" t="n"/>
      <c r="V472" s="129" t="n"/>
      <c r="W472" s="129" t="n"/>
      <c r="X472" s="129" t="n"/>
      <c r="Y472" s="708" t="n"/>
      <c r="Z472" s="709" t="n"/>
      <c r="AA472" s="710" t="n"/>
      <c r="AB472" s="590" t="n"/>
      <c r="AC472" s="591" t="n"/>
      <c r="AD472" s="592" t="n"/>
      <c r="AE472" s="593" t="n"/>
      <c r="AF472" s="594" t="n"/>
      <c r="AG472" s="693" t="n"/>
      <c r="AH472" s="721" t="n"/>
      <c r="AI472" s="721" t="n"/>
      <c r="AJ472" s="688" t="n"/>
      <c r="AK472" s="689" t="n"/>
      <c r="AL472" s="690" t="n"/>
      <c r="AM472" s="691" t="n"/>
      <c r="AN472" s="692" t="n"/>
      <c r="AO472" s="693" t="n"/>
      <c r="AP472" s="693" t="n"/>
      <c r="AQ472" s="693" t="n"/>
      <c r="AR472" s="693" t="n"/>
      <c r="AS472" s="693" t="n"/>
      <c r="AT472" s="693" t="n"/>
      <c r="AU472" s="699" t="n"/>
      <c r="AV472" s="693" t="n"/>
      <c r="AW472" s="693" t="n"/>
      <c r="AX472" s="693" t="n"/>
      <c r="AY472" s="693" t="n"/>
      <c r="AZ472" s="693" t="n"/>
    </row>
    <row r="473">
      <c r="A473" s="688" t="n"/>
      <c r="B473" s="688" t="n"/>
      <c r="C473" s="473" t="n"/>
      <c r="D473" s="688" t="n"/>
      <c r="E473" s="689" t="n"/>
      <c r="F473" s="721" t="n"/>
      <c r="G4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3" s="474">
        <f>G473/#REF!</f>
        <v/>
      </c>
      <c r="I473" s="690" t="n"/>
      <c r="J4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3" s="474">
        <f>J473/#REF!</f>
        <v/>
      </c>
      <c r="L473" s="473" t="n"/>
      <c r="M473" s="692" t="n"/>
      <c r="N473" s="693" t="n"/>
      <c r="O473" s="78" t="n"/>
      <c r="P473" s="129" t="n"/>
      <c r="Q473" s="129" t="n"/>
      <c r="R473" s="129" t="n"/>
      <c r="S473" s="129" t="n"/>
      <c r="T473" s="129" t="n"/>
      <c r="U473" s="129" t="n"/>
      <c r="V473" s="129" t="n"/>
      <c r="W473" s="129" t="n"/>
      <c r="X473" s="129" t="n"/>
      <c r="Y473" s="703" t="n"/>
      <c r="Z473" s="704" t="n"/>
      <c r="AA473" s="705" t="n"/>
      <c r="AB473" s="613" t="n"/>
      <c r="AC473" s="614" t="n"/>
      <c r="AD473" s="628" t="n"/>
      <c r="AE473" s="616" t="n"/>
      <c r="AF473" s="617" t="n"/>
      <c r="AG473" s="693" t="n"/>
      <c r="AH473" s="721" t="n"/>
      <c r="AI473" s="721" t="n"/>
      <c r="AJ473" s="688" t="n"/>
      <c r="AK473" s="689" t="n"/>
      <c r="AL473" s="690" t="n"/>
      <c r="AM473" s="691" t="n"/>
      <c r="AN473" s="692" t="n"/>
      <c r="AO473" s="693" t="n"/>
      <c r="AP473" s="693" t="n"/>
      <c r="AQ473" s="693" t="n"/>
      <c r="AR473" s="693" t="n"/>
      <c r="AS473" s="693" t="n"/>
      <c r="AT473" s="693" t="n"/>
      <c r="AU473" s="699" t="n"/>
      <c r="AV473" s="693" t="n"/>
      <c r="AW473" s="693" t="n"/>
      <c r="AX473" s="693" t="n"/>
      <c r="AY473" s="693" t="n"/>
      <c r="AZ473" s="693" t="n"/>
    </row>
    <row r="474">
      <c r="A474" s="688" t="n"/>
      <c r="B474" s="688" t="n"/>
      <c r="C474" s="473" t="n"/>
      <c r="D474" s="688" t="n"/>
      <c r="E474" s="689" t="n"/>
      <c r="F474" s="721" t="n"/>
      <c r="G4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4" s="474">
        <f>G474/#REF!</f>
        <v/>
      </c>
      <c r="I474" s="690" t="n"/>
      <c r="J4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4" s="474">
        <f>J474/#REF!</f>
        <v/>
      </c>
      <c r="L474" s="473" t="n"/>
      <c r="M474" s="692" t="n"/>
      <c r="N474" s="693" t="n"/>
      <c r="O474" s="78" t="n"/>
      <c r="P474" s="129" t="n"/>
      <c r="Q474" s="129" t="n"/>
      <c r="R474" s="129" t="n"/>
      <c r="S474" s="129" t="n"/>
      <c r="T474" s="129" t="n"/>
      <c r="U474" s="129" t="n"/>
      <c r="V474" s="129" t="n"/>
      <c r="W474" s="129" t="n"/>
      <c r="X474" s="129" t="n"/>
      <c r="Y474" s="708" t="n"/>
      <c r="Z474" s="709" t="n"/>
      <c r="AA474" s="710" t="n"/>
      <c r="AB474" s="590" t="n"/>
      <c r="AC474" s="591" t="n"/>
      <c r="AD474" s="592" t="n"/>
      <c r="AE474" s="593" t="n"/>
      <c r="AF474" s="594" t="n"/>
      <c r="AG474" s="693" t="n"/>
      <c r="AH474" s="721" t="n"/>
      <c r="AI474" s="721" t="n"/>
      <c r="AJ474" s="688" t="n"/>
      <c r="AK474" s="689" t="n"/>
      <c r="AL474" s="690" t="n"/>
      <c r="AM474" s="691" t="n"/>
      <c r="AN474" s="692" t="n"/>
      <c r="AO474" s="693" t="n"/>
      <c r="AP474" s="693" t="n"/>
      <c r="AQ474" s="693" t="n"/>
      <c r="AR474" s="693" t="n"/>
      <c r="AS474" s="693" t="n"/>
      <c r="AT474" s="693" t="n"/>
      <c r="AU474" s="699" t="n"/>
      <c r="AV474" s="693" t="n"/>
      <c r="AW474" s="693" t="n"/>
      <c r="AX474" s="693" t="n"/>
      <c r="AY474" s="693" t="n"/>
      <c r="AZ474" s="693" t="n"/>
    </row>
    <row r="475">
      <c r="A475" s="688" t="n"/>
      <c r="B475" s="688" t="n"/>
      <c r="C475" s="473" t="n"/>
      <c r="D475" s="688" t="n"/>
      <c r="E475" s="689" t="n"/>
      <c r="F475" s="721" t="n"/>
      <c r="G4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5" s="474">
        <f>G475/#REF!</f>
        <v/>
      </c>
      <c r="I475" s="690" t="n"/>
      <c r="J4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5" s="474">
        <f>J475/#REF!</f>
        <v/>
      </c>
      <c r="L475" s="473" t="n"/>
      <c r="M475" s="692" t="n"/>
      <c r="N475" s="693" t="n"/>
      <c r="O475" s="78" t="n"/>
      <c r="P475" s="129" t="n"/>
      <c r="Q475" s="129" t="n"/>
      <c r="R475" s="129" t="n"/>
      <c r="S475" s="129" t="n"/>
      <c r="T475" s="129" t="n"/>
      <c r="U475" s="129" t="n"/>
      <c r="V475" s="129" t="n"/>
      <c r="W475" s="129" t="n"/>
      <c r="X475" s="129" t="n"/>
      <c r="Y475" s="703" t="n"/>
      <c r="Z475" s="704" t="n"/>
      <c r="AA475" s="705" t="n"/>
      <c r="AB475" s="613" t="n"/>
      <c r="AC475" s="614" t="n"/>
      <c r="AD475" s="628" t="n"/>
      <c r="AE475" s="616" t="n"/>
      <c r="AF475" s="617" t="n"/>
      <c r="AG475" s="693" t="n"/>
      <c r="AH475" s="721" t="n"/>
      <c r="AI475" s="721" t="n"/>
      <c r="AJ475" s="688" t="n"/>
      <c r="AK475" s="689" t="n"/>
      <c r="AL475" s="690" t="n"/>
      <c r="AM475" s="691" t="n"/>
      <c r="AN475" s="692" t="n"/>
      <c r="AO475" s="693" t="n"/>
      <c r="AP475" s="693" t="n"/>
      <c r="AQ475" s="693" t="n"/>
      <c r="AR475" s="693" t="n"/>
      <c r="AS475" s="693" t="n"/>
      <c r="AT475" s="693" t="n"/>
      <c r="AU475" s="699" t="n"/>
      <c r="AV475" s="693" t="n"/>
      <c r="AW475" s="693" t="n"/>
      <c r="AX475" s="693" t="n"/>
      <c r="AY475" s="693" t="n"/>
      <c r="AZ475" s="693" t="n"/>
    </row>
    <row r="476">
      <c r="A476" s="688" t="n"/>
      <c r="B476" s="688" t="n"/>
      <c r="C476" s="473" t="n"/>
      <c r="D476" s="688" t="n"/>
      <c r="E476" s="689" t="n"/>
      <c r="F476" s="721" t="n"/>
      <c r="G4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6" s="474">
        <f>G476/#REF!</f>
        <v/>
      </c>
      <c r="I476" s="690" t="n"/>
      <c r="J4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6" s="474">
        <f>J476/#REF!</f>
        <v/>
      </c>
      <c r="L476" s="473" t="n"/>
      <c r="M476" s="692" t="n"/>
      <c r="N476" s="693" t="n"/>
      <c r="O476" s="78" t="n"/>
      <c r="P476" s="129" t="n"/>
      <c r="Q476" s="129" t="n"/>
      <c r="R476" s="129" t="n"/>
      <c r="S476" s="129" t="n"/>
      <c r="T476" s="129" t="n"/>
      <c r="U476" s="129" t="n"/>
      <c r="V476" s="129" t="n"/>
      <c r="W476" s="129" t="n"/>
      <c r="X476" s="129" t="n"/>
      <c r="Y476" s="708" t="n"/>
      <c r="Z476" s="709" t="n"/>
      <c r="AA476" s="710" t="n"/>
      <c r="AB476" s="590" t="n"/>
      <c r="AC476" s="591" t="n"/>
      <c r="AD476" s="592" t="n"/>
      <c r="AE476" s="593" t="n"/>
      <c r="AF476" s="594" t="n"/>
      <c r="AG476" s="693" t="n"/>
      <c r="AH476" s="721" t="n"/>
      <c r="AI476" s="721" t="n"/>
      <c r="AJ476" s="688" t="n"/>
      <c r="AK476" s="689" t="n"/>
      <c r="AL476" s="690" t="n"/>
      <c r="AM476" s="691" t="n"/>
      <c r="AN476" s="692" t="n"/>
      <c r="AO476" s="693" t="n"/>
      <c r="AP476" s="693" t="n"/>
      <c r="AQ476" s="693" t="n"/>
      <c r="AR476" s="693" t="n"/>
      <c r="AS476" s="693" t="n"/>
      <c r="AT476" s="693" t="n"/>
      <c r="AU476" s="699" t="n"/>
      <c r="AV476" s="693" t="n"/>
      <c r="AW476" s="693" t="n"/>
      <c r="AX476" s="693" t="n"/>
      <c r="AY476" s="693" t="n"/>
      <c r="AZ476" s="693" t="n"/>
    </row>
    <row r="477">
      <c r="A477" s="688" t="n"/>
      <c r="B477" s="688" t="n"/>
      <c r="C477" s="473" t="n"/>
      <c r="D477" s="688" t="n"/>
      <c r="E477" s="689" t="n"/>
      <c r="F477" s="721" t="n"/>
      <c r="G4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7" s="474">
        <f>G477/#REF!</f>
        <v/>
      </c>
      <c r="I477" s="690" t="n"/>
      <c r="J4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7" s="474">
        <f>J477/#REF!</f>
        <v/>
      </c>
      <c r="L477" s="473" t="n"/>
      <c r="M477" s="692" t="n"/>
      <c r="N477" s="693" t="n"/>
      <c r="O477" s="78" t="n"/>
      <c r="P477" s="129" t="n"/>
      <c r="Q477" s="129" t="n"/>
      <c r="R477" s="129" t="n"/>
      <c r="S477" s="129" t="n"/>
      <c r="T477" s="129" t="n"/>
      <c r="U477" s="129" t="n"/>
      <c r="V477" s="129" t="n"/>
      <c r="W477" s="129" t="n"/>
      <c r="X477" s="129" t="n"/>
      <c r="Y477" s="703" t="n"/>
      <c r="Z477" s="704" t="n"/>
      <c r="AA477" s="705" t="n"/>
      <c r="AB477" s="613" t="n"/>
      <c r="AC477" s="614" t="n"/>
      <c r="AD477" s="628" t="n"/>
      <c r="AE477" s="616" t="n"/>
      <c r="AF477" s="617" t="n"/>
      <c r="AG477" s="693" t="n"/>
      <c r="AH477" s="721" t="n"/>
      <c r="AI477" s="721" t="n"/>
      <c r="AJ477" s="688" t="n"/>
      <c r="AK477" s="689" t="n"/>
      <c r="AL477" s="690" t="n"/>
      <c r="AM477" s="691" t="n"/>
      <c r="AN477" s="692" t="n"/>
      <c r="AO477" s="693" t="n"/>
      <c r="AP477" s="693" t="n"/>
      <c r="AQ477" s="693" t="n"/>
      <c r="AR477" s="693" t="n"/>
      <c r="AS477" s="693" t="n"/>
      <c r="AT477" s="693" t="n"/>
      <c r="AU477" s="699" t="n"/>
      <c r="AV477" s="693" t="n"/>
      <c r="AW477" s="693" t="n"/>
      <c r="AX477" s="693" t="n"/>
      <c r="AY477" s="693" t="n"/>
      <c r="AZ477" s="693" t="n"/>
    </row>
    <row r="478">
      <c r="A478" s="688" t="n"/>
      <c r="B478" s="688" t="n"/>
      <c r="C478" s="473" t="n"/>
      <c r="D478" s="688" t="n"/>
      <c r="E478" s="689" t="n"/>
      <c r="F478" s="721" t="n"/>
      <c r="G4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8" s="474">
        <f>G478/#REF!</f>
        <v/>
      </c>
      <c r="I478" s="690" t="n"/>
      <c r="J4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8" s="474">
        <f>J478/#REF!</f>
        <v/>
      </c>
      <c r="L478" s="473" t="n"/>
      <c r="M478" s="692" t="n"/>
      <c r="N478" s="693" t="n"/>
      <c r="O478" s="78" t="n"/>
      <c r="P478" s="129" t="n"/>
      <c r="Q478" s="129" t="n"/>
      <c r="R478" s="129" t="n"/>
      <c r="S478" s="129" t="n"/>
      <c r="T478" s="129" t="n"/>
      <c r="U478" s="129" t="n"/>
      <c r="V478" s="129" t="n"/>
      <c r="W478" s="129" t="n"/>
      <c r="X478" s="129" t="n"/>
      <c r="Y478" s="708" t="n"/>
      <c r="Z478" s="709" t="n"/>
      <c r="AA478" s="710" t="n"/>
      <c r="AB478" s="590" t="n"/>
      <c r="AC478" s="591" t="n"/>
      <c r="AD478" s="592" t="n"/>
      <c r="AE478" s="593" t="n"/>
      <c r="AF478" s="594" t="n"/>
      <c r="AG478" s="693" t="n"/>
      <c r="AH478" s="721" t="n"/>
      <c r="AI478" s="721" t="n"/>
      <c r="AJ478" s="688" t="n"/>
      <c r="AK478" s="689" t="n"/>
      <c r="AL478" s="690" t="n"/>
      <c r="AM478" s="691" t="n"/>
      <c r="AN478" s="692" t="n"/>
      <c r="AO478" s="693" t="n"/>
      <c r="AP478" s="693" t="n"/>
      <c r="AQ478" s="693" t="n"/>
      <c r="AR478" s="693" t="n"/>
      <c r="AS478" s="693" t="n"/>
      <c r="AT478" s="693" t="n"/>
      <c r="AU478" s="699" t="n"/>
      <c r="AV478" s="693" t="n"/>
      <c r="AW478" s="693" t="n"/>
      <c r="AX478" s="693" t="n"/>
      <c r="AY478" s="693" t="n"/>
      <c r="AZ478" s="693" t="n"/>
    </row>
    <row r="479">
      <c r="A479" s="688" t="n"/>
      <c r="B479" s="688" t="n"/>
      <c r="C479" s="473" t="n"/>
      <c r="D479" s="688" t="n"/>
      <c r="E479" s="689" t="n"/>
      <c r="F479" s="721" t="n"/>
      <c r="G4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79" s="474">
        <f>G479/#REF!</f>
        <v/>
      </c>
      <c r="I479" s="690" t="n"/>
      <c r="J4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79" s="474">
        <f>J479/#REF!</f>
        <v/>
      </c>
      <c r="L479" s="473" t="n"/>
      <c r="M479" s="692" t="n"/>
      <c r="N479" s="693" t="n"/>
      <c r="O479" s="78" t="n"/>
      <c r="P479" s="129" t="n"/>
      <c r="Q479" s="129" t="n"/>
      <c r="R479" s="129" t="n"/>
      <c r="S479" s="129" t="n"/>
      <c r="T479" s="129" t="n"/>
      <c r="U479" s="129" t="n"/>
      <c r="V479" s="129" t="n"/>
      <c r="W479" s="129" t="n"/>
      <c r="X479" s="129" t="n"/>
      <c r="Y479" s="703" t="n"/>
      <c r="Z479" s="704" t="n"/>
      <c r="AA479" s="705" t="n"/>
      <c r="AB479" s="613" t="n"/>
      <c r="AC479" s="614" t="n"/>
      <c r="AD479" s="628" t="n"/>
      <c r="AE479" s="616" t="n"/>
      <c r="AF479" s="617" t="n"/>
      <c r="AG479" s="693" t="n"/>
      <c r="AH479" s="721" t="n"/>
      <c r="AI479" s="721" t="n"/>
      <c r="AJ479" s="688" t="n"/>
      <c r="AK479" s="689" t="n"/>
      <c r="AL479" s="690" t="n"/>
      <c r="AM479" s="691" t="n"/>
      <c r="AN479" s="692" t="n"/>
      <c r="AO479" s="693" t="n"/>
      <c r="AP479" s="693" t="n"/>
      <c r="AQ479" s="693" t="n"/>
      <c r="AR479" s="693" t="n"/>
      <c r="AS479" s="693" t="n"/>
      <c r="AT479" s="693" t="n"/>
      <c r="AU479" s="699" t="n"/>
      <c r="AV479" s="693" t="n"/>
      <c r="AW479" s="693" t="n"/>
      <c r="AX479" s="693" t="n"/>
      <c r="AY479" s="693" t="n"/>
      <c r="AZ479" s="693" t="n"/>
    </row>
    <row r="480">
      <c r="A480" s="688" t="n"/>
      <c r="B480" s="688" t="n"/>
      <c r="C480" s="473" t="n"/>
      <c r="D480" s="688" t="n"/>
      <c r="E480" s="689" t="n"/>
      <c r="F480" s="721" t="n"/>
      <c r="G4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0" s="474">
        <f>G480/#REF!</f>
        <v/>
      </c>
      <c r="I480" s="690" t="n"/>
      <c r="J4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0" s="474">
        <f>J480/#REF!</f>
        <v/>
      </c>
      <c r="L480" s="473" t="n"/>
      <c r="M480" s="692" t="n"/>
      <c r="N480" s="693" t="n"/>
      <c r="O480" s="78" t="n"/>
      <c r="P480" s="129" t="n"/>
      <c r="Q480" s="129" t="n"/>
      <c r="R480" s="129" t="n"/>
      <c r="S480" s="129" t="n"/>
      <c r="T480" s="129" t="n"/>
      <c r="U480" s="129" t="n"/>
      <c r="V480" s="129" t="n"/>
      <c r="W480" s="129" t="n"/>
      <c r="X480" s="129" t="n"/>
      <c r="Y480" s="708" t="n"/>
      <c r="Z480" s="709" t="n"/>
      <c r="AA480" s="710" t="n"/>
      <c r="AB480" s="590" t="n"/>
      <c r="AC480" s="591" t="n"/>
      <c r="AD480" s="592" t="n"/>
      <c r="AE480" s="593" t="n"/>
      <c r="AF480" s="594" t="n"/>
      <c r="AG480" s="693" t="n"/>
      <c r="AH480" s="721" t="n"/>
      <c r="AI480" s="721" t="n"/>
      <c r="AJ480" s="688" t="n"/>
      <c r="AK480" s="689" t="n"/>
      <c r="AL480" s="690" t="n"/>
      <c r="AM480" s="691" t="n"/>
      <c r="AN480" s="692" t="n"/>
      <c r="AO480" s="693" t="n"/>
      <c r="AP480" s="693" t="n"/>
      <c r="AQ480" s="693" t="n"/>
      <c r="AR480" s="693" t="n"/>
      <c r="AS480" s="693" t="n"/>
      <c r="AT480" s="693" t="n"/>
      <c r="AU480" s="699" t="n"/>
      <c r="AV480" s="693" t="n"/>
      <c r="AW480" s="693" t="n"/>
      <c r="AX480" s="693" t="n"/>
      <c r="AY480" s="693" t="n"/>
      <c r="AZ480" s="693" t="n"/>
    </row>
    <row r="481">
      <c r="A481" s="688" t="n"/>
      <c r="B481" s="688" t="n"/>
      <c r="C481" s="473" t="n"/>
      <c r="D481" s="688" t="n"/>
      <c r="E481" s="689" t="n"/>
      <c r="F481" s="721" t="n"/>
      <c r="G4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1" s="474">
        <f>G481/#REF!</f>
        <v/>
      </c>
      <c r="I481" s="690" t="n"/>
      <c r="J4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1" s="474">
        <f>J481/#REF!</f>
        <v/>
      </c>
      <c r="L481" s="473" t="n"/>
      <c r="M481" s="692" t="n"/>
      <c r="N481" s="693" t="n"/>
      <c r="O481" s="78" t="n"/>
      <c r="P481" s="129" t="n"/>
      <c r="Q481" s="129" t="n"/>
      <c r="R481" s="129" t="n"/>
      <c r="S481" s="129" t="n"/>
      <c r="T481" s="129" t="n"/>
      <c r="U481" s="129" t="n"/>
      <c r="V481" s="129" t="n"/>
      <c r="W481" s="129" t="n"/>
      <c r="X481" s="129" t="n"/>
      <c r="Y481" s="703" t="n"/>
      <c r="Z481" s="704" t="n"/>
      <c r="AA481" s="705" t="n"/>
      <c r="AB481" s="613" t="n"/>
      <c r="AC481" s="614" t="n"/>
      <c r="AD481" s="628" t="n"/>
      <c r="AE481" s="616" t="n"/>
      <c r="AF481" s="617" t="n"/>
      <c r="AG481" s="693" t="n"/>
      <c r="AH481" s="721" t="n"/>
      <c r="AI481" s="721" t="n"/>
      <c r="AJ481" s="688" t="n"/>
      <c r="AK481" s="689" t="n"/>
      <c r="AL481" s="690" t="n"/>
      <c r="AM481" s="691" t="n"/>
      <c r="AN481" s="692" t="n"/>
      <c r="AO481" s="693" t="n"/>
      <c r="AP481" s="693" t="n"/>
      <c r="AQ481" s="693" t="n"/>
      <c r="AR481" s="693" t="n"/>
      <c r="AS481" s="693" t="n"/>
      <c r="AT481" s="693" t="n"/>
      <c r="AU481" s="699" t="n"/>
      <c r="AV481" s="693" t="n"/>
      <c r="AW481" s="693" t="n"/>
      <c r="AX481" s="693" t="n"/>
      <c r="AY481" s="693" t="n"/>
      <c r="AZ481" s="693" t="n"/>
    </row>
    <row r="482">
      <c r="A482" s="688" t="n"/>
      <c r="B482" s="688" t="n"/>
      <c r="C482" s="473" t="n"/>
      <c r="D482" s="688" t="n"/>
      <c r="E482" s="689" t="n"/>
      <c r="F482" s="721" t="n"/>
      <c r="G4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2" s="474">
        <f>G482/#REF!</f>
        <v/>
      </c>
      <c r="I482" s="690" t="n"/>
      <c r="J4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2" s="474">
        <f>J482/#REF!</f>
        <v/>
      </c>
      <c r="L482" s="473" t="n"/>
      <c r="M482" s="692" t="n"/>
      <c r="N482" s="693" t="n"/>
      <c r="O482" s="78" t="n"/>
      <c r="P482" s="129" t="n"/>
      <c r="Q482" s="129" t="n"/>
      <c r="R482" s="129" t="n"/>
      <c r="S482" s="129" t="n"/>
      <c r="T482" s="129" t="n"/>
      <c r="U482" s="129" t="n"/>
      <c r="V482" s="129" t="n"/>
      <c r="W482" s="129" t="n"/>
      <c r="X482" s="129" t="n"/>
      <c r="Y482" s="708" t="n"/>
      <c r="Z482" s="709" t="n"/>
      <c r="AA482" s="710" t="n"/>
      <c r="AB482" s="590" t="n"/>
      <c r="AC482" s="591" t="n"/>
      <c r="AD482" s="592" t="n"/>
      <c r="AE482" s="593" t="n"/>
      <c r="AF482" s="594" t="n"/>
      <c r="AG482" s="693" t="n"/>
      <c r="AH482" s="721" t="n"/>
      <c r="AI482" s="721" t="n"/>
      <c r="AJ482" s="688" t="n"/>
      <c r="AK482" s="689" t="n"/>
      <c r="AL482" s="690" t="n"/>
      <c r="AM482" s="691" t="n"/>
      <c r="AN482" s="692" t="n"/>
      <c r="AO482" s="693" t="n"/>
      <c r="AP482" s="693" t="n"/>
      <c r="AQ482" s="693" t="n"/>
      <c r="AR482" s="693" t="n"/>
      <c r="AS482" s="693" t="n"/>
      <c r="AT482" s="693" t="n"/>
      <c r="AU482" s="699" t="n"/>
      <c r="AV482" s="693" t="n"/>
      <c r="AW482" s="693" t="n"/>
      <c r="AX482" s="693" t="n"/>
      <c r="AY482" s="693" t="n"/>
      <c r="AZ482" s="693" t="n"/>
    </row>
    <row r="483">
      <c r="A483" s="688" t="n"/>
      <c r="B483" s="688" t="n"/>
      <c r="C483" s="473" t="n"/>
      <c r="D483" s="688" t="n"/>
      <c r="E483" s="689" t="n"/>
      <c r="F483" s="721" t="n"/>
      <c r="G4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3" s="474">
        <f>G483/#REF!</f>
        <v/>
      </c>
      <c r="I483" s="690" t="n"/>
      <c r="J4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3" s="474">
        <f>J483/#REF!</f>
        <v/>
      </c>
      <c r="L483" s="473" t="n"/>
      <c r="M483" s="692" t="n"/>
      <c r="N483" s="693" t="n"/>
      <c r="O483" s="78" t="n"/>
      <c r="P483" s="129" t="n"/>
      <c r="Q483" s="129" t="n"/>
      <c r="R483" s="129" t="n"/>
      <c r="S483" s="129" t="n"/>
      <c r="T483" s="129" t="n"/>
      <c r="U483" s="129" t="n"/>
      <c r="V483" s="129" t="n"/>
      <c r="W483" s="129" t="n"/>
      <c r="X483" s="129" t="n"/>
      <c r="Y483" s="703" t="n"/>
      <c r="Z483" s="704" t="n"/>
      <c r="AA483" s="705" t="n"/>
      <c r="AB483" s="613" t="n"/>
      <c r="AC483" s="614" t="n"/>
      <c r="AD483" s="628" t="n"/>
      <c r="AE483" s="616" t="n"/>
      <c r="AF483" s="617" t="n"/>
      <c r="AG483" s="693" t="n"/>
      <c r="AH483" s="721" t="n"/>
      <c r="AI483" s="721" t="n"/>
      <c r="AJ483" s="688" t="n"/>
      <c r="AK483" s="689" t="n"/>
      <c r="AL483" s="690" t="n"/>
      <c r="AM483" s="691" t="n"/>
      <c r="AN483" s="692" t="n"/>
      <c r="AO483" s="693" t="n"/>
      <c r="AP483" s="693" t="n"/>
      <c r="AQ483" s="693" t="n"/>
      <c r="AR483" s="693" t="n"/>
      <c r="AS483" s="693" t="n"/>
      <c r="AT483" s="693" t="n"/>
      <c r="AU483" s="699" t="n"/>
      <c r="AV483" s="693" t="n"/>
      <c r="AW483" s="693" t="n"/>
      <c r="AX483" s="693" t="n"/>
      <c r="AY483" s="693" t="n"/>
      <c r="AZ483" s="693" t="n"/>
    </row>
    <row r="484">
      <c r="A484" s="688" t="n"/>
      <c r="B484" s="688" t="n"/>
      <c r="C484" s="473" t="n"/>
      <c r="D484" s="688" t="n"/>
      <c r="E484" s="689" t="n"/>
      <c r="F484" s="721" t="n"/>
      <c r="G4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4" s="474">
        <f>G484/#REF!</f>
        <v/>
      </c>
      <c r="I484" s="690" t="n"/>
      <c r="J4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4" s="474">
        <f>J484/#REF!</f>
        <v/>
      </c>
      <c r="L484" s="473" t="n"/>
      <c r="M484" s="692" t="n"/>
      <c r="N484" s="693" t="n"/>
      <c r="O484" s="78" t="n"/>
      <c r="P484" s="129" t="n"/>
      <c r="Q484" s="129" t="n"/>
      <c r="R484" s="129" t="n"/>
      <c r="S484" s="129" t="n"/>
      <c r="T484" s="129" t="n"/>
      <c r="U484" s="129" t="n"/>
      <c r="V484" s="129" t="n"/>
      <c r="W484" s="129" t="n"/>
      <c r="X484" s="129" t="n"/>
      <c r="Y484" s="708" t="n"/>
      <c r="Z484" s="709" t="n"/>
      <c r="AA484" s="710" t="n"/>
      <c r="AB484" s="590" t="n"/>
      <c r="AC484" s="591" t="n"/>
      <c r="AD484" s="592" t="n"/>
      <c r="AE484" s="593" t="n"/>
      <c r="AF484" s="594" t="n"/>
      <c r="AG484" s="693" t="n"/>
      <c r="AH484" s="721" t="n"/>
      <c r="AI484" s="721" t="n"/>
      <c r="AJ484" s="688" t="n"/>
      <c r="AK484" s="689" t="n"/>
      <c r="AL484" s="690" t="n"/>
      <c r="AM484" s="691" t="n"/>
      <c r="AN484" s="692" t="n"/>
      <c r="AO484" s="693" t="n"/>
      <c r="AP484" s="693" t="n"/>
      <c r="AQ484" s="693" t="n"/>
      <c r="AR484" s="693" t="n"/>
      <c r="AS484" s="693" t="n"/>
      <c r="AT484" s="693" t="n"/>
      <c r="AU484" s="699" t="n"/>
      <c r="AV484" s="693" t="n"/>
      <c r="AW484" s="693" t="n"/>
      <c r="AX484" s="693" t="n"/>
      <c r="AY484" s="693" t="n"/>
      <c r="AZ484" s="693" t="n"/>
    </row>
    <row r="485">
      <c r="A485" s="688" t="n"/>
      <c r="B485" s="688" t="n"/>
      <c r="C485" s="473" t="n"/>
      <c r="D485" s="688" t="n"/>
      <c r="E485" s="689" t="n"/>
      <c r="F485" s="721" t="n"/>
      <c r="G4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5" s="474">
        <f>G485/#REF!</f>
        <v/>
      </c>
      <c r="I485" s="690" t="n"/>
      <c r="J4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5" s="474">
        <f>J485/#REF!</f>
        <v/>
      </c>
      <c r="L485" s="473" t="n"/>
      <c r="M485" s="692" t="n"/>
      <c r="N485" s="693" t="n"/>
      <c r="O485" s="78" t="n"/>
      <c r="P485" s="129" t="n"/>
      <c r="Q485" s="129" t="n"/>
      <c r="R485" s="129" t="n"/>
      <c r="S485" s="129" t="n"/>
      <c r="T485" s="129" t="n"/>
      <c r="U485" s="129" t="n"/>
      <c r="V485" s="129" t="n"/>
      <c r="W485" s="129" t="n"/>
      <c r="X485" s="129" t="n"/>
      <c r="Y485" s="703" t="n"/>
      <c r="Z485" s="704" t="n"/>
      <c r="AA485" s="705" t="n"/>
      <c r="AB485" s="613" t="n"/>
      <c r="AC485" s="614" t="n"/>
      <c r="AD485" s="628" t="n"/>
      <c r="AE485" s="616" t="n"/>
      <c r="AF485" s="617" t="n"/>
      <c r="AG485" s="693" t="n"/>
      <c r="AH485" s="721" t="n"/>
      <c r="AI485" s="721" t="n"/>
      <c r="AJ485" s="688" t="n"/>
      <c r="AK485" s="689" t="n"/>
      <c r="AL485" s="690" t="n"/>
      <c r="AM485" s="691" t="n"/>
      <c r="AN485" s="692" t="n"/>
      <c r="AO485" s="693" t="n"/>
      <c r="AP485" s="693" t="n"/>
      <c r="AQ485" s="693" t="n"/>
      <c r="AR485" s="693" t="n"/>
      <c r="AS485" s="693" t="n"/>
      <c r="AT485" s="693" t="n"/>
      <c r="AU485" s="699" t="n"/>
      <c r="AV485" s="693" t="n"/>
      <c r="AW485" s="693" t="n"/>
      <c r="AX485" s="693" t="n"/>
      <c r="AY485" s="693" t="n"/>
      <c r="AZ485" s="693" t="n"/>
    </row>
    <row r="486">
      <c r="A486" s="688" t="n"/>
      <c r="B486" s="688" t="n"/>
      <c r="C486" s="473" t="n"/>
      <c r="D486" s="688" t="n"/>
      <c r="E486" s="689" t="n"/>
      <c r="F486" s="721" t="n"/>
      <c r="G4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6" s="474">
        <f>G486/#REF!</f>
        <v/>
      </c>
      <c r="I486" s="690" t="n"/>
      <c r="J4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6" s="474">
        <f>J486/#REF!</f>
        <v/>
      </c>
      <c r="L486" s="473" t="n"/>
      <c r="M486" s="692" t="n"/>
      <c r="N486" s="693" t="n"/>
      <c r="O486" s="78" t="n"/>
      <c r="P486" s="129" t="n"/>
      <c r="Q486" s="129" t="n"/>
      <c r="R486" s="129" t="n"/>
      <c r="S486" s="129" t="n"/>
      <c r="T486" s="129" t="n"/>
      <c r="U486" s="129" t="n"/>
      <c r="V486" s="129" t="n"/>
      <c r="W486" s="129" t="n"/>
      <c r="X486" s="129" t="n"/>
      <c r="Y486" s="708" t="n"/>
      <c r="Z486" s="709" t="n"/>
      <c r="AA486" s="710" t="n"/>
      <c r="AB486" s="590" t="n"/>
      <c r="AC486" s="591" t="n"/>
      <c r="AD486" s="592" t="n"/>
      <c r="AE486" s="593" t="n"/>
      <c r="AF486" s="594" t="n"/>
      <c r="AG486" s="693" t="n"/>
      <c r="AH486" s="721" t="n"/>
      <c r="AI486" s="721" t="n"/>
      <c r="AJ486" s="688" t="n"/>
      <c r="AK486" s="689" t="n"/>
      <c r="AL486" s="690" t="n"/>
      <c r="AM486" s="691" t="n"/>
      <c r="AN486" s="692" t="n"/>
      <c r="AO486" s="693" t="n"/>
      <c r="AP486" s="693" t="n"/>
      <c r="AQ486" s="693" t="n"/>
      <c r="AR486" s="693" t="n"/>
      <c r="AS486" s="693" t="n"/>
      <c r="AT486" s="693" t="n"/>
      <c r="AU486" s="699" t="n"/>
      <c r="AV486" s="693" t="n"/>
      <c r="AW486" s="693" t="n"/>
      <c r="AX486" s="693" t="n"/>
      <c r="AY486" s="693" t="n"/>
      <c r="AZ486" s="693" t="n"/>
    </row>
    <row r="487">
      <c r="A487" s="688" t="n"/>
      <c r="B487" s="688" t="n"/>
      <c r="C487" s="473" t="n"/>
      <c r="D487" s="688" t="n"/>
      <c r="E487" s="689" t="n"/>
      <c r="F487" s="721" t="n"/>
      <c r="G4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7" s="474">
        <f>G487/#REF!</f>
        <v/>
      </c>
      <c r="I487" s="690" t="n"/>
      <c r="J4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7" s="474">
        <f>J487/#REF!</f>
        <v/>
      </c>
      <c r="L487" s="473" t="n"/>
      <c r="M487" s="692" t="n"/>
      <c r="N487" s="693" t="n"/>
      <c r="O487" s="78" t="n"/>
      <c r="P487" s="129" t="n"/>
      <c r="Q487" s="129" t="n"/>
      <c r="R487" s="129" t="n"/>
      <c r="S487" s="129" t="n"/>
      <c r="T487" s="129" t="n"/>
      <c r="U487" s="129" t="n"/>
      <c r="V487" s="129" t="n"/>
      <c r="W487" s="129" t="n"/>
      <c r="X487" s="129" t="n"/>
      <c r="Y487" s="703" t="n"/>
      <c r="Z487" s="704" t="n"/>
      <c r="AA487" s="705" t="n"/>
      <c r="AB487" s="613" t="n"/>
      <c r="AC487" s="614" t="n"/>
      <c r="AD487" s="628" t="n"/>
      <c r="AE487" s="616" t="n"/>
      <c r="AF487" s="617" t="n"/>
      <c r="AG487" s="693" t="n"/>
      <c r="AH487" s="721" t="n"/>
      <c r="AI487" s="721" t="n"/>
      <c r="AJ487" s="688" t="n"/>
      <c r="AK487" s="689" t="n"/>
      <c r="AL487" s="690" t="n"/>
      <c r="AM487" s="691" t="n"/>
      <c r="AN487" s="692" t="n"/>
      <c r="AO487" s="693" t="n"/>
      <c r="AP487" s="693" t="n"/>
      <c r="AQ487" s="693" t="n"/>
      <c r="AR487" s="693" t="n"/>
      <c r="AS487" s="693" t="n"/>
      <c r="AT487" s="693" t="n"/>
      <c r="AU487" s="699" t="n"/>
      <c r="AV487" s="693" t="n"/>
      <c r="AW487" s="693" t="n"/>
      <c r="AX487" s="693" t="n"/>
      <c r="AY487" s="693" t="n"/>
      <c r="AZ487" s="693" t="n"/>
    </row>
    <row r="488">
      <c r="A488" s="688" t="n"/>
      <c r="B488" s="688" t="n"/>
      <c r="C488" s="473" t="n"/>
      <c r="D488" s="688" t="n"/>
      <c r="E488" s="689" t="n"/>
      <c r="F488" s="721" t="n"/>
      <c r="G4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8" s="474">
        <f>G488/#REF!</f>
        <v/>
      </c>
      <c r="I488" s="690" t="n"/>
      <c r="J4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8" s="474">
        <f>J488/#REF!</f>
        <v/>
      </c>
      <c r="L488" s="473" t="n"/>
      <c r="M488" s="692" t="n"/>
      <c r="N488" s="693" t="n"/>
      <c r="O488" s="78" t="n"/>
      <c r="P488" s="129" t="n"/>
      <c r="Q488" s="129" t="n"/>
      <c r="R488" s="129" t="n"/>
      <c r="S488" s="129" t="n"/>
      <c r="T488" s="129" t="n"/>
      <c r="U488" s="129" t="n"/>
      <c r="V488" s="129" t="n"/>
      <c r="W488" s="129" t="n"/>
      <c r="X488" s="129" t="n"/>
      <c r="Y488" s="708" t="n"/>
      <c r="Z488" s="709" t="n"/>
      <c r="AA488" s="710" t="n"/>
      <c r="AB488" s="590" t="n"/>
      <c r="AC488" s="591" t="n"/>
      <c r="AD488" s="592" t="n"/>
      <c r="AE488" s="593" t="n"/>
      <c r="AF488" s="594" t="n"/>
      <c r="AG488" s="693" t="n"/>
      <c r="AH488" s="721" t="n"/>
      <c r="AI488" s="721" t="n"/>
      <c r="AJ488" s="688" t="n"/>
      <c r="AK488" s="689" t="n"/>
      <c r="AL488" s="690" t="n"/>
      <c r="AM488" s="691" t="n"/>
      <c r="AN488" s="692" t="n"/>
      <c r="AO488" s="693" t="n"/>
      <c r="AP488" s="693" t="n"/>
      <c r="AQ488" s="693" t="n"/>
      <c r="AR488" s="693" t="n"/>
      <c r="AS488" s="693" t="n"/>
      <c r="AT488" s="693" t="n"/>
      <c r="AU488" s="699" t="n"/>
      <c r="AV488" s="693" t="n"/>
      <c r="AW488" s="693" t="n"/>
      <c r="AX488" s="693" t="n"/>
      <c r="AY488" s="693" t="n"/>
      <c r="AZ488" s="693" t="n"/>
    </row>
    <row r="489">
      <c r="A489" s="688" t="n"/>
      <c r="B489" s="688" t="n"/>
      <c r="C489" s="473" t="n"/>
      <c r="D489" s="688" t="n"/>
      <c r="E489" s="689" t="n"/>
      <c r="F489" s="721" t="n"/>
      <c r="G4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89" s="474">
        <f>G489/#REF!</f>
        <v/>
      </c>
      <c r="I489" s="690" t="n"/>
      <c r="J4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89" s="474">
        <f>J489/#REF!</f>
        <v/>
      </c>
      <c r="L489" s="473" t="n"/>
      <c r="M489" s="692" t="n"/>
      <c r="N489" s="693" t="n"/>
      <c r="O489" s="78" t="n"/>
      <c r="P489" s="129" t="n"/>
      <c r="Q489" s="129" t="n"/>
      <c r="R489" s="129" t="n"/>
      <c r="S489" s="129" t="n"/>
      <c r="T489" s="129" t="n"/>
      <c r="U489" s="129" t="n"/>
      <c r="V489" s="129" t="n"/>
      <c r="W489" s="129" t="n"/>
      <c r="X489" s="129" t="n"/>
      <c r="Y489" s="703" t="n"/>
      <c r="Z489" s="704" t="n"/>
      <c r="AA489" s="705" t="n"/>
      <c r="AB489" s="613" t="n"/>
      <c r="AC489" s="614" t="n"/>
      <c r="AD489" s="628" t="n"/>
      <c r="AE489" s="616" t="n"/>
      <c r="AF489" s="617" t="n"/>
      <c r="AG489" s="693" t="n"/>
      <c r="AH489" s="721" t="n"/>
      <c r="AI489" s="721" t="n"/>
      <c r="AJ489" s="688" t="n"/>
      <c r="AK489" s="689" t="n"/>
      <c r="AL489" s="690" t="n"/>
      <c r="AM489" s="691" t="n"/>
      <c r="AN489" s="692" t="n"/>
      <c r="AO489" s="693" t="n"/>
      <c r="AP489" s="693" t="n"/>
      <c r="AQ489" s="693" t="n"/>
      <c r="AR489" s="693" t="n"/>
      <c r="AS489" s="693" t="n"/>
      <c r="AT489" s="693" t="n"/>
      <c r="AU489" s="699" t="n"/>
      <c r="AV489" s="693" t="n"/>
      <c r="AW489" s="693" t="n"/>
      <c r="AX489" s="693" t="n"/>
      <c r="AY489" s="693" t="n"/>
      <c r="AZ489" s="693" t="n"/>
    </row>
    <row r="490">
      <c r="A490" s="688" t="n"/>
      <c r="B490" s="688" t="n"/>
      <c r="C490" s="473" t="n"/>
      <c r="D490" s="688" t="n"/>
      <c r="E490" s="689" t="n"/>
      <c r="F490" s="721" t="n"/>
      <c r="G4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0" s="474">
        <f>G490/#REF!</f>
        <v/>
      </c>
      <c r="I490" s="690" t="n"/>
      <c r="J4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0" s="474">
        <f>J490/#REF!</f>
        <v/>
      </c>
      <c r="L490" s="473" t="n"/>
      <c r="M490" s="692" t="n"/>
      <c r="N490" s="693" t="n"/>
      <c r="O490" s="78" t="n"/>
      <c r="P490" s="129" t="n"/>
      <c r="Q490" s="129" t="n"/>
      <c r="R490" s="129" t="n"/>
      <c r="S490" s="129" t="n"/>
      <c r="T490" s="129" t="n"/>
      <c r="U490" s="129" t="n"/>
      <c r="V490" s="129" t="n"/>
      <c r="W490" s="129" t="n"/>
      <c r="X490" s="129" t="n"/>
      <c r="Y490" s="708" t="n"/>
      <c r="Z490" s="709" t="n"/>
      <c r="AA490" s="710" t="n"/>
      <c r="AB490" s="590" t="n"/>
      <c r="AC490" s="591" t="n"/>
      <c r="AD490" s="592" t="n"/>
      <c r="AE490" s="593" t="n"/>
      <c r="AF490" s="594" t="n"/>
      <c r="AG490" s="693" t="n"/>
      <c r="AH490" s="721" t="n"/>
      <c r="AI490" s="721" t="n"/>
      <c r="AJ490" s="688" t="n"/>
      <c r="AK490" s="689" t="n"/>
      <c r="AL490" s="690" t="n"/>
      <c r="AM490" s="691" t="n"/>
      <c r="AN490" s="692" t="n"/>
      <c r="AO490" s="693" t="n"/>
      <c r="AP490" s="693" t="n"/>
      <c r="AQ490" s="693" t="n"/>
      <c r="AR490" s="693" t="n"/>
      <c r="AS490" s="693" t="n"/>
      <c r="AT490" s="693" t="n"/>
      <c r="AU490" s="699" t="n"/>
      <c r="AV490" s="693" t="n"/>
      <c r="AW490" s="693" t="n"/>
      <c r="AX490" s="693" t="n"/>
      <c r="AY490" s="693" t="n"/>
      <c r="AZ490" s="693" t="n"/>
    </row>
    <row r="491">
      <c r="A491" s="688" t="n"/>
      <c r="B491" s="688" t="n"/>
      <c r="C491" s="473" t="n"/>
      <c r="D491" s="688" t="n"/>
      <c r="E491" s="689" t="n"/>
      <c r="F491" s="721" t="n"/>
      <c r="G4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1" s="474">
        <f>G491/#REF!</f>
        <v/>
      </c>
      <c r="I491" s="690" t="n"/>
      <c r="J4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1" s="474">
        <f>J491/#REF!</f>
        <v/>
      </c>
      <c r="L491" s="473" t="n"/>
      <c r="M491" s="692" t="n"/>
      <c r="N491" s="693" t="n"/>
      <c r="O491" s="78" t="n"/>
      <c r="P491" s="129" t="n"/>
      <c r="Q491" s="129" t="n"/>
      <c r="R491" s="129" t="n"/>
      <c r="S491" s="129" t="n"/>
      <c r="T491" s="129" t="n"/>
      <c r="U491" s="129" t="n"/>
      <c r="V491" s="129" t="n"/>
      <c r="W491" s="129" t="n"/>
      <c r="X491" s="129" t="n"/>
      <c r="Y491" s="703" t="n"/>
      <c r="Z491" s="704" t="n"/>
      <c r="AA491" s="705" t="n"/>
      <c r="AB491" s="613" t="n"/>
      <c r="AC491" s="614" t="n"/>
      <c r="AD491" s="628" t="n"/>
      <c r="AE491" s="616" t="n"/>
      <c r="AF491" s="617" t="n"/>
      <c r="AG491" s="693" t="n"/>
      <c r="AH491" s="721" t="n"/>
      <c r="AI491" s="721" t="n"/>
      <c r="AJ491" s="688" t="n"/>
      <c r="AK491" s="689" t="n"/>
      <c r="AL491" s="690" t="n"/>
      <c r="AM491" s="691" t="n"/>
      <c r="AN491" s="692" t="n"/>
      <c r="AO491" s="693" t="n"/>
      <c r="AP491" s="693" t="n"/>
      <c r="AQ491" s="693" t="n"/>
      <c r="AR491" s="693" t="n"/>
      <c r="AS491" s="693" t="n"/>
      <c r="AT491" s="693" t="n"/>
      <c r="AU491" s="699" t="n"/>
      <c r="AV491" s="693" t="n"/>
      <c r="AW491" s="693" t="n"/>
      <c r="AX491" s="693" t="n"/>
      <c r="AY491" s="693" t="n"/>
      <c r="AZ491" s="693" t="n"/>
    </row>
    <row r="492">
      <c r="A492" s="688" t="n"/>
      <c r="B492" s="688" t="n"/>
      <c r="C492" s="473" t="n"/>
      <c r="D492" s="688" t="n"/>
      <c r="E492" s="689" t="n"/>
      <c r="F492" s="721" t="n"/>
      <c r="G4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2" s="474">
        <f>G492/#REF!</f>
        <v/>
      </c>
      <c r="I492" s="690" t="n"/>
      <c r="J4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2" s="474">
        <f>J492/#REF!</f>
        <v/>
      </c>
      <c r="L492" s="473" t="n"/>
      <c r="M492" s="692" t="n"/>
      <c r="N492" s="693" t="n"/>
      <c r="O492" s="78" t="n"/>
      <c r="P492" s="129" t="n"/>
      <c r="Q492" s="129" t="n"/>
      <c r="R492" s="129" t="n"/>
      <c r="S492" s="129" t="n"/>
      <c r="T492" s="129" t="n"/>
      <c r="U492" s="129" t="n"/>
      <c r="V492" s="129" t="n"/>
      <c r="W492" s="129" t="n"/>
      <c r="X492" s="129" t="n"/>
      <c r="Y492" s="708" t="n"/>
      <c r="Z492" s="709" t="n"/>
      <c r="AA492" s="710" t="n"/>
      <c r="AB492" s="590" t="n"/>
      <c r="AC492" s="591" t="n"/>
      <c r="AD492" s="592" t="n"/>
      <c r="AE492" s="593" t="n"/>
      <c r="AF492" s="594" t="n"/>
      <c r="AG492" s="693" t="n"/>
      <c r="AH492" s="721" t="n"/>
      <c r="AI492" s="721" t="n"/>
      <c r="AJ492" s="688" t="n"/>
      <c r="AK492" s="689" t="n"/>
      <c r="AL492" s="690" t="n"/>
      <c r="AM492" s="691" t="n"/>
      <c r="AN492" s="692" t="n"/>
      <c r="AO492" s="693" t="n"/>
      <c r="AP492" s="693" t="n"/>
      <c r="AQ492" s="693" t="n"/>
      <c r="AR492" s="693" t="n"/>
      <c r="AS492" s="693" t="n"/>
      <c r="AT492" s="693" t="n"/>
      <c r="AU492" s="699" t="n"/>
      <c r="AV492" s="693" t="n"/>
      <c r="AW492" s="693" t="n"/>
      <c r="AX492" s="693" t="n"/>
      <c r="AY492" s="693" t="n"/>
      <c r="AZ492" s="693" t="n"/>
    </row>
    <row r="493">
      <c r="A493" s="688" t="n"/>
      <c r="B493" s="688" t="n"/>
      <c r="C493" s="473" t="n"/>
      <c r="D493" s="688" t="n"/>
      <c r="E493" s="689" t="n"/>
      <c r="F493" s="721" t="n"/>
      <c r="G4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3" s="474">
        <f>G493/#REF!</f>
        <v/>
      </c>
      <c r="I493" s="690" t="n"/>
      <c r="J4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3" s="474">
        <f>J493/#REF!</f>
        <v/>
      </c>
      <c r="L493" s="473" t="n"/>
      <c r="M493" s="692" t="n"/>
      <c r="N493" s="693" t="n"/>
      <c r="O493" s="78" t="n"/>
      <c r="P493" s="129" t="n"/>
      <c r="Q493" s="129" t="n"/>
      <c r="R493" s="129" t="n"/>
      <c r="S493" s="129" t="n"/>
      <c r="T493" s="129" t="n"/>
      <c r="U493" s="129" t="n"/>
      <c r="V493" s="129" t="n"/>
      <c r="W493" s="129" t="n"/>
      <c r="X493" s="129" t="n"/>
      <c r="Y493" s="703" t="n"/>
      <c r="Z493" s="704" t="n"/>
      <c r="AA493" s="705" t="n"/>
      <c r="AB493" s="613" t="n"/>
      <c r="AC493" s="614" t="n"/>
      <c r="AD493" s="628" t="n"/>
      <c r="AE493" s="616" t="n"/>
      <c r="AF493" s="617" t="n"/>
      <c r="AG493" s="693" t="n"/>
      <c r="AH493" s="721" t="n"/>
      <c r="AI493" s="721" t="n"/>
      <c r="AJ493" s="688" t="n"/>
      <c r="AK493" s="689" t="n"/>
      <c r="AL493" s="690" t="n"/>
      <c r="AM493" s="691" t="n"/>
      <c r="AN493" s="692" t="n"/>
      <c r="AO493" s="693" t="n"/>
      <c r="AP493" s="693" t="n"/>
      <c r="AQ493" s="693" t="n"/>
      <c r="AR493" s="693" t="n"/>
      <c r="AS493" s="693" t="n"/>
      <c r="AT493" s="693" t="n"/>
      <c r="AU493" s="699" t="n"/>
      <c r="AV493" s="693" t="n"/>
      <c r="AW493" s="693" t="n"/>
      <c r="AX493" s="693" t="n"/>
      <c r="AY493" s="693" t="n"/>
      <c r="AZ493" s="693" t="n"/>
    </row>
    <row r="494">
      <c r="A494" s="688" t="n"/>
      <c r="B494" s="688" t="n"/>
      <c r="C494" s="473" t="n"/>
      <c r="D494" s="688" t="n"/>
      <c r="E494" s="689" t="n"/>
      <c r="F494" s="721" t="n"/>
      <c r="G4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4" s="474">
        <f>G494/#REF!</f>
        <v/>
      </c>
      <c r="I494" s="690" t="n"/>
      <c r="J4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4" s="474">
        <f>J494/#REF!</f>
        <v/>
      </c>
      <c r="L494" s="473" t="n"/>
      <c r="M494" s="692" t="n"/>
      <c r="N494" s="693" t="n"/>
      <c r="O494" s="78" t="n"/>
      <c r="P494" s="129" t="n"/>
      <c r="Q494" s="129" t="n"/>
      <c r="R494" s="129" t="n"/>
      <c r="S494" s="129" t="n"/>
      <c r="T494" s="129" t="n"/>
      <c r="U494" s="129" t="n"/>
      <c r="V494" s="129" t="n"/>
      <c r="W494" s="129" t="n"/>
      <c r="X494" s="129" t="n"/>
      <c r="Y494" s="708" t="n"/>
      <c r="Z494" s="709" t="n"/>
      <c r="AA494" s="710" t="n"/>
      <c r="AB494" s="590" t="n"/>
      <c r="AC494" s="591" t="n"/>
      <c r="AD494" s="592" t="n"/>
      <c r="AE494" s="593" t="n"/>
      <c r="AF494" s="594" t="n"/>
      <c r="AG494" s="693" t="n"/>
      <c r="AH494" s="721" t="n"/>
      <c r="AI494" s="721" t="n"/>
      <c r="AJ494" s="688" t="n"/>
      <c r="AK494" s="689" t="n"/>
      <c r="AL494" s="690" t="n"/>
      <c r="AM494" s="691" t="n"/>
      <c r="AN494" s="692" t="n"/>
      <c r="AO494" s="693" t="n"/>
      <c r="AP494" s="693" t="n"/>
      <c r="AQ494" s="693" t="n"/>
      <c r="AR494" s="693" t="n"/>
      <c r="AS494" s="693" t="n"/>
      <c r="AT494" s="693" t="n"/>
      <c r="AU494" s="699" t="n"/>
      <c r="AV494" s="693" t="n"/>
      <c r="AW494" s="693" t="n"/>
      <c r="AX494" s="693" t="n"/>
      <c r="AY494" s="693" t="n"/>
      <c r="AZ494" s="693" t="n"/>
    </row>
    <row r="495">
      <c r="A495" s="688" t="n"/>
      <c r="B495" s="688" t="n"/>
      <c r="C495" s="473" t="n"/>
      <c r="D495" s="688" t="n"/>
      <c r="E495" s="689" t="n"/>
      <c r="F495" s="721" t="n"/>
      <c r="G4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5" s="474">
        <f>G495/#REF!</f>
        <v/>
      </c>
      <c r="I495" s="690" t="n"/>
      <c r="J4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5" s="474">
        <f>J495/#REF!</f>
        <v/>
      </c>
      <c r="L495" s="473" t="n"/>
      <c r="M495" s="692" t="n"/>
      <c r="N495" s="693" t="n"/>
      <c r="O495" s="78" t="n"/>
      <c r="P495" s="129" t="n"/>
      <c r="Q495" s="129" t="n"/>
      <c r="R495" s="129" t="n"/>
      <c r="S495" s="129" t="n"/>
      <c r="T495" s="129" t="n"/>
      <c r="U495" s="129" t="n"/>
      <c r="V495" s="129" t="n"/>
      <c r="W495" s="129" t="n"/>
      <c r="X495" s="129" t="n"/>
      <c r="Y495" s="703" t="n"/>
      <c r="Z495" s="704" t="n"/>
      <c r="AA495" s="705" t="n"/>
      <c r="AB495" s="613" t="n"/>
      <c r="AC495" s="614" t="n"/>
      <c r="AD495" s="628" t="n"/>
      <c r="AE495" s="616" t="n"/>
      <c r="AF495" s="617" t="n"/>
      <c r="AG495" s="693" t="n"/>
      <c r="AH495" s="721" t="n"/>
      <c r="AI495" s="721" t="n"/>
      <c r="AJ495" s="688" t="n"/>
      <c r="AK495" s="689" t="n"/>
      <c r="AL495" s="690" t="n"/>
      <c r="AM495" s="691" t="n"/>
      <c r="AN495" s="692" t="n"/>
      <c r="AO495" s="693" t="n"/>
      <c r="AP495" s="693" t="n"/>
      <c r="AQ495" s="693" t="n"/>
      <c r="AR495" s="693" t="n"/>
      <c r="AS495" s="693" t="n"/>
      <c r="AT495" s="693" t="n"/>
      <c r="AU495" s="699" t="n"/>
      <c r="AV495" s="693" t="n"/>
      <c r="AW495" s="693" t="n"/>
      <c r="AX495" s="693" t="n"/>
      <c r="AY495" s="693" t="n"/>
      <c r="AZ495" s="693" t="n"/>
    </row>
    <row r="496">
      <c r="A496" s="688" t="n"/>
      <c r="B496" s="688" t="n"/>
      <c r="C496" s="473" t="n"/>
      <c r="D496" s="688" t="n"/>
      <c r="E496" s="689" t="n"/>
      <c r="F496" s="721" t="n"/>
      <c r="G4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6" s="474">
        <f>G496/#REF!</f>
        <v/>
      </c>
      <c r="I496" s="690" t="n"/>
      <c r="J4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6" s="474">
        <f>J496/#REF!</f>
        <v/>
      </c>
      <c r="L496" s="473" t="n"/>
      <c r="M496" s="692" t="n"/>
      <c r="N496" s="693" t="n"/>
      <c r="O496" s="78" t="n"/>
      <c r="P496" s="129" t="n"/>
      <c r="Q496" s="129" t="n"/>
      <c r="R496" s="129" t="n"/>
      <c r="S496" s="129" t="n"/>
      <c r="T496" s="129" t="n"/>
      <c r="U496" s="129" t="n"/>
      <c r="V496" s="129" t="n"/>
      <c r="W496" s="129" t="n"/>
      <c r="X496" s="129" t="n"/>
      <c r="Y496" s="708" t="n"/>
      <c r="Z496" s="709" t="n"/>
      <c r="AA496" s="710" t="n"/>
      <c r="AB496" s="590" t="n"/>
      <c r="AC496" s="591" t="n"/>
      <c r="AD496" s="592" t="n"/>
      <c r="AE496" s="593" t="n"/>
      <c r="AF496" s="594" t="n"/>
      <c r="AG496" s="693" t="n"/>
      <c r="AH496" s="721" t="n"/>
      <c r="AI496" s="721" t="n"/>
      <c r="AJ496" s="688" t="n"/>
      <c r="AK496" s="689" t="n"/>
      <c r="AL496" s="690" t="n"/>
      <c r="AM496" s="691" t="n"/>
      <c r="AN496" s="692" t="n"/>
      <c r="AO496" s="693" t="n"/>
      <c r="AP496" s="693" t="n"/>
      <c r="AQ496" s="693" t="n"/>
      <c r="AR496" s="693" t="n"/>
      <c r="AS496" s="693" t="n"/>
      <c r="AT496" s="693" t="n"/>
      <c r="AU496" s="699" t="n"/>
      <c r="AV496" s="693" t="n"/>
      <c r="AW496" s="693" t="n"/>
      <c r="AX496" s="693" t="n"/>
      <c r="AY496" s="693" t="n"/>
      <c r="AZ496" s="693" t="n"/>
    </row>
    <row r="497">
      <c r="A497" s="688" t="n"/>
      <c r="B497" s="688" t="n"/>
      <c r="C497" s="473" t="n"/>
      <c r="D497" s="688" t="n"/>
      <c r="E497" s="689" t="n"/>
      <c r="F497" s="721" t="n"/>
      <c r="G4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7" s="474">
        <f>G497/#REF!</f>
        <v/>
      </c>
      <c r="I497" s="690" t="n"/>
      <c r="J4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7" s="474">
        <f>J497/#REF!</f>
        <v/>
      </c>
      <c r="L497" s="473" t="n"/>
      <c r="M497" s="692" t="n"/>
      <c r="N497" s="693" t="n"/>
      <c r="O497" s="78" t="n"/>
      <c r="P497" s="129" t="n"/>
      <c r="Q497" s="129" t="n"/>
      <c r="R497" s="129" t="n"/>
      <c r="S497" s="129" t="n"/>
      <c r="T497" s="129" t="n"/>
      <c r="U497" s="129" t="n"/>
      <c r="V497" s="129" t="n"/>
      <c r="W497" s="129" t="n"/>
      <c r="X497" s="129" t="n"/>
      <c r="Y497" s="703" t="n"/>
      <c r="Z497" s="704" t="n"/>
      <c r="AA497" s="705" t="n"/>
      <c r="AB497" s="613" t="n"/>
      <c r="AC497" s="614" t="n"/>
      <c r="AD497" s="628" t="n"/>
      <c r="AE497" s="616" t="n"/>
      <c r="AF497" s="617" t="n"/>
      <c r="AG497" s="693" t="n"/>
      <c r="AH497" s="721" t="n"/>
      <c r="AI497" s="721" t="n"/>
      <c r="AJ497" s="688" t="n"/>
      <c r="AK497" s="689" t="n"/>
      <c r="AL497" s="690" t="n"/>
      <c r="AM497" s="691" t="n"/>
      <c r="AN497" s="692" t="n"/>
      <c r="AO497" s="693" t="n"/>
      <c r="AP497" s="693" t="n"/>
      <c r="AQ497" s="693" t="n"/>
      <c r="AR497" s="693" t="n"/>
      <c r="AS497" s="693" t="n"/>
      <c r="AT497" s="693" t="n"/>
      <c r="AU497" s="699" t="n"/>
      <c r="AV497" s="693" t="n"/>
      <c r="AW497" s="693" t="n"/>
      <c r="AX497" s="693" t="n"/>
      <c r="AY497" s="693" t="n"/>
      <c r="AZ497" s="693" t="n"/>
    </row>
    <row r="498">
      <c r="A498" s="688" t="n"/>
      <c r="B498" s="688" t="n"/>
      <c r="C498" s="473" t="n"/>
      <c r="D498" s="688" t="n"/>
      <c r="E498" s="689" t="n"/>
      <c r="F498" s="721" t="n"/>
      <c r="G4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8" s="474">
        <f>G498/#REF!</f>
        <v/>
      </c>
      <c r="I498" s="690" t="n"/>
      <c r="J4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8" s="474">
        <f>J498/#REF!</f>
        <v/>
      </c>
      <c r="L498" s="473" t="n"/>
      <c r="M498" s="692" t="n"/>
      <c r="N498" s="693" t="n"/>
      <c r="O498" s="78" t="n"/>
      <c r="P498" s="129" t="n"/>
      <c r="Q498" s="129" t="n"/>
      <c r="R498" s="129" t="n"/>
      <c r="S498" s="129" t="n"/>
      <c r="T498" s="129" t="n"/>
      <c r="U498" s="129" t="n"/>
      <c r="V498" s="129" t="n"/>
      <c r="W498" s="129" t="n"/>
      <c r="X498" s="129" t="n"/>
      <c r="Y498" s="708" t="n"/>
      <c r="Z498" s="709" t="n"/>
      <c r="AA498" s="710" t="n"/>
      <c r="AB498" s="590" t="n"/>
      <c r="AC498" s="591" t="n"/>
      <c r="AD498" s="592" t="n"/>
      <c r="AE498" s="593" t="n"/>
      <c r="AF498" s="594" t="n"/>
      <c r="AG498" s="693" t="n"/>
      <c r="AH498" s="721" t="n"/>
      <c r="AI498" s="721" t="n"/>
      <c r="AJ498" s="688" t="n"/>
      <c r="AK498" s="689" t="n"/>
      <c r="AL498" s="690" t="n"/>
      <c r="AM498" s="691" t="n"/>
      <c r="AN498" s="692" t="n"/>
      <c r="AO498" s="693" t="n"/>
      <c r="AP498" s="693" t="n"/>
      <c r="AQ498" s="693" t="n"/>
      <c r="AR498" s="693" t="n"/>
      <c r="AS498" s="693" t="n"/>
      <c r="AT498" s="693" t="n"/>
      <c r="AU498" s="699" t="n"/>
      <c r="AV498" s="693" t="n"/>
      <c r="AW498" s="693" t="n"/>
      <c r="AX498" s="693" t="n"/>
      <c r="AY498" s="693" t="n"/>
      <c r="AZ498" s="693" t="n"/>
    </row>
    <row r="499">
      <c r="A499" s="688" t="n"/>
      <c r="B499" s="688" t="n"/>
      <c r="C499" s="473" t="n"/>
      <c r="D499" s="688" t="n"/>
      <c r="E499" s="689" t="n"/>
      <c r="F499" s="721" t="n"/>
      <c r="G4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499" s="474">
        <f>G499/#REF!</f>
        <v/>
      </c>
      <c r="I499" s="690" t="n"/>
      <c r="J4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499" s="474">
        <f>J499/#REF!</f>
        <v/>
      </c>
      <c r="L499" s="473" t="n"/>
      <c r="M499" s="692" t="n"/>
      <c r="N499" s="693" t="n"/>
      <c r="O499" s="78" t="n"/>
      <c r="P499" s="129" t="n"/>
      <c r="Q499" s="129" t="n"/>
      <c r="R499" s="129" t="n"/>
      <c r="S499" s="129" t="n"/>
      <c r="T499" s="129" t="n"/>
      <c r="U499" s="129" t="n"/>
      <c r="V499" s="129" t="n"/>
      <c r="W499" s="129" t="n"/>
      <c r="X499" s="129" t="n"/>
      <c r="Y499" s="703" t="n"/>
      <c r="Z499" s="704" t="n"/>
      <c r="AA499" s="705" t="n"/>
      <c r="AB499" s="613" t="n"/>
      <c r="AC499" s="614" t="n"/>
      <c r="AD499" s="628" t="n"/>
      <c r="AE499" s="616" t="n"/>
      <c r="AF499" s="617" t="n"/>
      <c r="AG499" s="693" t="n"/>
      <c r="AH499" s="721" t="n"/>
      <c r="AI499" s="721" t="n"/>
      <c r="AJ499" s="688" t="n"/>
      <c r="AK499" s="689" t="n"/>
      <c r="AL499" s="690" t="n"/>
      <c r="AM499" s="691" t="n"/>
      <c r="AN499" s="692" t="n"/>
      <c r="AO499" s="693" t="n"/>
      <c r="AP499" s="693" t="n"/>
      <c r="AQ499" s="693" t="n"/>
      <c r="AR499" s="693" t="n"/>
      <c r="AS499" s="693" t="n"/>
      <c r="AT499" s="693" t="n"/>
      <c r="AU499" s="699" t="n"/>
      <c r="AV499" s="693" t="n"/>
      <c r="AW499" s="693" t="n"/>
      <c r="AX499" s="693" t="n"/>
      <c r="AY499" s="693" t="n"/>
      <c r="AZ499" s="693" t="n"/>
    </row>
    <row r="500">
      <c r="A500" s="688" t="n"/>
      <c r="B500" s="688" t="n"/>
      <c r="C500" s="473" t="n"/>
      <c r="D500" s="688" t="n"/>
      <c r="E500" s="689" t="n"/>
      <c r="F500" s="721" t="n"/>
      <c r="G5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0" s="474">
        <f>G500/#REF!</f>
        <v/>
      </c>
      <c r="I500" s="690" t="n"/>
      <c r="J5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0" s="474">
        <f>J500/#REF!</f>
        <v/>
      </c>
      <c r="L500" s="473" t="n"/>
      <c r="M500" s="692" t="n"/>
      <c r="N500" s="693" t="n"/>
      <c r="O500" s="78" t="n"/>
      <c r="P500" s="129" t="n"/>
      <c r="Q500" s="129" t="n"/>
      <c r="R500" s="129" t="n"/>
      <c r="S500" s="129" t="n"/>
      <c r="T500" s="129" t="n"/>
      <c r="U500" s="129" t="n"/>
      <c r="V500" s="129" t="n"/>
      <c r="W500" s="129" t="n"/>
      <c r="X500" s="129" t="n"/>
      <c r="Y500" s="708" t="n"/>
      <c r="Z500" s="709" t="n"/>
      <c r="AA500" s="710" t="n"/>
      <c r="AB500" s="590" t="n"/>
      <c r="AC500" s="591" t="n"/>
      <c r="AD500" s="592" t="n"/>
      <c r="AE500" s="593" t="n"/>
      <c r="AF500" s="594" t="n"/>
      <c r="AG500" s="693" t="n"/>
      <c r="AH500" s="721" t="n"/>
      <c r="AI500" s="721" t="n"/>
      <c r="AJ500" s="688" t="n"/>
      <c r="AK500" s="689" t="n"/>
      <c r="AL500" s="690" t="n"/>
      <c r="AM500" s="691" t="n"/>
      <c r="AN500" s="692" t="n"/>
      <c r="AO500" s="693" t="n"/>
      <c r="AP500" s="693" t="n"/>
      <c r="AQ500" s="693" t="n"/>
      <c r="AR500" s="693" t="n"/>
      <c r="AS500" s="693" t="n"/>
      <c r="AT500" s="693" t="n"/>
      <c r="AU500" s="699" t="n"/>
      <c r="AV500" s="693" t="n"/>
      <c r="AW500" s="693" t="n"/>
      <c r="AX500" s="693" t="n"/>
      <c r="AY500" s="693" t="n"/>
      <c r="AZ500" s="693" t="n"/>
    </row>
    <row r="501">
      <c r="A501" s="688" t="n"/>
      <c r="B501" s="688" t="n"/>
      <c r="C501" s="473" t="n"/>
      <c r="D501" s="688" t="n"/>
      <c r="E501" s="689" t="n"/>
      <c r="F501" s="721" t="n"/>
      <c r="G5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1" s="474">
        <f>G501/#REF!</f>
        <v/>
      </c>
      <c r="I501" s="690" t="n"/>
      <c r="J5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1" s="474">
        <f>J501/#REF!</f>
        <v/>
      </c>
      <c r="L501" s="473" t="n"/>
      <c r="M501" s="692" t="n"/>
      <c r="N501" s="693" t="n"/>
      <c r="O501" s="78" t="n"/>
      <c r="P501" s="129" t="n"/>
      <c r="Q501" s="129" t="n"/>
      <c r="R501" s="129" t="n"/>
      <c r="S501" s="129" t="n"/>
      <c r="T501" s="129" t="n"/>
      <c r="U501" s="129" t="n"/>
      <c r="V501" s="129" t="n"/>
      <c r="W501" s="129" t="n"/>
      <c r="X501" s="129" t="n"/>
      <c r="Y501" s="703" t="n"/>
      <c r="Z501" s="704" t="n"/>
      <c r="AA501" s="705" t="n"/>
      <c r="AB501" s="613" t="n"/>
      <c r="AC501" s="614" t="n"/>
      <c r="AD501" s="628" t="n"/>
      <c r="AE501" s="616" t="n"/>
      <c r="AF501" s="617" t="n"/>
      <c r="AG501" s="693" t="n"/>
      <c r="AH501" s="721" t="n"/>
      <c r="AI501" s="721" t="n"/>
      <c r="AJ501" s="688" t="n"/>
      <c r="AK501" s="689" t="n"/>
      <c r="AL501" s="690" t="n"/>
      <c r="AM501" s="691" t="n"/>
      <c r="AN501" s="692" t="n"/>
      <c r="AO501" s="693" t="n"/>
      <c r="AP501" s="693" t="n"/>
      <c r="AQ501" s="693" t="n"/>
      <c r="AR501" s="693" t="n"/>
      <c r="AS501" s="693" t="n"/>
      <c r="AT501" s="693" t="n"/>
      <c r="AU501" s="699" t="n"/>
      <c r="AV501" s="693" t="n"/>
      <c r="AW501" s="693" t="n"/>
      <c r="AX501" s="693" t="n"/>
      <c r="AY501" s="693" t="n"/>
      <c r="AZ501" s="693" t="n"/>
    </row>
    <row r="502">
      <c r="A502" s="688" t="n"/>
      <c r="B502" s="688" t="n"/>
      <c r="C502" s="473" t="n"/>
      <c r="D502" s="688" t="n"/>
      <c r="E502" s="689" t="n"/>
      <c r="F502" s="721" t="n"/>
      <c r="G5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2" s="474">
        <f>G502/#REF!</f>
        <v/>
      </c>
      <c r="I502" s="690" t="n"/>
      <c r="J5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2" s="474">
        <f>J502/#REF!</f>
        <v/>
      </c>
      <c r="L502" s="473" t="n"/>
      <c r="M502" s="692" t="n"/>
      <c r="N502" s="693" t="n"/>
      <c r="O502" s="78" t="n"/>
      <c r="P502" s="129" t="n"/>
      <c r="Q502" s="129" t="n"/>
      <c r="R502" s="129" t="n"/>
      <c r="S502" s="129" t="n"/>
      <c r="T502" s="129" t="n"/>
      <c r="U502" s="129" t="n"/>
      <c r="V502" s="129" t="n"/>
      <c r="W502" s="129" t="n"/>
      <c r="X502" s="129" t="n"/>
      <c r="Y502" s="708" t="n"/>
      <c r="Z502" s="709" t="n"/>
      <c r="AA502" s="710" t="n"/>
      <c r="AB502" s="590" t="n"/>
      <c r="AC502" s="591" t="n"/>
      <c r="AD502" s="592" t="n"/>
      <c r="AE502" s="593" t="n"/>
      <c r="AF502" s="594" t="n"/>
      <c r="AG502" s="693" t="n"/>
      <c r="AH502" s="721" t="n"/>
      <c r="AI502" s="721" t="n"/>
      <c r="AJ502" s="688" t="n"/>
      <c r="AK502" s="689" t="n"/>
      <c r="AL502" s="690" t="n"/>
      <c r="AM502" s="691" t="n"/>
      <c r="AN502" s="692" t="n"/>
      <c r="AO502" s="693" t="n"/>
      <c r="AP502" s="693" t="n"/>
      <c r="AQ502" s="693" t="n"/>
      <c r="AR502" s="693" t="n"/>
      <c r="AS502" s="693" t="n"/>
      <c r="AT502" s="693" t="n"/>
      <c r="AU502" s="699" t="n"/>
      <c r="AV502" s="693" t="n"/>
      <c r="AW502" s="693" t="n"/>
      <c r="AX502" s="693" t="n"/>
      <c r="AY502" s="693" t="n"/>
      <c r="AZ502" s="693" t="n"/>
    </row>
    <row r="503">
      <c r="A503" s="688" t="n"/>
      <c r="B503" s="688" t="n"/>
      <c r="C503" s="473" t="n"/>
      <c r="D503" s="688" t="n"/>
      <c r="E503" s="689" t="n"/>
      <c r="F503" s="721" t="n"/>
      <c r="G5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3" s="474">
        <f>G503/#REF!</f>
        <v/>
      </c>
      <c r="I503" s="690" t="n"/>
      <c r="J5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3" s="474">
        <f>J503/#REF!</f>
        <v/>
      </c>
      <c r="L503" s="473" t="n"/>
      <c r="M503" s="692" t="n"/>
      <c r="N503" s="693" t="n"/>
      <c r="O503" s="78" t="n"/>
      <c r="P503" s="129" t="n"/>
      <c r="Q503" s="129" t="n"/>
      <c r="R503" s="129" t="n"/>
      <c r="S503" s="129" t="n"/>
      <c r="T503" s="129" t="n"/>
      <c r="U503" s="129" t="n"/>
      <c r="V503" s="129" t="n"/>
      <c r="W503" s="129" t="n"/>
      <c r="X503" s="129" t="n"/>
      <c r="Y503" s="703" t="n"/>
      <c r="Z503" s="704" t="n"/>
      <c r="AA503" s="705" t="n"/>
      <c r="AB503" s="613" t="n"/>
      <c r="AC503" s="614" t="n"/>
      <c r="AD503" s="628" t="n"/>
      <c r="AE503" s="616" t="n"/>
      <c r="AF503" s="617" t="n"/>
      <c r="AG503" s="693" t="n"/>
      <c r="AH503" s="721" t="n"/>
      <c r="AI503" s="721" t="n"/>
      <c r="AJ503" s="688" t="n"/>
      <c r="AK503" s="689" t="n"/>
      <c r="AL503" s="690" t="n"/>
      <c r="AM503" s="691" t="n"/>
      <c r="AN503" s="692" t="n"/>
      <c r="AO503" s="693" t="n"/>
      <c r="AP503" s="693" t="n"/>
      <c r="AQ503" s="693" t="n"/>
      <c r="AR503" s="693" t="n"/>
      <c r="AS503" s="693" t="n"/>
      <c r="AT503" s="693" t="n"/>
      <c r="AU503" s="699" t="n"/>
      <c r="AV503" s="693" t="n"/>
      <c r="AW503" s="693" t="n"/>
      <c r="AX503" s="693" t="n"/>
      <c r="AY503" s="693" t="n"/>
      <c r="AZ503" s="693" t="n"/>
    </row>
    <row r="504">
      <c r="A504" s="688" t="n"/>
      <c r="B504" s="688" t="n"/>
      <c r="C504" s="473" t="n"/>
      <c r="D504" s="688" t="n"/>
      <c r="E504" s="689" t="n"/>
      <c r="F504" s="721" t="n"/>
      <c r="G5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4" s="474">
        <f>G504/#REF!</f>
        <v/>
      </c>
      <c r="I504" s="690" t="n"/>
      <c r="J5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4" s="474">
        <f>J504/#REF!</f>
        <v/>
      </c>
      <c r="L504" s="473" t="n"/>
      <c r="M504" s="692" t="n"/>
      <c r="N504" s="693" t="n"/>
      <c r="O504" s="78" t="n"/>
      <c r="P504" s="129" t="n"/>
      <c r="Q504" s="129" t="n"/>
      <c r="R504" s="129" t="n"/>
      <c r="S504" s="129" t="n"/>
      <c r="T504" s="129" t="n"/>
      <c r="U504" s="129" t="n"/>
      <c r="V504" s="129" t="n"/>
      <c r="W504" s="129" t="n"/>
      <c r="X504" s="129" t="n"/>
      <c r="Y504" s="708" t="n"/>
      <c r="Z504" s="709" t="n"/>
      <c r="AA504" s="710" t="n"/>
      <c r="AB504" s="590" t="n"/>
      <c r="AC504" s="591" t="n"/>
      <c r="AD504" s="592" t="n"/>
      <c r="AE504" s="593" t="n"/>
      <c r="AF504" s="594" t="n"/>
      <c r="AG504" s="693" t="n"/>
      <c r="AH504" s="721" t="n"/>
      <c r="AI504" s="721" t="n"/>
      <c r="AJ504" s="688" t="n"/>
      <c r="AK504" s="689" t="n"/>
      <c r="AL504" s="690" t="n"/>
      <c r="AM504" s="691" t="n"/>
      <c r="AN504" s="692" t="n"/>
      <c r="AO504" s="693" t="n"/>
      <c r="AP504" s="693" t="n"/>
      <c r="AQ504" s="693" t="n"/>
      <c r="AR504" s="693" t="n"/>
      <c r="AS504" s="693" t="n"/>
      <c r="AT504" s="693" t="n"/>
      <c r="AU504" s="699" t="n"/>
      <c r="AV504" s="693" t="n"/>
      <c r="AW504" s="693" t="n"/>
      <c r="AX504" s="693" t="n"/>
      <c r="AY504" s="693" t="n"/>
      <c r="AZ504" s="693" t="n"/>
    </row>
    <row r="505">
      <c r="A505" s="688" t="n"/>
      <c r="B505" s="688" t="n"/>
      <c r="C505" s="473" t="n"/>
      <c r="D505" s="688" t="n"/>
      <c r="E505" s="689" t="n"/>
      <c r="F505" s="721" t="n"/>
      <c r="G5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5" s="474">
        <f>G505/#REF!</f>
        <v/>
      </c>
      <c r="I505" s="690" t="n"/>
      <c r="J5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5" s="474">
        <f>J505/#REF!</f>
        <v/>
      </c>
      <c r="L505" s="473" t="n"/>
      <c r="M505" s="692" t="n"/>
      <c r="N505" s="693" t="n"/>
      <c r="O505" s="78" t="n"/>
      <c r="P505" s="129" t="n"/>
      <c r="Q505" s="129" t="n"/>
      <c r="R505" s="129" t="n"/>
      <c r="S505" s="129" t="n"/>
      <c r="T505" s="129" t="n"/>
      <c r="U505" s="129" t="n"/>
      <c r="V505" s="129" t="n"/>
      <c r="W505" s="129" t="n"/>
      <c r="X505" s="129" t="n"/>
      <c r="Y505" s="703" t="n"/>
      <c r="Z505" s="704" t="n"/>
      <c r="AA505" s="705" t="n"/>
      <c r="AB505" s="613" t="n"/>
      <c r="AC505" s="614" t="n"/>
      <c r="AD505" s="628" t="n"/>
      <c r="AE505" s="616" t="n"/>
      <c r="AF505" s="617" t="n"/>
      <c r="AG505" s="693" t="n"/>
      <c r="AH505" s="721" t="n"/>
      <c r="AI505" s="721" t="n"/>
      <c r="AJ505" s="688" t="n"/>
      <c r="AK505" s="689" t="n"/>
      <c r="AL505" s="690" t="n"/>
      <c r="AM505" s="691" t="n"/>
      <c r="AN505" s="692" t="n"/>
      <c r="AO505" s="693" t="n"/>
      <c r="AP505" s="693" t="n"/>
      <c r="AQ505" s="693" t="n"/>
      <c r="AR505" s="693" t="n"/>
      <c r="AS505" s="693" t="n"/>
      <c r="AT505" s="693" t="n"/>
      <c r="AU505" s="699" t="n"/>
      <c r="AV505" s="693" t="n"/>
      <c r="AW505" s="693" t="n"/>
      <c r="AX505" s="693" t="n"/>
      <c r="AY505" s="693" t="n"/>
      <c r="AZ505" s="693" t="n"/>
    </row>
    <row r="506">
      <c r="A506" s="688" t="n"/>
      <c r="B506" s="688" t="n"/>
      <c r="C506" s="473" t="n"/>
      <c r="D506" s="688" t="n"/>
      <c r="E506" s="689" t="n"/>
      <c r="F506" s="721" t="n"/>
      <c r="G5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6" s="474">
        <f>G506/#REF!</f>
        <v/>
      </c>
      <c r="I506" s="690" t="n"/>
      <c r="J5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6" s="474">
        <f>J506/#REF!</f>
        <v/>
      </c>
      <c r="L506" s="473" t="n"/>
      <c r="M506" s="692" t="n"/>
      <c r="N506" s="693" t="n"/>
      <c r="O506" s="78" t="n"/>
      <c r="P506" s="129" t="n"/>
      <c r="Q506" s="129" t="n"/>
      <c r="R506" s="129" t="n"/>
      <c r="S506" s="129" t="n"/>
      <c r="T506" s="129" t="n"/>
      <c r="U506" s="129" t="n"/>
      <c r="V506" s="129" t="n"/>
      <c r="W506" s="129" t="n"/>
      <c r="X506" s="129" t="n"/>
      <c r="Y506" s="708" t="n"/>
      <c r="Z506" s="709" t="n"/>
      <c r="AA506" s="710" t="n"/>
      <c r="AB506" s="590" t="n"/>
      <c r="AC506" s="591" t="n"/>
      <c r="AD506" s="592" t="n"/>
      <c r="AE506" s="593" t="n"/>
      <c r="AF506" s="594" t="n"/>
      <c r="AG506" s="693" t="n"/>
      <c r="AH506" s="721" t="n"/>
      <c r="AI506" s="721" t="n"/>
      <c r="AJ506" s="688" t="n"/>
      <c r="AK506" s="689" t="n"/>
      <c r="AL506" s="690" t="n"/>
      <c r="AM506" s="691" t="n"/>
      <c r="AN506" s="692" t="n"/>
      <c r="AO506" s="693" t="n"/>
      <c r="AP506" s="693" t="n"/>
      <c r="AQ506" s="693" t="n"/>
      <c r="AR506" s="693" t="n"/>
      <c r="AS506" s="693" t="n"/>
      <c r="AT506" s="693" t="n"/>
      <c r="AU506" s="699" t="n"/>
      <c r="AV506" s="693" t="n"/>
      <c r="AW506" s="693" t="n"/>
      <c r="AX506" s="693" t="n"/>
      <c r="AY506" s="693" t="n"/>
      <c r="AZ506" s="693" t="n"/>
    </row>
    <row r="507">
      <c r="A507" s="688" t="n"/>
      <c r="B507" s="688" t="n"/>
      <c r="C507" s="473" t="n"/>
      <c r="D507" s="688" t="n"/>
      <c r="E507" s="689" t="n"/>
      <c r="F507" s="721" t="n"/>
      <c r="G5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7" s="474">
        <f>G507/#REF!</f>
        <v/>
      </c>
      <c r="I507" s="690" t="n"/>
      <c r="J5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7" s="474">
        <f>J507/#REF!</f>
        <v/>
      </c>
      <c r="L507" s="473" t="n"/>
      <c r="M507" s="692" t="n"/>
      <c r="N507" s="693" t="n"/>
      <c r="O507" s="78" t="n"/>
      <c r="P507" s="129" t="n"/>
      <c r="Q507" s="129" t="n"/>
      <c r="R507" s="129" t="n"/>
      <c r="S507" s="129" t="n"/>
      <c r="T507" s="129" t="n"/>
      <c r="U507" s="129" t="n"/>
      <c r="V507" s="129" t="n"/>
      <c r="W507" s="129" t="n"/>
      <c r="X507" s="129" t="n"/>
      <c r="Y507" s="703" t="n"/>
      <c r="Z507" s="704" t="n"/>
      <c r="AA507" s="705" t="n"/>
      <c r="AB507" s="613" t="n"/>
      <c r="AC507" s="614" t="n"/>
      <c r="AD507" s="628" t="n"/>
      <c r="AE507" s="616" t="n"/>
      <c r="AF507" s="617" t="n"/>
      <c r="AG507" s="693" t="n"/>
      <c r="AH507" s="721" t="n"/>
      <c r="AI507" s="721" t="n"/>
      <c r="AJ507" s="688" t="n"/>
      <c r="AK507" s="689" t="n"/>
      <c r="AL507" s="690" t="n"/>
      <c r="AM507" s="691" t="n"/>
      <c r="AN507" s="692" t="n"/>
      <c r="AO507" s="693" t="n"/>
      <c r="AP507" s="693" t="n"/>
      <c r="AQ507" s="693" t="n"/>
      <c r="AR507" s="693" t="n"/>
      <c r="AS507" s="693" t="n"/>
      <c r="AT507" s="693" t="n"/>
      <c r="AU507" s="699" t="n"/>
      <c r="AV507" s="693" t="n"/>
      <c r="AW507" s="693" t="n"/>
      <c r="AX507" s="693" t="n"/>
      <c r="AY507" s="693" t="n"/>
      <c r="AZ507" s="693" t="n"/>
    </row>
    <row r="508">
      <c r="A508" s="688" t="n"/>
      <c r="B508" s="688" t="n"/>
      <c r="C508" s="473" t="n"/>
      <c r="D508" s="688" t="n"/>
      <c r="E508" s="689" t="n"/>
      <c r="F508" s="721" t="n"/>
      <c r="G5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8" s="474">
        <f>G508/#REF!</f>
        <v/>
      </c>
      <c r="I508" s="690" t="n"/>
      <c r="J5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8" s="474">
        <f>J508/#REF!</f>
        <v/>
      </c>
      <c r="L508" s="473" t="n"/>
      <c r="M508" s="692" t="n"/>
      <c r="N508" s="693" t="n"/>
      <c r="O508" s="78" t="n"/>
      <c r="P508" s="129" t="n"/>
      <c r="Q508" s="129" t="n"/>
      <c r="R508" s="129" t="n"/>
      <c r="S508" s="129" t="n"/>
      <c r="T508" s="129" t="n"/>
      <c r="U508" s="129" t="n"/>
      <c r="V508" s="129" t="n"/>
      <c r="W508" s="129" t="n"/>
      <c r="X508" s="129" t="n"/>
      <c r="Y508" s="708" t="n"/>
      <c r="Z508" s="709" t="n"/>
      <c r="AA508" s="710" t="n"/>
      <c r="AB508" s="590" t="n"/>
      <c r="AC508" s="591" t="n"/>
      <c r="AD508" s="592" t="n"/>
      <c r="AE508" s="593" t="n"/>
      <c r="AF508" s="594" t="n"/>
      <c r="AG508" s="693" t="n"/>
      <c r="AH508" s="721" t="n"/>
      <c r="AI508" s="721" t="n"/>
      <c r="AJ508" s="688" t="n"/>
      <c r="AK508" s="689" t="n"/>
      <c r="AL508" s="690" t="n"/>
      <c r="AM508" s="691" t="n"/>
      <c r="AN508" s="692" t="n"/>
      <c r="AO508" s="693" t="n"/>
      <c r="AP508" s="693" t="n"/>
      <c r="AQ508" s="693" t="n"/>
      <c r="AR508" s="693" t="n"/>
      <c r="AS508" s="693" t="n"/>
      <c r="AT508" s="693" t="n"/>
      <c r="AU508" s="699" t="n"/>
      <c r="AV508" s="693" t="n"/>
      <c r="AW508" s="693" t="n"/>
      <c r="AX508" s="693" t="n"/>
      <c r="AY508" s="693" t="n"/>
      <c r="AZ508" s="693" t="n"/>
    </row>
    <row r="509">
      <c r="A509" s="688" t="n"/>
      <c r="B509" s="688" t="n"/>
      <c r="C509" s="473" t="n"/>
      <c r="D509" s="688" t="n"/>
      <c r="E509" s="689" t="n"/>
      <c r="F509" s="721" t="n"/>
      <c r="G5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09" s="474">
        <f>G509/#REF!</f>
        <v/>
      </c>
      <c r="I509" s="690" t="n"/>
      <c r="J5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09" s="474">
        <f>J509/#REF!</f>
        <v/>
      </c>
      <c r="L509" s="473" t="n"/>
      <c r="M509" s="692" t="n"/>
      <c r="N509" s="693" t="n"/>
      <c r="O509" s="78" t="n"/>
      <c r="P509" s="129" t="n"/>
      <c r="Q509" s="129" t="n"/>
      <c r="R509" s="129" t="n"/>
      <c r="S509" s="129" t="n"/>
      <c r="T509" s="129" t="n"/>
      <c r="U509" s="129" t="n"/>
      <c r="V509" s="129" t="n"/>
      <c r="W509" s="129" t="n"/>
      <c r="X509" s="129" t="n"/>
      <c r="Y509" s="703" t="n"/>
      <c r="Z509" s="704" t="n"/>
      <c r="AA509" s="705" t="n"/>
      <c r="AB509" s="613" t="n"/>
      <c r="AC509" s="614" t="n"/>
      <c r="AD509" s="628" t="n"/>
      <c r="AE509" s="616" t="n"/>
      <c r="AF509" s="617" t="n"/>
      <c r="AG509" s="693" t="n"/>
      <c r="AH509" s="721" t="n"/>
      <c r="AI509" s="721" t="n"/>
      <c r="AJ509" s="688" t="n"/>
      <c r="AK509" s="689" t="n"/>
      <c r="AL509" s="690" t="n"/>
      <c r="AM509" s="691" t="n"/>
      <c r="AN509" s="692" t="n"/>
      <c r="AO509" s="693" t="n"/>
      <c r="AP509" s="693" t="n"/>
      <c r="AQ509" s="693" t="n"/>
      <c r="AR509" s="693" t="n"/>
      <c r="AS509" s="693" t="n"/>
      <c r="AT509" s="693" t="n"/>
      <c r="AU509" s="699" t="n"/>
      <c r="AV509" s="693" t="n"/>
      <c r="AW509" s="693" t="n"/>
      <c r="AX509" s="693" t="n"/>
      <c r="AY509" s="693" t="n"/>
      <c r="AZ509" s="693" t="n"/>
    </row>
    <row r="510">
      <c r="A510" s="688" t="n"/>
      <c r="B510" s="688" t="n"/>
      <c r="C510" s="473" t="n"/>
      <c r="D510" s="688" t="n"/>
      <c r="E510" s="689" t="n"/>
      <c r="F510" s="721" t="n"/>
      <c r="G5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0" s="474">
        <f>G510/#REF!</f>
        <v/>
      </c>
      <c r="I510" s="690" t="n"/>
      <c r="J5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0" s="474">
        <f>J510/#REF!</f>
        <v/>
      </c>
      <c r="L510" s="473" t="n"/>
      <c r="M510" s="692" t="n"/>
      <c r="N510" s="693" t="n"/>
      <c r="O510" s="78" t="n"/>
      <c r="P510" s="129" t="n"/>
      <c r="Q510" s="129" t="n"/>
      <c r="R510" s="129" t="n"/>
      <c r="S510" s="129" t="n"/>
      <c r="T510" s="129" t="n"/>
      <c r="U510" s="129" t="n"/>
      <c r="V510" s="129" t="n"/>
      <c r="W510" s="129" t="n"/>
      <c r="X510" s="129" t="n"/>
      <c r="Y510" s="708" t="n"/>
      <c r="Z510" s="709" t="n"/>
      <c r="AA510" s="710" t="n"/>
      <c r="AB510" s="590" t="n"/>
      <c r="AC510" s="591" t="n"/>
      <c r="AD510" s="592" t="n"/>
      <c r="AE510" s="593" t="n"/>
      <c r="AF510" s="594" t="n"/>
      <c r="AG510" s="693" t="n"/>
      <c r="AH510" s="721" t="n"/>
      <c r="AI510" s="721" t="n"/>
      <c r="AJ510" s="688" t="n"/>
      <c r="AK510" s="689" t="n"/>
      <c r="AL510" s="690" t="n"/>
      <c r="AM510" s="691" t="n"/>
      <c r="AN510" s="692" t="n"/>
      <c r="AO510" s="693" t="n"/>
      <c r="AP510" s="693" t="n"/>
      <c r="AQ510" s="693" t="n"/>
      <c r="AR510" s="693" t="n"/>
      <c r="AS510" s="693" t="n"/>
      <c r="AT510" s="693" t="n"/>
      <c r="AU510" s="699" t="n"/>
      <c r="AV510" s="693" t="n"/>
      <c r="AW510" s="693" t="n"/>
      <c r="AX510" s="693" t="n"/>
      <c r="AY510" s="693" t="n"/>
      <c r="AZ510" s="693" t="n"/>
    </row>
    <row r="511">
      <c r="A511" s="688" t="n"/>
      <c r="B511" s="688" t="n"/>
      <c r="C511" s="473" t="n"/>
      <c r="D511" s="688" t="n"/>
      <c r="E511" s="689" t="n"/>
      <c r="F511" s="721" t="n"/>
      <c r="G5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1" s="474">
        <f>G511/#REF!</f>
        <v/>
      </c>
      <c r="I511" s="690" t="n"/>
      <c r="J5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1" s="474">
        <f>J511/#REF!</f>
        <v/>
      </c>
      <c r="L511" s="473" t="n"/>
      <c r="M511" s="692" t="n"/>
      <c r="N511" s="693" t="n"/>
      <c r="O511" s="78" t="n"/>
      <c r="P511" s="129" t="n"/>
      <c r="Q511" s="129" t="n"/>
      <c r="R511" s="129" t="n"/>
      <c r="S511" s="129" t="n"/>
      <c r="T511" s="129" t="n"/>
      <c r="U511" s="129" t="n"/>
      <c r="V511" s="129" t="n"/>
      <c r="W511" s="129" t="n"/>
      <c r="X511" s="129" t="n"/>
      <c r="Y511" s="703" t="n"/>
      <c r="Z511" s="704" t="n"/>
      <c r="AA511" s="705" t="n"/>
      <c r="AB511" s="613" t="n"/>
      <c r="AC511" s="614" t="n"/>
      <c r="AD511" s="628" t="n"/>
      <c r="AE511" s="616" t="n"/>
      <c r="AF511" s="617" t="n"/>
      <c r="AG511" s="693" t="n"/>
      <c r="AH511" s="721" t="n"/>
      <c r="AI511" s="721" t="n"/>
      <c r="AJ511" s="688" t="n"/>
      <c r="AK511" s="689" t="n"/>
      <c r="AL511" s="690" t="n"/>
      <c r="AM511" s="691" t="n"/>
      <c r="AN511" s="692" t="n"/>
      <c r="AO511" s="693" t="n"/>
      <c r="AP511" s="693" t="n"/>
      <c r="AQ511" s="693" t="n"/>
      <c r="AR511" s="693" t="n"/>
      <c r="AS511" s="693" t="n"/>
      <c r="AT511" s="693" t="n"/>
      <c r="AU511" s="699" t="n"/>
      <c r="AV511" s="693" t="n"/>
      <c r="AW511" s="693" t="n"/>
      <c r="AX511" s="693" t="n"/>
      <c r="AY511" s="693" t="n"/>
      <c r="AZ511" s="693" t="n"/>
    </row>
    <row r="512">
      <c r="A512" s="688" t="n"/>
      <c r="B512" s="688" t="n"/>
      <c r="C512" s="473" t="n"/>
      <c r="D512" s="688" t="n"/>
      <c r="E512" s="689" t="n"/>
      <c r="F512" s="721" t="n"/>
      <c r="G5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2" s="474">
        <f>G512/#REF!</f>
        <v/>
      </c>
      <c r="I512" s="690" t="n"/>
      <c r="J5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2" s="474">
        <f>J512/#REF!</f>
        <v/>
      </c>
      <c r="L512" s="473" t="n"/>
      <c r="M512" s="692" t="n"/>
      <c r="N512" s="693" t="n"/>
      <c r="O512" s="78" t="n"/>
      <c r="P512" s="129" t="n"/>
      <c r="Q512" s="129" t="n"/>
      <c r="R512" s="129" t="n"/>
      <c r="S512" s="129" t="n"/>
      <c r="T512" s="129" t="n"/>
      <c r="U512" s="129" t="n"/>
      <c r="V512" s="129" t="n"/>
      <c r="W512" s="129" t="n"/>
      <c r="X512" s="129" t="n"/>
      <c r="Y512" s="708" t="n"/>
      <c r="Z512" s="709" t="n"/>
      <c r="AA512" s="710" t="n"/>
      <c r="AB512" s="590" t="n"/>
      <c r="AC512" s="591" t="n"/>
      <c r="AD512" s="592" t="n"/>
      <c r="AE512" s="593" t="n"/>
      <c r="AF512" s="594" t="n"/>
      <c r="AG512" s="693" t="n"/>
      <c r="AH512" s="721" t="n"/>
      <c r="AI512" s="721" t="n"/>
      <c r="AJ512" s="688" t="n"/>
      <c r="AK512" s="689" t="n"/>
      <c r="AL512" s="690" t="n"/>
      <c r="AM512" s="691" t="n"/>
      <c r="AN512" s="692" t="n"/>
      <c r="AO512" s="693" t="n"/>
      <c r="AP512" s="693" t="n"/>
      <c r="AQ512" s="693" t="n"/>
      <c r="AR512" s="693" t="n"/>
      <c r="AS512" s="693" t="n"/>
      <c r="AT512" s="693" t="n"/>
      <c r="AU512" s="699" t="n"/>
      <c r="AV512" s="693" t="n"/>
      <c r="AW512" s="693" t="n"/>
      <c r="AX512" s="693" t="n"/>
      <c r="AY512" s="693" t="n"/>
      <c r="AZ512" s="693" t="n"/>
    </row>
    <row r="513">
      <c r="A513" s="688" t="n"/>
      <c r="B513" s="688" t="n"/>
      <c r="C513" s="473" t="n"/>
      <c r="D513" s="688" t="n"/>
      <c r="E513" s="689" t="n"/>
      <c r="F513" s="721" t="n"/>
      <c r="G5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3" s="474">
        <f>G513/#REF!</f>
        <v/>
      </c>
      <c r="I513" s="690" t="n"/>
      <c r="J5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3" s="474">
        <f>J513/#REF!</f>
        <v/>
      </c>
      <c r="L513" s="473" t="n"/>
      <c r="M513" s="692" t="n"/>
      <c r="N513" s="693" t="n"/>
      <c r="O513" s="78" t="n"/>
      <c r="P513" s="129" t="n"/>
      <c r="Q513" s="129" t="n"/>
      <c r="R513" s="129" t="n"/>
      <c r="S513" s="129" t="n"/>
      <c r="T513" s="129" t="n"/>
      <c r="U513" s="129" t="n"/>
      <c r="V513" s="129" t="n"/>
      <c r="W513" s="129" t="n"/>
      <c r="X513" s="129" t="n"/>
      <c r="Y513" s="703" t="n"/>
      <c r="Z513" s="704" t="n"/>
      <c r="AA513" s="705" t="n"/>
      <c r="AB513" s="613" t="n"/>
      <c r="AC513" s="614" t="n"/>
      <c r="AD513" s="628" t="n"/>
      <c r="AE513" s="616" t="n"/>
      <c r="AF513" s="617" t="n"/>
      <c r="AG513" s="693" t="n"/>
      <c r="AH513" s="721" t="n"/>
      <c r="AI513" s="721" t="n"/>
      <c r="AJ513" s="688" t="n"/>
      <c r="AK513" s="689" t="n"/>
      <c r="AL513" s="690" t="n"/>
      <c r="AM513" s="691" t="n"/>
      <c r="AN513" s="692" t="n"/>
      <c r="AO513" s="693" t="n"/>
      <c r="AP513" s="693" t="n"/>
      <c r="AQ513" s="693" t="n"/>
      <c r="AR513" s="693" t="n"/>
      <c r="AS513" s="693" t="n"/>
      <c r="AT513" s="693" t="n"/>
      <c r="AU513" s="699" t="n"/>
      <c r="AV513" s="693" t="n"/>
      <c r="AW513" s="693" t="n"/>
      <c r="AX513" s="693" t="n"/>
      <c r="AY513" s="693" t="n"/>
      <c r="AZ513" s="693" t="n"/>
    </row>
    <row r="514">
      <c r="A514" s="688" t="n"/>
      <c r="B514" s="688" t="n"/>
      <c r="C514" s="473" t="n"/>
      <c r="D514" s="688" t="n"/>
      <c r="E514" s="689" t="n"/>
      <c r="F514" s="721" t="n"/>
      <c r="G5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4" s="474">
        <f>G514/#REF!</f>
        <v/>
      </c>
      <c r="I514" s="690" t="n"/>
      <c r="J5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4" s="474">
        <f>J514/#REF!</f>
        <v/>
      </c>
      <c r="L514" s="473" t="n"/>
      <c r="M514" s="692" t="n"/>
      <c r="N514" s="693" t="n"/>
      <c r="O514" s="78" t="n"/>
      <c r="P514" s="129" t="n"/>
      <c r="Q514" s="129" t="n"/>
      <c r="R514" s="129" t="n"/>
      <c r="S514" s="129" t="n"/>
      <c r="T514" s="129" t="n"/>
      <c r="U514" s="129" t="n"/>
      <c r="V514" s="129" t="n"/>
      <c r="W514" s="129" t="n"/>
      <c r="X514" s="129" t="n"/>
      <c r="Y514" s="708" t="n"/>
      <c r="Z514" s="709" t="n"/>
      <c r="AA514" s="710" t="n"/>
      <c r="AB514" s="590" t="n"/>
      <c r="AC514" s="591" t="n"/>
      <c r="AD514" s="592" t="n"/>
      <c r="AE514" s="593" t="n"/>
      <c r="AF514" s="594" t="n"/>
      <c r="AG514" s="693" t="n"/>
      <c r="AH514" s="721" t="n"/>
      <c r="AI514" s="721" t="n"/>
      <c r="AJ514" s="688" t="n"/>
      <c r="AK514" s="689" t="n"/>
      <c r="AL514" s="690" t="n"/>
      <c r="AM514" s="691" t="n"/>
      <c r="AN514" s="692" t="n"/>
      <c r="AO514" s="693" t="n"/>
      <c r="AP514" s="693" t="n"/>
      <c r="AQ514" s="693" t="n"/>
      <c r="AR514" s="693" t="n"/>
      <c r="AS514" s="693" t="n"/>
      <c r="AT514" s="693" t="n"/>
      <c r="AU514" s="699" t="n"/>
      <c r="AV514" s="693" t="n"/>
      <c r="AW514" s="693" t="n"/>
      <c r="AX514" s="693" t="n"/>
      <c r="AY514" s="693" t="n"/>
      <c r="AZ514" s="693" t="n"/>
    </row>
    <row r="515">
      <c r="A515" s="688" t="n"/>
      <c r="B515" s="688" t="n"/>
      <c r="C515" s="473" t="n"/>
      <c r="D515" s="688" t="n"/>
      <c r="E515" s="689" t="n"/>
      <c r="F515" s="721" t="n"/>
      <c r="G5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5" s="474">
        <f>G515/#REF!</f>
        <v/>
      </c>
      <c r="I515" s="690" t="n"/>
      <c r="J5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5" s="474">
        <f>J515/#REF!</f>
        <v/>
      </c>
      <c r="L515" s="473" t="n"/>
      <c r="M515" s="692" t="n"/>
      <c r="N515" s="693" t="n"/>
      <c r="O515" s="78" t="n"/>
      <c r="P515" s="129" t="n"/>
      <c r="Q515" s="129" t="n"/>
      <c r="R515" s="129" t="n"/>
      <c r="S515" s="129" t="n"/>
      <c r="T515" s="129" t="n"/>
      <c r="U515" s="129" t="n"/>
      <c r="V515" s="129" t="n"/>
      <c r="W515" s="129" t="n"/>
      <c r="X515" s="129" t="n"/>
      <c r="Y515" s="703" t="n"/>
      <c r="Z515" s="704" t="n"/>
      <c r="AA515" s="705" t="n"/>
      <c r="AB515" s="613" t="n"/>
      <c r="AC515" s="614" t="n"/>
      <c r="AD515" s="628" t="n"/>
      <c r="AE515" s="616" t="n"/>
      <c r="AF515" s="617" t="n"/>
      <c r="AG515" s="693" t="n"/>
      <c r="AH515" s="721" t="n"/>
      <c r="AI515" s="721" t="n"/>
      <c r="AJ515" s="688" t="n"/>
      <c r="AK515" s="689" t="n"/>
      <c r="AL515" s="690" t="n"/>
      <c r="AM515" s="691" t="n"/>
      <c r="AN515" s="692" t="n"/>
      <c r="AO515" s="693" t="n"/>
      <c r="AP515" s="693" t="n"/>
      <c r="AQ515" s="693" t="n"/>
      <c r="AR515" s="693" t="n"/>
      <c r="AS515" s="693" t="n"/>
      <c r="AT515" s="693" t="n"/>
      <c r="AU515" s="699" t="n"/>
      <c r="AV515" s="693" t="n"/>
      <c r="AW515" s="693" t="n"/>
      <c r="AX515" s="693" t="n"/>
      <c r="AY515" s="693" t="n"/>
      <c r="AZ515" s="693" t="n"/>
    </row>
    <row r="516">
      <c r="A516" s="688" t="n"/>
      <c r="B516" s="688" t="n"/>
      <c r="C516" s="473" t="n"/>
      <c r="D516" s="688" t="n"/>
      <c r="E516" s="689" t="n"/>
      <c r="F516" s="721" t="n"/>
      <c r="G5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6" s="474">
        <f>G516/#REF!</f>
        <v/>
      </c>
      <c r="I516" s="690" t="n"/>
      <c r="J5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6" s="474">
        <f>J516/#REF!</f>
        <v/>
      </c>
      <c r="L516" s="473" t="n"/>
      <c r="M516" s="692" t="n"/>
      <c r="N516" s="693" t="n"/>
      <c r="O516" s="78" t="n"/>
      <c r="P516" s="129" t="n"/>
      <c r="Q516" s="129" t="n"/>
      <c r="R516" s="129" t="n"/>
      <c r="S516" s="129" t="n"/>
      <c r="T516" s="129" t="n"/>
      <c r="U516" s="129" t="n"/>
      <c r="V516" s="129" t="n"/>
      <c r="W516" s="129" t="n"/>
      <c r="X516" s="129" t="n"/>
      <c r="Y516" s="708" t="n"/>
      <c r="Z516" s="709" t="n"/>
      <c r="AA516" s="710" t="n"/>
      <c r="AB516" s="590" t="n"/>
      <c r="AC516" s="591" t="n"/>
      <c r="AD516" s="592" t="n"/>
      <c r="AE516" s="593" t="n"/>
      <c r="AF516" s="594" t="n"/>
      <c r="AG516" s="693" t="n"/>
      <c r="AH516" s="721" t="n"/>
      <c r="AI516" s="721" t="n"/>
      <c r="AJ516" s="688" t="n"/>
      <c r="AK516" s="689" t="n"/>
      <c r="AL516" s="690" t="n"/>
      <c r="AM516" s="691" t="n"/>
      <c r="AN516" s="692" t="n"/>
      <c r="AO516" s="693" t="n"/>
      <c r="AP516" s="693" t="n"/>
      <c r="AQ516" s="693" t="n"/>
      <c r="AR516" s="693" t="n"/>
      <c r="AS516" s="693" t="n"/>
      <c r="AT516" s="693" t="n"/>
      <c r="AU516" s="699" t="n"/>
      <c r="AV516" s="693" t="n"/>
      <c r="AW516" s="693" t="n"/>
      <c r="AX516" s="693" t="n"/>
      <c r="AY516" s="693" t="n"/>
      <c r="AZ516" s="693" t="n"/>
    </row>
    <row r="517">
      <c r="A517" s="688" t="n"/>
      <c r="B517" s="688" t="n"/>
      <c r="C517" s="473" t="n"/>
      <c r="D517" s="688" t="n"/>
      <c r="E517" s="689" t="n"/>
      <c r="F517" s="721" t="n"/>
      <c r="G5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7" s="474">
        <f>G517/#REF!</f>
        <v/>
      </c>
      <c r="I517" s="690" t="n"/>
      <c r="J5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7" s="474">
        <f>J517/#REF!</f>
        <v/>
      </c>
      <c r="L517" s="473" t="n"/>
      <c r="M517" s="692" t="n"/>
      <c r="N517" s="693" t="n"/>
      <c r="O517" s="78" t="n"/>
      <c r="P517" s="129" t="n"/>
      <c r="Q517" s="129" t="n"/>
      <c r="R517" s="129" t="n"/>
      <c r="S517" s="129" t="n"/>
      <c r="T517" s="129" t="n"/>
      <c r="U517" s="129" t="n"/>
      <c r="V517" s="129" t="n"/>
      <c r="W517" s="129" t="n"/>
      <c r="X517" s="129" t="n"/>
      <c r="Y517" s="703" t="n"/>
      <c r="Z517" s="704" t="n"/>
      <c r="AA517" s="705" t="n"/>
      <c r="AB517" s="613" t="n"/>
      <c r="AC517" s="614" t="n"/>
      <c r="AD517" s="628" t="n"/>
      <c r="AE517" s="616" t="n"/>
      <c r="AF517" s="617" t="n"/>
      <c r="AG517" s="693" t="n"/>
      <c r="AH517" s="721" t="n"/>
      <c r="AI517" s="721" t="n"/>
      <c r="AJ517" s="688" t="n"/>
      <c r="AK517" s="689" t="n"/>
      <c r="AL517" s="690" t="n"/>
      <c r="AM517" s="691" t="n"/>
      <c r="AN517" s="692" t="n"/>
      <c r="AO517" s="693" t="n"/>
      <c r="AP517" s="693" t="n"/>
      <c r="AQ517" s="693" t="n"/>
      <c r="AR517" s="693" t="n"/>
      <c r="AS517" s="693" t="n"/>
      <c r="AT517" s="693" t="n"/>
      <c r="AU517" s="699" t="n"/>
      <c r="AV517" s="693" t="n"/>
      <c r="AW517" s="693" t="n"/>
      <c r="AX517" s="693" t="n"/>
      <c r="AY517" s="693" t="n"/>
      <c r="AZ517" s="693" t="n"/>
    </row>
    <row r="518">
      <c r="A518" s="688" t="n"/>
      <c r="B518" s="688" t="n"/>
      <c r="C518" s="473" t="n"/>
      <c r="D518" s="688" t="n"/>
      <c r="E518" s="689" t="n"/>
      <c r="F518" s="721" t="n"/>
      <c r="G5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8" s="474">
        <f>G518/#REF!</f>
        <v/>
      </c>
      <c r="I518" s="690" t="n"/>
      <c r="J5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8" s="474">
        <f>J518/#REF!</f>
        <v/>
      </c>
      <c r="L518" s="473" t="n"/>
      <c r="M518" s="692" t="n"/>
      <c r="N518" s="693" t="n"/>
      <c r="O518" s="78" t="n"/>
      <c r="P518" s="129" t="n"/>
      <c r="Q518" s="129" t="n"/>
      <c r="R518" s="129" t="n"/>
      <c r="S518" s="129" t="n"/>
      <c r="T518" s="129" t="n"/>
      <c r="U518" s="129" t="n"/>
      <c r="V518" s="129" t="n"/>
      <c r="W518" s="129" t="n"/>
      <c r="X518" s="129" t="n"/>
      <c r="Y518" s="708" t="n"/>
      <c r="Z518" s="709" t="n"/>
      <c r="AA518" s="710" t="n"/>
      <c r="AB518" s="590" t="n"/>
      <c r="AC518" s="591" t="n"/>
      <c r="AD518" s="592" t="n"/>
      <c r="AE518" s="593" t="n"/>
      <c r="AF518" s="594" t="n"/>
      <c r="AG518" s="693" t="n"/>
      <c r="AH518" s="721" t="n"/>
      <c r="AI518" s="721" t="n"/>
      <c r="AJ518" s="688" t="n"/>
      <c r="AK518" s="689" t="n"/>
      <c r="AL518" s="690" t="n"/>
      <c r="AM518" s="691" t="n"/>
      <c r="AN518" s="692" t="n"/>
      <c r="AO518" s="693" t="n"/>
      <c r="AP518" s="693" t="n"/>
      <c r="AQ518" s="693" t="n"/>
      <c r="AR518" s="693" t="n"/>
      <c r="AS518" s="693" t="n"/>
      <c r="AT518" s="693" t="n"/>
      <c r="AU518" s="699" t="n"/>
      <c r="AV518" s="693" t="n"/>
      <c r="AW518" s="693" t="n"/>
      <c r="AX518" s="693" t="n"/>
      <c r="AY518" s="693" t="n"/>
      <c r="AZ518" s="693" t="n"/>
    </row>
    <row r="519">
      <c r="A519" s="688" t="n"/>
      <c r="B519" s="688" t="n"/>
      <c r="C519" s="473" t="n"/>
      <c r="D519" s="688" t="n"/>
      <c r="E519" s="689" t="n"/>
      <c r="F519" s="721" t="n"/>
      <c r="G5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19" s="474">
        <f>G519/#REF!</f>
        <v/>
      </c>
      <c r="I519" s="690" t="n"/>
      <c r="J5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19" s="474">
        <f>J519/#REF!</f>
        <v/>
      </c>
      <c r="L519" s="473" t="n"/>
      <c r="M519" s="692" t="n"/>
      <c r="N519" s="693" t="n"/>
      <c r="O519" s="78" t="n"/>
      <c r="P519" s="129" t="n"/>
      <c r="Q519" s="129" t="n"/>
      <c r="R519" s="129" t="n"/>
      <c r="S519" s="129" t="n"/>
      <c r="T519" s="129" t="n"/>
      <c r="U519" s="129" t="n"/>
      <c r="V519" s="129" t="n"/>
      <c r="W519" s="129" t="n"/>
      <c r="X519" s="129" t="n"/>
      <c r="Y519" s="703" t="n"/>
      <c r="Z519" s="704" t="n"/>
      <c r="AA519" s="705" t="n"/>
      <c r="AB519" s="613" t="n"/>
      <c r="AC519" s="614" t="n"/>
      <c r="AD519" s="628" t="n"/>
      <c r="AE519" s="616" t="n"/>
      <c r="AF519" s="617" t="n"/>
      <c r="AG519" s="693" t="n"/>
      <c r="AH519" s="721" t="n"/>
      <c r="AI519" s="721" t="n"/>
      <c r="AJ519" s="688" t="n"/>
      <c r="AK519" s="689" t="n"/>
      <c r="AL519" s="690" t="n"/>
      <c r="AM519" s="691" t="n"/>
      <c r="AN519" s="692" t="n"/>
      <c r="AO519" s="693" t="n"/>
      <c r="AP519" s="693" t="n"/>
      <c r="AQ519" s="693" t="n"/>
      <c r="AR519" s="693" t="n"/>
      <c r="AS519" s="693" t="n"/>
      <c r="AT519" s="693" t="n"/>
      <c r="AU519" s="699" t="n"/>
      <c r="AV519" s="693" t="n"/>
      <c r="AW519" s="693" t="n"/>
      <c r="AX519" s="693" t="n"/>
      <c r="AY519" s="693" t="n"/>
      <c r="AZ519" s="693" t="n"/>
    </row>
    <row r="520">
      <c r="A520" s="688" t="n"/>
      <c r="B520" s="688" t="n"/>
      <c r="C520" s="473" t="n"/>
      <c r="D520" s="688" t="n"/>
      <c r="E520" s="689" t="n"/>
      <c r="F520" s="721" t="n"/>
      <c r="G5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0" s="474">
        <f>G520/#REF!</f>
        <v/>
      </c>
      <c r="I520" s="690" t="n"/>
      <c r="J5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0" s="474">
        <f>J520/#REF!</f>
        <v/>
      </c>
      <c r="L520" s="473" t="n"/>
      <c r="M520" s="692" t="n"/>
      <c r="N520" s="693" t="n"/>
      <c r="O520" s="78" t="n"/>
      <c r="P520" s="129" t="n"/>
      <c r="Q520" s="129" t="n"/>
      <c r="R520" s="129" t="n"/>
      <c r="S520" s="129" t="n"/>
      <c r="T520" s="129" t="n"/>
      <c r="U520" s="129" t="n"/>
      <c r="V520" s="129" t="n"/>
      <c r="W520" s="129" t="n"/>
      <c r="X520" s="129" t="n"/>
      <c r="Y520" s="708" t="n"/>
      <c r="Z520" s="709" t="n"/>
      <c r="AA520" s="710" t="n"/>
      <c r="AB520" s="590" t="n"/>
      <c r="AC520" s="591" t="n"/>
      <c r="AD520" s="592" t="n"/>
      <c r="AE520" s="593" t="n"/>
      <c r="AF520" s="594" t="n"/>
      <c r="AG520" s="693" t="n"/>
      <c r="AH520" s="721" t="n"/>
      <c r="AI520" s="721" t="n"/>
      <c r="AJ520" s="688" t="n"/>
      <c r="AK520" s="689" t="n"/>
      <c r="AL520" s="690" t="n"/>
      <c r="AM520" s="691" t="n"/>
      <c r="AN520" s="692" t="n"/>
      <c r="AO520" s="693" t="n"/>
      <c r="AP520" s="693" t="n"/>
      <c r="AQ520" s="693" t="n"/>
      <c r="AR520" s="693" t="n"/>
      <c r="AS520" s="693" t="n"/>
      <c r="AT520" s="693" t="n"/>
      <c r="AU520" s="699" t="n"/>
      <c r="AV520" s="693" t="n"/>
      <c r="AW520" s="693" t="n"/>
      <c r="AX520" s="693" t="n"/>
      <c r="AY520" s="693" t="n"/>
      <c r="AZ520" s="693" t="n"/>
    </row>
    <row r="521">
      <c r="A521" s="688" t="n"/>
      <c r="B521" s="688" t="n"/>
      <c r="C521" s="473" t="n"/>
      <c r="D521" s="688" t="n"/>
      <c r="E521" s="689" t="n"/>
      <c r="F521" s="721" t="n"/>
      <c r="G5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1" s="474">
        <f>G521/#REF!</f>
        <v/>
      </c>
      <c r="I521" s="690" t="n"/>
      <c r="J5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1" s="474">
        <f>J521/#REF!</f>
        <v/>
      </c>
      <c r="L521" s="473" t="n"/>
      <c r="M521" s="692" t="n"/>
      <c r="N521" s="693" t="n"/>
      <c r="O521" s="78" t="n"/>
      <c r="P521" s="129" t="n"/>
      <c r="Q521" s="129" t="n"/>
      <c r="R521" s="129" t="n"/>
      <c r="S521" s="129" t="n"/>
      <c r="T521" s="129" t="n"/>
      <c r="U521" s="129" t="n"/>
      <c r="V521" s="129" t="n"/>
      <c r="W521" s="129" t="n"/>
      <c r="X521" s="129" t="n"/>
      <c r="Y521" s="703" t="n"/>
      <c r="Z521" s="704" t="n"/>
      <c r="AA521" s="705" t="n"/>
      <c r="AB521" s="613" t="n"/>
      <c r="AC521" s="614" t="n"/>
      <c r="AD521" s="628" t="n"/>
      <c r="AE521" s="616" t="n"/>
      <c r="AF521" s="617" t="n"/>
      <c r="AG521" s="693" t="n"/>
      <c r="AH521" s="721" t="n"/>
      <c r="AI521" s="721" t="n"/>
      <c r="AJ521" s="688" t="n"/>
      <c r="AK521" s="689" t="n"/>
      <c r="AL521" s="690" t="n"/>
      <c r="AM521" s="691" t="n"/>
      <c r="AN521" s="692" t="n"/>
      <c r="AO521" s="693" t="n"/>
      <c r="AP521" s="693" t="n"/>
      <c r="AQ521" s="693" t="n"/>
      <c r="AR521" s="693" t="n"/>
      <c r="AS521" s="693" t="n"/>
      <c r="AT521" s="693" t="n"/>
      <c r="AU521" s="699" t="n"/>
      <c r="AV521" s="693" t="n"/>
      <c r="AW521" s="693" t="n"/>
      <c r="AX521" s="693" t="n"/>
      <c r="AY521" s="693" t="n"/>
      <c r="AZ521" s="693" t="n"/>
    </row>
    <row r="522">
      <c r="A522" s="688" t="n"/>
      <c r="B522" s="688" t="n"/>
      <c r="C522" s="473" t="n"/>
      <c r="D522" s="688" t="n"/>
      <c r="E522" s="689" t="n"/>
      <c r="F522" s="721" t="n"/>
      <c r="G5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2" s="474">
        <f>G522/#REF!</f>
        <v/>
      </c>
      <c r="I522" s="690" t="n"/>
      <c r="J5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2" s="474">
        <f>J522/#REF!</f>
        <v/>
      </c>
      <c r="L522" s="473" t="n"/>
      <c r="M522" s="692" t="n"/>
      <c r="N522" s="693" t="n"/>
      <c r="O522" s="78" t="n"/>
      <c r="P522" s="129" t="n"/>
      <c r="Q522" s="129" t="n"/>
      <c r="R522" s="129" t="n"/>
      <c r="S522" s="129" t="n"/>
      <c r="T522" s="129" t="n"/>
      <c r="U522" s="129" t="n"/>
      <c r="V522" s="129" t="n"/>
      <c r="W522" s="129" t="n"/>
      <c r="X522" s="129" t="n"/>
      <c r="Y522" s="708" t="n"/>
      <c r="Z522" s="709" t="n"/>
      <c r="AA522" s="710" t="n"/>
      <c r="AB522" s="590" t="n"/>
      <c r="AC522" s="591" t="n"/>
      <c r="AD522" s="592" t="n"/>
      <c r="AE522" s="593" t="n"/>
      <c r="AF522" s="594" t="n"/>
      <c r="AG522" s="693" t="n"/>
      <c r="AH522" s="721" t="n"/>
      <c r="AI522" s="721" t="n"/>
      <c r="AJ522" s="688" t="n"/>
      <c r="AK522" s="689" t="n"/>
      <c r="AL522" s="690" t="n"/>
      <c r="AM522" s="691" t="n"/>
      <c r="AN522" s="692" t="n"/>
      <c r="AO522" s="693" t="n"/>
      <c r="AP522" s="693" t="n"/>
      <c r="AQ522" s="693" t="n"/>
      <c r="AR522" s="693" t="n"/>
      <c r="AS522" s="693" t="n"/>
      <c r="AT522" s="693" t="n"/>
      <c r="AU522" s="699" t="n"/>
      <c r="AV522" s="693" t="n"/>
      <c r="AW522" s="693" t="n"/>
      <c r="AX522" s="693" t="n"/>
      <c r="AY522" s="693" t="n"/>
      <c r="AZ522" s="693" t="n"/>
    </row>
    <row r="523">
      <c r="A523" s="688" t="n"/>
      <c r="B523" s="688" t="n"/>
      <c r="C523" s="473" t="n"/>
      <c r="D523" s="688" t="n"/>
      <c r="E523" s="689" t="n"/>
      <c r="F523" s="721" t="n"/>
      <c r="G5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3" s="474">
        <f>G523/#REF!</f>
        <v/>
      </c>
      <c r="I523" s="690" t="n"/>
      <c r="J5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3" s="474">
        <f>J523/#REF!</f>
        <v/>
      </c>
      <c r="L523" s="473" t="n"/>
      <c r="M523" s="692" t="n"/>
      <c r="N523" s="693" t="n"/>
      <c r="O523" s="78" t="n"/>
      <c r="P523" s="129" t="n"/>
      <c r="Q523" s="129" t="n"/>
      <c r="R523" s="129" t="n"/>
      <c r="S523" s="129" t="n"/>
      <c r="T523" s="129" t="n"/>
      <c r="U523" s="129" t="n"/>
      <c r="V523" s="129" t="n"/>
      <c r="W523" s="129" t="n"/>
      <c r="X523" s="129" t="n"/>
      <c r="Y523" s="703" t="n"/>
      <c r="Z523" s="704" t="n"/>
      <c r="AA523" s="705" t="n"/>
      <c r="AB523" s="613" t="n"/>
      <c r="AC523" s="614" t="n"/>
      <c r="AD523" s="628" t="n"/>
      <c r="AE523" s="616" t="n"/>
      <c r="AF523" s="617" t="n"/>
      <c r="AG523" s="693" t="n"/>
      <c r="AH523" s="721" t="n"/>
      <c r="AI523" s="721" t="n"/>
      <c r="AJ523" s="688" t="n"/>
      <c r="AK523" s="689" t="n"/>
      <c r="AL523" s="690" t="n"/>
      <c r="AM523" s="691" t="n"/>
      <c r="AN523" s="692" t="n"/>
      <c r="AO523" s="693" t="n"/>
      <c r="AP523" s="693" t="n"/>
      <c r="AQ523" s="693" t="n"/>
      <c r="AR523" s="693" t="n"/>
      <c r="AS523" s="693" t="n"/>
      <c r="AT523" s="693" t="n"/>
      <c r="AU523" s="699" t="n"/>
      <c r="AV523" s="693" t="n"/>
      <c r="AW523" s="693" t="n"/>
      <c r="AX523" s="693" t="n"/>
      <c r="AY523" s="693" t="n"/>
      <c r="AZ523" s="693" t="n"/>
    </row>
    <row r="524">
      <c r="A524" s="688" t="n"/>
      <c r="B524" s="688" t="n"/>
      <c r="C524" s="473" t="n"/>
      <c r="D524" s="688" t="n"/>
      <c r="E524" s="689" t="n"/>
      <c r="F524" s="721" t="n"/>
      <c r="G5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4" s="474">
        <f>G524/#REF!</f>
        <v/>
      </c>
      <c r="I524" s="690" t="n"/>
      <c r="J5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4" s="474">
        <f>J524/#REF!</f>
        <v/>
      </c>
      <c r="L524" s="473" t="n"/>
      <c r="M524" s="692" t="n"/>
      <c r="N524" s="693" t="n"/>
      <c r="O524" s="78" t="n"/>
      <c r="P524" s="129" t="n"/>
      <c r="Q524" s="129" t="n"/>
      <c r="R524" s="129" t="n"/>
      <c r="S524" s="129" t="n"/>
      <c r="T524" s="129" t="n"/>
      <c r="U524" s="129" t="n"/>
      <c r="V524" s="129" t="n"/>
      <c r="W524" s="129" t="n"/>
      <c r="X524" s="129" t="n"/>
      <c r="Y524" s="708" t="n"/>
      <c r="Z524" s="709" t="n"/>
      <c r="AA524" s="710" t="n"/>
      <c r="AB524" s="590" t="n"/>
      <c r="AC524" s="591" t="n"/>
      <c r="AD524" s="592" t="n"/>
      <c r="AE524" s="593" t="n"/>
      <c r="AF524" s="594" t="n"/>
      <c r="AG524" s="693" t="n"/>
      <c r="AH524" s="721" t="n"/>
      <c r="AI524" s="721" t="n"/>
      <c r="AJ524" s="688" t="n"/>
      <c r="AK524" s="689" t="n"/>
      <c r="AL524" s="690" t="n"/>
      <c r="AM524" s="691" t="n"/>
      <c r="AN524" s="692" t="n"/>
      <c r="AO524" s="693" t="n"/>
      <c r="AP524" s="693" t="n"/>
      <c r="AQ524" s="693" t="n"/>
      <c r="AR524" s="693" t="n"/>
      <c r="AS524" s="693" t="n"/>
      <c r="AT524" s="693" t="n"/>
      <c r="AU524" s="699" t="n"/>
      <c r="AV524" s="693" t="n"/>
      <c r="AW524" s="693" t="n"/>
      <c r="AX524" s="693" t="n"/>
      <c r="AY524" s="693" t="n"/>
      <c r="AZ524" s="693" t="n"/>
    </row>
    <row r="525">
      <c r="A525" s="688" t="n"/>
      <c r="B525" s="688" t="n"/>
      <c r="C525" s="473" t="n"/>
      <c r="D525" s="688" t="n"/>
      <c r="E525" s="689" t="n"/>
      <c r="F525" s="721" t="n"/>
      <c r="G5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5" s="474">
        <f>G525/#REF!</f>
        <v/>
      </c>
      <c r="I525" s="690" t="n"/>
      <c r="J5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5" s="474">
        <f>J525/#REF!</f>
        <v/>
      </c>
      <c r="L525" s="473" t="n"/>
      <c r="M525" s="692" t="n"/>
      <c r="N525" s="693" t="n"/>
      <c r="O525" s="78" t="n"/>
      <c r="P525" s="129" t="n"/>
      <c r="Q525" s="129" t="n"/>
      <c r="R525" s="129" t="n"/>
      <c r="S525" s="129" t="n"/>
      <c r="T525" s="129" t="n"/>
      <c r="U525" s="129" t="n"/>
      <c r="V525" s="129" t="n"/>
      <c r="W525" s="129" t="n"/>
      <c r="X525" s="129" t="n"/>
      <c r="Y525" s="703" t="n"/>
      <c r="Z525" s="704" t="n"/>
      <c r="AA525" s="705" t="n"/>
      <c r="AB525" s="613" t="n"/>
      <c r="AC525" s="614" t="n"/>
      <c r="AD525" s="628" t="n"/>
      <c r="AE525" s="616" t="n"/>
      <c r="AF525" s="617" t="n"/>
      <c r="AG525" s="693" t="n"/>
      <c r="AH525" s="721" t="n"/>
      <c r="AI525" s="721" t="n"/>
      <c r="AJ525" s="688" t="n"/>
      <c r="AK525" s="689" t="n"/>
      <c r="AL525" s="690" t="n"/>
      <c r="AM525" s="691" t="n"/>
      <c r="AN525" s="692" t="n"/>
      <c r="AO525" s="693" t="n"/>
      <c r="AP525" s="693" t="n"/>
      <c r="AQ525" s="693" t="n"/>
      <c r="AR525" s="693" t="n"/>
      <c r="AS525" s="693" t="n"/>
      <c r="AT525" s="693" t="n"/>
      <c r="AU525" s="699" t="n"/>
      <c r="AV525" s="693" t="n"/>
      <c r="AW525" s="693" t="n"/>
      <c r="AX525" s="693" t="n"/>
      <c r="AY525" s="693" t="n"/>
      <c r="AZ525" s="693" t="n"/>
    </row>
    <row r="526">
      <c r="A526" s="688" t="n"/>
      <c r="B526" s="688" t="n"/>
      <c r="C526" s="473" t="n"/>
      <c r="D526" s="688" t="n"/>
      <c r="E526" s="689" t="n"/>
      <c r="F526" s="721" t="n"/>
      <c r="G5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6" s="474">
        <f>G526/#REF!</f>
        <v/>
      </c>
      <c r="I526" s="690" t="n"/>
      <c r="J5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6" s="474">
        <f>J526/#REF!</f>
        <v/>
      </c>
      <c r="L526" s="473" t="n"/>
      <c r="M526" s="692" t="n"/>
      <c r="N526" s="693" t="n"/>
      <c r="O526" s="78" t="n"/>
      <c r="P526" s="129" t="n"/>
      <c r="Q526" s="129" t="n"/>
      <c r="R526" s="129" t="n"/>
      <c r="S526" s="129" t="n"/>
      <c r="T526" s="129" t="n"/>
      <c r="U526" s="129" t="n"/>
      <c r="V526" s="129" t="n"/>
      <c r="W526" s="129" t="n"/>
      <c r="X526" s="129" t="n"/>
      <c r="Y526" s="708" t="n"/>
      <c r="Z526" s="709" t="n"/>
      <c r="AA526" s="710" t="n"/>
      <c r="AB526" s="590" t="n"/>
      <c r="AC526" s="591" t="n"/>
      <c r="AD526" s="592" t="n"/>
      <c r="AE526" s="593" t="n"/>
      <c r="AF526" s="594" t="n"/>
      <c r="AG526" s="693" t="n"/>
      <c r="AH526" s="721" t="n"/>
      <c r="AI526" s="721" t="n"/>
      <c r="AJ526" s="688" t="n"/>
      <c r="AK526" s="689" t="n"/>
      <c r="AL526" s="690" t="n"/>
      <c r="AM526" s="691" t="n"/>
      <c r="AN526" s="692" t="n"/>
      <c r="AO526" s="693" t="n"/>
      <c r="AP526" s="693" t="n"/>
      <c r="AQ526" s="693" t="n"/>
      <c r="AR526" s="693" t="n"/>
      <c r="AS526" s="693" t="n"/>
      <c r="AT526" s="693" t="n"/>
      <c r="AU526" s="699" t="n"/>
      <c r="AV526" s="693" t="n"/>
      <c r="AW526" s="693" t="n"/>
      <c r="AX526" s="693" t="n"/>
      <c r="AY526" s="693" t="n"/>
      <c r="AZ526" s="693" t="n"/>
    </row>
    <row r="527">
      <c r="A527" s="688" t="n"/>
      <c r="B527" s="688" t="n"/>
      <c r="C527" s="473" t="n"/>
      <c r="D527" s="688" t="n"/>
      <c r="E527" s="689" t="n"/>
      <c r="F527" s="721" t="n"/>
      <c r="G5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7" s="474">
        <f>G527/#REF!</f>
        <v/>
      </c>
      <c r="I527" s="690" t="n"/>
      <c r="J5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7" s="474">
        <f>J527/#REF!</f>
        <v/>
      </c>
      <c r="L527" s="473" t="n"/>
      <c r="M527" s="692" t="n"/>
      <c r="N527" s="693" t="n"/>
      <c r="O527" s="78" t="n"/>
      <c r="P527" s="129" t="n"/>
      <c r="Q527" s="129" t="n"/>
      <c r="R527" s="129" t="n"/>
      <c r="S527" s="129" t="n"/>
      <c r="T527" s="129" t="n"/>
      <c r="U527" s="129" t="n"/>
      <c r="V527" s="129" t="n"/>
      <c r="W527" s="129" t="n"/>
      <c r="X527" s="129" t="n"/>
      <c r="Y527" s="703" t="n"/>
      <c r="Z527" s="704" t="n"/>
      <c r="AA527" s="705" t="n"/>
      <c r="AB527" s="613" t="n"/>
      <c r="AC527" s="614" t="n"/>
      <c r="AD527" s="628" t="n"/>
      <c r="AE527" s="616" t="n"/>
      <c r="AF527" s="617" t="n"/>
      <c r="AG527" s="693" t="n"/>
      <c r="AH527" s="721" t="n"/>
      <c r="AI527" s="721" t="n"/>
      <c r="AJ527" s="688" t="n"/>
      <c r="AK527" s="689" t="n"/>
      <c r="AL527" s="690" t="n"/>
      <c r="AM527" s="691" t="n"/>
      <c r="AN527" s="692" t="n"/>
      <c r="AO527" s="693" t="n"/>
      <c r="AP527" s="693" t="n"/>
      <c r="AQ527" s="693" t="n"/>
      <c r="AR527" s="693" t="n"/>
      <c r="AS527" s="693" t="n"/>
      <c r="AT527" s="693" t="n"/>
      <c r="AU527" s="699" t="n"/>
      <c r="AV527" s="693" t="n"/>
      <c r="AW527" s="693" t="n"/>
      <c r="AX527" s="693" t="n"/>
      <c r="AY527" s="693" t="n"/>
      <c r="AZ527" s="693" t="n"/>
    </row>
    <row r="528">
      <c r="A528" s="688" t="n"/>
      <c r="B528" s="688" t="n"/>
      <c r="C528" s="473" t="n"/>
      <c r="D528" s="688" t="n"/>
      <c r="E528" s="689" t="n"/>
      <c r="F528" s="721" t="n"/>
      <c r="G5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8" s="474">
        <f>G528/#REF!</f>
        <v/>
      </c>
      <c r="I528" s="690" t="n"/>
      <c r="J5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8" s="474">
        <f>J528/#REF!</f>
        <v/>
      </c>
      <c r="L528" s="473" t="n"/>
      <c r="M528" s="692" t="n"/>
      <c r="N528" s="693" t="n"/>
      <c r="O528" s="78" t="n"/>
      <c r="P528" s="129" t="n"/>
      <c r="Q528" s="129" t="n"/>
      <c r="R528" s="129" t="n"/>
      <c r="S528" s="129" t="n"/>
      <c r="T528" s="129" t="n"/>
      <c r="U528" s="129" t="n"/>
      <c r="V528" s="129" t="n"/>
      <c r="W528" s="129" t="n"/>
      <c r="X528" s="129" t="n"/>
      <c r="Y528" s="708" t="n"/>
      <c r="Z528" s="709" t="n"/>
      <c r="AA528" s="710" t="n"/>
      <c r="AB528" s="590" t="n"/>
      <c r="AC528" s="591" t="n"/>
      <c r="AD528" s="592" t="n"/>
      <c r="AE528" s="593" t="n"/>
      <c r="AF528" s="594" t="n"/>
      <c r="AG528" s="693" t="n"/>
      <c r="AH528" s="721" t="n"/>
      <c r="AI528" s="721" t="n"/>
      <c r="AJ528" s="688" t="n"/>
      <c r="AK528" s="689" t="n"/>
      <c r="AL528" s="690" t="n"/>
      <c r="AM528" s="691" t="n"/>
      <c r="AN528" s="692" t="n"/>
      <c r="AO528" s="693" t="n"/>
      <c r="AP528" s="693" t="n"/>
      <c r="AQ528" s="693" t="n"/>
      <c r="AR528" s="693" t="n"/>
      <c r="AS528" s="693" t="n"/>
      <c r="AT528" s="693" t="n"/>
      <c r="AU528" s="699" t="n"/>
      <c r="AV528" s="693" t="n"/>
      <c r="AW528" s="693" t="n"/>
      <c r="AX528" s="693" t="n"/>
      <c r="AY528" s="693" t="n"/>
      <c r="AZ528" s="693" t="n"/>
    </row>
    <row r="529">
      <c r="A529" s="688" t="n"/>
      <c r="B529" s="688" t="n"/>
      <c r="C529" s="473" t="n"/>
      <c r="D529" s="688" t="n"/>
      <c r="E529" s="689" t="n"/>
      <c r="F529" s="721" t="n"/>
      <c r="G5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29" s="474">
        <f>G529/#REF!</f>
        <v/>
      </c>
      <c r="I529" s="690" t="n"/>
      <c r="J5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29" s="474">
        <f>J529/#REF!</f>
        <v/>
      </c>
      <c r="L529" s="473" t="n"/>
      <c r="M529" s="692" t="n"/>
      <c r="N529" s="693" t="n"/>
      <c r="O529" s="78" t="n"/>
      <c r="P529" s="129" t="n"/>
      <c r="Q529" s="129" t="n"/>
      <c r="R529" s="129" t="n"/>
      <c r="S529" s="129" t="n"/>
      <c r="T529" s="129" t="n"/>
      <c r="U529" s="129" t="n"/>
      <c r="V529" s="129" t="n"/>
      <c r="W529" s="129" t="n"/>
      <c r="X529" s="129" t="n"/>
      <c r="Y529" s="703" t="n"/>
      <c r="Z529" s="704" t="n"/>
      <c r="AA529" s="705" t="n"/>
      <c r="AB529" s="613" t="n"/>
      <c r="AC529" s="614" t="n"/>
      <c r="AD529" s="628" t="n"/>
      <c r="AE529" s="616" t="n"/>
      <c r="AF529" s="617" t="n"/>
      <c r="AG529" s="693" t="n"/>
      <c r="AH529" s="721" t="n"/>
      <c r="AI529" s="721" t="n"/>
      <c r="AJ529" s="688" t="n"/>
      <c r="AK529" s="689" t="n"/>
      <c r="AL529" s="690" t="n"/>
      <c r="AM529" s="691" t="n"/>
      <c r="AN529" s="692" t="n"/>
      <c r="AO529" s="693" t="n"/>
      <c r="AP529" s="693" t="n"/>
      <c r="AQ529" s="693" t="n"/>
      <c r="AR529" s="693" t="n"/>
      <c r="AS529" s="693" t="n"/>
      <c r="AT529" s="693" t="n"/>
      <c r="AU529" s="699" t="n"/>
      <c r="AV529" s="693" t="n"/>
      <c r="AW529" s="693" t="n"/>
      <c r="AX529" s="693" t="n"/>
      <c r="AY529" s="693" t="n"/>
      <c r="AZ529" s="693" t="n"/>
    </row>
    <row r="530">
      <c r="A530" s="688" t="n"/>
      <c r="B530" s="688" t="n"/>
      <c r="C530" s="473" t="n"/>
      <c r="D530" s="688" t="n"/>
      <c r="E530" s="689" t="n"/>
      <c r="F530" s="721" t="n"/>
      <c r="G5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0" s="474">
        <f>G530/#REF!</f>
        <v/>
      </c>
      <c r="I530" s="690" t="n"/>
      <c r="J5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0" s="474">
        <f>J530/#REF!</f>
        <v/>
      </c>
      <c r="L530" s="473" t="n"/>
      <c r="M530" s="692" t="n"/>
      <c r="N530" s="693" t="n"/>
      <c r="O530" s="78" t="n"/>
      <c r="P530" s="129" t="n"/>
      <c r="Q530" s="129" t="n"/>
      <c r="R530" s="129" t="n"/>
      <c r="S530" s="129" t="n"/>
      <c r="T530" s="129" t="n"/>
      <c r="U530" s="129" t="n"/>
      <c r="V530" s="129" t="n"/>
      <c r="W530" s="129" t="n"/>
      <c r="X530" s="129" t="n"/>
      <c r="Y530" s="708" t="n"/>
      <c r="Z530" s="709" t="n"/>
      <c r="AA530" s="710" t="n"/>
      <c r="AB530" s="590" t="n"/>
      <c r="AC530" s="591" t="n"/>
      <c r="AD530" s="592" t="n"/>
      <c r="AE530" s="593" t="n"/>
      <c r="AF530" s="594" t="n"/>
      <c r="AG530" s="693" t="n"/>
      <c r="AH530" s="721" t="n"/>
      <c r="AI530" s="721" t="n"/>
      <c r="AJ530" s="688" t="n"/>
      <c r="AK530" s="689" t="n"/>
      <c r="AL530" s="690" t="n"/>
      <c r="AM530" s="691" t="n"/>
      <c r="AN530" s="692" t="n"/>
      <c r="AO530" s="693" t="n"/>
      <c r="AP530" s="693" t="n"/>
      <c r="AQ530" s="693" t="n"/>
      <c r="AR530" s="693" t="n"/>
      <c r="AS530" s="693" t="n"/>
      <c r="AT530" s="693" t="n"/>
      <c r="AU530" s="699" t="n"/>
      <c r="AV530" s="693" t="n"/>
      <c r="AW530" s="693" t="n"/>
      <c r="AX530" s="693" t="n"/>
      <c r="AY530" s="693" t="n"/>
      <c r="AZ530" s="693" t="n"/>
    </row>
    <row r="531">
      <c r="A531" s="688" t="n"/>
      <c r="B531" s="688" t="n"/>
      <c r="C531" s="473" t="n"/>
      <c r="D531" s="688" t="n"/>
      <c r="E531" s="689" t="n"/>
      <c r="F531" s="721" t="n"/>
      <c r="G5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1" s="474">
        <f>G531/#REF!</f>
        <v/>
      </c>
      <c r="I531" s="690" t="n"/>
      <c r="J5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1" s="474">
        <f>J531/#REF!</f>
        <v/>
      </c>
      <c r="L531" s="473" t="n"/>
      <c r="M531" s="692" t="n"/>
      <c r="N531" s="693" t="n"/>
      <c r="O531" s="78" t="n"/>
      <c r="P531" s="129" t="n"/>
      <c r="Q531" s="129" t="n"/>
      <c r="R531" s="129" t="n"/>
      <c r="S531" s="129" t="n"/>
      <c r="T531" s="129" t="n"/>
      <c r="U531" s="129" t="n"/>
      <c r="V531" s="129" t="n"/>
      <c r="W531" s="129" t="n"/>
      <c r="X531" s="129" t="n"/>
      <c r="Y531" s="703" t="n"/>
      <c r="Z531" s="704" t="n"/>
      <c r="AA531" s="705" t="n"/>
      <c r="AB531" s="613" t="n"/>
      <c r="AC531" s="614" t="n"/>
      <c r="AD531" s="628" t="n"/>
      <c r="AE531" s="616" t="n"/>
      <c r="AF531" s="617" t="n"/>
      <c r="AG531" s="693" t="n"/>
      <c r="AH531" s="721" t="n"/>
      <c r="AI531" s="721" t="n"/>
      <c r="AJ531" s="688" t="n"/>
      <c r="AK531" s="689" t="n"/>
      <c r="AL531" s="690" t="n"/>
      <c r="AM531" s="691" t="n"/>
      <c r="AN531" s="692" t="n"/>
      <c r="AO531" s="693" t="n"/>
      <c r="AP531" s="693" t="n"/>
      <c r="AQ531" s="693" t="n"/>
      <c r="AR531" s="693" t="n"/>
      <c r="AS531" s="693" t="n"/>
      <c r="AT531" s="693" t="n"/>
      <c r="AU531" s="699" t="n"/>
      <c r="AV531" s="693" t="n"/>
      <c r="AW531" s="693" t="n"/>
      <c r="AX531" s="693" t="n"/>
      <c r="AY531" s="693" t="n"/>
      <c r="AZ531" s="693" t="n"/>
    </row>
    <row r="532">
      <c r="A532" s="688" t="n"/>
      <c r="B532" s="688" t="n"/>
      <c r="C532" s="473" t="n"/>
      <c r="D532" s="688" t="n"/>
      <c r="E532" s="689" t="n"/>
      <c r="F532" s="721" t="n"/>
      <c r="G5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2" s="474">
        <f>G532/#REF!</f>
        <v/>
      </c>
      <c r="I532" s="690" t="n"/>
      <c r="J5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2" s="474">
        <f>J532/#REF!</f>
        <v/>
      </c>
      <c r="L532" s="473" t="n"/>
      <c r="M532" s="692" t="n"/>
      <c r="N532" s="693" t="n"/>
      <c r="O532" s="78" t="n"/>
      <c r="P532" s="129" t="n"/>
      <c r="Q532" s="129" t="n"/>
      <c r="R532" s="129" t="n"/>
      <c r="S532" s="129" t="n"/>
      <c r="T532" s="129" t="n"/>
      <c r="U532" s="129" t="n"/>
      <c r="V532" s="129" t="n"/>
      <c r="W532" s="129" t="n"/>
      <c r="X532" s="129" t="n"/>
      <c r="Y532" s="708" t="n"/>
      <c r="Z532" s="709" t="n"/>
      <c r="AA532" s="710" t="n"/>
      <c r="AB532" s="590" t="n"/>
      <c r="AC532" s="591" t="n"/>
      <c r="AD532" s="592" t="n"/>
      <c r="AE532" s="593" t="n"/>
      <c r="AF532" s="594" t="n"/>
      <c r="AG532" s="693" t="n"/>
      <c r="AH532" s="721" t="n"/>
      <c r="AI532" s="721" t="n"/>
      <c r="AJ532" s="688" t="n"/>
      <c r="AK532" s="689" t="n"/>
      <c r="AL532" s="690" t="n"/>
      <c r="AM532" s="691" t="n"/>
      <c r="AN532" s="692" t="n"/>
      <c r="AO532" s="693" t="n"/>
      <c r="AP532" s="693" t="n"/>
      <c r="AQ532" s="693" t="n"/>
      <c r="AR532" s="693" t="n"/>
      <c r="AS532" s="693" t="n"/>
      <c r="AT532" s="693" t="n"/>
      <c r="AU532" s="699" t="n"/>
      <c r="AV532" s="693" t="n"/>
      <c r="AW532" s="693" t="n"/>
      <c r="AX532" s="693" t="n"/>
      <c r="AY532" s="693" t="n"/>
      <c r="AZ532" s="693" t="n"/>
    </row>
    <row r="533">
      <c r="A533" s="688" t="n"/>
      <c r="B533" s="688" t="n"/>
      <c r="C533" s="473" t="n"/>
      <c r="D533" s="688" t="n"/>
      <c r="E533" s="689" t="n"/>
      <c r="F533" s="721" t="n"/>
      <c r="G5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3" s="474">
        <f>G533/#REF!</f>
        <v/>
      </c>
      <c r="I533" s="690" t="n"/>
      <c r="J5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3" s="474">
        <f>J533/#REF!</f>
        <v/>
      </c>
      <c r="L533" s="473" t="n"/>
      <c r="M533" s="692" t="n"/>
      <c r="N533" s="693" t="n"/>
      <c r="O533" s="78" t="n"/>
      <c r="P533" s="129" t="n"/>
      <c r="Q533" s="129" t="n"/>
      <c r="R533" s="129" t="n"/>
      <c r="S533" s="129" t="n"/>
      <c r="T533" s="129" t="n"/>
      <c r="U533" s="129" t="n"/>
      <c r="V533" s="129" t="n"/>
      <c r="W533" s="129" t="n"/>
      <c r="X533" s="129" t="n"/>
      <c r="Y533" s="703" t="n"/>
      <c r="Z533" s="704" t="n"/>
      <c r="AA533" s="705" t="n"/>
      <c r="AB533" s="613" t="n"/>
      <c r="AC533" s="614" t="n"/>
      <c r="AD533" s="628" t="n"/>
      <c r="AE533" s="616" t="n"/>
      <c r="AF533" s="617" t="n"/>
      <c r="AG533" s="693" t="n"/>
      <c r="AH533" s="721" t="n"/>
      <c r="AI533" s="721" t="n"/>
      <c r="AJ533" s="688" t="n"/>
      <c r="AK533" s="689" t="n"/>
      <c r="AL533" s="690" t="n"/>
      <c r="AM533" s="691" t="n"/>
      <c r="AN533" s="692" t="n"/>
      <c r="AO533" s="693" t="n"/>
      <c r="AP533" s="693" t="n"/>
      <c r="AQ533" s="693" t="n"/>
      <c r="AR533" s="693" t="n"/>
      <c r="AS533" s="693" t="n"/>
      <c r="AT533" s="693" t="n"/>
      <c r="AU533" s="699" t="n"/>
      <c r="AV533" s="693" t="n"/>
      <c r="AW533" s="693" t="n"/>
      <c r="AX533" s="693" t="n"/>
      <c r="AY533" s="693" t="n"/>
      <c r="AZ533" s="693" t="n"/>
    </row>
    <row r="534">
      <c r="A534" s="688" t="n"/>
      <c r="B534" s="688" t="n"/>
      <c r="C534" s="473" t="n"/>
      <c r="D534" s="688" t="n"/>
      <c r="E534" s="689" t="n"/>
      <c r="F534" s="721" t="n"/>
      <c r="G5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4" s="474">
        <f>G534/#REF!</f>
        <v/>
      </c>
      <c r="I534" s="690" t="n"/>
      <c r="J5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4" s="474">
        <f>J534/#REF!</f>
        <v/>
      </c>
      <c r="L534" s="473" t="n"/>
      <c r="M534" s="692" t="n"/>
      <c r="N534" s="693" t="n"/>
      <c r="O534" s="78" t="n"/>
      <c r="P534" s="129" t="n"/>
      <c r="Q534" s="129" t="n"/>
      <c r="R534" s="129" t="n"/>
      <c r="S534" s="129" t="n"/>
      <c r="T534" s="129" t="n"/>
      <c r="U534" s="129" t="n"/>
      <c r="V534" s="129" t="n"/>
      <c r="W534" s="129" t="n"/>
      <c r="X534" s="129" t="n"/>
      <c r="Y534" s="708" t="n"/>
      <c r="Z534" s="709" t="n"/>
      <c r="AA534" s="710" t="n"/>
      <c r="AB534" s="590" t="n"/>
      <c r="AC534" s="591" t="n"/>
      <c r="AD534" s="592" t="n"/>
      <c r="AE534" s="593" t="n"/>
      <c r="AF534" s="594" t="n"/>
      <c r="AG534" s="693" t="n"/>
      <c r="AH534" s="721" t="n"/>
      <c r="AI534" s="721" t="n"/>
      <c r="AJ534" s="688" t="n"/>
      <c r="AK534" s="689" t="n"/>
      <c r="AL534" s="690" t="n"/>
      <c r="AM534" s="691" t="n"/>
      <c r="AN534" s="692" t="n"/>
      <c r="AO534" s="693" t="n"/>
      <c r="AP534" s="693" t="n"/>
      <c r="AQ534" s="693" t="n"/>
      <c r="AR534" s="693" t="n"/>
      <c r="AS534" s="693" t="n"/>
      <c r="AT534" s="693" t="n"/>
      <c r="AU534" s="699" t="n"/>
      <c r="AV534" s="693" t="n"/>
      <c r="AW534" s="693" t="n"/>
      <c r="AX534" s="693" t="n"/>
      <c r="AY534" s="693" t="n"/>
      <c r="AZ534" s="693" t="n"/>
    </row>
    <row r="535">
      <c r="A535" s="688" t="n"/>
      <c r="B535" s="688" t="n"/>
      <c r="C535" s="473" t="n"/>
      <c r="D535" s="688" t="n"/>
      <c r="E535" s="689" t="n"/>
      <c r="F535" s="721" t="n"/>
      <c r="G5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5" s="474">
        <f>G535/#REF!</f>
        <v/>
      </c>
      <c r="I535" s="690" t="n"/>
      <c r="J5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5" s="474">
        <f>J535/#REF!</f>
        <v/>
      </c>
      <c r="L535" s="473" t="n"/>
      <c r="M535" s="692" t="n"/>
      <c r="N535" s="693" t="n"/>
      <c r="O535" s="78" t="n"/>
      <c r="P535" s="129" t="n"/>
      <c r="Q535" s="129" t="n"/>
      <c r="R535" s="129" t="n"/>
      <c r="S535" s="129" t="n"/>
      <c r="T535" s="129" t="n"/>
      <c r="U535" s="129" t="n"/>
      <c r="V535" s="129" t="n"/>
      <c r="W535" s="129" t="n"/>
      <c r="X535" s="129" t="n"/>
      <c r="Y535" s="703" t="n"/>
      <c r="Z535" s="704" t="n"/>
      <c r="AA535" s="705" t="n"/>
      <c r="AB535" s="613" t="n"/>
      <c r="AC535" s="614" t="n"/>
      <c r="AD535" s="628" t="n"/>
      <c r="AE535" s="616" t="n"/>
      <c r="AF535" s="617" t="n"/>
      <c r="AG535" s="693" t="n"/>
      <c r="AH535" s="721" t="n"/>
      <c r="AI535" s="721" t="n"/>
      <c r="AJ535" s="688" t="n"/>
      <c r="AK535" s="689" t="n"/>
      <c r="AL535" s="690" t="n"/>
      <c r="AM535" s="691" t="n"/>
      <c r="AN535" s="692" t="n"/>
      <c r="AO535" s="693" t="n"/>
      <c r="AP535" s="693" t="n"/>
      <c r="AQ535" s="693" t="n"/>
      <c r="AR535" s="693" t="n"/>
      <c r="AS535" s="693" t="n"/>
      <c r="AT535" s="693" t="n"/>
      <c r="AU535" s="699" t="n"/>
      <c r="AV535" s="693" t="n"/>
      <c r="AW535" s="693" t="n"/>
      <c r="AX535" s="693" t="n"/>
      <c r="AY535" s="693" t="n"/>
      <c r="AZ535" s="693" t="n"/>
    </row>
    <row r="536">
      <c r="A536" s="688" t="n"/>
      <c r="B536" s="688" t="n"/>
      <c r="C536" s="473" t="n"/>
      <c r="D536" s="688" t="n"/>
      <c r="E536" s="689" t="n"/>
      <c r="F536" s="721" t="n"/>
      <c r="G5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6" s="474">
        <f>G536/#REF!</f>
        <v/>
      </c>
      <c r="I536" s="690" t="n"/>
      <c r="J5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6" s="474">
        <f>J536/#REF!</f>
        <v/>
      </c>
      <c r="L536" s="473" t="n"/>
      <c r="M536" s="692" t="n"/>
      <c r="N536" s="693" t="n"/>
      <c r="O536" s="78" t="n"/>
      <c r="P536" s="129" t="n"/>
      <c r="Q536" s="129" t="n"/>
      <c r="R536" s="129" t="n"/>
      <c r="S536" s="129" t="n"/>
      <c r="T536" s="129" t="n"/>
      <c r="U536" s="129" t="n"/>
      <c r="V536" s="129" t="n"/>
      <c r="W536" s="129" t="n"/>
      <c r="X536" s="129" t="n"/>
      <c r="Y536" s="708" t="n"/>
      <c r="Z536" s="709" t="n"/>
      <c r="AA536" s="710" t="n"/>
      <c r="AB536" s="590" t="n"/>
      <c r="AC536" s="591" t="n"/>
      <c r="AD536" s="592" t="n"/>
      <c r="AE536" s="593" t="n"/>
      <c r="AF536" s="594" t="n"/>
      <c r="AG536" s="693" t="n"/>
      <c r="AH536" s="721" t="n"/>
      <c r="AI536" s="721" t="n"/>
      <c r="AJ536" s="688" t="n"/>
      <c r="AK536" s="689" t="n"/>
      <c r="AL536" s="690" t="n"/>
      <c r="AM536" s="691" t="n"/>
      <c r="AN536" s="692" t="n"/>
      <c r="AO536" s="693" t="n"/>
      <c r="AP536" s="693" t="n"/>
      <c r="AQ536" s="693" t="n"/>
      <c r="AR536" s="693" t="n"/>
      <c r="AS536" s="693" t="n"/>
      <c r="AT536" s="693" t="n"/>
      <c r="AU536" s="699" t="n"/>
      <c r="AV536" s="693" t="n"/>
      <c r="AW536" s="693" t="n"/>
      <c r="AX536" s="693" t="n"/>
      <c r="AY536" s="693" t="n"/>
      <c r="AZ536" s="693" t="n"/>
    </row>
    <row r="537">
      <c r="A537" s="688" t="n"/>
      <c r="B537" s="688" t="n"/>
      <c r="C537" s="473" t="n"/>
      <c r="D537" s="688" t="n"/>
      <c r="E537" s="689" t="n"/>
      <c r="F537" s="721" t="n"/>
      <c r="G5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7" s="474">
        <f>G537/#REF!</f>
        <v/>
      </c>
      <c r="I537" s="690" t="n"/>
      <c r="J5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7" s="474">
        <f>J537/#REF!</f>
        <v/>
      </c>
      <c r="L537" s="473" t="n"/>
      <c r="M537" s="692" t="n"/>
      <c r="N537" s="693" t="n"/>
      <c r="O537" s="78" t="n"/>
      <c r="P537" s="129" t="n"/>
      <c r="Q537" s="129" t="n"/>
      <c r="R537" s="129" t="n"/>
      <c r="S537" s="129" t="n"/>
      <c r="T537" s="129" t="n"/>
      <c r="U537" s="129" t="n"/>
      <c r="V537" s="129" t="n"/>
      <c r="W537" s="129" t="n"/>
      <c r="X537" s="129" t="n"/>
      <c r="Y537" s="703" t="n"/>
      <c r="Z537" s="704" t="n"/>
      <c r="AA537" s="705" t="n"/>
      <c r="AB537" s="613" t="n"/>
      <c r="AC537" s="614" t="n"/>
      <c r="AD537" s="628" t="n"/>
      <c r="AE537" s="616" t="n"/>
      <c r="AF537" s="617" t="n"/>
      <c r="AG537" s="693" t="n"/>
      <c r="AH537" s="721" t="n"/>
      <c r="AI537" s="721" t="n"/>
      <c r="AJ537" s="688" t="n"/>
      <c r="AK537" s="689" t="n"/>
      <c r="AL537" s="690" t="n"/>
      <c r="AM537" s="691" t="n"/>
      <c r="AN537" s="692" t="n"/>
      <c r="AO537" s="693" t="n"/>
      <c r="AP537" s="693" t="n"/>
      <c r="AQ537" s="693" t="n"/>
      <c r="AR537" s="693" t="n"/>
      <c r="AS537" s="693" t="n"/>
      <c r="AT537" s="693" t="n"/>
      <c r="AU537" s="699" t="n"/>
      <c r="AV537" s="693" t="n"/>
      <c r="AW537" s="693" t="n"/>
      <c r="AX537" s="693" t="n"/>
      <c r="AY537" s="693" t="n"/>
      <c r="AZ537" s="693" t="n"/>
    </row>
    <row r="538">
      <c r="A538" s="688" t="n"/>
      <c r="B538" s="688" t="n"/>
      <c r="C538" s="473" t="n"/>
      <c r="D538" s="688" t="n"/>
      <c r="E538" s="689" t="n"/>
      <c r="F538" s="721" t="n"/>
      <c r="G5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8" s="474">
        <f>G538/#REF!</f>
        <v/>
      </c>
      <c r="I538" s="690" t="n"/>
      <c r="J5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8" s="474">
        <f>J538/#REF!</f>
        <v/>
      </c>
      <c r="L538" s="473" t="n"/>
      <c r="M538" s="692" t="n"/>
      <c r="N538" s="693" t="n"/>
      <c r="O538" s="78" t="n"/>
      <c r="P538" s="129" t="n"/>
      <c r="Q538" s="129" t="n"/>
      <c r="R538" s="129" t="n"/>
      <c r="S538" s="129" t="n"/>
      <c r="T538" s="129" t="n"/>
      <c r="U538" s="129" t="n"/>
      <c r="V538" s="129" t="n"/>
      <c r="W538" s="129" t="n"/>
      <c r="X538" s="129" t="n"/>
      <c r="Y538" s="708" t="n"/>
      <c r="Z538" s="709" t="n"/>
      <c r="AA538" s="710" t="n"/>
      <c r="AB538" s="590" t="n"/>
      <c r="AC538" s="591" t="n"/>
      <c r="AD538" s="592" t="n"/>
      <c r="AE538" s="593" t="n"/>
      <c r="AF538" s="594" t="n"/>
      <c r="AG538" s="693" t="n"/>
      <c r="AH538" s="721" t="n"/>
      <c r="AI538" s="721" t="n"/>
      <c r="AJ538" s="688" t="n"/>
      <c r="AK538" s="689" t="n"/>
      <c r="AL538" s="690" t="n"/>
      <c r="AM538" s="691" t="n"/>
      <c r="AN538" s="692" t="n"/>
      <c r="AO538" s="693" t="n"/>
      <c r="AP538" s="693" t="n"/>
      <c r="AQ538" s="693" t="n"/>
      <c r="AR538" s="693" t="n"/>
      <c r="AS538" s="693" t="n"/>
      <c r="AT538" s="693" t="n"/>
      <c r="AU538" s="699" t="n"/>
      <c r="AV538" s="693" t="n"/>
      <c r="AW538" s="693" t="n"/>
      <c r="AX538" s="693" t="n"/>
      <c r="AY538" s="693" t="n"/>
      <c r="AZ538" s="693" t="n"/>
    </row>
    <row r="539">
      <c r="A539" s="688" t="n"/>
      <c r="B539" s="688" t="n"/>
      <c r="C539" s="473" t="n"/>
      <c r="D539" s="688" t="n"/>
      <c r="E539" s="689" t="n"/>
      <c r="F539" s="721" t="n"/>
      <c r="G5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39" s="474">
        <f>G539/#REF!</f>
        <v/>
      </c>
      <c r="I539" s="690" t="n"/>
      <c r="J5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39" s="474">
        <f>J539/#REF!</f>
        <v/>
      </c>
      <c r="L539" s="473" t="n"/>
      <c r="M539" s="692" t="n"/>
      <c r="N539" s="693" t="n"/>
      <c r="O539" s="78" t="n"/>
      <c r="P539" s="129" t="n"/>
      <c r="Q539" s="129" t="n"/>
      <c r="R539" s="129" t="n"/>
      <c r="S539" s="129" t="n"/>
      <c r="T539" s="129" t="n"/>
      <c r="U539" s="129" t="n"/>
      <c r="V539" s="129" t="n"/>
      <c r="W539" s="129" t="n"/>
      <c r="X539" s="129" t="n"/>
      <c r="Y539" s="703" t="n"/>
      <c r="Z539" s="704" t="n"/>
      <c r="AA539" s="705" t="n"/>
      <c r="AB539" s="613" t="n"/>
      <c r="AC539" s="614" t="n"/>
      <c r="AD539" s="628" t="n"/>
      <c r="AE539" s="616" t="n"/>
      <c r="AF539" s="617" t="n"/>
      <c r="AG539" s="693" t="n"/>
      <c r="AH539" s="721" t="n"/>
      <c r="AI539" s="721" t="n"/>
      <c r="AJ539" s="688" t="n"/>
      <c r="AK539" s="689" t="n"/>
      <c r="AL539" s="690" t="n"/>
      <c r="AM539" s="691" t="n"/>
      <c r="AN539" s="692" t="n"/>
      <c r="AO539" s="693" t="n"/>
      <c r="AP539" s="693" t="n"/>
      <c r="AQ539" s="693" t="n"/>
      <c r="AR539" s="693" t="n"/>
      <c r="AS539" s="693" t="n"/>
      <c r="AT539" s="693" t="n"/>
      <c r="AU539" s="699" t="n"/>
      <c r="AV539" s="693" t="n"/>
      <c r="AW539" s="693" t="n"/>
      <c r="AX539" s="693" t="n"/>
      <c r="AY539" s="693" t="n"/>
      <c r="AZ539" s="693" t="n"/>
    </row>
    <row r="540">
      <c r="A540" s="688" t="n"/>
      <c r="B540" s="688" t="n"/>
      <c r="C540" s="473" t="n"/>
      <c r="D540" s="688" t="n"/>
      <c r="E540" s="689" t="n"/>
      <c r="F540" s="721" t="n"/>
      <c r="G5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0" s="474">
        <f>G540/#REF!</f>
        <v/>
      </c>
      <c r="I540" s="690" t="n"/>
      <c r="J5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0" s="474">
        <f>J540/#REF!</f>
        <v/>
      </c>
      <c r="L540" s="473" t="n"/>
      <c r="M540" s="692" t="n"/>
      <c r="N540" s="693" t="n"/>
      <c r="O540" s="78" t="n"/>
      <c r="P540" s="129" t="n"/>
      <c r="Q540" s="129" t="n"/>
      <c r="R540" s="129" t="n"/>
      <c r="S540" s="129" t="n"/>
      <c r="T540" s="129" t="n"/>
      <c r="U540" s="129" t="n"/>
      <c r="V540" s="129" t="n"/>
      <c r="W540" s="129" t="n"/>
      <c r="X540" s="129" t="n"/>
      <c r="Y540" s="708" t="n"/>
      <c r="Z540" s="709" t="n"/>
      <c r="AA540" s="710" t="n"/>
      <c r="AB540" s="590" t="n"/>
      <c r="AC540" s="591" t="n"/>
      <c r="AD540" s="592" t="n"/>
      <c r="AE540" s="593" t="n"/>
      <c r="AF540" s="594" t="n"/>
      <c r="AG540" s="693" t="n"/>
      <c r="AH540" s="721" t="n"/>
      <c r="AI540" s="721" t="n"/>
      <c r="AJ540" s="688" t="n"/>
      <c r="AK540" s="689" t="n"/>
      <c r="AL540" s="690" t="n"/>
      <c r="AM540" s="691" t="n"/>
      <c r="AN540" s="692" t="n"/>
      <c r="AO540" s="693" t="n"/>
      <c r="AP540" s="693" t="n"/>
      <c r="AQ540" s="693" t="n"/>
      <c r="AR540" s="693" t="n"/>
      <c r="AS540" s="693" t="n"/>
      <c r="AT540" s="693" t="n"/>
      <c r="AU540" s="699" t="n"/>
      <c r="AV540" s="693" t="n"/>
      <c r="AW540" s="693" t="n"/>
      <c r="AX540" s="693" t="n"/>
      <c r="AY540" s="693" t="n"/>
      <c r="AZ540" s="693" t="n"/>
    </row>
    <row r="541">
      <c r="A541" s="688" t="n"/>
      <c r="B541" s="688" t="n"/>
      <c r="C541" s="473" t="n"/>
      <c r="D541" s="688" t="n"/>
      <c r="E541" s="689" t="n"/>
      <c r="F541" s="721" t="n"/>
      <c r="G5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1" s="474">
        <f>G541/#REF!</f>
        <v/>
      </c>
      <c r="I541" s="690" t="n"/>
      <c r="J5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1" s="474">
        <f>J541/#REF!</f>
        <v/>
      </c>
      <c r="L541" s="473" t="n"/>
      <c r="M541" s="692" t="n"/>
      <c r="N541" s="693" t="n"/>
      <c r="O541" s="78" t="n"/>
      <c r="P541" s="129" t="n"/>
      <c r="Q541" s="129" t="n"/>
      <c r="R541" s="129" t="n"/>
      <c r="S541" s="129" t="n"/>
      <c r="T541" s="129" t="n"/>
      <c r="U541" s="129" t="n"/>
      <c r="V541" s="129" t="n"/>
      <c r="W541" s="129" t="n"/>
      <c r="X541" s="129" t="n"/>
      <c r="Y541" s="703" t="n"/>
      <c r="Z541" s="704" t="n"/>
      <c r="AA541" s="705" t="n"/>
      <c r="AB541" s="613" t="n"/>
      <c r="AC541" s="614" t="n"/>
      <c r="AD541" s="628" t="n"/>
      <c r="AE541" s="616" t="n"/>
      <c r="AF541" s="617" t="n"/>
      <c r="AG541" s="693" t="n"/>
      <c r="AH541" s="721" t="n"/>
      <c r="AI541" s="721" t="n"/>
      <c r="AJ541" s="688" t="n"/>
      <c r="AK541" s="689" t="n"/>
      <c r="AL541" s="690" t="n"/>
      <c r="AM541" s="691" t="n"/>
      <c r="AN541" s="692" t="n"/>
      <c r="AO541" s="693" t="n"/>
      <c r="AP541" s="693" t="n"/>
      <c r="AQ541" s="693" t="n"/>
      <c r="AR541" s="693" t="n"/>
      <c r="AS541" s="693" t="n"/>
      <c r="AT541" s="693" t="n"/>
      <c r="AU541" s="699" t="n"/>
      <c r="AV541" s="693" t="n"/>
      <c r="AW541" s="693" t="n"/>
      <c r="AX541" s="693" t="n"/>
      <c r="AY541" s="693" t="n"/>
      <c r="AZ541" s="693" t="n"/>
    </row>
    <row r="542">
      <c r="A542" s="688" t="n"/>
      <c r="B542" s="688" t="n"/>
      <c r="C542" s="473" t="n"/>
      <c r="D542" s="688" t="n"/>
      <c r="E542" s="689" t="n"/>
      <c r="F542" s="721" t="n"/>
      <c r="G5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2" s="474">
        <f>G542/#REF!</f>
        <v/>
      </c>
      <c r="I542" s="690" t="n"/>
      <c r="J5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2" s="474">
        <f>J542/#REF!</f>
        <v/>
      </c>
      <c r="L542" s="473" t="n"/>
      <c r="M542" s="692" t="n"/>
      <c r="N542" s="693" t="n"/>
      <c r="O542" s="78" t="n"/>
      <c r="P542" s="129" t="n"/>
      <c r="Q542" s="129" t="n"/>
      <c r="R542" s="129" t="n"/>
      <c r="S542" s="129" t="n"/>
      <c r="T542" s="129" t="n"/>
      <c r="U542" s="129" t="n"/>
      <c r="V542" s="129" t="n"/>
      <c r="W542" s="129" t="n"/>
      <c r="X542" s="129" t="n"/>
      <c r="Y542" s="708" t="n"/>
      <c r="Z542" s="709" t="n"/>
      <c r="AA542" s="710" t="n"/>
      <c r="AB542" s="590" t="n"/>
      <c r="AC542" s="591" t="n"/>
      <c r="AD542" s="592" t="n"/>
      <c r="AE542" s="593" t="n"/>
      <c r="AF542" s="594" t="n"/>
      <c r="AG542" s="693" t="n"/>
      <c r="AH542" s="721" t="n"/>
      <c r="AI542" s="721" t="n"/>
      <c r="AJ542" s="688" t="n"/>
      <c r="AK542" s="689" t="n"/>
      <c r="AL542" s="690" t="n"/>
      <c r="AM542" s="691" t="n"/>
      <c r="AN542" s="692" t="n"/>
      <c r="AO542" s="693" t="n"/>
      <c r="AP542" s="693" t="n"/>
      <c r="AQ542" s="693" t="n"/>
      <c r="AR542" s="693" t="n"/>
      <c r="AS542" s="693" t="n"/>
      <c r="AT542" s="693" t="n"/>
      <c r="AU542" s="699" t="n"/>
      <c r="AV542" s="693" t="n"/>
      <c r="AW542" s="693" t="n"/>
      <c r="AX542" s="693" t="n"/>
      <c r="AY542" s="693" t="n"/>
      <c r="AZ542" s="693" t="n"/>
    </row>
    <row r="543">
      <c r="A543" s="688" t="n"/>
      <c r="B543" s="688" t="n"/>
      <c r="C543" s="473" t="n"/>
      <c r="D543" s="688" t="n"/>
      <c r="E543" s="689" t="n"/>
      <c r="F543" s="721" t="n"/>
      <c r="G5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3" s="474">
        <f>G543/#REF!</f>
        <v/>
      </c>
      <c r="I543" s="690" t="n"/>
      <c r="J5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3" s="474">
        <f>J543/#REF!</f>
        <v/>
      </c>
      <c r="L543" s="473" t="n"/>
      <c r="M543" s="692" t="n"/>
      <c r="N543" s="693" t="n"/>
      <c r="O543" s="78" t="n"/>
      <c r="P543" s="129" t="n"/>
      <c r="Q543" s="129" t="n"/>
      <c r="R543" s="129" t="n"/>
      <c r="S543" s="129" t="n"/>
      <c r="T543" s="129" t="n"/>
      <c r="U543" s="129" t="n"/>
      <c r="V543" s="129" t="n"/>
      <c r="W543" s="129" t="n"/>
      <c r="X543" s="129" t="n"/>
      <c r="Y543" s="703" t="n"/>
      <c r="Z543" s="704" t="n"/>
      <c r="AA543" s="705" t="n"/>
      <c r="AB543" s="613" t="n"/>
      <c r="AC543" s="614" t="n"/>
      <c r="AD543" s="628" t="n"/>
      <c r="AE543" s="616" t="n"/>
      <c r="AF543" s="617" t="n"/>
      <c r="AG543" s="693" t="n"/>
      <c r="AH543" s="721" t="n"/>
      <c r="AI543" s="721" t="n"/>
      <c r="AJ543" s="688" t="n"/>
      <c r="AK543" s="689" t="n"/>
      <c r="AL543" s="690" t="n"/>
      <c r="AM543" s="691" t="n"/>
      <c r="AN543" s="692" t="n"/>
      <c r="AO543" s="693" t="n"/>
      <c r="AP543" s="693" t="n"/>
      <c r="AQ543" s="693" t="n"/>
      <c r="AR543" s="693" t="n"/>
      <c r="AS543" s="693" t="n"/>
      <c r="AT543" s="693" t="n"/>
      <c r="AU543" s="699" t="n"/>
      <c r="AV543" s="693" t="n"/>
      <c r="AW543" s="693" t="n"/>
      <c r="AX543" s="693" t="n"/>
      <c r="AY543" s="693" t="n"/>
      <c r="AZ543" s="693" t="n"/>
    </row>
    <row r="544">
      <c r="A544" s="688" t="n"/>
      <c r="B544" s="688" t="n"/>
      <c r="C544" s="473" t="n"/>
      <c r="D544" s="688" t="n"/>
      <c r="E544" s="689" t="n"/>
      <c r="F544" s="721" t="n"/>
      <c r="G5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4" s="474">
        <f>G544/#REF!</f>
        <v/>
      </c>
      <c r="I544" s="690" t="n"/>
      <c r="J5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4" s="474">
        <f>J544/#REF!</f>
        <v/>
      </c>
      <c r="L544" s="473" t="n"/>
      <c r="M544" s="692" t="n"/>
      <c r="N544" s="693" t="n"/>
      <c r="O544" s="78" t="n"/>
      <c r="P544" s="129" t="n"/>
      <c r="Q544" s="129" t="n"/>
      <c r="R544" s="129" t="n"/>
      <c r="S544" s="129" t="n"/>
      <c r="T544" s="129" t="n"/>
      <c r="U544" s="129" t="n"/>
      <c r="V544" s="129" t="n"/>
      <c r="W544" s="129" t="n"/>
      <c r="X544" s="129" t="n"/>
      <c r="Y544" s="708" t="n"/>
      <c r="Z544" s="709" t="n"/>
      <c r="AA544" s="710" t="n"/>
      <c r="AB544" s="590" t="n"/>
      <c r="AC544" s="591" t="n"/>
      <c r="AD544" s="592" t="n"/>
      <c r="AE544" s="593" t="n"/>
      <c r="AF544" s="594" t="n"/>
      <c r="AG544" s="693" t="n"/>
      <c r="AH544" s="721" t="n"/>
      <c r="AI544" s="721" t="n"/>
      <c r="AJ544" s="688" t="n"/>
      <c r="AK544" s="689" t="n"/>
      <c r="AL544" s="690" t="n"/>
      <c r="AM544" s="691" t="n"/>
      <c r="AN544" s="692" t="n"/>
      <c r="AO544" s="693" t="n"/>
      <c r="AP544" s="693" t="n"/>
      <c r="AQ544" s="693" t="n"/>
      <c r="AR544" s="693" t="n"/>
      <c r="AS544" s="693" t="n"/>
      <c r="AT544" s="693" t="n"/>
      <c r="AU544" s="699" t="n"/>
      <c r="AV544" s="693" t="n"/>
      <c r="AW544" s="693" t="n"/>
      <c r="AX544" s="693" t="n"/>
      <c r="AY544" s="693" t="n"/>
      <c r="AZ544" s="693" t="n"/>
    </row>
    <row r="545">
      <c r="A545" s="688" t="n"/>
      <c r="B545" s="688" t="n"/>
      <c r="C545" s="473" t="n"/>
      <c r="D545" s="688" t="n"/>
      <c r="E545" s="689" t="n"/>
      <c r="F545" s="721" t="n"/>
      <c r="G5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5" s="474">
        <f>G545/#REF!</f>
        <v/>
      </c>
      <c r="I545" s="690" t="n"/>
      <c r="J5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5" s="474">
        <f>J545/#REF!</f>
        <v/>
      </c>
      <c r="L545" s="473" t="n"/>
      <c r="M545" s="692" t="n"/>
      <c r="N545" s="693" t="n"/>
      <c r="O545" s="78" t="n"/>
      <c r="P545" s="129" t="n"/>
      <c r="Q545" s="129" t="n"/>
      <c r="R545" s="129" t="n"/>
      <c r="S545" s="129" t="n"/>
      <c r="T545" s="129" t="n"/>
      <c r="U545" s="129" t="n"/>
      <c r="V545" s="129" t="n"/>
      <c r="W545" s="129" t="n"/>
      <c r="X545" s="129" t="n"/>
      <c r="Y545" s="703" t="n"/>
      <c r="Z545" s="704" t="n"/>
      <c r="AA545" s="705" t="n"/>
      <c r="AB545" s="613" t="n"/>
      <c r="AC545" s="614" t="n"/>
      <c r="AD545" s="628" t="n"/>
      <c r="AE545" s="616" t="n"/>
      <c r="AF545" s="617" t="n"/>
      <c r="AG545" s="693" t="n"/>
      <c r="AH545" s="721" t="n"/>
      <c r="AI545" s="721" t="n"/>
      <c r="AJ545" s="688" t="n"/>
      <c r="AK545" s="689" t="n"/>
      <c r="AL545" s="690" t="n"/>
      <c r="AM545" s="691" t="n"/>
      <c r="AN545" s="692" t="n"/>
      <c r="AO545" s="693" t="n"/>
      <c r="AP545" s="693" t="n"/>
      <c r="AQ545" s="693" t="n"/>
      <c r="AR545" s="693" t="n"/>
      <c r="AS545" s="693" t="n"/>
      <c r="AT545" s="693" t="n"/>
      <c r="AU545" s="699" t="n"/>
      <c r="AV545" s="693" t="n"/>
      <c r="AW545" s="693" t="n"/>
      <c r="AX545" s="693" t="n"/>
      <c r="AY545" s="693" t="n"/>
      <c r="AZ545" s="693" t="n"/>
    </row>
    <row r="546">
      <c r="A546" s="688" t="n"/>
      <c r="B546" s="688" t="n"/>
      <c r="C546" s="473" t="n"/>
      <c r="D546" s="688" t="n"/>
      <c r="E546" s="689" t="n"/>
      <c r="F546" s="721" t="n"/>
      <c r="G5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6" s="474">
        <f>G546/#REF!</f>
        <v/>
      </c>
      <c r="I546" s="690" t="n"/>
      <c r="J5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6" s="474">
        <f>J546/#REF!</f>
        <v/>
      </c>
      <c r="L546" s="473" t="n"/>
      <c r="M546" s="692" t="n"/>
      <c r="N546" s="693" t="n"/>
      <c r="O546" s="78" t="n"/>
      <c r="P546" s="129" t="n"/>
      <c r="Q546" s="129" t="n"/>
      <c r="R546" s="129" t="n"/>
      <c r="S546" s="129" t="n"/>
      <c r="T546" s="129" t="n"/>
      <c r="U546" s="129" t="n"/>
      <c r="V546" s="129" t="n"/>
      <c r="W546" s="129" t="n"/>
      <c r="X546" s="129" t="n"/>
      <c r="Y546" s="708" t="n"/>
      <c r="Z546" s="709" t="n"/>
      <c r="AA546" s="710" t="n"/>
      <c r="AB546" s="590" t="n"/>
      <c r="AC546" s="591" t="n"/>
      <c r="AD546" s="592" t="n"/>
      <c r="AE546" s="593" t="n"/>
      <c r="AF546" s="594" t="n"/>
      <c r="AG546" s="693" t="n"/>
      <c r="AH546" s="721" t="n"/>
      <c r="AI546" s="721" t="n"/>
      <c r="AJ546" s="688" t="n"/>
      <c r="AK546" s="689" t="n"/>
      <c r="AL546" s="690" t="n"/>
      <c r="AM546" s="691" t="n"/>
      <c r="AN546" s="692" t="n"/>
      <c r="AO546" s="693" t="n"/>
      <c r="AP546" s="693" t="n"/>
      <c r="AQ546" s="693" t="n"/>
      <c r="AR546" s="693" t="n"/>
      <c r="AS546" s="693" t="n"/>
      <c r="AT546" s="693" t="n"/>
      <c r="AU546" s="699" t="n"/>
      <c r="AV546" s="693" t="n"/>
      <c r="AW546" s="693" t="n"/>
      <c r="AX546" s="693" t="n"/>
      <c r="AY546" s="693" t="n"/>
      <c r="AZ546" s="693" t="n"/>
    </row>
    <row r="547">
      <c r="A547" s="688" t="n"/>
      <c r="B547" s="688" t="n"/>
      <c r="C547" s="473" t="n"/>
      <c r="D547" s="688" t="n"/>
      <c r="E547" s="689" t="n"/>
      <c r="F547" s="721" t="n"/>
      <c r="G5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7" s="474">
        <f>G547/#REF!</f>
        <v/>
      </c>
      <c r="I547" s="690" t="n"/>
      <c r="J5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7" s="474">
        <f>J547/#REF!</f>
        <v/>
      </c>
      <c r="L547" s="473" t="n"/>
      <c r="M547" s="692" t="n"/>
      <c r="N547" s="693" t="n"/>
      <c r="O547" s="78" t="n"/>
      <c r="P547" s="129" t="n"/>
      <c r="Q547" s="129" t="n"/>
      <c r="R547" s="129" t="n"/>
      <c r="S547" s="129" t="n"/>
      <c r="T547" s="129" t="n"/>
      <c r="U547" s="129" t="n"/>
      <c r="V547" s="129" t="n"/>
      <c r="W547" s="129" t="n"/>
      <c r="X547" s="129" t="n"/>
      <c r="Y547" s="703" t="n"/>
      <c r="Z547" s="704" t="n"/>
      <c r="AA547" s="705" t="n"/>
      <c r="AB547" s="613" t="n"/>
      <c r="AC547" s="614" t="n"/>
      <c r="AD547" s="628" t="n"/>
      <c r="AE547" s="616" t="n"/>
      <c r="AF547" s="617" t="n"/>
      <c r="AG547" s="693" t="n"/>
      <c r="AH547" s="721" t="n"/>
      <c r="AI547" s="721" t="n"/>
      <c r="AJ547" s="688" t="n"/>
      <c r="AK547" s="689" t="n"/>
      <c r="AL547" s="690" t="n"/>
      <c r="AM547" s="691" t="n"/>
      <c r="AN547" s="692" t="n"/>
      <c r="AO547" s="693" t="n"/>
      <c r="AP547" s="693" t="n"/>
      <c r="AQ547" s="693" t="n"/>
      <c r="AR547" s="693" t="n"/>
      <c r="AS547" s="693" t="n"/>
      <c r="AT547" s="693" t="n"/>
      <c r="AU547" s="699" t="n"/>
      <c r="AV547" s="693" t="n"/>
      <c r="AW547" s="693" t="n"/>
      <c r="AX547" s="693" t="n"/>
      <c r="AY547" s="693" t="n"/>
      <c r="AZ547" s="693" t="n"/>
    </row>
    <row r="548">
      <c r="A548" s="688" t="n"/>
      <c r="B548" s="688" t="n"/>
      <c r="C548" s="473" t="n"/>
      <c r="D548" s="688" t="n"/>
      <c r="E548" s="689" t="n"/>
      <c r="F548" s="721" t="n"/>
      <c r="G5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8" s="474">
        <f>G548/#REF!</f>
        <v/>
      </c>
      <c r="I548" s="690" t="n"/>
      <c r="J5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8" s="474">
        <f>J548/#REF!</f>
        <v/>
      </c>
      <c r="L548" s="473" t="n"/>
      <c r="M548" s="692" t="n"/>
      <c r="N548" s="693" t="n"/>
      <c r="O548" s="78" t="n"/>
      <c r="P548" s="129" t="n"/>
      <c r="Q548" s="129" t="n"/>
      <c r="R548" s="129" t="n"/>
      <c r="S548" s="129" t="n"/>
      <c r="T548" s="129" t="n"/>
      <c r="U548" s="129" t="n"/>
      <c r="V548" s="129" t="n"/>
      <c r="W548" s="129" t="n"/>
      <c r="X548" s="129" t="n"/>
      <c r="Y548" s="708" t="n"/>
      <c r="Z548" s="709" t="n"/>
      <c r="AA548" s="710" t="n"/>
      <c r="AB548" s="590" t="n"/>
      <c r="AC548" s="591" t="n"/>
      <c r="AD548" s="592" t="n"/>
      <c r="AE548" s="593" t="n"/>
      <c r="AF548" s="594" t="n"/>
      <c r="AG548" s="693" t="n"/>
      <c r="AH548" s="721" t="n"/>
      <c r="AI548" s="721" t="n"/>
      <c r="AJ548" s="688" t="n"/>
      <c r="AK548" s="689" t="n"/>
      <c r="AL548" s="690" t="n"/>
      <c r="AM548" s="691" t="n"/>
      <c r="AN548" s="692" t="n"/>
      <c r="AO548" s="693" t="n"/>
      <c r="AP548" s="693" t="n"/>
      <c r="AQ548" s="693" t="n"/>
      <c r="AR548" s="693" t="n"/>
      <c r="AS548" s="693" t="n"/>
      <c r="AT548" s="693" t="n"/>
      <c r="AU548" s="699" t="n"/>
      <c r="AV548" s="693" t="n"/>
      <c r="AW548" s="693" t="n"/>
      <c r="AX548" s="693" t="n"/>
      <c r="AY548" s="693" t="n"/>
      <c r="AZ548" s="693" t="n"/>
    </row>
    <row r="549">
      <c r="A549" s="688" t="n"/>
      <c r="B549" s="688" t="n"/>
      <c r="C549" s="473" t="n"/>
      <c r="D549" s="688" t="n"/>
      <c r="E549" s="689" t="n"/>
      <c r="F549" s="721" t="n"/>
      <c r="G5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49" s="474">
        <f>G549/#REF!</f>
        <v/>
      </c>
      <c r="I549" s="690" t="n"/>
      <c r="J5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49" s="474">
        <f>J549/#REF!</f>
        <v/>
      </c>
      <c r="L549" s="473" t="n"/>
      <c r="M549" s="692" t="n"/>
      <c r="N549" s="693" t="n"/>
      <c r="O549" s="78" t="n"/>
      <c r="P549" s="129" t="n"/>
      <c r="Q549" s="129" t="n"/>
      <c r="R549" s="129" t="n"/>
      <c r="S549" s="129" t="n"/>
      <c r="T549" s="129" t="n"/>
      <c r="U549" s="129" t="n"/>
      <c r="V549" s="129" t="n"/>
      <c r="W549" s="129" t="n"/>
      <c r="X549" s="129" t="n"/>
      <c r="Y549" s="703" t="n"/>
      <c r="Z549" s="704" t="n"/>
      <c r="AA549" s="705" t="n"/>
      <c r="AB549" s="613" t="n"/>
      <c r="AC549" s="614" t="n"/>
      <c r="AD549" s="628" t="n"/>
      <c r="AE549" s="616" t="n"/>
      <c r="AF549" s="617" t="n"/>
      <c r="AG549" s="693" t="n"/>
      <c r="AH549" s="721" t="n"/>
      <c r="AI549" s="721" t="n"/>
      <c r="AJ549" s="688" t="n"/>
      <c r="AK549" s="689" t="n"/>
      <c r="AL549" s="690" t="n"/>
      <c r="AM549" s="691" t="n"/>
      <c r="AN549" s="692" t="n"/>
      <c r="AO549" s="693" t="n"/>
      <c r="AP549" s="693" t="n"/>
      <c r="AQ549" s="693" t="n"/>
      <c r="AR549" s="693" t="n"/>
      <c r="AS549" s="693" t="n"/>
      <c r="AT549" s="693" t="n"/>
      <c r="AU549" s="699" t="n"/>
      <c r="AV549" s="693" t="n"/>
      <c r="AW549" s="693" t="n"/>
      <c r="AX549" s="693" t="n"/>
      <c r="AY549" s="693" t="n"/>
      <c r="AZ549" s="693" t="n"/>
    </row>
    <row r="550">
      <c r="A550" s="688" t="n"/>
      <c r="B550" s="688" t="n"/>
      <c r="C550" s="473" t="n"/>
      <c r="D550" s="688" t="n"/>
      <c r="E550" s="689" t="n"/>
      <c r="F550" s="721" t="n"/>
      <c r="G5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0" s="474">
        <f>G550/#REF!</f>
        <v/>
      </c>
      <c r="I550" s="690" t="n"/>
      <c r="J5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0" s="474">
        <f>J550/#REF!</f>
        <v/>
      </c>
      <c r="L550" s="473" t="n"/>
      <c r="M550" s="692" t="n"/>
      <c r="N550" s="693" t="n"/>
      <c r="O550" s="78" t="n"/>
      <c r="P550" s="129" t="n"/>
      <c r="Q550" s="129" t="n"/>
      <c r="R550" s="129" t="n"/>
      <c r="S550" s="129" t="n"/>
      <c r="T550" s="129" t="n"/>
      <c r="U550" s="129" t="n"/>
      <c r="V550" s="129" t="n"/>
      <c r="W550" s="129" t="n"/>
      <c r="X550" s="129" t="n"/>
      <c r="Y550" s="708" t="n"/>
      <c r="Z550" s="709" t="n"/>
      <c r="AA550" s="710" t="n"/>
      <c r="AB550" s="590" t="n"/>
      <c r="AC550" s="591" t="n"/>
      <c r="AD550" s="592" t="n"/>
      <c r="AE550" s="593" t="n"/>
      <c r="AF550" s="594" t="n"/>
      <c r="AG550" s="693" t="n"/>
      <c r="AH550" s="721" t="n"/>
      <c r="AI550" s="721" t="n"/>
      <c r="AJ550" s="688" t="n"/>
      <c r="AK550" s="689" t="n"/>
      <c r="AL550" s="690" t="n"/>
      <c r="AM550" s="691" t="n"/>
      <c r="AN550" s="692" t="n"/>
      <c r="AO550" s="693" t="n"/>
      <c r="AP550" s="693" t="n"/>
      <c r="AQ550" s="693" t="n"/>
      <c r="AR550" s="693" t="n"/>
      <c r="AS550" s="693" t="n"/>
      <c r="AT550" s="693" t="n"/>
      <c r="AU550" s="699" t="n"/>
      <c r="AV550" s="693" t="n"/>
      <c r="AW550" s="693" t="n"/>
      <c r="AX550" s="693" t="n"/>
      <c r="AY550" s="693" t="n"/>
      <c r="AZ550" s="693" t="n"/>
    </row>
    <row r="551">
      <c r="A551" s="688" t="n"/>
      <c r="B551" s="688" t="n"/>
      <c r="C551" s="473" t="n"/>
      <c r="D551" s="688" t="n"/>
      <c r="E551" s="689" t="n"/>
      <c r="F551" s="721" t="n"/>
      <c r="G5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1" s="474">
        <f>G551/#REF!</f>
        <v/>
      </c>
      <c r="I551" s="690" t="n"/>
      <c r="J5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1" s="474">
        <f>J551/#REF!</f>
        <v/>
      </c>
      <c r="L551" s="473" t="n"/>
      <c r="M551" s="692" t="n"/>
      <c r="N551" s="693" t="n"/>
      <c r="O551" s="78" t="n"/>
      <c r="P551" s="129" t="n"/>
      <c r="Q551" s="129" t="n"/>
      <c r="R551" s="129" t="n"/>
      <c r="S551" s="129" t="n"/>
      <c r="T551" s="129" t="n"/>
      <c r="U551" s="129" t="n"/>
      <c r="V551" s="129" t="n"/>
      <c r="W551" s="129" t="n"/>
      <c r="X551" s="129" t="n"/>
      <c r="Y551" s="703" t="n"/>
      <c r="Z551" s="704" t="n"/>
      <c r="AA551" s="705" t="n"/>
      <c r="AB551" s="613" t="n"/>
      <c r="AC551" s="614" t="n"/>
      <c r="AD551" s="628" t="n"/>
      <c r="AE551" s="616" t="n"/>
      <c r="AF551" s="617" t="n"/>
      <c r="AG551" s="693" t="n"/>
      <c r="AH551" s="721" t="n"/>
      <c r="AI551" s="721" t="n"/>
      <c r="AJ551" s="688" t="n"/>
      <c r="AK551" s="689" t="n"/>
      <c r="AL551" s="690" t="n"/>
      <c r="AM551" s="691" t="n"/>
      <c r="AN551" s="692" t="n"/>
      <c r="AO551" s="693" t="n"/>
      <c r="AP551" s="693" t="n"/>
      <c r="AQ551" s="693" t="n"/>
      <c r="AR551" s="693" t="n"/>
      <c r="AS551" s="693" t="n"/>
      <c r="AT551" s="693" t="n"/>
      <c r="AU551" s="699" t="n"/>
      <c r="AV551" s="693" t="n"/>
      <c r="AW551" s="693" t="n"/>
      <c r="AX551" s="693" t="n"/>
      <c r="AY551" s="693" t="n"/>
      <c r="AZ551" s="693" t="n"/>
    </row>
    <row r="552">
      <c r="A552" s="688" t="n"/>
      <c r="B552" s="688" t="n"/>
      <c r="C552" s="473" t="n"/>
      <c r="D552" s="688" t="n"/>
      <c r="E552" s="689" t="n"/>
      <c r="F552" s="721" t="n"/>
      <c r="G5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2" s="474">
        <f>G552/#REF!</f>
        <v/>
      </c>
      <c r="I552" s="690" t="n"/>
      <c r="J5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2" s="474">
        <f>J552/#REF!</f>
        <v/>
      </c>
      <c r="L552" s="473" t="n"/>
      <c r="M552" s="692" t="n"/>
      <c r="N552" s="693" t="n"/>
      <c r="O552" s="78" t="n"/>
      <c r="P552" s="129" t="n"/>
      <c r="Q552" s="129" t="n"/>
      <c r="R552" s="129" t="n"/>
      <c r="S552" s="129" t="n"/>
      <c r="T552" s="129" t="n"/>
      <c r="U552" s="129" t="n"/>
      <c r="V552" s="129" t="n"/>
      <c r="W552" s="129" t="n"/>
      <c r="X552" s="129" t="n"/>
      <c r="Y552" s="708" t="n"/>
      <c r="Z552" s="709" t="n"/>
      <c r="AA552" s="710" t="n"/>
      <c r="AB552" s="590" t="n"/>
      <c r="AC552" s="591" t="n"/>
      <c r="AD552" s="592" t="n"/>
      <c r="AE552" s="593" t="n"/>
      <c r="AF552" s="594" t="n"/>
      <c r="AG552" s="693" t="n"/>
      <c r="AH552" s="721" t="n"/>
      <c r="AI552" s="721" t="n"/>
      <c r="AJ552" s="688" t="n"/>
      <c r="AK552" s="689" t="n"/>
      <c r="AL552" s="690" t="n"/>
      <c r="AM552" s="691" t="n"/>
      <c r="AN552" s="692" t="n"/>
      <c r="AO552" s="693" t="n"/>
      <c r="AP552" s="693" t="n"/>
      <c r="AQ552" s="693" t="n"/>
      <c r="AR552" s="693" t="n"/>
      <c r="AS552" s="693" t="n"/>
      <c r="AT552" s="693" t="n"/>
      <c r="AU552" s="699" t="n"/>
      <c r="AV552" s="693" t="n"/>
      <c r="AW552" s="693" t="n"/>
      <c r="AX552" s="693" t="n"/>
      <c r="AY552" s="693" t="n"/>
      <c r="AZ552" s="693" t="n"/>
    </row>
    <row r="553">
      <c r="A553" s="688" t="n"/>
      <c r="B553" s="688" t="n"/>
      <c r="C553" s="473" t="n"/>
      <c r="D553" s="688" t="n"/>
      <c r="E553" s="689" t="n"/>
      <c r="F553" s="721" t="n"/>
      <c r="G5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3" s="474">
        <f>G553/#REF!</f>
        <v/>
      </c>
      <c r="I553" s="690" t="n"/>
      <c r="J5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3" s="474">
        <f>J553/#REF!</f>
        <v/>
      </c>
      <c r="L553" s="473" t="n"/>
      <c r="M553" s="692" t="n"/>
      <c r="N553" s="693" t="n"/>
      <c r="O553" s="78" t="n"/>
      <c r="P553" s="129" t="n"/>
      <c r="Q553" s="129" t="n"/>
      <c r="R553" s="129" t="n"/>
      <c r="S553" s="129" t="n"/>
      <c r="T553" s="129" t="n"/>
      <c r="U553" s="129" t="n"/>
      <c r="V553" s="129" t="n"/>
      <c r="W553" s="129" t="n"/>
      <c r="X553" s="129" t="n"/>
      <c r="Y553" s="703" t="n"/>
      <c r="Z553" s="704" t="n"/>
      <c r="AA553" s="705" t="n"/>
      <c r="AB553" s="613" t="n"/>
      <c r="AC553" s="614" t="n"/>
      <c r="AD553" s="628" t="n"/>
      <c r="AE553" s="616" t="n"/>
      <c r="AF553" s="617" t="n"/>
      <c r="AG553" s="693" t="n"/>
      <c r="AH553" s="721" t="n"/>
      <c r="AI553" s="721" t="n"/>
      <c r="AJ553" s="688" t="n"/>
      <c r="AK553" s="689" t="n"/>
      <c r="AL553" s="690" t="n"/>
      <c r="AM553" s="691" t="n"/>
      <c r="AN553" s="692" t="n"/>
      <c r="AO553" s="693" t="n"/>
      <c r="AP553" s="693" t="n"/>
      <c r="AQ553" s="693" t="n"/>
      <c r="AR553" s="693" t="n"/>
      <c r="AS553" s="693" t="n"/>
      <c r="AT553" s="693" t="n"/>
      <c r="AU553" s="699" t="n"/>
      <c r="AV553" s="693" t="n"/>
      <c r="AW553" s="693" t="n"/>
      <c r="AX553" s="693" t="n"/>
      <c r="AY553" s="693" t="n"/>
      <c r="AZ553" s="693" t="n"/>
    </row>
    <row r="554">
      <c r="A554" s="688" t="n"/>
      <c r="B554" s="688" t="n"/>
      <c r="C554" s="473" t="n"/>
      <c r="D554" s="688" t="n"/>
      <c r="E554" s="689" t="n"/>
      <c r="F554" s="721" t="n"/>
      <c r="G5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4" s="474">
        <f>G554/#REF!</f>
        <v/>
      </c>
      <c r="I554" s="690" t="n"/>
      <c r="J5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4" s="474">
        <f>J554/#REF!</f>
        <v/>
      </c>
      <c r="L554" s="473" t="n"/>
      <c r="M554" s="692" t="n"/>
      <c r="N554" s="693" t="n"/>
      <c r="O554" s="78" t="n"/>
      <c r="P554" s="129" t="n"/>
      <c r="Q554" s="129" t="n"/>
      <c r="R554" s="129" t="n"/>
      <c r="S554" s="129" t="n"/>
      <c r="T554" s="129" t="n"/>
      <c r="U554" s="129" t="n"/>
      <c r="V554" s="129" t="n"/>
      <c r="W554" s="129" t="n"/>
      <c r="X554" s="129" t="n"/>
      <c r="Y554" s="708" t="n"/>
      <c r="Z554" s="709" t="n"/>
      <c r="AA554" s="710" t="n"/>
      <c r="AB554" s="590" t="n"/>
      <c r="AC554" s="591" t="n"/>
      <c r="AD554" s="592" t="n"/>
      <c r="AE554" s="593" t="n"/>
      <c r="AF554" s="594" t="n"/>
      <c r="AG554" s="693" t="n"/>
      <c r="AH554" s="721" t="n"/>
      <c r="AI554" s="721" t="n"/>
      <c r="AJ554" s="688" t="n"/>
      <c r="AK554" s="689" t="n"/>
      <c r="AL554" s="690" t="n"/>
      <c r="AM554" s="691" t="n"/>
      <c r="AN554" s="692" t="n"/>
      <c r="AO554" s="693" t="n"/>
      <c r="AP554" s="693" t="n"/>
      <c r="AQ554" s="693" t="n"/>
      <c r="AR554" s="693" t="n"/>
      <c r="AS554" s="693" t="n"/>
      <c r="AT554" s="693" t="n"/>
      <c r="AU554" s="699" t="n"/>
      <c r="AV554" s="693" t="n"/>
      <c r="AW554" s="693" t="n"/>
      <c r="AX554" s="693" t="n"/>
      <c r="AY554" s="693" t="n"/>
      <c r="AZ554" s="693" t="n"/>
    </row>
    <row r="555">
      <c r="A555" s="688" t="n"/>
      <c r="B555" s="688" t="n"/>
      <c r="C555" s="473" t="n"/>
      <c r="D555" s="688" t="n"/>
      <c r="E555" s="689" t="n"/>
      <c r="F555" s="721" t="n"/>
      <c r="G5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5" s="474">
        <f>G555/#REF!</f>
        <v/>
      </c>
      <c r="I555" s="690" t="n"/>
      <c r="J5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5" s="474">
        <f>J555/#REF!</f>
        <v/>
      </c>
      <c r="L555" s="473" t="n"/>
      <c r="M555" s="692" t="n"/>
      <c r="N555" s="693" t="n"/>
      <c r="O555" s="78" t="n"/>
      <c r="P555" s="129" t="n"/>
      <c r="Q555" s="129" t="n"/>
      <c r="R555" s="129" t="n"/>
      <c r="S555" s="129" t="n"/>
      <c r="T555" s="129" t="n"/>
      <c r="U555" s="129" t="n"/>
      <c r="V555" s="129" t="n"/>
      <c r="W555" s="129" t="n"/>
      <c r="X555" s="129" t="n"/>
      <c r="Y555" s="703" t="n"/>
      <c r="Z555" s="704" t="n"/>
      <c r="AA555" s="705" t="n"/>
      <c r="AB555" s="613" t="n"/>
      <c r="AC555" s="614" t="n"/>
      <c r="AD555" s="628" t="n"/>
      <c r="AE555" s="616" t="n"/>
      <c r="AF555" s="617" t="n"/>
      <c r="AG555" s="693" t="n"/>
      <c r="AH555" s="721" t="n"/>
      <c r="AI555" s="721" t="n"/>
      <c r="AJ555" s="688" t="n"/>
      <c r="AK555" s="689" t="n"/>
      <c r="AL555" s="690" t="n"/>
      <c r="AM555" s="691" t="n"/>
      <c r="AN555" s="692" t="n"/>
      <c r="AO555" s="693" t="n"/>
      <c r="AP555" s="693" t="n"/>
      <c r="AQ555" s="693" t="n"/>
      <c r="AR555" s="693" t="n"/>
      <c r="AS555" s="693" t="n"/>
      <c r="AT555" s="693" t="n"/>
      <c r="AU555" s="699" t="n"/>
      <c r="AV555" s="693" t="n"/>
      <c r="AW555" s="693" t="n"/>
      <c r="AX555" s="693" t="n"/>
      <c r="AY555" s="693" t="n"/>
      <c r="AZ555" s="693" t="n"/>
    </row>
    <row r="556">
      <c r="A556" s="688" t="n"/>
      <c r="B556" s="688" t="n"/>
      <c r="C556" s="473" t="n"/>
      <c r="D556" s="688" t="n"/>
      <c r="E556" s="689" t="n"/>
      <c r="F556" s="721" t="n"/>
      <c r="G5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6" s="474">
        <f>G556/#REF!</f>
        <v/>
      </c>
      <c r="I556" s="690" t="n"/>
      <c r="J5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6" s="474">
        <f>J556/#REF!</f>
        <v/>
      </c>
      <c r="L556" s="473" t="n"/>
      <c r="M556" s="692" t="n"/>
      <c r="N556" s="693" t="n"/>
      <c r="O556" s="78" t="n"/>
      <c r="P556" s="129" t="n"/>
      <c r="Q556" s="129" t="n"/>
      <c r="R556" s="129" t="n"/>
      <c r="S556" s="129" t="n"/>
      <c r="T556" s="129" t="n"/>
      <c r="U556" s="129" t="n"/>
      <c r="V556" s="129" t="n"/>
      <c r="W556" s="129" t="n"/>
      <c r="X556" s="129" t="n"/>
      <c r="Y556" s="708" t="n"/>
      <c r="Z556" s="709" t="n"/>
      <c r="AA556" s="710" t="n"/>
      <c r="AB556" s="590" t="n"/>
      <c r="AC556" s="591" t="n"/>
      <c r="AD556" s="592" t="n"/>
      <c r="AE556" s="593" t="n"/>
      <c r="AF556" s="594" t="n"/>
      <c r="AG556" s="693" t="n"/>
      <c r="AH556" s="721" t="n"/>
      <c r="AI556" s="721" t="n"/>
      <c r="AJ556" s="688" t="n"/>
      <c r="AK556" s="689" t="n"/>
      <c r="AL556" s="690" t="n"/>
      <c r="AM556" s="691" t="n"/>
      <c r="AN556" s="692" t="n"/>
      <c r="AO556" s="693" t="n"/>
      <c r="AP556" s="693" t="n"/>
      <c r="AQ556" s="693" t="n"/>
      <c r="AR556" s="693" t="n"/>
      <c r="AS556" s="693" t="n"/>
      <c r="AT556" s="693" t="n"/>
      <c r="AU556" s="699" t="n"/>
      <c r="AV556" s="693" t="n"/>
      <c r="AW556" s="693" t="n"/>
      <c r="AX556" s="693" t="n"/>
      <c r="AY556" s="693" t="n"/>
      <c r="AZ556" s="693" t="n"/>
    </row>
    <row r="557">
      <c r="A557" s="688" t="n"/>
      <c r="B557" s="688" t="n"/>
      <c r="C557" s="473" t="n"/>
      <c r="D557" s="688" t="n"/>
      <c r="E557" s="689" t="n"/>
      <c r="F557" s="721" t="n"/>
      <c r="G5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7" s="474">
        <f>G557/#REF!</f>
        <v/>
      </c>
      <c r="I557" s="690" t="n"/>
      <c r="J5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7" s="474">
        <f>J557/#REF!</f>
        <v/>
      </c>
      <c r="L557" s="473" t="n"/>
      <c r="M557" s="692" t="n"/>
      <c r="N557" s="693" t="n"/>
      <c r="O557" s="78" t="n"/>
      <c r="P557" s="129" t="n"/>
      <c r="Q557" s="129" t="n"/>
      <c r="R557" s="129" t="n"/>
      <c r="S557" s="129" t="n"/>
      <c r="T557" s="129" t="n"/>
      <c r="U557" s="129" t="n"/>
      <c r="V557" s="129" t="n"/>
      <c r="W557" s="129" t="n"/>
      <c r="X557" s="129" t="n"/>
      <c r="Y557" s="703" t="n"/>
      <c r="Z557" s="704" t="n"/>
      <c r="AA557" s="705" t="n"/>
      <c r="AB557" s="613" t="n"/>
      <c r="AC557" s="614" t="n"/>
      <c r="AD557" s="628" t="n"/>
      <c r="AE557" s="616" t="n"/>
      <c r="AF557" s="617" t="n"/>
      <c r="AG557" s="693" t="n"/>
      <c r="AH557" s="721" t="n"/>
      <c r="AI557" s="721" t="n"/>
      <c r="AJ557" s="688" t="n"/>
      <c r="AK557" s="689" t="n"/>
      <c r="AL557" s="690" t="n"/>
      <c r="AM557" s="691" t="n"/>
      <c r="AN557" s="692" t="n"/>
      <c r="AO557" s="693" t="n"/>
      <c r="AP557" s="693" t="n"/>
      <c r="AQ557" s="693" t="n"/>
      <c r="AR557" s="693" t="n"/>
      <c r="AS557" s="693" t="n"/>
      <c r="AT557" s="693" t="n"/>
      <c r="AU557" s="699" t="n"/>
      <c r="AV557" s="693" t="n"/>
      <c r="AW557" s="693" t="n"/>
      <c r="AX557" s="693" t="n"/>
      <c r="AY557" s="693" t="n"/>
      <c r="AZ557" s="693" t="n"/>
    </row>
    <row r="558">
      <c r="A558" s="688" t="n"/>
      <c r="B558" s="688" t="n"/>
      <c r="C558" s="473" t="n"/>
      <c r="D558" s="688" t="n"/>
      <c r="E558" s="689" t="n"/>
      <c r="F558" s="721" t="n"/>
      <c r="G5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8" s="474">
        <f>G558/#REF!</f>
        <v/>
      </c>
      <c r="I558" s="690" t="n"/>
      <c r="J5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8" s="474">
        <f>J558/#REF!</f>
        <v/>
      </c>
      <c r="L558" s="473" t="n"/>
      <c r="M558" s="692" t="n"/>
      <c r="N558" s="693" t="n"/>
      <c r="O558" s="78" t="n"/>
      <c r="P558" s="129" t="n"/>
      <c r="Q558" s="129" t="n"/>
      <c r="R558" s="129" t="n"/>
      <c r="S558" s="129" t="n"/>
      <c r="T558" s="129" t="n"/>
      <c r="U558" s="129" t="n"/>
      <c r="V558" s="129" t="n"/>
      <c r="W558" s="129" t="n"/>
      <c r="X558" s="129" t="n"/>
      <c r="Y558" s="708" t="n"/>
      <c r="Z558" s="709" t="n"/>
      <c r="AA558" s="710" t="n"/>
      <c r="AB558" s="590" t="n"/>
      <c r="AC558" s="591" t="n"/>
      <c r="AD558" s="592" t="n"/>
      <c r="AE558" s="593" t="n"/>
      <c r="AF558" s="594" t="n"/>
      <c r="AG558" s="693" t="n"/>
      <c r="AH558" s="721" t="n"/>
      <c r="AI558" s="721" t="n"/>
      <c r="AJ558" s="688" t="n"/>
      <c r="AK558" s="689" t="n"/>
      <c r="AL558" s="690" t="n"/>
      <c r="AM558" s="691" t="n"/>
      <c r="AN558" s="692" t="n"/>
      <c r="AO558" s="693" t="n"/>
      <c r="AP558" s="693" t="n"/>
      <c r="AQ558" s="693" t="n"/>
      <c r="AR558" s="693" t="n"/>
      <c r="AS558" s="693" t="n"/>
      <c r="AT558" s="693" t="n"/>
      <c r="AU558" s="699" t="n"/>
      <c r="AV558" s="693" t="n"/>
      <c r="AW558" s="693" t="n"/>
      <c r="AX558" s="693" t="n"/>
      <c r="AY558" s="693" t="n"/>
      <c r="AZ558" s="693" t="n"/>
    </row>
    <row r="559">
      <c r="A559" s="688" t="n"/>
      <c r="B559" s="688" t="n"/>
      <c r="C559" s="473" t="n"/>
      <c r="D559" s="688" t="n"/>
      <c r="E559" s="689" t="n"/>
      <c r="F559" s="721" t="n"/>
      <c r="G5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59" s="474">
        <f>G559/#REF!</f>
        <v/>
      </c>
      <c r="I559" s="690" t="n"/>
      <c r="J5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59" s="474">
        <f>J559/#REF!</f>
        <v/>
      </c>
      <c r="L559" s="473" t="n"/>
      <c r="M559" s="692" t="n"/>
      <c r="N559" s="693" t="n"/>
      <c r="O559" s="78" t="n"/>
      <c r="P559" s="129" t="n"/>
      <c r="Q559" s="129" t="n"/>
      <c r="R559" s="129" t="n"/>
      <c r="S559" s="129" t="n"/>
      <c r="T559" s="129" t="n"/>
      <c r="U559" s="129" t="n"/>
      <c r="V559" s="129" t="n"/>
      <c r="W559" s="129" t="n"/>
      <c r="X559" s="129" t="n"/>
      <c r="Y559" s="703" t="n"/>
      <c r="Z559" s="704" t="n"/>
      <c r="AA559" s="705" t="n"/>
      <c r="AB559" s="613" t="n"/>
      <c r="AC559" s="614" t="n"/>
      <c r="AD559" s="628" t="n"/>
      <c r="AE559" s="616" t="n"/>
      <c r="AF559" s="617" t="n"/>
      <c r="AG559" s="693" t="n"/>
      <c r="AH559" s="721" t="n"/>
      <c r="AI559" s="721" t="n"/>
      <c r="AJ559" s="688" t="n"/>
      <c r="AK559" s="689" t="n"/>
      <c r="AL559" s="690" t="n"/>
      <c r="AM559" s="691" t="n"/>
      <c r="AN559" s="692" t="n"/>
      <c r="AO559" s="693" t="n"/>
      <c r="AP559" s="693" t="n"/>
      <c r="AQ559" s="693" t="n"/>
      <c r="AR559" s="693" t="n"/>
      <c r="AS559" s="693" t="n"/>
      <c r="AT559" s="693" t="n"/>
      <c r="AU559" s="699" t="n"/>
      <c r="AV559" s="693" t="n"/>
      <c r="AW559" s="693" t="n"/>
      <c r="AX559" s="693" t="n"/>
      <c r="AY559" s="693" t="n"/>
      <c r="AZ559" s="693" t="n"/>
    </row>
    <row r="560">
      <c r="A560" s="688" t="n"/>
      <c r="B560" s="688" t="n"/>
      <c r="C560" s="473" t="n"/>
      <c r="D560" s="688" t="n"/>
      <c r="E560" s="689" t="n"/>
      <c r="F560" s="721" t="n"/>
      <c r="G5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0" s="474">
        <f>G560/#REF!</f>
        <v/>
      </c>
      <c r="I560" s="690" t="n"/>
      <c r="J5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0" s="474">
        <f>J560/#REF!</f>
        <v/>
      </c>
      <c r="L560" s="473" t="n"/>
      <c r="M560" s="692" t="n"/>
      <c r="N560" s="693" t="n"/>
      <c r="O560" s="78" t="n"/>
      <c r="P560" s="129" t="n"/>
      <c r="Q560" s="129" t="n"/>
      <c r="R560" s="129" t="n"/>
      <c r="S560" s="129" t="n"/>
      <c r="T560" s="129" t="n"/>
      <c r="U560" s="129" t="n"/>
      <c r="V560" s="129" t="n"/>
      <c r="W560" s="129" t="n"/>
      <c r="X560" s="129" t="n"/>
      <c r="Y560" s="708" t="n"/>
      <c r="Z560" s="709" t="n"/>
      <c r="AA560" s="710" t="n"/>
      <c r="AB560" s="590" t="n"/>
      <c r="AC560" s="591" t="n"/>
      <c r="AD560" s="592" t="n"/>
      <c r="AE560" s="593" t="n"/>
      <c r="AF560" s="594" t="n"/>
      <c r="AG560" s="693" t="n"/>
      <c r="AH560" s="721" t="n"/>
      <c r="AI560" s="721" t="n"/>
      <c r="AJ560" s="688" t="n"/>
      <c r="AK560" s="689" t="n"/>
      <c r="AL560" s="690" t="n"/>
      <c r="AM560" s="691" t="n"/>
      <c r="AN560" s="692" t="n"/>
      <c r="AO560" s="693" t="n"/>
      <c r="AP560" s="693" t="n"/>
      <c r="AQ560" s="693" t="n"/>
      <c r="AR560" s="693" t="n"/>
      <c r="AS560" s="693" t="n"/>
      <c r="AT560" s="693" t="n"/>
      <c r="AU560" s="699" t="n"/>
      <c r="AV560" s="693" t="n"/>
      <c r="AW560" s="693" t="n"/>
      <c r="AX560" s="693" t="n"/>
      <c r="AY560" s="693" t="n"/>
      <c r="AZ560" s="693" t="n"/>
    </row>
    <row r="561">
      <c r="A561" s="688" t="n"/>
      <c r="B561" s="688" t="n"/>
      <c r="C561" s="473" t="n"/>
      <c r="D561" s="688" t="n"/>
      <c r="E561" s="689" t="n"/>
      <c r="F561" s="721" t="n"/>
      <c r="G5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1" s="474">
        <f>G561/#REF!</f>
        <v/>
      </c>
      <c r="I561" s="690" t="n"/>
      <c r="J5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1" s="474">
        <f>J561/#REF!</f>
        <v/>
      </c>
      <c r="L561" s="473" t="n"/>
      <c r="M561" s="692" t="n"/>
      <c r="N561" s="693" t="n"/>
      <c r="O561" s="78" t="n"/>
      <c r="P561" s="129" t="n"/>
      <c r="Q561" s="129" t="n"/>
      <c r="R561" s="129" t="n"/>
      <c r="S561" s="129" t="n"/>
      <c r="T561" s="129" t="n"/>
      <c r="U561" s="129" t="n"/>
      <c r="V561" s="129" t="n"/>
      <c r="W561" s="129" t="n"/>
      <c r="X561" s="129" t="n"/>
      <c r="Y561" s="703" t="n"/>
      <c r="Z561" s="704" t="n"/>
      <c r="AA561" s="705" t="n"/>
      <c r="AB561" s="613" t="n"/>
      <c r="AC561" s="614" t="n"/>
      <c r="AD561" s="628" t="n"/>
      <c r="AE561" s="616" t="n"/>
      <c r="AF561" s="617" t="n"/>
      <c r="AG561" s="693" t="n"/>
      <c r="AH561" s="721" t="n"/>
      <c r="AI561" s="721" t="n"/>
      <c r="AJ561" s="688" t="n"/>
      <c r="AK561" s="689" t="n"/>
      <c r="AL561" s="690" t="n"/>
      <c r="AM561" s="691" t="n"/>
      <c r="AN561" s="692" t="n"/>
      <c r="AO561" s="693" t="n"/>
      <c r="AP561" s="693" t="n"/>
      <c r="AQ561" s="693" t="n"/>
      <c r="AR561" s="693" t="n"/>
      <c r="AS561" s="693" t="n"/>
      <c r="AT561" s="693" t="n"/>
      <c r="AU561" s="699" t="n"/>
      <c r="AV561" s="693" t="n"/>
      <c r="AW561" s="693" t="n"/>
      <c r="AX561" s="693" t="n"/>
      <c r="AY561" s="693" t="n"/>
      <c r="AZ561" s="693" t="n"/>
    </row>
    <row r="562">
      <c r="A562" s="688" t="n"/>
      <c r="B562" s="688" t="n"/>
      <c r="C562" s="473" t="n"/>
      <c r="D562" s="688" t="n"/>
      <c r="E562" s="689" t="n"/>
      <c r="F562" s="721" t="n"/>
      <c r="G5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2" s="474">
        <f>G562/#REF!</f>
        <v/>
      </c>
      <c r="I562" s="690" t="n"/>
      <c r="J5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2" s="474">
        <f>J562/#REF!</f>
        <v/>
      </c>
      <c r="L562" s="473" t="n"/>
      <c r="M562" s="692" t="n"/>
      <c r="N562" s="693" t="n"/>
      <c r="O562" s="78" t="n"/>
      <c r="P562" s="129" t="n"/>
      <c r="Q562" s="129" t="n"/>
      <c r="R562" s="129" t="n"/>
      <c r="S562" s="129" t="n"/>
      <c r="T562" s="129" t="n"/>
      <c r="U562" s="129" t="n"/>
      <c r="V562" s="129" t="n"/>
      <c r="W562" s="129" t="n"/>
      <c r="X562" s="129" t="n"/>
      <c r="Y562" s="708" t="n"/>
      <c r="Z562" s="709" t="n"/>
      <c r="AA562" s="710" t="n"/>
      <c r="AB562" s="590" t="n"/>
      <c r="AC562" s="591" t="n"/>
      <c r="AD562" s="592" t="n"/>
      <c r="AE562" s="593" t="n"/>
      <c r="AF562" s="594" t="n"/>
      <c r="AG562" s="693" t="n"/>
      <c r="AH562" s="721" t="n"/>
      <c r="AI562" s="721" t="n"/>
      <c r="AJ562" s="688" t="n"/>
      <c r="AK562" s="689" t="n"/>
      <c r="AL562" s="690" t="n"/>
      <c r="AM562" s="691" t="n"/>
      <c r="AN562" s="692" t="n"/>
      <c r="AO562" s="693" t="n"/>
      <c r="AP562" s="693" t="n"/>
      <c r="AQ562" s="693" t="n"/>
      <c r="AR562" s="693" t="n"/>
      <c r="AS562" s="693" t="n"/>
      <c r="AT562" s="693" t="n"/>
      <c r="AU562" s="699" t="n"/>
      <c r="AV562" s="693" t="n"/>
      <c r="AW562" s="693" t="n"/>
      <c r="AX562" s="693" t="n"/>
      <c r="AY562" s="693" t="n"/>
      <c r="AZ562" s="693" t="n"/>
    </row>
    <row r="563">
      <c r="A563" s="688" t="n"/>
      <c r="B563" s="688" t="n"/>
      <c r="C563" s="473" t="n"/>
      <c r="D563" s="688" t="n"/>
      <c r="E563" s="689" t="n"/>
      <c r="F563" s="721" t="n"/>
      <c r="G5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3" s="474">
        <f>G563/#REF!</f>
        <v/>
      </c>
      <c r="I563" s="690" t="n"/>
      <c r="J5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3" s="474">
        <f>J563/#REF!</f>
        <v/>
      </c>
      <c r="L563" s="473" t="n"/>
      <c r="M563" s="692" t="n"/>
      <c r="N563" s="693" t="n"/>
      <c r="O563" s="78" t="n"/>
      <c r="P563" s="129" t="n"/>
      <c r="Q563" s="129" t="n"/>
      <c r="R563" s="129" t="n"/>
      <c r="S563" s="129" t="n"/>
      <c r="T563" s="129" t="n"/>
      <c r="U563" s="129" t="n"/>
      <c r="V563" s="129" t="n"/>
      <c r="W563" s="129" t="n"/>
      <c r="X563" s="129" t="n"/>
      <c r="Y563" s="703" t="n"/>
      <c r="Z563" s="704" t="n"/>
      <c r="AA563" s="705" t="n"/>
      <c r="AB563" s="613" t="n"/>
      <c r="AC563" s="614" t="n"/>
      <c r="AD563" s="628" t="n"/>
      <c r="AE563" s="616" t="n"/>
      <c r="AF563" s="617" t="n"/>
      <c r="AG563" s="693" t="n"/>
      <c r="AH563" s="721" t="n"/>
      <c r="AI563" s="721" t="n"/>
      <c r="AJ563" s="688" t="n"/>
      <c r="AK563" s="689" t="n"/>
      <c r="AL563" s="690" t="n"/>
      <c r="AM563" s="691" t="n"/>
      <c r="AN563" s="692" t="n"/>
      <c r="AO563" s="693" t="n"/>
      <c r="AP563" s="693" t="n"/>
      <c r="AQ563" s="693" t="n"/>
      <c r="AR563" s="693" t="n"/>
      <c r="AS563" s="693" t="n"/>
      <c r="AT563" s="693" t="n"/>
      <c r="AU563" s="699" t="n"/>
      <c r="AV563" s="693" t="n"/>
      <c r="AW563" s="693" t="n"/>
      <c r="AX563" s="693" t="n"/>
      <c r="AY563" s="693" t="n"/>
      <c r="AZ563" s="693" t="n"/>
    </row>
    <row r="564">
      <c r="A564" s="688" t="n"/>
      <c r="B564" s="688" t="n"/>
      <c r="C564" s="473" t="n"/>
      <c r="D564" s="688" t="n"/>
      <c r="E564" s="689" t="n"/>
      <c r="F564" s="721" t="n"/>
      <c r="G5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4" s="474">
        <f>G564/#REF!</f>
        <v/>
      </c>
      <c r="I564" s="690" t="n"/>
      <c r="J5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4" s="474">
        <f>J564/#REF!</f>
        <v/>
      </c>
      <c r="L564" s="473" t="n"/>
      <c r="M564" s="692" t="n"/>
      <c r="N564" s="693" t="n"/>
      <c r="O564" s="78" t="n"/>
      <c r="P564" s="129" t="n"/>
      <c r="Q564" s="129" t="n"/>
      <c r="R564" s="129" t="n"/>
      <c r="S564" s="129" t="n"/>
      <c r="T564" s="129" t="n"/>
      <c r="U564" s="129" t="n"/>
      <c r="V564" s="129" t="n"/>
      <c r="W564" s="129" t="n"/>
      <c r="X564" s="129" t="n"/>
      <c r="Y564" s="708" t="n"/>
      <c r="Z564" s="709" t="n"/>
      <c r="AA564" s="710" t="n"/>
      <c r="AB564" s="590" t="n"/>
      <c r="AC564" s="591" t="n"/>
      <c r="AD564" s="592" t="n"/>
      <c r="AE564" s="593" t="n"/>
      <c r="AF564" s="594" t="n"/>
      <c r="AG564" s="693" t="n"/>
      <c r="AH564" s="721" t="n"/>
      <c r="AI564" s="721" t="n"/>
      <c r="AJ564" s="688" t="n"/>
      <c r="AK564" s="689" t="n"/>
      <c r="AL564" s="690" t="n"/>
      <c r="AM564" s="691" t="n"/>
      <c r="AN564" s="692" t="n"/>
      <c r="AO564" s="693" t="n"/>
      <c r="AP564" s="693" t="n"/>
      <c r="AQ564" s="693" t="n"/>
      <c r="AR564" s="693" t="n"/>
      <c r="AS564" s="693" t="n"/>
      <c r="AT564" s="693" t="n"/>
      <c r="AU564" s="699" t="n"/>
      <c r="AV564" s="693" t="n"/>
      <c r="AW564" s="693" t="n"/>
      <c r="AX564" s="693" t="n"/>
      <c r="AY564" s="693" t="n"/>
      <c r="AZ564" s="693" t="n"/>
    </row>
    <row r="565">
      <c r="A565" s="688" t="n"/>
      <c r="B565" s="688" t="n"/>
      <c r="C565" s="473" t="n"/>
      <c r="D565" s="688" t="n"/>
      <c r="E565" s="689" t="n"/>
      <c r="F565" s="721" t="n"/>
      <c r="G5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5" s="474">
        <f>G565/#REF!</f>
        <v/>
      </c>
      <c r="I565" s="690" t="n"/>
      <c r="J5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5" s="474">
        <f>J565/#REF!</f>
        <v/>
      </c>
      <c r="L565" s="473" t="n"/>
      <c r="M565" s="692" t="n"/>
      <c r="N565" s="693" t="n"/>
      <c r="O565" s="78" t="n"/>
      <c r="P565" s="129" t="n"/>
      <c r="Q565" s="129" t="n"/>
      <c r="R565" s="129" t="n"/>
      <c r="S565" s="129" t="n"/>
      <c r="T565" s="129" t="n"/>
      <c r="U565" s="129" t="n"/>
      <c r="V565" s="129" t="n"/>
      <c r="W565" s="129" t="n"/>
      <c r="X565" s="129" t="n"/>
      <c r="Y565" s="703" t="n"/>
      <c r="Z565" s="704" t="n"/>
      <c r="AA565" s="705" t="n"/>
      <c r="AB565" s="613" t="n"/>
      <c r="AC565" s="614" t="n"/>
      <c r="AD565" s="628" t="n"/>
      <c r="AE565" s="616" t="n"/>
      <c r="AF565" s="617" t="n"/>
      <c r="AG565" s="693" t="n"/>
      <c r="AH565" s="721" t="n"/>
      <c r="AI565" s="721" t="n"/>
      <c r="AJ565" s="688" t="n"/>
      <c r="AK565" s="689" t="n"/>
      <c r="AL565" s="690" t="n"/>
      <c r="AM565" s="691" t="n"/>
      <c r="AN565" s="692" t="n"/>
      <c r="AO565" s="693" t="n"/>
      <c r="AP565" s="693" t="n"/>
      <c r="AQ565" s="693" t="n"/>
      <c r="AR565" s="693" t="n"/>
      <c r="AS565" s="693" t="n"/>
      <c r="AT565" s="693" t="n"/>
      <c r="AU565" s="699" t="n"/>
      <c r="AV565" s="693" t="n"/>
      <c r="AW565" s="693" t="n"/>
      <c r="AX565" s="693" t="n"/>
      <c r="AY565" s="693" t="n"/>
      <c r="AZ565" s="693" t="n"/>
    </row>
    <row r="566">
      <c r="A566" s="688" t="n"/>
      <c r="B566" s="688" t="n"/>
      <c r="C566" s="473" t="n"/>
      <c r="D566" s="688" t="n"/>
      <c r="E566" s="689" t="n"/>
      <c r="F566" s="721" t="n"/>
      <c r="G5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6" s="474">
        <f>G566/#REF!</f>
        <v/>
      </c>
      <c r="I566" s="690" t="n"/>
      <c r="J5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6" s="474">
        <f>J566/#REF!</f>
        <v/>
      </c>
      <c r="L566" s="473" t="n"/>
      <c r="M566" s="692" t="n"/>
      <c r="N566" s="693" t="n"/>
      <c r="O566" s="78" t="n"/>
      <c r="P566" s="129" t="n"/>
      <c r="Q566" s="129" t="n"/>
      <c r="R566" s="129" t="n"/>
      <c r="S566" s="129" t="n"/>
      <c r="T566" s="129" t="n"/>
      <c r="U566" s="129" t="n"/>
      <c r="V566" s="129" t="n"/>
      <c r="W566" s="129" t="n"/>
      <c r="X566" s="129" t="n"/>
      <c r="Y566" s="708" t="n"/>
      <c r="Z566" s="709" t="n"/>
      <c r="AA566" s="710" t="n"/>
      <c r="AB566" s="590" t="n"/>
      <c r="AC566" s="591" t="n"/>
      <c r="AD566" s="592" t="n"/>
      <c r="AE566" s="593" t="n"/>
      <c r="AF566" s="594" t="n"/>
      <c r="AG566" s="693" t="n"/>
      <c r="AH566" s="721" t="n"/>
      <c r="AI566" s="721" t="n"/>
      <c r="AJ566" s="688" t="n"/>
      <c r="AK566" s="689" t="n"/>
      <c r="AL566" s="690" t="n"/>
      <c r="AM566" s="691" t="n"/>
      <c r="AN566" s="692" t="n"/>
      <c r="AO566" s="693" t="n"/>
      <c r="AP566" s="693" t="n"/>
      <c r="AQ566" s="693" t="n"/>
      <c r="AR566" s="693" t="n"/>
      <c r="AS566" s="693" t="n"/>
      <c r="AT566" s="693" t="n"/>
      <c r="AU566" s="699" t="n"/>
      <c r="AV566" s="693" t="n"/>
      <c r="AW566" s="693" t="n"/>
      <c r="AX566" s="693" t="n"/>
      <c r="AY566" s="693" t="n"/>
      <c r="AZ566" s="693" t="n"/>
    </row>
    <row r="567">
      <c r="A567" s="688" t="n"/>
      <c r="B567" s="688" t="n"/>
      <c r="C567" s="473" t="n"/>
      <c r="D567" s="688" t="n"/>
      <c r="E567" s="689" t="n"/>
      <c r="F567" s="721" t="n"/>
      <c r="G5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7" s="474">
        <f>G567/#REF!</f>
        <v/>
      </c>
      <c r="I567" s="690" t="n"/>
      <c r="J5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7" s="474">
        <f>J567/#REF!</f>
        <v/>
      </c>
      <c r="L567" s="473" t="n"/>
      <c r="M567" s="692" t="n"/>
      <c r="N567" s="693" t="n"/>
      <c r="O567" s="78" t="n"/>
      <c r="P567" s="129" t="n"/>
      <c r="Q567" s="129" t="n"/>
      <c r="R567" s="129" t="n"/>
      <c r="S567" s="129" t="n"/>
      <c r="T567" s="129" t="n"/>
      <c r="U567" s="129" t="n"/>
      <c r="V567" s="129" t="n"/>
      <c r="W567" s="129" t="n"/>
      <c r="X567" s="129" t="n"/>
      <c r="Y567" s="703" t="n"/>
      <c r="Z567" s="704" t="n"/>
      <c r="AA567" s="705" t="n"/>
      <c r="AB567" s="613" t="n"/>
      <c r="AC567" s="614" t="n"/>
      <c r="AD567" s="628" t="n"/>
      <c r="AE567" s="616" t="n"/>
      <c r="AF567" s="617" t="n"/>
      <c r="AG567" s="693" t="n"/>
      <c r="AH567" s="721" t="n"/>
      <c r="AI567" s="721" t="n"/>
      <c r="AJ567" s="688" t="n"/>
      <c r="AK567" s="689" t="n"/>
      <c r="AL567" s="690" t="n"/>
      <c r="AM567" s="691" t="n"/>
      <c r="AN567" s="692" t="n"/>
      <c r="AO567" s="693" t="n"/>
      <c r="AP567" s="693" t="n"/>
      <c r="AQ567" s="693" t="n"/>
      <c r="AR567" s="693" t="n"/>
      <c r="AS567" s="693" t="n"/>
      <c r="AT567" s="693" t="n"/>
      <c r="AU567" s="699" t="n"/>
      <c r="AV567" s="693" t="n"/>
      <c r="AW567" s="693" t="n"/>
      <c r="AX567" s="693" t="n"/>
      <c r="AY567" s="693" t="n"/>
      <c r="AZ567" s="693" t="n"/>
    </row>
    <row r="568">
      <c r="A568" s="688" t="n"/>
      <c r="B568" s="688" t="n"/>
      <c r="C568" s="473" t="n"/>
      <c r="D568" s="688" t="n"/>
      <c r="E568" s="689" t="n"/>
      <c r="F568" s="721" t="n"/>
      <c r="G5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8" s="474">
        <f>G568/#REF!</f>
        <v/>
      </c>
      <c r="I568" s="690" t="n"/>
      <c r="J5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8" s="474">
        <f>J568/#REF!</f>
        <v/>
      </c>
      <c r="L568" s="473" t="n"/>
      <c r="M568" s="692" t="n"/>
      <c r="N568" s="693" t="n"/>
      <c r="O568" s="78" t="n"/>
      <c r="P568" s="129" t="n"/>
      <c r="Q568" s="129" t="n"/>
      <c r="R568" s="129" t="n"/>
      <c r="S568" s="129" t="n"/>
      <c r="T568" s="129" t="n"/>
      <c r="U568" s="129" t="n"/>
      <c r="V568" s="129" t="n"/>
      <c r="W568" s="129" t="n"/>
      <c r="X568" s="129" t="n"/>
      <c r="Y568" s="708" t="n"/>
      <c r="Z568" s="709" t="n"/>
      <c r="AA568" s="710" t="n"/>
      <c r="AB568" s="590" t="n"/>
      <c r="AC568" s="591" t="n"/>
      <c r="AD568" s="592" t="n"/>
      <c r="AE568" s="593" t="n"/>
      <c r="AF568" s="594" t="n"/>
      <c r="AG568" s="693" t="n"/>
      <c r="AH568" s="721" t="n"/>
      <c r="AI568" s="721" t="n"/>
      <c r="AJ568" s="688" t="n"/>
      <c r="AK568" s="689" t="n"/>
      <c r="AL568" s="690" t="n"/>
      <c r="AM568" s="691" t="n"/>
      <c r="AN568" s="692" t="n"/>
      <c r="AO568" s="693" t="n"/>
      <c r="AP568" s="693" t="n"/>
      <c r="AQ568" s="693" t="n"/>
      <c r="AR568" s="693" t="n"/>
      <c r="AS568" s="693" t="n"/>
      <c r="AT568" s="693" t="n"/>
      <c r="AU568" s="699" t="n"/>
      <c r="AV568" s="693" t="n"/>
      <c r="AW568" s="693" t="n"/>
      <c r="AX568" s="693" t="n"/>
      <c r="AY568" s="693" t="n"/>
      <c r="AZ568" s="693" t="n"/>
    </row>
    <row r="569">
      <c r="A569" s="688" t="n"/>
      <c r="B569" s="688" t="n"/>
      <c r="C569" s="473" t="n"/>
      <c r="D569" s="688" t="n"/>
      <c r="E569" s="689" t="n"/>
      <c r="F569" s="721" t="n"/>
      <c r="G5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69" s="474">
        <f>G569/#REF!</f>
        <v/>
      </c>
      <c r="I569" s="690" t="n"/>
      <c r="J5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69" s="474">
        <f>J569/#REF!</f>
        <v/>
      </c>
      <c r="L569" s="473" t="n"/>
      <c r="M569" s="692" t="n"/>
      <c r="N569" s="693" t="n"/>
      <c r="O569" s="78" t="n"/>
      <c r="P569" s="129" t="n"/>
      <c r="Q569" s="129" t="n"/>
      <c r="R569" s="129" t="n"/>
      <c r="S569" s="129" t="n"/>
      <c r="T569" s="129" t="n"/>
      <c r="U569" s="129" t="n"/>
      <c r="V569" s="129" t="n"/>
      <c r="W569" s="129" t="n"/>
      <c r="X569" s="129" t="n"/>
      <c r="Y569" s="703" t="n"/>
      <c r="Z569" s="704" t="n"/>
      <c r="AA569" s="705" t="n"/>
      <c r="AB569" s="613" t="n"/>
      <c r="AC569" s="614" t="n"/>
      <c r="AD569" s="628" t="n"/>
      <c r="AE569" s="616" t="n"/>
      <c r="AF569" s="617" t="n"/>
      <c r="AG569" s="693" t="n"/>
      <c r="AH569" s="721" t="n"/>
      <c r="AI569" s="721" t="n"/>
      <c r="AJ569" s="688" t="n"/>
      <c r="AK569" s="689" t="n"/>
      <c r="AL569" s="690" t="n"/>
      <c r="AM569" s="691" t="n"/>
      <c r="AN569" s="692" t="n"/>
      <c r="AO569" s="693" t="n"/>
      <c r="AP569" s="693" t="n"/>
      <c r="AQ569" s="693" t="n"/>
      <c r="AR569" s="693" t="n"/>
      <c r="AS569" s="693" t="n"/>
      <c r="AT569" s="693" t="n"/>
      <c r="AU569" s="699" t="n"/>
      <c r="AV569" s="693" t="n"/>
      <c r="AW569" s="693" t="n"/>
      <c r="AX569" s="693" t="n"/>
      <c r="AY569" s="693" t="n"/>
      <c r="AZ569" s="693" t="n"/>
    </row>
    <row r="570">
      <c r="A570" s="688" t="n"/>
      <c r="B570" s="688" t="n"/>
      <c r="C570" s="473" t="n"/>
      <c r="D570" s="688" t="n"/>
      <c r="E570" s="689" t="n"/>
      <c r="F570" s="721" t="n"/>
      <c r="G5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0" s="474">
        <f>G570/#REF!</f>
        <v/>
      </c>
      <c r="I570" s="690" t="n"/>
      <c r="J5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0" s="474">
        <f>J570/#REF!</f>
        <v/>
      </c>
      <c r="L570" s="473" t="n"/>
      <c r="M570" s="692" t="n"/>
      <c r="N570" s="693" t="n"/>
      <c r="O570" s="78" t="n"/>
      <c r="P570" s="129" t="n"/>
      <c r="Q570" s="129" t="n"/>
      <c r="R570" s="129" t="n"/>
      <c r="S570" s="129" t="n"/>
      <c r="T570" s="129" t="n"/>
      <c r="U570" s="129" t="n"/>
      <c r="V570" s="129" t="n"/>
      <c r="W570" s="129" t="n"/>
      <c r="X570" s="129" t="n"/>
      <c r="Y570" s="708" t="n"/>
      <c r="Z570" s="709" t="n"/>
      <c r="AA570" s="710" t="n"/>
      <c r="AB570" s="590" t="n"/>
      <c r="AC570" s="591" t="n"/>
      <c r="AD570" s="592" t="n"/>
      <c r="AE570" s="593" t="n"/>
      <c r="AF570" s="594" t="n"/>
      <c r="AG570" s="693" t="n"/>
      <c r="AH570" s="721" t="n"/>
      <c r="AI570" s="721" t="n"/>
      <c r="AJ570" s="688" t="n"/>
      <c r="AK570" s="689" t="n"/>
      <c r="AL570" s="690" t="n"/>
      <c r="AM570" s="691" t="n"/>
      <c r="AN570" s="692" t="n"/>
      <c r="AO570" s="693" t="n"/>
      <c r="AP570" s="693" t="n"/>
      <c r="AQ570" s="693" t="n"/>
      <c r="AR570" s="693" t="n"/>
      <c r="AS570" s="693" t="n"/>
      <c r="AT570" s="693" t="n"/>
      <c r="AU570" s="699" t="n"/>
      <c r="AV570" s="693" t="n"/>
      <c r="AW570" s="693" t="n"/>
      <c r="AX570" s="693" t="n"/>
      <c r="AY570" s="693" t="n"/>
      <c r="AZ570" s="693" t="n"/>
    </row>
    <row r="571">
      <c r="A571" s="688" t="n"/>
      <c r="B571" s="688" t="n"/>
      <c r="C571" s="473" t="n"/>
      <c r="D571" s="688" t="n"/>
      <c r="E571" s="689" t="n"/>
      <c r="F571" s="721" t="n"/>
      <c r="G5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1" s="474">
        <f>G571/#REF!</f>
        <v/>
      </c>
      <c r="I571" s="690" t="n"/>
      <c r="J5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1" s="474">
        <f>J571/#REF!</f>
        <v/>
      </c>
      <c r="L571" s="473" t="n"/>
      <c r="M571" s="692" t="n"/>
      <c r="N571" s="693" t="n"/>
      <c r="O571" s="78" t="n"/>
      <c r="P571" s="129" t="n"/>
      <c r="Q571" s="129" t="n"/>
      <c r="R571" s="129" t="n"/>
      <c r="S571" s="129" t="n"/>
      <c r="T571" s="129" t="n"/>
      <c r="U571" s="129" t="n"/>
      <c r="V571" s="129" t="n"/>
      <c r="W571" s="129" t="n"/>
      <c r="X571" s="129" t="n"/>
      <c r="Y571" s="703" t="n"/>
      <c r="Z571" s="704" t="n"/>
      <c r="AA571" s="705" t="n"/>
      <c r="AB571" s="613" t="n"/>
      <c r="AC571" s="614" t="n"/>
      <c r="AD571" s="628" t="n"/>
      <c r="AE571" s="616" t="n"/>
      <c r="AF571" s="617" t="n"/>
      <c r="AG571" s="693" t="n"/>
      <c r="AH571" s="721" t="n"/>
      <c r="AI571" s="721" t="n"/>
      <c r="AJ571" s="688" t="n"/>
      <c r="AK571" s="689" t="n"/>
      <c r="AL571" s="690" t="n"/>
      <c r="AM571" s="691" t="n"/>
      <c r="AN571" s="692" t="n"/>
      <c r="AO571" s="693" t="n"/>
      <c r="AP571" s="693" t="n"/>
      <c r="AQ571" s="693" t="n"/>
      <c r="AR571" s="693" t="n"/>
      <c r="AS571" s="693" t="n"/>
      <c r="AT571" s="693" t="n"/>
      <c r="AU571" s="699" t="n"/>
      <c r="AV571" s="693" t="n"/>
      <c r="AW571" s="693" t="n"/>
      <c r="AX571" s="693" t="n"/>
      <c r="AY571" s="693" t="n"/>
      <c r="AZ571" s="693" t="n"/>
    </row>
    <row r="572">
      <c r="A572" s="688" t="n"/>
      <c r="B572" s="688" t="n"/>
      <c r="C572" s="473" t="n"/>
      <c r="D572" s="688" t="n"/>
      <c r="E572" s="689" t="n"/>
      <c r="F572" s="721" t="n"/>
      <c r="G5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2" s="474">
        <f>G572/#REF!</f>
        <v/>
      </c>
      <c r="I572" s="690" t="n"/>
      <c r="J5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2" s="474">
        <f>J572/#REF!</f>
        <v/>
      </c>
      <c r="L572" s="473" t="n"/>
      <c r="M572" s="692" t="n"/>
      <c r="N572" s="693" t="n"/>
      <c r="O572" s="78" t="n"/>
      <c r="P572" s="129" t="n"/>
      <c r="Q572" s="129" t="n"/>
      <c r="R572" s="129" t="n"/>
      <c r="S572" s="129" t="n"/>
      <c r="T572" s="129" t="n"/>
      <c r="U572" s="129" t="n"/>
      <c r="V572" s="129" t="n"/>
      <c r="W572" s="129" t="n"/>
      <c r="X572" s="129" t="n"/>
      <c r="Y572" s="708" t="n"/>
      <c r="Z572" s="709" t="n"/>
      <c r="AA572" s="710" t="n"/>
      <c r="AB572" s="590" t="n"/>
      <c r="AC572" s="591" t="n"/>
      <c r="AD572" s="592" t="n"/>
      <c r="AE572" s="593" t="n"/>
      <c r="AF572" s="594" t="n"/>
      <c r="AG572" s="693" t="n"/>
      <c r="AH572" s="721" t="n"/>
      <c r="AI572" s="721" t="n"/>
      <c r="AJ572" s="688" t="n"/>
      <c r="AK572" s="689" t="n"/>
      <c r="AL572" s="690" t="n"/>
      <c r="AM572" s="691" t="n"/>
      <c r="AN572" s="692" t="n"/>
      <c r="AO572" s="693" t="n"/>
      <c r="AP572" s="693" t="n"/>
      <c r="AQ572" s="693" t="n"/>
      <c r="AR572" s="693" t="n"/>
      <c r="AS572" s="693" t="n"/>
      <c r="AT572" s="693" t="n"/>
      <c r="AU572" s="699" t="n"/>
      <c r="AV572" s="693" t="n"/>
      <c r="AW572" s="693" t="n"/>
      <c r="AX572" s="693" t="n"/>
      <c r="AY572" s="693" t="n"/>
      <c r="AZ572" s="693" t="n"/>
    </row>
    <row r="573">
      <c r="A573" s="688" t="n"/>
      <c r="B573" s="688" t="n"/>
      <c r="C573" s="473" t="n"/>
      <c r="D573" s="688" t="n"/>
      <c r="E573" s="689" t="n"/>
      <c r="F573" s="721" t="n"/>
      <c r="G5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3" s="474">
        <f>G573/#REF!</f>
        <v/>
      </c>
      <c r="I573" s="690" t="n"/>
      <c r="J5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3" s="474">
        <f>J573/#REF!</f>
        <v/>
      </c>
      <c r="L573" s="473" t="n"/>
      <c r="M573" s="692" t="n"/>
      <c r="N573" s="693" t="n"/>
      <c r="O573" s="78" t="n"/>
      <c r="P573" s="129" t="n"/>
      <c r="Q573" s="129" t="n"/>
      <c r="R573" s="129" t="n"/>
      <c r="S573" s="129" t="n"/>
      <c r="T573" s="129" t="n"/>
      <c r="U573" s="129" t="n"/>
      <c r="V573" s="129" t="n"/>
      <c r="W573" s="129" t="n"/>
      <c r="X573" s="129" t="n"/>
      <c r="Y573" s="703" t="n"/>
      <c r="Z573" s="704" t="n"/>
      <c r="AA573" s="705" t="n"/>
      <c r="AB573" s="613" t="n"/>
      <c r="AC573" s="614" t="n"/>
      <c r="AD573" s="628" t="n"/>
      <c r="AE573" s="616" t="n"/>
      <c r="AF573" s="617" t="n"/>
      <c r="AG573" s="693" t="n"/>
      <c r="AH573" s="721" t="n"/>
      <c r="AI573" s="721" t="n"/>
      <c r="AJ573" s="688" t="n"/>
      <c r="AK573" s="689" t="n"/>
      <c r="AL573" s="690" t="n"/>
      <c r="AM573" s="691" t="n"/>
      <c r="AN573" s="692" t="n"/>
      <c r="AO573" s="693" t="n"/>
      <c r="AP573" s="693" t="n"/>
      <c r="AQ573" s="693" t="n"/>
      <c r="AR573" s="693" t="n"/>
      <c r="AS573" s="693" t="n"/>
      <c r="AT573" s="693" t="n"/>
      <c r="AU573" s="699" t="n"/>
      <c r="AV573" s="693" t="n"/>
      <c r="AW573" s="693" t="n"/>
      <c r="AX573" s="693" t="n"/>
      <c r="AY573" s="693" t="n"/>
      <c r="AZ573" s="693" t="n"/>
    </row>
    <row r="574">
      <c r="A574" s="688" t="n"/>
      <c r="B574" s="688" t="n"/>
      <c r="C574" s="473" t="n"/>
      <c r="D574" s="688" t="n"/>
      <c r="E574" s="689" t="n"/>
      <c r="F574" s="721" t="n"/>
      <c r="G5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4" s="474">
        <f>G574/#REF!</f>
        <v/>
      </c>
      <c r="I574" s="690" t="n"/>
      <c r="J5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4" s="474">
        <f>J574/#REF!</f>
        <v/>
      </c>
      <c r="L574" s="473" t="n"/>
      <c r="M574" s="692" t="n"/>
      <c r="N574" s="693" t="n"/>
      <c r="O574" s="78" t="n"/>
      <c r="P574" s="129" t="n"/>
      <c r="Q574" s="129" t="n"/>
      <c r="R574" s="129" t="n"/>
      <c r="S574" s="129" t="n"/>
      <c r="T574" s="129" t="n"/>
      <c r="U574" s="129" t="n"/>
      <c r="V574" s="129" t="n"/>
      <c r="W574" s="129" t="n"/>
      <c r="X574" s="129" t="n"/>
      <c r="Y574" s="708" t="n"/>
      <c r="Z574" s="709" t="n"/>
      <c r="AA574" s="710" t="n"/>
      <c r="AB574" s="590" t="n"/>
      <c r="AC574" s="591" t="n"/>
      <c r="AD574" s="592" t="n"/>
      <c r="AE574" s="593" t="n"/>
      <c r="AF574" s="594" t="n"/>
      <c r="AG574" s="693" t="n"/>
      <c r="AH574" s="721" t="n"/>
      <c r="AI574" s="721" t="n"/>
      <c r="AJ574" s="688" t="n"/>
      <c r="AK574" s="689" t="n"/>
      <c r="AL574" s="690" t="n"/>
      <c r="AM574" s="691" t="n"/>
      <c r="AN574" s="692" t="n"/>
      <c r="AO574" s="693" t="n"/>
      <c r="AP574" s="693" t="n"/>
      <c r="AQ574" s="693" t="n"/>
      <c r="AR574" s="693" t="n"/>
      <c r="AS574" s="693" t="n"/>
      <c r="AT574" s="693" t="n"/>
      <c r="AU574" s="699" t="n"/>
      <c r="AV574" s="693" t="n"/>
      <c r="AW574" s="693" t="n"/>
      <c r="AX574" s="693" t="n"/>
      <c r="AY574" s="693" t="n"/>
      <c r="AZ574" s="693" t="n"/>
    </row>
    <row r="575">
      <c r="A575" s="688" t="n"/>
      <c r="B575" s="688" t="n"/>
      <c r="C575" s="473" t="n"/>
      <c r="D575" s="688" t="n"/>
      <c r="E575" s="689" t="n"/>
      <c r="F575" s="721" t="n"/>
      <c r="G5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5" s="474">
        <f>G575/#REF!</f>
        <v/>
      </c>
      <c r="I575" s="690" t="n"/>
      <c r="J5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5" s="474">
        <f>J575/#REF!</f>
        <v/>
      </c>
      <c r="L575" s="473" t="n"/>
      <c r="M575" s="692" t="n"/>
      <c r="N575" s="693" t="n"/>
      <c r="O575" s="78" t="n"/>
      <c r="P575" s="129" t="n"/>
      <c r="Q575" s="129" t="n"/>
      <c r="R575" s="129" t="n"/>
      <c r="S575" s="129" t="n"/>
      <c r="T575" s="129" t="n"/>
      <c r="U575" s="129" t="n"/>
      <c r="V575" s="129" t="n"/>
      <c r="W575" s="129" t="n"/>
      <c r="X575" s="129" t="n"/>
      <c r="Y575" s="703" t="n"/>
      <c r="Z575" s="704" t="n"/>
      <c r="AA575" s="705" t="n"/>
      <c r="AB575" s="613" t="n"/>
      <c r="AC575" s="614" t="n"/>
      <c r="AD575" s="628" t="n"/>
      <c r="AE575" s="616" t="n"/>
      <c r="AF575" s="617" t="n"/>
      <c r="AG575" s="693" t="n"/>
      <c r="AH575" s="721" t="n"/>
      <c r="AI575" s="721" t="n"/>
      <c r="AJ575" s="688" t="n"/>
      <c r="AK575" s="689" t="n"/>
      <c r="AL575" s="690" t="n"/>
      <c r="AM575" s="691" t="n"/>
      <c r="AN575" s="692" t="n"/>
      <c r="AO575" s="693" t="n"/>
      <c r="AP575" s="693" t="n"/>
      <c r="AQ575" s="693" t="n"/>
      <c r="AR575" s="693" t="n"/>
      <c r="AS575" s="693" t="n"/>
      <c r="AT575" s="693" t="n"/>
      <c r="AU575" s="699" t="n"/>
      <c r="AV575" s="693" t="n"/>
      <c r="AW575" s="693" t="n"/>
      <c r="AX575" s="693" t="n"/>
      <c r="AY575" s="693" t="n"/>
      <c r="AZ575" s="693" t="n"/>
    </row>
    <row r="576">
      <c r="A576" s="688" t="n"/>
      <c r="B576" s="688" t="n"/>
      <c r="C576" s="473" t="n"/>
      <c r="D576" s="688" t="n"/>
      <c r="E576" s="689" t="n"/>
      <c r="F576" s="721" t="n"/>
      <c r="G5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6" s="474">
        <f>G576/#REF!</f>
        <v/>
      </c>
      <c r="I576" s="690" t="n"/>
      <c r="J5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6" s="474">
        <f>J576/#REF!</f>
        <v/>
      </c>
      <c r="L576" s="473" t="n"/>
      <c r="M576" s="692" t="n"/>
      <c r="N576" s="693" t="n"/>
      <c r="O576" s="78" t="n"/>
      <c r="P576" s="129" t="n"/>
      <c r="Q576" s="129" t="n"/>
      <c r="R576" s="129" t="n"/>
      <c r="S576" s="129" t="n"/>
      <c r="T576" s="129" t="n"/>
      <c r="U576" s="129" t="n"/>
      <c r="V576" s="129" t="n"/>
      <c r="W576" s="129" t="n"/>
      <c r="X576" s="129" t="n"/>
      <c r="Y576" s="708" t="n"/>
      <c r="Z576" s="709" t="n"/>
      <c r="AA576" s="710" t="n"/>
      <c r="AB576" s="590" t="n"/>
      <c r="AC576" s="591" t="n"/>
      <c r="AD576" s="592" t="n"/>
      <c r="AE576" s="593" t="n"/>
      <c r="AF576" s="594" t="n"/>
      <c r="AG576" s="693" t="n"/>
      <c r="AH576" s="721" t="n"/>
      <c r="AI576" s="721" t="n"/>
      <c r="AJ576" s="688" t="n"/>
      <c r="AK576" s="689" t="n"/>
      <c r="AL576" s="690" t="n"/>
      <c r="AM576" s="691" t="n"/>
      <c r="AN576" s="692" t="n"/>
      <c r="AO576" s="693" t="n"/>
      <c r="AP576" s="693" t="n"/>
      <c r="AQ576" s="693" t="n"/>
      <c r="AR576" s="693" t="n"/>
      <c r="AS576" s="693" t="n"/>
      <c r="AT576" s="693" t="n"/>
      <c r="AU576" s="699" t="n"/>
      <c r="AV576" s="693" t="n"/>
      <c r="AW576" s="693" t="n"/>
      <c r="AX576" s="693" t="n"/>
      <c r="AY576" s="693" t="n"/>
      <c r="AZ576" s="693" t="n"/>
    </row>
    <row r="577">
      <c r="A577" s="688" t="n"/>
      <c r="B577" s="688" t="n"/>
      <c r="C577" s="473" t="n"/>
      <c r="D577" s="688" t="n"/>
      <c r="E577" s="689" t="n"/>
      <c r="F577" s="721" t="n"/>
      <c r="G5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7" s="474">
        <f>G577/#REF!</f>
        <v/>
      </c>
      <c r="I577" s="690" t="n"/>
      <c r="J5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7" s="474">
        <f>J577/#REF!</f>
        <v/>
      </c>
      <c r="L577" s="473" t="n"/>
      <c r="M577" s="692" t="n"/>
      <c r="N577" s="693" t="n"/>
      <c r="O577" s="78" t="n"/>
      <c r="P577" s="129" t="n"/>
      <c r="Q577" s="129" t="n"/>
      <c r="R577" s="129" t="n"/>
      <c r="S577" s="129" t="n"/>
      <c r="T577" s="129" t="n"/>
      <c r="U577" s="129" t="n"/>
      <c r="V577" s="129" t="n"/>
      <c r="W577" s="129" t="n"/>
      <c r="X577" s="129" t="n"/>
      <c r="Y577" s="703" t="n"/>
      <c r="Z577" s="704" t="n"/>
      <c r="AA577" s="705" t="n"/>
      <c r="AB577" s="613" t="n"/>
      <c r="AC577" s="614" t="n"/>
      <c r="AD577" s="628" t="n"/>
      <c r="AE577" s="616" t="n"/>
      <c r="AF577" s="617" t="n"/>
      <c r="AG577" s="693" t="n"/>
      <c r="AH577" s="721" t="n"/>
      <c r="AI577" s="721" t="n"/>
      <c r="AJ577" s="688" t="n"/>
      <c r="AK577" s="689" t="n"/>
      <c r="AL577" s="690" t="n"/>
      <c r="AM577" s="691" t="n"/>
      <c r="AN577" s="692" t="n"/>
      <c r="AO577" s="693" t="n"/>
      <c r="AP577" s="693" t="n"/>
      <c r="AQ577" s="693" t="n"/>
      <c r="AR577" s="693" t="n"/>
      <c r="AS577" s="693" t="n"/>
      <c r="AT577" s="693" t="n"/>
      <c r="AU577" s="699" t="n"/>
      <c r="AV577" s="693" t="n"/>
      <c r="AW577" s="693" t="n"/>
      <c r="AX577" s="693" t="n"/>
      <c r="AY577" s="693" t="n"/>
      <c r="AZ577" s="693" t="n"/>
    </row>
    <row r="578">
      <c r="A578" s="688" t="n"/>
      <c r="B578" s="688" t="n"/>
      <c r="C578" s="473" t="n"/>
      <c r="D578" s="688" t="n"/>
      <c r="E578" s="689" t="n"/>
      <c r="F578" s="721" t="n"/>
      <c r="G5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8" s="474">
        <f>G578/#REF!</f>
        <v/>
      </c>
      <c r="I578" s="690" t="n"/>
      <c r="J5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8" s="474">
        <f>J578/#REF!</f>
        <v/>
      </c>
      <c r="L578" s="473" t="n"/>
      <c r="M578" s="692" t="n"/>
      <c r="N578" s="693" t="n"/>
      <c r="O578" s="78" t="n"/>
      <c r="P578" s="129" t="n"/>
      <c r="Q578" s="129" t="n"/>
      <c r="R578" s="129" t="n"/>
      <c r="S578" s="129" t="n"/>
      <c r="T578" s="129" t="n"/>
      <c r="U578" s="129" t="n"/>
      <c r="V578" s="129" t="n"/>
      <c r="W578" s="129" t="n"/>
      <c r="X578" s="129" t="n"/>
      <c r="Y578" s="708" t="n"/>
      <c r="Z578" s="709" t="n"/>
      <c r="AA578" s="710" t="n"/>
      <c r="AB578" s="590" t="n"/>
      <c r="AC578" s="591" t="n"/>
      <c r="AD578" s="592" t="n"/>
      <c r="AE578" s="593" t="n"/>
      <c r="AF578" s="594" t="n"/>
      <c r="AG578" s="693" t="n"/>
      <c r="AH578" s="721" t="n"/>
      <c r="AI578" s="721" t="n"/>
      <c r="AJ578" s="688" t="n"/>
      <c r="AK578" s="689" t="n"/>
      <c r="AL578" s="690" t="n"/>
      <c r="AM578" s="691" t="n"/>
      <c r="AN578" s="692" t="n"/>
      <c r="AO578" s="693" t="n"/>
      <c r="AP578" s="693" t="n"/>
      <c r="AQ578" s="693" t="n"/>
      <c r="AR578" s="693" t="n"/>
      <c r="AS578" s="693" t="n"/>
      <c r="AT578" s="693" t="n"/>
      <c r="AU578" s="699" t="n"/>
      <c r="AV578" s="693" t="n"/>
      <c r="AW578" s="693" t="n"/>
      <c r="AX578" s="693" t="n"/>
      <c r="AY578" s="693" t="n"/>
      <c r="AZ578" s="693" t="n"/>
    </row>
    <row r="579">
      <c r="A579" s="688" t="n"/>
      <c r="B579" s="688" t="n"/>
      <c r="C579" s="473" t="n"/>
      <c r="D579" s="688" t="n"/>
      <c r="E579" s="689" t="n"/>
      <c r="F579" s="721" t="n"/>
      <c r="G5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79" s="474">
        <f>G579/#REF!</f>
        <v/>
      </c>
      <c r="I579" s="690" t="n"/>
      <c r="J5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79" s="474">
        <f>J579/#REF!</f>
        <v/>
      </c>
      <c r="L579" s="473" t="n"/>
      <c r="M579" s="692" t="n"/>
      <c r="N579" s="693" t="n"/>
      <c r="O579" s="78" t="n"/>
      <c r="P579" s="129" t="n"/>
      <c r="Q579" s="129" t="n"/>
      <c r="R579" s="129" t="n"/>
      <c r="S579" s="129" t="n"/>
      <c r="T579" s="129" t="n"/>
      <c r="U579" s="129" t="n"/>
      <c r="V579" s="129" t="n"/>
      <c r="W579" s="129" t="n"/>
      <c r="X579" s="129" t="n"/>
      <c r="Y579" s="703" t="n"/>
      <c r="Z579" s="704" t="n"/>
      <c r="AA579" s="705" t="n"/>
      <c r="AB579" s="613" t="n"/>
      <c r="AC579" s="614" t="n"/>
      <c r="AD579" s="628" t="n"/>
      <c r="AE579" s="616" t="n"/>
      <c r="AF579" s="617" t="n"/>
      <c r="AG579" s="693" t="n"/>
      <c r="AH579" s="721" t="n"/>
      <c r="AI579" s="721" t="n"/>
      <c r="AJ579" s="688" t="n"/>
      <c r="AK579" s="689" t="n"/>
      <c r="AL579" s="690" t="n"/>
      <c r="AM579" s="691" t="n"/>
      <c r="AN579" s="692" t="n"/>
      <c r="AO579" s="693" t="n"/>
      <c r="AP579" s="693" t="n"/>
      <c r="AQ579" s="693" t="n"/>
      <c r="AR579" s="693" t="n"/>
      <c r="AS579" s="693" t="n"/>
      <c r="AT579" s="693" t="n"/>
      <c r="AU579" s="699" t="n"/>
      <c r="AV579" s="693" t="n"/>
      <c r="AW579" s="693" t="n"/>
      <c r="AX579" s="693" t="n"/>
      <c r="AY579" s="693" t="n"/>
      <c r="AZ579" s="693" t="n"/>
    </row>
    <row r="580">
      <c r="A580" s="688" t="n"/>
      <c r="B580" s="688" t="n"/>
      <c r="C580" s="473" t="n"/>
      <c r="D580" s="688" t="n"/>
      <c r="E580" s="689" t="n"/>
      <c r="F580" s="721" t="n"/>
      <c r="G5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0" s="474">
        <f>G580/#REF!</f>
        <v/>
      </c>
      <c r="I580" s="690" t="n"/>
      <c r="J5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0" s="474">
        <f>J580/#REF!</f>
        <v/>
      </c>
      <c r="L580" s="473" t="n"/>
      <c r="M580" s="692" t="n"/>
      <c r="N580" s="693" t="n"/>
      <c r="O580" s="78" t="n"/>
      <c r="P580" s="129" t="n"/>
      <c r="Q580" s="129" t="n"/>
      <c r="R580" s="129" t="n"/>
      <c r="S580" s="129" t="n"/>
      <c r="T580" s="129" t="n"/>
      <c r="U580" s="129" t="n"/>
      <c r="V580" s="129" t="n"/>
      <c r="W580" s="129" t="n"/>
      <c r="X580" s="129" t="n"/>
      <c r="Y580" s="708" t="n"/>
      <c r="Z580" s="709" t="n"/>
      <c r="AA580" s="710" t="n"/>
      <c r="AB580" s="590" t="n"/>
      <c r="AC580" s="591" t="n"/>
      <c r="AD580" s="592" t="n"/>
      <c r="AE580" s="593" t="n"/>
      <c r="AF580" s="594" t="n"/>
      <c r="AG580" s="693" t="n"/>
      <c r="AH580" s="721" t="n"/>
      <c r="AI580" s="721" t="n"/>
      <c r="AJ580" s="688" t="n"/>
      <c r="AK580" s="689" t="n"/>
      <c r="AL580" s="690" t="n"/>
      <c r="AM580" s="691" t="n"/>
      <c r="AN580" s="692" t="n"/>
      <c r="AO580" s="693" t="n"/>
      <c r="AP580" s="693" t="n"/>
      <c r="AQ580" s="693" t="n"/>
      <c r="AR580" s="693" t="n"/>
      <c r="AS580" s="693" t="n"/>
      <c r="AT580" s="693" t="n"/>
      <c r="AU580" s="699" t="n"/>
      <c r="AV580" s="693" t="n"/>
      <c r="AW580" s="693" t="n"/>
      <c r="AX580" s="693" t="n"/>
      <c r="AY580" s="693" t="n"/>
      <c r="AZ580" s="693" t="n"/>
    </row>
    <row r="581">
      <c r="A581" s="688" t="n"/>
      <c r="B581" s="688" t="n"/>
      <c r="C581" s="473" t="n"/>
      <c r="D581" s="688" t="n"/>
      <c r="E581" s="689" t="n"/>
      <c r="F581" s="721" t="n"/>
      <c r="G5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1" s="474">
        <f>G581/#REF!</f>
        <v/>
      </c>
      <c r="I581" s="690" t="n"/>
      <c r="J5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1" s="474">
        <f>J581/#REF!</f>
        <v/>
      </c>
      <c r="L581" s="473" t="n"/>
      <c r="M581" s="692" t="n"/>
      <c r="N581" s="693" t="n"/>
      <c r="O581" s="78" t="n"/>
      <c r="P581" s="129" t="n"/>
      <c r="Q581" s="129" t="n"/>
      <c r="R581" s="129" t="n"/>
      <c r="S581" s="129" t="n"/>
      <c r="T581" s="129" t="n"/>
      <c r="U581" s="129" t="n"/>
      <c r="V581" s="129" t="n"/>
      <c r="W581" s="129" t="n"/>
      <c r="X581" s="129" t="n"/>
      <c r="Y581" s="703" t="n"/>
      <c r="Z581" s="704" t="n"/>
      <c r="AA581" s="705" t="n"/>
      <c r="AB581" s="613" t="n"/>
      <c r="AC581" s="614" t="n"/>
      <c r="AD581" s="628" t="n"/>
      <c r="AE581" s="616" t="n"/>
      <c r="AF581" s="617" t="n"/>
      <c r="AG581" s="693" t="n"/>
      <c r="AH581" s="721" t="n"/>
      <c r="AI581" s="721" t="n"/>
      <c r="AJ581" s="688" t="n"/>
      <c r="AK581" s="689" t="n"/>
      <c r="AL581" s="690" t="n"/>
      <c r="AM581" s="691" t="n"/>
      <c r="AN581" s="692" t="n"/>
      <c r="AO581" s="693" t="n"/>
      <c r="AP581" s="693" t="n"/>
      <c r="AQ581" s="693" t="n"/>
      <c r="AR581" s="693" t="n"/>
      <c r="AS581" s="693" t="n"/>
      <c r="AT581" s="693" t="n"/>
      <c r="AU581" s="699" t="n"/>
      <c r="AV581" s="693" t="n"/>
      <c r="AW581" s="693" t="n"/>
      <c r="AX581" s="693" t="n"/>
      <c r="AY581" s="693" t="n"/>
      <c r="AZ581" s="693" t="n"/>
    </row>
    <row r="582">
      <c r="A582" s="688" t="n"/>
      <c r="B582" s="688" t="n"/>
      <c r="C582" s="473" t="n"/>
      <c r="D582" s="688" t="n"/>
      <c r="E582" s="689" t="n"/>
      <c r="F582" s="721" t="n"/>
      <c r="G5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2" s="474">
        <f>G582/#REF!</f>
        <v/>
      </c>
      <c r="I582" s="690" t="n"/>
      <c r="J5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2" s="474">
        <f>J582/#REF!</f>
        <v/>
      </c>
      <c r="L582" s="473" t="n"/>
      <c r="M582" s="692" t="n"/>
      <c r="N582" s="693" t="n"/>
      <c r="O582" s="78" t="n"/>
      <c r="P582" s="129" t="n"/>
      <c r="Q582" s="129" t="n"/>
      <c r="R582" s="129" t="n"/>
      <c r="S582" s="129" t="n"/>
      <c r="T582" s="129" t="n"/>
      <c r="U582" s="129" t="n"/>
      <c r="V582" s="129" t="n"/>
      <c r="W582" s="129" t="n"/>
      <c r="X582" s="129" t="n"/>
      <c r="Y582" s="708" t="n"/>
      <c r="Z582" s="709" t="n"/>
      <c r="AA582" s="710" t="n"/>
      <c r="AB582" s="590" t="n"/>
      <c r="AC582" s="591" t="n"/>
      <c r="AD582" s="592" t="n"/>
      <c r="AE582" s="593" t="n"/>
      <c r="AF582" s="594" t="n"/>
      <c r="AG582" s="693" t="n"/>
      <c r="AH582" s="721" t="n"/>
      <c r="AI582" s="721" t="n"/>
      <c r="AJ582" s="688" t="n"/>
      <c r="AK582" s="689" t="n"/>
      <c r="AL582" s="690" t="n"/>
      <c r="AM582" s="691" t="n"/>
      <c r="AN582" s="692" t="n"/>
      <c r="AO582" s="693" t="n"/>
      <c r="AP582" s="693" t="n"/>
      <c r="AQ582" s="693" t="n"/>
      <c r="AR582" s="693" t="n"/>
      <c r="AS582" s="693" t="n"/>
      <c r="AT582" s="693" t="n"/>
      <c r="AU582" s="699" t="n"/>
      <c r="AV582" s="693" t="n"/>
      <c r="AW582" s="693" t="n"/>
      <c r="AX582" s="693" t="n"/>
      <c r="AY582" s="693" t="n"/>
      <c r="AZ582" s="693" t="n"/>
    </row>
    <row r="583">
      <c r="A583" s="688" t="n"/>
      <c r="B583" s="688" t="n"/>
      <c r="C583" s="473" t="n"/>
      <c r="D583" s="688" t="n"/>
      <c r="E583" s="689" t="n"/>
      <c r="F583" s="721" t="n"/>
      <c r="G5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3" s="474">
        <f>G583/#REF!</f>
        <v/>
      </c>
      <c r="I583" s="690" t="n"/>
      <c r="J5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3" s="474">
        <f>J583/#REF!</f>
        <v/>
      </c>
      <c r="L583" s="473" t="n"/>
      <c r="M583" s="692" t="n"/>
      <c r="N583" s="693" t="n"/>
      <c r="O583" s="78" t="n"/>
      <c r="P583" s="129" t="n"/>
      <c r="Q583" s="129" t="n"/>
      <c r="R583" s="129" t="n"/>
      <c r="S583" s="129" t="n"/>
      <c r="T583" s="129" t="n"/>
      <c r="U583" s="129" t="n"/>
      <c r="V583" s="129" t="n"/>
      <c r="W583" s="129" t="n"/>
      <c r="X583" s="129" t="n"/>
      <c r="Y583" s="703" t="n"/>
      <c r="Z583" s="704" t="n"/>
      <c r="AA583" s="705" t="n"/>
      <c r="AB583" s="613" t="n"/>
      <c r="AC583" s="614" t="n"/>
      <c r="AD583" s="628" t="n"/>
      <c r="AE583" s="616" t="n"/>
      <c r="AF583" s="617" t="n"/>
      <c r="AG583" s="693" t="n"/>
      <c r="AH583" s="721" t="n"/>
      <c r="AI583" s="721" t="n"/>
      <c r="AJ583" s="688" t="n"/>
      <c r="AK583" s="689" t="n"/>
      <c r="AL583" s="690" t="n"/>
      <c r="AM583" s="691" t="n"/>
      <c r="AN583" s="692" t="n"/>
      <c r="AO583" s="693" t="n"/>
      <c r="AP583" s="693" t="n"/>
      <c r="AQ583" s="693" t="n"/>
      <c r="AR583" s="693" t="n"/>
      <c r="AS583" s="693" t="n"/>
      <c r="AT583" s="693" t="n"/>
      <c r="AU583" s="699" t="n"/>
      <c r="AV583" s="693" t="n"/>
      <c r="AW583" s="693" t="n"/>
      <c r="AX583" s="693" t="n"/>
      <c r="AY583" s="693" t="n"/>
      <c r="AZ583" s="693" t="n"/>
    </row>
    <row r="584">
      <c r="A584" s="688" t="n"/>
      <c r="B584" s="688" t="n"/>
      <c r="C584" s="473" t="n"/>
      <c r="D584" s="688" t="n"/>
      <c r="E584" s="689" t="n"/>
      <c r="F584" s="721" t="n"/>
      <c r="G5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4" s="474">
        <f>G584/#REF!</f>
        <v/>
      </c>
      <c r="I584" s="690" t="n"/>
      <c r="J5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4" s="474">
        <f>J584/#REF!</f>
        <v/>
      </c>
      <c r="L584" s="473" t="n"/>
      <c r="M584" s="692" t="n"/>
      <c r="N584" s="693" t="n"/>
      <c r="O584" s="78" t="n"/>
      <c r="P584" s="129" t="n"/>
      <c r="Q584" s="129" t="n"/>
      <c r="R584" s="129" t="n"/>
      <c r="S584" s="129" t="n"/>
      <c r="T584" s="129" t="n"/>
      <c r="U584" s="129" t="n"/>
      <c r="V584" s="129" t="n"/>
      <c r="W584" s="129" t="n"/>
      <c r="X584" s="129" t="n"/>
      <c r="Y584" s="708" t="n"/>
      <c r="Z584" s="709" t="n"/>
      <c r="AA584" s="710" t="n"/>
      <c r="AB584" s="590" t="n"/>
      <c r="AC584" s="591" t="n"/>
      <c r="AD584" s="592" t="n"/>
      <c r="AE584" s="593" t="n"/>
      <c r="AF584" s="594" t="n"/>
      <c r="AG584" s="693" t="n"/>
      <c r="AH584" s="721" t="n"/>
      <c r="AI584" s="721" t="n"/>
      <c r="AJ584" s="688" t="n"/>
      <c r="AK584" s="689" t="n"/>
      <c r="AL584" s="690" t="n"/>
      <c r="AM584" s="691" t="n"/>
      <c r="AN584" s="692" t="n"/>
      <c r="AO584" s="693" t="n"/>
      <c r="AP584" s="693" t="n"/>
      <c r="AQ584" s="693" t="n"/>
      <c r="AR584" s="693" t="n"/>
      <c r="AS584" s="693" t="n"/>
      <c r="AT584" s="693" t="n"/>
      <c r="AU584" s="699" t="n"/>
      <c r="AV584" s="693" t="n"/>
      <c r="AW584" s="693" t="n"/>
      <c r="AX584" s="693" t="n"/>
      <c r="AY584" s="693" t="n"/>
      <c r="AZ584" s="693" t="n"/>
    </row>
    <row r="585">
      <c r="A585" s="688" t="n"/>
      <c r="B585" s="688" t="n"/>
      <c r="C585" s="473" t="n"/>
      <c r="D585" s="688" t="n"/>
      <c r="E585" s="689" t="n"/>
      <c r="F585" s="721" t="n"/>
      <c r="G5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5" s="474">
        <f>G585/#REF!</f>
        <v/>
      </c>
      <c r="I585" s="690" t="n"/>
      <c r="J5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5" s="474">
        <f>J585/#REF!</f>
        <v/>
      </c>
      <c r="L585" s="473" t="n"/>
      <c r="M585" s="692" t="n"/>
      <c r="N585" s="693" t="n"/>
      <c r="O585" s="78" t="n"/>
      <c r="P585" s="129" t="n"/>
      <c r="Q585" s="129" t="n"/>
      <c r="R585" s="129" t="n"/>
      <c r="S585" s="129" t="n"/>
      <c r="T585" s="129" t="n"/>
      <c r="U585" s="129" t="n"/>
      <c r="V585" s="129" t="n"/>
      <c r="W585" s="129" t="n"/>
      <c r="X585" s="129" t="n"/>
      <c r="Y585" s="703" t="n"/>
      <c r="Z585" s="704" t="n"/>
      <c r="AA585" s="705" t="n"/>
      <c r="AB585" s="613" t="n"/>
      <c r="AC585" s="614" t="n"/>
      <c r="AD585" s="628" t="n"/>
      <c r="AE585" s="616" t="n"/>
      <c r="AF585" s="617" t="n"/>
      <c r="AG585" s="693" t="n"/>
      <c r="AH585" s="721" t="n"/>
      <c r="AI585" s="721" t="n"/>
      <c r="AJ585" s="688" t="n"/>
      <c r="AK585" s="689" t="n"/>
      <c r="AL585" s="690" t="n"/>
      <c r="AM585" s="691" t="n"/>
      <c r="AN585" s="692" t="n"/>
      <c r="AO585" s="693" t="n"/>
      <c r="AP585" s="693" t="n"/>
      <c r="AQ585" s="693" t="n"/>
      <c r="AR585" s="693" t="n"/>
      <c r="AS585" s="693" t="n"/>
      <c r="AT585" s="693" t="n"/>
      <c r="AU585" s="699" t="n"/>
      <c r="AV585" s="693" t="n"/>
      <c r="AW585" s="693" t="n"/>
      <c r="AX585" s="693" t="n"/>
      <c r="AY585" s="693" t="n"/>
      <c r="AZ585" s="693" t="n"/>
    </row>
    <row r="586">
      <c r="A586" s="688" t="n"/>
      <c r="B586" s="688" t="n"/>
      <c r="C586" s="473" t="n"/>
      <c r="D586" s="688" t="n"/>
      <c r="E586" s="689" t="n"/>
      <c r="F586" s="721" t="n"/>
      <c r="G5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6" s="474">
        <f>G586/#REF!</f>
        <v/>
      </c>
      <c r="I586" s="690" t="n"/>
      <c r="J5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6" s="474">
        <f>J586/#REF!</f>
        <v/>
      </c>
      <c r="L586" s="473" t="n"/>
      <c r="M586" s="692" t="n"/>
      <c r="N586" s="693" t="n"/>
      <c r="O586" s="78" t="n"/>
      <c r="P586" s="129" t="n"/>
      <c r="Q586" s="129" t="n"/>
      <c r="R586" s="129" t="n"/>
      <c r="S586" s="129" t="n"/>
      <c r="T586" s="129" t="n"/>
      <c r="U586" s="129" t="n"/>
      <c r="V586" s="129" t="n"/>
      <c r="W586" s="129" t="n"/>
      <c r="X586" s="129" t="n"/>
      <c r="Y586" s="708" t="n"/>
      <c r="Z586" s="709" t="n"/>
      <c r="AA586" s="710" t="n"/>
      <c r="AB586" s="590" t="n"/>
      <c r="AC586" s="591" t="n"/>
      <c r="AD586" s="592" t="n"/>
      <c r="AE586" s="593" t="n"/>
      <c r="AF586" s="594" t="n"/>
      <c r="AG586" s="693" t="n"/>
      <c r="AH586" s="721" t="n"/>
      <c r="AI586" s="721" t="n"/>
      <c r="AJ586" s="688" t="n"/>
      <c r="AK586" s="689" t="n"/>
      <c r="AL586" s="690" t="n"/>
      <c r="AM586" s="691" t="n"/>
      <c r="AN586" s="692" t="n"/>
      <c r="AO586" s="693" t="n"/>
      <c r="AP586" s="693" t="n"/>
      <c r="AQ586" s="693" t="n"/>
      <c r="AR586" s="693" t="n"/>
      <c r="AS586" s="693" t="n"/>
      <c r="AT586" s="693" t="n"/>
      <c r="AU586" s="699" t="n"/>
      <c r="AV586" s="693" t="n"/>
      <c r="AW586" s="693" t="n"/>
      <c r="AX586" s="693" t="n"/>
      <c r="AY586" s="693" t="n"/>
      <c r="AZ586" s="693" t="n"/>
    </row>
    <row r="587">
      <c r="A587" s="688" t="n"/>
      <c r="B587" s="688" t="n"/>
      <c r="C587" s="473" t="n"/>
      <c r="D587" s="688" t="n"/>
      <c r="E587" s="689" t="n"/>
      <c r="F587" s="721" t="n"/>
      <c r="G5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7" s="474">
        <f>G587/#REF!</f>
        <v/>
      </c>
      <c r="I587" s="690" t="n"/>
      <c r="J5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7" s="474">
        <f>J587/#REF!</f>
        <v/>
      </c>
      <c r="L587" s="473" t="n"/>
      <c r="M587" s="692" t="n"/>
      <c r="N587" s="693" t="n"/>
      <c r="O587" s="78" t="n"/>
      <c r="P587" s="129" t="n"/>
      <c r="Q587" s="129" t="n"/>
      <c r="R587" s="129" t="n"/>
      <c r="S587" s="129" t="n"/>
      <c r="T587" s="129" t="n"/>
      <c r="U587" s="129" t="n"/>
      <c r="V587" s="129" t="n"/>
      <c r="W587" s="129" t="n"/>
      <c r="X587" s="129" t="n"/>
      <c r="Y587" s="703" t="n"/>
      <c r="Z587" s="704" t="n"/>
      <c r="AA587" s="705" t="n"/>
      <c r="AB587" s="613" t="n"/>
      <c r="AC587" s="614" t="n"/>
      <c r="AD587" s="628" t="n"/>
      <c r="AE587" s="616" t="n"/>
      <c r="AF587" s="617" t="n"/>
      <c r="AG587" s="693" t="n"/>
      <c r="AH587" s="721" t="n"/>
      <c r="AI587" s="721" t="n"/>
      <c r="AJ587" s="688" t="n"/>
      <c r="AK587" s="689" t="n"/>
      <c r="AL587" s="690" t="n"/>
      <c r="AM587" s="691" t="n"/>
      <c r="AN587" s="692" t="n"/>
      <c r="AO587" s="693" t="n"/>
      <c r="AP587" s="693" t="n"/>
      <c r="AQ587" s="693" t="n"/>
      <c r="AR587" s="693" t="n"/>
      <c r="AS587" s="693" t="n"/>
      <c r="AT587" s="693" t="n"/>
      <c r="AU587" s="699" t="n"/>
      <c r="AV587" s="693" t="n"/>
      <c r="AW587" s="693" t="n"/>
      <c r="AX587" s="693" t="n"/>
      <c r="AY587" s="693" t="n"/>
      <c r="AZ587" s="693" t="n"/>
    </row>
    <row r="588">
      <c r="A588" s="688" t="n"/>
      <c r="B588" s="688" t="n"/>
      <c r="C588" s="473" t="n"/>
      <c r="D588" s="688" t="n"/>
      <c r="E588" s="689" t="n"/>
      <c r="F588" s="721" t="n"/>
      <c r="G5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8" s="474">
        <f>G588/#REF!</f>
        <v/>
      </c>
      <c r="I588" s="690" t="n"/>
      <c r="J5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8" s="474">
        <f>J588/#REF!</f>
        <v/>
      </c>
      <c r="L588" s="473" t="n"/>
      <c r="M588" s="692" t="n"/>
      <c r="N588" s="693" t="n"/>
      <c r="O588" s="78" t="n"/>
      <c r="P588" s="129" t="n"/>
      <c r="Q588" s="129" t="n"/>
      <c r="R588" s="129" t="n"/>
      <c r="S588" s="129" t="n"/>
      <c r="T588" s="129" t="n"/>
      <c r="U588" s="129" t="n"/>
      <c r="V588" s="129" t="n"/>
      <c r="W588" s="129" t="n"/>
      <c r="X588" s="129" t="n"/>
      <c r="Y588" s="708" t="n"/>
      <c r="Z588" s="709" t="n"/>
      <c r="AA588" s="710" t="n"/>
      <c r="AB588" s="590" t="n"/>
      <c r="AC588" s="591" t="n"/>
      <c r="AD588" s="592" t="n"/>
      <c r="AE588" s="593" t="n"/>
      <c r="AF588" s="594" t="n"/>
      <c r="AG588" s="693" t="n"/>
      <c r="AH588" s="721" t="n"/>
      <c r="AI588" s="721" t="n"/>
      <c r="AJ588" s="688" t="n"/>
      <c r="AK588" s="689" t="n"/>
      <c r="AL588" s="690" t="n"/>
      <c r="AM588" s="691" t="n"/>
      <c r="AN588" s="692" t="n"/>
      <c r="AO588" s="693" t="n"/>
      <c r="AP588" s="693" t="n"/>
      <c r="AQ588" s="693" t="n"/>
      <c r="AR588" s="693" t="n"/>
      <c r="AS588" s="693" t="n"/>
      <c r="AT588" s="693" t="n"/>
      <c r="AU588" s="699" t="n"/>
      <c r="AV588" s="693" t="n"/>
      <c r="AW588" s="693" t="n"/>
      <c r="AX588" s="693" t="n"/>
      <c r="AY588" s="693" t="n"/>
      <c r="AZ588" s="693" t="n"/>
    </row>
    <row r="589">
      <c r="A589" s="688" t="n"/>
      <c r="B589" s="688" t="n"/>
      <c r="C589" s="473" t="n"/>
      <c r="D589" s="688" t="n"/>
      <c r="E589" s="689" t="n"/>
      <c r="F589" s="721" t="n"/>
      <c r="G5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89" s="474">
        <f>G589/#REF!</f>
        <v/>
      </c>
      <c r="I589" s="690" t="n"/>
      <c r="J5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89" s="474">
        <f>J589/#REF!</f>
        <v/>
      </c>
      <c r="L589" s="473" t="n"/>
      <c r="M589" s="692" t="n"/>
      <c r="N589" s="693" t="n"/>
      <c r="O589" s="78" t="n"/>
      <c r="P589" s="129" t="n"/>
      <c r="Q589" s="129" t="n"/>
      <c r="R589" s="129" t="n"/>
      <c r="S589" s="129" t="n"/>
      <c r="T589" s="129" t="n"/>
      <c r="U589" s="129" t="n"/>
      <c r="V589" s="129" t="n"/>
      <c r="W589" s="129" t="n"/>
      <c r="X589" s="129" t="n"/>
      <c r="Y589" s="703" t="n"/>
      <c r="Z589" s="704" t="n"/>
      <c r="AA589" s="705" t="n"/>
      <c r="AB589" s="613" t="n"/>
      <c r="AC589" s="614" t="n"/>
      <c r="AD589" s="628" t="n"/>
      <c r="AE589" s="616" t="n"/>
      <c r="AF589" s="617" t="n"/>
      <c r="AG589" s="693" t="n"/>
      <c r="AH589" s="721" t="n"/>
      <c r="AI589" s="721" t="n"/>
      <c r="AJ589" s="688" t="n"/>
      <c r="AK589" s="689" t="n"/>
      <c r="AL589" s="690" t="n"/>
      <c r="AM589" s="691" t="n"/>
      <c r="AN589" s="692" t="n"/>
      <c r="AO589" s="693" t="n"/>
      <c r="AP589" s="693" t="n"/>
      <c r="AQ589" s="693" t="n"/>
      <c r="AR589" s="693" t="n"/>
      <c r="AS589" s="693" t="n"/>
      <c r="AT589" s="693" t="n"/>
      <c r="AU589" s="699" t="n"/>
      <c r="AV589" s="693" t="n"/>
      <c r="AW589" s="693" t="n"/>
      <c r="AX589" s="693" t="n"/>
      <c r="AY589" s="693" t="n"/>
      <c r="AZ589" s="693" t="n"/>
    </row>
    <row r="590">
      <c r="A590" s="688" t="n"/>
      <c r="B590" s="688" t="n"/>
      <c r="C590" s="473" t="n"/>
      <c r="D590" s="688" t="n"/>
      <c r="E590" s="689" t="n"/>
      <c r="F590" s="721" t="n"/>
      <c r="G5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0" s="474">
        <f>G590/#REF!</f>
        <v/>
      </c>
      <c r="I590" s="690" t="n"/>
      <c r="J5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0" s="474">
        <f>J590/#REF!</f>
        <v/>
      </c>
      <c r="L590" s="473" t="n"/>
      <c r="M590" s="692" t="n"/>
      <c r="N590" s="693" t="n"/>
      <c r="O590" s="78" t="n"/>
      <c r="P590" s="129" t="n"/>
      <c r="Q590" s="129" t="n"/>
      <c r="R590" s="129" t="n"/>
      <c r="S590" s="129" t="n"/>
      <c r="T590" s="129" t="n"/>
      <c r="U590" s="129" t="n"/>
      <c r="V590" s="129" t="n"/>
      <c r="W590" s="129" t="n"/>
      <c r="X590" s="129" t="n"/>
      <c r="Y590" s="708" t="n"/>
      <c r="Z590" s="709" t="n"/>
      <c r="AA590" s="710" t="n"/>
      <c r="AB590" s="590" t="n"/>
      <c r="AC590" s="591" t="n"/>
      <c r="AD590" s="592" t="n"/>
      <c r="AE590" s="593" t="n"/>
      <c r="AF590" s="594" t="n"/>
      <c r="AG590" s="693" t="n"/>
      <c r="AH590" s="721" t="n"/>
      <c r="AI590" s="721" t="n"/>
      <c r="AJ590" s="688" t="n"/>
      <c r="AK590" s="689" t="n"/>
      <c r="AL590" s="690" t="n"/>
      <c r="AM590" s="691" t="n"/>
      <c r="AN590" s="692" t="n"/>
      <c r="AO590" s="693" t="n"/>
      <c r="AP590" s="693" t="n"/>
      <c r="AQ590" s="693" t="n"/>
      <c r="AR590" s="693" t="n"/>
      <c r="AS590" s="693" t="n"/>
      <c r="AT590" s="693" t="n"/>
      <c r="AU590" s="699" t="n"/>
      <c r="AV590" s="693" t="n"/>
      <c r="AW590" s="693" t="n"/>
      <c r="AX590" s="693" t="n"/>
      <c r="AY590" s="693" t="n"/>
      <c r="AZ590" s="693" t="n"/>
    </row>
    <row r="591">
      <c r="A591" s="688" t="n"/>
      <c r="B591" s="688" t="n"/>
      <c r="C591" s="473" t="n"/>
      <c r="D591" s="688" t="n"/>
      <c r="E591" s="689" t="n"/>
      <c r="F591" s="721" t="n"/>
      <c r="G5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1" s="474">
        <f>G591/#REF!</f>
        <v/>
      </c>
      <c r="I591" s="690" t="n"/>
      <c r="J5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1" s="474">
        <f>J591/#REF!</f>
        <v/>
      </c>
      <c r="L591" s="473" t="n"/>
      <c r="M591" s="692" t="n"/>
      <c r="N591" s="693" t="n"/>
      <c r="O591" s="78" t="n"/>
      <c r="P591" s="129" t="n"/>
      <c r="Q591" s="129" t="n"/>
      <c r="R591" s="129" t="n"/>
      <c r="S591" s="129" t="n"/>
      <c r="T591" s="129" t="n"/>
      <c r="U591" s="129" t="n"/>
      <c r="V591" s="129" t="n"/>
      <c r="W591" s="129" t="n"/>
      <c r="X591" s="129" t="n"/>
      <c r="Y591" s="703" t="n"/>
      <c r="Z591" s="704" t="n"/>
      <c r="AA591" s="705" t="n"/>
      <c r="AB591" s="613" t="n"/>
      <c r="AC591" s="614" t="n"/>
      <c r="AD591" s="628" t="n"/>
      <c r="AE591" s="616" t="n"/>
      <c r="AF591" s="617" t="n"/>
      <c r="AG591" s="693" t="n"/>
      <c r="AH591" s="721" t="n"/>
      <c r="AI591" s="721" t="n"/>
      <c r="AJ591" s="688" t="n"/>
      <c r="AK591" s="689" t="n"/>
      <c r="AL591" s="690" t="n"/>
      <c r="AM591" s="691" t="n"/>
      <c r="AN591" s="692" t="n"/>
      <c r="AO591" s="693" t="n"/>
      <c r="AP591" s="693" t="n"/>
      <c r="AQ591" s="693" t="n"/>
      <c r="AR591" s="693" t="n"/>
      <c r="AS591" s="693" t="n"/>
      <c r="AT591" s="693" t="n"/>
      <c r="AU591" s="699" t="n"/>
      <c r="AV591" s="693" t="n"/>
      <c r="AW591" s="693" t="n"/>
      <c r="AX591" s="693" t="n"/>
      <c r="AY591" s="693" t="n"/>
      <c r="AZ591" s="693" t="n"/>
    </row>
    <row r="592">
      <c r="A592" s="688" t="n"/>
      <c r="B592" s="688" t="n"/>
      <c r="C592" s="473" t="n"/>
      <c r="D592" s="688" t="n"/>
      <c r="E592" s="689" t="n"/>
      <c r="F592" s="721" t="n"/>
      <c r="G5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2" s="474">
        <f>G592/#REF!</f>
        <v/>
      </c>
      <c r="I592" s="690" t="n"/>
      <c r="J5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2" s="474">
        <f>J592/#REF!</f>
        <v/>
      </c>
      <c r="L592" s="473" t="n"/>
      <c r="M592" s="692" t="n"/>
      <c r="N592" s="693" t="n"/>
      <c r="O592" s="78" t="n"/>
      <c r="P592" s="129" t="n"/>
      <c r="Q592" s="129" t="n"/>
      <c r="R592" s="129" t="n"/>
      <c r="S592" s="129" t="n"/>
      <c r="T592" s="129" t="n"/>
      <c r="U592" s="129" t="n"/>
      <c r="V592" s="129" t="n"/>
      <c r="W592" s="129" t="n"/>
      <c r="X592" s="129" t="n"/>
      <c r="Y592" s="708" t="n"/>
      <c r="Z592" s="709" t="n"/>
      <c r="AA592" s="710" t="n"/>
      <c r="AB592" s="590" t="n"/>
      <c r="AC592" s="591" t="n"/>
      <c r="AD592" s="592" t="n"/>
      <c r="AE592" s="593" t="n"/>
      <c r="AF592" s="594" t="n"/>
      <c r="AG592" s="693" t="n"/>
      <c r="AH592" s="721" t="n"/>
      <c r="AI592" s="721" t="n"/>
      <c r="AJ592" s="688" t="n"/>
      <c r="AK592" s="689" t="n"/>
      <c r="AL592" s="690" t="n"/>
      <c r="AM592" s="691" t="n"/>
      <c r="AN592" s="692" t="n"/>
      <c r="AO592" s="693" t="n"/>
      <c r="AP592" s="693" t="n"/>
      <c r="AQ592" s="693" t="n"/>
      <c r="AR592" s="693" t="n"/>
      <c r="AS592" s="693" t="n"/>
      <c r="AT592" s="693" t="n"/>
      <c r="AU592" s="699" t="n"/>
      <c r="AV592" s="693" t="n"/>
      <c r="AW592" s="693" t="n"/>
      <c r="AX592" s="693" t="n"/>
      <c r="AY592" s="693" t="n"/>
      <c r="AZ592" s="693" t="n"/>
    </row>
    <row r="593">
      <c r="A593" s="688" t="n"/>
      <c r="B593" s="688" t="n"/>
      <c r="C593" s="473" t="n"/>
      <c r="D593" s="688" t="n"/>
      <c r="E593" s="689" t="n"/>
      <c r="F593" s="721" t="n"/>
      <c r="G5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3" s="474">
        <f>G593/#REF!</f>
        <v/>
      </c>
      <c r="I593" s="690" t="n"/>
      <c r="J5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3" s="474">
        <f>J593/#REF!</f>
        <v/>
      </c>
      <c r="L593" s="473" t="n"/>
      <c r="M593" s="692" t="n"/>
      <c r="N593" s="693" t="n"/>
      <c r="O593" s="78" t="n"/>
      <c r="P593" s="129" t="n"/>
      <c r="Q593" s="129" t="n"/>
      <c r="R593" s="129" t="n"/>
      <c r="S593" s="129" t="n"/>
      <c r="T593" s="129" t="n"/>
      <c r="U593" s="129" t="n"/>
      <c r="V593" s="129" t="n"/>
      <c r="W593" s="129" t="n"/>
      <c r="X593" s="129" t="n"/>
      <c r="Y593" s="703" t="n"/>
      <c r="Z593" s="704" t="n"/>
      <c r="AA593" s="705" t="n"/>
      <c r="AB593" s="613" t="n"/>
      <c r="AC593" s="614" t="n"/>
      <c r="AD593" s="628" t="n"/>
      <c r="AE593" s="616" t="n"/>
      <c r="AF593" s="617" t="n"/>
      <c r="AG593" s="693" t="n"/>
      <c r="AH593" s="721" t="n"/>
      <c r="AI593" s="721" t="n"/>
      <c r="AJ593" s="688" t="n"/>
      <c r="AK593" s="689" t="n"/>
      <c r="AL593" s="690" t="n"/>
      <c r="AM593" s="691" t="n"/>
      <c r="AN593" s="692" t="n"/>
      <c r="AO593" s="693" t="n"/>
      <c r="AP593" s="693" t="n"/>
      <c r="AQ593" s="693" t="n"/>
      <c r="AR593" s="693" t="n"/>
      <c r="AS593" s="693" t="n"/>
      <c r="AT593" s="693" t="n"/>
      <c r="AU593" s="699" t="n"/>
      <c r="AV593" s="693" t="n"/>
      <c r="AW593" s="693" t="n"/>
      <c r="AX593" s="693" t="n"/>
      <c r="AY593" s="693" t="n"/>
      <c r="AZ593" s="693" t="n"/>
    </row>
    <row r="594">
      <c r="A594" s="688" t="n"/>
      <c r="B594" s="688" t="n"/>
      <c r="C594" s="473" t="n"/>
      <c r="D594" s="688" t="n"/>
      <c r="E594" s="689" t="n"/>
      <c r="F594" s="721" t="n"/>
      <c r="G5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4" s="474">
        <f>G594/#REF!</f>
        <v/>
      </c>
      <c r="I594" s="690" t="n"/>
      <c r="J5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4" s="474">
        <f>J594/#REF!</f>
        <v/>
      </c>
      <c r="L594" s="473" t="n"/>
      <c r="M594" s="692" t="n"/>
      <c r="N594" s="693" t="n"/>
      <c r="O594" s="78" t="n"/>
      <c r="P594" s="129" t="n"/>
      <c r="Q594" s="129" t="n"/>
      <c r="R594" s="129" t="n"/>
      <c r="S594" s="129" t="n"/>
      <c r="T594" s="129" t="n"/>
      <c r="U594" s="129" t="n"/>
      <c r="V594" s="129" t="n"/>
      <c r="W594" s="129" t="n"/>
      <c r="X594" s="129" t="n"/>
      <c r="Y594" s="708" t="n"/>
      <c r="Z594" s="709" t="n"/>
      <c r="AA594" s="710" t="n"/>
      <c r="AB594" s="590" t="n"/>
      <c r="AC594" s="591" t="n"/>
      <c r="AD594" s="592" t="n"/>
      <c r="AE594" s="593" t="n"/>
      <c r="AF594" s="594" t="n"/>
      <c r="AG594" s="693" t="n"/>
      <c r="AH594" s="721" t="n"/>
      <c r="AI594" s="721" t="n"/>
      <c r="AJ594" s="688" t="n"/>
      <c r="AK594" s="689" t="n"/>
      <c r="AL594" s="690" t="n"/>
      <c r="AM594" s="691" t="n"/>
      <c r="AN594" s="692" t="n"/>
      <c r="AO594" s="693" t="n"/>
      <c r="AP594" s="693" t="n"/>
      <c r="AQ594" s="693" t="n"/>
      <c r="AR594" s="693" t="n"/>
      <c r="AS594" s="693" t="n"/>
      <c r="AT594" s="693" t="n"/>
      <c r="AU594" s="699" t="n"/>
      <c r="AV594" s="693" t="n"/>
      <c r="AW594" s="693" t="n"/>
      <c r="AX594" s="693" t="n"/>
      <c r="AY594" s="693" t="n"/>
      <c r="AZ594" s="693" t="n"/>
    </row>
    <row r="595">
      <c r="A595" s="688" t="n"/>
      <c r="B595" s="688" t="n"/>
      <c r="C595" s="473" t="n"/>
      <c r="D595" s="688" t="n"/>
      <c r="E595" s="689" t="n"/>
      <c r="F595" s="721" t="n"/>
      <c r="G5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5" s="474">
        <f>G595/#REF!</f>
        <v/>
      </c>
      <c r="I595" s="690" t="n"/>
      <c r="J5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5" s="474">
        <f>J595/#REF!</f>
        <v/>
      </c>
      <c r="L595" s="473" t="n"/>
      <c r="M595" s="692" t="n"/>
      <c r="N595" s="693" t="n"/>
      <c r="O595" s="78" t="n"/>
      <c r="P595" s="129" t="n"/>
      <c r="Q595" s="129" t="n"/>
      <c r="R595" s="129" t="n"/>
      <c r="S595" s="129" t="n"/>
      <c r="T595" s="129" t="n"/>
      <c r="U595" s="129" t="n"/>
      <c r="V595" s="129" t="n"/>
      <c r="W595" s="129" t="n"/>
      <c r="X595" s="129" t="n"/>
      <c r="Y595" s="703" t="n"/>
      <c r="Z595" s="704" t="n"/>
      <c r="AA595" s="705" t="n"/>
      <c r="AB595" s="613" t="n"/>
      <c r="AC595" s="614" t="n"/>
      <c r="AD595" s="628" t="n"/>
      <c r="AE595" s="616" t="n"/>
      <c r="AF595" s="617" t="n"/>
      <c r="AG595" s="693" t="n"/>
      <c r="AH595" s="721" t="n"/>
      <c r="AI595" s="721" t="n"/>
      <c r="AJ595" s="688" t="n"/>
      <c r="AK595" s="689" t="n"/>
      <c r="AL595" s="690" t="n"/>
      <c r="AM595" s="691" t="n"/>
      <c r="AN595" s="692" t="n"/>
      <c r="AO595" s="693" t="n"/>
      <c r="AP595" s="693" t="n"/>
      <c r="AQ595" s="693" t="n"/>
      <c r="AR595" s="693" t="n"/>
      <c r="AS595" s="693" t="n"/>
      <c r="AT595" s="693" t="n"/>
      <c r="AU595" s="699" t="n"/>
      <c r="AV595" s="693" t="n"/>
      <c r="AW595" s="693" t="n"/>
      <c r="AX595" s="693" t="n"/>
      <c r="AY595" s="693" t="n"/>
      <c r="AZ595" s="693" t="n"/>
    </row>
    <row r="596">
      <c r="A596" s="688" t="n"/>
      <c r="B596" s="688" t="n"/>
      <c r="C596" s="473" t="n"/>
      <c r="D596" s="688" t="n"/>
      <c r="E596" s="689" t="n"/>
      <c r="F596" s="721" t="n"/>
      <c r="G5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6" s="474">
        <f>G596/#REF!</f>
        <v/>
      </c>
      <c r="I596" s="690" t="n"/>
      <c r="J5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6" s="474">
        <f>J596/#REF!</f>
        <v/>
      </c>
      <c r="L596" s="473" t="n"/>
      <c r="M596" s="692" t="n"/>
      <c r="N596" s="693" t="n"/>
      <c r="O596" s="78" t="n"/>
      <c r="P596" s="129" t="n"/>
      <c r="Q596" s="129" t="n"/>
      <c r="R596" s="129" t="n"/>
      <c r="S596" s="129" t="n"/>
      <c r="T596" s="129" t="n"/>
      <c r="U596" s="129" t="n"/>
      <c r="V596" s="129" t="n"/>
      <c r="W596" s="129" t="n"/>
      <c r="X596" s="129" t="n"/>
      <c r="Y596" s="708" t="n"/>
      <c r="Z596" s="709" t="n"/>
      <c r="AA596" s="710" t="n"/>
      <c r="AB596" s="590" t="n"/>
      <c r="AC596" s="591" t="n"/>
      <c r="AD596" s="592" t="n"/>
      <c r="AE596" s="593" t="n"/>
      <c r="AF596" s="594" t="n"/>
      <c r="AG596" s="693" t="n"/>
      <c r="AH596" s="721" t="n"/>
      <c r="AI596" s="721" t="n"/>
      <c r="AJ596" s="688" t="n"/>
      <c r="AK596" s="689" t="n"/>
      <c r="AL596" s="690" t="n"/>
      <c r="AM596" s="691" t="n"/>
      <c r="AN596" s="692" t="n"/>
      <c r="AO596" s="693" t="n"/>
      <c r="AP596" s="693" t="n"/>
      <c r="AQ596" s="693" t="n"/>
      <c r="AR596" s="693" t="n"/>
      <c r="AS596" s="693" t="n"/>
      <c r="AT596" s="693" t="n"/>
      <c r="AU596" s="699" t="n"/>
      <c r="AV596" s="693" t="n"/>
      <c r="AW596" s="693" t="n"/>
      <c r="AX596" s="693" t="n"/>
      <c r="AY596" s="693" t="n"/>
      <c r="AZ596" s="693" t="n"/>
    </row>
    <row r="597">
      <c r="A597" s="688" t="n"/>
      <c r="B597" s="688" t="n"/>
      <c r="C597" s="473" t="n"/>
      <c r="D597" s="688" t="n"/>
      <c r="E597" s="689" t="n"/>
      <c r="F597" s="721" t="n"/>
      <c r="G5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7" s="474">
        <f>G597/#REF!</f>
        <v/>
      </c>
      <c r="I597" s="690" t="n"/>
      <c r="J5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7" s="474">
        <f>J597/#REF!</f>
        <v/>
      </c>
      <c r="L597" s="473" t="n"/>
      <c r="M597" s="692" t="n"/>
      <c r="N597" s="693" t="n"/>
      <c r="O597" s="78" t="n"/>
      <c r="P597" s="129" t="n"/>
      <c r="Q597" s="129" t="n"/>
      <c r="R597" s="129" t="n"/>
      <c r="S597" s="129" t="n"/>
      <c r="T597" s="129" t="n"/>
      <c r="U597" s="129" t="n"/>
      <c r="V597" s="129" t="n"/>
      <c r="W597" s="129" t="n"/>
      <c r="X597" s="129" t="n"/>
      <c r="Y597" s="703" t="n"/>
      <c r="Z597" s="704" t="n"/>
      <c r="AA597" s="705" t="n"/>
      <c r="AB597" s="613" t="n"/>
      <c r="AC597" s="614" t="n"/>
      <c r="AD597" s="628" t="n"/>
      <c r="AE597" s="616" t="n"/>
      <c r="AF597" s="617" t="n"/>
      <c r="AG597" s="693" t="n"/>
      <c r="AH597" s="721" t="n"/>
      <c r="AI597" s="721" t="n"/>
      <c r="AJ597" s="688" t="n"/>
      <c r="AK597" s="689" t="n"/>
      <c r="AL597" s="690" t="n"/>
      <c r="AM597" s="691" t="n"/>
      <c r="AN597" s="692" t="n"/>
      <c r="AO597" s="693" t="n"/>
      <c r="AP597" s="693" t="n"/>
      <c r="AQ597" s="693" t="n"/>
      <c r="AR597" s="693" t="n"/>
      <c r="AS597" s="693" t="n"/>
      <c r="AT597" s="693" t="n"/>
      <c r="AU597" s="699" t="n"/>
      <c r="AV597" s="693" t="n"/>
      <c r="AW597" s="693" t="n"/>
      <c r="AX597" s="693" t="n"/>
      <c r="AY597" s="693" t="n"/>
      <c r="AZ597" s="693" t="n"/>
    </row>
    <row r="598">
      <c r="A598" s="688" t="n"/>
      <c r="B598" s="688" t="n"/>
      <c r="C598" s="473" t="n"/>
      <c r="D598" s="688" t="n"/>
      <c r="E598" s="689" t="n"/>
      <c r="F598" s="721" t="n"/>
      <c r="G5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8" s="474">
        <f>G598/#REF!</f>
        <v/>
      </c>
      <c r="I598" s="690" t="n"/>
      <c r="J5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8" s="474">
        <f>J598/#REF!</f>
        <v/>
      </c>
      <c r="L598" s="473" t="n"/>
      <c r="M598" s="692" t="n"/>
      <c r="N598" s="693" t="n"/>
      <c r="O598" s="78" t="n"/>
      <c r="P598" s="129" t="n"/>
      <c r="Q598" s="129" t="n"/>
      <c r="R598" s="129" t="n"/>
      <c r="S598" s="129" t="n"/>
      <c r="T598" s="129" t="n"/>
      <c r="U598" s="129" t="n"/>
      <c r="V598" s="129" t="n"/>
      <c r="W598" s="129" t="n"/>
      <c r="X598" s="129" t="n"/>
      <c r="Y598" s="708" t="n"/>
      <c r="Z598" s="709" t="n"/>
      <c r="AA598" s="710" t="n"/>
      <c r="AB598" s="590" t="n"/>
      <c r="AC598" s="591" t="n"/>
      <c r="AD598" s="592" t="n"/>
      <c r="AE598" s="593" t="n"/>
      <c r="AF598" s="594" t="n"/>
      <c r="AG598" s="693" t="n"/>
      <c r="AH598" s="721" t="n"/>
      <c r="AI598" s="721" t="n"/>
      <c r="AJ598" s="688" t="n"/>
      <c r="AK598" s="689" t="n"/>
      <c r="AL598" s="690" t="n"/>
      <c r="AM598" s="691" t="n"/>
      <c r="AN598" s="692" t="n"/>
      <c r="AO598" s="693" t="n"/>
      <c r="AP598" s="693" t="n"/>
      <c r="AQ598" s="693" t="n"/>
      <c r="AR598" s="693" t="n"/>
      <c r="AS598" s="693" t="n"/>
      <c r="AT598" s="693" t="n"/>
      <c r="AU598" s="699" t="n"/>
      <c r="AV598" s="693" t="n"/>
      <c r="AW598" s="693" t="n"/>
      <c r="AX598" s="693" t="n"/>
      <c r="AY598" s="693" t="n"/>
      <c r="AZ598" s="693" t="n"/>
    </row>
    <row r="599">
      <c r="A599" s="688" t="n"/>
      <c r="B599" s="688" t="n"/>
      <c r="C599" s="473" t="n"/>
      <c r="D599" s="688" t="n"/>
      <c r="E599" s="689" t="n"/>
      <c r="F599" s="721" t="n"/>
      <c r="G5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599" s="474">
        <f>G599/#REF!</f>
        <v/>
      </c>
      <c r="I599" s="690" t="n"/>
      <c r="J5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599" s="474">
        <f>J599/#REF!</f>
        <v/>
      </c>
      <c r="L599" s="473" t="n"/>
      <c r="M599" s="692" t="n"/>
      <c r="N599" s="693" t="n"/>
      <c r="O599" s="78" t="n"/>
      <c r="P599" s="129" t="n"/>
      <c r="Q599" s="129" t="n"/>
      <c r="R599" s="129" t="n"/>
      <c r="S599" s="129" t="n"/>
      <c r="T599" s="129" t="n"/>
      <c r="U599" s="129" t="n"/>
      <c r="V599" s="129" t="n"/>
      <c r="W599" s="129" t="n"/>
      <c r="X599" s="129" t="n"/>
      <c r="Y599" s="703" t="n"/>
      <c r="Z599" s="704" t="n"/>
      <c r="AA599" s="705" t="n"/>
      <c r="AB599" s="613" t="n"/>
      <c r="AC599" s="614" t="n"/>
      <c r="AD599" s="628" t="n"/>
      <c r="AE599" s="616" t="n"/>
      <c r="AF599" s="617" t="n"/>
      <c r="AG599" s="693" t="n"/>
      <c r="AH599" s="721" t="n"/>
      <c r="AI599" s="721" t="n"/>
      <c r="AJ599" s="688" t="n"/>
      <c r="AK599" s="689" t="n"/>
      <c r="AL599" s="690" t="n"/>
      <c r="AM599" s="691" t="n"/>
      <c r="AN599" s="692" t="n"/>
      <c r="AO599" s="693" t="n"/>
      <c r="AP599" s="693" t="n"/>
      <c r="AQ599" s="693" t="n"/>
      <c r="AR599" s="693" t="n"/>
      <c r="AS599" s="693" t="n"/>
      <c r="AT599" s="693" t="n"/>
      <c r="AU599" s="699" t="n"/>
      <c r="AV599" s="693" t="n"/>
      <c r="AW599" s="693" t="n"/>
      <c r="AX599" s="693" t="n"/>
      <c r="AY599" s="693" t="n"/>
      <c r="AZ599" s="693" t="n"/>
    </row>
    <row r="600">
      <c r="A600" s="688" t="n"/>
      <c r="B600" s="688" t="n"/>
      <c r="C600" s="473" t="n"/>
      <c r="D600" s="688" t="n"/>
      <c r="E600" s="689" t="n"/>
      <c r="F600" s="721" t="n"/>
      <c r="G6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0" s="474">
        <f>G600/#REF!</f>
        <v/>
      </c>
      <c r="I600" s="690" t="n"/>
      <c r="J6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0" s="474">
        <f>J600/#REF!</f>
        <v/>
      </c>
      <c r="L600" s="473" t="n"/>
      <c r="M600" s="692" t="n"/>
      <c r="N600" s="693" t="n"/>
      <c r="O600" s="78" t="n"/>
      <c r="P600" s="129" t="n"/>
      <c r="Q600" s="129" t="n"/>
      <c r="R600" s="129" t="n"/>
      <c r="S600" s="129" t="n"/>
      <c r="T600" s="129" t="n"/>
      <c r="U600" s="129" t="n"/>
      <c r="V600" s="129" t="n"/>
      <c r="W600" s="129" t="n"/>
      <c r="X600" s="129" t="n"/>
      <c r="Y600" s="708" t="n"/>
      <c r="Z600" s="709" t="n"/>
      <c r="AA600" s="710" t="n"/>
      <c r="AB600" s="590" t="n"/>
      <c r="AC600" s="591" t="n"/>
      <c r="AD600" s="592" t="n"/>
      <c r="AE600" s="593" t="n"/>
      <c r="AF600" s="594" t="n"/>
      <c r="AG600" s="693" t="n"/>
      <c r="AH600" s="721" t="n"/>
      <c r="AI600" s="721" t="n"/>
      <c r="AJ600" s="688" t="n"/>
      <c r="AK600" s="689" t="n"/>
      <c r="AL600" s="690" t="n"/>
      <c r="AM600" s="691" t="n"/>
      <c r="AN600" s="692" t="n"/>
      <c r="AO600" s="693" t="n"/>
      <c r="AP600" s="693" t="n"/>
      <c r="AQ600" s="693" t="n"/>
      <c r="AR600" s="693" t="n"/>
      <c r="AS600" s="693" t="n"/>
      <c r="AT600" s="693" t="n"/>
      <c r="AU600" s="699" t="n"/>
      <c r="AV600" s="693" t="n"/>
      <c r="AW600" s="693" t="n"/>
      <c r="AX600" s="693" t="n"/>
      <c r="AY600" s="693" t="n"/>
      <c r="AZ600" s="693" t="n"/>
    </row>
    <row r="601">
      <c r="A601" s="688" t="n"/>
      <c r="B601" s="688" t="n"/>
      <c r="C601" s="473" t="n"/>
      <c r="D601" s="688" t="n"/>
      <c r="E601" s="689" t="n"/>
      <c r="F601" s="721" t="n"/>
      <c r="G6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1" s="474">
        <f>G601/#REF!</f>
        <v/>
      </c>
      <c r="I601" s="690" t="n"/>
      <c r="J6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1" s="474">
        <f>J601/#REF!</f>
        <v/>
      </c>
      <c r="L601" s="473" t="n"/>
      <c r="M601" s="692" t="n"/>
      <c r="N601" s="693" t="n"/>
      <c r="O601" s="78" t="n"/>
      <c r="P601" s="129" t="n"/>
      <c r="Q601" s="129" t="n"/>
      <c r="R601" s="129" t="n"/>
      <c r="S601" s="129" t="n"/>
      <c r="T601" s="129" t="n"/>
      <c r="U601" s="129" t="n"/>
      <c r="V601" s="129" t="n"/>
      <c r="W601" s="129" t="n"/>
      <c r="X601" s="129" t="n"/>
      <c r="Y601" s="703" t="n"/>
      <c r="Z601" s="704" t="n"/>
      <c r="AA601" s="705" t="n"/>
      <c r="AB601" s="613" t="n"/>
      <c r="AC601" s="614" t="n"/>
      <c r="AD601" s="628" t="n"/>
      <c r="AE601" s="616" t="n"/>
      <c r="AF601" s="617" t="n"/>
      <c r="AG601" s="693" t="n"/>
      <c r="AH601" s="721" t="n"/>
      <c r="AI601" s="721" t="n"/>
      <c r="AJ601" s="688" t="n"/>
      <c r="AK601" s="689" t="n"/>
      <c r="AL601" s="690" t="n"/>
      <c r="AM601" s="691" t="n"/>
      <c r="AN601" s="692" t="n"/>
      <c r="AO601" s="693" t="n"/>
      <c r="AP601" s="693" t="n"/>
      <c r="AQ601" s="693" t="n"/>
      <c r="AR601" s="693" t="n"/>
      <c r="AS601" s="693" t="n"/>
      <c r="AT601" s="693" t="n"/>
      <c r="AU601" s="699" t="n"/>
      <c r="AV601" s="693" t="n"/>
      <c r="AW601" s="693" t="n"/>
      <c r="AX601" s="693" t="n"/>
      <c r="AY601" s="693" t="n"/>
      <c r="AZ601" s="693" t="n"/>
    </row>
    <row r="602">
      <c r="A602" s="688" t="n"/>
      <c r="B602" s="688" t="n"/>
      <c r="C602" s="473" t="n"/>
      <c r="D602" s="688" t="n"/>
      <c r="E602" s="689" t="n"/>
      <c r="F602" s="721" t="n"/>
      <c r="G6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2" s="474">
        <f>G602/#REF!</f>
        <v/>
      </c>
      <c r="I602" s="690" t="n"/>
      <c r="J6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2" s="474">
        <f>J602/#REF!</f>
        <v/>
      </c>
      <c r="L602" s="473" t="n"/>
      <c r="M602" s="692" t="n"/>
      <c r="N602" s="693" t="n"/>
      <c r="O602" s="78" t="n"/>
      <c r="P602" s="129" t="n"/>
      <c r="Q602" s="129" t="n"/>
      <c r="R602" s="129" t="n"/>
      <c r="S602" s="129" t="n"/>
      <c r="T602" s="129" t="n"/>
      <c r="U602" s="129" t="n"/>
      <c r="V602" s="129" t="n"/>
      <c r="W602" s="129" t="n"/>
      <c r="X602" s="129" t="n"/>
      <c r="Y602" s="708" t="n"/>
      <c r="Z602" s="709" t="n"/>
      <c r="AA602" s="710" t="n"/>
      <c r="AB602" s="590" t="n"/>
      <c r="AC602" s="591" t="n"/>
      <c r="AD602" s="592" t="n"/>
      <c r="AE602" s="593" t="n"/>
      <c r="AF602" s="594" t="n"/>
      <c r="AG602" s="693" t="n"/>
      <c r="AH602" s="721" t="n"/>
      <c r="AI602" s="721" t="n"/>
      <c r="AJ602" s="688" t="n"/>
      <c r="AK602" s="689" t="n"/>
      <c r="AL602" s="690" t="n"/>
      <c r="AM602" s="691" t="n"/>
      <c r="AN602" s="692" t="n"/>
      <c r="AO602" s="693" t="n"/>
      <c r="AP602" s="693" t="n"/>
      <c r="AQ602" s="693" t="n"/>
      <c r="AR602" s="693" t="n"/>
      <c r="AS602" s="693" t="n"/>
      <c r="AT602" s="693" t="n"/>
      <c r="AU602" s="699" t="n"/>
      <c r="AV602" s="693" t="n"/>
      <c r="AW602" s="693" t="n"/>
      <c r="AX602" s="693" t="n"/>
      <c r="AY602" s="693" t="n"/>
      <c r="AZ602" s="693" t="n"/>
    </row>
    <row r="603">
      <c r="A603" s="688" t="n"/>
      <c r="B603" s="688" t="n"/>
      <c r="C603" s="473" t="n"/>
      <c r="D603" s="688" t="n"/>
      <c r="E603" s="689" t="n"/>
      <c r="F603" s="721" t="n"/>
      <c r="G6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3" s="474">
        <f>G603/#REF!</f>
        <v/>
      </c>
      <c r="I603" s="690" t="n"/>
      <c r="J6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3" s="474">
        <f>J603/#REF!</f>
        <v/>
      </c>
      <c r="L603" s="473" t="n"/>
      <c r="M603" s="692" t="n"/>
      <c r="N603" s="693" t="n"/>
      <c r="O603" s="78" t="n"/>
      <c r="P603" s="129" t="n"/>
      <c r="Q603" s="129" t="n"/>
      <c r="R603" s="129" t="n"/>
      <c r="S603" s="129" t="n"/>
      <c r="T603" s="129" t="n"/>
      <c r="U603" s="129" t="n"/>
      <c r="V603" s="129" t="n"/>
      <c r="W603" s="129" t="n"/>
      <c r="X603" s="129" t="n"/>
      <c r="Y603" s="703" t="n"/>
      <c r="Z603" s="704" t="n"/>
      <c r="AA603" s="705" t="n"/>
      <c r="AB603" s="613" t="n"/>
      <c r="AC603" s="614" t="n"/>
      <c r="AD603" s="628" t="n"/>
      <c r="AE603" s="616" t="n"/>
      <c r="AF603" s="617" t="n"/>
      <c r="AG603" s="693" t="n"/>
      <c r="AH603" s="721" t="n"/>
      <c r="AI603" s="721" t="n"/>
      <c r="AJ603" s="688" t="n"/>
      <c r="AK603" s="689" t="n"/>
      <c r="AL603" s="690" t="n"/>
      <c r="AM603" s="691" t="n"/>
      <c r="AN603" s="692" t="n"/>
      <c r="AO603" s="693" t="n"/>
      <c r="AP603" s="693" t="n"/>
      <c r="AQ603" s="693" t="n"/>
      <c r="AR603" s="693" t="n"/>
      <c r="AS603" s="693" t="n"/>
      <c r="AT603" s="693" t="n"/>
      <c r="AU603" s="699" t="n"/>
      <c r="AV603" s="693" t="n"/>
      <c r="AW603" s="693" t="n"/>
      <c r="AX603" s="693" t="n"/>
      <c r="AY603" s="693" t="n"/>
      <c r="AZ603" s="693" t="n"/>
    </row>
    <row r="604">
      <c r="A604" s="688" t="n"/>
      <c r="B604" s="688" t="n"/>
      <c r="C604" s="473" t="n"/>
      <c r="D604" s="688" t="n"/>
      <c r="E604" s="689" t="n"/>
      <c r="F604" s="721" t="n"/>
      <c r="G6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4" s="474">
        <f>G604/#REF!</f>
        <v/>
      </c>
      <c r="I604" s="690" t="n"/>
      <c r="J6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4" s="474">
        <f>J604/#REF!</f>
        <v/>
      </c>
      <c r="L604" s="473" t="n"/>
      <c r="M604" s="692" t="n"/>
      <c r="N604" s="693" t="n"/>
      <c r="O604" s="78" t="n"/>
      <c r="P604" s="129" t="n"/>
      <c r="Q604" s="129" t="n"/>
      <c r="R604" s="129" t="n"/>
      <c r="S604" s="129" t="n"/>
      <c r="T604" s="129" t="n"/>
      <c r="U604" s="129" t="n"/>
      <c r="V604" s="129" t="n"/>
      <c r="W604" s="129" t="n"/>
      <c r="X604" s="129" t="n"/>
      <c r="Y604" s="708" t="n"/>
      <c r="Z604" s="709" t="n"/>
      <c r="AA604" s="710" t="n"/>
      <c r="AB604" s="590" t="n"/>
      <c r="AC604" s="591" t="n"/>
      <c r="AD604" s="592" t="n"/>
      <c r="AE604" s="593" t="n"/>
      <c r="AF604" s="594" t="n"/>
      <c r="AG604" s="693" t="n"/>
      <c r="AH604" s="721" t="n"/>
      <c r="AI604" s="721" t="n"/>
      <c r="AJ604" s="688" t="n"/>
      <c r="AK604" s="689" t="n"/>
      <c r="AL604" s="690" t="n"/>
      <c r="AM604" s="691" t="n"/>
      <c r="AN604" s="692" t="n"/>
      <c r="AO604" s="693" t="n"/>
      <c r="AP604" s="693" t="n"/>
      <c r="AQ604" s="693" t="n"/>
      <c r="AR604" s="693" t="n"/>
      <c r="AS604" s="693" t="n"/>
      <c r="AT604" s="693" t="n"/>
      <c r="AU604" s="699" t="n"/>
      <c r="AV604" s="693" t="n"/>
      <c r="AW604" s="693" t="n"/>
      <c r="AX604" s="693" t="n"/>
      <c r="AY604" s="693" t="n"/>
      <c r="AZ604" s="693" t="n"/>
    </row>
    <row r="605">
      <c r="A605" s="688" t="n"/>
      <c r="B605" s="688" t="n"/>
      <c r="C605" s="473" t="n"/>
      <c r="D605" s="688" t="n"/>
      <c r="E605" s="689" t="n"/>
      <c r="F605" s="721" t="n"/>
      <c r="G6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5" s="474">
        <f>G605/#REF!</f>
        <v/>
      </c>
      <c r="I605" s="690" t="n"/>
      <c r="J6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5" s="474">
        <f>J605/#REF!</f>
        <v/>
      </c>
      <c r="L605" s="473" t="n"/>
      <c r="M605" s="692" t="n"/>
      <c r="N605" s="693" t="n"/>
      <c r="O605" s="78" t="n"/>
      <c r="P605" s="129" t="n"/>
      <c r="Q605" s="129" t="n"/>
      <c r="R605" s="129" t="n"/>
      <c r="S605" s="129" t="n"/>
      <c r="T605" s="129" t="n"/>
      <c r="U605" s="129" t="n"/>
      <c r="V605" s="129" t="n"/>
      <c r="W605" s="129" t="n"/>
      <c r="X605" s="129" t="n"/>
      <c r="Y605" s="703" t="n"/>
      <c r="Z605" s="704" t="n"/>
      <c r="AA605" s="705" t="n"/>
      <c r="AB605" s="613" t="n"/>
      <c r="AC605" s="614" t="n"/>
      <c r="AD605" s="628" t="n"/>
      <c r="AE605" s="616" t="n"/>
      <c r="AF605" s="617" t="n"/>
      <c r="AG605" s="693" t="n"/>
      <c r="AH605" s="721" t="n"/>
      <c r="AI605" s="721" t="n"/>
      <c r="AJ605" s="688" t="n"/>
      <c r="AK605" s="689" t="n"/>
      <c r="AL605" s="690" t="n"/>
      <c r="AM605" s="691" t="n"/>
      <c r="AN605" s="692" t="n"/>
      <c r="AO605" s="693" t="n"/>
      <c r="AP605" s="693" t="n"/>
      <c r="AQ605" s="693" t="n"/>
      <c r="AR605" s="693" t="n"/>
      <c r="AS605" s="693" t="n"/>
      <c r="AT605" s="693" t="n"/>
      <c r="AU605" s="699" t="n"/>
      <c r="AV605" s="693" t="n"/>
      <c r="AW605" s="693" t="n"/>
      <c r="AX605" s="693" t="n"/>
      <c r="AY605" s="693" t="n"/>
      <c r="AZ605" s="693" t="n"/>
    </row>
    <row r="606">
      <c r="A606" s="688" t="n"/>
      <c r="B606" s="688" t="n"/>
      <c r="C606" s="473" t="n"/>
      <c r="D606" s="688" t="n"/>
      <c r="E606" s="689" t="n"/>
      <c r="F606" s="721" t="n"/>
      <c r="G6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6" s="474">
        <f>G606/#REF!</f>
        <v/>
      </c>
      <c r="I606" s="690" t="n"/>
      <c r="J6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6" s="474">
        <f>J606/#REF!</f>
        <v/>
      </c>
      <c r="L606" s="473" t="n"/>
      <c r="M606" s="692" t="n"/>
      <c r="N606" s="693" t="n"/>
      <c r="O606" s="78" t="n"/>
      <c r="P606" s="129" t="n"/>
      <c r="Q606" s="129" t="n"/>
      <c r="R606" s="129" t="n"/>
      <c r="S606" s="129" t="n"/>
      <c r="T606" s="129" t="n"/>
      <c r="U606" s="129" t="n"/>
      <c r="V606" s="129" t="n"/>
      <c r="W606" s="129" t="n"/>
      <c r="X606" s="129" t="n"/>
      <c r="Y606" s="708" t="n"/>
      <c r="Z606" s="709" t="n"/>
      <c r="AA606" s="710" t="n"/>
      <c r="AB606" s="590" t="n"/>
      <c r="AC606" s="591" t="n"/>
      <c r="AD606" s="592" t="n"/>
      <c r="AE606" s="593" t="n"/>
      <c r="AF606" s="594" t="n"/>
      <c r="AG606" s="693" t="n"/>
      <c r="AH606" s="721" t="n"/>
      <c r="AI606" s="721" t="n"/>
      <c r="AJ606" s="688" t="n"/>
      <c r="AK606" s="689" t="n"/>
      <c r="AL606" s="690" t="n"/>
      <c r="AM606" s="691" t="n"/>
      <c r="AN606" s="692" t="n"/>
      <c r="AO606" s="693" t="n"/>
      <c r="AP606" s="693" t="n"/>
      <c r="AQ606" s="693" t="n"/>
      <c r="AR606" s="693" t="n"/>
      <c r="AS606" s="693" t="n"/>
      <c r="AT606" s="693" t="n"/>
      <c r="AU606" s="699" t="n"/>
      <c r="AV606" s="693" t="n"/>
      <c r="AW606" s="693" t="n"/>
      <c r="AX606" s="693" t="n"/>
      <c r="AY606" s="693" t="n"/>
      <c r="AZ606" s="693" t="n"/>
    </row>
    <row r="607">
      <c r="A607" s="688" t="n"/>
      <c r="B607" s="688" t="n"/>
      <c r="C607" s="473" t="n"/>
      <c r="D607" s="688" t="n"/>
      <c r="E607" s="689" t="n"/>
      <c r="F607" s="721" t="n"/>
      <c r="G6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7" s="474">
        <f>G607/#REF!</f>
        <v/>
      </c>
      <c r="I607" s="690" t="n"/>
      <c r="J6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7" s="474">
        <f>J607/#REF!</f>
        <v/>
      </c>
      <c r="L607" s="473" t="n"/>
      <c r="M607" s="692" t="n"/>
      <c r="N607" s="693" t="n"/>
      <c r="O607" s="78" t="n"/>
      <c r="P607" s="129" t="n"/>
      <c r="Q607" s="129" t="n"/>
      <c r="R607" s="129" t="n"/>
      <c r="S607" s="129" t="n"/>
      <c r="T607" s="129" t="n"/>
      <c r="U607" s="129" t="n"/>
      <c r="V607" s="129" t="n"/>
      <c r="W607" s="129" t="n"/>
      <c r="X607" s="129" t="n"/>
      <c r="Y607" s="703" t="n"/>
      <c r="Z607" s="704" t="n"/>
      <c r="AA607" s="705" t="n"/>
      <c r="AB607" s="613" t="n"/>
      <c r="AC607" s="614" t="n"/>
      <c r="AD607" s="628" t="n"/>
      <c r="AE607" s="616" t="n"/>
      <c r="AF607" s="617" t="n"/>
      <c r="AG607" s="693" t="n"/>
      <c r="AH607" s="721" t="n"/>
      <c r="AI607" s="721" t="n"/>
      <c r="AJ607" s="688" t="n"/>
      <c r="AK607" s="689" t="n"/>
      <c r="AL607" s="690" t="n"/>
      <c r="AM607" s="691" t="n"/>
      <c r="AN607" s="692" t="n"/>
      <c r="AO607" s="693" t="n"/>
      <c r="AP607" s="693" t="n"/>
      <c r="AQ607" s="693" t="n"/>
      <c r="AR607" s="693" t="n"/>
      <c r="AS607" s="693" t="n"/>
      <c r="AT607" s="693" t="n"/>
      <c r="AU607" s="699" t="n"/>
      <c r="AV607" s="693" t="n"/>
      <c r="AW607" s="693" t="n"/>
      <c r="AX607" s="693" t="n"/>
      <c r="AY607" s="693" t="n"/>
      <c r="AZ607" s="693" t="n"/>
    </row>
    <row r="608">
      <c r="A608" s="688" t="n"/>
      <c r="B608" s="688" t="n"/>
      <c r="C608" s="473" t="n"/>
      <c r="D608" s="688" t="n"/>
      <c r="E608" s="689" t="n"/>
      <c r="F608" s="721" t="n"/>
      <c r="G6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8" s="474">
        <f>G608/#REF!</f>
        <v/>
      </c>
      <c r="I608" s="690" t="n"/>
      <c r="J6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8" s="474">
        <f>J608/#REF!</f>
        <v/>
      </c>
      <c r="L608" s="473" t="n"/>
      <c r="M608" s="692" t="n"/>
      <c r="N608" s="693" t="n"/>
      <c r="O608" s="78" t="n"/>
      <c r="P608" s="129" t="n"/>
      <c r="Q608" s="129" t="n"/>
      <c r="R608" s="129" t="n"/>
      <c r="S608" s="129" t="n"/>
      <c r="T608" s="129" t="n"/>
      <c r="U608" s="129" t="n"/>
      <c r="V608" s="129" t="n"/>
      <c r="W608" s="129" t="n"/>
      <c r="X608" s="129" t="n"/>
      <c r="Y608" s="708" t="n"/>
      <c r="Z608" s="709" t="n"/>
      <c r="AA608" s="710" t="n"/>
      <c r="AB608" s="590" t="n"/>
      <c r="AC608" s="591" t="n"/>
      <c r="AD608" s="592" t="n"/>
      <c r="AE608" s="593" t="n"/>
      <c r="AF608" s="594" t="n"/>
      <c r="AG608" s="693" t="n"/>
      <c r="AH608" s="721" t="n"/>
      <c r="AI608" s="721" t="n"/>
      <c r="AJ608" s="688" t="n"/>
      <c r="AK608" s="689" t="n"/>
      <c r="AL608" s="690" t="n"/>
      <c r="AM608" s="691" t="n"/>
      <c r="AN608" s="692" t="n"/>
      <c r="AO608" s="693" t="n"/>
      <c r="AP608" s="693" t="n"/>
      <c r="AQ608" s="693" t="n"/>
      <c r="AR608" s="693" t="n"/>
      <c r="AS608" s="693" t="n"/>
      <c r="AT608" s="693" t="n"/>
      <c r="AU608" s="699" t="n"/>
      <c r="AV608" s="693" t="n"/>
      <c r="AW608" s="693" t="n"/>
      <c r="AX608" s="693" t="n"/>
      <c r="AY608" s="693" t="n"/>
      <c r="AZ608" s="693" t="n"/>
    </row>
    <row r="609">
      <c r="A609" s="688" t="n"/>
      <c r="B609" s="688" t="n"/>
      <c r="C609" s="473" t="n"/>
      <c r="D609" s="688" t="n"/>
      <c r="E609" s="689" t="n"/>
      <c r="F609" s="721" t="n"/>
      <c r="G6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09" s="474">
        <f>G609/#REF!</f>
        <v/>
      </c>
      <c r="I609" s="690" t="n"/>
      <c r="J6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09" s="474">
        <f>J609/#REF!</f>
        <v/>
      </c>
      <c r="L609" s="473" t="n"/>
      <c r="M609" s="692" t="n"/>
      <c r="N609" s="693" t="n"/>
      <c r="O609" s="78" t="n"/>
      <c r="P609" s="129" t="n"/>
      <c r="Q609" s="129" t="n"/>
      <c r="R609" s="129" t="n"/>
      <c r="S609" s="129" t="n"/>
      <c r="T609" s="129" t="n"/>
      <c r="U609" s="129" t="n"/>
      <c r="V609" s="129" t="n"/>
      <c r="W609" s="129" t="n"/>
      <c r="X609" s="129" t="n"/>
      <c r="Y609" s="703" t="n"/>
      <c r="Z609" s="704" t="n"/>
      <c r="AA609" s="705" t="n"/>
      <c r="AB609" s="613" t="n"/>
      <c r="AC609" s="614" t="n"/>
      <c r="AD609" s="628" t="n"/>
      <c r="AE609" s="616" t="n"/>
      <c r="AF609" s="617" t="n"/>
      <c r="AG609" s="693" t="n"/>
      <c r="AH609" s="721" t="n"/>
      <c r="AI609" s="721" t="n"/>
      <c r="AJ609" s="688" t="n"/>
      <c r="AK609" s="689" t="n"/>
      <c r="AL609" s="690" t="n"/>
      <c r="AM609" s="691" t="n"/>
      <c r="AN609" s="692" t="n"/>
      <c r="AO609" s="693" t="n"/>
      <c r="AP609" s="693" t="n"/>
      <c r="AQ609" s="693" t="n"/>
      <c r="AR609" s="693" t="n"/>
      <c r="AS609" s="693" t="n"/>
      <c r="AT609" s="693" t="n"/>
      <c r="AU609" s="699" t="n"/>
      <c r="AV609" s="693" t="n"/>
      <c r="AW609" s="693" t="n"/>
      <c r="AX609" s="693" t="n"/>
      <c r="AY609" s="693" t="n"/>
      <c r="AZ609" s="693" t="n"/>
    </row>
    <row r="610">
      <c r="A610" s="688" t="n"/>
      <c r="B610" s="688" t="n"/>
      <c r="C610" s="473" t="n"/>
      <c r="D610" s="688" t="n"/>
      <c r="E610" s="689" t="n"/>
      <c r="F610" s="721" t="n"/>
      <c r="G6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0" s="474">
        <f>G610/#REF!</f>
        <v/>
      </c>
      <c r="I610" s="690" t="n"/>
      <c r="J6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0" s="474">
        <f>J610/#REF!</f>
        <v/>
      </c>
      <c r="L610" s="473" t="n"/>
      <c r="M610" s="692" t="n"/>
      <c r="N610" s="693" t="n"/>
      <c r="O610" s="78" t="n"/>
      <c r="P610" s="129" t="n"/>
      <c r="Q610" s="129" t="n"/>
      <c r="R610" s="129" t="n"/>
      <c r="S610" s="129" t="n"/>
      <c r="T610" s="129" t="n"/>
      <c r="U610" s="129" t="n"/>
      <c r="V610" s="129" t="n"/>
      <c r="W610" s="129" t="n"/>
      <c r="X610" s="129" t="n"/>
      <c r="Y610" s="708" t="n"/>
      <c r="Z610" s="709" t="n"/>
      <c r="AA610" s="710" t="n"/>
      <c r="AB610" s="590" t="n"/>
      <c r="AC610" s="591" t="n"/>
      <c r="AD610" s="592" t="n"/>
      <c r="AE610" s="593" t="n"/>
      <c r="AF610" s="594" t="n"/>
      <c r="AG610" s="693" t="n"/>
      <c r="AH610" s="721" t="n"/>
      <c r="AI610" s="721" t="n"/>
      <c r="AJ610" s="688" t="n"/>
      <c r="AK610" s="689" t="n"/>
      <c r="AL610" s="690" t="n"/>
      <c r="AM610" s="691" t="n"/>
      <c r="AN610" s="692" t="n"/>
      <c r="AO610" s="693" t="n"/>
      <c r="AP610" s="693" t="n"/>
      <c r="AQ610" s="693" t="n"/>
      <c r="AR610" s="693" t="n"/>
      <c r="AS610" s="693" t="n"/>
      <c r="AT610" s="693" t="n"/>
      <c r="AU610" s="699" t="n"/>
      <c r="AV610" s="693" t="n"/>
      <c r="AW610" s="693" t="n"/>
      <c r="AX610" s="693" t="n"/>
      <c r="AY610" s="693" t="n"/>
      <c r="AZ610" s="693" t="n"/>
    </row>
    <row r="611">
      <c r="A611" s="688" t="n"/>
      <c r="B611" s="688" t="n"/>
      <c r="C611" s="473" t="n"/>
      <c r="D611" s="688" t="n"/>
      <c r="E611" s="689" t="n"/>
      <c r="F611" s="721" t="n"/>
      <c r="G6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1" s="474">
        <f>G611/#REF!</f>
        <v/>
      </c>
      <c r="I611" s="690" t="n"/>
      <c r="J6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1" s="474">
        <f>J611/#REF!</f>
        <v/>
      </c>
      <c r="L611" s="473" t="n"/>
      <c r="M611" s="692" t="n"/>
      <c r="N611" s="693" t="n"/>
      <c r="O611" s="78" t="n"/>
      <c r="P611" s="129" t="n"/>
      <c r="Q611" s="129" t="n"/>
      <c r="R611" s="129" t="n"/>
      <c r="S611" s="129" t="n"/>
      <c r="T611" s="129" t="n"/>
      <c r="U611" s="129" t="n"/>
      <c r="V611" s="129" t="n"/>
      <c r="W611" s="129" t="n"/>
      <c r="X611" s="129" t="n"/>
      <c r="Y611" s="703" t="n"/>
      <c r="Z611" s="704" t="n"/>
      <c r="AA611" s="705" t="n"/>
      <c r="AB611" s="613" t="n"/>
      <c r="AC611" s="614" t="n"/>
      <c r="AD611" s="628" t="n"/>
      <c r="AE611" s="616" t="n"/>
      <c r="AF611" s="617" t="n"/>
      <c r="AG611" s="693" t="n"/>
      <c r="AH611" s="721" t="n"/>
      <c r="AI611" s="721" t="n"/>
      <c r="AJ611" s="688" t="n"/>
      <c r="AK611" s="689" t="n"/>
      <c r="AL611" s="690" t="n"/>
      <c r="AM611" s="691" t="n"/>
      <c r="AN611" s="692" t="n"/>
      <c r="AO611" s="693" t="n"/>
      <c r="AP611" s="693" t="n"/>
      <c r="AQ611" s="693" t="n"/>
      <c r="AR611" s="693" t="n"/>
      <c r="AS611" s="693" t="n"/>
      <c r="AT611" s="693" t="n"/>
      <c r="AU611" s="699" t="n"/>
      <c r="AV611" s="693" t="n"/>
      <c r="AW611" s="693" t="n"/>
      <c r="AX611" s="693" t="n"/>
      <c r="AY611" s="693" t="n"/>
      <c r="AZ611" s="693" t="n"/>
    </row>
    <row r="612">
      <c r="A612" s="688" t="n"/>
      <c r="B612" s="688" t="n"/>
      <c r="C612" s="473" t="n"/>
      <c r="D612" s="688" t="n"/>
      <c r="E612" s="689" t="n"/>
      <c r="F612" s="721" t="n"/>
      <c r="G6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2" s="474">
        <f>G612/#REF!</f>
        <v/>
      </c>
      <c r="I612" s="690" t="n"/>
      <c r="J6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2" s="474">
        <f>J612/#REF!</f>
        <v/>
      </c>
      <c r="L612" s="473" t="n"/>
      <c r="M612" s="692" t="n"/>
      <c r="N612" s="693" t="n"/>
      <c r="O612" s="78" t="n"/>
      <c r="P612" s="129" t="n"/>
      <c r="Q612" s="129" t="n"/>
      <c r="R612" s="129" t="n"/>
      <c r="S612" s="129" t="n"/>
      <c r="T612" s="129" t="n"/>
      <c r="U612" s="129" t="n"/>
      <c r="V612" s="129" t="n"/>
      <c r="W612" s="129" t="n"/>
      <c r="X612" s="129" t="n"/>
      <c r="Y612" s="708" t="n"/>
      <c r="Z612" s="709" t="n"/>
      <c r="AA612" s="710" t="n"/>
      <c r="AB612" s="590" t="n"/>
      <c r="AC612" s="591" t="n"/>
      <c r="AD612" s="592" t="n"/>
      <c r="AE612" s="593" t="n"/>
      <c r="AF612" s="594" t="n"/>
      <c r="AG612" s="693" t="n"/>
      <c r="AH612" s="721" t="n"/>
      <c r="AI612" s="721" t="n"/>
      <c r="AJ612" s="688" t="n"/>
      <c r="AK612" s="689" t="n"/>
      <c r="AL612" s="690" t="n"/>
      <c r="AM612" s="691" t="n"/>
      <c r="AN612" s="692" t="n"/>
      <c r="AO612" s="693" t="n"/>
      <c r="AP612" s="693" t="n"/>
      <c r="AQ612" s="693" t="n"/>
      <c r="AR612" s="693" t="n"/>
      <c r="AS612" s="693" t="n"/>
      <c r="AT612" s="693" t="n"/>
      <c r="AU612" s="699" t="n"/>
      <c r="AV612" s="693" t="n"/>
      <c r="AW612" s="693" t="n"/>
      <c r="AX612" s="693" t="n"/>
      <c r="AY612" s="693" t="n"/>
      <c r="AZ612" s="693" t="n"/>
    </row>
    <row r="613">
      <c r="A613" s="688" t="n"/>
      <c r="B613" s="688" t="n"/>
      <c r="C613" s="473" t="n"/>
      <c r="D613" s="688" t="n"/>
      <c r="E613" s="689" t="n"/>
      <c r="F613" s="721" t="n"/>
      <c r="G6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3" s="474">
        <f>G613/#REF!</f>
        <v/>
      </c>
      <c r="I613" s="690" t="n"/>
      <c r="J6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3" s="474">
        <f>J613/#REF!</f>
        <v/>
      </c>
      <c r="L613" s="473" t="n"/>
      <c r="M613" s="692" t="n"/>
      <c r="N613" s="693" t="n"/>
      <c r="O613" s="78" t="n"/>
      <c r="P613" s="129" t="n"/>
      <c r="Q613" s="129" t="n"/>
      <c r="R613" s="129" t="n"/>
      <c r="S613" s="129" t="n"/>
      <c r="T613" s="129" t="n"/>
      <c r="U613" s="129" t="n"/>
      <c r="V613" s="129" t="n"/>
      <c r="W613" s="129" t="n"/>
      <c r="X613" s="129" t="n"/>
      <c r="Y613" s="703" t="n"/>
      <c r="Z613" s="704" t="n"/>
      <c r="AA613" s="705" t="n"/>
      <c r="AB613" s="613" t="n"/>
      <c r="AC613" s="614" t="n"/>
      <c r="AD613" s="628" t="n"/>
      <c r="AE613" s="616" t="n"/>
      <c r="AF613" s="617" t="n"/>
      <c r="AG613" s="693" t="n"/>
      <c r="AH613" s="721" t="n"/>
      <c r="AI613" s="721" t="n"/>
      <c r="AJ613" s="688" t="n"/>
      <c r="AK613" s="689" t="n"/>
      <c r="AL613" s="690" t="n"/>
      <c r="AM613" s="691" t="n"/>
      <c r="AN613" s="692" t="n"/>
      <c r="AO613" s="693" t="n"/>
      <c r="AP613" s="693" t="n"/>
      <c r="AQ613" s="693" t="n"/>
      <c r="AR613" s="693" t="n"/>
      <c r="AS613" s="693" t="n"/>
      <c r="AT613" s="693" t="n"/>
      <c r="AU613" s="699" t="n"/>
      <c r="AV613" s="693" t="n"/>
      <c r="AW613" s="693" t="n"/>
      <c r="AX613" s="693" t="n"/>
      <c r="AY613" s="693" t="n"/>
      <c r="AZ613" s="693" t="n"/>
    </row>
    <row r="614">
      <c r="A614" s="688" t="n"/>
      <c r="B614" s="688" t="n"/>
      <c r="C614" s="473" t="n"/>
      <c r="D614" s="688" t="n"/>
      <c r="E614" s="689" t="n"/>
      <c r="F614" s="721" t="n"/>
      <c r="G6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4" s="474">
        <f>G614/#REF!</f>
        <v/>
      </c>
      <c r="I614" s="690" t="n"/>
      <c r="J6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4" s="474">
        <f>J614/#REF!</f>
        <v/>
      </c>
      <c r="L614" s="473" t="n"/>
      <c r="M614" s="692" t="n"/>
      <c r="N614" s="693" t="n"/>
      <c r="O614" s="78" t="n"/>
      <c r="P614" s="129" t="n"/>
      <c r="Q614" s="129" t="n"/>
      <c r="R614" s="129" t="n"/>
      <c r="S614" s="129" t="n"/>
      <c r="T614" s="129" t="n"/>
      <c r="U614" s="129" t="n"/>
      <c r="V614" s="129" t="n"/>
      <c r="W614" s="129" t="n"/>
      <c r="X614" s="129" t="n"/>
      <c r="Y614" s="708" t="n"/>
      <c r="Z614" s="709" t="n"/>
      <c r="AA614" s="710" t="n"/>
      <c r="AB614" s="590" t="n"/>
      <c r="AC614" s="591" t="n"/>
      <c r="AD614" s="592" t="n"/>
      <c r="AE614" s="593" t="n"/>
      <c r="AF614" s="594" t="n"/>
      <c r="AG614" s="693" t="n"/>
      <c r="AH614" s="721" t="n"/>
      <c r="AI614" s="721" t="n"/>
      <c r="AJ614" s="688" t="n"/>
      <c r="AK614" s="689" t="n"/>
      <c r="AL614" s="690" t="n"/>
      <c r="AM614" s="691" t="n"/>
      <c r="AN614" s="692" t="n"/>
      <c r="AO614" s="693" t="n"/>
      <c r="AP614" s="693" t="n"/>
      <c r="AQ614" s="693" t="n"/>
      <c r="AR614" s="693" t="n"/>
      <c r="AS614" s="693" t="n"/>
      <c r="AT614" s="693" t="n"/>
      <c r="AU614" s="699" t="n"/>
      <c r="AV614" s="693" t="n"/>
      <c r="AW614" s="693" t="n"/>
      <c r="AX614" s="693" t="n"/>
      <c r="AY614" s="693" t="n"/>
      <c r="AZ614" s="693" t="n"/>
    </row>
    <row r="615">
      <c r="A615" s="688" t="n"/>
      <c r="B615" s="688" t="n"/>
      <c r="C615" s="473" t="n"/>
      <c r="D615" s="688" t="n"/>
      <c r="E615" s="689" t="n"/>
      <c r="F615" s="721" t="n"/>
      <c r="G6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5" s="474">
        <f>G615/#REF!</f>
        <v/>
      </c>
      <c r="I615" s="690" t="n"/>
      <c r="J6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5" s="474">
        <f>J615/#REF!</f>
        <v/>
      </c>
      <c r="L615" s="473" t="n"/>
      <c r="M615" s="692" t="n"/>
      <c r="N615" s="693" t="n"/>
      <c r="O615" s="78" t="n"/>
      <c r="P615" s="129" t="n"/>
      <c r="Q615" s="129" t="n"/>
      <c r="R615" s="129" t="n"/>
      <c r="S615" s="129" t="n"/>
      <c r="T615" s="129" t="n"/>
      <c r="U615" s="129" t="n"/>
      <c r="V615" s="129" t="n"/>
      <c r="W615" s="129" t="n"/>
      <c r="X615" s="129" t="n"/>
      <c r="Y615" s="703" t="n"/>
      <c r="Z615" s="704" t="n"/>
      <c r="AA615" s="705" t="n"/>
      <c r="AB615" s="613" t="n"/>
      <c r="AC615" s="614" t="n"/>
      <c r="AD615" s="628" t="n"/>
      <c r="AE615" s="616" t="n"/>
      <c r="AF615" s="617" t="n"/>
      <c r="AG615" s="693" t="n"/>
      <c r="AH615" s="721" t="n"/>
      <c r="AI615" s="721" t="n"/>
      <c r="AJ615" s="688" t="n"/>
      <c r="AK615" s="689" t="n"/>
      <c r="AL615" s="690" t="n"/>
      <c r="AM615" s="691" t="n"/>
      <c r="AN615" s="692" t="n"/>
      <c r="AO615" s="693" t="n"/>
      <c r="AP615" s="693" t="n"/>
      <c r="AQ615" s="693" t="n"/>
      <c r="AR615" s="693" t="n"/>
      <c r="AS615" s="693" t="n"/>
      <c r="AT615" s="693" t="n"/>
      <c r="AU615" s="699" t="n"/>
      <c r="AV615" s="693" t="n"/>
      <c r="AW615" s="693" t="n"/>
      <c r="AX615" s="693" t="n"/>
      <c r="AY615" s="693" t="n"/>
      <c r="AZ615" s="693" t="n"/>
    </row>
    <row r="616">
      <c r="A616" s="688" t="n"/>
      <c r="B616" s="688" t="n"/>
      <c r="C616" s="473" t="n"/>
      <c r="D616" s="688" t="n"/>
      <c r="E616" s="689" t="n"/>
      <c r="F616" s="721" t="n"/>
      <c r="G6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6" s="474">
        <f>G616/#REF!</f>
        <v/>
      </c>
      <c r="I616" s="690" t="n"/>
      <c r="J6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6" s="474">
        <f>J616/#REF!</f>
        <v/>
      </c>
      <c r="L616" s="473" t="n"/>
      <c r="M616" s="692" t="n"/>
      <c r="N616" s="693" t="n"/>
      <c r="O616" s="78" t="n"/>
      <c r="P616" s="129" t="n"/>
      <c r="Q616" s="129" t="n"/>
      <c r="R616" s="129" t="n"/>
      <c r="S616" s="129" t="n"/>
      <c r="T616" s="129" t="n"/>
      <c r="U616" s="129" t="n"/>
      <c r="V616" s="129" t="n"/>
      <c r="W616" s="129" t="n"/>
      <c r="X616" s="129" t="n"/>
      <c r="Y616" s="708" t="n"/>
      <c r="Z616" s="709" t="n"/>
      <c r="AA616" s="710" t="n"/>
      <c r="AB616" s="590" t="n"/>
      <c r="AC616" s="591" t="n"/>
      <c r="AD616" s="592" t="n"/>
      <c r="AE616" s="593" t="n"/>
      <c r="AF616" s="594" t="n"/>
      <c r="AG616" s="693" t="n"/>
      <c r="AH616" s="721" t="n"/>
      <c r="AI616" s="721" t="n"/>
      <c r="AJ616" s="688" t="n"/>
      <c r="AK616" s="689" t="n"/>
      <c r="AL616" s="690" t="n"/>
      <c r="AM616" s="691" t="n"/>
      <c r="AN616" s="692" t="n"/>
      <c r="AO616" s="693" t="n"/>
      <c r="AP616" s="693" t="n"/>
      <c r="AQ616" s="693" t="n"/>
      <c r="AR616" s="693" t="n"/>
      <c r="AS616" s="693" t="n"/>
      <c r="AT616" s="693" t="n"/>
      <c r="AU616" s="699" t="n"/>
      <c r="AV616" s="693" t="n"/>
      <c r="AW616" s="693" t="n"/>
      <c r="AX616" s="693" t="n"/>
      <c r="AY616" s="693" t="n"/>
      <c r="AZ616" s="693" t="n"/>
    </row>
    <row r="617">
      <c r="A617" s="688" t="n"/>
      <c r="B617" s="688" t="n"/>
      <c r="C617" s="473" t="n"/>
      <c r="D617" s="688" t="n"/>
      <c r="E617" s="689" t="n"/>
      <c r="F617" s="721" t="n"/>
      <c r="G6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7" s="474">
        <f>G617/#REF!</f>
        <v/>
      </c>
      <c r="I617" s="690" t="n"/>
      <c r="J6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7" s="474">
        <f>J617/#REF!</f>
        <v/>
      </c>
      <c r="L617" s="473" t="n"/>
      <c r="M617" s="692" t="n"/>
      <c r="N617" s="693" t="n"/>
      <c r="O617" s="78" t="n"/>
      <c r="P617" s="129" t="n"/>
      <c r="Q617" s="129" t="n"/>
      <c r="R617" s="129" t="n"/>
      <c r="S617" s="129" t="n"/>
      <c r="T617" s="129" t="n"/>
      <c r="U617" s="129" t="n"/>
      <c r="V617" s="129" t="n"/>
      <c r="W617" s="129" t="n"/>
      <c r="X617" s="129" t="n"/>
      <c r="Y617" s="703" t="n"/>
      <c r="Z617" s="704" t="n"/>
      <c r="AA617" s="705" t="n"/>
      <c r="AB617" s="613" t="n"/>
      <c r="AC617" s="614" t="n"/>
      <c r="AD617" s="628" t="n"/>
      <c r="AE617" s="616" t="n"/>
      <c r="AF617" s="617" t="n"/>
      <c r="AG617" s="693" t="n"/>
      <c r="AH617" s="721" t="n"/>
      <c r="AI617" s="721" t="n"/>
      <c r="AJ617" s="688" t="n"/>
      <c r="AK617" s="689" t="n"/>
      <c r="AL617" s="690" t="n"/>
      <c r="AM617" s="691" t="n"/>
      <c r="AN617" s="692" t="n"/>
      <c r="AO617" s="693" t="n"/>
      <c r="AP617" s="693" t="n"/>
      <c r="AQ617" s="693" t="n"/>
      <c r="AR617" s="693" t="n"/>
      <c r="AS617" s="693" t="n"/>
      <c r="AT617" s="693" t="n"/>
      <c r="AU617" s="699" t="n"/>
      <c r="AV617" s="693" t="n"/>
      <c r="AW617" s="693" t="n"/>
      <c r="AX617" s="693" t="n"/>
      <c r="AY617" s="693" t="n"/>
      <c r="AZ617" s="693" t="n"/>
    </row>
    <row r="618">
      <c r="A618" s="688" t="n"/>
      <c r="B618" s="688" t="n"/>
      <c r="C618" s="473" t="n"/>
      <c r="D618" s="688" t="n"/>
      <c r="E618" s="689" t="n"/>
      <c r="F618" s="721" t="n"/>
      <c r="G6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8" s="474">
        <f>G618/#REF!</f>
        <v/>
      </c>
      <c r="I618" s="690" t="n"/>
      <c r="J6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8" s="474">
        <f>J618/#REF!</f>
        <v/>
      </c>
      <c r="L618" s="473" t="n"/>
      <c r="M618" s="692" t="n"/>
      <c r="N618" s="693" t="n"/>
      <c r="O618" s="78" t="n"/>
      <c r="P618" s="129" t="n"/>
      <c r="Q618" s="129" t="n"/>
      <c r="R618" s="129" t="n"/>
      <c r="S618" s="129" t="n"/>
      <c r="T618" s="129" t="n"/>
      <c r="U618" s="129" t="n"/>
      <c r="V618" s="129" t="n"/>
      <c r="W618" s="129" t="n"/>
      <c r="X618" s="129" t="n"/>
      <c r="Y618" s="708" t="n"/>
      <c r="Z618" s="709" t="n"/>
      <c r="AA618" s="710" t="n"/>
      <c r="AB618" s="590" t="n"/>
      <c r="AC618" s="591" t="n"/>
      <c r="AD618" s="592" t="n"/>
      <c r="AE618" s="593" t="n"/>
      <c r="AF618" s="594" t="n"/>
      <c r="AG618" s="693" t="n"/>
      <c r="AH618" s="721" t="n"/>
      <c r="AI618" s="721" t="n"/>
      <c r="AJ618" s="688" t="n"/>
      <c r="AK618" s="689" t="n"/>
      <c r="AL618" s="690" t="n"/>
      <c r="AM618" s="691" t="n"/>
      <c r="AN618" s="692" t="n"/>
      <c r="AO618" s="693" t="n"/>
      <c r="AP618" s="693" t="n"/>
      <c r="AQ618" s="693" t="n"/>
      <c r="AR618" s="693" t="n"/>
      <c r="AS618" s="693" t="n"/>
      <c r="AT618" s="693" t="n"/>
      <c r="AU618" s="699" t="n"/>
      <c r="AV618" s="693" t="n"/>
      <c r="AW618" s="693" t="n"/>
      <c r="AX618" s="693" t="n"/>
      <c r="AY618" s="693" t="n"/>
      <c r="AZ618" s="693" t="n"/>
    </row>
    <row r="619">
      <c r="A619" s="688" t="n"/>
      <c r="B619" s="688" t="n"/>
      <c r="C619" s="473" t="n"/>
      <c r="D619" s="688" t="n"/>
      <c r="E619" s="689" t="n"/>
      <c r="F619" s="721" t="n"/>
      <c r="G6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19" s="474">
        <f>G619/#REF!</f>
        <v/>
      </c>
      <c r="I619" s="690" t="n"/>
      <c r="J6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19" s="474">
        <f>J619/#REF!</f>
        <v/>
      </c>
      <c r="L619" s="473" t="n"/>
      <c r="M619" s="692" t="n"/>
      <c r="N619" s="693" t="n"/>
      <c r="O619" s="78" t="n"/>
      <c r="P619" s="129" t="n"/>
      <c r="Q619" s="129" t="n"/>
      <c r="R619" s="129" t="n"/>
      <c r="S619" s="129" t="n"/>
      <c r="T619" s="129" t="n"/>
      <c r="U619" s="129" t="n"/>
      <c r="V619" s="129" t="n"/>
      <c r="W619" s="129" t="n"/>
      <c r="X619" s="129" t="n"/>
      <c r="Y619" s="703" t="n"/>
      <c r="Z619" s="704" t="n"/>
      <c r="AA619" s="705" t="n"/>
      <c r="AB619" s="613" t="n"/>
      <c r="AC619" s="614" t="n"/>
      <c r="AD619" s="628" t="n"/>
      <c r="AE619" s="616" t="n"/>
      <c r="AF619" s="617" t="n"/>
      <c r="AG619" s="693" t="n"/>
      <c r="AH619" s="721" t="n"/>
      <c r="AI619" s="721" t="n"/>
      <c r="AJ619" s="688" t="n"/>
      <c r="AK619" s="689" t="n"/>
      <c r="AL619" s="690" t="n"/>
      <c r="AM619" s="691" t="n"/>
      <c r="AN619" s="692" t="n"/>
      <c r="AO619" s="693" t="n"/>
      <c r="AP619" s="693" t="n"/>
      <c r="AQ619" s="693" t="n"/>
      <c r="AR619" s="693" t="n"/>
      <c r="AS619" s="693" t="n"/>
      <c r="AT619" s="693" t="n"/>
      <c r="AU619" s="699" t="n"/>
      <c r="AV619" s="693" t="n"/>
      <c r="AW619" s="693" t="n"/>
      <c r="AX619" s="693" t="n"/>
      <c r="AY619" s="693" t="n"/>
      <c r="AZ619" s="693" t="n"/>
    </row>
    <row r="620">
      <c r="A620" s="688" t="n"/>
      <c r="B620" s="688" t="n"/>
      <c r="C620" s="473" t="n"/>
      <c r="D620" s="688" t="n"/>
      <c r="E620" s="689" t="n"/>
      <c r="F620" s="721" t="n"/>
      <c r="G6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0" s="474">
        <f>G620/#REF!</f>
        <v/>
      </c>
      <c r="I620" s="690" t="n"/>
      <c r="J6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0" s="474">
        <f>J620/#REF!</f>
        <v/>
      </c>
      <c r="L620" s="473" t="n"/>
      <c r="M620" s="692" t="n"/>
      <c r="N620" s="693" t="n"/>
      <c r="O620" s="78" t="n"/>
      <c r="P620" s="129" t="n"/>
      <c r="Q620" s="129" t="n"/>
      <c r="R620" s="129" t="n"/>
      <c r="S620" s="129" t="n"/>
      <c r="T620" s="129" t="n"/>
      <c r="U620" s="129" t="n"/>
      <c r="V620" s="129" t="n"/>
      <c r="W620" s="129" t="n"/>
      <c r="X620" s="129" t="n"/>
      <c r="Y620" s="708" t="n"/>
      <c r="Z620" s="709" t="n"/>
      <c r="AA620" s="710" t="n"/>
      <c r="AB620" s="590" t="n"/>
      <c r="AC620" s="591" t="n"/>
      <c r="AD620" s="592" t="n"/>
      <c r="AE620" s="593" t="n"/>
      <c r="AF620" s="594" t="n"/>
      <c r="AG620" s="693" t="n"/>
      <c r="AH620" s="721" t="n"/>
      <c r="AI620" s="721" t="n"/>
      <c r="AJ620" s="688" t="n"/>
      <c r="AK620" s="689" t="n"/>
      <c r="AL620" s="690" t="n"/>
      <c r="AM620" s="691" t="n"/>
      <c r="AN620" s="692" t="n"/>
      <c r="AO620" s="693" t="n"/>
      <c r="AP620" s="693" t="n"/>
      <c r="AQ620" s="693" t="n"/>
      <c r="AR620" s="693" t="n"/>
      <c r="AS620" s="693" t="n"/>
      <c r="AT620" s="693" t="n"/>
      <c r="AU620" s="699" t="n"/>
      <c r="AV620" s="693" t="n"/>
      <c r="AW620" s="693" t="n"/>
      <c r="AX620" s="693" t="n"/>
      <c r="AY620" s="693" t="n"/>
      <c r="AZ620" s="693" t="n"/>
    </row>
    <row r="621">
      <c r="A621" s="688" t="n"/>
      <c r="B621" s="688" t="n"/>
      <c r="C621" s="473" t="n"/>
      <c r="D621" s="688" t="n"/>
      <c r="E621" s="689" t="n"/>
      <c r="F621" s="721" t="n"/>
      <c r="G6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1" s="474">
        <f>G621/#REF!</f>
        <v/>
      </c>
      <c r="I621" s="690" t="n"/>
      <c r="J6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1" s="474">
        <f>J621/#REF!</f>
        <v/>
      </c>
      <c r="L621" s="473" t="n"/>
      <c r="M621" s="692" t="n"/>
      <c r="N621" s="693" t="n"/>
      <c r="O621" s="78" t="n"/>
      <c r="P621" s="129" t="n"/>
      <c r="Q621" s="129" t="n"/>
      <c r="R621" s="129" t="n"/>
      <c r="S621" s="129" t="n"/>
      <c r="T621" s="129" t="n"/>
      <c r="U621" s="129" t="n"/>
      <c r="V621" s="129" t="n"/>
      <c r="W621" s="129" t="n"/>
      <c r="X621" s="129" t="n"/>
      <c r="Y621" s="703" t="n"/>
      <c r="Z621" s="704" t="n"/>
      <c r="AA621" s="705" t="n"/>
      <c r="AB621" s="613" t="n"/>
      <c r="AC621" s="614" t="n"/>
      <c r="AD621" s="628" t="n"/>
      <c r="AE621" s="616" t="n"/>
      <c r="AF621" s="617" t="n"/>
      <c r="AG621" s="693" t="n"/>
      <c r="AH621" s="721" t="n"/>
      <c r="AI621" s="721" t="n"/>
      <c r="AJ621" s="688" t="n"/>
      <c r="AK621" s="689" t="n"/>
      <c r="AL621" s="690" t="n"/>
      <c r="AM621" s="691" t="n"/>
      <c r="AN621" s="692" t="n"/>
      <c r="AO621" s="693" t="n"/>
      <c r="AP621" s="693" t="n"/>
      <c r="AQ621" s="693" t="n"/>
      <c r="AR621" s="693" t="n"/>
      <c r="AS621" s="693" t="n"/>
      <c r="AT621" s="693" t="n"/>
      <c r="AU621" s="699" t="n"/>
      <c r="AV621" s="693" t="n"/>
      <c r="AW621" s="693" t="n"/>
      <c r="AX621" s="693" t="n"/>
      <c r="AY621" s="693" t="n"/>
      <c r="AZ621" s="693" t="n"/>
    </row>
    <row r="622">
      <c r="A622" s="688" t="n"/>
      <c r="B622" s="688" t="n"/>
      <c r="C622" s="473" t="n"/>
      <c r="D622" s="688" t="n"/>
      <c r="E622" s="689" t="n"/>
      <c r="F622" s="721" t="n"/>
      <c r="G6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2" s="474">
        <f>G622/#REF!</f>
        <v/>
      </c>
      <c r="I622" s="690" t="n"/>
      <c r="J6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2" s="474">
        <f>J622/#REF!</f>
        <v/>
      </c>
      <c r="L622" s="473" t="n"/>
      <c r="M622" s="692" t="n"/>
      <c r="N622" s="693" t="n"/>
      <c r="O622" s="78" t="n"/>
      <c r="P622" s="129" t="n"/>
      <c r="Q622" s="129" t="n"/>
      <c r="R622" s="129" t="n"/>
      <c r="S622" s="129" t="n"/>
      <c r="T622" s="129" t="n"/>
      <c r="U622" s="129" t="n"/>
      <c r="V622" s="129" t="n"/>
      <c r="W622" s="129" t="n"/>
      <c r="X622" s="129" t="n"/>
      <c r="Y622" s="708" t="n"/>
      <c r="Z622" s="709" t="n"/>
      <c r="AA622" s="710" t="n"/>
      <c r="AB622" s="590" t="n"/>
      <c r="AC622" s="591" t="n"/>
      <c r="AD622" s="592" t="n"/>
      <c r="AE622" s="593" t="n"/>
      <c r="AF622" s="594" t="n"/>
      <c r="AG622" s="693" t="n"/>
      <c r="AH622" s="721" t="n"/>
      <c r="AI622" s="721" t="n"/>
      <c r="AJ622" s="688" t="n"/>
      <c r="AK622" s="689" t="n"/>
      <c r="AL622" s="690" t="n"/>
      <c r="AM622" s="691" t="n"/>
      <c r="AN622" s="692" t="n"/>
      <c r="AO622" s="693" t="n"/>
      <c r="AP622" s="693" t="n"/>
      <c r="AQ622" s="693" t="n"/>
      <c r="AR622" s="693" t="n"/>
      <c r="AS622" s="693" t="n"/>
      <c r="AT622" s="693" t="n"/>
      <c r="AU622" s="699" t="n"/>
      <c r="AV622" s="693" t="n"/>
      <c r="AW622" s="693" t="n"/>
      <c r="AX622" s="693" t="n"/>
      <c r="AY622" s="693" t="n"/>
      <c r="AZ622" s="693" t="n"/>
    </row>
    <row r="623">
      <c r="A623" s="688" t="n"/>
      <c r="B623" s="688" t="n"/>
      <c r="C623" s="473" t="n"/>
      <c r="D623" s="688" t="n"/>
      <c r="E623" s="689" t="n"/>
      <c r="F623" s="721" t="n"/>
      <c r="G6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3" s="474">
        <f>G623/#REF!</f>
        <v/>
      </c>
      <c r="I623" s="690" t="n"/>
      <c r="J6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3" s="474">
        <f>J623/#REF!</f>
        <v/>
      </c>
      <c r="L623" s="473" t="n"/>
      <c r="M623" s="692" t="n"/>
      <c r="N623" s="693" t="n"/>
      <c r="O623" s="78" t="n"/>
      <c r="P623" s="129" t="n"/>
      <c r="Q623" s="129" t="n"/>
      <c r="R623" s="129" t="n"/>
      <c r="S623" s="129" t="n"/>
      <c r="T623" s="129" t="n"/>
      <c r="U623" s="129" t="n"/>
      <c r="V623" s="129" t="n"/>
      <c r="W623" s="129" t="n"/>
      <c r="X623" s="129" t="n"/>
      <c r="Y623" s="703" t="n"/>
      <c r="Z623" s="704" t="n"/>
      <c r="AA623" s="705" t="n"/>
      <c r="AB623" s="613" t="n"/>
      <c r="AC623" s="614" t="n"/>
      <c r="AD623" s="628" t="n"/>
      <c r="AE623" s="616" t="n"/>
      <c r="AF623" s="617" t="n"/>
      <c r="AG623" s="693" t="n"/>
      <c r="AH623" s="721" t="n"/>
      <c r="AI623" s="721" t="n"/>
      <c r="AJ623" s="688" t="n"/>
      <c r="AK623" s="689" t="n"/>
      <c r="AL623" s="690" t="n"/>
      <c r="AM623" s="691" t="n"/>
      <c r="AN623" s="692" t="n"/>
      <c r="AO623" s="693" t="n"/>
      <c r="AP623" s="693" t="n"/>
      <c r="AQ623" s="693" t="n"/>
      <c r="AR623" s="693" t="n"/>
      <c r="AS623" s="693" t="n"/>
      <c r="AT623" s="693" t="n"/>
      <c r="AU623" s="699" t="n"/>
      <c r="AV623" s="693" t="n"/>
      <c r="AW623" s="693" t="n"/>
      <c r="AX623" s="693" t="n"/>
      <c r="AY623" s="693" t="n"/>
      <c r="AZ623" s="693" t="n"/>
    </row>
    <row r="624">
      <c r="A624" s="688" t="n"/>
      <c r="B624" s="688" t="n"/>
      <c r="C624" s="473" t="n"/>
      <c r="D624" s="688" t="n"/>
      <c r="E624" s="689" t="n"/>
      <c r="F624" s="721" t="n"/>
      <c r="G6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4" s="474">
        <f>G624/#REF!</f>
        <v/>
      </c>
      <c r="I624" s="690" t="n"/>
      <c r="J6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4" s="474">
        <f>J624/#REF!</f>
        <v/>
      </c>
      <c r="L624" s="473" t="n"/>
      <c r="M624" s="692" t="n"/>
      <c r="N624" s="693" t="n"/>
      <c r="O624" s="78" t="n"/>
      <c r="P624" s="129" t="n"/>
      <c r="Q624" s="129" t="n"/>
      <c r="R624" s="129" t="n"/>
      <c r="S624" s="129" t="n"/>
      <c r="T624" s="129" t="n"/>
      <c r="U624" s="129" t="n"/>
      <c r="V624" s="129" t="n"/>
      <c r="W624" s="129" t="n"/>
      <c r="X624" s="129" t="n"/>
      <c r="Y624" s="708" t="n"/>
      <c r="Z624" s="709" t="n"/>
      <c r="AA624" s="710" t="n"/>
      <c r="AB624" s="590" t="n"/>
      <c r="AC624" s="591" t="n"/>
      <c r="AD624" s="592" t="n"/>
      <c r="AE624" s="593" t="n"/>
      <c r="AF624" s="594" t="n"/>
      <c r="AG624" s="693" t="n"/>
      <c r="AH624" s="721" t="n"/>
      <c r="AI624" s="721" t="n"/>
      <c r="AJ624" s="688" t="n"/>
      <c r="AK624" s="689" t="n"/>
      <c r="AL624" s="690" t="n"/>
      <c r="AM624" s="691" t="n"/>
      <c r="AN624" s="692" t="n"/>
      <c r="AO624" s="693" t="n"/>
      <c r="AP624" s="693" t="n"/>
      <c r="AQ624" s="693" t="n"/>
      <c r="AR624" s="693" t="n"/>
      <c r="AS624" s="693" t="n"/>
      <c r="AT624" s="693" t="n"/>
      <c r="AU624" s="699" t="n"/>
      <c r="AV624" s="693" t="n"/>
      <c r="AW624" s="693" t="n"/>
      <c r="AX624" s="693" t="n"/>
      <c r="AY624" s="693" t="n"/>
      <c r="AZ624" s="693" t="n"/>
    </row>
    <row r="625">
      <c r="A625" s="688" t="n"/>
      <c r="B625" s="688" t="n"/>
      <c r="C625" s="473" t="n"/>
      <c r="D625" s="688" t="n"/>
      <c r="E625" s="689" t="n"/>
      <c r="F625" s="721" t="n"/>
      <c r="G6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5" s="474">
        <f>G625/#REF!</f>
        <v/>
      </c>
      <c r="I625" s="690" t="n"/>
      <c r="J6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5" s="474">
        <f>J625/#REF!</f>
        <v/>
      </c>
      <c r="L625" s="473" t="n"/>
      <c r="M625" s="692" t="n"/>
      <c r="N625" s="693" t="n"/>
      <c r="O625" s="78" t="n"/>
      <c r="P625" s="129" t="n"/>
      <c r="Q625" s="129" t="n"/>
      <c r="R625" s="129" t="n"/>
      <c r="S625" s="129" t="n"/>
      <c r="T625" s="129" t="n"/>
      <c r="U625" s="129" t="n"/>
      <c r="V625" s="129" t="n"/>
      <c r="W625" s="129" t="n"/>
      <c r="X625" s="129" t="n"/>
      <c r="Y625" s="703" t="n"/>
      <c r="Z625" s="704" t="n"/>
      <c r="AA625" s="705" t="n"/>
      <c r="AB625" s="613" t="n"/>
      <c r="AC625" s="614" t="n"/>
      <c r="AD625" s="628" t="n"/>
      <c r="AE625" s="616" t="n"/>
      <c r="AF625" s="617" t="n"/>
      <c r="AG625" s="693" t="n"/>
      <c r="AH625" s="721" t="n"/>
      <c r="AI625" s="721" t="n"/>
      <c r="AJ625" s="688" t="n"/>
      <c r="AK625" s="689" t="n"/>
      <c r="AL625" s="690" t="n"/>
      <c r="AM625" s="691" t="n"/>
      <c r="AN625" s="692" t="n"/>
      <c r="AO625" s="693" t="n"/>
      <c r="AP625" s="693" t="n"/>
      <c r="AQ625" s="693" t="n"/>
      <c r="AR625" s="693" t="n"/>
      <c r="AS625" s="693" t="n"/>
      <c r="AT625" s="693" t="n"/>
      <c r="AU625" s="699" t="n"/>
      <c r="AV625" s="693" t="n"/>
      <c r="AW625" s="693" t="n"/>
      <c r="AX625" s="693" t="n"/>
      <c r="AY625" s="693" t="n"/>
      <c r="AZ625" s="693" t="n"/>
    </row>
    <row r="626">
      <c r="A626" s="688" t="n"/>
      <c r="B626" s="688" t="n"/>
      <c r="C626" s="473" t="n"/>
      <c r="D626" s="688" t="n"/>
      <c r="E626" s="689" t="n"/>
      <c r="F626" s="721" t="n"/>
      <c r="G6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6" s="474">
        <f>G626/#REF!</f>
        <v/>
      </c>
      <c r="I626" s="690" t="n"/>
      <c r="J6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6" s="474">
        <f>J626/#REF!</f>
        <v/>
      </c>
      <c r="L626" s="473" t="n"/>
      <c r="M626" s="692" t="n"/>
      <c r="N626" s="693" t="n"/>
      <c r="O626" s="78" t="n"/>
      <c r="P626" s="129" t="n"/>
      <c r="Q626" s="129" t="n"/>
      <c r="R626" s="129" t="n"/>
      <c r="S626" s="129" t="n"/>
      <c r="T626" s="129" t="n"/>
      <c r="U626" s="129" t="n"/>
      <c r="V626" s="129" t="n"/>
      <c r="W626" s="129" t="n"/>
      <c r="X626" s="129" t="n"/>
      <c r="Y626" s="708" t="n"/>
      <c r="Z626" s="709" t="n"/>
      <c r="AA626" s="710" t="n"/>
      <c r="AB626" s="590" t="n"/>
      <c r="AC626" s="591" t="n"/>
      <c r="AD626" s="592" t="n"/>
      <c r="AE626" s="593" t="n"/>
      <c r="AF626" s="594" t="n"/>
      <c r="AG626" s="693" t="n"/>
      <c r="AH626" s="721" t="n"/>
      <c r="AI626" s="721" t="n"/>
      <c r="AJ626" s="688" t="n"/>
      <c r="AK626" s="689" t="n"/>
      <c r="AL626" s="690" t="n"/>
      <c r="AM626" s="691" t="n"/>
      <c r="AN626" s="692" t="n"/>
      <c r="AO626" s="693" t="n"/>
      <c r="AP626" s="693" t="n"/>
      <c r="AQ626" s="693" t="n"/>
      <c r="AR626" s="693" t="n"/>
      <c r="AS626" s="693" t="n"/>
      <c r="AT626" s="693" t="n"/>
      <c r="AU626" s="699" t="n"/>
      <c r="AV626" s="693" t="n"/>
      <c r="AW626" s="693" t="n"/>
      <c r="AX626" s="693" t="n"/>
      <c r="AY626" s="693" t="n"/>
      <c r="AZ626" s="693" t="n"/>
    </row>
    <row r="627">
      <c r="A627" s="688" t="n"/>
      <c r="B627" s="688" t="n"/>
      <c r="C627" s="473" t="n"/>
      <c r="D627" s="688" t="n"/>
      <c r="E627" s="689" t="n"/>
      <c r="F627" s="721" t="n"/>
      <c r="G6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7" s="474">
        <f>G627/#REF!</f>
        <v/>
      </c>
      <c r="I627" s="690" t="n"/>
      <c r="J6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7" s="474">
        <f>J627/#REF!</f>
        <v/>
      </c>
      <c r="L627" s="473" t="n"/>
      <c r="M627" s="692" t="n"/>
      <c r="N627" s="693" t="n"/>
      <c r="O627" s="78" t="n"/>
      <c r="P627" s="129" t="n"/>
      <c r="Q627" s="129" t="n"/>
      <c r="R627" s="129" t="n"/>
      <c r="S627" s="129" t="n"/>
      <c r="T627" s="129" t="n"/>
      <c r="U627" s="129" t="n"/>
      <c r="V627" s="129" t="n"/>
      <c r="W627" s="129" t="n"/>
      <c r="X627" s="129" t="n"/>
      <c r="Y627" s="703" t="n"/>
      <c r="Z627" s="704" t="n"/>
      <c r="AA627" s="705" t="n"/>
      <c r="AB627" s="613" t="n"/>
      <c r="AC627" s="614" t="n"/>
      <c r="AD627" s="628" t="n"/>
      <c r="AE627" s="616" t="n"/>
      <c r="AF627" s="617" t="n"/>
      <c r="AG627" s="693" t="n"/>
      <c r="AH627" s="721" t="n"/>
      <c r="AI627" s="721" t="n"/>
      <c r="AJ627" s="688" t="n"/>
      <c r="AK627" s="689" t="n"/>
      <c r="AL627" s="690" t="n"/>
      <c r="AM627" s="691" t="n"/>
      <c r="AN627" s="692" t="n"/>
      <c r="AO627" s="693" t="n"/>
      <c r="AP627" s="693" t="n"/>
      <c r="AQ627" s="693" t="n"/>
      <c r="AR627" s="693" t="n"/>
      <c r="AS627" s="693" t="n"/>
      <c r="AT627" s="693" t="n"/>
      <c r="AU627" s="699" t="n"/>
      <c r="AV627" s="693" t="n"/>
      <c r="AW627" s="693" t="n"/>
      <c r="AX627" s="693" t="n"/>
      <c r="AY627" s="693" t="n"/>
      <c r="AZ627" s="693" t="n"/>
    </row>
    <row r="628">
      <c r="A628" s="688" t="n"/>
      <c r="B628" s="688" t="n"/>
      <c r="C628" s="473" t="n"/>
      <c r="D628" s="688" t="n"/>
      <c r="E628" s="689" t="n"/>
      <c r="F628" s="721" t="n"/>
      <c r="G6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8" s="474">
        <f>G628/#REF!</f>
        <v/>
      </c>
      <c r="I628" s="690" t="n"/>
      <c r="J6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8" s="474">
        <f>J628/#REF!</f>
        <v/>
      </c>
      <c r="L628" s="473" t="n"/>
      <c r="M628" s="692" t="n"/>
      <c r="N628" s="693" t="n"/>
      <c r="O628" s="78" t="n"/>
      <c r="P628" s="129" t="n"/>
      <c r="Q628" s="129" t="n"/>
      <c r="R628" s="129" t="n"/>
      <c r="S628" s="129" t="n"/>
      <c r="T628" s="129" t="n"/>
      <c r="U628" s="129" t="n"/>
      <c r="V628" s="129" t="n"/>
      <c r="W628" s="129" t="n"/>
      <c r="X628" s="129" t="n"/>
      <c r="Y628" s="708" t="n"/>
      <c r="Z628" s="709" t="n"/>
      <c r="AA628" s="710" t="n"/>
      <c r="AB628" s="590" t="n"/>
      <c r="AC628" s="591" t="n"/>
      <c r="AD628" s="592" t="n"/>
      <c r="AE628" s="593" t="n"/>
      <c r="AF628" s="594" t="n"/>
      <c r="AG628" s="693" t="n"/>
      <c r="AH628" s="721" t="n"/>
      <c r="AI628" s="721" t="n"/>
      <c r="AJ628" s="688" t="n"/>
      <c r="AK628" s="689" t="n"/>
      <c r="AL628" s="690" t="n"/>
      <c r="AM628" s="691" t="n"/>
      <c r="AN628" s="692" t="n"/>
      <c r="AO628" s="693" t="n"/>
      <c r="AP628" s="693" t="n"/>
      <c r="AQ628" s="693" t="n"/>
      <c r="AR628" s="693" t="n"/>
      <c r="AS628" s="693" t="n"/>
      <c r="AT628" s="693" t="n"/>
      <c r="AU628" s="699" t="n"/>
      <c r="AV628" s="693" t="n"/>
      <c r="AW628" s="693" t="n"/>
      <c r="AX628" s="693" t="n"/>
      <c r="AY628" s="693" t="n"/>
      <c r="AZ628" s="693" t="n"/>
    </row>
    <row r="629">
      <c r="A629" s="688" t="n"/>
      <c r="B629" s="688" t="n"/>
      <c r="C629" s="473" t="n"/>
      <c r="D629" s="688" t="n"/>
      <c r="E629" s="689" t="n"/>
      <c r="F629" s="721" t="n"/>
      <c r="G6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29" s="474">
        <f>G629/#REF!</f>
        <v/>
      </c>
      <c r="I629" s="690" t="n"/>
      <c r="J6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29" s="474">
        <f>J629/#REF!</f>
        <v/>
      </c>
      <c r="L629" s="473" t="n"/>
      <c r="M629" s="692" t="n"/>
      <c r="N629" s="693" t="n"/>
      <c r="O629" s="78" t="n"/>
      <c r="P629" s="129" t="n"/>
      <c r="Q629" s="129" t="n"/>
      <c r="R629" s="129" t="n"/>
      <c r="S629" s="129" t="n"/>
      <c r="T629" s="129" t="n"/>
      <c r="U629" s="129" t="n"/>
      <c r="V629" s="129" t="n"/>
      <c r="W629" s="129" t="n"/>
      <c r="X629" s="129" t="n"/>
      <c r="Y629" s="703" t="n"/>
      <c r="Z629" s="704" t="n"/>
      <c r="AA629" s="705" t="n"/>
      <c r="AB629" s="613" t="n"/>
      <c r="AC629" s="614" t="n"/>
      <c r="AD629" s="628" t="n"/>
      <c r="AE629" s="616" t="n"/>
      <c r="AF629" s="617" t="n"/>
      <c r="AG629" s="693" t="n"/>
      <c r="AH629" s="721" t="n"/>
      <c r="AI629" s="721" t="n"/>
      <c r="AJ629" s="688" t="n"/>
      <c r="AK629" s="689" t="n"/>
      <c r="AL629" s="690" t="n"/>
      <c r="AM629" s="691" t="n"/>
      <c r="AN629" s="692" t="n"/>
      <c r="AO629" s="693" t="n"/>
      <c r="AP629" s="693" t="n"/>
      <c r="AQ629" s="693" t="n"/>
      <c r="AR629" s="693" t="n"/>
      <c r="AS629" s="693" t="n"/>
      <c r="AT629" s="693" t="n"/>
      <c r="AU629" s="699" t="n"/>
      <c r="AV629" s="693" t="n"/>
      <c r="AW629" s="693" t="n"/>
      <c r="AX629" s="693" t="n"/>
      <c r="AY629" s="693" t="n"/>
      <c r="AZ629" s="693" t="n"/>
    </row>
    <row r="630">
      <c r="A630" s="688" t="n"/>
      <c r="B630" s="688" t="n"/>
      <c r="C630" s="473" t="n"/>
      <c r="D630" s="688" t="n"/>
      <c r="E630" s="689" t="n"/>
      <c r="F630" s="721" t="n"/>
      <c r="G6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0" s="474">
        <f>G630/#REF!</f>
        <v/>
      </c>
      <c r="I630" s="690" t="n"/>
      <c r="J6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0" s="474">
        <f>J630/#REF!</f>
        <v/>
      </c>
      <c r="L630" s="473" t="n"/>
      <c r="M630" s="692" t="n"/>
      <c r="N630" s="693" t="n"/>
      <c r="O630" s="78" t="n"/>
      <c r="P630" s="129" t="n"/>
      <c r="Q630" s="129" t="n"/>
      <c r="R630" s="129" t="n"/>
      <c r="S630" s="129" t="n"/>
      <c r="T630" s="129" t="n"/>
      <c r="U630" s="129" t="n"/>
      <c r="V630" s="129" t="n"/>
      <c r="W630" s="129" t="n"/>
      <c r="X630" s="129" t="n"/>
      <c r="Y630" s="708" t="n"/>
      <c r="Z630" s="709" t="n"/>
      <c r="AA630" s="710" t="n"/>
      <c r="AB630" s="590" t="n"/>
      <c r="AC630" s="591" t="n"/>
      <c r="AD630" s="592" t="n"/>
      <c r="AE630" s="593" t="n"/>
      <c r="AF630" s="594" t="n"/>
      <c r="AG630" s="693" t="n"/>
      <c r="AH630" s="721" t="n"/>
      <c r="AI630" s="721" t="n"/>
      <c r="AJ630" s="688" t="n"/>
      <c r="AK630" s="689" t="n"/>
      <c r="AL630" s="690" t="n"/>
      <c r="AM630" s="691" t="n"/>
      <c r="AN630" s="692" t="n"/>
      <c r="AO630" s="693" t="n"/>
      <c r="AP630" s="693" t="n"/>
      <c r="AQ630" s="693" t="n"/>
      <c r="AR630" s="693" t="n"/>
      <c r="AS630" s="693" t="n"/>
      <c r="AT630" s="693" t="n"/>
      <c r="AU630" s="699" t="n"/>
      <c r="AV630" s="693" t="n"/>
      <c r="AW630" s="693" t="n"/>
      <c r="AX630" s="693" t="n"/>
      <c r="AY630" s="693" t="n"/>
      <c r="AZ630" s="693" t="n"/>
    </row>
    <row r="631">
      <c r="A631" s="688" t="n"/>
      <c r="B631" s="688" t="n"/>
      <c r="C631" s="473" t="n"/>
      <c r="D631" s="688" t="n"/>
      <c r="E631" s="689" t="n"/>
      <c r="F631" s="721" t="n"/>
      <c r="G6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1" s="474">
        <f>G631/#REF!</f>
        <v/>
      </c>
      <c r="I631" s="690" t="n"/>
      <c r="J6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1" s="474">
        <f>J631/#REF!</f>
        <v/>
      </c>
      <c r="L631" s="473" t="n"/>
      <c r="M631" s="692" t="n"/>
      <c r="N631" s="693" t="n"/>
      <c r="O631" s="78" t="n"/>
      <c r="P631" s="129" t="n"/>
      <c r="Q631" s="129" t="n"/>
      <c r="R631" s="129" t="n"/>
      <c r="S631" s="129" t="n"/>
      <c r="T631" s="129" t="n"/>
      <c r="U631" s="129" t="n"/>
      <c r="V631" s="129" t="n"/>
      <c r="W631" s="129" t="n"/>
      <c r="X631" s="129" t="n"/>
      <c r="Y631" s="703" t="n"/>
      <c r="Z631" s="704" t="n"/>
      <c r="AA631" s="705" t="n"/>
      <c r="AB631" s="613" t="n"/>
      <c r="AC631" s="614" t="n"/>
      <c r="AD631" s="628" t="n"/>
      <c r="AE631" s="616" t="n"/>
      <c r="AF631" s="617" t="n"/>
      <c r="AG631" s="693" t="n"/>
      <c r="AH631" s="721" t="n"/>
      <c r="AI631" s="721" t="n"/>
      <c r="AJ631" s="688" t="n"/>
      <c r="AK631" s="689" t="n"/>
      <c r="AL631" s="690" t="n"/>
      <c r="AM631" s="691" t="n"/>
      <c r="AN631" s="692" t="n"/>
      <c r="AO631" s="693" t="n"/>
      <c r="AP631" s="693" t="n"/>
      <c r="AQ631" s="693" t="n"/>
      <c r="AR631" s="693" t="n"/>
      <c r="AS631" s="693" t="n"/>
      <c r="AT631" s="693" t="n"/>
      <c r="AU631" s="699" t="n"/>
      <c r="AV631" s="693" t="n"/>
      <c r="AW631" s="693" t="n"/>
      <c r="AX631" s="693" t="n"/>
      <c r="AY631" s="693" t="n"/>
      <c r="AZ631" s="693" t="n"/>
    </row>
    <row r="632">
      <c r="A632" s="688" t="n"/>
      <c r="B632" s="688" t="n"/>
      <c r="C632" s="473" t="n"/>
      <c r="D632" s="688" t="n"/>
      <c r="E632" s="689" t="n"/>
      <c r="F632" s="721" t="n"/>
      <c r="G6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2" s="474">
        <f>G632/#REF!</f>
        <v/>
      </c>
      <c r="I632" s="690" t="n"/>
      <c r="J6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2" s="474">
        <f>J632/#REF!</f>
        <v/>
      </c>
      <c r="L632" s="473" t="n"/>
      <c r="M632" s="692" t="n"/>
      <c r="N632" s="693" t="n"/>
      <c r="O632" s="78" t="n"/>
      <c r="P632" s="129" t="n"/>
      <c r="Q632" s="129" t="n"/>
      <c r="R632" s="129" t="n"/>
      <c r="S632" s="129" t="n"/>
      <c r="T632" s="129" t="n"/>
      <c r="U632" s="129" t="n"/>
      <c r="V632" s="129" t="n"/>
      <c r="W632" s="129" t="n"/>
      <c r="X632" s="129" t="n"/>
      <c r="Y632" s="708" t="n"/>
      <c r="Z632" s="709" t="n"/>
      <c r="AA632" s="710" t="n"/>
      <c r="AB632" s="590" t="n"/>
      <c r="AC632" s="591" t="n"/>
      <c r="AD632" s="592" t="n"/>
      <c r="AE632" s="593" t="n"/>
      <c r="AF632" s="594" t="n"/>
      <c r="AG632" s="693" t="n"/>
      <c r="AH632" s="721" t="n"/>
      <c r="AI632" s="721" t="n"/>
      <c r="AJ632" s="688" t="n"/>
      <c r="AK632" s="689" t="n"/>
      <c r="AL632" s="690" t="n"/>
      <c r="AM632" s="691" t="n"/>
      <c r="AN632" s="692" t="n"/>
      <c r="AO632" s="693" t="n"/>
      <c r="AP632" s="693" t="n"/>
      <c r="AQ632" s="693" t="n"/>
      <c r="AR632" s="693" t="n"/>
      <c r="AS632" s="693" t="n"/>
      <c r="AT632" s="693" t="n"/>
      <c r="AU632" s="699" t="n"/>
      <c r="AV632" s="693" t="n"/>
      <c r="AW632" s="693" t="n"/>
      <c r="AX632" s="693" t="n"/>
      <c r="AY632" s="693" t="n"/>
      <c r="AZ632" s="693" t="n"/>
    </row>
    <row r="633">
      <c r="A633" s="688" t="n"/>
      <c r="B633" s="688" t="n"/>
      <c r="C633" s="473" t="n"/>
      <c r="D633" s="688" t="n"/>
      <c r="E633" s="689" t="n"/>
      <c r="F633" s="721" t="n"/>
      <c r="G6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3" s="474">
        <f>G633/#REF!</f>
        <v/>
      </c>
      <c r="I633" s="690" t="n"/>
      <c r="J6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3" s="474">
        <f>J633/#REF!</f>
        <v/>
      </c>
      <c r="L633" s="473" t="n"/>
      <c r="M633" s="692" t="n"/>
      <c r="N633" s="693" t="n"/>
      <c r="O633" s="78" t="n"/>
      <c r="P633" s="129" t="n"/>
      <c r="Q633" s="129" t="n"/>
      <c r="R633" s="129" t="n"/>
      <c r="S633" s="129" t="n"/>
      <c r="T633" s="129" t="n"/>
      <c r="U633" s="129" t="n"/>
      <c r="V633" s="129" t="n"/>
      <c r="W633" s="129" t="n"/>
      <c r="X633" s="129" t="n"/>
      <c r="Y633" s="703" t="n"/>
      <c r="Z633" s="704" t="n"/>
      <c r="AA633" s="705" t="n"/>
      <c r="AB633" s="613" t="n"/>
      <c r="AC633" s="614" t="n"/>
      <c r="AD633" s="628" t="n"/>
      <c r="AE633" s="616" t="n"/>
      <c r="AF633" s="617" t="n"/>
      <c r="AG633" s="693" t="n"/>
      <c r="AH633" s="721" t="n"/>
      <c r="AI633" s="721" t="n"/>
      <c r="AJ633" s="688" t="n"/>
      <c r="AK633" s="689" t="n"/>
      <c r="AL633" s="690" t="n"/>
      <c r="AM633" s="691" t="n"/>
      <c r="AN633" s="692" t="n"/>
      <c r="AO633" s="693" t="n"/>
      <c r="AP633" s="693" t="n"/>
      <c r="AQ633" s="693" t="n"/>
      <c r="AR633" s="693" t="n"/>
      <c r="AS633" s="693" t="n"/>
      <c r="AT633" s="693" t="n"/>
      <c r="AU633" s="699" t="n"/>
      <c r="AV633" s="693" t="n"/>
      <c r="AW633" s="693" t="n"/>
      <c r="AX633" s="693" t="n"/>
      <c r="AY633" s="693" t="n"/>
      <c r="AZ633" s="693" t="n"/>
    </row>
    <row r="634">
      <c r="A634" s="688" t="n"/>
      <c r="B634" s="688" t="n"/>
      <c r="C634" s="473" t="n"/>
      <c r="D634" s="688" t="n"/>
      <c r="E634" s="689" t="n"/>
      <c r="F634" s="721" t="n"/>
      <c r="G6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4" s="474">
        <f>G634/#REF!</f>
        <v/>
      </c>
      <c r="I634" s="690" t="n"/>
      <c r="J6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4" s="474">
        <f>J634/#REF!</f>
        <v/>
      </c>
      <c r="L634" s="473" t="n"/>
      <c r="M634" s="692" t="n"/>
      <c r="N634" s="693" t="n"/>
      <c r="O634" s="78" t="n"/>
      <c r="P634" s="129" t="n"/>
      <c r="Q634" s="129" t="n"/>
      <c r="R634" s="129" t="n"/>
      <c r="S634" s="129" t="n"/>
      <c r="T634" s="129" t="n"/>
      <c r="U634" s="129" t="n"/>
      <c r="V634" s="129" t="n"/>
      <c r="W634" s="129" t="n"/>
      <c r="X634" s="129" t="n"/>
      <c r="Y634" s="708" t="n"/>
      <c r="Z634" s="709" t="n"/>
      <c r="AA634" s="710" t="n"/>
      <c r="AB634" s="590" t="n"/>
      <c r="AC634" s="591" t="n"/>
      <c r="AD634" s="592" t="n"/>
      <c r="AE634" s="593" t="n"/>
      <c r="AF634" s="594" t="n"/>
      <c r="AG634" s="693" t="n"/>
      <c r="AH634" s="721" t="n"/>
      <c r="AI634" s="721" t="n"/>
      <c r="AJ634" s="688" t="n"/>
      <c r="AK634" s="689" t="n"/>
      <c r="AL634" s="690" t="n"/>
      <c r="AM634" s="691" t="n"/>
      <c r="AN634" s="692" t="n"/>
      <c r="AO634" s="693" t="n"/>
      <c r="AP634" s="693" t="n"/>
      <c r="AQ634" s="693" t="n"/>
      <c r="AR634" s="693" t="n"/>
      <c r="AS634" s="693" t="n"/>
      <c r="AT634" s="693" t="n"/>
      <c r="AU634" s="699" t="n"/>
      <c r="AV634" s="693" t="n"/>
      <c r="AW634" s="693" t="n"/>
      <c r="AX634" s="693" t="n"/>
      <c r="AY634" s="693" t="n"/>
      <c r="AZ634" s="693" t="n"/>
    </row>
    <row r="635">
      <c r="A635" s="688" t="n"/>
      <c r="B635" s="688" t="n"/>
      <c r="C635" s="473" t="n"/>
      <c r="D635" s="688" t="n"/>
      <c r="E635" s="689" t="n"/>
      <c r="F635" s="721" t="n"/>
      <c r="G6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5" s="474">
        <f>G635/#REF!</f>
        <v/>
      </c>
      <c r="I635" s="690" t="n"/>
      <c r="J6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5" s="474">
        <f>J635/#REF!</f>
        <v/>
      </c>
      <c r="L635" s="473" t="n"/>
      <c r="M635" s="692" t="n"/>
      <c r="N635" s="693" t="n"/>
      <c r="O635" s="78" t="n"/>
      <c r="P635" s="129" t="n"/>
      <c r="Q635" s="129" t="n"/>
      <c r="R635" s="129" t="n"/>
      <c r="S635" s="129" t="n"/>
      <c r="T635" s="129" t="n"/>
      <c r="U635" s="129" t="n"/>
      <c r="V635" s="129" t="n"/>
      <c r="W635" s="129" t="n"/>
      <c r="X635" s="129" t="n"/>
      <c r="Y635" s="703" t="n"/>
      <c r="Z635" s="704" t="n"/>
      <c r="AA635" s="705" t="n"/>
      <c r="AB635" s="613" t="n"/>
      <c r="AC635" s="614" t="n"/>
      <c r="AD635" s="628" t="n"/>
      <c r="AE635" s="616" t="n"/>
      <c r="AF635" s="617" t="n"/>
      <c r="AG635" s="693" t="n"/>
      <c r="AH635" s="721" t="n"/>
      <c r="AI635" s="721" t="n"/>
      <c r="AJ635" s="688" t="n"/>
      <c r="AK635" s="689" t="n"/>
      <c r="AL635" s="690" t="n"/>
      <c r="AM635" s="691" t="n"/>
      <c r="AN635" s="692" t="n"/>
      <c r="AO635" s="693" t="n"/>
      <c r="AP635" s="693" t="n"/>
      <c r="AQ635" s="693" t="n"/>
      <c r="AR635" s="693" t="n"/>
      <c r="AS635" s="693" t="n"/>
      <c r="AT635" s="693" t="n"/>
      <c r="AU635" s="699" t="n"/>
      <c r="AV635" s="693" t="n"/>
      <c r="AW635" s="693" t="n"/>
      <c r="AX635" s="693" t="n"/>
      <c r="AY635" s="693" t="n"/>
      <c r="AZ635" s="693" t="n"/>
    </row>
    <row r="636">
      <c r="A636" s="688" t="n"/>
      <c r="B636" s="688" t="n"/>
      <c r="C636" s="473" t="n"/>
      <c r="D636" s="688" t="n"/>
      <c r="E636" s="689" t="n"/>
      <c r="F636" s="721" t="n"/>
      <c r="G6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6" s="474">
        <f>G636/#REF!</f>
        <v/>
      </c>
      <c r="I636" s="690" t="n"/>
      <c r="J6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6" s="474">
        <f>J636/#REF!</f>
        <v/>
      </c>
      <c r="L636" s="473" t="n"/>
      <c r="M636" s="692" t="n"/>
      <c r="N636" s="693" t="n"/>
      <c r="O636" s="78" t="n"/>
      <c r="P636" s="129" t="n"/>
      <c r="Q636" s="129" t="n"/>
      <c r="R636" s="129" t="n"/>
      <c r="S636" s="129" t="n"/>
      <c r="T636" s="129" t="n"/>
      <c r="U636" s="129" t="n"/>
      <c r="V636" s="129" t="n"/>
      <c r="W636" s="129" t="n"/>
      <c r="X636" s="129" t="n"/>
      <c r="Y636" s="708" t="n"/>
      <c r="Z636" s="709" t="n"/>
      <c r="AA636" s="710" t="n"/>
      <c r="AB636" s="590" t="n"/>
      <c r="AC636" s="591" t="n"/>
      <c r="AD636" s="592" t="n"/>
      <c r="AE636" s="593" t="n"/>
      <c r="AF636" s="594" t="n"/>
      <c r="AG636" s="693" t="n"/>
      <c r="AH636" s="721" t="n"/>
      <c r="AI636" s="721" t="n"/>
      <c r="AJ636" s="688" t="n"/>
      <c r="AK636" s="689" t="n"/>
      <c r="AL636" s="690" t="n"/>
      <c r="AM636" s="691" t="n"/>
      <c r="AN636" s="692" t="n"/>
      <c r="AO636" s="693" t="n"/>
      <c r="AP636" s="693" t="n"/>
      <c r="AQ636" s="693" t="n"/>
      <c r="AR636" s="693" t="n"/>
      <c r="AS636" s="693" t="n"/>
      <c r="AT636" s="693" t="n"/>
      <c r="AU636" s="699" t="n"/>
      <c r="AV636" s="693" t="n"/>
      <c r="AW636" s="693" t="n"/>
      <c r="AX636" s="693" t="n"/>
      <c r="AY636" s="693" t="n"/>
      <c r="AZ636" s="693" t="n"/>
    </row>
    <row r="637">
      <c r="A637" s="688" t="n"/>
      <c r="B637" s="688" t="n"/>
      <c r="C637" s="473" t="n"/>
      <c r="D637" s="688" t="n"/>
      <c r="E637" s="689" t="n"/>
      <c r="F637" s="721" t="n"/>
      <c r="G6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7" s="474">
        <f>G637/#REF!</f>
        <v/>
      </c>
      <c r="I637" s="690" t="n"/>
      <c r="J6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7" s="474">
        <f>J637/#REF!</f>
        <v/>
      </c>
      <c r="L637" s="473" t="n"/>
      <c r="M637" s="692" t="n"/>
      <c r="N637" s="693" t="n"/>
      <c r="O637" s="78" t="n"/>
      <c r="P637" s="129" t="n"/>
      <c r="Q637" s="129" t="n"/>
      <c r="R637" s="129" t="n"/>
      <c r="S637" s="129" t="n"/>
      <c r="T637" s="129" t="n"/>
      <c r="U637" s="129" t="n"/>
      <c r="V637" s="129" t="n"/>
      <c r="W637" s="129" t="n"/>
      <c r="X637" s="129" t="n"/>
      <c r="Y637" s="703" t="n"/>
      <c r="Z637" s="704" t="n"/>
      <c r="AA637" s="705" t="n"/>
      <c r="AB637" s="613" t="n"/>
      <c r="AC637" s="614" t="n"/>
      <c r="AD637" s="628" t="n"/>
      <c r="AE637" s="616" t="n"/>
      <c r="AF637" s="617" t="n"/>
      <c r="AG637" s="693" t="n"/>
      <c r="AH637" s="721" t="n"/>
      <c r="AI637" s="721" t="n"/>
      <c r="AJ637" s="688" t="n"/>
      <c r="AK637" s="689" t="n"/>
      <c r="AL637" s="690" t="n"/>
      <c r="AM637" s="691" t="n"/>
      <c r="AN637" s="692" t="n"/>
      <c r="AO637" s="693" t="n"/>
      <c r="AP637" s="693" t="n"/>
      <c r="AQ637" s="693" t="n"/>
      <c r="AR637" s="693" t="n"/>
      <c r="AS637" s="693" t="n"/>
      <c r="AT637" s="693" t="n"/>
      <c r="AU637" s="699" t="n"/>
      <c r="AV637" s="693" t="n"/>
      <c r="AW637" s="693" t="n"/>
      <c r="AX637" s="693" t="n"/>
      <c r="AY637" s="693" t="n"/>
      <c r="AZ637" s="693" t="n"/>
    </row>
    <row r="638">
      <c r="A638" s="688" t="n"/>
      <c r="B638" s="688" t="n"/>
      <c r="C638" s="473" t="n"/>
      <c r="D638" s="688" t="n"/>
      <c r="E638" s="689" t="n"/>
      <c r="F638" s="721" t="n"/>
      <c r="G6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8" s="474">
        <f>G638/#REF!</f>
        <v/>
      </c>
      <c r="I638" s="690" t="n"/>
      <c r="J6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8" s="474">
        <f>J638/#REF!</f>
        <v/>
      </c>
      <c r="L638" s="473" t="n"/>
      <c r="M638" s="692" t="n"/>
      <c r="N638" s="693" t="n"/>
      <c r="O638" s="78" t="n"/>
      <c r="P638" s="129" t="n"/>
      <c r="Q638" s="129" t="n"/>
      <c r="R638" s="129" t="n"/>
      <c r="S638" s="129" t="n"/>
      <c r="T638" s="129" t="n"/>
      <c r="U638" s="129" t="n"/>
      <c r="V638" s="129" t="n"/>
      <c r="W638" s="129" t="n"/>
      <c r="X638" s="129" t="n"/>
      <c r="Y638" s="708" t="n"/>
      <c r="Z638" s="709" t="n"/>
      <c r="AA638" s="710" t="n"/>
      <c r="AB638" s="590" t="n"/>
      <c r="AC638" s="591" t="n"/>
      <c r="AD638" s="592" t="n"/>
      <c r="AE638" s="593" t="n"/>
      <c r="AF638" s="594" t="n"/>
      <c r="AG638" s="693" t="n"/>
      <c r="AH638" s="721" t="n"/>
      <c r="AI638" s="721" t="n"/>
      <c r="AJ638" s="688" t="n"/>
      <c r="AK638" s="689" t="n"/>
      <c r="AL638" s="690" t="n"/>
      <c r="AM638" s="691" t="n"/>
      <c r="AN638" s="692" t="n"/>
      <c r="AO638" s="693" t="n"/>
      <c r="AP638" s="693" t="n"/>
      <c r="AQ638" s="693" t="n"/>
      <c r="AR638" s="693" t="n"/>
      <c r="AS638" s="693" t="n"/>
      <c r="AT638" s="693" t="n"/>
      <c r="AU638" s="699" t="n"/>
      <c r="AV638" s="693" t="n"/>
      <c r="AW638" s="693" t="n"/>
      <c r="AX638" s="693" t="n"/>
      <c r="AY638" s="693" t="n"/>
      <c r="AZ638" s="693" t="n"/>
    </row>
    <row r="639">
      <c r="A639" s="688" t="n"/>
      <c r="B639" s="688" t="n"/>
      <c r="C639" s="473" t="n"/>
      <c r="D639" s="688" t="n"/>
      <c r="E639" s="689" t="n"/>
      <c r="F639" s="721" t="n"/>
      <c r="G6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39" s="474">
        <f>G639/#REF!</f>
        <v/>
      </c>
      <c r="I639" s="690" t="n"/>
      <c r="J6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39" s="474">
        <f>J639/#REF!</f>
        <v/>
      </c>
      <c r="L639" s="473" t="n"/>
      <c r="M639" s="692" t="n"/>
      <c r="N639" s="693" t="n"/>
      <c r="O639" s="78" t="n"/>
      <c r="P639" s="129" t="n"/>
      <c r="Q639" s="129" t="n"/>
      <c r="R639" s="129" t="n"/>
      <c r="S639" s="129" t="n"/>
      <c r="T639" s="129" t="n"/>
      <c r="U639" s="129" t="n"/>
      <c r="V639" s="129" t="n"/>
      <c r="W639" s="129" t="n"/>
      <c r="X639" s="129" t="n"/>
      <c r="Y639" s="703" t="n"/>
      <c r="Z639" s="704" t="n"/>
      <c r="AA639" s="705" t="n"/>
      <c r="AB639" s="613" t="n"/>
      <c r="AC639" s="614" t="n"/>
      <c r="AD639" s="628" t="n"/>
      <c r="AE639" s="616" t="n"/>
      <c r="AF639" s="617" t="n"/>
      <c r="AG639" s="693" t="n"/>
      <c r="AH639" s="721" t="n"/>
      <c r="AI639" s="721" t="n"/>
      <c r="AJ639" s="688" t="n"/>
      <c r="AK639" s="689" t="n"/>
      <c r="AL639" s="690" t="n"/>
      <c r="AM639" s="691" t="n"/>
      <c r="AN639" s="692" t="n"/>
      <c r="AO639" s="693" t="n"/>
      <c r="AP639" s="693" t="n"/>
      <c r="AQ639" s="693" t="n"/>
      <c r="AR639" s="693" t="n"/>
      <c r="AS639" s="693" t="n"/>
      <c r="AT639" s="693" t="n"/>
      <c r="AU639" s="699" t="n"/>
      <c r="AV639" s="693" t="n"/>
      <c r="AW639" s="693" t="n"/>
      <c r="AX639" s="693" t="n"/>
      <c r="AY639" s="693" t="n"/>
      <c r="AZ639" s="693" t="n"/>
    </row>
    <row r="640">
      <c r="A640" s="688" t="n"/>
      <c r="B640" s="688" t="n"/>
      <c r="C640" s="473" t="n"/>
      <c r="D640" s="688" t="n"/>
      <c r="E640" s="689" t="n"/>
      <c r="F640" s="721" t="n"/>
      <c r="G6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0" s="474">
        <f>G640/#REF!</f>
        <v/>
      </c>
      <c r="I640" s="690" t="n"/>
      <c r="J6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0" s="474">
        <f>J640/#REF!</f>
        <v/>
      </c>
      <c r="L640" s="473" t="n"/>
      <c r="M640" s="692" t="n"/>
      <c r="N640" s="693" t="n"/>
      <c r="O640" s="78" t="n"/>
      <c r="P640" s="129" t="n"/>
      <c r="Q640" s="129" t="n"/>
      <c r="R640" s="129" t="n"/>
      <c r="S640" s="129" t="n"/>
      <c r="T640" s="129" t="n"/>
      <c r="U640" s="129" t="n"/>
      <c r="V640" s="129" t="n"/>
      <c r="W640" s="129" t="n"/>
      <c r="X640" s="129" t="n"/>
      <c r="Y640" s="708" t="n"/>
      <c r="Z640" s="709" t="n"/>
      <c r="AA640" s="710" t="n"/>
      <c r="AB640" s="590" t="n"/>
      <c r="AC640" s="591" t="n"/>
      <c r="AD640" s="592" t="n"/>
      <c r="AE640" s="593" t="n"/>
      <c r="AF640" s="594" t="n"/>
      <c r="AG640" s="693" t="n"/>
      <c r="AH640" s="721" t="n"/>
      <c r="AI640" s="721" t="n"/>
      <c r="AJ640" s="688" t="n"/>
      <c r="AK640" s="689" t="n"/>
      <c r="AL640" s="690" t="n"/>
      <c r="AM640" s="691" t="n"/>
      <c r="AN640" s="692" t="n"/>
      <c r="AO640" s="693" t="n"/>
      <c r="AP640" s="693" t="n"/>
      <c r="AQ640" s="693" t="n"/>
      <c r="AR640" s="693" t="n"/>
      <c r="AS640" s="693" t="n"/>
      <c r="AT640" s="693" t="n"/>
      <c r="AU640" s="699" t="n"/>
      <c r="AV640" s="693" t="n"/>
      <c r="AW640" s="693" t="n"/>
      <c r="AX640" s="693" t="n"/>
      <c r="AY640" s="693" t="n"/>
      <c r="AZ640" s="693" t="n"/>
    </row>
    <row r="641">
      <c r="A641" s="688" t="n"/>
      <c r="B641" s="688" t="n"/>
      <c r="C641" s="473" t="n"/>
      <c r="D641" s="688" t="n"/>
      <c r="E641" s="689" t="n"/>
      <c r="F641" s="721" t="n"/>
      <c r="G6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1" s="474">
        <f>G641/#REF!</f>
        <v/>
      </c>
      <c r="I641" s="690" t="n"/>
      <c r="J6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1" s="474">
        <f>J641/#REF!</f>
        <v/>
      </c>
      <c r="L641" s="473" t="n"/>
      <c r="M641" s="692" t="n"/>
      <c r="N641" s="693" t="n"/>
      <c r="O641" s="78" t="n"/>
      <c r="P641" s="129" t="n"/>
      <c r="Q641" s="129" t="n"/>
      <c r="R641" s="129" t="n"/>
      <c r="S641" s="129" t="n"/>
      <c r="T641" s="129" t="n"/>
      <c r="U641" s="129" t="n"/>
      <c r="V641" s="129" t="n"/>
      <c r="W641" s="129" t="n"/>
      <c r="X641" s="129" t="n"/>
      <c r="Y641" s="703" t="n"/>
      <c r="Z641" s="704" t="n"/>
      <c r="AA641" s="705" t="n"/>
      <c r="AB641" s="613" t="n"/>
      <c r="AC641" s="614" t="n"/>
      <c r="AD641" s="628" t="n"/>
      <c r="AE641" s="616" t="n"/>
      <c r="AF641" s="617" t="n"/>
      <c r="AG641" s="693" t="n"/>
      <c r="AH641" s="721" t="n"/>
      <c r="AI641" s="721" t="n"/>
      <c r="AJ641" s="688" t="n"/>
      <c r="AK641" s="689" t="n"/>
      <c r="AL641" s="690" t="n"/>
      <c r="AM641" s="691" t="n"/>
      <c r="AN641" s="692" t="n"/>
      <c r="AO641" s="693" t="n"/>
      <c r="AP641" s="693" t="n"/>
      <c r="AQ641" s="693" t="n"/>
      <c r="AR641" s="693" t="n"/>
      <c r="AS641" s="693" t="n"/>
      <c r="AT641" s="693" t="n"/>
      <c r="AU641" s="699" t="n"/>
      <c r="AV641" s="693" t="n"/>
      <c r="AW641" s="693" t="n"/>
      <c r="AX641" s="693" t="n"/>
      <c r="AY641" s="693" t="n"/>
      <c r="AZ641" s="693" t="n"/>
    </row>
    <row r="642">
      <c r="A642" s="688" t="n"/>
      <c r="B642" s="688" t="n"/>
      <c r="C642" s="473" t="n"/>
      <c r="D642" s="688" t="n"/>
      <c r="E642" s="689" t="n"/>
      <c r="F642" s="721" t="n"/>
      <c r="G6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2" s="474">
        <f>G642/#REF!</f>
        <v/>
      </c>
      <c r="I642" s="690" t="n"/>
      <c r="J6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2" s="474">
        <f>J642/#REF!</f>
        <v/>
      </c>
      <c r="L642" s="473" t="n"/>
      <c r="M642" s="692" t="n"/>
      <c r="N642" s="693" t="n"/>
      <c r="O642" s="78" t="n"/>
      <c r="P642" s="129" t="n"/>
      <c r="Q642" s="129" t="n"/>
      <c r="R642" s="129" t="n"/>
      <c r="S642" s="129" t="n"/>
      <c r="T642" s="129" t="n"/>
      <c r="U642" s="129" t="n"/>
      <c r="V642" s="129" t="n"/>
      <c r="W642" s="129" t="n"/>
      <c r="X642" s="129" t="n"/>
      <c r="Y642" s="708" t="n"/>
      <c r="Z642" s="709" t="n"/>
      <c r="AA642" s="710" t="n"/>
      <c r="AB642" s="590" t="n"/>
      <c r="AC642" s="591" t="n"/>
      <c r="AD642" s="592" t="n"/>
      <c r="AE642" s="593" t="n"/>
      <c r="AF642" s="594" t="n"/>
      <c r="AG642" s="693" t="n"/>
      <c r="AH642" s="721" t="n"/>
      <c r="AI642" s="721" t="n"/>
      <c r="AJ642" s="688" t="n"/>
      <c r="AK642" s="689" t="n"/>
      <c r="AL642" s="690" t="n"/>
      <c r="AM642" s="691" t="n"/>
      <c r="AN642" s="692" t="n"/>
      <c r="AO642" s="693" t="n"/>
      <c r="AP642" s="693" t="n"/>
      <c r="AQ642" s="693" t="n"/>
      <c r="AR642" s="693" t="n"/>
      <c r="AS642" s="693" t="n"/>
      <c r="AT642" s="693" t="n"/>
      <c r="AU642" s="699" t="n"/>
      <c r="AV642" s="693" t="n"/>
      <c r="AW642" s="693" t="n"/>
      <c r="AX642" s="693" t="n"/>
      <c r="AY642" s="693" t="n"/>
      <c r="AZ642" s="693" t="n"/>
    </row>
    <row r="643">
      <c r="A643" s="688" t="n"/>
      <c r="B643" s="688" t="n"/>
      <c r="C643" s="473" t="n"/>
      <c r="D643" s="688" t="n"/>
      <c r="E643" s="689" t="n"/>
      <c r="F643" s="721" t="n"/>
      <c r="G6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3" s="474">
        <f>G643/#REF!</f>
        <v/>
      </c>
      <c r="I643" s="690" t="n"/>
      <c r="J6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3" s="474">
        <f>J643/#REF!</f>
        <v/>
      </c>
      <c r="L643" s="473" t="n"/>
      <c r="M643" s="692" t="n"/>
      <c r="N643" s="693" t="n"/>
      <c r="O643" s="78" t="n"/>
      <c r="P643" s="129" t="n"/>
      <c r="Q643" s="129" t="n"/>
      <c r="R643" s="129" t="n"/>
      <c r="S643" s="129" t="n"/>
      <c r="T643" s="129" t="n"/>
      <c r="U643" s="129" t="n"/>
      <c r="V643" s="129" t="n"/>
      <c r="W643" s="129" t="n"/>
      <c r="X643" s="129" t="n"/>
      <c r="Y643" s="703" t="n"/>
      <c r="Z643" s="704" t="n"/>
      <c r="AA643" s="705" t="n"/>
      <c r="AB643" s="613" t="n"/>
      <c r="AC643" s="614" t="n"/>
      <c r="AD643" s="628" t="n"/>
      <c r="AE643" s="616" t="n"/>
      <c r="AF643" s="617" t="n"/>
      <c r="AG643" s="693" t="n"/>
      <c r="AH643" s="721" t="n"/>
      <c r="AI643" s="721" t="n"/>
      <c r="AJ643" s="688" t="n"/>
      <c r="AK643" s="689" t="n"/>
      <c r="AL643" s="690" t="n"/>
      <c r="AM643" s="691" t="n"/>
      <c r="AN643" s="692" t="n"/>
      <c r="AO643" s="693" t="n"/>
      <c r="AP643" s="693" t="n"/>
      <c r="AQ643" s="693" t="n"/>
      <c r="AR643" s="693" t="n"/>
      <c r="AS643" s="693" t="n"/>
      <c r="AT643" s="693" t="n"/>
      <c r="AU643" s="699" t="n"/>
      <c r="AV643" s="693" t="n"/>
      <c r="AW643" s="693" t="n"/>
      <c r="AX643" s="693" t="n"/>
      <c r="AY643" s="693" t="n"/>
      <c r="AZ643" s="693" t="n"/>
    </row>
    <row r="644">
      <c r="A644" s="688" t="n"/>
      <c r="B644" s="688" t="n"/>
      <c r="C644" s="473" t="n"/>
      <c r="D644" s="688" t="n"/>
      <c r="E644" s="689" t="n"/>
      <c r="F644" s="721" t="n"/>
      <c r="G6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4" s="474">
        <f>G644/#REF!</f>
        <v/>
      </c>
      <c r="I644" s="690" t="n"/>
      <c r="J6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4" s="474">
        <f>J644/#REF!</f>
        <v/>
      </c>
      <c r="L644" s="473" t="n"/>
      <c r="M644" s="692" t="n"/>
      <c r="N644" s="693" t="n"/>
      <c r="O644" s="78" t="n"/>
      <c r="P644" s="129" t="n"/>
      <c r="Q644" s="129" t="n"/>
      <c r="R644" s="129" t="n"/>
      <c r="S644" s="129" t="n"/>
      <c r="T644" s="129" t="n"/>
      <c r="U644" s="129" t="n"/>
      <c r="V644" s="129" t="n"/>
      <c r="W644" s="129" t="n"/>
      <c r="X644" s="129" t="n"/>
      <c r="Y644" s="708" t="n"/>
      <c r="Z644" s="709" t="n"/>
      <c r="AA644" s="710" t="n"/>
      <c r="AB644" s="590" t="n"/>
      <c r="AC644" s="591" t="n"/>
      <c r="AD644" s="592" t="n"/>
      <c r="AE644" s="593" t="n"/>
      <c r="AF644" s="594" t="n"/>
      <c r="AG644" s="693" t="n"/>
      <c r="AH644" s="721" t="n"/>
      <c r="AI644" s="721" t="n"/>
      <c r="AJ644" s="688" t="n"/>
      <c r="AK644" s="689" t="n"/>
      <c r="AL644" s="690" t="n"/>
      <c r="AM644" s="691" t="n"/>
      <c r="AN644" s="692" t="n"/>
      <c r="AO644" s="693" t="n"/>
      <c r="AP644" s="693" t="n"/>
      <c r="AQ644" s="693" t="n"/>
      <c r="AR644" s="693" t="n"/>
      <c r="AS644" s="693" t="n"/>
      <c r="AT644" s="693" t="n"/>
      <c r="AU644" s="699" t="n"/>
      <c r="AV644" s="693" t="n"/>
      <c r="AW644" s="693" t="n"/>
      <c r="AX644" s="693" t="n"/>
      <c r="AY644" s="693" t="n"/>
      <c r="AZ644" s="693" t="n"/>
    </row>
    <row r="645">
      <c r="A645" s="688" t="n"/>
      <c r="B645" s="688" t="n"/>
      <c r="C645" s="473" t="n"/>
      <c r="D645" s="688" t="n"/>
      <c r="E645" s="689" t="n"/>
      <c r="F645" s="721" t="n"/>
      <c r="G6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5" s="474">
        <f>G645/#REF!</f>
        <v/>
      </c>
      <c r="I645" s="690" t="n"/>
      <c r="J6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5" s="474">
        <f>J645/#REF!</f>
        <v/>
      </c>
      <c r="L645" s="473" t="n"/>
      <c r="M645" s="692" t="n"/>
      <c r="N645" s="693" t="n"/>
      <c r="O645" s="78" t="n"/>
      <c r="P645" s="129" t="n"/>
      <c r="Q645" s="129" t="n"/>
      <c r="R645" s="129" t="n"/>
      <c r="S645" s="129" t="n"/>
      <c r="T645" s="129" t="n"/>
      <c r="U645" s="129" t="n"/>
      <c r="V645" s="129" t="n"/>
      <c r="W645" s="129" t="n"/>
      <c r="X645" s="129" t="n"/>
      <c r="Y645" s="703" t="n"/>
      <c r="Z645" s="704" t="n"/>
      <c r="AA645" s="705" t="n"/>
      <c r="AB645" s="613" t="n"/>
      <c r="AC645" s="614" t="n"/>
      <c r="AD645" s="628" t="n"/>
      <c r="AE645" s="616" t="n"/>
      <c r="AF645" s="617" t="n"/>
      <c r="AG645" s="693" t="n"/>
      <c r="AH645" s="721" t="n"/>
      <c r="AI645" s="721" t="n"/>
      <c r="AJ645" s="688" t="n"/>
      <c r="AK645" s="689" t="n"/>
      <c r="AL645" s="690" t="n"/>
      <c r="AM645" s="691" t="n"/>
      <c r="AN645" s="692" t="n"/>
      <c r="AO645" s="693" t="n"/>
      <c r="AP645" s="693" t="n"/>
      <c r="AQ645" s="693" t="n"/>
      <c r="AR645" s="693" t="n"/>
      <c r="AS645" s="693" t="n"/>
      <c r="AT645" s="693" t="n"/>
      <c r="AU645" s="699" t="n"/>
      <c r="AV645" s="693" t="n"/>
      <c r="AW645" s="693" t="n"/>
      <c r="AX645" s="693" t="n"/>
      <c r="AY645" s="693" t="n"/>
      <c r="AZ645" s="693" t="n"/>
    </row>
    <row r="646">
      <c r="A646" s="688" t="n"/>
      <c r="B646" s="688" t="n"/>
      <c r="C646" s="473" t="n"/>
      <c r="D646" s="688" t="n"/>
      <c r="E646" s="689" t="n"/>
      <c r="F646" s="721" t="n"/>
      <c r="G6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6" s="474">
        <f>G646/#REF!</f>
        <v/>
      </c>
      <c r="I646" s="690" t="n"/>
      <c r="J6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6" s="474">
        <f>J646/#REF!</f>
        <v/>
      </c>
      <c r="L646" s="473" t="n"/>
      <c r="M646" s="692" t="n"/>
      <c r="N646" s="693" t="n"/>
      <c r="O646" s="78" t="n"/>
      <c r="P646" s="129" t="n"/>
      <c r="Q646" s="129" t="n"/>
      <c r="R646" s="129" t="n"/>
      <c r="S646" s="129" t="n"/>
      <c r="T646" s="129" t="n"/>
      <c r="U646" s="129" t="n"/>
      <c r="V646" s="129" t="n"/>
      <c r="W646" s="129" t="n"/>
      <c r="X646" s="129" t="n"/>
      <c r="Y646" s="708" t="n"/>
      <c r="Z646" s="709" t="n"/>
      <c r="AA646" s="710" t="n"/>
      <c r="AB646" s="590" t="n"/>
      <c r="AC646" s="591" t="n"/>
      <c r="AD646" s="592" t="n"/>
      <c r="AE646" s="593" t="n"/>
      <c r="AF646" s="594" t="n"/>
      <c r="AG646" s="693" t="n"/>
      <c r="AH646" s="721" t="n"/>
      <c r="AI646" s="721" t="n"/>
      <c r="AJ646" s="688" t="n"/>
      <c r="AK646" s="689" t="n"/>
      <c r="AL646" s="690" t="n"/>
      <c r="AM646" s="691" t="n"/>
      <c r="AN646" s="692" t="n"/>
      <c r="AO646" s="693" t="n"/>
      <c r="AP646" s="693" t="n"/>
      <c r="AQ646" s="693" t="n"/>
      <c r="AR646" s="693" t="n"/>
      <c r="AS646" s="693" t="n"/>
      <c r="AT646" s="693" t="n"/>
      <c r="AU646" s="699" t="n"/>
      <c r="AV646" s="693" t="n"/>
      <c r="AW646" s="693" t="n"/>
      <c r="AX646" s="693" t="n"/>
      <c r="AY646" s="693" t="n"/>
      <c r="AZ646" s="693" t="n"/>
    </row>
    <row r="647">
      <c r="A647" s="688" t="n"/>
      <c r="B647" s="688" t="n"/>
      <c r="C647" s="473" t="n"/>
      <c r="D647" s="688" t="n"/>
      <c r="E647" s="689" t="n"/>
      <c r="F647" s="721" t="n"/>
      <c r="G6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7" s="474">
        <f>G647/#REF!</f>
        <v/>
      </c>
      <c r="I647" s="690" t="n"/>
      <c r="J6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7" s="474">
        <f>J647/#REF!</f>
        <v/>
      </c>
      <c r="L647" s="473" t="n"/>
      <c r="M647" s="692" t="n"/>
      <c r="N647" s="693" t="n"/>
      <c r="O647" s="78" t="n"/>
      <c r="P647" s="129" t="n"/>
      <c r="Q647" s="129" t="n"/>
      <c r="R647" s="129" t="n"/>
      <c r="S647" s="129" t="n"/>
      <c r="T647" s="129" t="n"/>
      <c r="U647" s="129" t="n"/>
      <c r="V647" s="129" t="n"/>
      <c r="W647" s="129" t="n"/>
      <c r="X647" s="129" t="n"/>
      <c r="Y647" s="703" t="n"/>
      <c r="Z647" s="704" t="n"/>
      <c r="AA647" s="705" t="n"/>
      <c r="AB647" s="613" t="n"/>
      <c r="AC647" s="614" t="n"/>
      <c r="AD647" s="628" t="n"/>
      <c r="AE647" s="616" t="n"/>
      <c r="AF647" s="617" t="n"/>
      <c r="AG647" s="693" t="n"/>
      <c r="AH647" s="721" t="n"/>
      <c r="AI647" s="721" t="n"/>
      <c r="AJ647" s="688" t="n"/>
      <c r="AK647" s="689" t="n"/>
      <c r="AL647" s="690" t="n"/>
      <c r="AM647" s="691" t="n"/>
      <c r="AN647" s="692" t="n"/>
      <c r="AO647" s="693" t="n"/>
      <c r="AP647" s="693" t="n"/>
      <c r="AQ647" s="693" t="n"/>
      <c r="AR647" s="693" t="n"/>
      <c r="AS647" s="693" t="n"/>
      <c r="AT647" s="693" t="n"/>
      <c r="AU647" s="699" t="n"/>
      <c r="AV647" s="693" t="n"/>
      <c r="AW647" s="693" t="n"/>
      <c r="AX647" s="693" t="n"/>
      <c r="AY647" s="693" t="n"/>
      <c r="AZ647" s="693" t="n"/>
    </row>
    <row r="648">
      <c r="A648" s="688" t="n"/>
      <c r="B648" s="688" t="n"/>
      <c r="C648" s="473" t="n"/>
      <c r="D648" s="688" t="n"/>
      <c r="E648" s="689" t="n"/>
      <c r="F648" s="721" t="n"/>
      <c r="G6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8" s="474">
        <f>G648/#REF!</f>
        <v/>
      </c>
      <c r="I648" s="690" t="n"/>
      <c r="J6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8" s="474">
        <f>J648/#REF!</f>
        <v/>
      </c>
      <c r="L648" s="473" t="n"/>
      <c r="M648" s="692" t="n"/>
      <c r="N648" s="693" t="n"/>
      <c r="O648" s="78" t="n"/>
      <c r="P648" s="129" t="n"/>
      <c r="Q648" s="129" t="n"/>
      <c r="R648" s="129" t="n"/>
      <c r="S648" s="129" t="n"/>
      <c r="T648" s="129" t="n"/>
      <c r="U648" s="129" t="n"/>
      <c r="V648" s="129" t="n"/>
      <c r="W648" s="129" t="n"/>
      <c r="X648" s="129" t="n"/>
      <c r="Y648" s="708" t="n"/>
      <c r="Z648" s="709" t="n"/>
      <c r="AA648" s="710" t="n"/>
      <c r="AB648" s="590" t="n"/>
      <c r="AC648" s="591" t="n"/>
      <c r="AD648" s="592" t="n"/>
      <c r="AE648" s="593" t="n"/>
      <c r="AF648" s="594" t="n"/>
      <c r="AG648" s="693" t="n"/>
      <c r="AH648" s="721" t="n"/>
      <c r="AI648" s="721" t="n"/>
      <c r="AJ648" s="688" t="n"/>
      <c r="AK648" s="689" t="n"/>
      <c r="AL648" s="690" t="n"/>
      <c r="AM648" s="691" t="n"/>
      <c r="AN648" s="692" t="n"/>
      <c r="AO648" s="693" t="n"/>
      <c r="AP648" s="693" t="n"/>
      <c r="AQ648" s="693" t="n"/>
      <c r="AR648" s="693" t="n"/>
      <c r="AS648" s="693" t="n"/>
      <c r="AT648" s="693" t="n"/>
      <c r="AU648" s="699" t="n"/>
      <c r="AV648" s="693" t="n"/>
      <c r="AW648" s="693" t="n"/>
      <c r="AX648" s="693" t="n"/>
      <c r="AY648" s="693" t="n"/>
      <c r="AZ648" s="693" t="n"/>
    </row>
    <row r="649">
      <c r="A649" s="688" t="n"/>
      <c r="B649" s="688" t="n"/>
      <c r="C649" s="473" t="n"/>
      <c r="D649" s="688" t="n"/>
      <c r="E649" s="689" t="n"/>
      <c r="F649" s="721" t="n"/>
      <c r="G6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49" s="474">
        <f>G649/#REF!</f>
        <v/>
      </c>
      <c r="I649" s="690" t="n"/>
      <c r="J6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49" s="474">
        <f>J649/#REF!</f>
        <v/>
      </c>
      <c r="L649" s="473" t="n"/>
      <c r="M649" s="692" t="n"/>
      <c r="N649" s="693" t="n"/>
      <c r="O649" s="78" t="n"/>
      <c r="P649" s="129" t="n"/>
      <c r="Q649" s="129" t="n"/>
      <c r="R649" s="129" t="n"/>
      <c r="S649" s="129" t="n"/>
      <c r="T649" s="129" t="n"/>
      <c r="U649" s="129" t="n"/>
      <c r="V649" s="129" t="n"/>
      <c r="W649" s="129" t="n"/>
      <c r="X649" s="129" t="n"/>
      <c r="Y649" s="703" t="n"/>
      <c r="Z649" s="704" t="n"/>
      <c r="AA649" s="705" t="n"/>
      <c r="AB649" s="613" t="n"/>
      <c r="AC649" s="614" t="n"/>
      <c r="AD649" s="628" t="n"/>
      <c r="AE649" s="616" t="n"/>
      <c r="AF649" s="617" t="n"/>
      <c r="AG649" s="693" t="n"/>
      <c r="AH649" s="721" t="n"/>
      <c r="AI649" s="721" t="n"/>
      <c r="AJ649" s="688" t="n"/>
      <c r="AK649" s="689" t="n"/>
      <c r="AL649" s="690" t="n"/>
      <c r="AM649" s="691" t="n"/>
      <c r="AN649" s="692" t="n"/>
      <c r="AO649" s="693" t="n"/>
      <c r="AP649" s="693" t="n"/>
      <c r="AQ649" s="693" t="n"/>
      <c r="AR649" s="693" t="n"/>
      <c r="AS649" s="693" t="n"/>
      <c r="AT649" s="693" t="n"/>
      <c r="AU649" s="699" t="n"/>
      <c r="AV649" s="693" t="n"/>
      <c r="AW649" s="693" t="n"/>
      <c r="AX649" s="693" t="n"/>
      <c r="AY649" s="693" t="n"/>
      <c r="AZ649" s="693" t="n"/>
    </row>
    <row r="650">
      <c r="A650" s="688" t="n"/>
      <c r="B650" s="688" t="n"/>
      <c r="C650" s="473" t="n"/>
      <c r="D650" s="688" t="n"/>
      <c r="E650" s="689" t="n"/>
      <c r="F650" s="721" t="n"/>
      <c r="G6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0" s="474">
        <f>G650/#REF!</f>
        <v/>
      </c>
      <c r="I650" s="690" t="n"/>
      <c r="J6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0" s="474">
        <f>J650/#REF!</f>
        <v/>
      </c>
      <c r="L650" s="473" t="n"/>
      <c r="M650" s="692" t="n"/>
      <c r="N650" s="693" t="n"/>
      <c r="O650" s="78" t="n"/>
      <c r="P650" s="129" t="n"/>
      <c r="Q650" s="129" t="n"/>
      <c r="R650" s="129" t="n"/>
      <c r="S650" s="129" t="n"/>
      <c r="T650" s="129" t="n"/>
      <c r="U650" s="129" t="n"/>
      <c r="V650" s="129" t="n"/>
      <c r="W650" s="129" t="n"/>
      <c r="X650" s="129" t="n"/>
      <c r="Y650" s="708" t="n"/>
      <c r="Z650" s="709" t="n"/>
      <c r="AA650" s="710" t="n"/>
      <c r="AB650" s="590" t="n"/>
      <c r="AC650" s="591" t="n"/>
      <c r="AD650" s="592" t="n"/>
      <c r="AE650" s="593" t="n"/>
      <c r="AF650" s="594" t="n"/>
      <c r="AG650" s="693" t="n"/>
      <c r="AH650" s="721" t="n"/>
      <c r="AI650" s="721" t="n"/>
      <c r="AJ650" s="688" t="n"/>
      <c r="AK650" s="689" t="n"/>
      <c r="AL650" s="690" t="n"/>
      <c r="AM650" s="691" t="n"/>
      <c r="AN650" s="692" t="n"/>
      <c r="AO650" s="693" t="n"/>
      <c r="AP650" s="693" t="n"/>
      <c r="AQ650" s="693" t="n"/>
      <c r="AR650" s="693" t="n"/>
      <c r="AS650" s="693" t="n"/>
      <c r="AT650" s="693" t="n"/>
      <c r="AU650" s="699" t="n"/>
      <c r="AV650" s="693" t="n"/>
      <c r="AW650" s="693" t="n"/>
      <c r="AX650" s="693" t="n"/>
      <c r="AY650" s="693" t="n"/>
      <c r="AZ650" s="693" t="n"/>
    </row>
    <row r="651">
      <c r="A651" s="688" t="n"/>
      <c r="B651" s="688" t="n"/>
      <c r="C651" s="473" t="n"/>
      <c r="D651" s="688" t="n"/>
      <c r="E651" s="689" t="n"/>
      <c r="F651" s="721" t="n"/>
      <c r="G6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1" s="474">
        <f>G651/#REF!</f>
        <v/>
      </c>
      <c r="I651" s="690" t="n"/>
      <c r="J6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1" s="474">
        <f>J651/#REF!</f>
        <v/>
      </c>
      <c r="L651" s="473" t="n"/>
      <c r="M651" s="692" t="n"/>
      <c r="N651" s="693" t="n"/>
      <c r="O651" s="78" t="n"/>
      <c r="P651" s="129" t="n"/>
      <c r="Q651" s="129" t="n"/>
      <c r="R651" s="129" t="n"/>
      <c r="S651" s="129" t="n"/>
      <c r="T651" s="129" t="n"/>
      <c r="U651" s="129" t="n"/>
      <c r="V651" s="129" t="n"/>
      <c r="W651" s="129" t="n"/>
      <c r="X651" s="129" t="n"/>
      <c r="Y651" s="703" t="n"/>
      <c r="Z651" s="704" t="n"/>
      <c r="AA651" s="705" t="n"/>
      <c r="AB651" s="613" t="n"/>
      <c r="AC651" s="614" t="n"/>
      <c r="AD651" s="628" t="n"/>
      <c r="AE651" s="616" t="n"/>
      <c r="AF651" s="617" t="n"/>
      <c r="AG651" s="693" t="n"/>
      <c r="AH651" s="721" t="n"/>
      <c r="AI651" s="721" t="n"/>
      <c r="AJ651" s="688" t="n"/>
      <c r="AK651" s="689" t="n"/>
      <c r="AL651" s="690" t="n"/>
      <c r="AM651" s="691" t="n"/>
      <c r="AN651" s="692" t="n"/>
      <c r="AO651" s="693" t="n"/>
      <c r="AP651" s="693" t="n"/>
      <c r="AQ651" s="693" t="n"/>
      <c r="AR651" s="693" t="n"/>
      <c r="AS651" s="693" t="n"/>
      <c r="AT651" s="693" t="n"/>
      <c r="AU651" s="699" t="n"/>
      <c r="AV651" s="693" t="n"/>
      <c r="AW651" s="693" t="n"/>
      <c r="AX651" s="693" t="n"/>
      <c r="AY651" s="693" t="n"/>
      <c r="AZ651" s="693" t="n"/>
    </row>
    <row r="652">
      <c r="A652" s="688" t="n"/>
      <c r="B652" s="688" t="n"/>
      <c r="C652" s="473" t="n"/>
      <c r="D652" s="688" t="n"/>
      <c r="E652" s="689" t="n"/>
      <c r="F652" s="721" t="n"/>
      <c r="G6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2" s="474">
        <f>G652/#REF!</f>
        <v/>
      </c>
      <c r="I652" s="690" t="n"/>
      <c r="J6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2" s="474">
        <f>J652/#REF!</f>
        <v/>
      </c>
      <c r="L652" s="473" t="n"/>
      <c r="M652" s="692" t="n"/>
      <c r="N652" s="693" t="n"/>
      <c r="O652" s="78" t="n"/>
      <c r="P652" s="129" t="n"/>
      <c r="Q652" s="129" t="n"/>
      <c r="R652" s="129" t="n"/>
      <c r="S652" s="129" t="n"/>
      <c r="T652" s="129" t="n"/>
      <c r="U652" s="129" t="n"/>
      <c r="V652" s="129" t="n"/>
      <c r="W652" s="129" t="n"/>
      <c r="X652" s="129" t="n"/>
      <c r="Y652" s="708" t="n"/>
      <c r="Z652" s="709" t="n"/>
      <c r="AA652" s="710" t="n"/>
      <c r="AB652" s="590" t="n"/>
      <c r="AC652" s="591" t="n"/>
      <c r="AD652" s="592" t="n"/>
      <c r="AE652" s="593" t="n"/>
      <c r="AF652" s="594" t="n"/>
      <c r="AG652" s="693" t="n"/>
      <c r="AH652" s="721" t="n"/>
      <c r="AI652" s="721" t="n"/>
      <c r="AJ652" s="688" t="n"/>
      <c r="AK652" s="689" t="n"/>
      <c r="AL652" s="690" t="n"/>
      <c r="AM652" s="691" t="n"/>
      <c r="AN652" s="692" t="n"/>
      <c r="AO652" s="693" t="n"/>
      <c r="AP652" s="693" t="n"/>
      <c r="AQ652" s="693" t="n"/>
      <c r="AR652" s="693" t="n"/>
      <c r="AS652" s="693" t="n"/>
      <c r="AT652" s="693" t="n"/>
      <c r="AU652" s="699" t="n"/>
      <c r="AV652" s="693" t="n"/>
      <c r="AW652" s="693" t="n"/>
      <c r="AX652" s="693" t="n"/>
      <c r="AY652" s="693" t="n"/>
      <c r="AZ652" s="693" t="n"/>
    </row>
    <row r="653">
      <c r="A653" s="688" t="n"/>
      <c r="B653" s="688" t="n"/>
      <c r="C653" s="473" t="n"/>
      <c r="D653" s="688" t="n"/>
      <c r="E653" s="689" t="n"/>
      <c r="F653" s="721" t="n"/>
      <c r="G6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3" s="474">
        <f>G653/#REF!</f>
        <v/>
      </c>
      <c r="I653" s="690" t="n"/>
      <c r="J6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3" s="474">
        <f>J653/#REF!</f>
        <v/>
      </c>
      <c r="L653" s="473" t="n"/>
      <c r="M653" s="692" t="n"/>
      <c r="N653" s="693" t="n"/>
      <c r="O653" s="78" t="n"/>
      <c r="P653" s="129" t="n"/>
      <c r="Q653" s="129" t="n"/>
      <c r="R653" s="129" t="n"/>
      <c r="S653" s="129" t="n"/>
      <c r="T653" s="129" t="n"/>
      <c r="U653" s="129" t="n"/>
      <c r="V653" s="129" t="n"/>
      <c r="W653" s="129" t="n"/>
      <c r="X653" s="129" t="n"/>
      <c r="Y653" s="703" t="n"/>
      <c r="Z653" s="704" t="n"/>
      <c r="AA653" s="705" t="n"/>
      <c r="AB653" s="613" t="n"/>
      <c r="AC653" s="614" t="n"/>
      <c r="AD653" s="628" t="n"/>
      <c r="AE653" s="616" t="n"/>
      <c r="AF653" s="617" t="n"/>
      <c r="AG653" s="693" t="n"/>
      <c r="AH653" s="721" t="n"/>
      <c r="AI653" s="721" t="n"/>
      <c r="AJ653" s="688" t="n"/>
      <c r="AK653" s="689" t="n"/>
      <c r="AL653" s="690" t="n"/>
      <c r="AM653" s="691" t="n"/>
      <c r="AN653" s="692" t="n"/>
      <c r="AO653" s="693" t="n"/>
      <c r="AP653" s="693" t="n"/>
      <c r="AQ653" s="693" t="n"/>
      <c r="AR653" s="693" t="n"/>
      <c r="AS653" s="693" t="n"/>
      <c r="AT653" s="693" t="n"/>
      <c r="AU653" s="699" t="n"/>
      <c r="AV653" s="693" t="n"/>
      <c r="AW653" s="693" t="n"/>
      <c r="AX653" s="693" t="n"/>
      <c r="AY653" s="693" t="n"/>
      <c r="AZ653" s="693" t="n"/>
    </row>
    <row r="654">
      <c r="A654" s="688" t="n"/>
      <c r="B654" s="688" t="n"/>
      <c r="C654" s="473" t="n"/>
      <c r="D654" s="688" t="n"/>
      <c r="E654" s="689" t="n"/>
      <c r="F654" s="721" t="n"/>
      <c r="G6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4" s="474">
        <f>G654/#REF!</f>
        <v/>
      </c>
      <c r="I654" s="690" t="n"/>
      <c r="J6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4" s="474">
        <f>J654/#REF!</f>
        <v/>
      </c>
      <c r="L654" s="473" t="n"/>
      <c r="M654" s="692" t="n"/>
      <c r="N654" s="693" t="n"/>
      <c r="O654" s="78" t="n"/>
      <c r="P654" s="129" t="n"/>
      <c r="Q654" s="129" t="n"/>
      <c r="R654" s="129" t="n"/>
      <c r="S654" s="129" t="n"/>
      <c r="T654" s="129" t="n"/>
      <c r="U654" s="129" t="n"/>
      <c r="V654" s="129" t="n"/>
      <c r="W654" s="129" t="n"/>
      <c r="X654" s="129" t="n"/>
      <c r="Y654" s="708" t="n"/>
      <c r="Z654" s="709" t="n"/>
      <c r="AA654" s="710" t="n"/>
      <c r="AB654" s="590" t="n"/>
      <c r="AC654" s="591" t="n"/>
      <c r="AD654" s="592" t="n"/>
      <c r="AE654" s="593" t="n"/>
      <c r="AF654" s="594" t="n"/>
      <c r="AG654" s="693" t="n"/>
      <c r="AH654" s="721" t="n"/>
      <c r="AI654" s="721" t="n"/>
      <c r="AJ654" s="688" t="n"/>
      <c r="AK654" s="689" t="n"/>
      <c r="AL654" s="690" t="n"/>
      <c r="AM654" s="691" t="n"/>
      <c r="AN654" s="692" t="n"/>
      <c r="AO654" s="693" t="n"/>
      <c r="AP654" s="693" t="n"/>
      <c r="AQ654" s="693" t="n"/>
      <c r="AR654" s="693" t="n"/>
      <c r="AS654" s="693" t="n"/>
      <c r="AT654" s="693" t="n"/>
      <c r="AU654" s="699" t="n"/>
      <c r="AV654" s="693" t="n"/>
      <c r="AW654" s="693" t="n"/>
      <c r="AX654" s="693" t="n"/>
      <c r="AY654" s="693" t="n"/>
      <c r="AZ654" s="693" t="n"/>
    </row>
    <row r="655">
      <c r="A655" s="688" t="n"/>
      <c r="B655" s="688" t="n"/>
      <c r="C655" s="473" t="n"/>
      <c r="D655" s="688" t="n"/>
      <c r="E655" s="689" t="n"/>
      <c r="F655" s="721" t="n"/>
      <c r="G6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5" s="474">
        <f>G655/#REF!</f>
        <v/>
      </c>
      <c r="I655" s="690" t="n"/>
      <c r="J6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5" s="474">
        <f>J655/#REF!</f>
        <v/>
      </c>
      <c r="L655" s="473" t="n"/>
      <c r="M655" s="692" t="n"/>
      <c r="N655" s="693" t="n"/>
      <c r="O655" s="78" t="n"/>
      <c r="P655" s="129" t="n"/>
      <c r="Q655" s="129" t="n"/>
      <c r="R655" s="129" t="n"/>
      <c r="S655" s="129" t="n"/>
      <c r="T655" s="129" t="n"/>
      <c r="U655" s="129" t="n"/>
      <c r="V655" s="129" t="n"/>
      <c r="W655" s="129" t="n"/>
      <c r="X655" s="129" t="n"/>
      <c r="Y655" s="703" t="n"/>
      <c r="Z655" s="704" t="n"/>
      <c r="AA655" s="705" t="n"/>
      <c r="AB655" s="613" t="n"/>
      <c r="AC655" s="614" t="n"/>
      <c r="AD655" s="628" t="n"/>
      <c r="AE655" s="616" t="n"/>
      <c r="AF655" s="617" t="n"/>
      <c r="AG655" s="693" t="n"/>
      <c r="AH655" s="721" t="n"/>
      <c r="AI655" s="721" t="n"/>
      <c r="AJ655" s="688" t="n"/>
      <c r="AK655" s="689" t="n"/>
      <c r="AL655" s="690" t="n"/>
      <c r="AM655" s="691" t="n"/>
      <c r="AN655" s="692" t="n"/>
      <c r="AO655" s="693" t="n"/>
      <c r="AP655" s="693" t="n"/>
      <c r="AQ655" s="693" t="n"/>
      <c r="AR655" s="693" t="n"/>
      <c r="AS655" s="693" t="n"/>
      <c r="AT655" s="693" t="n"/>
      <c r="AU655" s="699" t="n"/>
      <c r="AV655" s="693" t="n"/>
      <c r="AW655" s="693" t="n"/>
      <c r="AX655" s="693" t="n"/>
      <c r="AY655" s="693" t="n"/>
      <c r="AZ655" s="693" t="n"/>
    </row>
    <row r="656">
      <c r="A656" s="688" t="n"/>
      <c r="B656" s="688" t="n"/>
      <c r="C656" s="473" t="n"/>
      <c r="D656" s="688" t="n"/>
      <c r="E656" s="689" t="n"/>
      <c r="F656" s="721" t="n"/>
      <c r="G6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6" s="474">
        <f>G656/#REF!</f>
        <v/>
      </c>
      <c r="I656" s="690" t="n"/>
      <c r="J6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6" s="474">
        <f>J656/#REF!</f>
        <v/>
      </c>
      <c r="L656" s="473" t="n"/>
      <c r="M656" s="692" t="n"/>
      <c r="N656" s="693" t="n"/>
      <c r="O656" s="78" t="n"/>
      <c r="P656" s="129" t="n"/>
      <c r="Q656" s="129" t="n"/>
      <c r="R656" s="129" t="n"/>
      <c r="S656" s="129" t="n"/>
      <c r="T656" s="129" t="n"/>
      <c r="U656" s="129" t="n"/>
      <c r="V656" s="129" t="n"/>
      <c r="W656" s="129" t="n"/>
      <c r="X656" s="129" t="n"/>
      <c r="Y656" s="708" t="n"/>
      <c r="Z656" s="709" t="n"/>
      <c r="AA656" s="710" t="n"/>
      <c r="AB656" s="590" t="n"/>
      <c r="AC656" s="591" t="n"/>
      <c r="AD656" s="592" t="n"/>
      <c r="AE656" s="593" t="n"/>
      <c r="AF656" s="594" t="n"/>
      <c r="AG656" s="693" t="n"/>
      <c r="AH656" s="721" t="n"/>
      <c r="AI656" s="721" t="n"/>
      <c r="AJ656" s="688" t="n"/>
      <c r="AK656" s="689" t="n"/>
      <c r="AL656" s="690" t="n"/>
      <c r="AM656" s="691" t="n"/>
      <c r="AN656" s="692" t="n"/>
      <c r="AO656" s="693" t="n"/>
      <c r="AP656" s="693" t="n"/>
      <c r="AQ656" s="693" t="n"/>
      <c r="AR656" s="693" t="n"/>
      <c r="AS656" s="693" t="n"/>
      <c r="AT656" s="693" t="n"/>
      <c r="AU656" s="699" t="n"/>
      <c r="AV656" s="693" t="n"/>
      <c r="AW656" s="693" t="n"/>
      <c r="AX656" s="693" t="n"/>
      <c r="AY656" s="693" t="n"/>
      <c r="AZ656" s="693" t="n"/>
    </row>
    <row r="657">
      <c r="A657" s="688" t="n"/>
      <c r="B657" s="688" t="n"/>
      <c r="C657" s="473" t="n"/>
      <c r="D657" s="688" t="n"/>
      <c r="E657" s="689" t="n"/>
      <c r="F657" s="721" t="n"/>
      <c r="G6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7" s="474">
        <f>G657/#REF!</f>
        <v/>
      </c>
      <c r="I657" s="690" t="n"/>
      <c r="J6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7" s="474">
        <f>J657/#REF!</f>
        <v/>
      </c>
      <c r="L657" s="473" t="n"/>
      <c r="M657" s="692" t="n"/>
      <c r="N657" s="693" t="n"/>
      <c r="O657" s="78" t="n"/>
      <c r="P657" s="129" t="n"/>
      <c r="Q657" s="129" t="n"/>
      <c r="R657" s="129" t="n"/>
      <c r="S657" s="129" t="n"/>
      <c r="T657" s="129" t="n"/>
      <c r="U657" s="129" t="n"/>
      <c r="V657" s="129" t="n"/>
      <c r="W657" s="129" t="n"/>
      <c r="X657" s="129" t="n"/>
      <c r="Y657" s="703" t="n"/>
      <c r="Z657" s="704" t="n"/>
      <c r="AA657" s="705" t="n"/>
      <c r="AB657" s="613" t="n"/>
      <c r="AC657" s="614" t="n"/>
      <c r="AD657" s="628" t="n"/>
      <c r="AE657" s="616" t="n"/>
      <c r="AF657" s="617" t="n"/>
      <c r="AG657" s="693" t="n"/>
      <c r="AH657" s="721" t="n"/>
      <c r="AI657" s="721" t="n"/>
      <c r="AJ657" s="688" t="n"/>
      <c r="AK657" s="689" t="n"/>
      <c r="AL657" s="690" t="n"/>
      <c r="AM657" s="691" t="n"/>
      <c r="AN657" s="692" t="n"/>
      <c r="AO657" s="693" t="n"/>
      <c r="AP657" s="693" t="n"/>
      <c r="AQ657" s="693" t="n"/>
      <c r="AR657" s="693" t="n"/>
      <c r="AS657" s="693" t="n"/>
      <c r="AT657" s="693" t="n"/>
      <c r="AU657" s="699" t="n"/>
      <c r="AV657" s="693" t="n"/>
      <c r="AW657" s="693" t="n"/>
      <c r="AX657" s="693" t="n"/>
      <c r="AY657" s="693" t="n"/>
      <c r="AZ657" s="693" t="n"/>
    </row>
    <row r="658">
      <c r="A658" s="688" t="n"/>
      <c r="B658" s="688" t="n"/>
      <c r="C658" s="473" t="n"/>
      <c r="D658" s="688" t="n"/>
      <c r="E658" s="689" t="n"/>
      <c r="F658" s="721" t="n"/>
      <c r="G6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8" s="474">
        <f>G658/#REF!</f>
        <v/>
      </c>
      <c r="I658" s="690" t="n"/>
      <c r="J6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8" s="474">
        <f>J658/#REF!</f>
        <v/>
      </c>
      <c r="L658" s="473" t="n"/>
      <c r="M658" s="692" t="n"/>
      <c r="N658" s="693" t="n"/>
      <c r="O658" s="78" t="n"/>
      <c r="P658" s="129" t="n"/>
      <c r="Q658" s="129" t="n"/>
      <c r="R658" s="129" t="n"/>
      <c r="S658" s="129" t="n"/>
      <c r="T658" s="129" t="n"/>
      <c r="U658" s="129" t="n"/>
      <c r="V658" s="129" t="n"/>
      <c r="W658" s="129" t="n"/>
      <c r="X658" s="129" t="n"/>
      <c r="Y658" s="708" t="n"/>
      <c r="Z658" s="709" t="n"/>
      <c r="AA658" s="710" t="n"/>
      <c r="AB658" s="590" t="n"/>
      <c r="AC658" s="591" t="n"/>
      <c r="AD658" s="592" t="n"/>
      <c r="AE658" s="593" t="n"/>
      <c r="AF658" s="594" t="n"/>
      <c r="AG658" s="693" t="n"/>
      <c r="AH658" s="721" t="n"/>
      <c r="AI658" s="721" t="n"/>
      <c r="AJ658" s="688" t="n"/>
      <c r="AK658" s="689" t="n"/>
      <c r="AL658" s="690" t="n"/>
      <c r="AM658" s="691" t="n"/>
      <c r="AN658" s="692" t="n"/>
      <c r="AO658" s="693" t="n"/>
      <c r="AP658" s="693" t="n"/>
      <c r="AQ658" s="693" t="n"/>
      <c r="AR658" s="693" t="n"/>
      <c r="AS658" s="693" t="n"/>
      <c r="AT658" s="693" t="n"/>
      <c r="AU658" s="699" t="n"/>
      <c r="AV658" s="693" t="n"/>
      <c r="AW658" s="693" t="n"/>
      <c r="AX658" s="693" t="n"/>
      <c r="AY658" s="693" t="n"/>
      <c r="AZ658" s="693" t="n"/>
    </row>
    <row r="659">
      <c r="A659" s="688" t="n"/>
      <c r="B659" s="688" t="n"/>
      <c r="C659" s="473" t="n"/>
      <c r="D659" s="688" t="n"/>
      <c r="E659" s="689" t="n"/>
      <c r="F659" s="721" t="n"/>
      <c r="G6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59" s="474">
        <f>G659/#REF!</f>
        <v/>
      </c>
      <c r="I659" s="690" t="n"/>
      <c r="J6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59" s="474">
        <f>J659/#REF!</f>
        <v/>
      </c>
      <c r="L659" s="473" t="n"/>
      <c r="M659" s="692" t="n"/>
      <c r="N659" s="693" t="n"/>
      <c r="O659" s="78" t="n"/>
      <c r="P659" s="129" t="n"/>
      <c r="Q659" s="129" t="n"/>
      <c r="R659" s="129" t="n"/>
      <c r="S659" s="129" t="n"/>
      <c r="T659" s="129" t="n"/>
      <c r="U659" s="129" t="n"/>
      <c r="V659" s="129" t="n"/>
      <c r="W659" s="129" t="n"/>
      <c r="X659" s="129" t="n"/>
      <c r="Y659" s="703" t="n"/>
      <c r="Z659" s="704" t="n"/>
      <c r="AA659" s="705" t="n"/>
      <c r="AB659" s="613" t="n"/>
      <c r="AC659" s="614" t="n"/>
      <c r="AD659" s="628" t="n"/>
      <c r="AE659" s="616" t="n"/>
      <c r="AF659" s="617" t="n"/>
      <c r="AG659" s="693" t="n"/>
      <c r="AH659" s="721" t="n"/>
      <c r="AI659" s="721" t="n"/>
      <c r="AJ659" s="688" t="n"/>
      <c r="AK659" s="689" t="n"/>
      <c r="AL659" s="690" t="n"/>
      <c r="AM659" s="691" t="n"/>
      <c r="AN659" s="692" t="n"/>
      <c r="AO659" s="693" t="n"/>
      <c r="AP659" s="693" t="n"/>
      <c r="AQ659" s="693" t="n"/>
      <c r="AR659" s="693" t="n"/>
      <c r="AS659" s="693" t="n"/>
      <c r="AT659" s="693" t="n"/>
      <c r="AU659" s="699" t="n"/>
      <c r="AV659" s="693" t="n"/>
      <c r="AW659" s="693" t="n"/>
      <c r="AX659" s="693" t="n"/>
      <c r="AY659" s="693" t="n"/>
      <c r="AZ659" s="693" t="n"/>
    </row>
    <row r="660">
      <c r="A660" s="688" t="n"/>
      <c r="B660" s="688" t="n"/>
      <c r="C660" s="473" t="n"/>
      <c r="D660" s="688" t="n"/>
      <c r="E660" s="689" t="n"/>
      <c r="F660" s="721" t="n"/>
      <c r="G6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0" s="474">
        <f>G660/#REF!</f>
        <v/>
      </c>
      <c r="I660" s="690" t="n"/>
      <c r="J6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0" s="474">
        <f>J660/#REF!</f>
        <v/>
      </c>
      <c r="L660" s="473" t="n"/>
      <c r="M660" s="692" t="n"/>
      <c r="N660" s="693" t="n"/>
      <c r="O660" s="78" t="n"/>
      <c r="P660" s="129" t="n"/>
      <c r="Q660" s="129" t="n"/>
      <c r="R660" s="129" t="n"/>
      <c r="S660" s="129" t="n"/>
      <c r="T660" s="129" t="n"/>
      <c r="U660" s="129" t="n"/>
      <c r="V660" s="129" t="n"/>
      <c r="W660" s="129" t="n"/>
      <c r="X660" s="129" t="n"/>
      <c r="Y660" s="708" t="n"/>
      <c r="Z660" s="709" t="n"/>
      <c r="AA660" s="710" t="n"/>
      <c r="AB660" s="590" t="n"/>
      <c r="AC660" s="591" t="n"/>
      <c r="AD660" s="592" t="n"/>
      <c r="AE660" s="593" t="n"/>
      <c r="AF660" s="594" t="n"/>
      <c r="AG660" s="693" t="n"/>
      <c r="AH660" s="721" t="n"/>
      <c r="AI660" s="721" t="n"/>
      <c r="AJ660" s="688" t="n"/>
      <c r="AK660" s="689" t="n"/>
      <c r="AL660" s="690" t="n"/>
      <c r="AM660" s="691" t="n"/>
      <c r="AN660" s="692" t="n"/>
      <c r="AO660" s="693" t="n"/>
      <c r="AP660" s="693" t="n"/>
      <c r="AQ660" s="693" t="n"/>
      <c r="AR660" s="693" t="n"/>
      <c r="AS660" s="693" t="n"/>
      <c r="AT660" s="693" t="n"/>
      <c r="AU660" s="699" t="n"/>
      <c r="AV660" s="693" t="n"/>
      <c r="AW660" s="693" t="n"/>
      <c r="AX660" s="693" t="n"/>
      <c r="AY660" s="693" t="n"/>
      <c r="AZ660" s="693" t="n"/>
    </row>
    <row r="661">
      <c r="A661" s="688" t="n"/>
      <c r="B661" s="688" t="n"/>
      <c r="C661" s="473" t="n"/>
      <c r="D661" s="688" t="n"/>
      <c r="E661" s="689" t="n"/>
      <c r="F661" s="721" t="n"/>
      <c r="G6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1" s="474">
        <f>G661/#REF!</f>
        <v/>
      </c>
      <c r="I661" s="690" t="n"/>
      <c r="J6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1" s="474">
        <f>J661/#REF!</f>
        <v/>
      </c>
      <c r="L661" s="473" t="n"/>
      <c r="M661" s="692" t="n"/>
      <c r="N661" s="693" t="n"/>
      <c r="O661" s="78" t="n"/>
      <c r="P661" s="129" t="n"/>
      <c r="Q661" s="129" t="n"/>
      <c r="R661" s="129" t="n"/>
      <c r="S661" s="129" t="n"/>
      <c r="T661" s="129" t="n"/>
      <c r="U661" s="129" t="n"/>
      <c r="V661" s="129" t="n"/>
      <c r="W661" s="129" t="n"/>
      <c r="X661" s="129" t="n"/>
      <c r="Y661" s="703" t="n"/>
      <c r="Z661" s="704" t="n"/>
      <c r="AA661" s="705" t="n"/>
      <c r="AB661" s="613" t="n"/>
      <c r="AC661" s="614" t="n"/>
      <c r="AD661" s="628" t="n"/>
      <c r="AE661" s="616" t="n"/>
      <c r="AF661" s="617" t="n"/>
      <c r="AG661" s="693" t="n"/>
      <c r="AH661" s="721" t="n"/>
      <c r="AI661" s="721" t="n"/>
      <c r="AJ661" s="688" t="n"/>
      <c r="AK661" s="689" t="n"/>
      <c r="AL661" s="690" t="n"/>
      <c r="AM661" s="691" t="n"/>
      <c r="AN661" s="692" t="n"/>
      <c r="AO661" s="693" t="n"/>
      <c r="AP661" s="693" t="n"/>
      <c r="AQ661" s="693" t="n"/>
      <c r="AR661" s="693" t="n"/>
      <c r="AS661" s="693" t="n"/>
      <c r="AT661" s="693" t="n"/>
      <c r="AU661" s="699" t="n"/>
      <c r="AV661" s="693" t="n"/>
      <c r="AW661" s="693" t="n"/>
      <c r="AX661" s="693" t="n"/>
      <c r="AY661" s="693" t="n"/>
      <c r="AZ661" s="693" t="n"/>
    </row>
    <row r="662">
      <c r="A662" s="688" t="n"/>
      <c r="B662" s="688" t="n"/>
      <c r="C662" s="473" t="n"/>
      <c r="D662" s="688" t="n"/>
      <c r="E662" s="689" t="n"/>
      <c r="F662" s="721" t="n"/>
      <c r="G6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2" s="474">
        <f>G662/#REF!</f>
        <v/>
      </c>
      <c r="I662" s="690" t="n"/>
      <c r="J6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2" s="474">
        <f>J662/#REF!</f>
        <v/>
      </c>
      <c r="L662" s="473" t="n"/>
      <c r="M662" s="692" t="n"/>
      <c r="N662" s="693" t="n"/>
      <c r="O662" s="78" t="n"/>
      <c r="P662" s="129" t="n"/>
      <c r="Q662" s="129" t="n"/>
      <c r="R662" s="129" t="n"/>
      <c r="S662" s="129" t="n"/>
      <c r="T662" s="129" t="n"/>
      <c r="U662" s="129" t="n"/>
      <c r="V662" s="129" t="n"/>
      <c r="W662" s="129" t="n"/>
      <c r="X662" s="129" t="n"/>
      <c r="Y662" s="708" t="n"/>
      <c r="Z662" s="709" t="n"/>
      <c r="AA662" s="710" t="n"/>
      <c r="AB662" s="590" t="n"/>
      <c r="AC662" s="591" t="n"/>
      <c r="AD662" s="592" t="n"/>
      <c r="AE662" s="593" t="n"/>
      <c r="AF662" s="594" t="n"/>
      <c r="AG662" s="693" t="n"/>
      <c r="AH662" s="721" t="n"/>
      <c r="AI662" s="721" t="n"/>
      <c r="AJ662" s="688" t="n"/>
      <c r="AK662" s="689" t="n"/>
      <c r="AL662" s="690" t="n"/>
      <c r="AM662" s="691" t="n"/>
      <c r="AN662" s="692" t="n"/>
      <c r="AO662" s="693" t="n"/>
      <c r="AP662" s="693" t="n"/>
      <c r="AQ662" s="693" t="n"/>
      <c r="AR662" s="693" t="n"/>
      <c r="AS662" s="693" t="n"/>
      <c r="AT662" s="693" t="n"/>
      <c r="AU662" s="699" t="n"/>
      <c r="AV662" s="693" t="n"/>
      <c r="AW662" s="693" t="n"/>
      <c r="AX662" s="693" t="n"/>
      <c r="AY662" s="693" t="n"/>
      <c r="AZ662" s="693" t="n"/>
    </row>
    <row r="663">
      <c r="A663" s="688" t="n"/>
      <c r="B663" s="688" t="n"/>
      <c r="C663" s="473" t="n"/>
      <c r="D663" s="688" t="n"/>
      <c r="E663" s="689" t="n"/>
      <c r="F663" s="721" t="n"/>
      <c r="G6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3" s="474">
        <f>G663/#REF!</f>
        <v/>
      </c>
      <c r="I663" s="690" t="n"/>
      <c r="J6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3" s="474">
        <f>J663/#REF!</f>
        <v/>
      </c>
      <c r="L663" s="473" t="n"/>
      <c r="M663" s="692" t="n"/>
      <c r="N663" s="693" t="n"/>
      <c r="O663" s="78" t="n"/>
      <c r="P663" s="129" t="n"/>
      <c r="Q663" s="129" t="n"/>
      <c r="R663" s="129" t="n"/>
      <c r="S663" s="129" t="n"/>
      <c r="T663" s="129" t="n"/>
      <c r="U663" s="129" t="n"/>
      <c r="V663" s="129" t="n"/>
      <c r="W663" s="129" t="n"/>
      <c r="X663" s="129" t="n"/>
      <c r="Y663" s="703" t="n"/>
      <c r="Z663" s="704" t="n"/>
      <c r="AA663" s="705" t="n"/>
      <c r="AB663" s="613" t="n"/>
      <c r="AC663" s="614" t="n"/>
      <c r="AD663" s="628" t="n"/>
      <c r="AE663" s="616" t="n"/>
      <c r="AF663" s="617" t="n"/>
      <c r="AG663" s="693" t="n"/>
      <c r="AH663" s="721" t="n"/>
      <c r="AI663" s="721" t="n"/>
      <c r="AJ663" s="688" t="n"/>
      <c r="AK663" s="689" t="n"/>
      <c r="AL663" s="690" t="n"/>
      <c r="AM663" s="691" t="n"/>
      <c r="AN663" s="692" t="n"/>
      <c r="AO663" s="693" t="n"/>
      <c r="AP663" s="693" t="n"/>
      <c r="AQ663" s="693" t="n"/>
      <c r="AR663" s="693" t="n"/>
      <c r="AS663" s="693" t="n"/>
      <c r="AT663" s="693" t="n"/>
      <c r="AU663" s="699" t="n"/>
      <c r="AV663" s="693" t="n"/>
      <c r="AW663" s="693" t="n"/>
      <c r="AX663" s="693" t="n"/>
      <c r="AY663" s="693" t="n"/>
      <c r="AZ663" s="693" t="n"/>
    </row>
    <row r="664">
      <c r="A664" s="688" t="n"/>
      <c r="B664" s="688" t="n"/>
      <c r="C664" s="473" t="n"/>
      <c r="D664" s="688" t="n"/>
      <c r="E664" s="689" t="n"/>
      <c r="F664" s="721" t="n"/>
      <c r="G6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4" s="474">
        <f>G664/#REF!</f>
        <v/>
      </c>
      <c r="I664" s="690" t="n"/>
      <c r="J6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4" s="474">
        <f>J664/#REF!</f>
        <v/>
      </c>
      <c r="L664" s="473" t="n"/>
      <c r="M664" s="692" t="n"/>
      <c r="N664" s="693" t="n"/>
      <c r="O664" s="78" t="n"/>
      <c r="P664" s="129" t="n"/>
      <c r="Q664" s="129" t="n"/>
      <c r="R664" s="129" t="n"/>
      <c r="S664" s="129" t="n"/>
      <c r="T664" s="129" t="n"/>
      <c r="U664" s="129" t="n"/>
      <c r="V664" s="129" t="n"/>
      <c r="W664" s="129" t="n"/>
      <c r="X664" s="129" t="n"/>
      <c r="Y664" s="708" t="n"/>
      <c r="Z664" s="709" t="n"/>
      <c r="AA664" s="710" t="n"/>
      <c r="AB664" s="590" t="n"/>
      <c r="AC664" s="591" t="n"/>
      <c r="AD664" s="592" t="n"/>
      <c r="AE664" s="593" t="n"/>
      <c r="AF664" s="594" t="n"/>
      <c r="AG664" s="693" t="n"/>
      <c r="AH664" s="721" t="n"/>
      <c r="AI664" s="721" t="n"/>
      <c r="AJ664" s="688" t="n"/>
      <c r="AK664" s="689" t="n"/>
      <c r="AL664" s="690" t="n"/>
      <c r="AM664" s="691" t="n"/>
      <c r="AN664" s="692" t="n"/>
      <c r="AO664" s="693" t="n"/>
      <c r="AP664" s="693" t="n"/>
      <c r="AQ664" s="693" t="n"/>
      <c r="AR664" s="693" t="n"/>
      <c r="AS664" s="693" t="n"/>
      <c r="AT664" s="693" t="n"/>
      <c r="AU664" s="699" t="n"/>
      <c r="AV664" s="693" t="n"/>
      <c r="AW664" s="693" t="n"/>
      <c r="AX664" s="693" t="n"/>
      <c r="AY664" s="693" t="n"/>
      <c r="AZ664" s="693" t="n"/>
    </row>
    <row r="665">
      <c r="A665" s="688" t="n"/>
      <c r="B665" s="688" t="n"/>
      <c r="C665" s="473" t="n"/>
      <c r="D665" s="688" t="n"/>
      <c r="E665" s="689" t="n"/>
      <c r="F665" s="721" t="n"/>
      <c r="G6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5" s="474">
        <f>G665/#REF!</f>
        <v/>
      </c>
      <c r="I665" s="690" t="n"/>
      <c r="J6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5" s="474">
        <f>J665/#REF!</f>
        <v/>
      </c>
      <c r="L665" s="473" t="n"/>
      <c r="M665" s="692" t="n"/>
      <c r="N665" s="693" t="n"/>
      <c r="O665" s="78" t="n"/>
      <c r="P665" s="129" t="n"/>
      <c r="Q665" s="129" t="n"/>
      <c r="R665" s="129" t="n"/>
      <c r="S665" s="129" t="n"/>
      <c r="T665" s="129" t="n"/>
      <c r="U665" s="129" t="n"/>
      <c r="V665" s="129" t="n"/>
      <c r="W665" s="129" t="n"/>
      <c r="X665" s="129" t="n"/>
      <c r="Y665" s="703" t="n"/>
      <c r="Z665" s="704" t="n"/>
      <c r="AA665" s="705" t="n"/>
      <c r="AB665" s="613" t="n"/>
      <c r="AC665" s="614" t="n"/>
      <c r="AD665" s="628" t="n"/>
      <c r="AE665" s="616" t="n"/>
      <c r="AF665" s="617" t="n"/>
      <c r="AG665" s="693" t="n"/>
      <c r="AH665" s="721" t="n"/>
      <c r="AI665" s="721" t="n"/>
      <c r="AJ665" s="688" t="n"/>
      <c r="AK665" s="689" t="n"/>
      <c r="AL665" s="690" t="n"/>
      <c r="AM665" s="691" t="n"/>
      <c r="AN665" s="692" t="n"/>
      <c r="AO665" s="693" t="n"/>
      <c r="AP665" s="693" t="n"/>
      <c r="AQ665" s="693" t="n"/>
      <c r="AR665" s="693" t="n"/>
      <c r="AS665" s="693" t="n"/>
      <c r="AT665" s="693" t="n"/>
      <c r="AU665" s="699" t="n"/>
      <c r="AV665" s="693" t="n"/>
      <c r="AW665" s="693" t="n"/>
      <c r="AX665" s="693" t="n"/>
      <c r="AY665" s="693" t="n"/>
      <c r="AZ665" s="693" t="n"/>
    </row>
    <row r="666">
      <c r="A666" s="688" t="n"/>
      <c r="B666" s="688" t="n"/>
      <c r="C666" s="473" t="n"/>
      <c r="D666" s="688" t="n"/>
      <c r="E666" s="689" t="n"/>
      <c r="F666" s="721" t="n"/>
      <c r="G6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6" s="474">
        <f>G666/#REF!</f>
        <v/>
      </c>
      <c r="I666" s="690" t="n"/>
      <c r="J6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6" s="474">
        <f>J666/#REF!</f>
        <v/>
      </c>
      <c r="L666" s="473" t="n"/>
      <c r="M666" s="692" t="n"/>
      <c r="N666" s="693" t="n"/>
      <c r="O666" s="78" t="n"/>
      <c r="P666" s="129" t="n"/>
      <c r="Q666" s="129" t="n"/>
      <c r="R666" s="129" t="n"/>
      <c r="S666" s="129" t="n"/>
      <c r="T666" s="129" t="n"/>
      <c r="U666" s="129" t="n"/>
      <c r="V666" s="129" t="n"/>
      <c r="W666" s="129" t="n"/>
      <c r="X666" s="129" t="n"/>
      <c r="Y666" s="708" t="n"/>
      <c r="Z666" s="709" t="n"/>
      <c r="AA666" s="710" t="n"/>
      <c r="AB666" s="590" t="n"/>
      <c r="AC666" s="591" t="n"/>
      <c r="AD666" s="592" t="n"/>
      <c r="AE666" s="593" t="n"/>
      <c r="AF666" s="594" t="n"/>
      <c r="AG666" s="693" t="n"/>
      <c r="AH666" s="721" t="n"/>
      <c r="AI666" s="721" t="n"/>
      <c r="AJ666" s="688" t="n"/>
      <c r="AK666" s="689" t="n"/>
      <c r="AL666" s="690" t="n"/>
      <c r="AM666" s="691" t="n"/>
      <c r="AN666" s="692" t="n"/>
      <c r="AO666" s="693" t="n"/>
      <c r="AP666" s="693" t="n"/>
      <c r="AQ666" s="693" t="n"/>
      <c r="AR666" s="693" t="n"/>
      <c r="AS666" s="693" t="n"/>
      <c r="AT666" s="693" t="n"/>
      <c r="AU666" s="699" t="n"/>
      <c r="AV666" s="693" t="n"/>
      <c r="AW666" s="693" t="n"/>
      <c r="AX666" s="693" t="n"/>
      <c r="AY666" s="693" t="n"/>
      <c r="AZ666" s="693" t="n"/>
    </row>
    <row r="667">
      <c r="A667" s="688" t="n"/>
      <c r="B667" s="688" t="n"/>
      <c r="C667" s="473" t="n"/>
      <c r="D667" s="688" t="n"/>
      <c r="E667" s="689" t="n"/>
      <c r="F667" s="721" t="n"/>
      <c r="G6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7" s="474">
        <f>G667/#REF!</f>
        <v/>
      </c>
      <c r="I667" s="690" t="n"/>
      <c r="J6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7" s="474">
        <f>J667/#REF!</f>
        <v/>
      </c>
      <c r="L667" s="473" t="n"/>
      <c r="M667" s="692" t="n"/>
      <c r="N667" s="693" t="n"/>
      <c r="O667" s="78" t="n"/>
      <c r="P667" s="129" t="n"/>
      <c r="Q667" s="129" t="n"/>
      <c r="R667" s="129" t="n"/>
      <c r="S667" s="129" t="n"/>
      <c r="T667" s="129" t="n"/>
      <c r="U667" s="129" t="n"/>
      <c r="V667" s="129" t="n"/>
      <c r="W667" s="129" t="n"/>
      <c r="X667" s="129" t="n"/>
      <c r="Y667" s="703" t="n"/>
      <c r="Z667" s="704" t="n"/>
      <c r="AA667" s="705" t="n"/>
      <c r="AB667" s="613" t="n"/>
      <c r="AC667" s="614" t="n"/>
      <c r="AD667" s="628" t="n"/>
      <c r="AE667" s="616" t="n"/>
      <c r="AF667" s="617" t="n"/>
      <c r="AG667" s="693" t="n"/>
      <c r="AH667" s="721" t="n"/>
      <c r="AI667" s="721" t="n"/>
      <c r="AJ667" s="688" t="n"/>
      <c r="AK667" s="689" t="n"/>
      <c r="AL667" s="690" t="n"/>
      <c r="AM667" s="691" t="n"/>
      <c r="AN667" s="692" t="n"/>
      <c r="AO667" s="693" t="n"/>
      <c r="AP667" s="693" t="n"/>
      <c r="AQ667" s="693" t="n"/>
      <c r="AR667" s="693" t="n"/>
      <c r="AS667" s="693" t="n"/>
      <c r="AT667" s="693" t="n"/>
      <c r="AU667" s="699" t="n"/>
      <c r="AV667" s="693" t="n"/>
      <c r="AW667" s="693" t="n"/>
      <c r="AX667" s="693" t="n"/>
      <c r="AY667" s="693" t="n"/>
      <c r="AZ667" s="693" t="n"/>
    </row>
    <row r="668">
      <c r="A668" s="688" t="n"/>
      <c r="B668" s="688" t="n"/>
      <c r="C668" s="473" t="n"/>
      <c r="D668" s="688" t="n"/>
      <c r="E668" s="689" t="n"/>
      <c r="F668" s="721" t="n"/>
      <c r="G6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8" s="474">
        <f>G668/#REF!</f>
        <v/>
      </c>
      <c r="I668" s="690" t="n"/>
      <c r="J6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8" s="474">
        <f>J668/#REF!</f>
        <v/>
      </c>
      <c r="L668" s="473" t="n"/>
      <c r="M668" s="692" t="n"/>
      <c r="N668" s="693" t="n"/>
      <c r="O668" s="78" t="n"/>
      <c r="P668" s="129" t="n"/>
      <c r="Q668" s="129" t="n"/>
      <c r="R668" s="129" t="n"/>
      <c r="S668" s="129" t="n"/>
      <c r="T668" s="129" t="n"/>
      <c r="U668" s="129" t="n"/>
      <c r="V668" s="129" t="n"/>
      <c r="W668" s="129" t="n"/>
      <c r="X668" s="129" t="n"/>
      <c r="Y668" s="708" t="n"/>
      <c r="Z668" s="709" t="n"/>
      <c r="AA668" s="710" t="n"/>
      <c r="AB668" s="590" t="n"/>
      <c r="AC668" s="591" t="n"/>
      <c r="AD668" s="592" t="n"/>
      <c r="AE668" s="593" t="n"/>
      <c r="AF668" s="594" t="n"/>
      <c r="AG668" s="693" t="n"/>
      <c r="AH668" s="721" t="n"/>
      <c r="AI668" s="721" t="n"/>
      <c r="AJ668" s="688" t="n"/>
      <c r="AK668" s="689" t="n"/>
      <c r="AL668" s="690" t="n"/>
      <c r="AM668" s="691" t="n"/>
      <c r="AN668" s="692" t="n"/>
      <c r="AO668" s="693" t="n"/>
      <c r="AP668" s="693" t="n"/>
      <c r="AQ668" s="693" t="n"/>
      <c r="AR668" s="693" t="n"/>
      <c r="AS668" s="693" t="n"/>
      <c r="AT668" s="693" t="n"/>
      <c r="AU668" s="699" t="n"/>
      <c r="AV668" s="693" t="n"/>
      <c r="AW668" s="693" t="n"/>
      <c r="AX668" s="693" t="n"/>
      <c r="AY668" s="693" t="n"/>
      <c r="AZ668" s="693" t="n"/>
    </row>
    <row r="669">
      <c r="A669" s="688" t="n"/>
      <c r="B669" s="688" t="n"/>
      <c r="C669" s="473" t="n"/>
      <c r="D669" s="688" t="n"/>
      <c r="E669" s="689" t="n"/>
      <c r="F669" s="721" t="n"/>
      <c r="G6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69" s="474">
        <f>G669/#REF!</f>
        <v/>
      </c>
      <c r="I669" s="690" t="n"/>
      <c r="J6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69" s="474">
        <f>J669/#REF!</f>
        <v/>
      </c>
      <c r="L669" s="473" t="n"/>
      <c r="M669" s="692" t="n"/>
      <c r="N669" s="693" t="n"/>
      <c r="O669" s="78" t="n"/>
      <c r="P669" s="129" t="n"/>
      <c r="Q669" s="129" t="n"/>
      <c r="R669" s="129" t="n"/>
      <c r="S669" s="129" t="n"/>
      <c r="T669" s="129" t="n"/>
      <c r="U669" s="129" t="n"/>
      <c r="V669" s="129" t="n"/>
      <c r="W669" s="129" t="n"/>
      <c r="X669" s="129" t="n"/>
      <c r="Y669" s="703" t="n"/>
      <c r="Z669" s="704" t="n"/>
      <c r="AA669" s="705" t="n"/>
      <c r="AB669" s="613" t="n"/>
      <c r="AC669" s="614" t="n"/>
      <c r="AD669" s="628" t="n"/>
      <c r="AE669" s="616" t="n"/>
      <c r="AF669" s="617" t="n"/>
      <c r="AG669" s="693" t="n"/>
      <c r="AH669" s="721" t="n"/>
      <c r="AI669" s="721" t="n"/>
      <c r="AJ669" s="688" t="n"/>
      <c r="AK669" s="689" t="n"/>
      <c r="AL669" s="690" t="n"/>
      <c r="AM669" s="691" t="n"/>
      <c r="AN669" s="692" t="n"/>
      <c r="AO669" s="693" t="n"/>
      <c r="AP669" s="693" t="n"/>
      <c r="AQ669" s="693" t="n"/>
      <c r="AR669" s="693" t="n"/>
      <c r="AS669" s="693" t="n"/>
      <c r="AT669" s="693" t="n"/>
      <c r="AU669" s="699" t="n"/>
      <c r="AV669" s="693" t="n"/>
      <c r="AW669" s="693" t="n"/>
      <c r="AX669" s="693" t="n"/>
      <c r="AY669" s="693" t="n"/>
      <c r="AZ669" s="693" t="n"/>
    </row>
    <row r="670">
      <c r="A670" s="688" t="n"/>
      <c r="B670" s="688" t="n"/>
      <c r="C670" s="473" t="n"/>
      <c r="D670" s="688" t="n"/>
      <c r="E670" s="689" t="n"/>
      <c r="F670" s="721" t="n"/>
      <c r="G6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0" s="474">
        <f>G670/#REF!</f>
        <v/>
      </c>
      <c r="I670" s="690" t="n"/>
      <c r="J6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0" s="474">
        <f>J670/#REF!</f>
        <v/>
      </c>
      <c r="L670" s="473" t="n"/>
      <c r="M670" s="692" t="n"/>
      <c r="N670" s="693" t="n"/>
      <c r="O670" s="78" t="n"/>
      <c r="P670" s="129" t="n"/>
      <c r="Q670" s="129" t="n"/>
      <c r="R670" s="129" t="n"/>
      <c r="S670" s="129" t="n"/>
      <c r="T670" s="129" t="n"/>
      <c r="U670" s="129" t="n"/>
      <c r="V670" s="129" t="n"/>
      <c r="W670" s="129" t="n"/>
      <c r="X670" s="129" t="n"/>
      <c r="Y670" s="708" t="n"/>
      <c r="Z670" s="709" t="n"/>
      <c r="AA670" s="710" t="n"/>
      <c r="AB670" s="590" t="n"/>
      <c r="AC670" s="591" t="n"/>
      <c r="AD670" s="592" t="n"/>
      <c r="AE670" s="593" t="n"/>
      <c r="AF670" s="594" t="n"/>
      <c r="AG670" s="693" t="n"/>
      <c r="AH670" s="721" t="n"/>
      <c r="AI670" s="721" t="n"/>
      <c r="AJ670" s="688" t="n"/>
      <c r="AK670" s="689" t="n"/>
      <c r="AL670" s="690" t="n"/>
      <c r="AM670" s="691" t="n"/>
      <c r="AN670" s="692" t="n"/>
      <c r="AO670" s="693" t="n"/>
      <c r="AP670" s="693" t="n"/>
      <c r="AQ670" s="693" t="n"/>
      <c r="AR670" s="693" t="n"/>
      <c r="AS670" s="693" t="n"/>
      <c r="AT670" s="693" t="n"/>
      <c r="AU670" s="699" t="n"/>
      <c r="AV670" s="693" t="n"/>
      <c r="AW670" s="693" t="n"/>
      <c r="AX670" s="693" t="n"/>
      <c r="AY670" s="693" t="n"/>
      <c r="AZ670" s="693" t="n"/>
    </row>
    <row r="671">
      <c r="A671" s="688" t="n"/>
      <c r="B671" s="688" t="n"/>
      <c r="C671" s="473" t="n"/>
      <c r="D671" s="688" t="n"/>
      <c r="E671" s="689" t="n"/>
      <c r="F671" s="721" t="n"/>
      <c r="G6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1" s="474">
        <f>G671/#REF!</f>
        <v/>
      </c>
      <c r="I671" s="690" t="n"/>
      <c r="J6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1" s="474">
        <f>J671/#REF!</f>
        <v/>
      </c>
      <c r="L671" s="473" t="n"/>
      <c r="M671" s="692" t="n"/>
      <c r="N671" s="693" t="n"/>
      <c r="O671" s="78" t="n"/>
      <c r="P671" s="129" t="n"/>
      <c r="Q671" s="129" t="n"/>
      <c r="R671" s="129" t="n"/>
      <c r="S671" s="129" t="n"/>
      <c r="T671" s="129" t="n"/>
      <c r="U671" s="129" t="n"/>
      <c r="V671" s="129" t="n"/>
      <c r="W671" s="129" t="n"/>
      <c r="X671" s="129" t="n"/>
      <c r="Y671" s="703" t="n"/>
      <c r="Z671" s="704" t="n"/>
      <c r="AA671" s="705" t="n"/>
      <c r="AB671" s="613" t="n"/>
      <c r="AC671" s="614" t="n"/>
      <c r="AD671" s="628" t="n"/>
      <c r="AE671" s="616" t="n"/>
      <c r="AF671" s="617" t="n"/>
      <c r="AG671" s="693" t="n"/>
      <c r="AH671" s="721" t="n"/>
      <c r="AI671" s="721" t="n"/>
      <c r="AJ671" s="688" t="n"/>
      <c r="AK671" s="689" t="n"/>
      <c r="AL671" s="690" t="n"/>
      <c r="AM671" s="691" t="n"/>
      <c r="AN671" s="692" t="n"/>
      <c r="AO671" s="693" t="n"/>
      <c r="AP671" s="693" t="n"/>
      <c r="AQ671" s="693" t="n"/>
      <c r="AR671" s="693" t="n"/>
      <c r="AS671" s="693" t="n"/>
      <c r="AT671" s="693" t="n"/>
      <c r="AU671" s="699" t="n"/>
      <c r="AV671" s="693" t="n"/>
      <c r="AW671" s="693" t="n"/>
      <c r="AX671" s="693" t="n"/>
      <c r="AY671" s="693" t="n"/>
      <c r="AZ671" s="693" t="n"/>
    </row>
    <row r="672">
      <c r="A672" s="688" t="n"/>
      <c r="B672" s="688" t="n"/>
      <c r="C672" s="473" t="n"/>
      <c r="D672" s="688" t="n"/>
      <c r="E672" s="689" t="n"/>
      <c r="F672" s="721" t="n"/>
      <c r="G6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2" s="474">
        <f>G672/#REF!</f>
        <v/>
      </c>
      <c r="I672" s="690" t="n"/>
      <c r="J6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2" s="474">
        <f>J672/#REF!</f>
        <v/>
      </c>
      <c r="L672" s="473" t="n"/>
      <c r="M672" s="692" t="n"/>
      <c r="N672" s="693" t="n"/>
      <c r="O672" s="78" t="n"/>
      <c r="P672" s="129" t="n"/>
      <c r="Q672" s="129" t="n"/>
      <c r="R672" s="129" t="n"/>
      <c r="S672" s="129" t="n"/>
      <c r="T672" s="129" t="n"/>
      <c r="U672" s="129" t="n"/>
      <c r="V672" s="129" t="n"/>
      <c r="W672" s="129" t="n"/>
      <c r="X672" s="129" t="n"/>
      <c r="Y672" s="708" t="n"/>
      <c r="Z672" s="709" t="n"/>
      <c r="AA672" s="710" t="n"/>
      <c r="AB672" s="590" t="n"/>
      <c r="AC672" s="591" t="n"/>
      <c r="AD672" s="592" t="n"/>
      <c r="AE672" s="593" t="n"/>
      <c r="AF672" s="594" t="n"/>
      <c r="AG672" s="693" t="n"/>
      <c r="AH672" s="721" t="n"/>
      <c r="AI672" s="721" t="n"/>
      <c r="AJ672" s="688" t="n"/>
      <c r="AK672" s="689" t="n"/>
      <c r="AL672" s="690" t="n"/>
      <c r="AM672" s="691" t="n"/>
      <c r="AN672" s="692" t="n"/>
      <c r="AO672" s="693" t="n"/>
      <c r="AP672" s="693" t="n"/>
      <c r="AQ672" s="693" t="n"/>
      <c r="AR672" s="693" t="n"/>
      <c r="AS672" s="693" t="n"/>
      <c r="AT672" s="693" t="n"/>
      <c r="AU672" s="699" t="n"/>
      <c r="AV672" s="693" t="n"/>
      <c r="AW672" s="693" t="n"/>
      <c r="AX672" s="693" t="n"/>
      <c r="AY672" s="693" t="n"/>
      <c r="AZ672" s="693" t="n"/>
    </row>
    <row r="673">
      <c r="A673" s="688" t="n"/>
      <c r="B673" s="688" t="n"/>
      <c r="C673" s="473" t="n"/>
      <c r="D673" s="688" t="n"/>
      <c r="E673" s="689" t="n"/>
      <c r="F673" s="721" t="n"/>
      <c r="G6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3" s="474">
        <f>G673/#REF!</f>
        <v/>
      </c>
      <c r="I673" s="690" t="n"/>
      <c r="J6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3" s="474">
        <f>J673/#REF!</f>
        <v/>
      </c>
      <c r="L673" s="473" t="n"/>
      <c r="M673" s="692" t="n"/>
      <c r="N673" s="693" t="n"/>
      <c r="O673" s="78" t="n"/>
      <c r="P673" s="129" t="n"/>
      <c r="Q673" s="129" t="n"/>
      <c r="R673" s="129" t="n"/>
      <c r="S673" s="129" t="n"/>
      <c r="T673" s="129" t="n"/>
      <c r="U673" s="129" t="n"/>
      <c r="V673" s="129" t="n"/>
      <c r="W673" s="129" t="n"/>
      <c r="X673" s="129" t="n"/>
      <c r="Y673" s="703" t="n"/>
      <c r="Z673" s="704" t="n"/>
      <c r="AA673" s="705" t="n"/>
      <c r="AB673" s="613" t="n"/>
      <c r="AC673" s="614" t="n"/>
      <c r="AD673" s="628" t="n"/>
      <c r="AE673" s="616" t="n"/>
      <c r="AF673" s="617" t="n"/>
      <c r="AG673" s="693" t="n"/>
      <c r="AH673" s="721" t="n"/>
      <c r="AI673" s="721" t="n"/>
      <c r="AJ673" s="688" t="n"/>
      <c r="AK673" s="689" t="n"/>
      <c r="AL673" s="690" t="n"/>
      <c r="AM673" s="691" t="n"/>
      <c r="AN673" s="692" t="n"/>
      <c r="AO673" s="693" t="n"/>
      <c r="AP673" s="693" t="n"/>
      <c r="AQ673" s="693" t="n"/>
      <c r="AR673" s="693" t="n"/>
      <c r="AS673" s="693" t="n"/>
      <c r="AT673" s="693" t="n"/>
      <c r="AU673" s="699" t="n"/>
      <c r="AV673" s="693" t="n"/>
      <c r="AW673" s="693" t="n"/>
      <c r="AX673" s="693" t="n"/>
      <c r="AY673" s="693" t="n"/>
      <c r="AZ673" s="693" t="n"/>
    </row>
    <row r="674">
      <c r="A674" s="688" t="n"/>
      <c r="B674" s="688" t="n"/>
      <c r="C674" s="473" t="n"/>
      <c r="D674" s="688" t="n"/>
      <c r="E674" s="689" t="n"/>
      <c r="F674" s="721" t="n"/>
      <c r="G6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4" s="474">
        <f>G674/#REF!</f>
        <v/>
      </c>
      <c r="I674" s="690" t="n"/>
      <c r="J6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4" s="474">
        <f>J674/#REF!</f>
        <v/>
      </c>
      <c r="L674" s="473" t="n"/>
      <c r="M674" s="692" t="n"/>
      <c r="N674" s="693" t="n"/>
      <c r="O674" s="78" t="n"/>
      <c r="P674" s="129" t="n"/>
      <c r="Q674" s="129" t="n"/>
      <c r="R674" s="129" t="n"/>
      <c r="S674" s="129" t="n"/>
      <c r="T674" s="129" t="n"/>
      <c r="U674" s="129" t="n"/>
      <c r="V674" s="129" t="n"/>
      <c r="W674" s="129" t="n"/>
      <c r="X674" s="129" t="n"/>
      <c r="Y674" s="708" t="n"/>
      <c r="Z674" s="709" t="n"/>
      <c r="AA674" s="710" t="n"/>
      <c r="AB674" s="590" t="n"/>
      <c r="AC674" s="591" t="n"/>
      <c r="AD674" s="592" t="n"/>
      <c r="AE674" s="593" t="n"/>
      <c r="AF674" s="594" t="n"/>
      <c r="AG674" s="693" t="n"/>
      <c r="AH674" s="721" t="n"/>
      <c r="AI674" s="721" t="n"/>
      <c r="AJ674" s="688" t="n"/>
      <c r="AK674" s="689" t="n"/>
      <c r="AL674" s="690" t="n"/>
      <c r="AM674" s="691" t="n"/>
      <c r="AN674" s="692" t="n"/>
      <c r="AO674" s="693" t="n"/>
      <c r="AP674" s="693" t="n"/>
      <c r="AQ674" s="693" t="n"/>
      <c r="AR674" s="693" t="n"/>
      <c r="AS674" s="693" t="n"/>
      <c r="AT674" s="693" t="n"/>
      <c r="AU674" s="699" t="n"/>
      <c r="AV674" s="693" t="n"/>
      <c r="AW674" s="693" t="n"/>
      <c r="AX674" s="693" t="n"/>
      <c r="AY674" s="693" t="n"/>
      <c r="AZ674" s="693" t="n"/>
    </row>
    <row r="675">
      <c r="A675" s="688" t="n"/>
      <c r="B675" s="688" t="n"/>
      <c r="C675" s="473" t="n"/>
      <c r="D675" s="688" t="n"/>
      <c r="E675" s="689" t="n"/>
      <c r="F675" s="721" t="n"/>
      <c r="G6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5" s="474">
        <f>G675/#REF!</f>
        <v/>
      </c>
      <c r="I675" s="690" t="n"/>
      <c r="J6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5" s="474">
        <f>J675/#REF!</f>
        <v/>
      </c>
      <c r="L675" s="473" t="n"/>
      <c r="M675" s="692" t="n"/>
      <c r="N675" s="693" t="n"/>
      <c r="O675" s="78" t="n"/>
      <c r="P675" s="129" t="n"/>
      <c r="Q675" s="129" t="n"/>
      <c r="R675" s="129" t="n"/>
      <c r="S675" s="129" t="n"/>
      <c r="T675" s="129" t="n"/>
      <c r="U675" s="129" t="n"/>
      <c r="V675" s="129" t="n"/>
      <c r="W675" s="129" t="n"/>
      <c r="X675" s="129" t="n"/>
      <c r="Y675" s="703" t="n"/>
      <c r="Z675" s="704" t="n"/>
      <c r="AA675" s="705" t="n"/>
      <c r="AB675" s="613" t="n"/>
      <c r="AC675" s="614" t="n"/>
      <c r="AD675" s="628" t="n"/>
      <c r="AE675" s="616" t="n"/>
      <c r="AF675" s="617" t="n"/>
      <c r="AG675" s="693" t="n"/>
      <c r="AH675" s="721" t="n"/>
      <c r="AI675" s="721" t="n"/>
      <c r="AJ675" s="688" t="n"/>
      <c r="AK675" s="689" t="n"/>
      <c r="AL675" s="690" t="n"/>
      <c r="AM675" s="691" t="n"/>
      <c r="AN675" s="692" t="n"/>
      <c r="AO675" s="693" t="n"/>
      <c r="AP675" s="693" t="n"/>
      <c r="AQ675" s="693" t="n"/>
      <c r="AR675" s="693" t="n"/>
      <c r="AS675" s="693" t="n"/>
      <c r="AT675" s="693" t="n"/>
      <c r="AU675" s="699" t="n"/>
      <c r="AV675" s="693" t="n"/>
      <c r="AW675" s="693" t="n"/>
      <c r="AX675" s="693" t="n"/>
      <c r="AY675" s="693" t="n"/>
      <c r="AZ675" s="693" t="n"/>
    </row>
    <row r="676">
      <c r="A676" s="688" t="n"/>
      <c r="B676" s="688" t="n"/>
      <c r="C676" s="473" t="n"/>
      <c r="D676" s="688" t="n"/>
      <c r="E676" s="689" t="n"/>
      <c r="F676" s="721" t="n"/>
      <c r="G6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6" s="474">
        <f>G676/#REF!</f>
        <v/>
      </c>
      <c r="I676" s="690" t="n"/>
      <c r="J6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6" s="474">
        <f>J676/#REF!</f>
        <v/>
      </c>
      <c r="L676" s="473" t="n"/>
      <c r="M676" s="692" t="n"/>
      <c r="N676" s="693" t="n"/>
      <c r="O676" s="78" t="n"/>
      <c r="P676" s="129" t="n"/>
      <c r="Q676" s="129" t="n"/>
      <c r="R676" s="129" t="n"/>
      <c r="S676" s="129" t="n"/>
      <c r="T676" s="129" t="n"/>
      <c r="U676" s="129" t="n"/>
      <c r="V676" s="129" t="n"/>
      <c r="W676" s="129" t="n"/>
      <c r="X676" s="129" t="n"/>
      <c r="Y676" s="708" t="n"/>
      <c r="Z676" s="709" t="n"/>
      <c r="AA676" s="710" t="n"/>
      <c r="AB676" s="590" t="n"/>
      <c r="AC676" s="591" t="n"/>
      <c r="AD676" s="592" t="n"/>
      <c r="AE676" s="593" t="n"/>
      <c r="AF676" s="594" t="n"/>
      <c r="AG676" s="693" t="n"/>
      <c r="AH676" s="721" t="n"/>
      <c r="AI676" s="721" t="n"/>
      <c r="AJ676" s="688" t="n"/>
      <c r="AK676" s="689" t="n"/>
      <c r="AL676" s="690" t="n"/>
      <c r="AM676" s="691" t="n"/>
      <c r="AN676" s="692" t="n"/>
      <c r="AO676" s="693" t="n"/>
      <c r="AP676" s="693" t="n"/>
      <c r="AQ676" s="693" t="n"/>
      <c r="AR676" s="693" t="n"/>
      <c r="AS676" s="693" t="n"/>
      <c r="AT676" s="693" t="n"/>
      <c r="AU676" s="699" t="n"/>
      <c r="AV676" s="693" t="n"/>
      <c r="AW676" s="693" t="n"/>
      <c r="AX676" s="693" t="n"/>
      <c r="AY676" s="693" t="n"/>
      <c r="AZ676" s="693" t="n"/>
    </row>
    <row r="677">
      <c r="A677" s="688" t="n"/>
      <c r="B677" s="688" t="n"/>
      <c r="C677" s="473" t="n"/>
      <c r="D677" s="688" t="n"/>
      <c r="E677" s="689" t="n"/>
      <c r="F677" s="721" t="n"/>
      <c r="G6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7" s="474">
        <f>G677/#REF!</f>
        <v/>
      </c>
      <c r="I677" s="690" t="n"/>
      <c r="J6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7" s="474">
        <f>J677/#REF!</f>
        <v/>
      </c>
      <c r="L677" s="473" t="n"/>
      <c r="M677" s="692" t="n"/>
      <c r="N677" s="693" t="n"/>
      <c r="O677" s="78" t="n"/>
      <c r="P677" s="129" t="n"/>
      <c r="Q677" s="129" t="n"/>
      <c r="R677" s="129" t="n"/>
      <c r="S677" s="129" t="n"/>
      <c r="T677" s="129" t="n"/>
      <c r="U677" s="129" t="n"/>
      <c r="V677" s="129" t="n"/>
      <c r="W677" s="129" t="n"/>
      <c r="X677" s="129" t="n"/>
      <c r="Y677" s="703" t="n"/>
      <c r="Z677" s="704" t="n"/>
      <c r="AA677" s="705" t="n"/>
      <c r="AB677" s="613" t="n"/>
      <c r="AC677" s="614" t="n"/>
      <c r="AD677" s="628" t="n"/>
      <c r="AE677" s="616" t="n"/>
      <c r="AF677" s="617" t="n"/>
      <c r="AG677" s="693" t="n"/>
      <c r="AH677" s="721" t="n"/>
      <c r="AI677" s="721" t="n"/>
      <c r="AJ677" s="688" t="n"/>
      <c r="AK677" s="689" t="n"/>
      <c r="AL677" s="690" t="n"/>
      <c r="AM677" s="691" t="n"/>
      <c r="AN677" s="692" t="n"/>
      <c r="AO677" s="693" t="n"/>
      <c r="AP677" s="693" t="n"/>
      <c r="AQ677" s="693" t="n"/>
      <c r="AR677" s="693" t="n"/>
      <c r="AS677" s="693" t="n"/>
      <c r="AT677" s="693" t="n"/>
      <c r="AU677" s="699" t="n"/>
      <c r="AV677" s="693" t="n"/>
      <c r="AW677" s="693" t="n"/>
      <c r="AX677" s="693" t="n"/>
      <c r="AY677" s="693" t="n"/>
      <c r="AZ677" s="693" t="n"/>
    </row>
    <row r="678">
      <c r="A678" s="688" t="n"/>
      <c r="B678" s="688" t="n"/>
      <c r="C678" s="473" t="n"/>
      <c r="D678" s="688" t="n"/>
      <c r="E678" s="689" t="n"/>
      <c r="F678" s="721" t="n"/>
      <c r="G6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8" s="474">
        <f>G678/#REF!</f>
        <v/>
      </c>
      <c r="I678" s="690" t="n"/>
      <c r="J6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8" s="474">
        <f>J678/#REF!</f>
        <v/>
      </c>
      <c r="L678" s="473" t="n"/>
      <c r="M678" s="692" t="n"/>
      <c r="N678" s="693" t="n"/>
      <c r="O678" s="78" t="n"/>
      <c r="P678" s="129" t="n"/>
      <c r="Q678" s="129" t="n"/>
      <c r="R678" s="129" t="n"/>
      <c r="S678" s="129" t="n"/>
      <c r="T678" s="129" t="n"/>
      <c r="U678" s="129" t="n"/>
      <c r="V678" s="129" t="n"/>
      <c r="W678" s="129" t="n"/>
      <c r="X678" s="129" t="n"/>
      <c r="Y678" s="708" t="n"/>
      <c r="Z678" s="709" t="n"/>
      <c r="AA678" s="710" t="n"/>
      <c r="AB678" s="590" t="n"/>
      <c r="AC678" s="591" t="n"/>
      <c r="AD678" s="592" t="n"/>
      <c r="AE678" s="593" t="n"/>
      <c r="AF678" s="594" t="n"/>
      <c r="AG678" s="693" t="n"/>
      <c r="AH678" s="721" t="n"/>
      <c r="AI678" s="721" t="n"/>
      <c r="AJ678" s="688" t="n"/>
      <c r="AK678" s="689" t="n"/>
      <c r="AL678" s="690" t="n"/>
      <c r="AM678" s="691" t="n"/>
      <c r="AN678" s="692" t="n"/>
      <c r="AO678" s="693" t="n"/>
      <c r="AP678" s="693" t="n"/>
      <c r="AQ678" s="693" t="n"/>
      <c r="AR678" s="693" t="n"/>
      <c r="AS678" s="693" t="n"/>
      <c r="AT678" s="693" t="n"/>
      <c r="AU678" s="699" t="n"/>
      <c r="AV678" s="693" t="n"/>
      <c r="AW678" s="693" t="n"/>
      <c r="AX678" s="693" t="n"/>
      <c r="AY678" s="693" t="n"/>
      <c r="AZ678" s="693" t="n"/>
    </row>
    <row r="679">
      <c r="A679" s="688" t="n"/>
      <c r="B679" s="688" t="n"/>
      <c r="C679" s="473" t="n"/>
      <c r="D679" s="688" t="n"/>
      <c r="E679" s="689" t="n"/>
      <c r="F679" s="721" t="n"/>
      <c r="G6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79" s="474">
        <f>G679/#REF!</f>
        <v/>
      </c>
      <c r="I679" s="690" t="n"/>
      <c r="J6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79" s="474">
        <f>J679/#REF!</f>
        <v/>
      </c>
      <c r="L679" s="473" t="n"/>
      <c r="M679" s="692" t="n"/>
      <c r="N679" s="693" t="n"/>
      <c r="O679" s="78" t="n"/>
      <c r="P679" s="129" t="n"/>
      <c r="Q679" s="129" t="n"/>
      <c r="R679" s="129" t="n"/>
      <c r="S679" s="129" t="n"/>
      <c r="T679" s="129" t="n"/>
      <c r="U679" s="129" t="n"/>
      <c r="V679" s="129" t="n"/>
      <c r="W679" s="129" t="n"/>
      <c r="X679" s="129" t="n"/>
      <c r="Y679" s="703" t="n"/>
      <c r="Z679" s="704" t="n"/>
      <c r="AA679" s="705" t="n"/>
      <c r="AB679" s="613" t="n"/>
      <c r="AC679" s="614" t="n"/>
      <c r="AD679" s="628" t="n"/>
      <c r="AE679" s="616" t="n"/>
      <c r="AF679" s="617" t="n"/>
      <c r="AG679" s="693" t="n"/>
      <c r="AH679" s="721" t="n"/>
      <c r="AI679" s="721" t="n"/>
      <c r="AJ679" s="688" t="n"/>
      <c r="AK679" s="689" t="n"/>
      <c r="AL679" s="690" t="n"/>
      <c r="AM679" s="691" t="n"/>
      <c r="AN679" s="692" t="n"/>
      <c r="AO679" s="693" t="n"/>
      <c r="AP679" s="693" t="n"/>
      <c r="AQ679" s="693" t="n"/>
      <c r="AR679" s="693" t="n"/>
      <c r="AS679" s="693" t="n"/>
      <c r="AT679" s="693" t="n"/>
      <c r="AU679" s="699" t="n"/>
      <c r="AV679" s="693" t="n"/>
      <c r="AW679" s="693" t="n"/>
      <c r="AX679" s="693" t="n"/>
      <c r="AY679" s="693" t="n"/>
      <c r="AZ679" s="693" t="n"/>
    </row>
    <row r="680">
      <c r="A680" s="688" t="n"/>
      <c r="B680" s="688" t="n"/>
      <c r="C680" s="473" t="n"/>
      <c r="D680" s="688" t="n"/>
      <c r="E680" s="689" t="n"/>
      <c r="F680" s="721" t="n"/>
      <c r="G6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0" s="474">
        <f>G680/#REF!</f>
        <v/>
      </c>
      <c r="I680" s="690" t="n"/>
      <c r="J6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0" s="474">
        <f>J680/#REF!</f>
        <v/>
      </c>
      <c r="L680" s="473" t="n"/>
      <c r="M680" s="692" t="n"/>
      <c r="N680" s="693" t="n"/>
      <c r="O680" s="78" t="n"/>
      <c r="P680" s="129" t="n"/>
      <c r="Q680" s="129" t="n"/>
      <c r="R680" s="129" t="n"/>
      <c r="S680" s="129" t="n"/>
      <c r="T680" s="129" t="n"/>
      <c r="U680" s="129" t="n"/>
      <c r="V680" s="129" t="n"/>
      <c r="W680" s="129" t="n"/>
      <c r="X680" s="129" t="n"/>
      <c r="Y680" s="708" t="n"/>
      <c r="Z680" s="709" t="n"/>
      <c r="AA680" s="710" t="n"/>
      <c r="AB680" s="590" t="n"/>
      <c r="AC680" s="591" t="n"/>
      <c r="AD680" s="592" t="n"/>
      <c r="AE680" s="593" t="n"/>
      <c r="AF680" s="594" t="n"/>
      <c r="AG680" s="693" t="n"/>
      <c r="AH680" s="721" t="n"/>
      <c r="AI680" s="721" t="n"/>
      <c r="AJ680" s="688" t="n"/>
      <c r="AK680" s="689" t="n"/>
      <c r="AL680" s="690" t="n"/>
      <c r="AM680" s="691" t="n"/>
      <c r="AN680" s="692" t="n"/>
      <c r="AO680" s="693" t="n"/>
      <c r="AP680" s="693" t="n"/>
      <c r="AQ680" s="693" t="n"/>
      <c r="AR680" s="693" t="n"/>
      <c r="AS680" s="693" t="n"/>
      <c r="AT680" s="693" t="n"/>
      <c r="AU680" s="699" t="n"/>
      <c r="AV680" s="693" t="n"/>
      <c r="AW680" s="693" t="n"/>
      <c r="AX680" s="693" t="n"/>
      <c r="AY680" s="693" t="n"/>
      <c r="AZ680" s="693" t="n"/>
    </row>
    <row r="681">
      <c r="A681" s="688" t="n"/>
      <c r="B681" s="688" t="n"/>
      <c r="C681" s="473" t="n"/>
      <c r="D681" s="688" t="n"/>
      <c r="E681" s="689" t="n"/>
      <c r="F681" s="721" t="n"/>
      <c r="G6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1" s="474">
        <f>G681/#REF!</f>
        <v/>
      </c>
      <c r="I681" s="690" t="n"/>
      <c r="J6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1" s="474">
        <f>J681/#REF!</f>
        <v/>
      </c>
      <c r="L681" s="473" t="n"/>
      <c r="M681" s="692" t="n"/>
      <c r="N681" s="693" t="n"/>
      <c r="O681" s="78" t="n"/>
      <c r="P681" s="129" t="n"/>
      <c r="Q681" s="129" t="n"/>
      <c r="R681" s="129" t="n"/>
      <c r="S681" s="129" t="n"/>
      <c r="T681" s="129" t="n"/>
      <c r="U681" s="129" t="n"/>
      <c r="V681" s="129" t="n"/>
      <c r="W681" s="129" t="n"/>
      <c r="X681" s="129" t="n"/>
      <c r="Y681" s="703" t="n"/>
      <c r="Z681" s="704" t="n"/>
      <c r="AA681" s="705" t="n"/>
      <c r="AB681" s="613" t="n"/>
      <c r="AC681" s="614" t="n"/>
      <c r="AD681" s="628" t="n"/>
      <c r="AE681" s="616" t="n"/>
      <c r="AF681" s="617" t="n"/>
      <c r="AG681" s="693" t="n"/>
      <c r="AH681" s="721" t="n"/>
      <c r="AI681" s="721" t="n"/>
      <c r="AJ681" s="688" t="n"/>
      <c r="AK681" s="689" t="n"/>
      <c r="AL681" s="690" t="n"/>
      <c r="AM681" s="691" t="n"/>
      <c r="AN681" s="692" t="n"/>
      <c r="AO681" s="693" t="n"/>
      <c r="AP681" s="693" t="n"/>
      <c r="AQ681" s="693" t="n"/>
      <c r="AR681" s="693" t="n"/>
      <c r="AS681" s="693" t="n"/>
      <c r="AT681" s="693" t="n"/>
      <c r="AU681" s="699" t="n"/>
      <c r="AV681" s="693" t="n"/>
      <c r="AW681" s="693" t="n"/>
      <c r="AX681" s="693" t="n"/>
      <c r="AY681" s="693" t="n"/>
      <c r="AZ681" s="693" t="n"/>
    </row>
    <row r="682">
      <c r="A682" s="688" t="n"/>
      <c r="B682" s="688" t="n"/>
      <c r="C682" s="473" t="n"/>
      <c r="D682" s="688" t="n"/>
      <c r="E682" s="689" t="n"/>
      <c r="F682" s="721" t="n"/>
      <c r="G6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2" s="474">
        <f>G682/#REF!</f>
        <v/>
      </c>
      <c r="I682" s="690" t="n"/>
      <c r="J6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2" s="474">
        <f>J682/#REF!</f>
        <v/>
      </c>
      <c r="L682" s="473" t="n"/>
      <c r="M682" s="692" t="n"/>
      <c r="N682" s="693" t="n"/>
      <c r="O682" s="78" t="n"/>
      <c r="P682" s="129" t="n"/>
      <c r="Q682" s="129" t="n"/>
      <c r="R682" s="129" t="n"/>
      <c r="S682" s="129" t="n"/>
      <c r="T682" s="129" t="n"/>
      <c r="U682" s="129" t="n"/>
      <c r="V682" s="129" t="n"/>
      <c r="W682" s="129" t="n"/>
      <c r="X682" s="129" t="n"/>
      <c r="Y682" s="708" t="n"/>
      <c r="Z682" s="709" t="n"/>
      <c r="AA682" s="710" t="n"/>
      <c r="AB682" s="590" t="n"/>
      <c r="AC682" s="591" t="n"/>
      <c r="AD682" s="592" t="n"/>
      <c r="AE682" s="593" t="n"/>
      <c r="AF682" s="594" t="n"/>
      <c r="AG682" s="693" t="n"/>
      <c r="AH682" s="721" t="n"/>
      <c r="AI682" s="721" t="n"/>
      <c r="AJ682" s="688" t="n"/>
      <c r="AK682" s="689" t="n"/>
      <c r="AL682" s="690" t="n"/>
      <c r="AM682" s="691" t="n"/>
      <c r="AN682" s="692" t="n"/>
      <c r="AO682" s="693" t="n"/>
      <c r="AP682" s="693" t="n"/>
      <c r="AQ682" s="693" t="n"/>
      <c r="AR682" s="693" t="n"/>
      <c r="AS682" s="693" t="n"/>
      <c r="AT682" s="693" t="n"/>
      <c r="AU682" s="699" t="n"/>
      <c r="AV682" s="693" t="n"/>
      <c r="AW682" s="693" t="n"/>
      <c r="AX682" s="693" t="n"/>
      <c r="AY682" s="693" t="n"/>
      <c r="AZ682" s="693" t="n"/>
    </row>
    <row r="683">
      <c r="A683" s="688" t="n"/>
      <c r="B683" s="688" t="n"/>
      <c r="C683" s="473" t="n"/>
      <c r="D683" s="688" t="n"/>
      <c r="E683" s="689" t="n"/>
      <c r="F683" s="721" t="n"/>
      <c r="G6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3" s="474">
        <f>G683/#REF!</f>
        <v/>
      </c>
      <c r="I683" s="690" t="n"/>
      <c r="J6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3" s="474">
        <f>J683/#REF!</f>
        <v/>
      </c>
      <c r="L683" s="473" t="n"/>
      <c r="M683" s="692" t="n"/>
      <c r="N683" s="693" t="n"/>
      <c r="O683" s="78" t="n"/>
      <c r="P683" s="129" t="n"/>
      <c r="Q683" s="129" t="n"/>
      <c r="R683" s="129" t="n"/>
      <c r="S683" s="129" t="n"/>
      <c r="T683" s="129" t="n"/>
      <c r="U683" s="129" t="n"/>
      <c r="V683" s="129" t="n"/>
      <c r="W683" s="129" t="n"/>
      <c r="X683" s="129" t="n"/>
      <c r="Y683" s="703" t="n"/>
      <c r="Z683" s="704" t="n"/>
      <c r="AA683" s="705" t="n"/>
      <c r="AB683" s="613" t="n"/>
      <c r="AC683" s="614" t="n"/>
      <c r="AD683" s="628" t="n"/>
      <c r="AE683" s="616" t="n"/>
      <c r="AF683" s="617" t="n"/>
      <c r="AG683" s="693" t="n"/>
      <c r="AH683" s="721" t="n"/>
      <c r="AI683" s="721" t="n"/>
      <c r="AJ683" s="688" t="n"/>
      <c r="AK683" s="689" t="n"/>
      <c r="AL683" s="690" t="n"/>
      <c r="AM683" s="691" t="n"/>
      <c r="AN683" s="692" t="n"/>
      <c r="AO683" s="693" t="n"/>
      <c r="AP683" s="693" t="n"/>
      <c r="AQ683" s="693" t="n"/>
      <c r="AR683" s="693" t="n"/>
      <c r="AS683" s="693" t="n"/>
      <c r="AT683" s="693" t="n"/>
      <c r="AU683" s="699" t="n"/>
      <c r="AV683" s="693" t="n"/>
      <c r="AW683" s="693" t="n"/>
      <c r="AX683" s="693" t="n"/>
      <c r="AY683" s="693" t="n"/>
      <c r="AZ683" s="693" t="n"/>
    </row>
    <row r="684">
      <c r="A684" s="688" t="n"/>
      <c r="B684" s="688" t="n"/>
      <c r="C684" s="473" t="n"/>
      <c r="D684" s="688" t="n"/>
      <c r="E684" s="689" t="n"/>
      <c r="F684" s="721" t="n"/>
      <c r="G6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4" s="474">
        <f>G684/#REF!</f>
        <v/>
      </c>
      <c r="I684" s="690" t="n"/>
      <c r="J6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4" s="474">
        <f>J684/#REF!</f>
        <v/>
      </c>
      <c r="L684" s="473" t="n"/>
      <c r="M684" s="692" t="n"/>
      <c r="N684" s="693" t="n"/>
      <c r="O684" s="78" t="n"/>
      <c r="P684" s="129" t="n"/>
      <c r="Q684" s="129" t="n"/>
      <c r="R684" s="129" t="n"/>
      <c r="S684" s="129" t="n"/>
      <c r="T684" s="129" t="n"/>
      <c r="U684" s="129" t="n"/>
      <c r="V684" s="129" t="n"/>
      <c r="W684" s="129" t="n"/>
      <c r="X684" s="129" t="n"/>
      <c r="Y684" s="708" t="n"/>
      <c r="Z684" s="709" t="n"/>
      <c r="AA684" s="710" t="n"/>
      <c r="AB684" s="590" t="n"/>
      <c r="AC684" s="591" t="n"/>
      <c r="AD684" s="592" t="n"/>
      <c r="AE684" s="593" t="n"/>
      <c r="AF684" s="594" t="n"/>
      <c r="AG684" s="693" t="n"/>
      <c r="AH684" s="721" t="n"/>
      <c r="AI684" s="721" t="n"/>
      <c r="AJ684" s="688" t="n"/>
      <c r="AK684" s="689" t="n"/>
      <c r="AL684" s="690" t="n"/>
      <c r="AM684" s="691" t="n"/>
      <c r="AN684" s="692" t="n"/>
      <c r="AO684" s="693" t="n"/>
      <c r="AP684" s="693" t="n"/>
      <c r="AQ684" s="693" t="n"/>
      <c r="AR684" s="693" t="n"/>
      <c r="AS684" s="693" t="n"/>
      <c r="AT684" s="693" t="n"/>
      <c r="AU684" s="699" t="n"/>
      <c r="AV684" s="693" t="n"/>
      <c r="AW684" s="693" t="n"/>
      <c r="AX684" s="693" t="n"/>
      <c r="AY684" s="693" t="n"/>
      <c r="AZ684" s="693" t="n"/>
    </row>
    <row r="685">
      <c r="A685" s="688" t="n"/>
      <c r="B685" s="688" t="n"/>
      <c r="C685" s="473" t="n"/>
      <c r="D685" s="688" t="n"/>
      <c r="E685" s="689" t="n"/>
      <c r="F685" s="721" t="n"/>
      <c r="G6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5" s="474">
        <f>G685/#REF!</f>
        <v/>
      </c>
      <c r="I685" s="690" t="n"/>
      <c r="J6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5" s="474">
        <f>J685/#REF!</f>
        <v/>
      </c>
      <c r="L685" s="473" t="n"/>
      <c r="M685" s="692" t="n"/>
      <c r="N685" s="693" t="n"/>
      <c r="O685" s="78" t="n"/>
      <c r="P685" s="129" t="n"/>
      <c r="Q685" s="129" t="n"/>
      <c r="R685" s="129" t="n"/>
      <c r="S685" s="129" t="n"/>
      <c r="T685" s="129" t="n"/>
      <c r="U685" s="129" t="n"/>
      <c r="V685" s="129" t="n"/>
      <c r="W685" s="129" t="n"/>
      <c r="X685" s="129" t="n"/>
      <c r="Y685" s="703" t="n"/>
      <c r="Z685" s="704" t="n"/>
      <c r="AA685" s="705" t="n"/>
      <c r="AB685" s="613" t="n"/>
      <c r="AC685" s="614" t="n"/>
      <c r="AD685" s="628" t="n"/>
      <c r="AE685" s="616" t="n"/>
      <c r="AF685" s="617" t="n"/>
      <c r="AG685" s="693" t="n"/>
      <c r="AH685" s="721" t="n"/>
      <c r="AI685" s="721" t="n"/>
      <c r="AJ685" s="688" t="n"/>
      <c r="AK685" s="689" t="n"/>
      <c r="AL685" s="690" t="n"/>
      <c r="AM685" s="691" t="n"/>
      <c r="AN685" s="692" t="n"/>
      <c r="AO685" s="693" t="n"/>
      <c r="AP685" s="693" t="n"/>
      <c r="AQ685" s="693" t="n"/>
      <c r="AR685" s="693" t="n"/>
      <c r="AS685" s="693" t="n"/>
      <c r="AT685" s="693" t="n"/>
      <c r="AU685" s="699" t="n"/>
      <c r="AV685" s="693" t="n"/>
      <c r="AW685" s="693" t="n"/>
      <c r="AX685" s="693" t="n"/>
      <c r="AY685" s="693" t="n"/>
      <c r="AZ685" s="693" t="n"/>
    </row>
    <row r="686">
      <c r="A686" s="688" t="n"/>
      <c r="B686" s="688" t="n"/>
      <c r="C686" s="473" t="n"/>
      <c r="D686" s="688" t="n"/>
      <c r="E686" s="689" t="n"/>
      <c r="F686" s="721" t="n"/>
      <c r="G6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6" s="474">
        <f>G686/#REF!</f>
        <v/>
      </c>
      <c r="I686" s="690" t="n"/>
      <c r="J6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6" s="474">
        <f>J686/#REF!</f>
        <v/>
      </c>
      <c r="L686" s="473" t="n"/>
      <c r="M686" s="692" t="n"/>
      <c r="N686" s="693" t="n"/>
      <c r="O686" s="78" t="n"/>
      <c r="P686" s="129" t="n"/>
      <c r="Q686" s="129" t="n"/>
      <c r="R686" s="129" t="n"/>
      <c r="S686" s="129" t="n"/>
      <c r="T686" s="129" t="n"/>
      <c r="U686" s="129" t="n"/>
      <c r="V686" s="129" t="n"/>
      <c r="W686" s="129" t="n"/>
      <c r="X686" s="129" t="n"/>
      <c r="Y686" s="708" t="n"/>
      <c r="Z686" s="709" t="n"/>
      <c r="AA686" s="710" t="n"/>
      <c r="AB686" s="590" t="n"/>
      <c r="AC686" s="591" t="n"/>
      <c r="AD686" s="592" t="n"/>
      <c r="AE686" s="593" t="n"/>
      <c r="AF686" s="594" t="n"/>
      <c r="AG686" s="693" t="n"/>
      <c r="AH686" s="721" t="n"/>
      <c r="AI686" s="721" t="n"/>
      <c r="AJ686" s="688" t="n"/>
      <c r="AK686" s="689" t="n"/>
      <c r="AL686" s="690" t="n"/>
      <c r="AM686" s="691" t="n"/>
      <c r="AN686" s="692" t="n"/>
      <c r="AO686" s="693" t="n"/>
      <c r="AP686" s="693" t="n"/>
      <c r="AQ686" s="693" t="n"/>
      <c r="AR686" s="693" t="n"/>
      <c r="AS686" s="693" t="n"/>
      <c r="AT686" s="693" t="n"/>
      <c r="AU686" s="699" t="n"/>
      <c r="AV686" s="693" t="n"/>
      <c r="AW686" s="693" t="n"/>
      <c r="AX686" s="693" t="n"/>
      <c r="AY686" s="693" t="n"/>
      <c r="AZ686" s="693" t="n"/>
    </row>
    <row r="687">
      <c r="A687" s="688" t="n"/>
      <c r="B687" s="688" t="n"/>
      <c r="C687" s="473" t="n"/>
      <c r="D687" s="688" t="n"/>
      <c r="E687" s="689" t="n"/>
      <c r="F687" s="721" t="n"/>
      <c r="G6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7" s="474">
        <f>G687/#REF!</f>
        <v/>
      </c>
      <c r="I687" s="690" t="n"/>
      <c r="J6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7" s="474">
        <f>J687/#REF!</f>
        <v/>
      </c>
      <c r="L687" s="473" t="n"/>
      <c r="M687" s="692" t="n"/>
      <c r="N687" s="693" t="n"/>
      <c r="O687" s="78" t="n"/>
      <c r="P687" s="129" t="n"/>
      <c r="Q687" s="129" t="n"/>
      <c r="R687" s="129" t="n"/>
      <c r="S687" s="129" t="n"/>
      <c r="T687" s="129" t="n"/>
      <c r="U687" s="129" t="n"/>
      <c r="V687" s="129" t="n"/>
      <c r="W687" s="129" t="n"/>
      <c r="X687" s="129" t="n"/>
      <c r="Y687" s="703" t="n"/>
      <c r="Z687" s="704" t="n"/>
      <c r="AA687" s="705" t="n"/>
      <c r="AB687" s="613" t="n"/>
      <c r="AC687" s="614" t="n"/>
      <c r="AD687" s="628" t="n"/>
      <c r="AE687" s="616" t="n"/>
      <c r="AF687" s="617" t="n"/>
      <c r="AG687" s="693" t="n"/>
      <c r="AH687" s="721" t="n"/>
      <c r="AI687" s="721" t="n"/>
      <c r="AJ687" s="688" t="n"/>
      <c r="AK687" s="689" t="n"/>
      <c r="AL687" s="690" t="n"/>
      <c r="AM687" s="691" t="n"/>
      <c r="AN687" s="692" t="n"/>
      <c r="AO687" s="693" t="n"/>
      <c r="AP687" s="693" t="n"/>
      <c r="AQ687" s="693" t="n"/>
      <c r="AR687" s="693" t="n"/>
      <c r="AS687" s="693" t="n"/>
      <c r="AT687" s="693" t="n"/>
      <c r="AU687" s="699" t="n"/>
      <c r="AV687" s="693" t="n"/>
      <c r="AW687" s="693" t="n"/>
      <c r="AX687" s="693" t="n"/>
      <c r="AY687" s="693" t="n"/>
      <c r="AZ687" s="693" t="n"/>
    </row>
    <row r="688">
      <c r="A688" s="688" t="n"/>
      <c r="B688" s="688" t="n"/>
      <c r="C688" s="473" t="n"/>
      <c r="D688" s="688" t="n"/>
      <c r="E688" s="689" t="n"/>
      <c r="F688" s="721" t="n"/>
      <c r="G6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8" s="474">
        <f>G688/#REF!</f>
        <v/>
      </c>
      <c r="I688" s="690" t="n"/>
      <c r="J6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8" s="474">
        <f>J688/#REF!</f>
        <v/>
      </c>
      <c r="L688" s="473" t="n"/>
      <c r="M688" s="692" t="n"/>
      <c r="N688" s="693" t="n"/>
      <c r="O688" s="78" t="n"/>
      <c r="P688" s="129" t="n"/>
      <c r="Q688" s="129" t="n"/>
      <c r="R688" s="129" t="n"/>
      <c r="S688" s="129" t="n"/>
      <c r="T688" s="129" t="n"/>
      <c r="U688" s="129" t="n"/>
      <c r="V688" s="129" t="n"/>
      <c r="W688" s="129" t="n"/>
      <c r="X688" s="129" t="n"/>
      <c r="Y688" s="708" t="n"/>
      <c r="Z688" s="709" t="n"/>
      <c r="AA688" s="710" t="n"/>
      <c r="AB688" s="590" t="n"/>
      <c r="AC688" s="591" t="n"/>
      <c r="AD688" s="592" t="n"/>
      <c r="AE688" s="593" t="n"/>
      <c r="AF688" s="594" t="n"/>
      <c r="AG688" s="693" t="n"/>
      <c r="AH688" s="721" t="n"/>
      <c r="AI688" s="721" t="n"/>
      <c r="AJ688" s="688" t="n"/>
      <c r="AK688" s="689" t="n"/>
      <c r="AL688" s="690" t="n"/>
      <c r="AM688" s="691" t="n"/>
      <c r="AN688" s="692" t="n"/>
      <c r="AO688" s="693" t="n"/>
      <c r="AP688" s="693" t="n"/>
      <c r="AQ688" s="693" t="n"/>
      <c r="AR688" s="693" t="n"/>
      <c r="AS688" s="693" t="n"/>
      <c r="AT688" s="693" t="n"/>
      <c r="AU688" s="699" t="n"/>
      <c r="AV688" s="693" t="n"/>
      <c r="AW688" s="693" t="n"/>
      <c r="AX688" s="693" t="n"/>
      <c r="AY688" s="693" t="n"/>
      <c r="AZ688" s="693" t="n"/>
    </row>
    <row r="689">
      <c r="A689" s="688" t="n"/>
      <c r="B689" s="688" t="n"/>
      <c r="C689" s="473" t="n"/>
      <c r="D689" s="688" t="n"/>
      <c r="E689" s="689" t="n"/>
      <c r="F689" s="721" t="n"/>
      <c r="G6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89" s="474">
        <f>G689/#REF!</f>
        <v/>
      </c>
      <c r="I689" s="690" t="n"/>
      <c r="J6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89" s="474">
        <f>J689/#REF!</f>
        <v/>
      </c>
      <c r="L689" s="473" t="n"/>
      <c r="M689" s="692" t="n"/>
      <c r="N689" s="693" t="n"/>
      <c r="O689" s="78" t="n"/>
      <c r="P689" s="129" t="n"/>
      <c r="Q689" s="129" t="n"/>
      <c r="R689" s="129" t="n"/>
      <c r="S689" s="129" t="n"/>
      <c r="T689" s="129" t="n"/>
      <c r="U689" s="129" t="n"/>
      <c r="V689" s="129" t="n"/>
      <c r="W689" s="129" t="n"/>
      <c r="X689" s="129" t="n"/>
      <c r="Y689" s="703" t="n"/>
      <c r="Z689" s="704" t="n"/>
      <c r="AA689" s="705" t="n"/>
      <c r="AB689" s="613" t="n"/>
      <c r="AC689" s="614" t="n"/>
      <c r="AD689" s="628" t="n"/>
      <c r="AE689" s="616" t="n"/>
      <c r="AF689" s="617" t="n"/>
      <c r="AG689" s="693" t="n"/>
      <c r="AH689" s="721" t="n"/>
      <c r="AI689" s="721" t="n"/>
      <c r="AJ689" s="688" t="n"/>
      <c r="AK689" s="689" t="n"/>
      <c r="AL689" s="690" t="n"/>
      <c r="AM689" s="691" t="n"/>
      <c r="AN689" s="692" t="n"/>
      <c r="AO689" s="693" t="n"/>
      <c r="AP689" s="693" t="n"/>
      <c r="AQ689" s="693" t="n"/>
      <c r="AR689" s="693" t="n"/>
      <c r="AS689" s="693" t="n"/>
      <c r="AT689" s="693" t="n"/>
      <c r="AU689" s="699" t="n"/>
      <c r="AV689" s="693" t="n"/>
      <c r="AW689" s="693" t="n"/>
      <c r="AX689" s="693" t="n"/>
      <c r="AY689" s="693" t="n"/>
      <c r="AZ689" s="693" t="n"/>
    </row>
    <row r="690">
      <c r="A690" s="688" t="n"/>
      <c r="B690" s="688" t="n"/>
      <c r="C690" s="473" t="n"/>
      <c r="D690" s="688" t="n"/>
      <c r="E690" s="689" t="n"/>
      <c r="F690" s="721" t="n"/>
      <c r="G6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0" s="474">
        <f>G690/#REF!</f>
        <v/>
      </c>
      <c r="I690" s="690" t="n"/>
      <c r="J6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0" s="474">
        <f>J690/#REF!</f>
        <v/>
      </c>
      <c r="L690" s="473" t="n"/>
      <c r="M690" s="692" t="n"/>
      <c r="N690" s="693" t="n"/>
      <c r="O690" s="78" t="n"/>
      <c r="P690" s="129" t="n"/>
      <c r="Q690" s="129" t="n"/>
      <c r="R690" s="129" t="n"/>
      <c r="S690" s="129" t="n"/>
      <c r="T690" s="129" t="n"/>
      <c r="U690" s="129" t="n"/>
      <c r="V690" s="129" t="n"/>
      <c r="W690" s="129" t="n"/>
      <c r="X690" s="129" t="n"/>
      <c r="Y690" s="708" t="n"/>
      <c r="Z690" s="709" t="n"/>
      <c r="AA690" s="710" t="n"/>
      <c r="AB690" s="590" t="n"/>
      <c r="AC690" s="591" t="n"/>
      <c r="AD690" s="592" t="n"/>
      <c r="AE690" s="593" t="n"/>
      <c r="AF690" s="594" t="n"/>
      <c r="AG690" s="693" t="n"/>
      <c r="AH690" s="721" t="n"/>
      <c r="AI690" s="721" t="n"/>
      <c r="AJ690" s="688" t="n"/>
      <c r="AK690" s="689" t="n"/>
      <c r="AL690" s="690" t="n"/>
      <c r="AM690" s="691" t="n"/>
      <c r="AN690" s="692" t="n"/>
      <c r="AO690" s="693" t="n"/>
      <c r="AP690" s="693" t="n"/>
      <c r="AQ690" s="693" t="n"/>
      <c r="AR690" s="693" t="n"/>
      <c r="AS690" s="693" t="n"/>
      <c r="AT690" s="693" t="n"/>
      <c r="AU690" s="699" t="n"/>
      <c r="AV690" s="693" t="n"/>
      <c r="AW690" s="693" t="n"/>
      <c r="AX690" s="693" t="n"/>
      <c r="AY690" s="693" t="n"/>
      <c r="AZ690" s="693" t="n"/>
    </row>
    <row r="691">
      <c r="A691" s="688" t="n"/>
      <c r="B691" s="688" t="n"/>
      <c r="C691" s="473" t="n"/>
      <c r="D691" s="688" t="n"/>
      <c r="E691" s="689" t="n"/>
      <c r="F691" s="721" t="n"/>
      <c r="G6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1" s="474">
        <f>G691/#REF!</f>
        <v/>
      </c>
      <c r="I691" s="690" t="n"/>
      <c r="J6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1" s="474">
        <f>J691/#REF!</f>
        <v/>
      </c>
      <c r="L691" s="473" t="n"/>
      <c r="M691" s="692" t="n"/>
      <c r="N691" s="693" t="n"/>
      <c r="O691" s="78" t="n"/>
      <c r="P691" s="129" t="n"/>
      <c r="Q691" s="129" t="n"/>
      <c r="R691" s="129" t="n"/>
      <c r="S691" s="129" t="n"/>
      <c r="T691" s="129" t="n"/>
      <c r="U691" s="129" t="n"/>
      <c r="V691" s="129" t="n"/>
      <c r="W691" s="129" t="n"/>
      <c r="X691" s="129" t="n"/>
      <c r="Y691" s="703" t="n"/>
      <c r="Z691" s="704" t="n"/>
      <c r="AA691" s="705" t="n"/>
      <c r="AB691" s="613" t="n"/>
      <c r="AC691" s="614" t="n"/>
      <c r="AD691" s="628" t="n"/>
      <c r="AE691" s="616" t="n"/>
      <c r="AF691" s="617" t="n"/>
      <c r="AG691" s="693" t="n"/>
      <c r="AH691" s="721" t="n"/>
      <c r="AI691" s="721" t="n"/>
      <c r="AJ691" s="688" t="n"/>
      <c r="AK691" s="689" t="n"/>
      <c r="AL691" s="690" t="n"/>
      <c r="AM691" s="691" t="n"/>
      <c r="AN691" s="692" t="n"/>
      <c r="AO691" s="693" t="n"/>
      <c r="AP691" s="693" t="n"/>
      <c r="AQ691" s="693" t="n"/>
      <c r="AR691" s="693" t="n"/>
      <c r="AS691" s="693" t="n"/>
      <c r="AT691" s="693" t="n"/>
      <c r="AU691" s="699" t="n"/>
      <c r="AV691" s="693" t="n"/>
      <c r="AW691" s="693" t="n"/>
      <c r="AX691" s="693" t="n"/>
      <c r="AY691" s="693" t="n"/>
      <c r="AZ691" s="693" t="n"/>
    </row>
    <row r="692">
      <c r="A692" s="688" t="n"/>
      <c r="B692" s="688" t="n"/>
      <c r="C692" s="473" t="n"/>
      <c r="D692" s="688" t="n"/>
      <c r="E692" s="689" t="n"/>
      <c r="F692" s="721" t="n"/>
      <c r="G6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2" s="474">
        <f>G692/#REF!</f>
        <v/>
      </c>
      <c r="I692" s="690" t="n"/>
      <c r="J6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2" s="474">
        <f>J692/#REF!</f>
        <v/>
      </c>
      <c r="L692" s="473" t="n"/>
      <c r="M692" s="692" t="n"/>
      <c r="N692" s="693" t="n"/>
      <c r="O692" s="78" t="n"/>
      <c r="P692" s="129" t="n"/>
      <c r="Q692" s="129" t="n"/>
      <c r="R692" s="129" t="n"/>
      <c r="S692" s="129" t="n"/>
      <c r="T692" s="129" t="n"/>
      <c r="U692" s="129" t="n"/>
      <c r="V692" s="129" t="n"/>
      <c r="W692" s="129" t="n"/>
      <c r="X692" s="129" t="n"/>
      <c r="Y692" s="708" t="n"/>
      <c r="Z692" s="709" t="n"/>
      <c r="AA692" s="710" t="n"/>
      <c r="AB692" s="590" t="n"/>
      <c r="AC692" s="591" t="n"/>
      <c r="AD692" s="592" t="n"/>
      <c r="AE692" s="593" t="n"/>
      <c r="AF692" s="594" t="n"/>
      <c r="AG692" s="693" t="n"/>
      <c r="AH692" s="721" t="n"/>
      <c r="AI692" s="721" t="n"/>
      <c r="AJ692" s="688" t="n"/>
      <c r="AK692" s="689" t="n"/>
      <c r="AL692" s="690" t="n"/>
      <c r="AM692" s="691" t="n"/>
      <c r="AN692" s="692" t="n"/>
      <c r="AO692" s="693" t="n"/>
      <c r="AP692" s="693" t="n"/>
      <c r="AQ692" s="693" t="n"/>
      <c r="AR692" s="693" t="n"/>
      <c r="AS692" s="693" t="n"/>
      <c r="AT692" s="693" t="n"/>
      <c r="AU692" s="699" t="n"/>
      <c r="AV692" s="693" t="n"/>
      <c r="AW692" s="693" t="n"/>
      <c r="AX692" s="693" t="n"/>
      <c r="AY692" s="693" t="n"/>
      <c r="AZ692" s="693" t="n"/>
    </row>
    <row r="693">
      <c r="A693" s="688" t="n"/>
      <c r="B693" s="688" t="n"/>
      <c r="C693" s="473" t="n"/>
      <c r="D693" s="688" t="n"/>
      <c r="E693" s="689" t="n"/>
      <c r="F693" s="721" t="n"/>
      <c r="G6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3" s="474">
        <f>G693/#REF!</f>
        <v/>
      </c>
      <c r="I693" s="690" t="n"/>
      <c r="J6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3" s="474">
        <f>J693/#REF!</f>
        <v/>
      </c>
      <c r="L693" s="473" t="n"/>
      <c r="M693" s="692" t="n"/>
      <c r="N693" s="693" t="n"/>
      <c r="O693" s="78" t="n"/>
      <c r="P693" s="129" t="n"/>
      <c r="Q693" s="129" t="n"/>
      <c r="R693" s="129" t="n"/>
      <c r="S693" s="129" t="n"/>
      <c r="T693" s="129" t="n"/>
      <c r="U693" s="129" t="n"/>
      <c r="V693" s="129" t="n"/>
      <c r="W693" s="129" t="n"/>
      <c r="X693" s="129" t="n"/>
      <c r="Y693" s="703" t="n"/>
      <c r="Z693" s="704" t="n"/>
      <c r="AA693" s="705" t="n"/>
      <c r="AB693" s="613" t="n"/>
      <c r="AC693" s="614" t="n"/>
      <c r="AD693" s="628" t="n"/>
      <c r="AE693" s="616" t="n"/>
      <c r="AF693" s="617" t="n"/>
      <c r="AG693" s="693" t="n"/>
      <c r="AH693" s="721" t="n"/>
      <c r="AI693" s="721" t="n"/>
      <c r="AJ693" s="688" t="n"/>
      <c r="AK693" s="689" t="n"/>
      <c r="AL693" s="690" t="n"/>
      <c r="AM693" s="691" t="n"/>
      <c r="AN693" s="692" t="n"/>
      <c r="AO693" s="693" t="n"/>
      <c r="AP693" s="693" t="n"/>
      <c r="AQ693" s="693" t="n"/>
      <c r="AR693" s="693" t="n"/>
      <c r="AS693" s="693" t="n"/>
      <c r="AT693" s="693" t="n"/>
      <c r="AU693" s="699" t="n"/>
      <c r="AV693" s="693" t="n"/>
      <c r="AW693" s="693" t="n"/>
      <c r="AX693" s="693" t="n"/>
      <c r="AY693" s="693" t="n"/>
      <c r="AZ693" s="693" t="n"/>
    </row>
    <row r="694">
      <c r="A694" s="688" t="n"/>
      <c r="B694" s="688" t="n"/>
      <c r="C694" s="473" t="n"/>
      <c r="D694" s="688" t="n"/>
      <c r="E694" s="689" t="n"/>
      <c r="F694" s="721" t="n"/>
      <c r="G6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4" s="474">
        <f>G694/#REF!</f>
        <v/>
      </c>
      <c r="I694" s="690" t="n"/>
      <c r="J6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4" s="474">
        <f>J694/#REF!</f>
        <v/>
      </c>
      <c r="L694" s="473" t="n"/>
      <c r="M694" s="692" t="n"/>
      <c r="N694" s="693" t="n"/>
      <c r="O694" s="78" t="n"/>
      <c r="P694" s="129" t="n"/>
      <c r="Q694" s="129" t="n"/>
      <c r="R694" s="129" t="n"/>
      <c r="S694" s="129" t="n"/>
      <c r="T694" s="129" t="n"/>
      <c r="U694" s="129" t="n"/>
      <c r="V694" s="129" t="n"/>
      <c r="W694" s="129" t="n"/>
      <c r="X694" s="129" t="n"/>
      <c r="Y694" s="708" t="n"/>
      <c r="Z694" s="709" t="n"/>
      <c r="AA694" s="710" t="n"/>
      <c r="AB694" s="590" t="n"/>
      <c r="AC694" s="591" t="n"/>
      <c r="AD694" s="592" t="n"/>
      <c r="AE694" s="593" t="n"/>
      <c r="AF694" s="594" t="n"/>
      <c r="AG694" s="693" t="n"/>
      <c r="AH694" s="721" t="n"/>
      <c r="AI694" s="721" t="n"/>
      <c r="AJ694" s="688" t="n"/>
      <c r="AK694" s="689" t="n"/>
      <c r="AL694" s="690" t="n"/>
      <c r="AM694" s="691" t="n"/>
      <c r="AN694" s="692" t="n"/>
      <c r="AO694" s="693" t="n"/>
      <c r="AP694" s="693" t="n"/>
      <c r="AQ694" s="693" t="n"/>
      <c r="AR694" s="693" t="n"/>
      <c r="AS694" s="693" t="n"/>
      <c r="AT694" s="693" t="n"/>
      <c r="AU694" s="699" t="n"/>
      <c r="AV694" s="693" t="n"/>
      <c r="AW694" s="693" t="n"/>
      <c r="AX694" s="693" t="n"/>
      <c r="AY694" s="693" t="n"/>
      <c r="AZ694" s="693" t="n"/>
    </row>
    <row r="695">
      <c r="A695" s="688" t="n"/>
      <c r="B695" s="688" t="n"/>
      <c r="C695" s="473" t="n"/>
      <c r="D695" s="688" t="n"/>
      <c r="E695" s="689" t="n"/>
      <c r="F695" s="721" t="n"/>
      <c r="G6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5" s="474">
        <f>G695/#REF!</f>
        <v/>
      </c>
      <c r="I695" s="690" t="n"/>
      <c r="J6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5" s="474">
        <f>J695/#REF!</f>
        <v/>
      </c>
      <c r="L695" s="473" t="n"/>
      <c r="M695" s="692" t="n"/>
      <c r="N695" s="693" t="n"/>
      <c r="O695" s="78" t="n"/>
      <c r="P695" s="129" t="n"/>
      <c r="Q695" s="129" t="n"/>
      <c r="R695" s="129" t="n"/>
      <c r="S695" s="129" t="n"/>
      <c r="T695" s="129" t="n"/>
      <c r="U695" s="129" t="n"/>
      <c r="V695" s="129" t="n"/>
      <c r="W695" s="129" t="n"/>
      <c r="X695" s="129" t="n"/>
      <c r="Y695" s="703" t="n"/>
      <c r="Z695" s="704" t="n"/>
      <c r="AA695" s="705" t="n"/>
      <c r="AB695" s="613" t="n"/>
      <c r="AC695" s="614" t="n"/>
      <c r="AD695" s="628" t="n"/>
      <c r="AE695" s="616" t="n"/>
      <c r="AF695" s="617" t="n"/>
      <c r="AG695" s="693" t="n"/>
      <c r="AH695" s="721" t="n"/>
      <c r="AI695" s="721" t="n"/>
      <c r="AJ695" s="688" t="n"/>
      <c r="AK695" s="689" t="n"/>
      <c r="AL695" s="690" t="n"/>
      <c r="AM695" s="691" t="n"/>
      <c r="AN695" s="692" t="n"/>
      <c r="AO695" s="693" t="n"/>
      <c r="AP695" s="693" t="n"/>
      <c r="AQ695" s="693" t="n"/>
      <c r="AR695" s="693" t="n"/>
      <c r="AS695" s="693" t="n"/>
      <c r="AT695" s="693" t="n"/>
      <c r="AU695" s="699" t="n"/>
      <c r="AV695" s="693" t="n"/>
      <c r="AW695" s="693" t="n"/>
      <c r="AX695" s="693" t="n"/>
      <c r="AY695" s="693" t="n"/>
      <c r="AZ695" s="693" t="n"/>
    </row>
    <row r="696">
      <c r="A696" s="688" t="n"/>
      <c r="B696" s="688" t="n"/>
      <c r="C696" s="473" t="n"/>
      <c r="D696" s="688" t="n"/>
      <c r="E696" s="689" t="n"/>
      <c r="F696" s="721" t="n"/>
      <c r="G6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6" s="474">
        <f>G696/#REF!</f>
        <v/>
      </c>
      <c r="I696" s="690" t="n"/>
      <c r="J6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6" s="474">
        <f>J696/#REF!</f>
        <v/>
      </c>
      <c r="L696" s="473" t="n"/>
      <c r="M696" s="692" t="n"/>
      <c r="N696" s="693" t="n"/>
      <c r="O696" s="78" t="n"/>
      <c r="P696" s="129" t="n"/>
      <c r="Q696" s="129" t="n"/>
      <c r="R696" s="129" t="n"/>
      <c r="S696" s="129" t="n"/>
      <c r="T696" s="129" t="n"/>
      <c r="U696" s="129" t="n"/>
      <c r="V696" s="129" t="n"/>
      <c r="W696" s="129" t="n"/>
      <c r="X696" s="129" t="n"/>
      <c r="Y696" s="708" t="n"/>
      <c r="Z696" s="709" t="n"/>
      <c r="AA696" s="710" t="n"/>
      <c r="AB696" s="590" t="n"/>
      <c r="AC696" s="591" t="n"/>
      <c r="AD696" s="592" t="n"/>
      <c r="AE696" s="593" t="n"/>
      <c r="AF696" s="594" t="n"/>
      <c r="AG696" s="693" t="n"/>
      <c r="AH696" s="721" t="n"/>
      <c r="AI696" s="721" t="n"/>
      <c r="AJ696" s="688" t="n"/>
      <c r="AK696" s="689" t="n"/>
      <c r="AL696" s="690" t="n"/>
      <c r="AM696" s="691" t="n"/>
      <c r="AN696" s="692" t="n"/>
      <c r="AO696" s="693" t="n"/>
      <c r="AP696" s="693" t="n"/>
      <c r="AQ696" s="693" t="n"/>
      <c r="AR696" s="693" t="n"/>
      <c r="AS696" s="693" t="n"/>
      <c r="AT696" s="693" t="n"/>
      <c r="AU696" s="699" t="n"/>
      <c r="AV696" s="693" t="n"/>
      <c r="AW696" s="693" t="n"/>
      <c r="AX696" s="693" t="n"/>
      <c r="AY696" s="693" t="n"/>
      <c r="AZ696" s="693" t="n"/>
    </row>
    <row r="697">
      <c r="A697" s="688" t="n"/>
      <c r="B697" s="688" t="n"/>
      <c r="C697" s="473" t="n"/>
      <c r="D697" s="688" t="n"/>
      <c r="E697" s="689" t="n"/>
      <c r="F697" s="721" t="n"/>
      <c r="G6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7" s="474">
        <f>G697/#REF!</f>
        <v/>
      </c>
      <c r="I697" s="690" t="n"/>
      <c r="J6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7" s="474">
        <f>J697/#REF!</f>
        <v/>
      </c>
      <c r="L697" s="473" t="n"/>
      <c r="M697" s="692" t="n"/>
      <c r="N697" s="693" t="n"/>
      <c r="O697" s="78" t="n"/>
      <c r="P697" s="129" t="n"/>
      <c r="Q697" s="129" t="n"/>
      <c r="R697" s="129" t="n"/>
      <c r="S697" s="129" t="n"/>
      <c r="T697" s="129" t="n"/>
      <c r="U697" s="129" t="n"/>
      <c r="V697" s="129" t="n"/>
      <c r="W697" s="129" t="n"/>
      <c r="X697" s="129" t="n"/>
      <c r="Y697" s="703" t="n"/>
      <c r="Z697" s="704" t="n"/>
      <c r="AA697" s="705" t="n"/>
      <c r="AB697" s="613" t="n"/>
      <c r="AC697" s="614" t="n"/>
      <c r="AD697" s="628" t="n"/>
      <c r="AE697" s="616" t="n"/>
      <c r="AF697" s="617" t="n"/>
      <c r="AG697" s="693" t="n"/>
      <c r="AH697" s="721" t="n"/>
      <c r="AI697" s="721" t="n"/>
      <c r="AJ697" s="688" t="n"/>
      <c r="AK697" s="689" t="n"/>
      <c r="AL697" s="690" t="n"/>
      <c r="AM697" s="691" t="n"/>
      <c r="AN697" s="692" t="n"/>
      <c r="AO697" s="693" t="n"/>
      <c r="AP697" s="693" t="n"/>
      <c r="AQ697" s="693" t="n"/>
      <c r="AR697" s="693" t="n"/>
      <c r="AS697" s="693" t="n"/>
      <c r="AT697" s="693" t="n"/>
      <c r="AU697" s="699" t="n"/>
      <c r="AV697" s="693" t="n"/>
      <c r="AW697" s="693" t="n"/>
      <c r="AX697" s="693" t="n"/>
      <c r="AY697" s="693" t="n"/>
      <c r="AZ697" s="693" t="n"/>
    </row>
    <row r="698">
      <c r="A698" s="688" t="n"/>
      <c r="B698" s="688" t="n"/>
      <c r="C698" s="473" t="n"/>
      <c r="D698" s="688" t="n"/>
      <c r="E698" s="689" t="n"/>
      <c r="F698" s="721" t="n"/>
      <c r="G6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8" s="474">
        <f>G698/#REF!</f>
        <v/>
      </c>
      <c r="I698" s="690" t="n"/>
      <c r="J6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8" s="474">
        <f>J698/#REF!</f>
        <v/>
      </c>
      <c r="L698" s="473" t="n"/>
      <c r="M698" s="692" t="n"/>
      <c r="N698" s="693" t="n"/>
      <c r="O698" s="78" t="n"/>
      <c r="P698" s="129" t="n"/>
      <c r="Q698" s="129" t="n"/>
      <c r="R698" s="129" t="n"/>
      <c r="S698" s="129" t="n"/>
      <c r="T698" s="129" t="n"/>
      <c r="U698" s="129" t="n"/>
      <c r="V698" s="129" t="n"/>
      <c r="W698" s="129" t="n"/>
      <c r="X698" s="129" t="n"/>
      <c r="Y698" s="708" t="n"/>
      <c r="Z698" s="709" t="n"/>
      <c r="AA698" s="710" t="n"/>
      <c r="AB698" s="590" t="n"/>
      <c r="AC698" s="591" t="n"/>
      <c r="AD698" s="592" t="n"/>
      <c r="AE698" s="593" t="n"/>
      <c r="AF698" s="594" t="n"/>
      <c r="AG698" s="693" t="n"/>
      <c r="AH698" s="721" t="n"/>
      <c r="AI698" s="721" t="n"/>
      <c r="AJ698" s="688" t="n"/>
      <c r="AK698" s="689" t="n"/>
      <c r="AL698" s="690" t="n"/>
      <c r="AM698" s="691" t="n"/>
      <c r="AN698" s="692" t="n"/>
      <c r="AO698" s="693" t="n"/>
      <c r="AP698" s="693" t="n"/>
      <c r="AQ698" s="693" t="n"/>
      <c r="AR698" s="693" t="n"/>
      <c r="AS698" s="693" t="n"/>
      <c r="AT698" s="693" t="n"/>
      <c r="AU698" s="699" t="n"/>
      <c r="AV698" s="693" t="n"/>
      <c r="AW698" s="693" t="n"/>
      <c r="AX698" s="693" t="n"/>
      <c r="AY698" s="693" t="n"/>
      <c r="AZ698" s="693" t="n"/>
    </row>
    <row r="699">
      <c r="A699" s="688" t="n"/>
      <c r="B699" s="688" t="n"/>
      <c r="C699" s="473" t="n"/>
      <c r="D699" s="688" t="n"/>
      <c r="E699" s="689" t="n"/>
      <c r="F699" s="721" t="n"/>
      <c r="G6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699" s="474">
        <f>G699/#REF!</f>
        <v/>
      </c>
      <c r="I699" s="690" t="n"/>
      <c r="J6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699" s="474">
        <f>J699/#REF!</f>
        <v/>
      </c>
      <c r="L699" s="473" t="n"/>
      <c r="M699" s="692" t="n"/>
      <c r="N699" s="693" t="n"/>
      <c r="O699" s="78" t="n"/>
      <c r="P699" s="129" t="n"/>
      <c r="Q699" s="129" t="n"/>
      <c r="R699" s="129" t="n"/>
      <c r="S699" s="129" t="n"/>
      <c r="T699" s="129" t="n"/>
      <c r="U699" s="129" t="n"/>
      <c r="V699" s="129" t="n"/>
      <c r="W699" s="129" t="n"/>
      <c r="X699" s="129" t="n"/>
      <c r="Y699" s="703" t="n"/>
      <c r="Z699" s="704" t="n"/>
      <c r="AA699" s="705" t="n"/>
      <c r="AB699" s="613" t="n"/>
      <c r="AC699" s="614" t="n"/>
      <c r="AD699" s="628" t="n"/>
      <c r="AE699" s="616" t="n"/>
      <c r="AF699" s="617" t="n"/>
      <c r="AG699" s="693" t="n"/>
      <c r="AH699" s="721" t="n"/>
      <c r="AI699" s="721" t="n"/>
      <c r="AJ699" s="688" t="n"/>
      <c r="AK699" s="689" t="n"/>
      <c r="AL699" s="690" t="n"/>
      <c r="AM699" s="691" t="n"/>
      <c r="AN699" s="692" t="n"/>
      <c r="AO699" s="693" t="n"/>
      <c r="AP699" s="693" t="n"/>
      <c r="AQ699" s="693" t="n"/>
      <c r="AR699" s="693" t="n"/>
      <c r="AS699" s="693" t="n"/>
      <c r="AT699" s="693" t="n"/>
      <c r="AU699" s="699" t="n"/>
      <c r="AV699" s="693" t="n"/>
      <c r="AW699" s="693" t="n"/>
      <c r="AX699" s="693" t="n"/>
      <c r="AY699" s="693" t="n"/>
      <c r="AZ699" s="693" t="n"/>
    </row>
    <row r="700">
      <c r="A700" s="688" t="n"/>
      <c r="B700" s="688" t="n"/>
      <c r="C700" s="473" t="n"/>
      <c r="D700" s="688" t="n"/>
      <c r="E700" s="689" t="n"/>
      <c r="F700" s="721" t="n"/>
      <c r="G7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0" s="474">
        <f>G700/#REF!</f>
        <v/>
      </c>
      <c r="I700" s="690" t="n"/>
      <c r="J7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0" s="474">
        <f>J700/#REF!</f>
        <v/>
      </c>
      <c r="L700" s="473" t="n"/>
      <c r="M700" s="692" t="n"/>
      <c r="N700" s="693" t="n"/>
      <c r="O700" s="78" t="n"/>
      <c r="P700" s="129" t="n"/>
      <c r="Q700" s="129" t="n"/>
      <c r="R700" s="129" t="n"/>
      <c r="S700" s="129" t="n"/>
      <c r="T700" s="129" t="n"/>
      <c r="U700" s="129" t="n"/>
      <c r="V700" s="129" t="n"/>
      <c r="W700" s="129" t="n"/>
      <c r="X700" s="129" t="n"/>
      <c r="Y700" s="708" t="n"/>
      <c r="Z700" s="709" t="n"/>
      <c r="AA700" s="710" t="n"/>
      <c r="AB700" s="590" t="n"/>
      <c r="AC700" s="591" t="n"/>
      <c r="AD700" s="592" t="n"/>
      <c r="AE700" s="593" t="n"/>
      <c r="AF700" s="594" t="n"/>
      <c r="AG700" s="693" t="n"/>
      <c r="AH700" s="721" t="n"/>
      <c r="AI700" s="721" t="n"/>
      <c r="AJ700" s="688" t="n"/>
      <c r="AK700" s="689" t="n"/>
      <c r="AL700" s="690" t="n"/>
      <c r="AM700" s="691" t="n"/>
      <c r="AN700" s="692" t="n"/>
      <c r="AO700" s="693" t="n"/>
      <c r="AP700" s="693" t="n"/>
      <c r="AQ700" s="693" t="n"/>
      <c r="AR700" s="693" t="n"/>
      <c r="AS700" s="693" t="n"/>
      <c r="AT700" s="693" t="n"/>
      <c r="AU700" s="699" t="n"/>
      <c r="AV700" s="693" t="n"/>
      <c r="AW700" s="693" t="n"/>
      <c r="AX700" s="693" t="n"/>
      <c r="AY700" s="693" t="n"/>
      <c r="AZ700" s="693" t="n"/>
    </row>
    <row r="701">
      <c r="A701" s="688" t="n"/>
      <c r="B701" s="688" t="n"/>
      <c r="C701" s="473" t="n"/>
      <c r="D701" s="688" t="n"/>
      <c r="E701" s="689" t="n"/>
      <c r="F701" s="721" t="n"/>
      <c r="G7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1" s="474">
        <f>G701/#REF!</f>
        <v/>
      </c>
      <c r="I701" s="690" t="n"/>
      <c r="J7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1" s="474">
        <f>J701/#REF!</f>
        <v/>
      </c>
      <c r="L701" s="473" t="n"/>
      <c r="M701" s="692" t="n"/>
      <c r="N701" s="693" t="n"/>
      <c r="O701" s="78" t="n"/>
      <c r="P701" s="129" t="n"/>
      <c r="Q701" s="129" t="n"/>
      <c r="R701" s="129" t="n"/>
      <c r="S701" s="129" t="n"/>
      <c r="T701" s="129" t="n"/>
      <c r="U701" s="129" t="n"/>
      <c r="V701" s="129" t="n"/>
      <c r="W701" s="129" t="n"/>
      <c r="X701" s="129" t="n"/>
      <c r="Y701" s="703" t="n"/>
      <c r="Z701" s="704" t="n"/>
      <c r="AA701" s="705" t="n"/>
      <c r="AB701" s="613" t="n"/>
      <c r="AC701" s="614" t="n"/>
      <c r="AD701" s="628" t="n"/>
      <c r="AE701" s="616" t="n"/>
      <c r="AF701" s="617" t="n"/>
      <c r="AG701" s="693" t="n"/>
      <c r="AH701" s="721" t="n"/>
      <c r="AI701" s="721" t="n"/>
      <c r="AJ701" s="688" t="n"/>
      <c r="AK701" s="689" t="n"/>
      <c r="AL701" s="690" t="n"/>
      <c r="AM701" s="691" t="n"/>
      <c r="AN701" s="692" t="n"/>
      <c r="AO701" s="693" t="n"/>
      <c r="AP701" s="693" t="n"/>
      <c r="AQ701" s="693" t="n"/>
      <c r="AR701" s="693" t="n"/>
      <c r="AS701" s="693" t="n"/>
      <c r="AT701" s="693" t="n"/>
      <c r="AU701" s="699" t="n"/>
      <c r="AV701" s="693" t="n"/>
      <c r="AW701" s="693" t="n"/>
      <c r="AX701" s="693" t="n"/>
      <c r="AY701" s="693" t="n"/>
      <c r="AZ701" s="693" t="n"/>
    </row>
    <row r="702">
      <c r="A702" s="688" t="n"/>
      <c r="B702" s="688" t="n"/>
      <c r="C702" s="473" t="n"/>
      <c r="D702" s="688" t="n"/>
      <c r="E702" s="689" t="n"/>
      <c r="F702" s="721" t="n"/>
      <c r="G7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2" s="474">
        <f>G702/#REF!</f>
        <v/>
      </c>
      <c r="I702" s="690" t="n"/>
      <c r="J7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2" s="474">
        <f>J702/#REF!</f>
        <v/>
      </c>
      <c r="L702" s="473" t="n"/>
      <c r="M702" s="692" t="n"/>
      <c r="N702" s="693" t="n"/>
      <c r="O702" s="78" t="n"/>
      <c r="P702" s="129" t="n"/>
      <c r="Q702" s="129" t="n"/>
      <c r="R702" s="129" t="n"/>
      <c r="S702" s="129" t="n"/>
      <c r="T702" s="129" t="n"/>
      <c r="U702" s="129" t="n"/>
      <c r="V702" s="129" t="n"/>
      <c r="W702" s="129" t="n"/>
      <c r="X702" s="129" t="n"/>
      <c r="Y702" s="708" t="n"/>
      <c r="Z702" s="709" t="n"/>
      <c r="AA702" s="710" t="n"/>
      <c r="AB702" s="590" t="n"/>
      <c r="AC702" s="591" t="n"/>
      <c r="AD702" s="592" t="n"/>
      <c r="AE702" s="593" t="n"/>
      <c r="AF702" s="594" t="n"/>
      <c r="AG702" s="693" t="n"/>
      <c r="AH702" s="721" t="n"/>
      <c r="AI702" s="721" t="n"/>
      <c r="AJ702" s="688" t="n"/>
      <c r="AK702" s="689" t="n"/>
      <c r="AL702" s="690" t="n"/>
      <c r="AM702" s="691" t="n"/>
      <c r="AN702" s="692" t="n"/>
      <c r="AO702" s="693" t="n"/>
      <c r="AP702" s="693" t="n"/>
      <c r="AQ702" s="693" t="n"/>
      <c r="AR702" s="693" t="n"/>
      <c r="AS702" s="693" t="n"/>
      <c r="AT702" s="693" t="n"/>
      <c r="AU702" s="699" t="n"/>
      <c r="AV702" s="693" t="n"/>
      <c r="AW702" s="693" t="n"/>
      <c r="AX702" s="693" t="n"/>
      <c r="AY702" s="693" t="n"/>
      <c r="AZ702" s="693" t="n"/>
    </row>
    <row r="703">
      <c r="A703" s="688" t="n"/>
      <c r="B703" s="688" t="n"/>
      <c r="C703" s="473" t="n"/>
      <c r="D703" s="688" t="n"/>
      <c r="E703" s="689" t="n"/>
      <c r="F703" s="721" t="n"/>
      <c r="G7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3" s="474">
        <f>G703/#REF!</f>
        <v/>
      </c>
      <c r="I703" s="690" t="n"/>
      <c r="J7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3" s="474">
        <f>J703/#REF!</f>
        <v/>
      </c>
      <c r="L703" s="473" t="n"/>
      <c r="M703" s="692" t="n"/>
      <c r="N703" s="693" t="n"/>
      <c r="O703" s="78" t="n"/>
      <c r="P703" s="129" t="n"/>
      <c r="Q703" s="129" t="n"/>
      <c r="R703" s="129" t="n"/>
      <c r="S703" s="129" t="n"/>
      <c r="T703" s="129" t="n"/>
      <c r="U703" s="129" t="n"/>
      <c r="V703" s="129" t="n"/>
      <c r="W703" s="129" t="n"/>
      <c r="X703" s="129" t="n"/>
      <c r="Y703" s="703" t="n"/>
      <c r="Z703" s="704" t="n"/>
      <c r="AA703" s="705" t="n"/>
      <c r="AB703" s="613" t="n"/>
      <c r="AC703" s="614" t="n"/>
      <c r="AD703" s="628" t="n"/>
      <c r="AE703" s="616" t="n"/>
      <c r="AF703" s="617" t="n"/>
      <c r="AG703" s="693" t="n"/>
      <c r="AH703" s="721" t="n"/>
      <c r="AI703" s="721" t="n"/>
      <c r="AJ703" s="688" t="n"/>
      <c r="AK703" s="689" t="n"/>
      <c r="AL703" s="690" t="n"/>
      <c r="AM703" s="691" t="n"/>
      <c r="AN703" s="692" t="n"/>
      <c r="AO703" s="693" t="n"/>
      <c r="AP703" s="693" t="n"/>
      <c r="AQ703" s="693" t="n"/>
      <c r="AR703" s="693" t="n"/>
      <c r="AS703" s="693" t="n"/>
      <c r="AT703" s="693" t="n"/>
      <c r="AU703" s="699" t="n"/>
      <c r="AV703" s="693" t="n"/>
      <c r="AW703" s="693" t="n"/>
      <c r="AX703" s="693" t="n"/>
      <c r="AY703" s="693" t="n"/>
      <c r="AZ703" s="693" t="n"/>
    </row>
    <row r="704">
      <c r="A704" s="688" t="n"/>
      <c r="B704" s="688" t="n"/>
      <c r="C704" s="473" t="n"/>
      <c r="D704" s="688" t="n"/>
      <c r="E704" s="689" t="n"/>
      <c r="F704" s="721" t="n"/>
      <c r="G7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4" s="474">
        <f>G704/#REF!</f>
        <v/>
      </c>
      <c r="I704" s="690" t="n"/>
      <c r="J7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4" s="474">
        <f>J704/#REF!</f>
        <v/>
      </c>
      <c r="L704" s="473" t="n"/>
      <c r="M704" s="692" t="n"/>
      <c r="N704" s="693" t="n"/>
      <c r="O704" s="78" t="n"/>
      <c r="P704" s="129" t="n"/>
      <c r="Q704" s="129" t="n"/>
      <c r="R704" s="129" t="n"/>
      <c r="S704" s="129" t="n"/>
      <c r="T704" s="129" t="n"/>
      <c r="U704" s="129" t="n"/>
      <c r="V704" s="129" t="n"/>
      <c r="W704" s="129" t="n"/>
      <c r="X704" s="129" t="n"/>
      <c r="Y704" s="708" t="n"/>
      <c r="Z704" s="709" t="n"/>
      <c r="AA704" s="710" t="n"/>
      <c r="AB704" s="590" t="n"/>
      <c r="AC704" s="591" t="n"/>
      <c r="AD704" s="592" t="n"/>
      <c r="AE704" s="593" t="n"/>
      <c r="AF704" s="594" t="n"/>
      <c r="AG704" s="693" t="n"/>
      <c r="AH704" s="721" t="n"/>
      <c r="AI704" s="721" t="n"/>
      <c r="AJ704" s="688" t="n"/>
      <c r="AK704" s="689" t="n"/>
      <c r="AL704" s="690" t="n"/>
      <c r="AM704" s="691" t="n"/>
      <c r="AN704" s="692" t="n"/>
      <c r="AO704" s="693" t="n"/>
      <c r="AP704" s="693" t="n"/>
      <c r="AQ704" s="693" t="n"/>
      <c r="AR704" s="693" t="n"/>
      <c r="AS704" s="693" t="n"/>
      <c r="AT704" s="693" t="n"/>
      <c r="AU704" s="699" t="n"/>
      <c r="AV704" s="693" t="n"/>
      <c r="AW704" s="693" t="n"/>
      <c r="AX704" s="693" t="n"/>
      <c r="AY704" s="693" t="n"/>
      <c r="AZ704" s="693" t="n"/>
    </row>
    <row r="705">
      <c r="A705" s="688" t="n"/>
      <c r="B705" s="688" t="n"/>
      <c r="C705" s="473" t="n"/>
      <c r="D705" s="688" t="n"/>
      <c r="E705" s="689" t="n"/>
      <c r="F705" s="721" t="n"/>
      <c r="G7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5" s="474">
        <f>G705/#REF!</f>
        <v/>
      </c>
      <c r="I705" s="690" t="n"/>
      <c r="J7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5" s="474">
        <f>J705/#REF!</f>
        <v/>
      </c>
      <c r="L705" s="473" t="n"/>
      <c r="M705" s="692" t="n"/>
      <c r="N705" s="693" t="n"/>
      <c r="O705" s="78" t="n"/>
      <c r="P705" s="129" t="n"/>
      <c r="Q705" s="129" t="n"/>
      <c r="R705" s="129" t="n"/>
      <c r="S705" s="129" t="n"/>
      <c r="T705" s="129" t="n"/>
      <c r="U705" s="129" t="n"/>
      <c r="V705" s="129" t="n"/>
      <c r="W705" s="129" t="n"/>
      <c r="X705" s="129" t="n"/>
      <c r="Y705" s="703" t="n"/>
      <c r="Z705" s="704" t="n"/>
      <c r="AA705" s="705" t="n"/>
      <c r="AB705" s="613" t="n"/>
      <c r="AC705" s="614" t="n"/>
      <c r="AD705" s="628" t="n"/>
      <c r="AE705" s="616" t="n"/>
      <c r="AF705" s="617" t="n"/>
      <c r="AG705" s="693" t="n"/>
      <c r="AH705" s="721" t="n"/>
      <c r="AI705" s="721" t="n"/>
      <c r="AJ705" s="688" t="n"/>
      <c r="AK705" s="689" t="n"/>
      <c r="AL705" s="690" t="n"/>
      <c r="AM705" s="691" t="n"/>
      <c r="AN705" s="692" t="n"/>
      <c r="AO705" s="693" t="n"/>
      <c r="AP705" s="693" t="n"/>
      <c r="AQ705" s="693" t="n"/>
      <c r="AR705" s="693" t="n"/>
      <c r="AS705" s="693" t="n"/>
      <c r="AT705" s="693" t="n"/>
      <c r="AU705" s="699" t="n"/>
      <c r="AV705" s="693" t="n"/>
      <c r="AW705" s="693" t="n"/>
      <c r="AX705" s="693" t="n"/>
      <c r="AY705" s="693" t="n"/>
      <c r="AZ705" s="693" t="n"/>
    </row>
    <row r="706">
      <c r="A706" s="688" t="n"/>
      <c r="B706" s="688" t="n"/>
      <c r="C706" s="473" t="n"/>
      <c r="D706" s="688" t="n"/>
      <c r="E706" s="689" t="n"/>
      <c r="F706" s="721" t="n"/>
      <c r="G7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6" s="474">
        <f>G706/#REF!</f>
        <v/>
      </c>
      <c r="I706" s="690" t="n"/>
      <c r="J7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6" s="474">
        <f>J706/#REF!</f>
        <v/>
      </c>
      <c r="L706" s="473" t="n"/>
      <c r="M706" s="692" t="n"/>
      <c r="N706" s="693" t="n"/>
      <c r="O706" s="78" t="n"/>
      <c r="P706" s="129" t="n"/>
      <c r="Q706" s="129" t="n"/>
      <c r="R706" s="129" t="n"/>
      <c r="S706" s="129" t="n"/>
      <c r="T706" s="129" t="n"/>
      <c r="U706" s="129" t="n"/>
      <c r="V706" s="129" t="n"/>
      <c r="W706" s="129" t="n"/>
      <c r="X706" s="129" t="n"/>
      <c r="Y706" s="708" t="n"/>
      <c r="Z706" s="709" t="n"/>
      <c r="AA706" s="710" t="n"/>
      <c r="AB706" s="590" t="n"/>
      <c r="AC706" s="591" t="n"/>
      <c r="AD706" s="592" t="n"/>
      <c r="AE706" s="593" t="n"/>
      <c r="AF706" s="594" t="n"/>
      <c r="AG706" s="693" t="n"/>
      <c r="AH706" s="721" t="n"/>
      <c r="AI706" s="721" t="n"/>
      <c r="AJ706" s="688" t="n"/>
      <c r="AK706" s="689" t="n"/>
      <c r="AL706" s="690" t="n"/>
      <c r="AM706" s="691" t="n"/>
      <c r="AN706" s="692" t="n"/>
      <c r="AO706" s="693" t="n"/>
      <c r="AP706" s="693" t="n"/>
      <c r="AQ706" s="693" t="n"/>
      <c r="AR706" s="693" t="n"/>
      <c r="AS706" s="693" t="n"/>
      <c r="AT706" s="693" t="n"/>
      <c r="AU706" s="699" t="n"/>
      <c r="AV706" s="693" t="n"/>
      <c r="AW706" s="693" t="n"/>
      <c r="AX706" s="693" t="n"/>
      <c r="AY706" s="693" t="n"/>
      <c r="AZ706" s="693" t="n"/>
    </row>
    <row r="707">
      <c r="A707" s="688" t="n"/>
      <c r="B707" s="688" t="n"/>
      <c r="C707" s="473" t="n"/>
      <c r="D707" s="688" t="n"/>
      <c r="E707" s="689" t="n"/>
      <c r="F707" s="721" t="n"/>
      <c r="G7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7" s="474">
        <f>G707/#REF!</f>
        <v/>
      </c>
      <c r="I707" s="690" t="n"/>
      <c r="J7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7" s="474">
        <f>J707/#REF!</f>
        <v/>
      </c>
      <c r="L707" s="473" t="n"/>
      <c r="M707" s="692" t="n"/>
      <c r="N707" s="693" t="n"/>
      <c r="O707" s="78" t="n"/>
      <c r="P707" s="129" t="n"/>
      <c r="Q707" s="129" t="n"/>
      <c r="R707" s="129" t="n"/>
      <c r="S707" s="129" t="n"/>
      <c r="T707" s="129" t="n"/>
      <c r="U707" s="129" t="n"/>
      <c r="V707" s="129" t="n"/>
      <c r="W707" s="129" t="n"/>
      <c r="X707" s="129" t="n"/>
      <c r="Y707" s="703" t="n"/>
      <c r="Z707" s="704" t="n"/>
      <c r="AA707" s="705" t="n"/>
      <c r="AB707" s="613" t="n"/>
      <c r="AC707" s="614" t="n"/>
      <c r="AD707" s="628" t="n"/>
      <c r="AE707" s="616" t="n"/>
      <c r="AF707" s="617" t="n"/>
      <c r="AG707" s="693" t="n"/>
      <c r="AH707" s="721" t="n"/>
      <c r="AI707" s="721" t="n"/>
      <c r="AJ707" s="688" t="n"/>
      <c r="AK707" s="689" t="n"/>
      <c r="AL707" s="690" t="n"/>
      <c r="AM707" s="691" t="n"/>
      <c r="AN707" s="692" t="n"/>
      <c r="AO707" s="693" t="n"/>
      <c r="AP707" s="693" t="n"/>
      <c r="AQ707" s="693" t="n"/>
      <c r="AR707" s="693" t="n"/>
      <c r="AS707" s="693" t="n"/>
      <c r="AT707" s="693" t="n"/>
      <c r="AU707" s="699" t="n"/>
      <c r="AV707" s="693" t="n"/>
      <c r="AW707" s="693" t="n"/>
      <c r="AX707" s="693" t="n"/>
      <c r="AY707" s="693" t="n"/>
      <c r="AZ707" s="693" t="n"/>
    </row>
    <row r="708">
      <c r="A708" s="688" t="n"/>
      <c r="B708" s="688" t="n"/>
      <c r="C708" s="473" t="n"/>
      <c r="D708" s="688" t="n"/>
      <c r="E708" s="689" t="n"/>
      <c r="F708" s="721" t="n"/>
      <c r="G7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8" s="474">
        <f>G708/#REF!</f>
        <v/>
      </c>
      <c r="I708" s="690" t="n"/>
      <c r="J7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8" s="474">
        <f>J708/#REF!</f>
        <v/>
      </c>
      <c r="L708" s="473" t="n"/>
      <c r="M708" s="692" t="n"/>
      <c r="N708" s="693" t="n"/>
      <c r="O708" s="78" t="n"/>
      <c r="P708" s="129" t="n"/>
      <c r="Q708" s="129" t="n"/>
      <c r="R708" s="129" t="n"/>
      <c r="S708" s="129" t="n"/>
      <c r="T708" s="129" t="n"/>
      <c r="U708" s="129" t="n"/>
      <c r="V708" s="129" t="n"/>
      <c r="W708" s="129" t="n"/>
      <c r="X708" s="129" t="n"/>
      <c r="Y708" s="708" t="n"/>
      <c r="Z708" s="709" t="n"/>
      <c r="AA708" s="710" t="n"/>
      <c r="AB708" s="590" t="n"/>
      <c r="AC708" s="591" t="n"/>
      <c r="AD708" s="592" t="n"/>
      <c r="AE708" s="593" t="n"/>
      <c r="AF708" s="594" t="n"/>
      <c r="AG708" s="693" t="n"/>
      <c r="AH708" s="721" t="n"/>
      <c r="AI708" s="721" t="n"/>
      <c r="AJ708" s="688" t="n"/>
      <c r="AK708" s="689" t="n"/>
      <c r="AL708" s="690" t="n"/>
      <c r="AM708" s="691" t="n"/>
      <c r="AN708" s="692" t="n"/>
      <c r="AO708" s="693" t="n"/>
      <c r="AP708" s="693" t="n"/>
      <c r="AQ708" s="693" t="n"/>
      <c r="AR708" s="693" t="n"/>
      <c r="AS708" s="693" t="n"/>
      <c r="AT708" s="693" t="n"/>
      <c r="AU708" s="699" t="n"/>
      <c r="AV708" s="693" t="n"/>
      <c r="AW708" s="693" t="n"/>
      <c r="AX708" s="693" t="n"/>
      <c r="AY708" s="693" t="n"/>
      <c r="AZ708" s="693" t="n"/>
    </row>
    <row r="709">
      <c r="A709" s="688" t="n"/>
      <c r="B709" s="688" t="n"/>
      <c r="C709" s="473" t="n"/>
      <c r="D709" s="688" t="n"/>
      <c r="E709" s="689" t="n"/>
      <c r="F709" s="721" t="n"/>
      <c r="G7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09" s="474">
        <f>G709/#REF!</f>
        <v/>
      </c>
      <c r="I709" s="690" t="n"/>
      <c r="J7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09" s="474">
        <f>J709/#REF!</f>
        <v/>
      </c>
      <c r="L709" s="473" t="n"/>
      <c r="M709" s="692" t="n"/>
      <c r="N709" s="693" t="n"/>
      <c r="O709" s="78" t="n"/>
      <c r="P709" s="129" t="n"/>
      <c r="Q709" s="129" t="n"/>
      <c r="R709" s="129" t="n"/>
      <c r="S709" s="129" t="n"/>
      <c r="T709" s="129" t="n"/>
      <c r="U709" s="129" t="n"/>
      <c r="V709" s="129" t="n"/>
      <c r="W709" s="129" t="n"/>
      <c r="X709" s="129" t="n"/>
      <c r="Y709" s="703" t="n"/>
      <c r="Z709" s="704" t="n"/>
      <c r="AA709" s="705" t="n"/>
      <c r="AB709" s="613" t="n"/>
      <c r="AC709" s="614" t="n"/>
      <c r="AD709" s="628" t="n"/>
      <c r="AE709" s="616" t="n"/>
      <c r="AF709" s="617" t="n"/>
      <c r="AG709" s="693" t="n"/>
      <c r="AH709" s="721" t="n"/>
      <c r="AI709" s="721" t="n"/>
      <c r="AJ709" s="688" t="n"/>
      <c r="AK709" s="689" t="n"/>
      <c r="AL709" s="690" t="n"/>
      <c r="AM709" s="691" t="n"/>
      <c r="AN709" s="692" t="n"/>
      <c r="AO709" s="693" t="n"/>
      <c r="AP709" s="693" t="n"/>
      <c r="AQ709" s="693" t="n"/>
      <c r="AR709" s="693" t="n"/>
      <c r="AS709" s="693" t="n"/>
      <c r="AT709" s="693" t="n"/>
      <c r="AU709" s="699" t="n"/>
      <c r="AV709" s="693" t="n"/>
      <c r="AW709" s="693" t="n"/>
      <c r="AX709" s="693" t="n"/>
      <c r="AY709" s="693" t="n"/>
      <c r="AZ709" s="693" t="n"/>
    </row>
    <row r="710">
      <c r="A710" s="688" t="n"/>
      <c r="B710" s="688" t="n"/>
      <c r="C710" s="473" t="n"/>
      <c r="D710" s="688" t="n"/>
      <c r="E710" s="689" t="n"/>
      <c r="F710" s="721" t="n"/>
      <c r="G7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0" s="474">
        <f>G710/#REF!</f>
        <v/>
      </c>
      <c r="I710" s="690" t="n"/>
      <c r="J7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0" s="474">
        <f>J710/#REF!</f>
        <v/>
      </c>
      <c r="L710" s="473" t="n"/>
      <c r="M710" s="692" t="n"/>
      <c r="N710" s="693" t="n"/>
      <c r="O710" s="78" t="n"/>
      <c r="P710" s="129" t="n"/>
      <c r="Q710" s="129" t="n"/>
      <c r="R710" s="129" t="n"/>
      <c r="S710" s="129" t="n"/>
      <c r="T710" s="129" t="n"/>
      <c r="U710" s="129" t="n"/>
      <c r="V710" s="129" t="n"/>
      <c r="W710" s="129" t="n"/>
      <c r="X710" s="129" t="n"/>
      <c r="Y710" s="708" t="n"/>
      <c r="Z710" s="709" t="n"/>
      <c r="AA710" s="710" t="n"/>
      <c r="AB710" s="590" t="n"/>
      <c r="AC710" s="591" t="n"/>
      <c r="AD710" s="592" t="n"/>
      <c r="AE710" s="593" t="n"/>
      <c r="AF710" s="594" t="n"/>
      <c r="AG710" s="693" t="n"/>
      <c r="AH710" s="721" t="n"/>
      <c r="AI710" s="721" t="n"/>
      <c r="AJ710" s="688" t="n"/>
      <c r="AK710" s="689" t="n"/>
      <c r="AL710" s="690" t="n"/>
      <c r="AM710" s="691" t="n"/>
      <c r="AN710" s="692" t="n"/>
      <c r="AO710" s="693" t="n"/>
      <c r="AP710" s="693" t="n"/>
      <c r="AQ710" s="693" t="n"/>
      <c r="AR710" s="693" t="n"/>
      <c r="AS710" s="693" t="n"/>
      <c r="AT710" s="693" t="n"/>
      <c r="AU710" s="699" t="n"/>
      <c r="AV710" s="693" t="n"/>
      <c r="AW710" s="693" t="n"/>
      <c r="AX710" s="693" t="n"/>
      <c r="AY710" s="693" t="n"/>
      <c r="AZ710" s="693" t="n"/>
    </row>
    <row r="711">
      <c r="A711" s="688" t="n"/>
      <c r="B711" s="688" t="n"/>
      <c r="C711" s="473" t="n"/>
      <c r="D711" s="688" t="n"/>
      <c r="E711" s="689" t="n"/>
      <c r="F711" s="721" t="n"/>
      <c r="G7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1" s="474">
        <f>G711/#REF!</f>
        <v/>
      </c>
      <c r="I711" s="690" t="n"/>
      <c r="J7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1" s="474">
        <f>J711/#REF!</f>
        <v/>
      </c>
      <c r="L711" s="473" t="n"/>
      <c r="M711" s="692" t="n"/>
      <c r="N711" s="693" t="n"/>
      <c r="O711" s="78" t="n"/>
      <c r="P711" s="129" t="n"/>
      <c r="Q711" s="129" t="n"/>
      <c r="R711" s="129" t="n"/>
      <c r="S711" s="129" t="n"/>
      <c r="T711" s="129" t="n"/>
      <c r="U711" s="129" t="n"/>
      <c r="V711" s="129" t="n"/>
      <c r="W711" s="129" t="n"/>
      <c r="X711" s="129" t="n"/>
      <c r="Y711" s="703" t="n"/>
      <c r="Z711" s="704" t="n"/>
      <c r="AA711" s="705" t="n"/>
      <c r="AB711" s="613" t="n"/>
      <c r="AC711" s="614" t="n"/>
      <c r="AD711" s="628" t="n"/>
      <c r="AE711" s="616" t="n"/>
      <c r="AF711" s="617" t="n"/>
      <c r="AG711" s="693" t="n"/>
      <c r="AH711" s="721" t="n"/>
      <c r="AI711" s="721" t="n"/>
      <c r="AJ711" s="688" t="n"/>
      <c r="AK711" s="689" t="n"/>
      <c r="AL711" s="690" t="n"/>
      <c r="AM711" s="691" t="n"/>
      <c r="AN711" s="692" t="n"/>
      <c r="AO711" s="693" t="n"/>
      <c r="AP711" s="693" t="n"/>
      <c r="AQ711" s="693" t="n"/>
      <c r="AR711" s="693" t="n"/>
      <c r="AS711" s="693" t="n"/>
      <c r="AT711" s="693" t="n"/>
      <c r="AU711" s="699" t="n"/>
      <c r="AV711" s="693" t="n"/>
      <c r="AW711" s="693" t="n"/>
      <c r="AX711" s="693" t="n"/>
      <c r="AY711" s="693" t="n"/>
      <c r="AZ711" s="693" t="n"/>
    </row>
    <row r="712">
      <c r="A712" s="688" t="n"/>
      <c r="B712" s="688" t="n"/>
      <c r="C712" s="473" t="n"/>
      <c r="D712" s="688" t="n"/>
      <c r="E712" s="689" t="n"/>
      <c r="F712" s="721" t="n"/>
      <c r="G7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2" s="474">
        <f>G712/#REF!</f>
        <v/>
      </c>
      <c r="I712" s="690" t="n"/>
      <c r="J7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2" s="474">
        <f>J712/#REF!</f>
        <v/>
      </c>
      <c r="L712" s="473" t="n"/>
      <c r="M712" s="692" t="n"/>
      <c r="N712" s="693" t="n"/>
      <c r="O712" s="78" t="n"/>
      <c r="P712" s="129" t="n"/>
      <c r="Q712" s="129" t="n"/>
      <c r="R712" s="129" t="n"/>
      <c r="S712" s="129" t="n"/>
      <c r="T712" s="129" t="n"/>
      <c r="U712" s="129" t="n"/>
      <c r="V712" s="129" t="n"/>
      <c r="W712" s="129" t="n"/>
      <c r="X712" s="129" t="n"/>
      <c r="Y712" s="708" t="n"/>
      <c r="Z712" s="709" t="n"/>
      <c r="AA712" s="710" t="n"/>
      <c r="AB712" s="590" t="n"/>
      <c r="AC712" s="591" t="n"/>
      <c r="AD712" s="592" t="n"/>
      <c r="AE712" s="593" t="n"/>
      <c r="AF712" s="594" t="n"/>
      <c r="AG712" s="693" t="n"/>
      <c r="AH712" s="721" t="n"/>
      <c r="AI712" s="721" t="n"/>
      <c r="AJ712" s="688" t="n"/>
      <c r="AK712" s="689" t="n"/>
      <c r="AL712" s="690" t="n"/>
      <c r="AM712" s="691" t="n"/>
      <c r="AN712" s="692" t="n"/>
      <c r="AO712" s="693" t="n"/>
      <c r="AP712" s="693" t="n"/>
      <c r="AQ712" s="693" t="n"/>
      <c r="AR712" s="693" t="n"/>
      <c r="AS712" s="693" t="n"/>
      <c r="AT712" s="693" t="n"/>
      <c r="AU712" s="699" t="n"/>
      <c r="AV712" s="693" t="n"/>
      <c r="AW712" s="693" t="n"/>
      <c r="AX712" s="693" t="n"/>
      <c r="AY712" s="693" t="n"/>
      <c r="AZ712" s="693" t="n"/>
    </row>
    <row r="713">
      <c r="A713" s="688" t="n"/>
      <c r="B713" s="688" t="n"/>
      <c r="C713" s="473" t="n"/>
      <c r="D713" s="688" t="n"/>
      <c r="E713" s="689" t="n"/>
      <c r="F713" s="721" t="n"/>
      <c r="G7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3" s="474">
        <f>G713/#REF!</f>
        <v/>
      </c>
      <c r="I713" s="690" t="n"/>
      <c r="J7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3" s="474">
        <f>J713/#REF!</f>
        <v/>
      </c>
      <c r="L713" s="473" t="n"/>
      <c r="M713" s="692" t="n"/>
      <c r="N713" s="693" t="n"/>
      <c r="O713" s="78" t="n"/>
      <c r="P713" s="129" t="n"/>
      <c r="Q713" s="129" t="n"/>
      <c r="R713" s="129" t="n"/>
      <c r="S713" s="129" t="n"/>
      <c r="T713" s="129" t="n"/>
      <c r="U713" s="129" t="n"/>
      <c r="V713" s="129" t="n"/>
      <c r="W713" s="129" t="n"/>
      <c r="X713" s="129" t="n"/>
      <c r="Y713" s="703" t="n"/>
      <c r="Z713" s="704" t="n"/>
      <c r="AA713" s="705" t="n"/>
      <c r="AB713" s="613" t="n"/>
      <c r="AC713" s="614" t="n"/>
      <c r="AD713" s="628" t="n"/>
      <c r="AE713" s="616" t="n"/>
      <c r="AF713" s="617" t="n"/>
      <c r="AG713" s="693" t="n"/>
      <c r="AH713" s="721" t="n"/>
      <c r="AI713" s="721" t="n"/>
      <c r="AJ713" s="688" t="n"/>
      <c r="AK713" s="689" t="n"/>
      <c r="AL713" s="690" t="n"/>
      <c r="AM713" s="691" t="n"/>
      <c r="AN713" s="692" t="n"/>
      <c r="AO713" s="693" t="n"/>
      <c r="AP713" s="693" t="n"/>
      <c r="AQ713" s="693" t="n"/>
      <c r="AR713" s="693" t="n"/>
      <c r="AS713" s="693" t="n"/>
      <c r="AT713" s="693" t="n"/>
      <c r="AU713" s="699" t="n"/>
      <c r="AV713" s="693" t="n"/>
      <c r="AW713" s="693" t="n"/>
      <c r="AX713" s="693" t="n"/>
      <c r="AY713" s="693" t="n"/>
      <c r="AZ713" s="693" t="n"/>
    </row>
    <row r="714">
      <c r="A714" s="688" t="n"/>
      <c r="B714" s="688" t="n"/>
      <c r="C714" s="473" t="n"/>
      <c r="D714" s="688" t="n"/>
      <c r="E714" s="689" t="n"/>
      <c r="F714" s="721" t="n"/>
      <c r="G7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4" s="474">
        <f>G714/#REF!</f>
        <v/>
      </c>
      <c r="I714" s="690" t="n"/>
      <c r="J7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4" s="474">
        <f>J714/#REF!</f>
        <v/>
      </c>
      <c r="L714" s="473" t="n"/>
      <c r="M714" s="692" t="n"/>
      <c r="N714" s="693" t="n"/>
      <c r="O714" s="78" t="n"/>
      <c r="P714" s="129" t="n"/>
      <c r="Q714" s="129" t="n"/>
      <c r="R714" s="129" t="n"/>
      <c r="S714" s="129" t="n"/>
      <c r="T714" s="129" t="n"/>
      <c r="U714" s="129" t="n"/>
      <c r="V714" s="129" t="n"/>
      <c r="W714" s="129" t="n"/>
      <c r="X714" s="129" t="n"/>
      <c r="Y714" s="708" t="n"/>
      <c r="Z714" s="709" t="n"/>
      <c r="AA714" s="710" t="n"/>
      <c r="AB714" s="590" t="n"/>
      <c r="AC714" s="591" t="n"/>
      <c r="AD714" s="592" t="n"/>
      <c r="AE714" s="593" t="n"/>
      <c r="AF714" s="594" t="n"/>
      <c r="AG714" s="693" t="n"/>
      <c r="AH714" s="721" t="n"/>
      <c r="AI714" s="721" t="n"/>
      <c r="AJ714" s="688" t="n"/>
      <c r="AK714" s="689" t="n"/>
      <c r="AL714" s="690" t="n"/>
      <c r="AM714" s="691" t="n"/>
      <c r="AN714" s="692" t="n"/>
      <c r="AO714" s="693" t="n"/>
      <c r="AP714" s="693" t="n"/>
      <c r="AQ714" s="693" t="n"/>
      <c r="AR714" s="693" t="n"/>
      <c r="AS714" s="693" t="n"/>
      <c r="AT714" s="693" t="n"/>
      <c r="AU714" s="699" t="n"/>
      <c r="AV714" s="693" t="n"/>
      <c r="AW714" s="693" t="n"/>
      <c r="AX714" s="693" t="n"/>
      <c r="AY714" s="693" t="n"/>
      <c r="AZ714" s="693" t="n"/>
    </row>
    <row r="715">
      <c r="A715" s="688" t="n"/>
      <c r="B715" s="688" t="n"/>
      <c r="C715" s="473" t="n"/>
      <c r="D715" s="688" t="n"/>
      <c r="E715" s="689" t="n"/>
      <c r="F715" s="721" t="n"/>
      <c r="G7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5" s="474">
        <f>G715/#REF!</f>
        <v/>
      </c>
      <c r="I715" s="690" t="n"/>
      <c r="J7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5" s="474">
        <f>J715/#REF!</f>
        <v/>
      </c>
      <c r="L715" s="473" t="n"/>
      <c r="M715" s="692" t="n"/>
      <c r="N715" s="693" t="n"/>
      <c r="O715" s="78" t="n"/>
      <c r="P715" s="129" t="n"/>
      <c r="Q715" s="129" t="n"/>
      <c r="R715" s="129" t="n"/>
      <c r="S715" s="129" t="n"/>
      <c r="T715" s="129" t="n"/>
      <c r="U715" s="129" t="n"/>
      <c r="V715" s="129" t="n"/>
      <c r="W715" s="129" t="n"/>
      <c r="X715" s="129" t="n"/>
      <c r="Y715" s="703" t="n"/>
      <c r="Z715" s="704" t="n"/>
      <c r="AA715" s="705" t="n"/>
      <c r="AB715" s="613" t="n"/>
      <c r="AC715" s="614" t="n"/>
      <c r="AD715" s="628" t="n"/>
      <c r="AE715" s="616" t="n"/>
      <c r="AF715" s="617" t="n"/>
      <c r="AG715" s="693" t="n"/>
      <c r="AH715" s="721" t="n"/>
      <c r="AI715" s="721" t="n"/>
      <c r="AJ715" s="688" t="n"/>
      <c r="AK715" s="689" t="n"/>
      <c r="AL715" s="690" t="n"/>
      <c r="AM715" s="691" t="n"/>
      <c r="AN715" s="692" t="n"/>
      <c r="AO715" s="693" t="n"/>
      <c r="AP715" s="693" t="n"/>
      <c r="AQ715" s="693" t="n"/>
      <c r="AR715" s="693" t="n"/>
      <c r="AS715" s="693" t="n"/>
      <c r="AT715" s="693" t="n"/>
      <c r="AU715" s="699" t="n"/>
      <c r="AV715" s="693" t="n"/>
      <c r="AW715" s="693" t="n"/>
      <c r="AX715" s="693" t="n"/>
      <c r="AY715" s="693" t="n"/>
      <c r="AZ715" s="693" t="n"/>
    </row>
    <row r="716">
      <c r="A716" s="688" t="n"/>
      <c r="B716" s="688" t="n"/>
      <c r="C716" s="473" t="n"/>
      <c r="D716" s="688" t="n"/>
      <c r="E716" s="689" t="n"/>
      <c r="F716" s="721" t="n"/>
      <c r="G7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6" s="474">
        <f>G716/#REF!</f>
        <v/>
      </c>
      <c r="I716" s="690" t="n"/>
      <c r="J7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6" s="474">
        <f>J716/#REF!</f>
        <v/>
      </c>
      <c r="L716" s="473" t="n"/>
      <c r="M716" s="692" t="n"/>
      <c r="N716" s="693" t="n"/>
      <c r="O716" s="78" t="n"/>
      <c r="P716" s="129" t="n"/>
      <c r="Q716" s="129" t="n"/>
      <c r="R716" s="129" t="n"/>
      <c r="S716" s="129" t="n"/>
      <c r="T716" s="129" t="n"/>
      <c r="U716" s="129" t="n"/>
      <c r="V716" s="129" t="n"/>
      <c r="W716" s="129" t="n"/>
      <c r="X716" s="129" t="n"/>
      <c r="Y716" s="708" t="n"/>
      <c r="Z716" s="709" t="n"/>
      <c r="AA716" s="710" t="n"/>
      <c r="AB716" s="590" t="n"/>
      <c r="AC716" s="591" t="n"/>
      <c r="AD716" s="592" t="n"/>
      <c r="AE716" s="593" t="n"/>
      <c r="AF716" s="594" t="n"/>
      <c r="AG716" s="693" t="n"/>
      <c r="AH716" s="721" t="n"/>
      <c r="AI716" s="721" t="n"/>
      <c r="AJ716" s="688" t="n"/>
      <c r="AK716" s="689" t="n"/>
      <c r="AL716" s="690" t="n"/>
      <c r="AM716" s="691" t="n"/>
      <c r="AN716" s="692" t="n"/>
      <c r="AO716" s="693" t="n"/>
      <c r="AP716" s="693" t="n"/>
      <c r="AQ716" s="693" t="n"/>
      <c r="AR716" s="693" t="n"/>
      <c r="AS716" s="693" t="n"/>
      <c r="AT716" s="693" t="n"/>
      <c r="AU716" s="699" t="n"/>
      <c r="AV716" s="693" t="n"/>
      <c r="AW716" s="693" t="n"/>
      <c r="AX716" s="693" t="n"/>
      <c r="AY716" s="693" t="n"/>
      <c r="AZ716" s="693" t="n"/>
    </row>
    <row r="717">
      <c r="A717" s="688" t="n"/>
      <c r="B717" s="688" t="n"/>
      <c r="C717" s="473" t="n"/>
      <c r="D717" s="688" t="n"/>
      <c r="E717" s="689" t="n"/>
      <c r="F717" s="721" t="n"/>
      <c r="G7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7" s="474">
        <f>G717/#REF!</f>
        <v/>
      </c>
      <c r="I717" s="690" t="n"/>
      <c r="J7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7" s="474">
        <f>J717/#REF!</f>
        <v/>
      </c>
      <c r="L717" s="473" t="n"/>
      <c r="M717" s="692" t="n"/>
      <c r="N717" s="693" t="n"/>
      <c r="O717" s="78" t="n"/>
      <c r="P717" s="129" t="n"/>
      <c r="Q717" s="129" t="n"/>
      <c r="R717" s="129" t="n"/>
      <c r="S717" s="129" t="n"/>
      <c r="T717" s="129" t="n"/>
      <c r="U717" s="129" t="n"/>
      <c r="V717" s="129" t="n"/>
      <c r="W717" s="129" t="n"/>
      <c r="X717" s="129" t="n"/>
      <c r="Y717" s="703" t="n"/>
      <c r="Z717" s="704" t="n"/>
      <c r="AA717" s="705" t="n"/>
      <c r="AB717" s="613" t="n"/>
      <c r="AC717" s="614" t="n"/>
      <c r="AD717" s="628" t="n"/>
      <c r="AE717" s="616" t="n"/>
      <c r="AF717" s="617" t="n"/>
      <c r="AG717" s="693" t="n"/>
      <c r="AH717" s="721" t="n"/>
      <c r="AI717" s="721" t="n"/>
      <c r="AJ717" s="688" t="n"/>
      <c r="AK717" s="689" t="n"/>
      <c r="AL717" s="690" t="n"/>
      <c r="AM717" s="691" t="n"/>
      <c r="AN717" s="692" t="n"/>
      <c r="AO717" s="693" t="n"/>
      <c r="AP717" s="693" t="n"/>
      <c r="AQ717" s="693" t="n"/>
      <c r="AR717" s="693" t="n"/>
      <c r="AS717" s="693" t="n"/>
      <c r="AT717" s="693" t="n"/>
      <c r="AU717" s="699" t="n"/>
      <c r="AV717" s="693" t="n"/>
      <c r="AW717" s="693" t="n"/>
      <c r="AX717" s="693" t="n"/>
      <c r="AY717" s="693" t="n"/>
      <c r="AZ717" s="693" t="n"/>
    </row>
    <row r="718">
      <c r="A718" s="688" t="n"/>
      <c r="B718" s="688" t="n"/>
      <c r="C718" s="473" t="n"/>
      <c r="D718" s="688" t="n"/>
      <c r="E718" s="689" t="n"/>
      <c r="F718" s="721" t="n"/>
      <c r="G7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8" s="474">
        <f>G718/#REF!</f>
        <v/>
      </c>
      <c r="I718" s="690" t="n"/>
      <c r="J7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8" s="474">
        <f>J718/#REF!</f>
        <v/>
      </c>
      <c r="L718" s="473" t="n"/>
      <c r="M718" s="692" t="n"/>
      <c r="N718" s="693" t="n"/>
      <c r="O718" s="78" t="n"/>
      <c r="P718" s="129" t="n"/>
      <c r="Q718" s="129" t="n"/>
      <c r="R718" s="129" t="n"/>
      <c r="S718" s="129" t="n"/>
      <c r="T718" s="129" t="n"/>
      <c r="U718" s="129" t="n"/>
      <c r="V718" s="129" t="n"/>
      <c r="W718" s="129" t="n"/>
      <c r="X718" s="129" t="n"/>
      <c r="Y718" s="708" t="n"/>
      <c r="Z718" s="709" t="n"/>
      <c r="AA718" s="710" t="n"/>
      <c r="AB718" s="590" t="n"/>
      <c r="AC718" s="591" t="n"/>
      <c r="AD718" s="592" t="n"/>
      <c r="AE718" s="593" t="n"/>
      <c r="AF718" s="594" t="n"/>
      <c r="AG718" s="693" t="n"/>
      <c r="AH718" s="721" t="n"/>
      <c r="AI718" s="721" t="n"/>
      <c r="AJ718" s="688" t="n"/>
      <c r="AK718" s="689" t="n"/>
      <c r="AL718" s="690" t="n"/>
      <c r="AM718" s="691" t="n"/>
      <c r="AN718" s="692" t="n"/>
      <c r="AO718" s="693" t="n"/>
      <c r="AP718" s="693" t="n"/>
      <c r="AQ718" s="693" t="n"/>
      <c r="AR718" s="693" t="n"/>
      <c r="AS718" s="693" t="n"/>
      <c r="AT718" s="693" t="n"/>
      <c r="AU718" s="699" t="n"/>
      <c r="AV718" s="693" t="n"/>
      <c r="AW718" s="693" t="n"/>
      <c r="AX718" s="693" t="n"/>
      <c r="AY718" s="693" t="n"/>
      <c r="AZ718" s="693" t="n"/>
    </row>
    <row r="719">
      <c r="A719" s="688" t="n"/>
      <c r="B719" s="688" t="n"/>
      <c r="C719" s="473" t="n"/>
      <c r="D719" s="688" t="n"/>
      <c r="E719" s="689" t="n"/>
      <c r="F719" s="721" t="n"/>
      <c r="G7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19" s="474">
        <f>G719/#REF!</f>
        <v/>
      </c>
      <c r="I719" s="690" t="n"/>
      <c r="J7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19" s="474">
        <f>J719/#REF!</f>
        <v/>
      </c>
      <c r="L719" s="473" t="n"/>
      <c r="M719" s="692" t="n"/>
      <c r="N719" s="693" t="n"/>
      <c r="O719" s="78" t="n"/>
      <c r="P719" s="129" t="n"/>
      <c r="Q719" s="129" t="n"/>
      <c r="R719" s="129" t="n"/>
      <c r="S719" s="129" t="n"/>
      <c r="T719" s="129" t="n"/>
      <c r="U719" s="129" t="n"/>
      <c r="V719" s="129" t="n"/>
      <c r="W719" s="129" t="n"/>
      <c r="X719" s="129" t="n"/>
      <c r="Y719" s="703" t="n"/>
      <c r="Z719" s="704" t="n"/>
      <c r="AA719" s="705" t="n"/>
      <c r="AB719" s="613" t="n"/>
      <c r="AC719" s="614" t="n"/>
      <c r="AD719" s="628" t="n"/>
      <c r="AE719" s="616" t="n"/>
      <c r="AF719" s="617" t="n"/>
      <c r="AG719" s="693" t="n"/>
      <c r="AH719" s="721" t="n"/>
      <c r="AI719" s="721" t="n"/>
      <c r="AJ719" s="688" t="n"/>
      <c r="AK719" s="689" t="n"/>
      <c r="AL719" s="690" t="n"/>
      <c r="AM719" s="691" t="n"/>
      <c r="AN719" s="692" t="n"/>
      <c r="AO719" s="693" t="n"/>
      <c r="AP719" s="693" t="n"/>
      <c r="AQ719" s="693" t="n"/>
      <c r="AR719" s="693" t="n"/>
      <c r="AS719" s="693" t="n"/>
      <c r="AT719" s="693" t="n"/>
      <c r="AU719" s="699" t="n"/>
      <c r="AV719" s="693" t="n"/>
      <c r="AW719" s="693" t="n"/>
      <c r="AX719" s="693" t="n"/>
      <c r="AY719" s="693" t="n"/>
      <c r="AZ719" s="693" t="n"/>
    </row>
    <row r="720">
      <c r="A720" s="688" t="n"/>
      <c r="B720" s="688" t="n"/>
      <c r="C720" s="473" t="n"/>
      <c r="D720" s="688" t="n"/>
      <c r="E720" s="689" t="n"/>
      <c r="F720" s="721" t="n"/>
      <c r="G7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0" s="474">
        <f>G720/#REF!</f>
        <v/>
      </c>
      <c r="I720" s="690" t="n"/>
      <c r="J7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0" s="474">
        <f>J720/#REF!</f>
        <v/>
      </c>
      <c r="L720" s="473" t="n"/>
      <c r="M720" s="692" t="n"/>
      <c r="N720" s="693" t="n"/>
      <c r="O720" s="78" t="n"/>
      <c r="P720" s="129" t="n"/>
      <c r="Q720" s="129" t="n"/>
      <c r="R720" s="129" t="n"/>
      <c r="S720" s="129" t="n"/>
      <c r="T720" s="129" t="n"/>
      <c r="U720" s="129" t="n"/>
      <c r="V720" s="129" t="n"/>
      <c r="W720" s="129" t="n"/>
      <c r="X720" s="129" t="n"/>
      <c r="Y720" s="708" t="n"/>
      <c r="Z720" s="709" t="n"/>
      <c r="AA720" s="710" t="n"/>
      <c r="AB720" s="590" t="n"/>
      <c r="AC720" s="591" t="n"/>
      <c r="AD720" s="592" t="n"/>
      <c r="AE720" s="593" t="n"/>
      <c r="AF720" s="594" t="n"/>
      <c r="AG720" s="693" t="n"/>
      <c r="AH720" s="721" t="n"/>
      <c r="AI720" s="721" t="n"/>
      <c r="AJ720" s="688" t="n"/>
      <c r="AK720" s="689" t="n"/>
      <c r="AL720" s="690" t="n"/>
      <c r="AM720" s="691" t="n"/>
      <c r="AN720" s="692" t="n"/>
      <c r="AO720" s="693" t="n"/>
      <c r="AP720" s="693" t="n"/>
      <c r="AQ720" s="693" t="n"/>
      <c r="AR720" s="693" t="n"/>
      <c r="AS720" s="693" t="n"/>
      <c r="AT720" s="693" t="n"/>
      <c r="AU720" s="699" t="n"/>
      <c r="AV720" s="693" t="n"/>
      <c r="AW720" s="693" t="n"/>
      <c r="AX720" s="693" t="n"/>
      <c r="AY720" s="693" t="n"/>
      <c r="AZ720" s="693" t="n"/>
    </row>
    <row r="721">
      <c r="A721" s="688" t="n"/>
      <c r="B721" s="688" t="n"/>
      <c r="C721" s="473" t="n"/>
      <c r="D721" s="688" t="n"/>
      <c r="E721" s="689" t="n"/>
      <c r="F721" s="721" t="n"/>
      <c r="G7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1" s="474">
        <f>G721/#REF!</f>
        <v/>
      </c>
      <c r="I721" s="690" t="n"/>
      <c r="J7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1" s="474">
        <f>J721/#REF!</f>
        <v/>
      </c>
      <c r="L721" s="473" t="n"/>
      <c r="M721" s="692" t="n"/>
      <c r="N721" s="693" t="n"/>
      <c r="O721" s="78" t="n"/>
      <c r="P721" s="129" t="n"/>
      <c r="Q721" s="129" t="n"/>
      <c r="R721" s="129" t="n"/>
      <c r="S721" s="129" t="n"/>
      <c r="T721" s="129" t="n"/>
      <c r="U721" s="129" t="n"/>
      <c r="V721" s="129" t="n"/>
      <c r="W721" s="129" t="n"/>
      <c r="X721" s="129" t="n"/>
      <c r="Y721" s="703" t="n"/>
      <c r="Z721" s="704" t="n"/>
      <c r="AA721" s="705" t="n"/>
      <c r="AB721" s="613" t="n"/>
      <c r="AC721" s="614" t="n"/>
      <c r="AD721" s="628" t="n"/>
      <c r="AE721" s="616" t="n"/>
      <c r="AF721" s="617" t="n"/>
      <c r="AG721" s="693" t="n"/>
      <c r="AH721" s="721" t="n"/>
      <c r="AI721" s="721" t="n"/>
      <c r="AJ721" s="688" t="n"/>
      <c r="AK721" s="689" t="n"/>
      <c r="AL721" s="690" t="n"/>
      <c r="AM721" s="691" t="n"/>
      <c r="AN721" s="692" t="n"/>
      <c r="AO721" s="693" t="n"/>
      <c r="AP721" s="693" t="n"/>
      <c r="AQ721" s="693" t="n"/>
      <c r="AR721" s="693" t="n"/>
      <c r="AS721" s="693" t="n"/>
      <c r="AT721" s="693" t="n"/>
      <c r="AU721" s="699" t="n"/>
      <c r="AV721" s="693" t="n"/>
      <c r="AW721" s="693" t="n"/>
      <c r="AX721" s="693" t="n"/>
      <c r="AY721" s="693" t="n"/>
      <c r="AZ721" s="693" t="n"/>
    </row>
    <row r="722">
      <c r="A722" s="688" t="n"/>
      <c r="B722" s="688" t="n"/>
      <c r="C722" s="473" t="n"/>
      <c r="D722" s="688" t="n"/>
      <c r="E722" s="689" t="n"/>
      <c r="F722" s="721" t="n"/>
      <c r="G7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2" s="474">
        <f>G722/#REF!</f>
        <v/>
      </c>
      <c r="I722" s="690" t="n"/>
      <c r="J7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2" s="474">
        <f>J722/#REF!</f>
        <v/>
      </c>
      <c r="L722" s="473" t="n"/>
      <c r="M722" s="692" t="n"/>
      <c r="N722" s="693" t="n"/>
      <c r="O722" s="78" t="n"/>
      <c r="P722" s="129" t="n"/>
      <c r="Q722" s="129" t="n"/>
      <c r="R722" s="129" t="n"/>
      <c r="S722" s="129" t="n"/>
      <c r="T722" s="129" t="n"/>
      <c r="U722" s="129" t="n"/>
      <c r="V722" s="129" t="n"/>
      <c r="W722" s="129" t="n"/>
      <c r="X722" s="129" t="n"/>
      <c r="Y722" s="708" t="n"/>
      <c r="Z722" s="709" t="n"/>
      <c r="AA722" s="710" t="n"/>
      <c r="AB722" s="590" t="n"/>
      <c r="AC722" s="591" t="n"/>
      <c r="AD722" s="592" t="n"/>
      <c r="AE722" s="593" t="n"/>
      <c r="AF722" s="594" t="n"/>
      <c r="AG722" s="693" t="n"/>
      <c r="AH722" s="721" t="n"/>
      <c r="AI722" s="721" t="n"/>
      <c r="AJ722" s="688" t="n"/>
      <c r="AK722" s="689" t="n"/>
      <c r="AL722" s="690" t="n"/>
      <c r="AM722" s="691" t="n"/>
      <c r="AN722" s="692" t="n"/>
      <c r="AO722" s="693" t="n"/>
      <c r="AP722" s="693" t="n"/>
      <c r="AQ722" s="693" t="n"/>
      <c r="AR722" s="693" t="n"/>
      <c r="AS722" s="693" t="n"/>
      <c r="AT722" s="693" t="n"/>
      <c r="AU722" s="699" t="n"/>
      <c r="AV722" s="693" t="n"/>
      <c r="AW722" s="693" t="n"/>
      <c r="AX722" s="693" t="n"/>
      <c r="AY722" s="693" t="n"/>
      <c r="AZ722" s="693" t="n"/>
    </row>
    <row r="723">
      <c r="A723" s="688" t="n"/>
      <c r="B723" s="688" t="n"/>
      <c r="C723" s="473" t="n"/>
      <c r="D723" s="688" t="n"/>
      <c r="E723" s="689" t="n"/>
      <c r="F723" s="721" t="n"/>
      <c r="G7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3" s="474">
        <f>G723/#REF!</f>
        <v/>
      </c>
      <c r="I723" s="690" t="n"/>
      <c r="J7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3" s="474">
        <f>J723/#REF!</f>
        <v/>
      </c>
      <c r="L723" s="473" t="n"/>
      <c r="M723" s="692" t="n"/>
      <c r="N723" s="693" t="n"/>
      <c r="O723" s="78" t="n"/>
      <c r="P723" s="129" t="n"/>
      <c r="Q723" s="129" t="n"/>
      <c r="R723" s="129" t="n"/>
      <c r="S723" s="129" t="n"/>
      <c r="T723" s="129" t="n"/>
      <c r="U723" s="129" t="n"/>
      <c r="V723" s="129" t="n"/>
      <c r="W723" s="129" t="n"/>
      <c r="X723" s="129" t="n"/>
      <c r="Y723" s="703" t="n"/>
      <c r="Z723" s="704" t="n"/>
      <c r="AA723" s="705" t="n"/>
      <c r="AB723" s="613" t="n"/>
      <c r="AC723" s="614" t="n"/>
      <c r="AD723" s="628" t="n"/>
      <c r="AE723" s="616" t="n"/>
      <c r="AF723" s="617" t="n"/>
      <c r="AG723" s="693" t="n"/>
      <c r="AH723" s="721" t="n"/>
      <c r="AI723" s="721" t="n"/>
      <c r="AJ723" s="688" t="n"/>
      <c r="AK723" s="689" t="n"/>
      <c r="AL723" s="690" t="n"/>
      <c r="AM723" s="691" t="n"/>
      <c r="AN723" s="692" t="n"/>
      <c r="AO723" s="693" t="n"/>
      <c r="AP723" s="693" t="n"/>
      <c r="AQ723" s="693" t="n"/>
      <c r="AR723" s="693" t="n"/>
      <c r="AS723" s="693" t="n"/>
      <c r="AT723" s="693" t="n"/>
      <c r="AU723" s="699" t="n"/>
      <c r="AV723" s="693" t="n"/>
      <c r="AW723" s="693" t="n"/>
      <c r="AX723" s="693" t="n"/>
      <c r="AY723" s="693" t="n"/>
      <c r="AZ723" s="693" t="n"/>
    </row>
    <row r="724">
      <c r="A724" s="688" t="n"/>
      <c r="B724" s="688" t="n"/>
      <c r="C724" s="473" t="n"/>
      <c r="D724" s="688" t="n"/>
      <c r="E724" s="689" t="n"/>
      <c r="F724" s="721" t="n"/>
      <c r="G7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4" s="474">
        <f>G724/#REF!</f>
        <v/>
      </c>
      <c r="I724" s="690" t="n"/>
      <c r="J7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4" s="474">
        <f>J724/#REF!</f>
        <v/>
      </c>
      <c r="L724" s="473" t="n"/>
      <c r="M724" s="692" t="n"/>
      <c r="N724" s="693" t="n"/>
      <c r="O724" s="78" t="n"/>
      <c r="P724" s="129" t="n"/>
      <c r="Q724" s="129" t="n"/>
      <c r="R724" s="129" t="n"/>
      <c r="S724" s="129" t="n"/>
      <c r="T724" s="129" t="n"/>
      <c r="U724" s="129" t="n"/>
      <c r="V724" s="129" t="n"/>
      <c r="W724" s="129" t="n"/>
      <c r="X724" s="129" t="n"/>
      <c r="Y724" s="708" t="n"/>
      <c r="Z724" s="709" t="n"/>
      <c r="AA724" s="710" t="n"/>
      <c r="AB724" s="590" t="n"/>
      <c r="AC724" s="591" t="n"/>
      <c r="AD724" s="592" t="n"/>
      <c r="AE724" s="593" t="n"/>
      <c r="AF724" s="594" t="n"/>
      <c r="AG724" s="693" t="n"/>
      <c r="AH724" s="721" t="n"/>
      <c r="AI724" s="721" t="n"/>
      <c r="AJ724" s="688" t="n"/>
      <c r="AK724" s="689" t="n"/>
      <c r="AL724" s="690" t="n"/>
      <c r="AM724" s="691" t="n"/>
      <c r="AN724" s="692" t="n"/>
      <c r="AO724" s="693" t="n"/>
      <c r="AP724" s="693" t="n"/>
      <c r="AQ724" s="693" t="n"/>
      <c r="AR724" s="693" t="n"/>
      <c r="AS724" s="693" t="n"/>
      <c r="AT724" s="693" t="n"/>
      <c r="AU724" s="699" t="n"/>
      <c r="AV724" s="693" t="n"/>
      <c r="AW724" s="693" t="n"/>
      <c r="AX724" s="693" t="n"/>
      <c r="AY724" s="693" t="n"/>
      <c r="AZ724" s="693" t="n"/>
    </row>
    <row r="725">
      <c r="A725" s="688" t="n"/>
      <c r="B725" s="688" t="n"/>
      <c r="C725" s="473" t="n"/>
      <c r="D725" s="688" t="n"/>
      <c r="E725" s="689" t="n"/>
      <c r="F725" s="721" t="n"/>
      <c r="G7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5" s="474">
        <f>G725/#REF!</f>
        <v/>
      </c>
      <c r="I725" s="690" t="n"/>
      <c r="J7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5" s="474">
        <f>J725/#REF!</f>
        <v/>
      </c>
      <c r="L725" s="473" t="n"/>
      <c r="M725" s="692" t="n"/>
      <c r="N725" s="693" t="n"/>
      <c r="O725" s="78" t="n"/>
      <c r="P725" s="129" t="n"/>
      <c r="Q725" s="129" t="n"/>
      <c r="R725" s="129" t="n"/>
      <c r="S725" s="129" t="n"/>
      <c r="T725" s="129" t="n"/>
      <c r="U725" s="129" t="n"/>
      <c r="V725" s="129" t="n"/>
      <c r="W725" s="129" t="n"/>
      <c r="X725" s="129" t="n"/>
      <c r="Y725" s="703" t="n"/>
      <c r="Z725" s="704" t="n"/>
      <c r="AA725" s="705" t="n"/>
      <c r="AB725" s="613" t="n"/>
      <c r="AC725" s="614" t="n"/>
      <c r="AD725" s="628" t="n"/>
      <c r="AE725" s="616" t="n"/>
      <c r="AF725" s="617" t="n"/>
      <c r="AG725" s="693" t="n"/>
      <c r="AH725" s="721" t="n"/>
      <c r="AI725" s="721" t="n"/>
      <c r="AJ725" s="688" t="n"/>
      <c r="AK725" s="689" t="n"/>
      <c r="AL725" s="690" t="n"/>
      <c r="AM725" s="691" t="n"/>
      <c r="AN725" s="692" t="n"/>
      <c r="AO725" s="693" t="n"/>
      <c r="AP725" s="693" t="n"/>
      <c r="AQ725" s="693" t="n"/>
      <c r="AR725" s="693" t="n"/>
      <c r="AS725" s="693" t="n"/>
      <c r="AT725" s="693" t="n"/>
      <c r="AU725" s="699" t="n"/>
      <c r="AV725" s="693" t="n"/>
      <c r="AW725" s="693" t="n"/>
      <c r="AX725" s="693" t="n"/>
      <c r="AY725" s="693" t="n"/>
      <c r="AZ725" s="693" t="n"/>
    </row>
    <row r="726">
      <c r="A726" s="688" t="n"/>
      <c r="B726" s="688" t="n"/>
      <c r="C726" s="473" t="n"/>
      <c r="D726" s="688" t="n"/>
      <c r="E726" s="689" t="n"/>
      <c r="F726" s="721" t="n"/>
      <c r="G7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6" s="474">
        <f>G726/#REF!</f>
        <v/>
      </c>
      <c r="I726" s="690" t="n"/>
      <c r="J7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6" s="474">
        <f>J726/#REF!</f>
        <v/>
      </c>
      <c r="L726" s="473" t="n"/>
      <c r="M726" s="692" t="n"/>
      <c r="N726" s="693" t="n"/>
      <c r="O726" s="78" t="n"/>
      <c r="P726" s="129" t="n"/>
      <c r="Q726" s="129" t="n"/>
      <c r="R726" s="129" t="n"/>
      <c r="S726" s="129" t="n"/>
      <c r="T726" s="129" t="n"/>
      <c r="U726" s="129" t="n"/>
      <c r="V726" s="129" t="n"/>
      <c r="W726" s="129" t="n"/>
      <c r="X726" s="129" t="n"/>
      <c r="Y726" s="708" t="n"/>
      <c r="Z726" s="709" t="n"/>
      <c r="AA726" s="710" t="n"/>
      <c r="AB726" s="590" t="n"/>
      <c r="AC726" s="591" t="n"/>
      <c r="AD726" s="592" t="n"/>
      <c r="AE726" s="593" t="n"/>
      <c r="AF726" s="594" t="n"/>
      <c r="AG726" s="693" t="n"/>
      <c r="AH726" s="721" t="n"/>
      <c r="AI726" s="721" t="n"/>
      <c r="AJ726" s="688" t="n"/>
      <c r="AK726" s="689" t="n"/>
      <c r="AL726" s="690" t="n"/>
      <c r="AM726" s="691" t="n"/>
      <c r="AN726" s="692" t="n"/>
      <c r="AO726" s="693" t="n"/>
      <c r="AP726" s="693" t="n"/>
      <c r="AQ726" s="693" t="n"/>
      <c r="AR726" s="693" t="n"/>
      <c r="AS726" s="693" t="n"/>
      <c r="AT726" s="693" t="n"/>
      <c r="AU726" s="699" t="n"/>
      <c r="AV726" s="693" t="n"/>
      <c r="AW726" s="693" t="n"/>
      <c r="AX726" s="693" t="n"/>
      <c r="AY726" s="693" t="n"/>
      <c r="AZ726" s="693" t="n"/>
    </row>
    <row r="727">
      <c r="A727" s="688" t="n"/>
      <c r="B727" s="688" t="n"/>
      <c r="C727" s="473" t="n"/>
      <c r="D727" s="688" t="n"/>
      <c r="E727" s="689" t="n"/>
      <c r="F727" s="721" t="n"/>
      <c r="G7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7" s="474">
        <f>G727/#REF!</f>
        <v/>
      </c>
      <c r="I727" s="690" t="n"/>
      <c r="J7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7" s="474">
        <f>J727/#REF!</f>
        <v/>
      </c>
      <c r="L727" s="473" t="n"/>
      <c r="M727" s="692" t="n"/>
      <c r="N727" s="693" t="n"/>
      <c r="O727" s="78" t="n"/>
      <c r="P727" s="129" t="n"/>
      <c r="Q727" s="129" t="n"/>
      <c r="R727" s="129" t="n"/>
      <c r="S727" s="129" t="n"/>
      <c r="T727" s="129" t="n"/>
      <c r="U727" s="129" t="n"/>
      <c r="V727" s="129" t="n"/>
      <c r="W727" s="129" t="n"/>
      <c r="X727" s="129" t="n"/>
      <c r="Y727" s="703" t="n"/>
      <c r="Z727" s="704" t="n"/>
      <c r="AA727" s="705" t="n"/>
      <c r="AB727" s="613" t="n"/>
      <c r="AC727" s="614" t="n"/>
      <c r="AD727" s="628" t="n"/>
      <c r="AE727" s="616" t="n"/>
      <c r="AF727" s="617" t="n"/>
      <c r="AG727" s="693" t="n"/>
      <c r="AH727" s="721" t="n"/>
      <c r="AI727" s="721" t="n"/>
      <c r="AJ727" s="688" t="n"/>
      <c r="AK727" s="689" t="n"/>
      <c r="AL727" s="690" t="n"/>
      <c r="AM727" s="691" t="n"/>
      <c r="AN727" s="692" t="n"/>
      <c r="AO727" s="693" t="n"/>
      <c r="AP727" s="693" t="n"/>
      <c r="AQ727" s="693" t="n"/>
      <c r="AR727" s="693" t="n"/>
      <c r="AS727" s="693" t="n"/>
      <c r="AT727" s="693" t="n"/>
      <c r="AU727" s="699" t="n"/>
      <c r="AV727" s="693" t="n"/>
      <c r="AW727" s="693" t="n"/>
      <c r="AX727" s="693" t="n"/>
      <c r="AY727" s="693" t="n"/>
      <c r="AZ727" s="693" t="n"/>
    </row>
    <row r="728">
      <c r="A728" s="688" t="n"/>
      <c r="B728" s="688" t="n"/>
      <c r="C728" s="473" t="n"/>
      <c r="D728" s="688" t="n"/>
      <c r="E728" s="689" t="n"/>
      <c r="F728" s="721" t="n"/>
      <c r="G7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8" s="474">
        <f>G728/#REF!</f>
        <v/>
      </c>
      <c r="I728" s="690" t="n"/>
      <c r="J7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8" s="474">
        <f>J728/#REF!</f>
        <v/>
      </c>
      <c r="L728" s="473" t="n"/>
      <c r="M728" s="692" t="n"/>
      <c r="N728" s="693" t="n"/>
      <c r="O728" s="78" t="n"/>
      <c r="P728" s="129" t="n"/>
      <c r="Q728" s="129" t="n"/>
      <c r="R728" s="129" t="n"/>
      <c r="S728" s="129" t="n"/>
      <c r="T728" s="129" t="n"/>
      <c r="U728" s="129" t="n"/>
      <c r="V728" s="129" t="n"/>
      <c r="W728" s="129" t="n"/>
      <c r="X728" s="129" t="n"/>
      <c r="Y728" s="708" t="n"/>
      <c r="Z728" s="709" t="n"/>
      <c r="AA728" s="710" t="n"/>
      <c r="AB728" s="590" t="n"/>
      <c r="AC728" s="591" t="n"/>
      <c r="AD728" s="592" t="n"/>
      <c r="AE728" s="593" t="n"/>
      <c r="AF728" s="594" t="n"/>
      <c r="AG728" s="693" t="n"/>
      <c r="AH728" s="721" t="n"/>
      <c r="AI728" s="721" t="n"/>
      <c r="AJ728" s="688" t="n"/>
      <c r="AK728" s="689" t="n"/>
      <c r="AL728" s="690" t="n"/>
      <c r="AM728" s="691" t="n"/>
      <c r="AN728" s="692" t="n"/>
      <c r="AO728" s="693" t="n"/>
      <c r="AP728" s="693" t="n"/>
      <c r="AQ728" s="693" t="n"/>
      <c r="AR728" s="693" t="n"/>
      <c r="AS728" s="693" t="n"/>
      <c r="AT728" s="693" t="n"/>
      <c r="AU728" s="699" t="n"/>
      <c r="AV728" s="693" t="n"/>
      <c r="AW728" s="693" t="n"/>
      <c r="AX728" s="693" t="n"/>
      <c r="AY728" s="693" t="n"/>
      <c r="AZ728" s="693" t="n"/>
    </row>
    <row r="729">
      <c r="A729" s="688" t="n"/>
      <c r="B729" s="688" t="n"/>
      <c r="C729" s="473" t="n"/>
      <c r="D729" s="688" t="n"/>
      <c r="E729" s="689" t="n"/>
      <c r="F729" s="721" t="n"/>
      <c r="G7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29" s="474">
        <f>G729/#REF!</f>
        <v/>
      </c>
      <c r="I729" s="690" t="n"/>
      <c r="J7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29" s="474">
        <f>J729/#REF!</f>
        <v/>
      </c>
      <c r="L729" s="473" t="n"/>
      <c r="M729" s="692" t="n"/>
      <c r="N729" s="693" t="n"/>
      <c r="O729" s="78" t="n"/>
      <c r="P729" s="129" t="n"/>
      <c r="Q729" s="129" t="n"/>
      <c r="R729" s="129" t="n"/>
      <c r="S729" s="129" t="n"/>
      <c r="T729" s="129" t="n"/>
      <c r="U729" s="129" t="n"/>
      <c r="V729" s="129" t="n"/>
      <c r="W729" s="129" t="n"/>
      <c r="X729" s="129" t="n"/>
      <c r="Y729" s="703" t="n"/>
      <c r="Z729" s="704" t="n"/>
      <c r="AA729" s="705" t="n"/>
      <c r="AB729" s="613" t="n"/>
      <c r="AC729" s="614" t="n"/>
      <c r="AD729" s="628" t="n"/>
      <c r="AE729" s="616" t="n"/>
      <c r="AF729" s="617" t="n"/>
      <c r="AG729" s="693" t="n"/>
      <c r="AH729" s="721" t="n"/>
      <c r="AI729" s="721" t="n"/>
      <c r="AJ729" s="688" t="n"/>
      <c r="AK729" s="689" t="n"/>
      <c r="AL729" s="690" t="n"/>
      <c r="AM729" s="691" t="n"/>
      <c r="AN729" s="692" t="n"/>
      <c r="AO729" s="693" t="n"/>
      <c r="AP729" s="693" t="n"/>
      <c r="AQ729" s="693" t="n"/>
      <c r="AR729" s="693" t="n"/>
      <c r="AS729" s="693" t="n"/>
      <c r="AT729" s="693" t="n"/>
      <c r="AU729" s="699" t="n"/>
      <c r="AV729" s="693" t="n"/>
      <c r="AW729" s="693" t="n"/>
      <c r="AX729" s="693" t="n"/>
      <c r="AY729" s="693" t="n"/>
      <c r="AZ729" s="693" t="n"/>
    </row>
    <row r="730">
      <c r="A730" s="688" t="n"/>
      <c r="B730" s="688" t="n"/>
      <c r="C730" s="473" t="n"/>
      <c r="D730" s="688" t="n"/>
      <c r="E730" s="689" t="n"/>
      <c r="F730" s="721" t="n"/>
      <c r="G7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0" s="474">
        <f>G730/#REF!</f>
        <v/>
      </c>
      <c r="I730" s="690" t="n"/>
      <c r="J7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0" s="474">
        <f>J730/#REF!</f>
        <v/>
      </c>
      <c r="L730" s="473" t="n"/>
      <c r="M730" s="692" t="n"/>
      <c r="N730" s="693" t="n"/>
      <c r="O730" s="78" t="n"/>
      <c r="P730" s="129" t="n"/>
      <c r="Q730" s="129" t="n"/>
      <c r="R730" s="129" t="n"/>
      <c r="S730" s="129" t="n"/>
      <c r="T730" s="129" t="n"/>
      <c r="U730" s="129" t="n"/>
      <c r="V730" s="129" t="n"/>
      <c r="W730" s="129" t="n"/>
      <c r="X730" s="129" t="n"/>
      <c r="Y730" s="708" t="n"/>
      <c r="Z730" s="709" t="n"/>
      <c r="AA730" s="710" t="n"/>
      <c r="AB730" s="590" t="n"/>
      <c r="AC730" s="591" t="n"/>
      <c r="AD730" s="592" t="n"/>
      <c r="AE730" s="593" t="n"/>
      <c r="AF730" s="594" t="n"/>
      <c r="AG730" s="693" t="n"/>
      <c r="AH730" s="721" t="n"/>
      <c r="AI730" s="721" t="n"/>
      <c r="AJ730" s="688" t="n"/>
      <c r="AK730" s="689" t="n"/>
      <c r="AL730" s="690" t="n"/>
      <c r="AM730" s="691" t="n"/>
      <c r="AN730" s="692" t="n"/>
      <c r="AO730" s="693" t="n"/>
      <c r="AP730" s="693" t="n"/>
      <c r="AQ730" s="693" t="n"/>
      <c r="AR730" s="693" t="n"/>
      <c r="AS730" s="693" t="n"/>
      <c r="AT730" s="693" t="n"/>
      <c r="AU730" s="699" t="n"/>
      <c r="AV730" s="693" t="n"/>
      <c r="AW730" s="693" t="n"/>
      <c r="AX730" s="693" t="n"/>
      <c r="AY730" s="693" t="n"/>
      <c r="AZ730" s="693" t="n"/>
    </row>
    <row r="731">
      <c r="A731" s="688" t="n"/>
      <c r="B731" s="688" t="n"/>
      <c r="C731" s="473" t="n"/>
      <c r="D731" s="688" t="n"/>
      <c r="E731" s="689" t="n"/>
      <c r="F731" s="721" t="n"/>
      <c r="G7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1" s="474">
        <f>G731/#REF!</f>
        <v/>
      </c>
      <c r="I731" s="690" t="n"/>
      <c r="J7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1" s="474">
        <f>J731/#REF!</f>
        <v/>
      </c>
      <c r="L731" s="473" t="n"/>
      <c r="M731" s="692" t="n"/>
      <c r="N731" s="693" t="n"/>
      <c r="O731" s="78" t="n"/>
      <c r="P731" s="129" t="n"/>
      <c r="Q731" s="129" t="n"/>
      <c r="R731" s="129" t="n"/>
      <c r="S731" s="129" t="n"/>
      <c r="T731" s="129" t="n"/>
      <c r="U731" s="129" t="n"/>
      <c r="V731" s="129" t="n"/>
      <c r="W731" s="129" t="n"/>
      <c r="X731" s="129" t="n"/>
      <c r="Y731" s="703" t="n"/>
      <c r="Z731" s="704" t="n"/>
      <c r="AA731" s="705" t="n"/>
      <c r="AB731" s="613" t="n"/>
      <c r="AC731" s="614" t="n"/>
      <c r="AD731" s="628" t="n"/>
      <c r="AE731" s="616" t="n"/>
      <c r="AF731" s="617" t="n"/>
      <c r="AG731" s="693" t="n"/>
      <c r="AH731" s="721" t="n"/>
      <c r="AI731" s="721" t="n"/>
      <c r="AJ731" s="688" t="n"/>
      <c r="AK731" s="689" t="n"/>
      <c r="AL731" s="690" t="n"/>
      <c r="AM731" s="691" t="n"/>
      <c r="AN731" s="692" t="n"/>
      <c r="AO731" s="693" t="n"/>
      <c r="AP731" s="693" t="n"/>
      <c r="AQ731" s="693" t="n"/>
      <c r="AR731" s="693" t="n"/>
      <c r="AS731" s="693" t="n"/>
      <c r="AT731" s="693" t="n"/>
      <c r="AU731" s="699" t="n"/>
      <c r="AV731" s="693" t="n"/>
      <c r="AW731" s="693" t="n"/>
      <c r="AX731" s="693" t="n"/>
      <c r="AY731" s="693" t="n"/>
      <c r="AZ731" s="693" t="n"/>
    </row>
    <row r="732">
      <c r="A732" s="688" t="n"/>
      <c r="B732" s="688" t="n"/>
      <c r="C732" s="473" t="n"/>
      <c r="D732" s="688" t="n"/>
      <c r="E732" s="689" t="n"/>
      <c r="F732" s="721" t="n"/>
      <c r="G7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2" s="474">
        <f>G732/#REF!</f>
        <v/>
      </c>
      <c r="I732" s="690" t="n"/>
      <c r="J7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2" s="474">
        <f>J732/#REF!</f>
        <v/>
      </c>
      <c r="L732" s="473" t="n"/>
      <c r="M732" s="692" t="n"/>
      <c r="N732" s="693" t="n"/>
      <c r="O732" s="78" t="n"/>
      <c r="P732" s="129" t="n"/>
      <c r="Q732" s="129" t="n"/>
      <c r="R732" s="129" t="n"/>
      <c r="S732" s="129" t="n"/>
      <c r="T732" s="129" t="n"/>
      <c r="U732" s="129" t="n"/>
      <c r="V732" s="129" t="n"/>
      <c r="W732" s="129" t="n"/>
      <c r="X732" s="129" t="n"/>
      <c r="Y732" s="708" t="n"/>
      <c r="Z732" s="709" t="n"/>
      <c r="AA732" s="710" t="n"/>
      <c r="AB732" s="590" t="n"/>
      <c r="AC732" s="591" t="n"/>
      <c r="AD732" s="592" t="n"/>
      <c r="AE732" s="593" t="n"/>
      <c r="AF732" s="594" t="n"/>
      <c r="AG732" s="693" t="n"/>
      <c r="AH732" s="721" t="n"/>
      <c r="AI732" s="721" t="n"/>
      <c r="AJ732" s="688" t="n"/>
      <c r="AK732" s="689" t="n"/>
      <c r="AL732" s="690" t="n"/>
      <c r="AM732" s="691" t="n"/>
      <c r="AN732" s="692" t="n"/>
      <c r="AO732" s="693" t="n"/>
      <c r="AP732" s="693" t="n"/>
      <c r="AQ732" s="693" t="n"/>
      <c r="AR732" s="693" t="n"/>
      <c r="AS732" s="693" t="n"/>
      <c r="AT732" s="693" t="n"/>
      <c r="AU732" s="699" t="n"/>
      <c r="AV732" s="693" t="n"/>
      <c r="AW732" s="693" t="n"/>
      <c r="AX732" s="693" t="n"/>
      <c r="AY732" s="693" t="n"/>
      <c r="AZ732" s="693" t="n"/>
    </row>
    <row r="733">
      <c r="A733" s="688" t="n"/>
      <c r="B733" s="688" t="n"/>
      <c r="C733" s="473" t="n"/>
      <c r="D733" s="688" t="n"/>
      <c r="E733" s="689" t="n"/>
      <c r="F733" s="721" t="n"/>
      <c r="G7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3" s="474">
        <f>G733/#REF!</f>
        <v/>
      </c>
      <c r="I733" s="690" t="n"/>
      <c r="J7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3" s="474">
        <f>J733/#REF!</f>
        <v/>
      </c>
      <c r="L733" s="473" t="n"/>
      <c r="M733" s="692" t="n"/>
      <c r="N733" s="693" t="n"/>
      <c r="O733" s="78" t="n"/>
      <c r="P733" s="129" t="n"/>
      <c r="Q733" s="129" t="n"/>
      <c r="R733" s="129" t="n"/>
      <c r="S733" s="129" t="n"/>
      <c r="T733" s="129" t="n"/>
      <c r="U733" s="129" t="n"/>
      <c r="V733" s="129" t="n"/>
      <c r="W733" s="129" t="n"/>
      <c r="X733" s="129" t="n"/>
      <c r="Y733" s="703" t="n"/>
      <c r="Z733" s="704" t="n"/>
      <c r="AA733" s="705" t="n"/>
      <c r="AB733" s="613" t="n"/>
      <c r="AC733" s="614" t="n"/>
      <c r="AD733" s="628" t="n"/>
      <c r="AE733" s="616" t="n"/>
      <c r="AF733" s="617" t="n"/>
      <c r="AG733" s="693" t="n"/>
      <c r="AH733" s="721" t="n"/>
      <c r="AI733" s="721" t="n"/>
      <c r="AJ733" s="688" t="n"/>
      <c r="AK733" s="689" t="n"/>
      <c r="AL733" s="690" t="n"/>
      <c r="AM733" s="691" t="n"/>
      <c r="AN733" s="692" t="n"/>
      <c r="AO733" s="693" t="n"/>
      <c r="AP733" s="693" t="n"/>
      <c r="AQ733" s="693" t="n"/>
      <c r="AR733" s="693" t="n"/>
      <c r="AS733" s="693" t="n"/>
      <c r="AT733" s="693" t="n"/>
      <c r="AU733" s="699" t="n"/>
      <c r="AV733" s="693" t="n"/>
      <c r="AW733" s="693" t="n"/>
      <c r="AX733" s="693" t="n"/>
      <c r="AY733" s="693" t="n"/>
      <c r="AZ733" s="693" t="n"/>
    </row>
    <row r="734">
      <c r="A734" s="688" t="n"/>
      <c r="B734" s="688" t="n"/>
      <c r="C734" s="473" t="n"/>
      <c r="D734" s="688" t="n"/>
      <c r="E734" s="689" t="n"/>
      <c r="F734" s="721" t="n"/>
      <c r="G7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4" s="474">
        <f>G734/#REF!</f>
        <v/>
      </c>
      <c r="I734" s="690" t="n"/>
      <c r="J7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4" s="474">
        <f>J734/#REF!</f>
        <v/>
      </c>
      <c r="L734" s="473" t="n"/>
      <c r="M734" s="692" t="n"/>
      <c r="N734" s="693" t="n"/>
      <c r="O734" s="78" t="n"/>
      <c r="P734" s="129" t="n"/>
      <c r="Q734" s="129" t="n"/>
      <c r="R734" s="129" t="n"/>
      <c r="S734" s="129" t="n"/>
      <c r="T734" s="129" t="n"/>
      <c r="U734" s="129" t="n"/>
      <c r="V734" s="129" t="n"/>
      <c r="W734" s="129" t="n"/>
      <c r="X734" s="129" t="n"/>
      <c r="Y734" s="708" t="n"/>
      <c r="Z734" s="709" t="n"/>
      <c r="AA734" s="710" t="n"/>
      <c r="AB734" s="590" t="n"/>
      <c r="AC734" s="591" t="n"/>
      <c r="AD734" s="592" t="n"/>
      <c r="AE734" s="593" t="n"/>
      <c r="AF734" s="594" t="n"/>
      <c r="AG734" s="693" t="n"/>
      <c r="AH734" s="721" t="n"/>
      <c r="AI734" s="721" t="n"/>
      <c r="AJ734" s="688" t="n"/>
      <c r="AK734" s="689" t="n"/>
      <c r="AL734" s="690" t="n"/>
      <c r="AM734" s="691" t="n"/>
      <c r="AN734" s="692" t="n"/>
      <c r="AO734" s="693" t="n"/>
      <c r="AP734" s="693" t="n"/>
      <c r="AQ734" s="693" t="n"/>
      <c r="AR734" s="693" t="n"/>
      <c r="AS734" s="693" t="n"/>
      <c r="AT734" s="693" t="n"/>
      <c r="AU734" s="699" t="n"/>
      <c r="AV734" s="693" t="n"/>
      <c r="AW734" s="693" t="n"/>
      <c r="AX734" s="693" t="n"/>
      <c r="AY734" s="693" t="n"/>
      <c r="AZ734" s="693" t="n"/>
    </row>
    <row r="735">
      <c r="A735" s="688" t="n"/>
      <c r="B735" s="688" t="n"/>
      <c r="C735" s="473" t="n"/>
      <c r="D735" s="688" t="n"/>
      <c r="E735" s="689" t="n"/>
      <c r="F735" s="721" t="n"/>
      <c r="G7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5" s="474">
        <f>G735/#REF!</f>
        <v/>
      </c>
      <c r="I735" s="690" t="n"/>
      <c r="J7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5" s="474">
        <f>J735/#REF!</f>
        <v/>
      </c>
      <c r="L735" s="473" t="n"/>
      <c r="M735" s="692" t="n"/>
      <c r="N735" s="693" t="n"/>
      <c r="O735" s="78" t="n"/>
      <c r="P735" s="129" t="n"/>
      <c r="Q735" s="129" t="n"/>
      <c r="R735" s="129" t="n"/>
      <c r="S735" s="129" t="n"/>
      <c r="T735" s="129" t="n"/>
      <c r="U735" s="129" t="n"/>
      <c r="V735" s="129" t="n"/>
      <c r="W735" s="129" t="n"/>
      <c r="X735" s="129" t="n"/>
      <c r="Y735" s="703" t="n"/>
      <c r="Z735" s="704" t="n"/>
      <c r="AA735" s="705" t="n"/>
      <c r="AB735" s="613" t="n"/>
      <c r="AC735" s="614" t="n"/>
      <c r="AD735" s="628" t="n"/>
      <c r="AE735" s="616" t="n"/>
      <c r="AF735" s="617" t="n"/>
      <c r="AG735" s="693" t="n"/>
      <c r="AH735" s="721" t="n"/>
      <c r="AI735" s="721" t="n"/>
      <c r="AJ735" s="688" t="n"/>
      <c r="AK735" s="689" t="n"/>
      <c r="AL735" s="690" t="n"/>
      <c r="AM735" s="691" t="n"/>
      <c r="AN735" s="692" t="n"/>
      <c r="AO735" s="693" t="n"/>
      <c r="AP735" s="693" t="n"/>
      <c r="AQ735" s="693" t="n"/>
      <c r="AR735" s="693" t="n"/>
      <c r="AS735" s="693" t="n"/>
      <c r="AT735" s="693" t="n"/>
      <c r="AU735" s="699" t="n"/>
      <c r="AV735" s="693" t="n"/>
      <c r="AW735" s="693" t="n"/>
      <c r="AX735" s="693" t="n"/>
      <c r="AY735" s="693" t="n"/>
      <c r="AZ735" s="693" t="n"/>
    </row>
    <row r="736">
      <c r="A736" s="688" t="n"/>
      <c r="B736" s="688" t="n"/>
      <c r="C736" s="473" t="n"/>
      <c r="D736" s="688" t="n"/>
      <c r="E736" s="689" t="n"/>
      <c r="F736" s="721" t="n"/>
      <c r="G7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6" s="474">
        <f>G736/#REF!</f>
        <v/>
      </c>
      <c r="I736" s="690" t="n"/>
      <c r="J7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6" s="474">
        <f>J736/#REF!</f>
        <v/>
      </c>
      <c r="L736" s="473" t="n"/>
      <c r="M736" s="692" t="n"/>
      <c r="N736" s="693" t="n"/>
      <c r="O736" s="78" t="n"/>
      <c r="P736" s="129" t="n"/>
      <c r="Q736" s="129" t="n"/>
      <c r="R736" s="129" t="n"/>
      <c r="S736" s="129" t="n"/>
      <c r="T736" s="129" t="n"/>
      <c r="U736" s="129" t="n"/>
      <c r="V736" s="129" t="n"/>
      <c r="W736" s="129" t="n"/>
      <c r="X736" s="129" t="n"/>
      <c r="Y736" s="708" t="n"/>
      <c r="Z736" s="709" t="n"/>
      <c r="AA736" s="710" t="n"/>
      <c r="AB736" s="590" t="n"/>
      <c r="AC736" s="591" t="n"/>
      <c r="AD736" s="592" t="n"/>
      <c r="AE736" s="593" t="n"/>
      <c r="AF736" s="594" t="n"/>
      <c r="AG736" s="693" t="n"/>
      <c r="AH736" s="721" t="n"/>
      <c r="AI736" s="721" t="n"/>
      <c r="AJ736" s="688" t="n"/>
      <c r="AK736" s="689" t="n"/>
      <c r="AL736" s="690" t="n"/>
      <c r="AM736" s="691" t="n"/>
      <c r="AN736" s="692" t="n"/>
      <c r="AO736" s="693" t="n"/>
      <c r="AP736" s="693" t="n"/>
      <c r="AQ736" s="693" t="n"/>
      <c r="AR736" s="693" t="n"/>
      <c r="AS736" s="693" t="n"/>
      <c r="AT736" s="693" t="n"/>
      <c r="AU736" s="699" t="n"/>
      <c r="AV736" s="693" t="n"/>
      <c r="AW736" s="693" t="n"/>
      <c r="AX736" s="693" t="n"/>
      <c r="AY736" s="693" t="n"/>
      <c r="AZ736" s="693" t="n"/>
    </row>
    <row r="737">
      <c r="A737" s="688" t="n"/>
      <c r="B737" s="688" t="n"/>
      <c r="C737" s="473" t="n"/>
      <c r="D737" s="688" t="n"/>
      <c r="E737" s="689" t="n"/>
      <c r="F737" s="721" t="n"/>
      <c r="G7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7" s="474">
        <f>G737/#REF!</f>
        <v/>
      </c>
      <c r="I737" s="690" t="n"/>
      <c r="J7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7" s="474">
        <f>J737/#REF!</f>
        <v/>
      </c>
      <c r="L737" s="473" t="n"/>
      <c r="M737" s="692" t="n"/>
      <c r="N737" s="693" t="n"/>
      <c r="O737" s="78" t="n"/>
      <c r="P737" s="129" t="n"/>
      <c r="Q737" s="129" t="n"/>
      <c r="R737" s="129" t="n"/>
      <c r="S737" s="129" t="n"/>
      <c r="T737" s="129" t="n"/>
      <c r="U737" s="129" t="n"/>
      <c r="V737" s="129" t="n"/>
      <c r="W737" s="129" t="n"/>
      <c r="X737" s="129" t="n"/>
      <c r="Y737" s="703" t="n"/>
      <c r="Z737" s="704" t="n"/>
      <c r="AA737" s="705" t="n"/>
      <c r="AB737" s="613" t="n"/>
      <c r="AC737" s="614" t="n"/>
      <c r="AD737" s="628" t="n"/>
      <c r="AE737" s="616" t="n"/>
      <c r="AF737" s="617" t="n"/>
      <c r="AG737" s="693" t="n"/>
      <c r="AH737" s="721" t="n"/>
      <c r="AI737" s="721" t="n"/>
      <c r="AJ737" s="688" t="n"/>
      <c r="AK737" s="689" t="n"/>
      <c r="AL737" s="690" t="n"/>
      <c r="AM737" s="691" t="n"/>
      <c r="AN737" s="692" t="n"/>
      <c r="AO737" s="693" t="n"/>
      <c r="AP737" s="693" t="n"/>
      <c r="AQ737" s="693" t="n"/>
      <c r="AR737" s="693" t="n"/>
      <c r="AS737" s="693" t="n"/>
      <c r="AT737" s="693" t="n"/>
      <c r="AU737" s="699" t="n"/>
      <c r="AV737" s="693" t="n"/>
      <c r="AW737" s="693" t="n"/>
      <c r="AX737" s="693" t="n"/>
      <c r="AY737" s="693" t="n"/>
      <c r="AZ737" s="693" t="n"/>
    </row>
    <row r="738">
      <c r="A738" s="688" t="n"/>
      <c r="B738" s="688" t="n"/>
      <c r="C738" s="473" t="n"/>
      <c r="D738" s="688" t="n"/>
      <c r="E738" s="689" t="n"/>
      <c r="F738" s="721" t="n"/>
      <c r="G7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8" s="474">
        <f>G738/#REF!</f>
        <v/>
      </c>
      <c r="I738" s="690" t="n"/>
      <c r="J7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8" s="474">
        <f>J738/#REF!</f>
        <v/>
      </c>
      <c r="L738" s="473" t="n"/>
      <c r="M738" s="692" t="n"/>
      <c r="N738" s="693" t="n"/>
      <c r="O738" s="78" t="n"/>
      <c r="P738" s="129" t="n"/>
      <c r="Q738" s="129" t="n"/>
      <c r="R738" s="129" t="n"/>
      <c r="S738" s="129" t="n"/>
      <c r="T738" s="129" t="n"/>
      <c r="U738" s="129" t="n"/>
      <c r="V738" s="129" t="n"/>
      <c r="W738" s="129" t="n"/>
      <c r="X738" s="129" t="n"/>
      <c r="Y738" s="708" t="n"/>
      <c r="Z738" s="709" t="n"/>
      <c r="AA738" s="710" t="n"/>
      <c r="AB738" s="590" t="n"/>
      <c r="AC738" s="591" t="n"/>
      <c r="AD738" s="592" t="n"/>
      <c r="AE738" s="593" t="n"/>
      <c r="AF738" s="594" t="n"/>
      <c r="AG738" s="693" t="n"/>
      <c r="AH738" s="721" t="n"/>
      <c r="AI738" s="721" t="n"/>
      <c r="AJ738" s="688" t="n"/>
      <c r="AK738" s="689" t="n"/>
      <c r="AL738" s="690" t="n"/>
      <c r="AM738" s="691" t="n"/>
      <c r="AN738" s="692" t="n"/>
      <c r="AO738" s="693" t="n"/>
      <c r="AP738" s="693" t="n"/>
      <c r="AQ738" s="693" t="n"/>
      <c r="AR738" s="693" t="n"/>
      <c r="AS738" s="693" t="n"/>
      <c r="AT738" s="693" t="n"/>
      <c r="AU738" s="699" t="n"/>
      <c r="AV738" s="693" t="n"/>
      <c r="AW738" s="693" t="n"/>
      <c r="AX738" s="693" t="n"/>
      <c r="AY738" s="693" t="n"/>
      <c r="AZ738" s="693" t="n"/>
    </row>
    <row r="739">
      <c r="A739" s="688" t="n"/>
      <c r="B739" s="688" t="n"/>
      <c r="C739" s="473" t="n"/>
      <c r="D739" s="688" t="n"/>
      <c r="E739" s="689" t="n"/>
      <c r="F739" s="721" t="n"/>
      <c r="G7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39" s="474">
        <f>G739/#REF!</f>
        <v/>
      </c>
      <c r="I739" s="690" t="n"/>
      <c r="J7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39" s="474">
        <f>J739/#REF!</f>
        <v/>
      </c>
      <c r="L739" s="473" t="n"/>
      <c r="M739" s="692" t="n"/>
      <c r="N739" s="693" t="n"/>
      <c r="O739" s="78" t="n"/>
      <c r="P739" s="129" t="n"/>
      <c r="Q739" s="129" t="n"/>
      <c r="R739" s="129" t="n"/>
      <c r="S739" s="129" t="n"/>
      <c r="T739" s="129" t="n"/>
      <c r="U739" s="129" t="n"/>
      <c r="V739" s="129" t="n"/>
      <c r="W739" s="129" t="n"/>
      <c r="X739" s="129" t="n"/>
      <c r="Y739" s="703" t="n"/>
      <c r="Z739" s="704" t="n"/>
      <c r="AA739" s="705" t="n"/>
      <c r="AB739" s="613" t="n"/>
      <c r="AC739" s="614" t="n"/>
      <c r="AD739" s="628" t="n"/>
      <c r="AE739" s="616" t="n"/>
      <c r="AF739" s="617" t="n"/>
      <c r="AG739" s="693" t="n"/>
      <c r="AH739" s="721" t="n"/>
      <c r="AI739" s="721" t="n"/>
      <c r="AJ739" s="688" t="n"/>
      <c r="AK739" s="689" t="n"/>
      <c r="AL739" s="690" t="n"/>
      <c r="AM739" s="691" t="n"/>
      <c r="AN739" s="692" t="n"/>
      <c r="AO739" s="693" t="n"/>
      <c r="AP739" s="693" t="n"/>
      <c r="AQ739" s="693" t="n"/>
      <c r="AR739" s="693" t="n"/>
      <c r="AS739" s="693" t="n"/>
      <c r="AT739" s="693" t="n"/>
      <c r="AU739" s="699" t="n"/>
      <c r="AV739" s="693" t="n"/>
      <c r="AW739" s="693" t="n"/>
      <c r="AX739" s="693" t="n"/>
      <c r="AY739" s="693" t="n"/>
      <c r="AZ739" s="693" t="n"/>
    </row>
    <row r="740">
      <c r="A740" s="688" t="n"/>
      <c r="B740" s="688" t="n"/>
      <c r="C740" s="473" t="n"/>
      <c r="D740" s="688" t="n"/>
      <c r="E740" s="689" t="n"/>
      <c r="F740" s="721" t="n"/>
      <c r="G7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0" s="474">
        <f>G740/#REF!</f>
        <v/>
      </c>
      <c r="I740" s="690" t="n"/>
      <c r="J7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0" s="474">
        <f>J740/#REF!</f>
        <v/>
      </c>
      <c r="L740" s="473" t="n"/>
      <c r="M740" s="692" t="n"/>
      <c r="N740" s="693" t="n"/>
      <c r="O740" s="78" t="n"/>
      <c r="P740" s="129" t="n"/>
      <c r="Q740" s="129" t="n"/>
      <c r="R740" s="129" t="n"/>
      <c r="S740" s="129" t="n"/>
      <c r="T740" s="129" t="n"/>
      <c r="U740" s="129" t="n"/>
      <c r="V740" s="129" t="n"/>
      <c r="W740" s="129" t="n"/>
      <c r="X740" s="129" t="n"/>
      <c r="Y740" s="708" t="n"/>
      <c r="Z740" s="709" t="n"/>
      <c r="AA740" s="710" t="n"/>
      <c r="AB740" s="590" t="n"/>
      <c r="AC740" s="591" t="n"/>
      <c r="AD740" s="592" t="n"/>
      <c r="AE740" s="593" t="n"/>
      <c r="AF740" s="594" t="n"/>
      <c r="AG740" s="693" t="n"/>
      <c r="AH740" s="721" t="n"/>
      <c r="AI740" s="721" t="n"/>
      <c r="AJ740" s="688" t="n"/>
      <c r="AK740" s="689" t="n"/>
      <c r="AL740" s="690" t="n"/>
      <c r="AM740" s="691" t="n"/>
      <c r="AN740" s="692" t="n"/>
      <c r="AO740" s="693" t="n"/>
      <c r="AP740" s="693" t="n"/>
      <c r="AQ740" s="693" t="n"/>
      <c r="AR740" s="693" t="n"/>
      <c r="AS740" s="693" t="n"/>
      <c r="AT740" s="693" t="n"/>
      <c r="AU740" s="699" t="n"/>
      <c r="AV740" s="693" t="n"/>
      <c r="AW740" s="693" t="n"/>
      <c r="AX740" s="693" t="n"/>
      <c r="AY740" s="693" t="n"/>
      <c r="AZ740" s="693" t="n"/>
    </row>
    <row r="741">
      <c r="A741" s="688" t="n"/>
      <c r="B741" s="688" t="n"/>
      <c r="C741" s="473" t="n"/>
      <c r="D741" s="688" t="n"/>
      <c r="E741" s="689" t="n"/>
      <c r="F741" s="721" t="n"/>
      <c r="G7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1" s="474">
        <f>G741/#REF!</f>
        <v/>
      </c>
      <c r="I741" s="690" t="n"/>
      <c r="J7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1" s="474">
        <f>J741/#REF!</f>
        <v/>
      </c>
      <c r="L741" s="473" t="n"/>
      <c r="M741" s="692" t="n"/>
      <c r="N741" s="693" t="n"/>
      <c r="O741" s="78" t="n"/>
      <c r="P741" s="129" t="n"/>
      <c r="Q741" s="129" t="n"/>
      <c r="R741" s="129" t="n"/>
      <c r="S741" s="129" t="n"/>
      <c r="T741" s="129" t="n"/>
      <c r="U741" s="129" t="n"/>
      <c r="V741" s="129" t="n"/>
      <c r="W741" s="129" t="n"/>
      <c r="X741" s="129" t="n"/>
      <c r="Y741" s="703" t="n"/>
      <c r="Z741" s="704" t="n"/>
      <c r="AA741" s="705" t="n"/>
      <c r="AB741" s="613" t="n"/>
      <c r="AC741" s="614" t="n"/>
      <c r="AD741" s="628" t="n"/>
      <c r="AE741" s="616" t="n"/>
      <c r="AF741" s="617" t="n"/>
      <c r="AG741" s="693" t="n"/>
      <c r="AH741" s="721" t="n"/>
      <c r="AI741" s="721" t="n"/>
      <c r="AJ741" s="688" t="n"/>
      <c r="AK741" s="689" t="n"/>
      <c r="AL741" s="690" t="n"/>
      <c r="AM741" s="691" t="n"/>
      <c r="AN741" s="692" t="n"/>
      <c r="AO741" s="693" t="n"/>
      <c r="AP741" s="693" t="n"/>
      <c r="AQ741" s="693" t="n"/>
      <c r="AR741" s="693" t="n"/>
      <c r="AS741" s="693" t="n"/>
      <c r="AT741" s="693" t="n"/>
      <c r="AU741" s="699" t="n"/>
      <c r="AV741" s="693" t="n"/>
      <c r="AW741" s="693" t="n"/>
      <c r="AX741" s="693" t="n"/>
      <c r="AY741" s="693" t="n"/>
      <c r="AZ741" s="693" t="n"/>
    </row>
    <row r="742">
      <c r="A742" s="688" t="n"/>
      <c r="B742" s="688" t="n"/>
      <c r="C742" s="473" t="n"/>
      <c r="D742" s="688" t="n"/>
      <c r="E742" s="689" t="n"/>
      <c r="F742" s="721" t="n"/>
      <c r="G7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2" s="474">
        <f>G742/#REF!</f>
        <v/>
      </c>
      <c r="I742" s="690" t="n"/>
      <c r="J7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2" s="474">
        <f>J742/#REF!</f>
        <v/>
      </c>
      <c r="L742" s="473" t="n"/>
      <c r="M742" s="692" t="n"/>
      <c r="N742" s="693" t="n"/>
      <c r="O742" s="78" t="n"/>
      <c r="P742" s="129" t="n"/>
      <c r="Q742" s="129" t="n"/>
      <c r="R742" s="129" t="n"/>
      <c r="S742" s="129" t="n"/>
      <c r="T742" s="129" t="n"/>
      <c r="U742" s="129" t="n"/>
      <c r="V742" s="129" t="n"/>
      <c r="W742" s="129" t="n"/>
      <c r="X742" s="129" t="n"/>
      <c r="Y742" s="708" t="n"/>
      <c r="Z742" s="709" t="n"/>
      <c r="AA742" s="710" t="n"/>
      <c r="AB742" s="590" t="n"/>
      <c r="AC742" s="591" t="n"/>
      <c r="AD742" s="592" t="n"/>
      <c r="AE742" s="593" t="n"/>
      <c r="AF742" s="594" t="n"/>
      <c r="AG742" s="693" t="n"/>
      <c r="AH742" s="721" t="n"/>
      <c r="AI742" s="721" t="n"/>
      <c r="AJ742" s="688" t="n"/>
      <c r="AK742" s="689" t="n"/>
      <c r="AL742" s="690" t="n"/>
      <c r="AM742" s="691" t="n"/>
      <c r="AN742" s="692" t="n"/>
      <c r="AO742" s="693" t="n"/>
      <c r="AP742" s="693" t="n"/>
      <c r="AQ742" s="693" t="n"/>
      <c r="AR742" s="693" t="n"/>
      <c r="AS742" s="693" t="n"/>
      <c r="AT742" s="693" t="n"/>
      <c r="AU742" s="699" t="n"/>
      <c r="AV742" s="693" t="n"/>
      <c r="AW742" s="693" t="n"/>
      <c r="AX742" s="693" t="n"/>
      <c r="AY742" s="693" t="n"/>
      <c r="AZ742" s="693" t="n"/>
    </row>
    <row r="743">
      <c r="A743" s="688" t="n"/>
      <c r="B743" s="688" t="n"/>
      <c r="C743" s="473" t="n"/>
      <c r="D743" s="688" t="n"/>
      <c r="E743" s="689" t="n"/>
      <c r="F743" s="721" t="n"/>
      <c r="G7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3" s="474">
        <f>G743/#REF!</f>
        <v/>
      </c>
      <c r="I743" s="690" t="n"/>
      <c r="J7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3" s="474">
        <f>J743/#REF!</f>
        <v/>
      </c>
      <c r="L743" s="473" t="n"/>
      <c r="M743" s="692" t="n"/>
      <c r="N743" s="693" t="n"/>
      <c r="O743" s="78" t="n"/>
      <c r="P743" s="129" t="n"/>
      <c r="Q743" s="129" t="n"/>
      <c r="R743" s="129" t="n"/>
      <c r="S743" s="129" t="n"/>
      <c r="T743" s="129" t="n"/>
      <c r="U743" s="129" t="n"/>
      <c r="V743" s="129" t="n"/>
      <c r="W743" s="129" t="n"/>
      <c r="X743" s="129" t="n"/>
      <c r="Y743" s="703" t="n"/>
      <c r="Z743" s="704" t="n"/>
      <c r="AA743" s="705" t="n"/>
      <c r="AB743" s="613" t="n"/>
      <c r="AC743" s="614" t="n"/>
      <c r="AD743" s="628" t="n"/>
      <c r="AE743" s="616" t="n"/>
      <c r="AF743" s="617" t="n"/>
      <c r="AG743" s="693" t="n"/>
      <c r="AH743" s="721" t="n"/>
      <c r="AI743" s="721" t="n"/>
      <c r="AJ743" s="688" t="n"/>
      <c r="AK743" s="689" t="n"/>
      <c r="AL743" s="690" t="n"/>
      <c r="AM743" s="691" t="n"/>
      <c r="AN743" s="692" t="n"/>
      <c r="AO743" s="693" t="n"/>
      <c r="AP743" s="693" t="n"/>
      <c r="AQ743" s="693" t="n"/>
      <c r="AR743" s="693" t="n"/>
      <c r="AS743" s="693" t="n"/>
      <c r="AT743" s="693" t="n"/>
      <c r="AU743" s="699" t="n"/>
      <c r="AV743" s="693" t="n"/>
      <c r="AW743" s="693" t="n"/>
      <c r="AX743" s="693" t="n"/>
      <c r="AY743" s="693" t="n"/>
      <c r="AZ743" s="693" t="n"/>
    </row>
    <row r="744">
      <c r="A744" s="688" t="n"/>
      <c r="B744" s="688" t="n"/>
      <c r="C744" s="473" t="n"/>
      <c r="D744" s="688" t="n"/>
      <c r="E744" s="689" t="n"/>
      <c r="F744" s="721" t="n"/>
      <c r="G7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4" s="474">
        <f>G744/#REF!</f>
        <v/>
      </c>
      <c r="I744" s="690" t="n"/>
      <c r="J7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4" s="474">
        <f>J744/#REF!</f>
        <v/>
      </c>
      <c r="L744" s="473" t="n"/>
      <c r="M744" s="692" t="n"/>
      <c r="N744" s="693" t="n"/>
      <c r="O744" s="78" t="n"/>
      <c r="P744" s="129" t="n"/>
      <c r="Q744" s="129" t="n"/>
      <c r="R744" s="129" t="n"/>
      <c r="S744" s="129" t="n"/>
      <c r="T744" s="129" t="n"/>
      <c r="U744" s="129" t="n"/>
      <c r="V744" s="129" t="n"/>
      <c r="W744" s="129" t="n"/>
      <c r="X744" s="129" t="n"/>
      <c r="Y744" s="708" t="n"/>
      <c r="Z744" s="709" t="n"/>
      <c r="AA744" s="710" t="n"/>
      <c r="AB744" s="590" t="n"/>
      <c r="AC744" s="591" t="n"/>
      <c r="AD744" s="592" t="n"/>
      <c r="AE744" s="593" t="n"/>
      <c r="AF744" s="594" t="n"/>
      <c r="AG744" s="693" t="n"/>
      <c r="AH744" s="721" t="n"/>
      <c r="AI744" s="721" t="n"/>
      <c r="AJ744" s="688" t="n"/>
      <c r="AK744" s="689" t="n"/>
      <c r="AL744" s="690" t="n"/>
      <c r="AM744" s="691" t="n"/>
      <c r="AN744" s="692" t="n"/>
      <c r="AO744" s="693" t="n"/>
      <c r="AP744" s="693" t="n"/>
      <c r="AQ744" s="693" t="n"/>
      <c r="AR744" s="693" t="n"/>
      <c r="AS744" s="693" t="n"/>
      <c r="AT744" s="693" t="n"/>
      <c r="AU744" s="699" t="n"/>
      <c r="AV744" s="693" t="n"/>
      <c r="AW744" s="693" t="n"/>
      <c r="AX744" s="693" t="n"/>
      <c r="AY744" s="693" t="n"/>
      <c r="AZ744" s="693" t="n"/>
    </row>
    <row r="745">
      <c r="A745" s="688" t="n"/>
      <c r="B745" s="688" t="n"/>
      <c r="C745" s="473" t="n"/>
      <c r="D745" s="688" t="n"/>
      <c r="E745" s="689" t="n"/>
      <c r="F745" s="721" t="n"/>
      <c r="G7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5" s="474">
        <f>G745/#REF!</f>
        <v/>
      </c>
      <c r="I745" s="690" t="n"/>
      <c r="J7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5" s="474">
        <f>J745/#REF!</f>
        <v/>
      </c>
      <c r="L745" s="473" t="n"/>
      <c r="M745" s="692" t="n"/>
      <c r="N745" s="693" t="n"/>
      <c r="O745" s="78" t="n"/>
      <c r="P745" s="129" t="n"/>
      <c r="Q745" s="129" t="n"/>
      <c r="R745" s="129" t="n"/>
      <c r="S745" s="129" t="n"/>
      <c r="T745" s="129" t="n"/>
      <c r="U745" s="129" t="n"/>
      <c r="V745" s="129" t="n"/>
      <c r="W745" s="129" t="n"/>
      <c r="X745" s="129" t="n"/>
      <c r="Y745" s="703" t="n"/>
      <c r="Z745" s="704" t="n"/>
      <c r="AA745" s="705" t="n"/>
      <c r="AB745" s="613" t="n"/>
      <c r="AC745" s="614" t="n"/>
      <c r="AD745" s="628" t="n"/>
      <c r="AE745" s="616" t="n"/>
      <c r="AF745" s="617" t="n"/>
      <c r="AG745" s="693" t="n"/>
      <c r="AH745" s="721" t="n"/>
      <c r="AI745" s="721" t="n"/>
      <c r="AJ745" s="688" t="n"/>
      <c r="AK745" s="689" t="n"/>
      <c r="AL745" s="690" t="n"/>
      <c r="AM745" s="691" t="n"/>
      <c r="AN745" s="692" t="n"/>
      <c r="AO745" s="693" t="n"/>
      <c r="AP745" s="693" t="n"/>
      <c r="AQ745" s="693" t="n"/>
      <c r="AR745" s="693" t="n"/>
      <c r="AS745" s="693" t="n"/>
      <c r="AT745" s="693" t="n"/>
      <c r="AU745" s="699" t="n"/>
      <c r="AV745" s="693" t="n"/>
      <c r="AW745" s="693" t="n"/>
      <c r="AX745" s="693" t="n"/>
      <c r="AY745" s="693" t="n"/>
      <c r="AZ745" s="693" t="n"/>
    </row>
    <row r="746">
      <c r="A746" s="688" t="n"/>
      <c r="B746" s="688" t="n"/>
      <c r="C746" s="473" t="n"/>
      <c r="D746" s="688" t="n"/>
      <c r="E746" s="689" t="n"/>
      <c r="F746" s="721" t="n"/>
      <c r="G7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6" s="474">
        <f>G746/#REF!</f>
        <v/>
      </c>
      <c r="I746" s="690" t="n"/>
      <c r="J7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6" s="474">
        <f>J746/#REF!</f>
        <v/>
      </c>
      <c r="L746" s="473" t="n"/>
      <c r="M746" s="692" t="n"/>
      <c r="N746" s="693" t="n"/>
      <c r="O746" s="78" t="n"/>
      <c r="P746" s="129" t="n"/>
      <c r="Q746" s="129" t="n"/>
      <c r="R746" s="129" t="n"/>
      <c r="S746" s="129" t="n"/>
      <c r="T746" s="129" t="n"/>
      <c r="U746" s="129" t="n"/>
      <c r="V746" s="129" t="n"/>
      <c r="W746" s="129" t="n"/>
      <c r="X746" s="129" t="n"/>
      <c r="Y746" s="708" t="n"/>
      <c r="Z746" s="709" t="n"/>
      <c r="AA746" s="710" t="n"/>
      <c r="AB746" s="590" t="n"/>
      <c r="AC746" s="591" t="n"/>
      <c r="AD746" s="592" t="n"/>
      <c r="AE746" s="593" t="n"/>
      <c r="AF746" s="594" t="n"/>
      <c r="AG746" s="693" t="n"/>
      <c r="AH746" s="721" t="n"/>
      <c r="AI746" s="721" t="n"/>
      <c r="AJ746" s="688" t="n"/>
      <c r="AK746" s="689" t="n"/>
      <c r="AL746" s="690" t="n"/>
      <c r="AM746" s="691" t="n"/>
      <c r="AN746" s="692" t="n"/>
      <c r="AO746" s="693" t="n"/>
      <c r="AP746" s="693" t="n"/>
      <c r="AQ746" s="693" t="n"/>
      <c r="AR746" s="693" t="n"/>
      <c r="AS746" s="693" t="n"/>
      <c r="AT746" s="693" t="n"/>
      <c r="AU746" s="699" t="n"/>
      <c r="AV746" s="693" t="n"/>
      <c r="AW746" s="693" t="n"/>
      <c r="AX746" s="693" t="n"/>
      <c r="AY746" s="693" t="n"/>
      <c r="AZ746" s="693" t="n"/>
    </row>
    <row r="747">
      <c r="A747" s="688" t="n"/>
      <c r="B747" s="688" t="n"/>
      <c r="C747" s="473" t="n"/>
      <c r="D747" s="688" t="n"/>
      <c r="E747" s="689" t="n"/>
      <c r="F747" s="721" t="n"/>
      <c r="G7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7" s="474">
        <f>G747/#REF!</f>
        <v/>
      </c>
      <c r="I747" s="690" t="n"/>
      <c r="J7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7" s="474">
        <f>J747/#REF!</f>
        <v/>
      </c>
      <c r="L747" s="473" t="n"/>
      <c r="M747" s="692" t="n"/>
      <c r="N747" s="693" t="n"/>
      <c r="O747" s="78" t="n"/>
      <c r="P747" s="129" t="n"/>
      <c r="Q747" s="129" t="n"/>
      <c r="R747" s="129" t="n"/>
      <c r="S747" s="129" t="n"/>
      <c r="T747" s="129" t="n"/>
      <c r="U747" s="129" t="n"/>
      <c r="V747" s="129" t="n"/>
      <c r="W747" s="129" t="n"/>
      <c r="X747" s="129" t="n"/>
      <c r="Y747" s="703" t="n"/>
      <c r="Z747" s="704" t="n"/>
      <c r="AA747" s="705" t="n"/>
      <c r="AB747" s="613" t="n"/>
      <c r="AC747" s="614" t="n"/>
      <c r="AD747" s="628" t="n"/>
      <c r="AE747" s="616" t="n"/>
      <c r="AF747" s="617" t="n"/>
      <c r="AG747" s="693" t="n"/>
      <c r="AH747" s="721" t="n"/>
      <c r="AI747" s="721" t="n"/>
      <c r="AJ747" s="688" t="n"/>
      <c r="AK747" s="689" t="n"/>
      <c r="AL747" s="690" t="n"/>
      <c r="AM747" s="691" t="n"/>
      <c r="AN747" s="692" t="n"/>
      <c r="AO747" s="693" t="n"/>
      <c r="AP747" s="693" t="n"/>
      <c r="AQ747" s="693" t="n"/>
      <c r="AR747" s="693" t="n"/>
      <c r="AS747" s="693" t="n"/>
      <c r="AT747" s="693" t="n"/>
      <c r="AU747" s="699" t="n"/>
      <c r="AV747" s="693" t="n"/>
      <c r="AW747" s="693" t="n"/>
      <c r="AX747" s="693" t="n"/>
      <c r="AY747" s="693" t="n"/>
      <c r="AZ747" s="693" t="n"/>
    </row>
    <row r="748">
      <c r="A748" s="688" t="n"/>
      <c r="B748" s="688" t="n"/>
      <c r="C748" s="473" t="n"/>
      <c r="D748" s="688" t="n"/>
      <c r="E748" s="689" t="n"/>
      <c r="F748" s="721" t="n"/>
      <c r="G7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8" s="474">
        <f>G748/#REF!</f>
        <v/>
      </c>
      <c r="I748" s="690" t="n"/>
      <c r="J7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8" s="474">
        <f>J748/#REF!</f>
        <v/>
      </c>
      <c r="L748" s="473" t="n"/>
      <c r="M748" s="692" t="n"/>
      <c r="N748" s="693" t="n"/>
      <c r="O748" s="78" t="n"/>
      <c r="P748" s="129" t="n"/>
      <c r="Q748" s="129" t="n"/>
      <c r="R748" s="129" t="n"/>
      <c r="S748" s="129" t="n"/>
      <c r="T748" s="129" t="n"/>
      <c r="U748" s="129" t="n"/>
      <c r="V748" s="129" t="n"/>
      <c r="W748" s="129" t="n"/>
      <c r="X748" s="129" t="n"/>
      <c r="Y748" s="708" t="n"/>
      <c r="Z748" s="709" t="n"/>
      <c r="AA748" s="710" t="n"/>
      <c r="AB748" s="590" t="n"/>
      <c r="AC748" s="591" t="n"/>
      <c r="AD748" s="592" t="n"/>
      <c r="AE748" s="593" t="n"/>
      <c r="AF748" s="594" t="n"/>
      <c r="AG748" s="693" t="n"/>
      <c r="AH748" s="721" t="n"/>
      <c r="AI748" s="721" t="n"/>
      <c r="AJ748" s="688" t="n"/>
      <c r="AK748" s="689" t="n"/>
      <c r="AL748" s="690" t="n"/>
      <c r="AM748" s="691" t="n"/>
      <c r="AN748" s="692" t="n"/>
      <c r="AO748" s="693" t="n"/>
      <c r="AP748" s="693" t="n"/>
      <c r="AQ748" s="693" t="n"/>
      <c r="AR748" s="693" t="n"/>
      <c r="AS748" s="693" t="n"/>
      <c r="AT748" s="693" t="n"/>
      <c r="AU748" s="699" t="n"/>
      <c r="AV748" s="693" t="n"/>
      <c r="AW748" s="693" t="n"/>
      <c r="AX748" s="693" t="n"/>
      <c r="AY748" s="693" t="n"/>
      <c r="AZ748" s="693" t="n"/>
    </row>
    <row r="749">
      <c r="A749" s="688" t="n"/>
      <c r="B749" s="688" t="n"/>
      <c r="C749" s="473" t="n"/>
      <c r="D749" s="688" t="n"/>
      <c r="E749" s="689" t="n"/>
      <c r="F749" s="721" t="n"/>
      <c r="G7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49" s="474">
        <f>G749/#REF!</f>
        <v/>
      </c>
      <c r="I749" s="690" t="n"/>
      <c r="J7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49" s="474">
        <f>J749/#REF!</f>
        <v/>
      </c>
      <c r="L749" s="473" t="n"/>
      <c r="M749" s="692" t="n"/>
      <c r="N749" s="693" t="n"/>
      <c r="O749" s="78" t="n"/>
      <c r="P749" s="129" t="n"/>
      <c r="Q749" s="129" t="n"/>
      <c r="R749" s="129" t="n"/>
      <c r="S749" s="129" t="n"/>
      <c r="T749" s="129" t="n"/>
      <c r="U749" s="129" t="n"/>
      <c r="V749" s="129" t="n"/>
      <c r="W749" s="129" t="n"/>
      <c r="X749" s="129" t="n"/>
      <c r="Y749" s="703" t="n"/>
      <c r="Z749" s="704" t="n"/>
      <c r="AA749" s="705" t="n"/>
      <c r="AB749" s="613" t="n"/>
      <c r="AC749" s="614" t="n"/>
      <c r="AD749" s="628" t="n"/>
      <c r="AE749" s="616" t="n"/>
      <c r="AF749" s="617" t="n"/>
      <c r="AG749" s="693" t="n"/>
      <c r="AH749" s="721" t="n"/>
      <c r="AI749" s="721" t="n"/>
      <c r="AJ749" s="688" t="n"/>
      <c r="AK749" s="689" t="n"/>
      <c r="AL749" s="690" t="n"/>
      <c r="AM749" s="691" t="n"/>
      <c r="AN749" s="692" t="n"/>
      <c r="AO749" s="693" t="n"/>
      <c r="AP749" s="693" t="n"/>
      <c r="AQ749" s="693" t="n"/>
      <c r="AR749" s="693" t="n"/>
      <c r="AS749" s="693" t="n"/>
      <c r="AT749" s="693" t="n"/>
      <c r="AU749" s="699" t="n"/>
      <c r="AV749" s="693" t="n"/>
      <c r="AW749" s="693" t="n"/>
      <c r="AX749" s="693" t="n"/>
      <c r="AY749" s="693" t="n"/>
      <c r="AZ749" s="693" t="n"/>
    </row>
    <row r="750">
      <c r="A750" s="688" t="n"/>
      <c r="B750" s="688" t="n"/>
      <c r="C750" s="473" t="n"/>
      <c r="D750" s="688" t="n"/>
      <c r="E750" s="689" t="n"/>
      <c r="F750" s="721" t="n"/>
      <c r="G7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0" s="474">
        <f>G750/#REF!</f>
        <v/>
      </c>
      <c r="I750" s="690" t="n"/>
      <c r="J7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0" s="474">
        <f>J750/#REF!</f>
        <v/>
      </c>
      <c r="L750" s="473" t="n"/>
      <c r="M750" s="692" t="n"/>
      <c r="N750" s="693" t="n"/>
      <c r="O750" s="78" t="n"/>
      <c r="P750" s="129" t="n"/>
      <c r="Q750" s="129" t="n"/>
      <c r="R750" s="129" t="n"/>
      <c r="S750" s="129" t="n"/>
      <c r="T750" s="129" t="n"/>
      <c r="U750" s="129" t="n"/>
      <c r="V750" s="129" t="n"/>
      <c r="W750" s="129" t="n"/>
      <c r="X750" s="129" t="n"/>
      <c r="Y750" s="708" t="n"/>
      <c r="Z750" s="709" t="n"/>
      <c r="AA750" s="710" t="n"/>
      <c r="AB750" s="590" t="n"/>
      <c r="AC750" s="591" t="n"/>
      <c r="AD750" s="592" t="n"/>
      <c r="AE750" s="593" t="n"/>
      <c r="AF750" s="594" t="n"/>
      <c r="AG750" s="693" t="n"/>
      <c r="AH750" s="721" t="n"/>
      <c r="AI750" s="721" t="n"/>
      <c r="AJ750" s="688" t="n"/>
      <c r="AK750" s="689" t="n"/>
      <c r="AL750" s="690" t="n"/>
      <c r="AM750" s="691" t="n"/>
      <c r="AN750" s="692" t="n"/>
      <c r="AO750" s="693" t="n"/>
      <c r="AP750" s="693" t="n"/>
      <c r="AQ750" s="693" t="n"/>
      <c r="AR750" s="693" t="n"/>
      <c r="AS750" s="693" t="n"/>
      <c r="AT750" s="693" t="n"/>
      <c r="AU750" s="699" t="n"/>
      <c r="AV750" s="693" t="n"/>
      <c r="AW750" s="693" t="n"/>
      <c r="AX750" s="693" t="n"/>
      <c r="AY750" s="693" t="n"/>
      <c r="AZ750" s="693" t="n"/>
    </row>
    <row r="751">
      <c r="A751" s="688" t="n"/>
      <c r="B751" s="688" t="n"/>
      <c r="C751" s="473" t="n"/>
      <c r="D751" s="688" t="n"/>
      <c r="E751" s="689" t="n"/>
      <c r="F751" s="721" t="n"/>
      <c r="G7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1" s="474">
        <f>G751/#REF!</f>
        <v/>
      </c>
      <c r="I751" s="690" t="n"/>
      <c r="J7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1" s="474">
        <f>J751/#REF!</f>
        <v/>
      </c>
      <c r="L751" s="473" t="n"/>
      <c r="M751" s="692" t="n"/>
      <c r="N751" s="693" t="n"/>
      <c r="O751" s="78" t="n"/>
      <c r="P751" s="129" t="n"/>
      <c r="Q751" s="129" t="n"/>
      <c r="R751" s="129" t="n"/>
      <c r="S751" s="129" t="n"/>
      <c r="T751" s="129" t="n"/>
      <c r="U751" s="129" t="n"/>
      <c r="V751" s="129" t="n"/>
      <c r="W751" s="129" t="n"/>
      <c r="X751" s="129" t="n"/>
      <c r="Y751" s="703" t="n"/>
      <c r="Z751" s="704" t="n"/>
      <c r="AA751" s="705" t="n"/>
      <c r="AB751" s="613" t="n"/>
      <c r="AC751" s="614" t="n"/>
      <c r="AD751" s="628" t="n"/>
      <c r="AE751" s="616" t="n"/>
      <c r="AF751" s="617" t="n"/>
      <c r="AG751" s="693" t="n"/>
      <c r="AH751" s="721" t="n"/>
      <c r="AI751" s="721" t="n"/>
      <c r="AJ751" s="688" t="n"/>
      <c r="AK751" s="689" t="n"/>
      <c r="AL751" s="690" t="n"/>
      <c r="AM751" s="691" t="n"/>
      <c r="AN751" s="692" t="n"/>
      <c r="AO751" s="693" t="n"/>
      <c r="AP751" s="693" t="n"/>
      <c r="AQ751" s="693" t="n"/>
      <c r="AR751" s="693" t="n"/>
      <c r="AS751" s="693" t="n"/>
      <c r="AT751" s="693" t="n"/>
      <c r="AU751" s="699" t="n"/>
      <c r="AV751" s="693" t="n"/>
      <c r="AW751" s="693" t="n"/>
      <c r="AX751" s="693" t="n"/>
      <c r="AY751" s="693" t="n"/>
      <c r="AZ751" s="693" t="n"/>
    </row>
    <row r="752">
      <c r="A752" s="688" t="n"/>
      <c r="B752" s="688" t="n"/>
      <c r="C752" s="473" t="n"/>
      <c r="D752" s="688" t="n"/>
      <c r="E752" s="689" t="n"/>
      <c r="F752" s="721" t="n"/>
      <c r="G7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2" s="474">
        <f>G752/#REF!</f>
        <v/>
      </c>
      <c r="I752" s="690" t="n"/>
      <c r="J7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2" s="474">
        <f>J752/#REF!</f>
        <v/>
      </c>
      <c r="L752" s="473" t="n"/>
      <c r="M752" s="692" t="n"/>
      <c r="N752" s="693" t="n"/>
      <c r="O752" s="78" t="n"/>
      <c r="P752" s="129" t="n"/>
      <c r="Q752" s="129" t="n"/>
      <c r="R752" s="129" t="n"/>
      <c r="S752" s="129" t="n"/>
      <c r="T752" s="129" t="n"/>
      <c r="U752" s="129" t="n"/>
      <c r="V752" s="129" t="n"/>
      <c r="W752" s="129" t="n"/>
      <c r="X752" s="129" t="n"/>
      <c r="Y752" s="708" t="n"/>
      <c r="Z752" s="709" t="n"/>
      <c r="AA752" s="710" t="n"/>
      <c r="AB752" s="590" t="n"/>
      <c r="AC752" s="591" t="n"/>
      <c r="AD752" s="592" t="n"/>
      <c r="AE752" s="593" t="n"/>
      <c r="AF752" s="594" t="n"/>
      <c r="AG752" s="693" t="n"/>
      <c r="AH752" s="721" t="n"/>
      <c r="AI752" s="721" t="n"/>
      <c r="AJ752" s="688" t="n"/>
      <c r="AK752" s="689" t="n"/>
      <c r="AL752" s="690" t="n"/>
      <c r="AM752" s="691" t="n"/>
      <c r="AN752" s="692" t="n"/>
      <c r="AO752" s="693" t="n"/>
      <c r="AP752" s="693" t="n"/>
      <c r="AQ752" s="693" t="n"/>
      <c r="AR752" s="693" t="n"/>
      <c r="AS752" s="693" t="n"/>
      <c r="AT752" s="693" t="n"/>
      <c r="AU752" s="699" t="n"/>
      <c r="AV752" s="693" t="n"/>
      <c r="AW752" s="693" t="n"/>
      <c r="AX752" s="693" t="n"/>
      <c r="AY752" s="693" t="n"/>
      <c r="AZ752" s="693" t="n"/>
    </row>
    <row r="753">
      <c r="A753" s="688" t="n"/>
      <c r="B753" s="688" t="n"/>
      <c r="C753" s="473" t="n"/>
      <c r="D753" s="688" t="n"/>
      <c r="E753" s="689" t="n"/>
      <c r="F753" s="721" t="n"/>
      <c r="G7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3" s="474">
        <f>G753/#REF!</f>
        <v/>
      </c>
      <c r="I753" s="690" t="n"/>
      <c r="J7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3" s="474">
        <f>J753/#REF!</f>
        <v/>
      </c>
      <c r="L753" s="473" t="n"/>
      <c r="M753" s="692" t="n"/>
      <c r="N753" s="693" t="n"/>
      <c r="O753" s="78" t="n"/>
      <c r="P753" s="129" t="n"/>
      <c r="Q753" s="129" t="n"/>
      <c r="R753" s="129" t="n"/>
      <c r="S753" s="129" t="n"/>
      <c r="T753" s="129" t="n"/>
      <c r="U753" s="129" t="n"/>
      <c r="V753" s="129" t="n"/>
      <c r="W753" s="129" t="n"/>
      <c r="X753" s="129" t="n"/>
      <c r="Y753" s="703" t="n"/>
      <c r="Z753" s="704" t="n"/>
      <c r="AA753" s="705" t="n"/>
      <c r="AB753" s="613" t="n"/>
      <c r="AC753" s="614" t="n"/>
      <c r="AD753" s="628" t="n"/>
      <c r="AE753" s="616" t="n"/>
      <c r="AF753" s="617" t="n"/>
      <c r="AG753" s="693" t="n"/>
      <c r="AH753" s="721" t="n"/>
      <c r="AI753" s="721" t="n"/>
      <c r="AJ753" s="688" t="n"/>
      <c r="AK753" s="689" t="n"/>
      <c r="AL753" s="690" t="n"/>
      <c r="AM753" s="691" t="n"/>
      <c r="AN753" s="692" t="n"/>
      <c r="AO753" s="693" t="n"/>
      <c r="AP753" s="693" t="n"/>
      <c r="AQ753" s="693" t="n"/>
      <c r="AR753" s="693" t="n"/>
      <c r="AS753" s="693" t="n"/>
      <c r="AT753" s="693" t="n"/>
      <c r="AU753" s="699" t="n"/>
      <c r="AV753" s="693" t="n"/>
      <c r="AW753" s="693" t="n"/>
      <c r="AX753" s="693" t="n"/>
      <c r="AY753" s="693" t="n"/>
      <c r="AZ753" s="693" t="n"/>
    </row>
    <row r="754">
      <c r="A754" s="688" t="n"/>
      <c r="B754" s="688" t="n"/>
      <c r="C754" s="473" t="n"/>
      <c r="D754" s="688" t="n"/>
      <c r="E754" s="689" t="n"/>
      <c r="F754" s="721" t="n"/>
      <c r="G7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4" s="474">
        <f>G754/#REF!</f>
        <v/>
      </c>
      <c r="I754" s="690" t="n"/>
      <c r="J7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4" s="474">
        <f>J754/#REF!</f>
        <v/>
      </c>
      <c r="L754" s="473" t="n"/>
      <c r="M754" s="692" t="n"/>
      <c r="N754" s="693" t="n"/>
      <c r="O754" s="78" t="n"/>
      <c r="P754" s="129" t="n"/>
      <c r="Q754" s="129" t="n"/>
      <c r="R754" s="129" t="n"/>
      <c r="S754" s="129" t="n"/>
      <c r="T754" s="129" t="n"/>
      <c r="U754" s="129" t="n"/>
      <c r="V754" s="129" t="n"/>
      <c r="W754" s="129" t="n"/>
      <c r="X754" s="129" t="n"/>
      <c r="Y754" s="708" t="n"/>
      <c r="Z754" s="709" t="n"/>
      <c r="AA754" s="710" t="n"/>
      <c r="AB754" s="590" t="n"/>
      <c r="AC754" s="591" t="n"/>
      <c r="AD754" s="592" t="n"/>
      <c r="AE754" s="593" t="n"/>
      <c r="AF754" s="594" t="n"/>
      <c r="AG754" s="693" t="n"/>
      <c r="AH754" s="721" t="n"/>
      <c r="AI754" s="721" t="n"/>
      <c r="AJ754" s="688" t="n"/>
      <c r="AK754" s="689" t="n"/>
      <c r="AL754" s="690" t="n"/>
      <c r="AM754" s="691" t="n"/>
      <c r="AN754" s="692" t="n"/>
      <c r="AO754" s="693" t="n"/>
      <c r="AP754" s="693" t="n"/>
      <c r="AQ754" s="693" t="n"/>
      <c r="AR754" s="693" t="n"/>
      <c r="AS754" s="693" t="n"/>
      <c r="AT754" s="693" t="n"/>
      <c r="AU754" s="699" t="n"/>
      <c r="AV754" s="693" t="n"/>
      <c r="AW754" s="693" t="n"/>
      <c r="AX754" s="693" t="n"/>
      <c r="AY754" s="693" t="n"/>
      <c r="AZ754" s="693" t="n"/>
    </row>
    <row r="755">
      <c r="A755" s="688" t="n"/>
      <c r="B755" s="688" t="n"/>
      <c r="C755" s="473" t="n"/>
      <c r="D755" s="688" t="n"/>
      <c r="E755" s="689" t="n"/>
      <c r="F755" s="721" t="n"/>
      <c r="G7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5" s="474">
        <f>G755/#REF!</f>
        <v/>
      </c>
      <c r="I755" s="690" t="n"/>
      <c r="J7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5" s="474">
        <f>J755/#REF!</f>
        <v/>
      </c>
      <c r="L755" s="473" t="n"/>
      <c r="M755" s="692" t="n"/>
      <c r="N755" s="693" t="n"/>
      <c r="O755" s="78" t="n"/>
      <c r="P755" s="129" t="n"/>
      <c r="Q755" s="129" t="n"/>
      <c r="R755" s="129" t="n"/>
      <c r="S755" s="129" t="n"/>
      <c r="T755" s="129" t="n"/>
      <c r="U755" s="129" t="n"/>
      <c r="V755" s="129" t="n"/>
      <c r="W755" s="129" t="n"/>
      <c r="X755" s="129" t="n"/>
      <c r="Y755" s="703" t="n"/>
      <c r="Z755" s="704" t="n"/>
      <c r="AA755" s="705" t="n"/>
      <c r="AB755" s="613" t="n"/>
      <c r="AC755" s="614" t="n"/>
      <c r="AD755" s="628" t="n"/>
      <c r="AE755" s="616" t="n"/>
      <c r="AF755" s="617" t="n"/>
      <c r="AG755" s="693" t="n"/>
      <c r="AH755" s="721" t="n"/>
      <c r="AI755" s="721" t="n"/>
      <c r="AJ755" s="688" t="n"/>
      <c r="AK755" s="689" t="n"/>
      <c r="AL755" s="690" t="n"/>
      <c r="AM755" s="691" t="n"/>
      <c r="AN755" s="692" t="n"/>
      <c r="AO755" s="693" t="n"/>
      <c r="AP755" s="693" t="n"/>
      <c r="AQ755" s="693" t="n"/>
      <c r="AR755" s="693" t="n"/>
      <c r="AS755" s="693" t="n"/>
      <c r="AT755" s="693" t="n"/>
      <c r="AU755" s="699" t="n"/>
      <c r="AV755" s="693" t="n"/>
      <c r="AW755" s="693" t="n"/>
      <c r="AX755" s="693" t="n"/>
      <c r="AY755" s="693" t="n"/>
      <c r="AZ755" s="693" t="n"/>
    </row>
    <row r="756">
      <c r="A756" s="688" t="n"/>
      <c r="B756" s="688" t="n"/>
      <c r="C756" s="473" t="n"/>
      <c r="D756" s="688" t="n"/>
      <c r="E756" s="689" t="n"/>
      <c r="F756" s="721" t="n"/>
      <c r="G7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6" s="474">
        <f>G756/#REF!</f>
        <v/>
      </c>
      <c r="I756" s="690" t="n"/>
      <c r="J7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6" s="474">
        <f>J756/#REF!</f>
        <v/>
      </c>
      <c r="L756" s="473" t="n"/>
      <c r="M756" s="692" t="n"/>
      <c r="N756" s="693" t="n"/>
      <c r="O756" s="78" t="n"/>
      <c r="P756" s="129" t="n"/>
      <c r="Q756" s="129" t="n"/>
      <c r="R756" s="129" t="n"/>
      <c r="S756" s="129" t="n"/>
      <c r="T756" s="129" t="n"/>
      <c r="U756" s="129" t="n"/>
      <c r="V756" s="129" t="n"/>
      <c r="W756" s="129" t="n"/>
      <c r="X756" s="129" t="n"/>
      <c r="Y756" s="708" t="n"/>
      <c r="Z756" s="709" t="n"/>
      <c r="AA756" s="710" t="n"/>
      <c r="AB756" s="590" t="n"/>
      <c r="AC756" s="591" t="n"/>
      <c r="AD756" s="592" t="n"/>
      <c r="AE756" s="593" t="n"/>
      <c r="AF756" s="594" t="n"/>
      <c r="AG756" s="693" t="n"/>
      <c r="AH756" s="721" t="n"/>
      <c r="AI756" s="721" t="n"/>
      <c r="AJ756" s="688" t="n"/>
      <c r="AK756" s="689" t="n"/>
      <c r="AL756" s="690" t="n"/>
      <c r="AM756" s="691" t="n"/>
      <c r="AN756" s="692" t="n"/>
      <c r="AO756" s="693" t="n"/>
      <c r="AP756" s="693" t="n"/>
      <c r="AQ756" s="693" t="n"/>
      <c r="AR756" s="693" t="n"/>
      <c r="AS756" s="693" t="n"/>
      <c r="AT756" s="693" t="n"/>
      <c r="AU756" s="699" t="n"/>
      <c r="AV756" s="693" t="n"/>
      <c r="AW756" s="693" t="n"/>
      <c r="AX756" s="693" t="n"/>
      <c r="AY756" s="693" t="n"/>
      <c r="AZ756" s="693" t="n"/>
    </row>
    <row r="757">
      <c r="A757" s="688" t="n"/>
      <c r="B757" s="688" t="n"/>
      <c r="C757" s="473" t="n"/>
      <c r="D757" s="688" t="n"/>
      <c r="E757" s="689" t="n"/>
      <c r="F757" s="721" t="n"/>
      <c r="G7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7" s="474">
        <f>G757/#REF!</f>
        <v/>
      </c>
      <c r="I757" s="690" t="n"/>
      <c r="J7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7" s="474">
        <f>J757/#REF!</f>
        <v/>
      </c>
      <c r="L757" s="473" t="n"/>
      <c r="M757" s="692" t="n"/>
      <c r="N757" s="693" t="n"/>
      <c r="O757" s="78" t="n"/>
      <c r="P757" s="129" t="n"/>
      <c r="Q757" s="129" t="n"/>
      <c r="R757" s="129" t="n"/>
      <c r="S757" s="129" t="n"/>
      <c r="T757" s="129" t="n"/>
      <c r="U757" s="129" t="n"/>
      <c r="V757" s="129" t="n"/>
      <c r="W757" s="129" t="n"/>
      <c r="X757" s="129" t="n"/>
      <c r="Y757" s="703" t="n"/>
      <c r="Z757" s="704" t="n"/>
      <c r="AA757" s="705" t="n"/>
      <c r="AB757" s="613" t="n"/>
      <c r="AC757" s="614" t="n"/>
      <c r="AD757" s="628" t="n"/>
      <c r="AE757" s="616" t="n"/>
      <c r="AF757" s="617" t="n"/>
      <c r="AG757" s="693" t="n"/>
      <c r="AH757" s="721" t="n"/>
      <c r="AI757" s="721" t="n"/>
      <c r="AJ757" s="688" t="n"/>
      <c r="AK757" s="689" t="n"/>
      <c r="AL757" s="690" t="n"/>
      <c r="AM757" s="691" t="n"/>
      <c r="AN757" s="692" t="n"/>
      <c r="AO757" s="693" t="n"/>
      <c r="AP757" s="693" t="n"/>
      <c r="AQ757" s="693" t="n"/>
      <c r="AR757" s="693" t="n"/>
      <c r="AS757" s="693" t="n"/>
      <c r="AT757" s="693" t="n"/>
      <c r="AU757" s="699" t="n"/>
      <c r="AV757" s="693" t="n"/>
      <c r="AW757" s="693" t="n"/>
      <c r="AX757" s="693" t="n"/>
      <c r="AY757" s="693" t="n"/>
      <c r="AZ757" s="693" t="n"/>
    </row>
    <row r="758">
      <c r="A758" s="688" t="n"/>
      <c r="B758" s="688" t="n"/>
      <c r="C758" s="473" t="n"/>
      <c r="D758" s="688" t="n"/>
      <c r="E758" s="689" t="n"/>
      <c r="F758" s="721" t="n"/>
      <c r="G7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8" s="474">
        <f>G758/#REF!</f>
        <v/>
      </c>
      <c r="I758" s="690" t="n"/>
      <c r="J7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8" s="474">
        <f>J758/#REF!</f>
        <v/>
      </c>
      <c r="L758" s="473" t="n"/>
      <c r="M758" s="692" t="n"/>
      <c r="N758" s="693" t="n"/>
      <c r="O758" s="78" t="n"/>
      <c r="P758" s="129" t="n"/>
      <c r="Q758" s="129" t="n"/>
      <c r="R758" s="129" t="n"/>
      <c r="S758" s="129" t="n"/>
      <c r="T758" s="129" t="n"/>
      <c r="U758" s="129" t="n"/>
      <c r="V758" s="129" t="n"/>
      <c r="W758" s="129" t="n"/>
      <c r="X758" s="129" t="n"/>
      <c r="Y758" s="708" t="n"/>
      <c r="Z758" s="709" t="n"/>
      <c r="AA758" s="710" t="n"/>
      <c r="AB758" s="590" t="n"/>
      <c r="AC758" s="591" t="n"/>
      <c r="AD758" s="592" t="n"/>
      <c r="AE758" s="593" t="n"/>
      <c r="AF758" s="594" t="n"/>
      <c r="AG758" s="693" t="n"/>
      <c r="AH758" s="721" t="n"/>
      <c r="AI758" s="721" t="n"/>
      <c r="AJ758" s="688" t="n"/>
      <c r="AK758" s="689" t="n"/>
      <c r="AL758" s="690" t="n"/>
      <c r="AM758" s="691" t="n"/>
      <c r="AN758" s="692" t="n"/>
      <c r="AO758" s="693" t="n"/>
      <c r="AP758" s="693" t="n"/>
      <c r="AQ758" s="693" t="n"/>
      <c r="AR758" s="693" t="n"/>
      <c r="AS758" s="693" t="n"/>
      <c r="AT758" s="693" t="n"/>
      <c r="AU758" s="699" t="n"/>
      <c r="AV758" s="693" t="n"/>
      <c r="AW758" s="693" t="n"/>
      <c r="AX758" s="693" t="n"/>
      <c r="AY758" s="693" t="n"/>
      <c r="AZ758" s="693" t="n"/>
    </row>
    <row r="759">
      <c r="A759" s="688" t="n"/>
      <c r="B759" s="688" t="n"/>
      <c r="C759" s="473" t="n"/>
      <c r="D759" s="688" t="n"/>
      <c r="E759" s="689" t="n"/>
      <c r="F759" s="721" t="n"/>
      <c r="G7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59" s="474">
        <f>G759/#REF!</f>
        <v/>
      </c>
      <c r="I759" s="690" t="n"/>
      <c r="J7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59" s="474">
        <f>J759/#REF!</f>
        <v/>
      </c>
      <c r="L759" s="473" t="n"/>
      <c r="M759" s="692" t="n"/>
      <c r="N759" s="693" t="n"/>
      <c r="O759" s="78" t="n"/>
      <c r="P759" s="129" t="n"/>
      <c r="Q759" s="129" t="n"/>
      <c r="R759" s="129" t="n"/>
      <c r="S759" s="129" t="n"/>
      <c r="T759" s="129" t="n"/>
      <c r="U759" s="129" t="n"/>
      <c r="V759" s="129" t="n"/>
      <c r="W759" s="129" t="n"/>
      <c r="X759" s="129" t="n"/>
      <c r="Y759" s="703" t="n"/>
      <c r="Z759" s="704" t="n"/>
      <c r="AA759" s="705" t="n"/>
      <c r="AB759" s="613" t="n"/>
      <c r="AC759" s="614" t="n"/>
      <c r="AD759" s="628" t="n"/>
      <c r="AE759" s="616" t="n"/>
      <c r="AF759" s="617" t="n"/>
      <c r="AG759" s="693" t="n"/>
      <c r="AH759" s="721" t="n"/>
      <c r="AI759" s="721" t="n"/>
      <c r="AJ759" s="688" t="n"/>
      <c r="AK759" s="689" t="n"/>
      <c r="AL759" s="690" t="n"/>
      <c r="AM759" s="691" t="n"/>
      <c r="AN759" s="692" t="n"/>
      <c r="AO759" s="693" t="n"/>
      <c r="AP759" s="693" t="n"/>
      <c r="AQ759" s="693" t="n"/>
      <c r="AR759" s="693" t="n"/>
      <c r="AS759" s="693" t="n"/>
      <c r="AT759" s="693" t="n"/>
      <c r="AU759" s="699" t="n"/>
      <c r="AV759" s="693" t="n"/>
      <c r="AW759" s="693" t="n"/>
      <c r="AX759" s="693" t="n"/>
      <c r="AY759" s="693" t="n"/>
      <c r="AZ759" s="693" t="n"/>
    </row>
    <row r="760">
      <c r="A760" s="688" t="n"/>
      <c r="B760" s="688" t="n"/>
      <c r="C760" s="473" t="n"/>
      <c r="D760" s="688" t="n"/>
      <c r="E760" s="689" t="n"/>
      <c r="F760" s="721" t="n"/>
      <c r="G7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0" s="474">
        <f>G760/#REF!</f>
        <v/>
      </c>
      <c r="I760" s="690" t="n"/>
      <c r="J7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0" s="474">
        <f>J760/#REF!</f>
        <v/>
      </c>
      <c r="L760" s="473" t="n"/>
      <c r="M760" s="692" t="n"/>
      <c r="N760" s="693" t="n"/>
      <c r="O760" s="78" t="n"/>
      <c r="P760" s="129" t="n"/>
      <c r="Q760" s="129" t="n"/>
      <c r="R760" s="129" t="n"/>
      <c r="S760" s="129" t="n"/>
      <c r="T760" s="129" t="n"/>
      <c r="U760" s="129" t="n"/>
      <c r="V760" s="129" t="n"/>
      <c r="W760" s="129" t="n"/>
      <c r="X760" s="129" t="n"/>
      <c r="Y760" s="708" t="n"/>
      <c r="Z760" s="709" t="n"/>
      <c r="AA760" s="710" t="n"/>
      <c r="AB760" s="590" t="n"/>
      <c r="AC760" s="591" t="n"/>
      <c r="AD760" s="592" t="n"/>
      <c r="AE760" s="593" t="n"/>
      <c r="AF760" s="594" t="n"/>
      <c r="AG760" s="693" t="n"/>
      <c r="AH760" s="721" t="n"/>
      <c r="AI760" s="721" t="n"/>
      <c r="AJ760" s="688" t="n"/>
      <c r="AK760" s="689" t="n"/>
      <c r="AL760" s="690" t="n"/>
      <c r="AM760" s="691" t="n"/>
      <c r="AN760" s="692" t="n"/>
      <c r="AO760" s="693" t="n"/>
      <c r="AP760" s="693" t="n"/>
      <c r="AQ760" s="693" t="n"/>
      <c r="AR760" s="693" t="n"/>
      <c r="AS760" s="693" t="n"/>
      <c r="AT760" s="693" t="n"/>
      <c r="AU760" s="699" t="n"/>
      <c r="AV760" s="693" t="n"/>
      <c r="AW760" s="693" t="n"/>
      <c r="AX760" s="693" t="n"/>
      <c r="AY760" s="693" t="n"/>
      <c r="AZ760" s="693" t="n"/>
    </row>
    <row r="761">
      <c r="A761" s="688" t="n"/>
      <c r="B761" s="688" t="n"/>
      <c r="C761" s="473" t="n"/>
      <c r="D761" s="688" t="n"/>
      <c r="E761" s="689" t="n"/>
      <c r="F761" s="721" t="n"/>
      <c r="G7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1" s="474">
        <f>G761/#REF!</f>
        <v/>
      </c>
      <c r="I761" s="690" t="n"/>
      <c r="J7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1" s="474">
        <f>J761/#REF!</f>
        <v/>
      </c>
      <c r="L761" s="473" t="n"/>
      <c r="M761" s="692" t="n"/>
      <c r="N761" s="693" t="n"/>
      <c r="O761" s="78" t="n"/>
      <c r="P761" s="129" t="n"/>
      <c r="Q761" s="129" t="n"/>
      <c r="R761" s="129" t="n"/>
      <c r="S761" s="129" t="n"/>
      <c r="T761" s="129" t="n"/>
      <c r="U761" s="129" t="n"/>
      <c r="V761" s="129" t="n"/>
      <c r="W761" s="129" t="n"/>
      <c r="X761" s="129" t="n"/>
      <c r="Y761" s="703" t="n"/>
      <c r="Z761" s="704" t="n"/>
      <c r="AA761" s="705" t="n"/>
      <c r="AB761" s="613" t="n"/>
      <c r="AC761" s="614" t="n"/>
      <c r="AD761" s="628" t="n"/>
      <c r="AE761" s="616" t="n"/>
      <c r="AF761" s="617" t="n"/>
      <c r="AG761" s="693" t="n"/>
      <c r="AH761" s="721" t="n"/>
      <c r="AI761" s="721" t="n"/>
      <c r="AJ761" s="688" t="n"/>
      <c r="AK761" s="689" t="n"/>
      <c r="AL761" s="690" t="n"/>
      <c r="AM761" s="691" t="n"/>
      <c r="AN761" s="692" t="n"/>
      <c r="AO761" s="693" t="n"/>
      <c r="AP761" s="693" t="n"/>
      <c r="AQ761" s="693" t="n"/>
      <c r="AR761" s="693" t="n"/>
      <c r="AS761" s="693" t="n"/>
      <c r="AT761" s="693" t="n"/>
      <c r="AU761" s="699" t="n"/>
      <c r="AV761" s="693" t="n"/>
      <c r="AW761" s="693" t="n"/>
      <c r="AX761" s="693" t="n"/>
      <c r="AY761" s="693" t="n"/>
      <c r="AZ761" s="693" t="n"/>
    </row>
    <row r="762">
      <c r="A762" s="688" t="n"/>
      <c r="B762" s="688" t="n"/>
      <c r="C762" s="473" t="n"/>
      <c r="D762" s="688" t="n"/>
      <c r="E762" s="689" t="n"/>
      <c r="F762" s="721" t="n"/>
      <c r="G7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2" s="474">
        <f>G762/#REF!</f>
        <v/>
      </c>
      <c r="I762" s="690" t="n"/>
      <c r="J7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2" s="474">
        <f>J762/#REF!</f>
        <v/>
      </c>
      <c r="L762" s="473" t="n"/>
      <c r="M762" s="692" t="n"/>
      <c r="N762" s="693" t="n"/>
      <c r="O762" s="78" t="n"/>
      <c r="P762" s="129" t="n"/>
      <c r="Q762" s="129" t="n"/>
      <c r="R762" s="129" t="n"/>
      <c r="S762" s="129" t="n"/>
      <c r="T762" s="129" t="n"/>
      <c r="U762" s="129" t="n"/>
      <c r="V762" s="129" t="n"/>
      <c r="W762" s="129" t="n"/>
      <c r="X762" s="129" t="n"/>
      <c r="Y762" s="708" t="n"/>
      <c r="Z762" s="709" t="n"/>
      <c r="AA762" s="710" t="n"/>
      <c r="AB762" s="590" t="n"/>
      <c r="AC762" s="591" t="n"/>
      <c r="AD762" s="592" t="n"/>
      <c r="AE762" s="593" t="n"/>
      <c r="AF762" s="594" t="n"/>
      <c r="AG762" s="693" t="n"/>
      <c r="AH762" s="721" t="n"/>
      <c r="AI762" s="721" t="n"/>
      <c r="AJ762" s="688" t="n"/>
      <c r="AK762" s="689" t="n"/>
      <c r="AL762" s="690" t="n"/>
      <c r="AM762" s="691" t="n"/>
      <c r="AN762" s="692" t="n"/>
      <c r="AO762" s="693" t="n"/>
      <c r="AP762" s="693" t="n"/>
      <c r="AQ762" s="693" t="n"/>
      <c r="AR762" s="693" t="n"/>
      <c r="AS762" s="693" t="n"/>
      <c r="AT762" s="693" t="n"/>
      <c r="AU762" s="699" t="n"/>
      <c r="AV762" s="693" t="n"/>
      <c r="AW762" s="693" t="n"/>
      <c r="AX762" s="693" t="n"/>
      <c r="AY762" s="693" t="n"/>
      <c r="AZ762" s="693" t="n"/>
    </row>
    <row r="763">
      <c r="A763" s="688" t="n"/>
      <c r="B763" s="688" t="n"/>
      <c r="C763" s="473" t="n"/>
      <c r="D763" s="688" t="n"/>
      <c r="E763" s="689" t="n"/>
      <c r="F763" s="721" t="n"/>
      <c r="G7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3" s="474">
        <f>G763/#REF!</f>
        <v/>
      </c>
      <c r="I763" s="690" t="n"/>
      <c r="J7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3" s="474">
        <f>J763/#REF!</f>
        <v/>
      </c>
      <c r="L763" s="473" t="n"/>
      <c r="M763" s="692" t="n"/>
      <c r="N763" s="693" t="n"/>
      <c r="O763" s="78" t="n"/>
      <c r="P763" s="129" t="n"/>
      <c r="Q763" s="129" t="n"/>
      <c r="R763" s="129" t="n"/>
      <c r="S763" s="129" t="n"/>
      <c r="T763" s="129" t="n"/>
      <c r="U763" s="129" t="n"/>
      <c r="V763" s="129" t="n"/>
      <c r="W763" s="129" t="n"/>
      <c r="X763" s="129" t="n"/>
      <c r="Y763" s="703" t="n"/>
      <c r="Z763" s="704" t="n"/>
      <c r="AA763" s="705" t="n"/>
      <c r="AB763" s="613" t="n"/>
      <c r="AC763" s="614" t="n"/>
      <c r="AD763" s="628" t="n"/>
      <c r="AE763" s="616" t="n"/>
      <c r="AF763" s="617" t="n"/>
      <c r="AG763" s="693" t="n"/>
      <c r="AH763" s="721" t="n"/>
      <c r="AI763" s="721" t="n"/>
      <c r="AJ763" s="688" t="n"/>
      <c r="AK763" s="689" t="n"/>
      <c r="AL763" s="690" t="n"/>
      <c r="AM763" s="691" t="n"/>
      <c r="AN763" s="692" t="n"/>
      <c r="AO763" s="693" t="n"/>
      <c r="AP763" s="693" t="n"/>
      <c r="AQ763" s="693" t="n"/>
      <c r="AR763" s="693" t="n"/>
      <c r="AS763" s="693" t="n"/>
      <c r="AT763" s="693" t="n"/>
      <c r="AU763" s="699" t="n"/>
      <c r="AV763" s="693" t="n"/>
      <c r="AW763" s="693" t="n"/>
      <c r="AX763" s="693" t="n"/>
      <c r="AY763" s="693" t="n"/>
      <c r="AZ763" s="693" t="n"/>
    </row>
    <row r="764">
      <c r="A764" s="688" t="n"/>
      <c r="B764" s="688" t="n"/>
      <c r="C764" s="473" t="n"/>
      <c r="D764" s="688" t="n"/>
      <c r="E764" s="689" t="n"/>
      <c r="F764" s="721" t="n"/>
      <c r="G7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4" s="474">
        <f>G764/#REF!</f>
        <v/>
      </c>
      <c r="I764" s="690" t="n"/>
      <c r="J7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4" s="474">
        <f>J764/#REF!</f>
        <v/>
      </c>
      <c r="L764" s="473" t="n"/>
      <c r="M764" s="692" t="n"/>
      <c r="N764" s="693" t="n"/>
      <c r="O764" s="78" t="n"/>
      <c r="P764" s="129" t="n"/>
      <c r="Q764" s="129" t="n"/>
      <c r="R764" s="129" t="n"/>
      <c r="S764" s="129" t="n"/>
      <c r="T764" s="129" t="n"/>
      <c r="U764" s="129" t="n"/>
      <c r="V764" s="129" t="n"/>
      <c r="W764" s="129" t="n"/>
      <c r="X764" s="129" t="n"/>
      <c r="Y764" s="708" t="n"/>
      <c r="Z764" s="709" t="n"/>
      <c r="AA764" s="710" t="n"/>
      <c r="AB764" s="590" t="n"/>
      <c r="AC764" s="591" t="n"/>
      <c r="AD764" s="592" t="n"/>
      <c r="AE764" s="593" t="n"/>
      <c r="AF764" s="594" t="n"/>
      <c r="AG764" s="693" t="n"/>
      <c r="AH764" s="721" t="n"/>
      <c r="AI764" s="721" t="n"/>
      <c r="AJ764" s="688" t="n"/>
      <c r="AK764" s="689" t="n"/>
      <c r="AL764" s="690" t="n"/>
      <c r="AM764" s="691" t="n"/>
      <c r="AN764" s="692" t="n"/>
      <c r="AO764" s="693" t="n"/>
      <c r="AP764" s="693" t="n"/>
      <c r="AQ764" s="693" t="n"/>
      <c r="AR764" s="693" t="n"/>
      <c r="AS764" s="693" t="n"/>
      <c r="AT764" s="693" t="n"/>
      <c r="AU764" s="699" t="n"/>
      <c r="AV764" s="693" t="n"/>
      <c r="AW764" s="693" t="n"/>
      <c r="AX764" s="693" t="n"/>
      <c r="AY764" s="693" t="n"/>
      <c r="AZ764" s="693" t="n"/>
    </row>
    <row r="765">
      <c r="A765" s="688" t="n"/>
      <c r="B765" s="688" t="n"/>
      <c r="C765" s="473" t="n"/>
      <c r="D765" s="688" t="n"/>
      <c r="E765" s="689" t="n"/>
      <c r="F765" s="721" t="n"/>
      <c r="G7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5" s="474">
        <f>G765/#REF!</f>
        <v/>
      </c>
      <c r="I765" s="690" t="n"/>
      <c r="J7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5" s="474">
        <f>J765/#REF!</f>
        <v/>
      </c>
      <c r="L765" s="473" t="n"/>
      <c r="M765" s="692" t="n"/>
      <c r="N765" s="693" t="n"/>
      <c r="O765" s="78" t="n"/>
      <c r="P765" s="129" t="n"/>
      <c r="Q765" s="129" t="n"/>
      <c r="R765" s="129" t="n"/>
      <c r="S765" s="129" t="n"/>
      <c r="T765" s="129" t="n"/>
      <c r="U765" s="129" t="n"/>
      <c r="V765" s="129" t="n"/>
      <c r="W765" s="129" t="n"/>
      <c r="X765" s="129" t="n"/>
      <c r="Y765" s="703" t="n"/>
      <c r="Z765" s="704" t="n"/>
      <c r="AA765" s="705" t="n"/>
      <c r="AB765" s="613" t="n"/>
      <c r="AC765" s="614" t="n"/>
      <c r="AD765" s="628" t="n"/>
      <c r="AE765" s="616" t="n"/>
      <c r="AF765" s="617" t="n"/>
      <c r="AG765" s="693" t="n"/>
      <c r="AH765" s="721" t="n"/>
      <c r="AI765" s="721" t="n"/>
      <c r="AJ765" s="688" t="n"/>
      <c r="AK765" s="689" t="n"/>
      <c r="AL765" s="690" t="n"/>
      <c r="AM765" s="691" t="n"/>
      <c r="AN765" s="692" t="n"/>
      <c r="AO765" s="693" t="n"/>
      <c r="AP765" s="693" t="n"/>
      <c r="AQ765" s="693" t="n"/>
      <c r="AR765" s="693" t="n"/>
      <c r="AS765" s="693" t="n"/>
      <c r="AT765" s="693" t="n"/>
      <c r="AU765" s="699" t="n"/>
      <c r="AV765" s="693" t="n"/>
      <c r="AW765" s="693" t="n"/>
      <c r="AX765" s="693" t="n"/>
      <c r="AY765" s="693" t="n"/>
      <c r="AZ765" s="693" t="n"/>
    </row>
    <row r="766">
      <c r="A766" s="688" t="n"/>
      <c r="B766" s="688" t="n"/>
      <c r="C766" s="473" t="n"/>
      <c r="D766" s="688" t="n"/>
      <c r="E766" s="689" t="n"/>
      <c r="F766" s="721" t="n"/>
      <c r="G7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6" s="474">
        <f>G766/#REF!</f>
        <v/>
      </c>
      <c r="I766" s="690" t="n"/>
      <c r="J7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6" s="474">
        <f>J766/#REF!</f>
        <v/>
      </c>
      <c r="L766" s="473" t="n"/>
      <c r="M766" s="692" t="n"/>
      <c r="N766" s="693" t="n"/>
      <c r="O766" s="78" t="n"/>
      <c r="P766" s="129" t="n"/>
      <c r="Q766" s="129" t="n"/>
      <c r="R766" s="129" t="n"/>
      <c r="S766" s="129" t="n"/>
      <c r="T766" s="129" t="n"/>
      <c r="U766" s="129" t="n"/>
      <c r="V766" s="129" t="n"/>
      <c r="W766" s="129" t="n"/>
      <c r="X766" s="129" t="n"/>
      <c r="Y766" s="708" t="n"/>
      <c r="Z766" s="709" t="n"/>
      <c r="AA766" s="710" t="n"/>
      <c r="AB766" s="590" t="n"/>
      <c r="AC766" s="591" t="n"/>
      <c r="AD766" s="592" t="n"/>
      <c r="AE766" s="593" t="n"/>
      <c r="AF766" s="594" t="n"/>
      <c r="AG766" s="693" t="n"/>
      <c r="AH766" s="721" t="n"/>
      <c r="AI766" s="721" t="n"/>
      <c r="AJ766" s="688" t="n"/>
      <c r="AK766" s="689" t="n"/>
      <c r="AL766" s="690" t="n"/>
      <c r="AM766" s="691" t="n"/>
      <c r="AN766" s="692" t="n"/>
      <c r="AO766" s="693" t="n"/>
      <c r="AP766" s="693" t="n"/>
      <c r="AQ766" s="693" t="n"/>
      <c r="AR766" s="693" t="n"/>
      <c r="AS766" s="693" t="n"/>
      <c r="AT766" s="693" t="n"/>
      <c r="AU766" s="699" t="n"/>
      <c r="AV766" s="693" t="n"/>
      <c r="AW766" s="693" t="n"/>
      <c r="AX766" s="693" t="n"/>
      <c r="AY766" s="693" t="n"/>
      <c r="AZ766" s="693" t="n"/>
    </row>
    <row r="767">
      <c r="A767" s="688" t="n"/>
      <c r="B767" s="688" t="n"/>
      <c r="C767" s="473" t="n"/>
      <c r="D767" s="688" t="n"/>
      <c r="E767" s="689" t="n"/>
      <c r="F767" s="721" t="n"/>
      <c r="G7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7" s="474">
        <f>G767/#REF!</f>
        <v/>
      </c>
      <c r="I767" s="690" t="n"/>
      <c r="J7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7" s="474">
        <f>J767/#REF!</f>
        <v/>
      </c>
      <c r="L767" s="473" t="n"/>
      <c r="M767" s="692" t="n"/>
      <c r="N767" s="693" t="n"/>
      <c r="O767" s="78" t="n"/>
      <c r="P767" s="129" t="n"/>
      <c r="Q767" s="129" t="n"/>
      <c r="R767" s="129" t="n"/>
      <c r="S767" s="129" t="n"/>
      <c r="T767" s="129" t="n"/>
      <c r="U767" s="129" t="n"/>
      <c r="V767" s="129" t="n"/>
      <c r="W767" s="129" t="n"/>
      <c r="X767" s="129" t="n"/>
      <c r="Y767" s="703" t="n"/>
      <c r="Z767" s="704" t="n"/>
      <c r="AA767" s="705" t="n"/>
      <c r="AB767" s="613" t="n"/>
      <c r="AC767" s="614" t="n"/>
      <c r="AD767" s="628" t="n"/>
      <c r="AE767" s="616" t="n"/>
      <c r="AF767" s="617" t="n"/>
      <c r="AG767" s="693" t="n"/>
      <c r="AH767" s="721" t="n"/>
      <c r="AI767" s="721" t="n"/>
      <c r="AJ767" s="688" t="n"/>
      <c r="AK767" s="689" t="n"/>
      <c r="AL767" s="690" t="n"/>
      <c r="AM767" s="691" t="n"/>
      <c r="AN767" s="692" t="n"/>
      <c r="AO767" s="693" t="n"/>
      <c r="AP767" s="693" t="n"/>
      <c r="AQ767" s="693" t="n"/>
      <c r="AR767" s="693" t="n"/>
      <c r="AS767" s="693" t="n"/>
      <c r="AT767" s="693" t="n"/>
      <c r="AU767" s="699" t="n"/>
      <c r="AV767" s="693" t="n"/>
      <c r="AW767" s="693" t="n"/>
      <c r="AX767" s="693" t="n"/>
      <c r="AY767" s="693" t="n"/>
      <c r="AZ767" s="693" t="n"/>
    </row>
    <row r="768">
      <c r="A768" s="688" t="n"/>
      <c r="B768" s="688" t="n"/>
      <c r="C768" s="473" t="n"/>
      <c r="D768" s="688" t="n"/>
      <c r="E768" s="689" t="n"/>
      <c r="F768" s="721" t="n"/>
      <c r="G7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8" s="474">
        <f>G768/#REF!</f>
        <v/>
      </c>
      <c r="I768" s="690" t="n"/>
      <c r="J7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8" s="474">
        <f>J768/#REF!</f>
        <v/>
      </c>
      <c r="L768" s="473" t="n"/>
      <c r="M768" s="692" t="n"/>
      <c r="N768" s="693" t="n"/>
      <c r="O768" s="78" t="n"/>
      <c r="P768" s="129" t="n"/>
      <c r="Q768" s="129" t="n"/>
      <c r="R768" s="129" t="n"/>
      <c r="S768" s="129" t="n"/>
      <c r="T768" s="129" t="n"/>
      <c r="U768" s="129" t="n"/>
      <c r="V768" s="129" t="n"/>
      <c r="W768" s="129" t="n"/>
      <c r="X768" s="129" t="n"/>
      <c r="Y768" s="708" t="n"/>
      <c r="Z768" s="709" t="n"/>
      <c r="AA768" s="710" t="n"/>
      <c r="AB768" s="590" t="n"/>
      <c r="AC768" s="591" t="n"/>
      <c r="AD768" s="592" t="n"/>
      <c r="AE768" s="593" t="n"/>
      <c r="AF768" s="594" t="n"/>
      <c r="AG768" s="693" t="n"/>
      <c r="AH768" s="721" t="n"/>
      <c r="AI768" s="721" t="n"/>
      <c r="AJ768" s="688" t="n"/>
      <c r="AK768" s="689" t="n"/>
      <c r="AL768" s="690" t="n"/>
      <c r="AM768" s="691" t="n"/>
      <c r="AN768" s="692" t="n"/>
      <c r="AO768" s="693" t="n"/>
      <c r="AP768" s="693" t="n"/>
      <c r="AQ768" s="693" t="n"/>
      <c r="AR768" s="693" t="n"/>
      <c r="AS768" s="693" t="n"/>
      <c r="AT768" s="693" t="n"/>
      <c r="AU768" s="699" t="n"/>
      <c r="AV768" s="693" t="n"/>
      <c r="AW768" s="693" t="n"/>
      <c r="AX768" s="693" t="n"/>
      <c r="AY768" s="693" t="n"/>
      <c r="AZ768" s="693" t="n"/>
    </row>
    <row r="769">
      <c r="A769" s="688" t="n"/>
      <c r="B769" s="688" t="n"/>
      <c r="C769" s="473" t="n"/>
      <c r="D769" s="688" t="n"/>
      <c r="E769" s="689" t="n"/>
      <c r="F769" s="721" t="n"/>
      <c r="G7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69" s="474">
        <f>G769/#REF!</f>
        <v/>
      </c>
      <c r="I769" s="690" t="n"/>
      <c r="J7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69" s="474">
        <f>J769/#REF!</f>
        <v/>
      </c>
      <c r="L769" s="473" t="n"/>
      <c r="M769" s="692" t="n"/>
      <c r="N769" s="693" t="n"/>
      <c r="O769" s="78" t="n"/>
      <c r="P769" s="129" t="n"/>
      <c r="Q769" s="129" t="n"/>
      <c r="R769" s="129" t="n"/>
      <c r="S769" s="129" t="n"/>
      <c r="T769" s="129" t="n"/>
      <c r="U769" s="129" t="n"/>
      <c r="V769" s="129" t="n"/>
      <c r="W769" s="129" t="n"/>
      <c r="X769" s="129" t="n"/>
      <c r="Y769" s="703" t="n"/>
      <c r="Z769" s="704" t="n"/>
      <c r="AA769" s="705" t="n"/>
      <c r="AB769" s="613" t="n"/>
      <c r="AC769" s="614" t="n"/>
      <c r="AD769" s="628" t="n"/>
      <c r="AE769" s="616" t="n"/>
      <c r="AF769" s="617" t="n"/>
      <c r="AG769" s="693" t="n"/>
      <c r="AH769" s="721" t="n"/>
      <c r="AI769" s="721" t="n"/>
      <c r="AJ769" s="688" t="n"/>
      <c r="AK769" s="689" t="n"/>
      <c r="AL769" s="690" t="n"/>
      <c r="AM769" s="691" t="n"/>
      <c r="AN769" s="692" t="n"/>
      <c r="AO769" s="693" t="n"/>
      <c r="AP769" s="693" t="n"/>
      <c r="AQ769" s="693" t="n"/>
      <c r="AR769" s="693" t="n"/>
      <c r="AS769" s="693" t="n"/>
      <c r="AT769" s="693" t="n"/>
      <c r="AU769" s="699" t="n"/>
      <c r="AV769" s="693" t="n"/>
      <c r="AW769" s="693" t="n"/>
      <c r="AX769" s="693" t="n"/>
      <c r="AY769" s="693" t="n"/>
      <c r="AZ769" s="693" t="n"/>
    </row>
    <row r="770">
      <c r="A770" s="688" t="n"/>
      <c r="B770" s="688" t="n"/>
      <c r="C770" s="473" t="n"/>
      <c r="D770" s="688" t="n"/>
      <c r="E770" s="689" t="n"/>
      <c r="F770" s="721" t="n"/>
      <c r="G7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0" s="474">
        <f>G770/#REF!</f>
        <v/>
      </c>
      <c r="I770" s="690" t="n"/>
      <c r="J7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0" s="474">
        <f>J770/#REF!</f>
        <v/>
      </c>
      <c r="L770" s="473" t="n"/>
      <c r="M770" s="692" t="n"/>
      <c r="N770" s="693" t="n"/>
      <c r="O770" s="78" t="n"/>
      <c r="P770" s="129" t="n"/>
      <c r="Q770" s="129" t="n"/>
      <c r="R770" s="129" t="n"/>
      <c r="S770" s="129" t="n"/>
      <c r="T770" s="129" t="n"/>
      <c r="U770" s="129" t="n"/>
      <c r="V770" s="129" t="n"/>
      <c r="W770" s="129" t="n"/>
      <c r="X770" s="129" t="n"/>
      <c r="Y770" s="708" t="n"/>
      <c r="Z770" s="709" t="n"/>
      <c r="AA770" s="710" t="n"/>
      <c r="AB770" s="590" t="n"/>
      <c r="AC770" s="591" t="n"/>
      <c r="AD770" s="592" t="n"/>
      <c r="AE770" s="593" t="n"/>
      <c r="AF770" s="594" t="n"/>
      <c r="AG770" s="693" t="n"/>
      <c r="AH770" s="721" t="n"/>
      <c r="AI770" s="721" t="n"/>
      <c r="AJ770" s="688" t="n"/>
      <c r="AK770" s="689" t="n"/>
      <c r="AL770" s="690" t="n"/>
      <c r="AM770" s="691" t="n"/>
      <c r="AN770" s="692" t="n"/>
      <c r="AO770" s="693" t="n"/>
      <c r="AP770" s="693" t="n"/>
      <c r="AQ770" s="693" t="n"/>
      <c r="AR770" s="693" t="n"/>
      <c r="AS770" s="693" t="n"/>
      <c r="AT770" s="693" t="n"/>
      <c r="AU770" s="699" t="n"/>
      <c r="AV770" s="693" t="n"/>
      <c r="AW770" s="693" t="n"/>
      <c r="AX770" s="693" t="n"/>
      <c r="AY770" s="693" t="n"/>
      <c r="AZ770" s="693" t="n"/>
    </row>
    <row r="771">
      <c r="A771" s="688" t="n"/>
      <c r="B771" s="688" t="n"/>
      <c r="C771" s="473" t="n"/>
      <c r="D771" s="688" t="n"/>
      <c r="E771" s="689" t="n"/>
      <c r="F771" s="721" t="n"/>
      <c r="G7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1" s="474">
        <f>G771/#REF!</f>
        <v/>
      </c>
      <c r="I771" s="690" t="n"/>
      <c r="J7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1" s="474">
        <f>J771/#REF!</f>
        <v/>
      </c>
      <c r="L771" s="473" t="n"/>
      <c r="M771" s="692" t="n"/>
      <c r="N771" s="693" t="n"/>
      <c r="O771" s="78" t="n"/>
      <c r="P771" s="129" t="n"/>
      <c r="Q771" s="129" t="n"/>
      <c r="R771" s="129" t="n"/>
      <c r="S771" s="129" t="n"/>
      <c r="T771" s="129" t="n"/>
      <c r="U771" s="129" t="n"/>
      <c r="V771" s="129" t="n"/>
      <c r="W771" s="129" t="n"/>
      <c r="X771" s="129" t="n"/>
      <c r="Y771" s="703" t="n"/>
      <c r="Z771" s="704" t="n"/>
      <c r="AA771" s="705" t="n"/>
      <c r="AB771" s="613" t="n"/>
      <c r="AC771" s="614" t="n"/>
      <c r="AD771" s="628" t="n"/>
      <c r="AE771" s="616" t="n"/>
      <c r="AF771" s="617" t="n"/>
      <c r="AG771" s="693" t="n"/>
      <c r="AH771" s="721" t="n"/>
      <c r="AI771" s="721" t="n"/>
      <c r="AJ771" s="688" t="n"/>
      <c r="AK771" s="689" t="n"/>
      <c r="AL771" s="690" t="n"/>
      <c r="AM771" s="691" t="n"/>
      <c r="AN771" s="692" t="n"/>
      <c r="AO771" s="693" t="n"/>
      <c r="AP771" s="693" t="n"/>
      <c r="AQ771" s="693" t="n"/>
      <c r="AR771" s="693" t="n"/>
      <c r="AS771" s="693" t="n"/>
      <c r="AT771" s="693" t="n"/>
      <c r="AU771" s="699" t="n"/>
      <c r="AV771" s="693" t="n"/>
      <c r="AW771" s="693" t="n"/>
      <c r="AX771" s="693" t="n"/>
      <c r="AY771" s="693" t="n"/>
      <c r="AZ771" s="693" t="n"/>
    </row>
    <row r="772">
      <c r="A772" s="688" t="n"/>
      <c r="B772" s="688" t="n"/>
      <c r="C772" s="473" t="n"/>
      <c r="D772" s="688" t="n"/>
      <c r="E772" s="689" t="n"/>
      <c r="F772" s="721" t="n"/>
      <c r="G7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2" s="474">
        <f>G772/#REF!</f>
        <v/>
      </c>
      <c r="I772" s="690" t="n"/>
      <c r="J7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2" s="474">
        <f>J772/#REF!</f>
        <v/>
      </c>
      <c r="L772" s="473" t="n"/>
      <c r="M772" s="692" t="n"/>
      <c r="N772" s="693" t="n"/>
      <c r="O772" s="78" t="n"/>
      <c r="P772" s="129" t="n"/>
      <c r="Q772" s="129" t="n"/>
      <c r="R772" s="129" t="n"/>
      <c r="S772" s="129" t="n"/>
      <c r="T772" s="129" t="n"/>
      <c r="U772" s="129" t="n"/>
      <c r="V772" s="129" t="n"/>
      <c r="W772" s="129" t="n"/>
      <c r="X772" s="129" t="n"/>
      <c r="Y772" s="708" t="n"/>
      <c r="Z772" s="709" t="n"/>
      <c r="AA772" s="710" t="n"/>
      <c r="AB772" s="590" t="n"/>
      <c r="AC772" s="591" t="n"/>
      <c r="AD772" s="592" t="n"/>
      <c r="AE772" s="593" t="n"/>
      <c r="AF772" s="594" t="n"/>
      <c r="AG772" s="693" t="n"/>
      <c r="AH772" s="721" t="n"/>
      <c r="AI772" s="721" t="n"/>
      <c r="AJ772" s="688" t="n"/>
      <c r="AK772" s="689" t="n"/>
      <c r="AL772" s="690" t="n"/>
      <c r="AM772" s="691" t="n"/>
      <c r="AN772" s="692" t="n"/>
      <c r="AO772" s="693" t="n"/>
      <c r="AP772" s="693" t="n"/>
      <c r="AQ772" s="693" t="n"/>
      <c r="AR772" s="693" t="n"/>
      <c r="AS772" s="693" t="n"/>
      <c r="AT772" s="693" t="n"/>
      <c r="AU772" s="699" t="n"/>
      <c r="AV772" s="693" t="n"/>
      <c r="AW772" s="693" t="n"/>
      <c r="AX772" s="693" t="n"/>
      <c r="AY772" s="693" t="n"/>
      <c r="AZ772" s="693" t="n"/>
    </row>
    <row r="773">
      <c r="A773" s="688" t="n"/>
      <c r="B773" s="688" t="n"/>
      <c r="C773" s="473" t="n"/>
      <c r="D773" s="688" t="n"/>
      <c r="E773" s="689" t="n"/>
      <c r="F773" s="721" t="n"/>
      <c r="G7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3" s="474">
        <f>G773/#REF!</f>
        <v/>
      </c>
      <c r="I773" s="690" t="n"/>
      <c r="J7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3" s="474">
        <f>J773/#REF!</f>
        <v/>
      </c>
      <c r="L773" s="473" t="n"/>
      <c r="M773" s="692" t="n"/>
      <c r="N773" s="693" t="n"/>
      <c r="O773" s="78" t="n"/>
      <c r="P773" s="129" t="n"/>
      <c r="Q773" s="129" t="n"/>
      <c r="R773" s="129" t="n"/>
      <c r="S773" s="129" t="n"/>
      <c r="T773" s="129" t="n"/>
      <c r="U773" s="129" t="n"/>
      <c r="V773" s="129" t="n"/>
      <c r="W773" s="129" t="n"/>
      <c r="X773" s="129" t="n"/>
      <c r="Y773" s="703" t="n"/>
      <c r="Z773" s="704" t="n"/>
      <c r="AA773" s="705" t="n"/>
      <c r="AB773" s="613" t="n"/>
      <c r="AC773" s="614" t="n"/>
      <c r="AD773" s="628" t="n"/>
      <c r="AE773" s="616" t="n"/>
      <c r="AF773" s="617" t="n"/>
      <c r="AG773" s="693" t="n"/>
      <c r="AH773" s="721" t="n"/>
      <c r="AI773" s="721" t="n"/>
      <c r="AJ773" s="688" t="n"/>
      <c r="AK773" s="689" t="n"/>
      <c r="AL773" s="690" t="n"/>
      <c r="AM773" s="691" t="n"/>
      <c r="AN773" s="692" t="n"/>
      <c r="AO773" s="693" t="n"/>
      <c r="AP773" s="693" t="n"/>
      <c r="AQ773" s="693" t="n"/>
      <c r="AR773" s="693" t="n"/>
      <c r="AS773" s="693" t="n"/>
      <c r="AT773" s="693" t="n"/>
      <c r="AU773" s="699" t="n"/>
      <c r="AV773" s="693" t="n"/>
      <c r="AW773" s="693" t="n"/>
      <c r="AX773" s="693" t="n"/>
      <c r="AY773" s="693" t="n"/>
      <c r="AZ773" s="693" t="n"/>
    </row>
    <row r="774">
      <c r="A774" s="688" t="n"/>
      <c r="B774" s="688" t="n"/>
      <c r="C774" s="473" t="n"/>
      <c r="D774" s="688" t="n"/>
      <c r="E774" s="689" t="n"/>
      <c r="F774" s="721" t="n"/>
      <c r="G7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4" s="474">
        <f>G774/#REF!</f>
        <v/>
      </c>
      <c r="I774" s="690" t="n"/>
      <c r="J7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4" s="474">
        <f>J774/#REF!</f>
        <v/>
      </c>
      <c r="L774" s="473" t="n"/>
      <c r="M774" s="692" t="n"/>
      <c r="N774" s="693" t="n"/>
      <c r="O774" s="78" t="n"/>
      <c r="P774" s="129" t="n"/>
      <c r="Q774" s="129" t="n"/>
      <c r="R774" s="129" t="n"/>
      <c r="S774" s="129" t="n"/>
      <c r="T774" s="129" t="n"/>
      <c r="U774" s="129" t="n"/>
      <c r="V774" s="129" t="n"/>
      <c r="W774" s="129" t="n"/>
      <c r="X774" s="129" t="n"/>
      <c r="Y774" s="708" t="n"/>
      <c r="Z774" s="709" t="n"/>
      <c r="AA774" s="710" t="n"/>
      <c r="AB774" s="590" t="n"/>
      <c r="AC774" s="591" t="n"/>
      <c r="AD774" s="592" t="n"/>
      <c r="AE774" s="593" t="n"/>
      <c r="AF774" s="594" t="n"/>
      <c r="AG774" s="693" t="n"/>
      <c r="AH774" s="721" t="n"/>
      <c r="AI774" s="721" t="n"/>
      <c r="AJ774" s="688" t="n"/>
      <c r="AK774" s="689" t="n"/>
      <c r="AL774" s="690" t="n"/>
      <c r="AM774" s="691" t="n"/>
      <c r="AN774" s="692" t="n"/>
      <c r="AO774" s="693" t="n"/>
      <c r="AP774" s="693" t="n"/>
      <c r="AQ774" s="693" t="n"/>
      <c r="AR774" s="693" t="n"/>
      <c r="AS774" s="693" t="n"/>
      <c r="AT774" s="693" t="n"/>
      <c r="AU774" s="699" t="n"/>
      <c r="AV774" s="693" t="n"/>
      <c r="AW774" s="693" t="n"/>
      <c r="AX774" s="693" t="n"/>
      <c r="AY774" s="693" t="n"/>
      <c r="AZ774" s="693" t="n"/>
    </row>
    <row r="775">
      <c r="A775" s="688" t="n"/>
      <c r="B775" s="688" t="n"/>
      <c r="C775" s="473" t="n"/>
      <c r="D775" s="688" t="n"/>
      <c r="E775" s="689" t="n"/>
      <c r="F775" s="721" t="n"/>
      <c r="G7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5" s="474">
        <f>G775/#REF!</f>
        <v/>
      </c>
      <c r="I775" s="690" t="n"/>
      <c r="J7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5" s="474">
        <f>J775/#REF!</f>
        <v/>
      </c>
      <c r="L775" s="473" t="n"/>
      <c r="M775" s="692" t="n"/>
      <c r="N775" s="693" t="n"/>
      <c r="O775" s="78" t="n"/>
      <c r="P775" s="129" t="n"/>
      <c r="Q775" s="129" t="n"/>
      <c r="R775" s="129" t="n"/>
      <c r="S775" s="129" t="n"/>
      <c r="T775" s="129" t="n"/>
      <c r="U775" s="129" t="n"/>
      <c r="V775" s="129" t="n"/>
      <c r="W775" s="129" t="n"/>
      <c r="X775" s="129" t="n"/>
      <c r="Y775" s="703" t="n"/>
      <c r="Z775" s="704" t="n"/>
      <c r="AA775" s="705" t="n"/>
      <c r="AB775" s="613" t="n"/>
      <c r="AC775" s="614" t="n"/>
      <c r="AD775" s="628" t="n"/>
      <c r="AE775" s="616" t="n"/>
      <c r="AF775" s="617" t="n"/>
      <c r="AG775" s="693" t="n"/>
      <c r="AH775" s="721" t="n"/>
      <c r="AI775" s="721" t="n"/>
      <c r="AJ775" s="688" t="n"/>
      <c r="AK775" s="689" t="n"/>
      <c r="AL775" s="690" t="n"/>
      <c r="AM775" s="691" t="n"/>
      <c r="AN775" s="692" t="n"/>
      <c r="AO775" s="693" t="n"/>
      <c r="AP775" s="693" t="n"/>
      <c r="AQ775" s="693" t="n"/>
      <c r="AR775" s="693" t="n"/>
      <c r="AS775" s="693" t="n"/>
      <c r="AT775" s="693" t="n"/>
      <c r="AU775" s="699" t="n"/>
      <c r="AV775" s="693" t="n"/>
      <c r="AW775" s="693" t="n"/>
      <c r="AX775" s="693" t="n"/>
      <c r="AY775" s="693" t="n"/>
      <c r="AZ775" s="693" t="n"/>
    </row>
    <row r="776">
      <c r="A776" s="688" t="n"/>
      <c r="B776" s="688" t="n"/>
      <c r="C776" s="473" t="n"/>
      <c r="D776" s="688" t="n"/>
      <c r="E776" s="689" t="n"/>
      <c r="F776" s="721" t="n"/>
      <c r="G7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6" s="474">
        <f>G776/#REF!</f>
        <v/>
      </c>
      <c r="I776" s="690" t="n"/>
      <c r="J7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6" s="474">
        <f>J776/#REF!</f>
        <v/>
      </c>
      <c r="L776" s="473" t="n"/>
      <c r="M776" s="692" t="n"/>
      <c r="N776" s="693" t="n"/>
      <c r="O776" s="78" t="n"/>
      <c r="P776" s="129" t="n"/>
      <c r="Q776" s="129" t="n"/>
      <c r="R776" s="129" t="n"/>
      <c r="S776" s="129" t="n"/>
      <c r="T776" s="129" t="n"/>
      <c r="U776" s="129" t="n"/>
      <c r="V776" s="129" t="n"/>
      <c r="W776" s="129" t="n"/>
      <c r="X776" s="129" t="n"/>
      <c r="Y776" s="708" t="n"/>
      <c r="Z776" s="709" t="n"/>
      <c r="AA776" s="710" t="n"/>
      <c r="AB776" s="590" t="n"/>
      <c r="AC776" s="591" t="n"/>
      <c r="AD776" s="592" t="n"/>
      <c r="AE776" s="593" t="n"/>
      <c r="AF776" s="594" t="n"/>
      <c r="AG776" s="693" t="n"/>
      <c r="AH776" s="721" t="n"/>
      <c r="AI776" s="721" t="n"/>
      <c r="AJ776" s="688" t="n"/>
      <c r="AK776" s="689" t="n"/>
      <c r="AL776" s="690" t="n"/>
      <c r="AM776" s="691" t="n"/>
      <c r="AN776" s="692" t="n"/>
      <c r="AO776" s="693" t="n"/>
      <c r="AP776" s="693" t="n"/>
      <c r="AQ776" s="693" t="n"/>
      <c r="AR776" s="693" t="n"/>
      <c r="AS776" s="693" t="n"/>
      <c r="AT776" s="693" t="n"/>
      <c r="AU776" s="699" t="n"/>
      <c r="AV776" s="693" t="n"/>
      <c r="AW776" s="693" t="n"/>
      <c r="AX776" s="693" t="n"/>
      <c r="AY776" s="693" t="n"/>
      <c r="AZ776" s="693" t="n"/>
    </row>
    <row r="777">
      <c r="A777" s="688" t="n"/>
      <c r="B777" s="688" t="n"/>
      <c r="C777" s="473" t="n"/>
      <c r="D777" s="688" t="n"/>
      <c r="E777" s="689" t="n"/>
      <c r="F777" s="721" t="n"/>
      <c r="G7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7" s="474">
        <f>G777/#REF!</f>
        <v/>
      </c>
      <c r="I777" s="690" t="n"/>
      <c r="J7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7" s="474">
        <f>J777/#REF!</f>
        <v/>
      </c>
      <c r="L777" s="473" t="n"/>
      <c r="M777" s="692" t="n"/>
      <c r="N777" s="693" t="n"/>
      <c r="O777" s="78" t="n"/>
      <c r="P777" s="129" t="n"/>
      <c r="Q777" s="129" t="n"/>
      <c r="R777" s="129" t="n"/>
      <c r="S777" s="129" t="n"/>
      <c r="T777" s="129" t="n"/>
      <c r="U777" s="129" t="n"/>
      <c r="V777" s="129" t="n"/>
      <c r="W777" s="129" t="n"/>
      <c r="X777" s="129" t="n"/>
      <c r="Y777" s="703" t="n"/>
      <c r="Z777" s="704" t="n"/>
      <c r="AA777" s="705" t="n"/>
      <c r="AB777" s="613" t="n"/>
      <c r="AC777" s="614" t="n"/>
      <c r="AD777" s="628" t="n"/>
      <c r="AE777" s="616" t="n"/>
      <c r="AF777" s="617" t="n"/>
      <c r="AG777" s="693" t="n"/>
      <c r="AH777" s="721" t="n"/>
      <c r="AI777" s="721" t="n"/>
      <c r="AJ777" s="688" t="n"/>
      <c r="AK777" s="689" t="n"/>
      <c r="AL777" s="690" t="n"/>
      <c r="AM777" s="691" t="n"/>
      <c r="AN777" s="692" t="n"/>
      <c r="AO777" s="693" t="n"/>
      <c r="AP777" s="693" t="n"/>
      <c r="AQ777" s="693" t="n"/>
      <c r="AR777" s="693" t="n"/>
      <c r="AS777" s="693" t="n"/>
      <c r="AT777" s="693" t="n"/>
      <c r="AU777" s="699" t="n"/>
      <c r="AV777" s="693" t="n"/>
      <c r="AW777" s="693" t="n"/>
      <c r="AX777" s="693" t="n"/>
      <c r="AY777" s="693" t="n"/>
      <c r="AZ777" s="693" t="n"/>
    </row>
    <row r="778">
      <c r="A778" s="688" t="n"/>
      <c r="B778" s="688" t="n"/>
      <c r="C778" s="473" t="n"/>
      <c r="D778" s="688" t="n"/>
      <c r="E778" s="689" t="n"/>
      <c r="F778" s="721" t="n"/>
      <c r="G7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8" s="474">
        <f>G778/#REF!</f>
        <v/>
      </c>
      <c r="I778" s="690" t="n"/>
      <c r="J7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8" s="474">
        <f>J778/#REF!</f>
        <v/>
      </c>
      <c r="L778" s="473" t="n"/>
      <c r="M778" s="692" t="n"/>
      <c r="N778" s="693" t="n"/>
      <c r="O778" s="78" t="n"/>
      <c r="P778" s="129" t="n"/>
      <c r="Q778" s="129" t="n"/>
      <c r="R778" s="129" t="n"/>
      <c r="S778" s="129" t="n"/>
      <c r="T778" s="129" t="n"/>
      <c r="U778" s="129" t="n"/>
      <c r="V778" s="129" t="n"/>
      <c r="W778" s="129" t="n"/>
      <c r="X778" s="129" t="n"/>
      <c r="Y778" s="708" t="n"/>
      <c r="Z778" s="709" t="n"/>
      <c r="AA778" s="710" t="n"/>
      <c r="AB778" s="590" t="n"/>
      <c r="AC778" s="591" t="n"/>
      <c r="AD778" s="592" t="n"/>
      <c r="AE778" s="593" t="n"/>
      <c r="AF778" s="594" t="n"/>
      <c r="AG778" s="693" t="n"/>
      <c r="AH778" s="721" t="n"/>
      <c r="AI778" s="721" t="n"/>
      <c r="AJ778" s="688" t="n"/>
      <c r="AK778" s="689" t="n"/>
      <c r="AL778" s="690" t="n"/>
      <c r="AM778" s="691" t="n"/>
      <c r="AN778" s="692" t="n"/>
      <c r="AO778" s="693" t="n"/>
      <c r="AP778" s="693" t="n"/>
      <c r="AQ778" s="693" t="n"/>
      <c r="AR778" s="693" t="n"/>
      <c r="AS778" s="693" t="n"/>
      <c r="AT778" s="693" t="n"/>
      <c r="AU778" s="699" t="n"/>
      <c r="AV778" s="693" t="n"/>
      <c r="AW778" s="693" t="n"/>
      <c r="AX778" s="693" t="n"/>
      <c r="AY778" s="693" t="n"/>
      <c r="AZ778" s="693" t="n"/>
    </row>
    <row r="779">
      <c r="A779" s="688" t="n"/>
      <c r="B779" s="688" t="n"/>
      <c r="C779" s="473" t="n"/>
      <c r="D779" s="688" t="n"/>
      <c r="E779" s="689" t="n"/>
      <c r="F779" s="721" t="n"/>
      <c r="G7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79" s="474">
        <f>G779/#REF!</f>
        <v/>
      </c>
      <c r="I779" s="690" t="n"/>
      <c r="J7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79" s="474">
        <f>J779/#REF!</f>
        <v/>
      </c>
      <c r="L779" s="473" t="n"/>
      <c r="M779" s="692" t="n"/>
      <c r="N779" s="693" t="n"/>
      <c r="O779" s="78" t="n"/>
      <c r="P779" s="129" t="n"/>
      <c r="Q779" s="129" t="n"/>
      <c r="R779" s="129" t="n"/>
      <c r="S779" s="129" t="n"/>
      <c r="T779" s="129" t="n"/>
      <c r="U779" s="129" t="n"/>
      <c r="V779" s="129" t="n"/>
      <c r="W779" s="129" t="n"/>
      <c r="X779" s="129" t="n"/>
      <c r="Y779" s="703" t="n"/>
      <c r="Z779" s="704" t="n"/>
      <c r="AA779" s="705" t="n"/>
      <c r="AB779" s="613" t="n"/>
      <c r="AC779" s="614" t="n"/>
      <c r="AD779" s="628" t="n"/>
      <c r="AE779" s="616" t="n"/>
      <c r="AF779" s="617" t="n"/>
      <c r="AG779" s="693" t="n"/>
      <c r="AH779" s="721" t="n"/>
      <c r="AI779" s="721" t="n"/>
      <c r="AJ779" s="688" t="n"/>
      <c r="AK779" s="689" t="n"/>
      <c r="AL779" s="690" t="n"/>
      <c r="AM779" s="691" t="n"/>
      <c r="AN779" s="692" t="n"/>
      <c r="AO779" s="693" t="n"/>
      <c r="AP779" s="693" t="n"/>
      <c r="AQ779" s="693" t="n"/>
      <c r="AR779" s="693" t="n"/>
      <c r="AS779" s="693" t="n"/>
      <c r="AT779" s="693" t="n"/>
      <c r="AU779" s="699" t="n"/>
      <c r="AV779" s="693" t="n"/>
      <c r="AW779" s="693" t="n"/>
      <c r="AX779" s="693" t="n"/>
      <c r="AY779" s="693" t="n"/>
      <c r="AZ779" s="693" t="n"/>
    </row>
    <row r="780">
      <c r="A780" s="688" t="n"/>
      <c r="B780" s="688" t="n"/>
      <c r="C780" s="473" t="n"/>
      <c r="D780" s="688" t="n"/>
      <c r="E780" s="689" t="n"/>
      <c r="F780" s="721" t="n"/>
      <c r="G7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0" s="474">
        <f>G780/#REF!</f>
        <v/>
      </c>
      <c r="I780" s="690" t="n"/>
      <c r="J7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0" s="474">
        <f>J780/#REF!</f>
        <v/>
      </c>
      <c r="L780" s="473" t="n"/>
      <c r="M780" s="692" t="n"/>
      <c r="N780" s="693" t="n"/>
      <c r="O780" s="78" t="n"/>
      <c r="P780" s="129" t="n"/>
      <c r="Q780" s="129" t="n"/>
      <c r="R780" s="129" t="n"/>
      <c r="S780" s="129" t="n"/>
      <c r="T780" s="129" t="n"/>
      <c r="U780" s="129" t="n"/>
      <c r="V780" s="129" t="n"/>
      <c r="W780" s="129" t="n"/>
      <c r="X780" s="129" t="n"/>
      <c r="Y780" s="708" t="n"/>
      <c r="Z780" s="709" t="n"/>
      <c r="AA780" s="710" t="n"/>
      <c r="AB780" s="590" t="n"/>
      <c r="AC780" s="591" t="n"/>
      <c r="AD780" s="592" t="n"/>
      <c r="AE780" s="593" t="n"/>
      <c r="AF780" s="594" t="n"/>
      <c r="AG780" s="693" t="n"/>
      <c r="AH780" s="721" t="n"/>
      <c r="AI780" s="721" t="n"/>
      <c r="AJ780" s="688" t="n"/>
      <c r="AK780" s="689" t="n"/>
      <c r="AL780" s="690" t="n"/>
      <c r="AM780" s="691" t="n"/>
      <c r="AN780" s="692" t="n"/>
      <c r="AO780" s="693" t="n"/>
      <c r="AP780" s="693" t="n"/>
      <c r="AQ780" s="693" t="n"/>
      <c r="AR780" s="693" t="n"/>
      <c r="AS780" s="693" t="n"/>
      <c r="AT780" s="693" t="n"/>
      <c r="AU780" s="699" t="n"/>
      <c r="AV780" s="693" t="n"/>
      <c r="AW780" s="693" t="n"/>
      <c r="AX780" s="693" t="n"/>
      <c r="AY780" s="693" t="n"/>
      <c r="AZ780" s="693" t="n"/>
    </row>
    <row r="781">
      <c r="A781" s="688" t="n"/>
      <c r="B781" s="688" t="n"/>
      <c r="C781" s="473" t="n"/>
      <c r="D781" s="688" t="n"/>
      <c r="E781" s="689" t="n"/>
      <c r="F781" s="721" t="n"/>
      <c r="G7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1" s="474">
        <f>G781/#REF!</f>
        <v/>
      </c>
      <c r="I781" s="690" t="n"/>
      <c r="J7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1" s="474">
        <f>J781/#REF!</f>
        <v/>
      </c>
      <c r="L781" s="473" t="n"/>
      <c r="M781" s="692" t="n"/>
      <c r="N781" s="693" t="n"/>
      <c r="O781" s="78" t="n"/>
      <c r="P781" s="129" t="n"/>
      <c r="Q781" s="129" t="n"/>
      <c r="R781" s="129" t="n"/>
      <c r="S781" s="129" t="n"/>
      <c r="T781" s="129" t="n"/>
      <c r="U781" s="129" t="n"/>
      <c r="V781" s="129" t="n"/>
      <c r="W781" s="129" t="n"/>
      <c r="X781" s="129" t="n"/>
      <c r="Y781" s="703" t="n"/>
      <c r="Z781" s="704" t="n"/>
      <c r="AA781" s="705" t="n"/>
      <c r="AB781" s="613" t="n"/>
      <c r="AC781" s="614" t="n"/>
      <c r="AD781" s="628" t="n"/>
      <c r="AE781" s="616" t="n"/>
      <c r="AF781" s="617" t="n"/>
      <c r="AG781" s="693" t="n"/>
      <c r="AH781" s="721" t="n"/>
      <c r="AI781" s="721" t="n"/>
      <c r="AJ781" s="688" t="n"/>
      <c r="AK781" s="689" t="n"/>
      <c r="AL781" s="690" t="n"/>
      <c r="AM781" s="691" t="n"/>
      <c r="AN781" s="692" t="n"/>
      <c r="AO781" s="693" t="n"/>
      <c r="AP781" s="693" t="n"/>
      <c r="AQ781" s="693" t="n"/>
      <c r="AR781" s="693" t="n"/>
      <c r="AS781" s="693" t="n"/>
      <c r="AT781" s="693" t="n"/>
      <c r="AU781" s="699" t="n"/>
      <c r="AV781" s="693" t="n"/>
      <c r="AW781" s="693" t="n"/>
      <c r="AX781" s="693" t="n"/>
      <c r="AY781" s="693" t="n"/>
      <c r="AZ781" s="693" t="n"/>
    </row>
    <row r="782">
      <c r="A782" s="688" t="n"/>
      <c r="B782" s="688" t="n"/>
      <c r="C782" s="473" t="n"/>
      <c r="D782" s="688" t="n"/>
      <c r="E782" s="689" t="n"/>
      <c r="F782" s="721" t="n"/>
      <c r="G7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2" s="474">
        <f>G782/#REF!</f>
        <v/>
      </c>
      <c r="I782" s="690" t="n"/>
      <c r="J7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2" s="474">
        <f>J782/#REF!</f>
        <v/>
      </c>
      <c r="L782" s="473" t="n"/>
      <c r="M782" s="692" t="n"/>
      <c r="N782" s="693" t="n"/>
      <c r="O782" s="78" t="n"/>
      <c r="P782" s="129" t="n"/>
      <c r="Q782" s="129" t="n"/>
      <c r="R782" s="129" t="n"/>
      <c r="S782" s="129" t="n"/>
      <c r="T782" s="129" t="n"/>
      <c r="U782" s="129" t="n"/>
      <c r="V782" s="129" t="n"/>
      <c r="W782" s="129" t="n"/>
      <c r="X782" s="129" t="n"/>
      <c r="Y782" s="708" t="n"/>
      <c r="Z782" s="709" t="n"/>
      <c r="AA782" s="710" t="n"/>
      <c r="AB782" s="590" t="n"/>
      <c r="AC782" s="591" t="n"/>
      <c r="AD782" s="592" t="n"/>
      <c r="AE782" s="593" t="n"/>
      <c r="AF782" s="594" t="n"/>
      <c r="AG782" s="693" t="n"/>
      <c r="AH782" s="721" t="n"/>
      <c r="AI782" s="721" t="n"/>
      <c r="AJ782" s="688" t="n"/>
      <c r="AK782" s="689" t="n"/>
      <c r="AL782" s="690" t="n"/>
      <c r="AM782" s="691" t="n"/>
      <c r="AN782" s="692" t="n"/>
      <c r="AO782" s="693" t="n"/>
      <c r="AP782" s="693" t="n"/>
      <c r="AQ782" s="693" t="n"/>
      <c r="AR782" s="693" t="n"/>
      <c r="AS782" s="693" t="n"/>
      <c r="AT782" s="693" t="n"/>
      <c r="AU782" s="699" t="n"/>
      <c r="AV782" s="693" t="n"/>
      <c r="AW782" s="693" t="n"/>
      <c r="AX782" s="693" t="n"/>
      <c r="AY782" s="693" t="n"/>
      <c r="AZ782" s="693" t="n"/>
    </row>
    <row r="783">
      <c r="A783" s="688" t="n"/>
      <c r="B783" s="688" t="n"/>
      <c r="C783" s="473" t="n"/>
      <c r="D783" s="688" t="n"/>
      <c r="E783" s="689" t="n"/>
      <c r="F783" s="721" t="n"/>
      <c r="G7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3" s="474">
        <f>G783/#REF!</f>
        <v/>
      </c>
      <c r="I783" s="690" t="n"/>
      <c r="J7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3" s="474">
        <f>J783/#REF!</f>
        <v/>
      </c>
      <c r="L783" s="473" t="n"/>
      <c r="M783" s="692" t="n"/>
      <c r="N783" s="693" t="n"/>
      <c r="O783" s="78" t="n"/>
      <c r="P783" s="129" t="n"/>
      <c r="Q783" s="129" t="n"/>
      <c r="R783" s="129" t="n"/>
      <c r="S783" s="129" t="n"/>
      <c r="T783" s="129" t="n"/>
      <c r="U783" s="129" t="n"/>
      <c r="V783" s="129" t="n"/>
      <c r="W783" s="129" t="n"/>
      <c r="X783" s="129" t="n"/>
      <c r="Y783" s="703" t="n"/>
      <c r="Z783" s="704" t="n"/>
      <c r="AA783" s="705" t="n"/>
      <c r="AB783" s="613" t="n"/>
      <c r="AC783" s="614" t="n"/>
      <c r="AD783" s="628" t="n"/>
      <c r="AE783" s="616" t="n"/>
      <c r="AF783" s="617" t="n"/>
      <c r="AG783" s="693" t="n"/>
      <c r="AH783" s="721" t="n"/>
      <c r="AI783" s="721" t="n"/>
      <c r="AJ783" s="688" t="n"/>
      <c r="AK783" s="689" t="n"/>
      <c r="AL783" s="690" t="n"/>
      <c r="AM783" s="691" t="n"/>
      <c r="AN783" s="692" t="n"/>
      <c r="AO783" s="693" t="n"/>
      <c r="AP783" s="693" t="n"/>
      <c r="AQ783" s="693" t="n"/>
      <c r="AR783" s="693" t="n"/>
      <c r="AS783" s="693" t="n"/>
      <c r="AT783" s="693" t="n"/>
      <c r="AU783" s="699" t="n"/>
      <c r="AV783" s="693" t="n"/>
      <c r="AW783" s="693" t="n"/>
      <c r="AX783" s="693" t="n"/>
      <c r="AY783" s="693" t="n"/>
      <c r="AZ783" s="693" t="n"/>
    </row>
    <row r="784">
      <c r="A784" s="688" t="n"/>
      <c r="B784" s="688" t="n"/>
      <c r="C784" s="473" t="n"/>
      <c r="D784" s="688" t="n"/>
      <c r="E784" s="689" t="n"/>
      <c r="F784" s="721" t="n"/>
      <c r="G7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4" s="474">
        <f>G784/#REF!</f>
        <v/>
      </c>
      <c r="I784" s="690" t="n"/>
      <c r="J7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4" s="474">
        <f>J784/#REF!</f>
        <v/>
      </c>
      <c r="L784" s="473" t="n"/>
      <c r="M784" s="692" t="n"/>
      <c r="N784" s="693" t="n"/>
      <c r="O784" s="78" t="n"/>
      <c r="P784" s="129" t="n"/>
      <c r="Q784" s="129" t="n"/>
      <c r="R784" s="129" t="n"/>
      <c r="S784" s="129" t="n"/>
      <c r="T784" s="129" t="n"/>
      <c r="U784" s="129" t="n"/>
      <c r="V784" s="129" t="n"/>
      <c r="W784" s="129" t="n"/>
      <c r="X784" s="129" t="n"/>
      <c r="Y784" s="708" t="n"/>
      <c r="Z784" s="709" t="n"/>
      <c r="AA784" s="710" t="n"/>
      <c r="AB784" s="590" t="n"/>
      <c r="AC784" s="591" t="n"/>
      <c r="AD784" s="592" t="n"/>
      <c r="AE784" s="593" t="n"/>
      <c r="AF784" s="594" t="n"/>
      <c r="AG784" s="693" t="n"/>
      <c r="AH784" s="721" t="n"/>
      <c r="AI784" s="721" t="n"/>
      <c r="AJ784" s="688" t="n"/>
      <c r="AK784" s="689" t="n"/>
      <c r="AL784" s="690" t="n"/>
      <c r="AM784" s="691" t="n"/>
      <c r="AN784" s="692" t="n"/>
      <c r="AO784" s="693" t="n"/>
      <c r="AP784" s="693" t="n"/>
      <c r="AQ784" s="693" t="n"/>
      <c r="AR784" s="693" t="n"/>
      <c r="AS784" s="693" t="n"/>
      <c r="AT784" s="693" t="n"/>
      <c r="AU784" s="699" t="n"/>
      <c r="AV784" s="693" t="n"/>
      <c r="AW784" s="693" t="n"/>
      <c r="AX784" s="693" t="n"/>
      <c r="AY784" s="693" t="n"/>
      <c r="AZ784" s="693" t="n"/>
    </row>
    <row r="785">
      <c r="A785" s="688" t="n"/>
      <c r="B785" s="688" t="n"/>
      <c r="C785" s="473" t="n"/>
      <c r="D785" s="688" t="n"/>
      <c r="E785" s="689" t="n"/>
      <c r="F785" s="721" t="n"/>
      <c r="G7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5" s="474">
        <f>G785/#REF!</f>
        <v/>
      </c>
      <c r="I785" s="690" t="n"/>
      <c r="J7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5" s="474">
        <f>J785/#REF!</f>
        <v/>
      </c>
      <c r="L785" s="473" t="n"/>
      <c r="M785" s="692" t="n"/>
      <c r="N785" s="693" t="n"/>
      <c r="O785" s="78" t="n"/>
      <c r="P785" s="129" t="n"/>
      <c r="Q785" s="129" t="n"/>
      <c r="R785" s="129" t="n"/>
      <c r="S785" s="129" t="n"/>
      <c r="T785" s="129" t="n"/>
      <c r="U785" s="129" t="n"/>
      <c r="V785" s="129" t="n"/>
      <c r="W785" s="129" t="n"/>
      <c r="X785" s="129" t="n"/>
      <c r="Y785" s="703" t="n"/>
      <c r="Z785" s="704" t="n"/>
      <c r="AA785" s="705" t="n"/>
      <c r="AB785" s="613" t="n"/>
      <c r="AC785" s="614" t="n"/>
      <c r="AD785" s="628" t="n"/>
      <c r="AE785" s="616" t="n"/>
      <c r="AF785" s="617" t="n"/>
      <c r="AG785" s="693" t="n"/>
      <c r="AH785" s="721" t="n"/>
      <c r="AI785" s="721" t="n"/>
      <c r="AJ785" s="688" t="n"/>
      <c r="AK785" s="689" t="n"/>
      <c r="AL785" s="690" t="n"/>
      <c r="AM785" s="691" t="n"/>
      <c r="AN785" s="692" t="n"/>
      <c r="AO785" s="693" t="n"/>
      <c r="AP785" s="693" t="n"/>
      <c r="AQ785" s="693" t="n"/>
      <c r="AR785" s="693" t="n"/>
      <c r="AS785" s="693" t="n"/>
      <c r="AT785" s="693" t="n"/>
      <c r="AU785" s="699" t="n"/>
      <c r="AV785" s="693" t="n"/>
      <c r="AW785" s="693" t="n"/>
      <c r="AX785" s="693" t="n"/>
      <c r="AY785" s="693" t="n"/>
      <c r="AZ785" s="693" t="n"/>
    </row>
    <row r="786">
      <c r="A786" s="688" t="n"/>
      <c r="B786" s="688" t="n"/>
      <c r="C786" s="473" t="n"/>
      <c r="D786" s="688" t="n"/>
      <c r="E786" s="689" t="n"/>
      <c r="F786" s="721" t="n"/>
      <c r="G7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6" s="474">
        <f>G786/#REF!</f>
        <v/>
      </c>
      <c r="I786" s="690" t="n"/>
      <c r="J7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6" s="474">
        <f>J786/#REF!</f>
        <v/>
      </c>
      <c r="L786" s="473" t="n"/>
      <c r="M786" s="692" t="n"/>
      <c r="N786" s="693" t="n"/>
      <c r="O786" s="78" t="n"/>
      <c r="P786" s="129" t="n"/>
      <c r="Q786" s="129" t="n"/>
      <c r="R786" s="129" t="n"/>
      <c r="S786" s="129" t="n"/>
      <c r="T786" s="129" t="n"/>
      <c r="U786" s="129" t="n"/>
      <c r="V786" s="129" t="n"/>
      <c r="W786" s="129" t="n"/>
      <c r="X786" s="129" t="n"/>
      <c r="Y786" s="708" t="n"/>
      <c r="Z786" s="709" t="n"/>
      <c r="AA786" s="710" t="n"/>
      <c r="AB786" s="590" t="n"/>
      <c r="AC786" s="591" t="n"/>
      <c r="AD786" s="592" t="n"/>
      <c r="AE786" s="593" t="n"/>
      <c r="AF786" s="594" t="n"/>
      <c r="AG786" s="693" t="n"/>
      <c r="AH786" s="721" t="n"/>
      <c r="AI786" s="721" t="n"/>
      <c r="AJ786" s="688" t="n"/>
      <c r="AK786" s="689" t="n"/>
      <c r="AL786" s="690" t="n"/>
      <c r="AM786" s="691" t="n"/>
      <c r="AN786" s="692" t="n"/>
      <c r="AO786" s="693" t="n"/>
      <c r="AP786" s="693" t="n"/>
      <c r="AQ786" s="693" t="n"/>
      <c r="AR786" s="693" t="n"/>
      <c r="AS786" s="693" t="n"/>
      <c r="AT786" s="693" t="n"/>
      <c r="AU786" s="699" t="n"/>
      <c r="AV786" s="693" t="n"/>
      <c r="AW786" s="693" t="n"/>
      <c r="AX786" s="693" t="n"/>
      <c r="AY786" s="693" t="n"/>
      <c r="AZ786" s="693" t="n"/>
    </row>
    <row r="787">
      <c r="A787" s="688" t="n"/>
      <c r="B787" s="688" t="n"/>
      <c r="C787" s="473" t="n"/>
      <c r="D787" s="688" t="n"/>
      <c r="E787" s="689" t="n"/>
      <c r="F787" s="721" t="n"/>
      <c r="G7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7" s="474">
        <f>G787/#REF!</f>
        <v/>
      </c>
      <c r="I787" s="690" t="n"/>
      <c r="J7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7" s="474">
        <f>J787/#REF!</f>
        <v/>
      </c>
      <c r="L787" s="473" t="n"/>
      <c r="M787" s="692" t="n"/>
      <c r="N787" s="693" t="n"/>
      <c r="O787" s="78" t="n"/>
      <c r="P787" s="129" t="n"/>
      <c r="Q787" s="129" t="n"/>
      <c r="R787" s="129" t="n"/>
      <c r="S787" s="129" t="n"/>
      <c r="T787" s="129" t="n"/>
      <c r="U787" s="129" t="n"/>
      <c r="V787" s="129" t="n"/>
      <c r="W787" s="129" t="n"/>
      <c r="X787" s="129" t="n"/>
      <c r="Y787" s="703" t="n"/>
      <c r="Z787" s="704" t="n"/>
      <c r="AA787" s="705" t="n"/>
      <c r="AB787" s="613" t="n"/>
      <c r="AC787" s="614" t="n"/>
      <c r="AD787" s="628" t="n"/>
      <c r="AE787" s="616" t="n"/>
      <c r="AF787" s="617" t="n"/>
      <c r="AG787" s="693" t="n"/>
      <c r="AH787" s="721" t="n"/>
      <c r="AI787" s="721" t="n"/>
      <c r="AJ787" s="688" t="n"/>
      <c r="AK787" s="689" t="n"/>
      <c r="AL787" s="690" t="n"/>
      <c r="AM787" s="691" t="n"/>
      <c r="AN787" s="692" t="n"/>
      <c r="AO787" s="693" t="n"/>
      <c r="AP787" s="693" t="n"/>
      <c r="AQ787" s="693" t="n"/>
      <c r="AR787" s="693" t="n"/>
      <c r="AS787" s="693" t="n"/>
      <c r="AT787" s="693" t="n"/>
      <c r="AU787" s="699" t="n"/>
      <c r="AV787" s="693" t="n"/>
      <c r="AW787" s="693" t="n"/>
      <c r="AX787" s="693" t="n"/>
      <c r="AY787" s="693" t="n"/>
      <c r="AZ787" s="693" t="n"/>
    </row>
    <row r="788">
      <c r="A788" s="688" t="n"/>
      <c r="B788" s="688" t="n"/>
      <c r="C788" s="473" t="n"/>
      <c r="D788" s="688" t="n"/>
      <c r="E788" s="689" t="n"/>
      <c r="F788" s="721" t="n"/>
      <c r="G7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8" s="474">
        <f>G788/#REF!</f>
        <v/>
      </c>
      <c r="I788" s="690" t="n"/>
      <c r="J7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8" s="474">
        <f>J788/#REF!</f>
        <v/>
      </c>
      <c r="L788" s="473" t="n"/>
      <c r="M788" s="692" t="n"/>
      <c r="N788" s="693" t="n"/>
      <c r="O788" s="78" t="n"/>
      <c r="P788" s="129" t="n"/>
      <c r="Q788" s="129" t="n"/>
      <c r="R788" s="129" t="n"/>
      <c r="S788" s="129" t="n"/>
      <c r="T788" s="129" t="n"/>
      <c r="U788" s="129" t="n"/>
      <c r="V788" s="129" t="n"/>
      <c r="W788" s="129" t="n"/>
      <c r="X788" s="129" t="n"/>
      <c r="Y788" s="708" t="n"/>
      <c r="Z788" s="709" t="n"/>
      <c r="AA788" s="710" t="n"/>
      <c r="AB788" s="590" t="n"/>
      <c r="AC788" s="591" t="n"/>
      <c r="AD788" s="592" t="n"/>
      <c r="AE788" s="593" t="n"/>
      <c r="AF788" s="594" t="n"/>
      <c r="AG788" s="693" t="n"/>
      <c r="AH788" s="721" t="n"/>
      <c r="AI788" s="721" t="n"/>
      <c r="AJ788" s="688" t="n"/>
      <c r="AK788" s="689" t="n"/>
      <c r="AL788" s="690" t="n"/>
      <c r="AM788" s="691" t="n"/>
      <c r="AN788" s="692" t="n"/>
      <c r="AO788" s="693" t="n"/>
      <c r="AP788" s="693" t="n"/>
      <c r="AQ788" s="693" t="n"/>
      <c r="AR788" s="693" t="n"/>
      <c r="AS788" s="693" t="n"/>
      <c r="AT788" s="693" t="n"/>
      <c r="AU788" s="699" t="n"/>
      <c r="AV788" s="693" t="n"/>
      <c r="AW788" s="693" t="n"/>
      <c r="AX788" s="693" t="n"/>
      <c r="AY788" s="693" t="n"/>
      <c r="AZ788" s="693" t="n"/>
    </row>
    <row r="789">
      <c r="A789" s="688" t="n"/>
      <c r="B789" s="688" t="n"/>
      <c r="C789" s="473" t="n"/>
      <c r="D789" s="688" t="n"/>
      <c r="E789" s="689" t="n"/>
      <c r="F789" s="721" t="n"/>
      <c r="G7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89" s="474">
        <f>G789/#REF!</f>
        <v/>
      </c>
      <c r="I789" s="690" t="n"/>
      <c r="J7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89" s="474">
        <f>J789/#REF!</f>
        <v/>
      </c>
      <c r="L789" s="473" t="n"/>
      <c r="M789" s="692" t="n"/>
      <c r="N789" s="693" t="n"/>
      <c r="O789" s="78" t="n"/>
      <c r="P789" s="129" t="n"/>
      <c r="Q789" s="129" t="n"/>
      <c r="R789" s="129" t="n"/>
      <c r="S789" s="129" t="n"/>
      <c r="T789" s="129" t="n"/>
      <c r="U789" s="129" t="n"/>
      <c r="V789" s="129" t="n"/>
      <c r="W789" s="129" t="n"/>
      <c r="X789" s="129" t="n"/>
      <c r="Y789" s="703" t="n"/>
      <c r="Z789" s="704" t="n"/>
      <c r="AA789" s="705" t="n"/>
      <c r="AB789" s="613" t="n"/>
      <c r="AC789" s="614" t="n"/>
      <c r="AD789" s="628" t="n"/>
      <c r="AE789" s="616" t="n"/>
      <c r="AF789" s="617" t="n"/>
      <c r="AG789" s="693" t="n"/>
      <c r="AH789" s="721" t="n"/>
      <c r="AI789" s="721" t="n"/>
      <c r="AJ789" s="688" t="n"/>
      <c r="AK789" s="689" t="n"/>
      <c r="AL789" s="690" t="n"/>
      <c r="AM789" s="691" t="n"/>
      <c r="AN789" s="692" t="n"/>
      <c r="AO789" s="693" t="n"/>
      <c r="AP789" s="693" t="n"/>
      <c r="AQ789" s="693" t="n"/>
      <c r="AR789" s="693" t="n"/>
      <c r="AS789" s="693" t="n"/>
      <c r="AT789" s="693" t="n"/>
      <c r="AU789" s="699" t="n"/>
      <c r="AV789" s="693" t="n"/>
      <c r="AW789" s="693" t="n"/>
      <c r="AX789" s="693" t="n"/>
      <c r="AY789" s="693" t="n"/>
      <c r="AZ789" s="693" t="n"/>
    </row>
    <row r="790">
      <c r="A790" s="688" t="n"/>
      <c r="B790" s="688" t="n"/>
      <c r="C790" s="473" t="n"/>
      <c r="D790" s="688" t="n"/>
      <c r="E790" s="689" t="n"/>
      <c r="F790" s="721" t="n"/>
      <c r="G7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0" s="474">
        <f>G790/#REF!</f>
        <v/>
      </c>
      <c r="I790" s="690" t="n"/>
      <c r="J7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0" s="474">
        <f>J790/#REF!</f>
        <v/>
      </c>
      <c r="L790" s="473" t="n"/>
      <c r="M790" s="692" t="n"/>
      <c r="N790" s="693" t="n"/>
      <c r="O790" s="78" t="n"/>
      <c r="P790" s="129" t="n"/>
      <c r="Q790" s="129" t="n"/>
      <c r="R790" s="129" t="n"/>
      <c r="S790" s="129" t="n"/>
      <c r="T790" s="129" t="n"/>
      <c r="U790" s="129" t="n"/>
      <c r="V790" s="129" t="n"/>
      <c r="W790" s="129" t="n"/>
      <c r="X790" s="129" t="n"/>
      <c r="Y790" s="708" t="n"/>
      <c r="Z790" s="709" t="n"/>
      <c r="AA790" s="710" t="n"/>
      <c r="AB790" s="590" t="n"/>
      <c r="AC790" s="591" t="n"/>
      <c r="AD790" s="592" t="n"/>
      <c r="AE790" s="593" t="n"/>
      <c r="AF790" s="594" t="n"/>
      <c r="AG790" s="693" t="n"/>
      <c r="AH790" s="721" t="n"/>
      <c r="AI790" s="721" t="n"/>
      <c r="AJ790" s="688" t="n"/>
      <c r="AK790" s="689" t="n"/>
      <c r="AL790" s="690" t="n"/>
      <c r="AM790" s="691" t="n"/>
      <c r="AN790" s="692" t="n"/>
      <c r="AO790" s="693" t="n"/>
      <c r="AP790" s="693" t="n"/>
      <c r="AQ790" s="693" t="n"/>
      <c r="AR790" s="693" t="n"/>
      <c r="AS790" s="693" t="n"/>
      <c r="AT790" s="693" t="n"/>
      <c r="AU790" s="699" t="n"/>
      <c r="AV790" s="693" t="n"/>
      <c r="AW790" s="693" t="n"/>
      <c r="AX790" s="693" t="n"/>
      <c r="AY790" s="693" t="n"/>
      <c r="AZ790" s="693" t="n"/>
    </row>
    <row r="791">
      <c r="A791" s="688" t="n"/>
      <c r="B791" s="688" t="n"/>
      <c r="C791" s="473" t="n"/>
      <c r="D791" s="688" t="n"/>
      <c r="E791" s="689" t="n"/>
      <c r="F791" s="721" t="n"/>
      <c r="G7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1" s="474">
        <f>G791/#REF!</f>
        <v/>
      </c>
      <c r="I791" s="690" t="n"/>
      <c r="J7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1" s="474">
        <f>J791/#REF!</f>
        <v/>
      </c>
      <c r="L791" s="473" t="n"/>
      <c r="M791" s="692" t="n"/>
      <c r="N791" s="693" t="n"/>
      <c r="O791" s="78" t="n"/>
      <c r="P791" s="129" t="n"/>
      <c r="Q791" s="129" t="n"/>
      <c r="R791" s="129" t="n"/>
      <c r="S791" s="129" t="n"/>
      <c r="T791" s="129" t="n"/>
      <c r="U791" s="129" t="n"/>
      <c r="V791" s="129" t="n"/>
      <c r="W791" s="129" t="n"/>
      <c r="X791" s="129" t="n"/>
      <c r="Y791" s="703" t="n"/>
      <c r="Z791" s="704" t="n"/>
      <c r="AA791" s="705" t="n"/>
      <c r="AB791" s="613" t="n"/>
      <c r="AC791" s="614" t="n"/>
      <c r="AD791" s="628" t="n"/>
      <c r="AE791" s="616" t="n"/>
      <c r="AF791" s="617" t="n"/>
      <c r="AG791" s="693" t="n"/>
      <c r="AH791" s="721" t="n"/>
      <c r="AI791" s="721" t="n"/>
      <c r="AJ791" s="688" t="n"/>
      <c r="AK791" s="689" t="n"/>
      <c r="AL791" s="690" t="n"/>
      <c r="AM791" s="691" t="n"/>
      <c r="AN791" s="692" t="n"/>
      <c r="AO791" s="693" t="n"/>
      <c r="AP791" s="693" t="n"/>
      <c r="AQ791" s="693" t="n"/>
      <c r="AR791" s="693" t="n"/>
      <c r="AS791" s="693" t="n"/>
      <c r="AT791" s="693" t="n"/>
      <c r="AU791" s="699" t="n"/>
      <c r="AV791" s="693" t="n"/>
      <c r="AW791" s="693" t="n"/>
      <c r="AX791" s="693" t="n"/>
      <c r="AY791" s="693" t="n"/>
      <c r="AZ791" s="693" t="n"/>
    </row>
    <row r="792">
      <c r="A792" s="688" t="n"/>
      <c r="B792" s="688" t="n"/>
      <c r="C792" s="473" t="n"/>
      <c r="D792" s="688" t="n"/>
      <c r="E792" s="689" t="n"/>
      <c r="F792" s="721" t="n"/>
      <c r="G7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2" s="474">
        <f>G792/#REF!</f>
        <v/>
      </c>
      <c r="I792" s="690" t="n"/>
      <c r="J7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2" s="474">
        <f>J792/#REF!</f>
        <v/>
      </c>
      <c r="L792" s="473" t="n"/>
      <c r="M792" s="692" t="n"/>
      <c r="N792" s="693" t="n"/>
      <c r="O792" s="78" t="n"/>
      <c r="P792" s="129" t="n"/>
      <c r="Q792" s="129" t="n"/>
      <c r="R792" s="129" t="n"/>
      <c r="S792" s="129" t="n"/>
      <c r="T792" s="129" t="n"/>
      <c r="U792" s="129" t="n"/>
      <c r="V792" s="129" t="n"/>
      <c r="W792" s="129" t="n"/>
      <c r="X792" s="129" t="n"/>
      <c r="Y792" s="708" t="n"/>
      <c r="Z792" s="709" t="n"/>
      <c r="AA792" s="710" t="n"/>
      <c r="AB792" s="590" t="n"/>
      <c r="AC792" s="591" t="n"/>
      <c r="AD792" s="592" t="n"/>
      <c r="AE792" s="593" t="n"/>
      <c r="AF792" s="594" t="n"/>
      <c r="AG792" s="693" t="n"/>
      <c r="AH792" s="721" t="n"/>
      <c r="AI792" s="721" t="n"/>
      <c r="AJ792" s="688" t="n"/>
      <c r="AK792" s="689" t="n"/>
      <c r="AL792" s="690" t="n"/>
      <c r="AM792" s="691" t="n"/>
      <c r="AN792" s="692" t="n"/>
      <c r="AO792" s="693" t="n"/>
      <c r="AP792" s="693" t="n"/>
      <c r="AQ792" s="693" t="n"/>
      <c r="AR792" s="693" t="n"/>
      <c r="AS792" s="693" t="n"/>
      <c r="AT792" s="693" t="n"/>
      <c r="AU792" s="699" t="n"/>
      <c r="AV792" s="693" t="n"/>
      <c r="AW792" s="693" t="n"/>
      <c r="AX792" s="693" t="n"/>
      <c r="AY792" s="693" t="n"/>
      <c r="AZ792" s="693" t="n"/>
    </row>
    <row r="793">
      <c r="A793" s="688" t="n"/>
      <c r="B793" s="688" t="n"/>
      <c r="C793" s="473" t="n"/>
      <c r="D793" s="688" t="n"/>
      <c r="E793" s="689" t="n"/>
      <c r="F793" s="721" t="n"/>
      <c r="G7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3" s="474">
        <f>G793/#REF!</f>
        <v/>
      </c>
      <c r="I793" s="690" t="n"/>
      <c r="J7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3" s="474">
        <f>J793/#REF!</f>
        <v/>
      </c>
      <c r="L793" s="473" t="n"/>
      <c r="M793" s="692" t="n"/>
      <c r="N793" s="693" t="n"/>
      <c r="O793" s="78" t="n"/>
      <c r="P793" s="129" t="n"/>
      <c r="Q793" s="129" t="n"/>
      <c r="R793" s="129" t="n"/>
      <c r="S793" s="129" t="n"/>
      <c r="T793" s="129" t="n"/>
      <c r="U793" s="129" t="n"/>
      <c r="V793" s="129" t="n"/>
      <c r="W793" s="129" t="n"/>
      <c r="X793" s="129" t="n"/>
      <c r="Y793" s="703" t="n"/>
      <c r="Z793" s="704" t="n"/>
      <c r="AA793" s="705" t="n"/>
      <c r="AB793" s="613" t="n"/>
      <c r="AC793" s="614" t="n"/>
      <c r="AD793" s="628" t="n"/>
      <c r="AE793" s="616" t="n"/>
      <c r="AF793" s="617" t="n"/>
      <c r="AG793" s="693" t="n"/>
      <c r="AH793" s="721" t="n"/>
      <c r="AI793" s="721" t="n"/>
      <c r="AJ793" s="688" t="n"/>
      <c r="AK793" s="689" t="n"/>
      <c r="AL793" s="690" t="n"/>
      <c r="AM793" s="691" t="n"/>
      <c r="AN793" s="692" t="n"/>
      <c r="AO793" s="693" t="n"/>
      <c r="AP793" s="693" t="n"/>
      <c r="AQ793" s="693" t="n"/>
      <c r="AR793" s="693" t="n"/>
      <c r="AS793" s="693" t="n"/>
      <c r="AT793" s="693" t="n"/>
      <c r="AU793" s="699" t="n"/>
      <c r="AV793" s="693" t="n"/>
      <c r="AW793" s="693" t="n"/>
      <c r="AX793" s="693" t="n"/>
      <c r="AY793" s="693" t="n"/>
      <c r="AZ793" s="693" t="n"/>
    </row>
    <row r="794">
      <c r="A794" s="688" t="n"/>
      <c r="B794" s="688" t="n"/>
      <c r="C794" s="473" t="n"/>
      <c r="D794" s="688" t="n"/>
      <c r="E794" s="689" t="n"/>
      <c r="F794" s="721" t="n"/>
      <c r="G7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4" s="474">
        <f>G794/#REF!</f>
        <v/>
      </c>
      <c r="I794" s="690" t="n"/>
      <c r="J7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4" s="474">
        <f>J794/#REF!</f>
        <v/>
      </c>
      <c r="L794" s="473" t="n"/>
      <c r="M794" s="692" t="n"/>
      <c r="N794" s="693" t="n"/>
      <c r="O794" s="78" t="n"/>
      <c r="P794" s="129" t="n"/>
      <c r="Q794" s="129" t="n"/>
      <c r="R794" s="129" t="n"/>
      <c r="S794" s="129" t="n"/>
      <c r="T794" s="129" t="n"/>
      <c r="U794" s="129" t="n"/>
      <c r="V794" s="129" t="n"/>
      <c r="W794" s="129" t="n"/>
      <c r="X794" s="129" t="n"/>
      <c r="Y794" s="708" t="n"/>
      <c r="Z794" s="709" t="n"/>
      <c r="AA794" s="710" t="n"/>
      <c r="AB794" s="590" t="n"/>
      <c r="AC794" s="591" t="n"/>
      <c r="AD794" s="592" t="n"/>
      <c r="AE794" s="593" t="n"/>
      <c r="AF794" s="594" t="n"/>
      <c r="AG794" s="693" t="n"/>
      <c r="AH794" s="721" t="n"/>
      <c r="AI794" s="721" t="n"/>
      <c r="AJ794" s="688" t="n"/>
      <c r="AK794" s="689" t="n"/>
      <c r="AL794" s="690" t="n"/>
      <c r="AM794" s="691" t="n"/>
      <c r="AN794" s="692" t="n"/>
      <c r="AO794" s="693" t="n"/>
      <c r="AP794" s="693" t="n"/>
      <c r="AQ794" s="693" t="n"/>
      <c r="AR794" s="693" t="n"/>
      <c r="AS794" s="693" t="n"/>
      <c r="AT794" s="693" t="n"/>
      <c r="AU794" s="699" t="n"/>
      <c r="AV794" s="693" t="n"/>
      <c r="AW794" s="693" t="n"/>
      <c r="AX794" s="693" t="n"/>
      <c r="AY794" s="693" t="n"/>
      <c r="AZ794" s="693" t="n"/>
    </row>
    <row r="795">
      <c r="A795" s="688" t="n"/>
      <c r="B795" s="688" t="n"/>
      <c r="C795" s="473" t="n"/>
      <c r="D795" s="688" t="n"/>
      <c r="E795" s="689" t="n"/>
      <c r="F795" s="721" t="n"/>
      <c r="G7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5" s="474">
        <f>G795/#REF!</f>
        <v/>
      </c>
      <c r="I795" s="690" t="n"/>
      <c r="J7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5" s="474">
        <f>J795/#REF!</f>
        <v/>
      </c>
      <c r="L795" s="473" t="n"/>
      <c r="M795" s="692" t="n"/>
      <c r="N795" s="693" t="n"/>
      <c r="O795" s="78" t="n"/>
      <c r="P795" s="129" t="n"/>
      <c r="Q795" s="129" t="n"/>
      <c r="R795" s="129" t="n"/>
      <c r="S795" s="129" t="n"/>
      <c r="T795" s="129" t="n"/>
      <c r="U795" s="129" t="n"/>
      <c r="V795" s="129" t="n"/>
      <c r="W795" s="129" t="n"/>
      <c r="X795" s="129" t="n"/>
      <c r="Y795" s="703" t="n"/>
      <c r="Z795" s="704" t="n"/>
      <c r="AA795" s="705" t="n"/>
      <c r="AB795" s="613" t="n"/>
      <c r="AC795" s="614" t="n"/>
      <c r="AD795" s="628" t="n"/>
      <c r="AE795" s="616" t="n"/>
      <c r="AF795" s="617" t="n"/>
      <c r="AG795" s="693" t="n"/>
      <c r="AH795" s="721" t="n"/>
      <c r="AI795" s="721" t="n"/>
      <c r="AJ795" s="688" t="n"/>
      <c r="AK795" s="689" t="n"/>
      <c r="AL795" s="690" t="n"/>
      <c r="AM795" s="691" t="n"/>
      <c r="AN795" s="692" t="n"/>
      <c r="AO795" s="693" t="n"/>
      <c r="AP795" s="693" t="n"/>
      <c r="AQ795" s="693" t="n"/>
      <c r="AR795" s="693" t="n"/>
      <c r="AS795" s="693" t="n"/>
      <c r="AT795" s="693" t="n"/>
      <c r="AU795" s="699" t="n"/>
      <c r="AV795" s="693" t="n"/>
      <c r="AW795" s="693" t="n"/>
      <c r="AX795" s="693" t="n"/>
      <c r="AY795" s="693" t="n"/>
      <c r="AZ795" s="693" t="n"/>
    </row>
    <row r="796">
      <c r="A796" s="688" t="n"/>
      <c r="B796" s="688" t="n"/>
      <c r="C796" s="473" t="n"/>
      <c r="D796" s="688" t="n"/>
      <c r="E796" s="689" t="n"/>
      <c r="F796" s="721" t="n"/>
      <c r="G7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6" s="474">
        <f>G796/#REF!</f>
        <v/>
      </c>
      <c r="I796" s="690" t="n"/>
      <c r="J7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6" s="474">
        <f>J796/#REF!</f>
        <v/>
      </c>
      <c r="L796" s="473" t="n"/>
      <c r="M796" s="692" t="n"/>
      <c r="N796" s="693" t="n"/>
      <c r="O796" s="78" t="n"/>
      <c r="P796" s="129" t="n"/>
      <c r="Q796" s="129" t="n"/>
      <c r="R796" s="129" t="n"/>
      <c r="S796" s="129" t="n"/>
      <c r="T796" s="129" t="n"/>
      <c r="U796" s="129" t="n"/>
      <c r="V796" s="129" t="n"/>
      <c r="W796" s="129" t="n"/>
      <c r="X796" s="129" t="n"/>
      <c r="Y796" s="708" t="n"/>
      <c r="Z796" s="709" t="n"/>
      <c r="AA796" s="710" t="n"/>
      <c r="AB796" s="590" t="n"/>
      <c r="AC796" s="591" t="n"/>
      <c r="AD796" s="592" t="n"/>
      <c r="AE796" s="593" t="n"/>
      <c r="AF796" s="594" t="n"/>
      <c r="AG796" s="693" t="n"/>
      <c r="AH796" s="721" t="n"/>
      <c r="AI796" s="721" t="n"/>
      <c r="AJ796" s="688" t="n"/>
      <c r="AK796" s="689" t="n"/>
      <c r="AL796" s="690" t="n"/>
      <c r="AM796" s="691" t="n"/>
      <c r="AN796" s="692" t="n"/>
      <c r="AO796" s="693" t="n"/>
      <c r="AP796" s="693" t="n"/>
      <c r="AQ796" s="693" t="n"/>
      <c r="AR796" s="693" t="n"/>
      <c r="AS796" s="693" t="n"/>
      <c r="AT796" s="693" t="n"/>
      <c r="AU796" s="699" t="n"/>
      <c r="AV796" s="693" t="n"/>
      <c r="AW796" s="693" t="n"/>
      <c r="AX796" s="693" t="n"/>
      <c r="AY796" s="693" t="n"/>
      <c r="AZ796" s="693" t="n"/>
    </row>
    <row r="797">
      <c r="A797" s="688" t="n"/>
      <c r="B797" s="688" t="n"/>
      <c r="C797" s="473" t="n"/>
      <c r="D797" s="688" t="n"/>
      <c r="E797" s="689" t="n"/>
      <c r="F797" s="721" t="n"/>
      <c r="G7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7" s="474">
        <f>G797/#REF!</f>
        <v/>
      </c>
      <c r="I797" s="690" t="n"/>
      <c r="J7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7" s="474">
        <f>J797/#REF!</f>
        <v/>
      </c>
      <c r="L797" s="473" t="n"/>
      <c r="M797" s="692" t="n"/>
      <c r="N797" s="693" t="n"/>
      <c r="O797" s="78" t="n"/>
      <c r="P797" s="129" t="n"/>
      <c r="Q797" s="129" t="n"/>
      <c r="R797" s="129" t="n"/>
      <c r="S797" s="129" t="n"/>
      <c r="T797" s="129" t="n"/>
      <c r="U797" s="129" t="n"/>
      <c r="V797" s="129" t="n"/>
      <c r="W797" s="129" t="n"/>
      <c r="X797" s="129" t="n"/>
      <c r="Y797" s="703" t="n"/>
      <c r="Z797" s="704" t="n"/>
      <c r="AA797" s="705" t="n"/>
      <c r="AB797" s="613" t="n"/>
      <c r="AC797" s="614" t="n"/>
      <c r="AD797" s="628" t="n"/>
      <c r="AE797" s="616" t="n"/>
      <c r="AF797" s="617" t="n"/>
      <c r="AG797" s="693" t="n"/>
      <c r="AH797" s="721" t="n"/>
      <c r="AI797" s="721" t="n"/>
      <c r="AJ797" s="688" t="n"/>
      <c r="AK797" s="689" t="n"/>
      <c r="AL797" s="690" t="n"/>
      <c r="AM797" s="691" t="n"/>
      <c r="AN797" s="692" t="n"/>
      <c r="AO797" s="693" t="n"/>
      <c r="AP797" s="693" t="n"/>
      <c r="AQ797" s="693" t="n"/>
      <c r="AR797" s="693" t="n"/>
      <c r="AS797" s="693" t="n"/>
      <c r="AT797" s="693" t="n"/>
      <c r="AU797" s="699" t="n"/>
      <c r="AV797" s="693" t="n"/>
      <c r="AW797" s="693" t="n"/>
      <c r="AX797" s="693" t="n"/>
      <c r="AY797" s="693" t="n"/>
      <c r="AZ797" s="693" t="n"/>
    </row>
    <row r="798">
      <c r="A798" s="688" t="n"/>
      <c r="B798" s="688" t="n"/>
      <c r="C798" s="473" t="n"/>
      <c r="D798" s="688" t="n"/>
      <c r="E798" s="689" t="n"/>
      <c r="F798" s="721" t="n"/>
      <c r="G7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8" s="474">
        <f>G798/#REF!</f>
        <v/>
      </c>
      <c r="I798" s="690" t="n"/>
      <c r="J7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8" s="474">
        <f>J798/#REF!</f>
        <v/>
      </c>
      <c r="L798" s="473" t="n"/>
      <c r="M798" s="692" t="n"/>
      <c r="N798" s="693" t="n"/>
      <c r="O798" s="78" t="n"/>
      <c r="P798" s="129" t="n"/>
      <c r="Q798" s="129" t="n"/>
      <c r="R798" s="129" t="n"/>
      <c r="S798" s="129" t="n"/>
      <c r="T798" s="129" t="n"/>
      <c r="U798" s="129" t="n"/>
      <c r="V798" s="129" t="n"/>
      <c r="W798" s="129" t="n"/>
      <c r="X798" s="129" t="n"/>
      <c r="Y798" s="708" t="n"/>
      <c r="Z798" s="709" t="n"/>
      <c r="AA798" s="710" t="n"/>
      <c r="AB798" s="590" t="n"/>
      <c r="AC798" s="591" t="n"/>
      <c r="AD798" s="592" t="n"/>
      <c r="AE798" s="593" t="n"/>
      <c r="AF798" s="594" t="n"/>
      <c r="AG798" s="693" t="n"/>
      <c r="AH798" s="721" t="n"/>
      <c r="AI798" s="721" t="n"/>
      <c r="AJ798" s="688" t="n"/>
      <c r="AK798" s="689" t="n"/>
      <c r="AL798" s="690" t="n"/>
      <c r="AM798" s="691" t="n"/>
      <c r="AN798" s="692" t="n"/>
      <c r="AO798" s="693" t="n"/>
      <c r="AP798" s="693" t="n"/>
      <c r="AQ798" s="693" t="n"/>
      <c r="AR798" s="693" t="n"/>
      <c r="AS798" s="693" t="n"/>
      <c r="AT798" s="693" t="n"/>
      <c r="AU798" s="699" t="n"/>
      <c r="AV798" s="693" t="n"/>
      <c r="AW798" s="693" t="n"/>
      <c r="AX798" s="693" t="n"/>
      <c r="AY798" s="693" t="n"/>
      <c r="AZ798" s="693" t="n"/>
    </row>
    <row r="799">
      <c r="A799" s="688" t="n"/>
      <c r="B799" s="688" t="n"/>
      <c r="C799" s="473" t="n"/>
      <c r="D799" s="688" t="n"/>
      <c r="E799" s="689" t="n"/>
      <c r="F799" s="721" t="n"/>
      <c r="G7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799" s="474">
        <f>G799/#REF!</f>
        <v/>
      </c>
      <c r="I799" s="690" t="n"/>
      <c r="J7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799" s="474">
        <f>J799/#REF!</f>
        <v/>
      </c>
      <c r="L799" s="473" t="n"/>
      <c r="M799" s="692" t="n"/>
      <c r="N799" s="693" t="n"/>
      <c r="O799" s="78" t="n"/>
      <c r="P799" s="129" t="n"/>
      <c r="Q799" s="129" t="n"/>
      <c r="R799" s="129" t="n"/>
      <c r="S799" s="129" t="n"/>
      <c r="T799" s="129" t="n"/>
      <c r="U799" s="129" t="n"/>
      <c r="V799" s="129" t="n"/>
      <c r="W799" s="129" t="n"/>
      <c r="X799" s="129" t="n"/>
      <c r="Y799" s="703" t="n"/>
      <c r="Z799" s="704" t="n"/>
      <c r="AA799" s="705" t="n"/>
      <c r="AB799" s="613" t="n"/>
      <c r="AC799" s="614" t="n"/>
      <c r="AD799" s="628" t="n"/>
      <c r="AE799" s="616" t="n"/>
      <c r="AF799" s="617" t="n"/>
      <c r="AG799" s="693" t="n"/>
      <c r="AH799" s="721" t="n"/>
      <c r="AI799" s="721" t="n"/>
      <c r="AJ799" s="688" t="n"/>
      <c r="AK799" s="689" t="n"/>
      <c r="AL799" s="690" t="n"/>
      <c r="AM799" s="691" t="n"/>
      <c r="AN799" s="692" t="n"/>
      <c r="AO799" s="693" t="n"/>
      <c r="AP799" s="693" t="n"/>
      <c r="AQ799" s="693" t="n"/>
      <c r="AR799" s="693" t="n"/>
      <c r="AS799" s="693" t="n"/>
      <c r="AT799" s="693" t="n"/>
      <c r="AU799" s="699" t="n"/>
      <c r="AV799" s="693" t="n"/>
      <c r="AW799" s="693" t="n"/>
      <c r="AX799" s="693" t="n"/>
      <c r="AY799" s="693" t="n"/>
      <c r="AZ799" s="693" t="n"/>
    </row>
    <row r="800">
      <c r="A800" s="688" t="n"/>
      <c r="B800" s="688" t="n"/>
      <c r="C800" s="473" t="n"/>
      <c r="D800" s="688" t="n"/>
      <c r="E800" s="689" t="n"/>
      <c r="F800" s="721" t="n"/>
      <c r="G8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0" s="474">
        <f>G800/#REF!</f>
        <v/>
      </c>
      <c r="I800" s="690" t="n"/>
      <c r="J8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0" s="474">
        <f>J800/#REF!</f>
        <v/>
      </c>
      <c r="L800" s="473" t="n"/>
      <c r="M800" s="692" t="n"/>
      <c r="N800" s="693" t="n"/>
      <c r="O800" s="78" t="n"/>
      <c r="P800" s="129" t="n"/>
      <c r="Q800" s="129" t="n"/>
      <c r="R800" s="129" t="n"/>
      <c r="S800" s="129" t="n"/>
      <c r="T800" s="129" t="n"/>
      <c r="U800" s="129" t="n"/>
      <c r="V800" s="129" t="n"/>
      <c r="W800" s="129" t="n"/>
      <c r="X800" s="129" t="n"/>
      <c r="Y800" s="708" t="n"/>
      <c r="Z800" s="709" t="n"/>
      <c r="AA800" s="710" t="n"/>
      <c r="AB800" s="590" t="n"/>
      <c r="AC800" s="591" t="n"/>
      <c r="AD800" s="592" t="n"/>
      <c r="AE800" s="593" t="n"/>
      <c r="AF800" s="594" t="n"/>
      <c r="AG800" s="693" t="n"/>
      <c r="AH800" s="721" t="n"/>
      <c r="AI800" s="721" t="n"/>
      <c r="AJ800" s="688" t="n"/>
      <c r="AK800" s="689" t="n"/>
      <c r="AL800" s="690" t="n"/>
      <c r="AM800" s="691" t="n"/>
      <c r="AN800" s="692" t="n"/>
      <c r="AO800" s="693" t="n"/>
      <c r="AP800" s="693" t="n"/>
      <c r="AQ800" s="693" t="n"/>
      <c r="AR800" s="693" t="n"/>
      <c r="AS800" s="693" t="n"/>
      <c r="AT800" s="693" t="n"/>
      <c r="AU800" s="699" t="n"/>
      <c r="AV800" s="693" t="n"/>
      <c r="AW800" s="693" t="n"/>
      <c r="AX800" s="693" t="n"/>
      <c r="AY800" s="693" t="n"/>
      <c r="AZ800" s="693" t="n"/>
    </row>
    <row r="801">
      <c r="A801" s="688" t="n"/>
      <c r="B801" s="688" t="n"/>
      <c r="C801" s="473" t="n"/>
      <c r="D801" s="688" t="n"/>
      <c r="E801" s="689" t="n"/>
      <c r="F801" s="721" t="n"/>
      <c r="G8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1" s="474">
        <f>G801/#REF!</f>
        <v/>
      </c>
      <c r="I801" s="690" t="n"/>
      <c r="J8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1" s="474">
        <f>J801/#REF!</f>
        <v/>
      </c>
      <c r="L801" s="473" t="n"/>
      <c r="M801" s="692" t="n"/>
      <c r="N801" s="693" t="n"/>
      <c r="O801" s="78" t="n"/>
      <c r="P801" s="129" t="n"/>
      <c r="Q801" s="129" t="n"/>
      <c r="R801" s="129" t="n"/>
      <c r="S801" s="129" t="n"/>
      <c r="T801" s="129" t="n"/>
      <c r="U801" s="129" t="n"/>
      <c r="V801" s="129" t="n"/>
      <c r="W801" s="129" t="n"/>
      <c r="X801" s="129" t="n"/>
      <c r="Y801" s="703" t="n"/>
      <c r="Z801" s="704" t="n"/>
      <c r="AA801" s="705" t="n"/>
      <c r="AB801" s="613" t="n"/>
      <c r="AC801" s="614" t="n"/>
      <c r="AD801" s="628" t="n"/>
      <c r="AE801" s="616" t="n"/>
      <c r="AF801" s="617" t="n"/>
      <c r="AG801" s="693" t="n"/>
      <c r="AH801" s="721" t="n"/>
      <c r="AI801" s="721" t="n"/>
      <c r="AJ801" s="688" t="n"/>
      <c r="AK801" s="689" t="n"/>
      <c r="AL801" s="690" t="n"/>
      <c r="AM801" s="691" t="n"/>
      <c r="AN801" s="692" t="n"/>
      <c r="AO801" s="693" t="n"/>
      <c r="AP801" s="693" t="n"/>
      <c r="AQ801" s="693" t="n"/>
      <c r="AR801" s="693" t="n"/>
      <c r="AS801" s="693" t="n"/>
      <c r="AT801" s="693" t="n"/>
      <c r="AU801" s="699" t="n"/>
      <c r="AV801" s="693" t="n"/>
      <c r="AW801" s="693" t="n"/>
      <c r="AX801" s="693" t="n"/>
      <c r="AY801" s="693" t="n"/>
      <c r="AZ801" s="693" t="n"/>
    </row>
    <row r="802">
      <c r="A802" s="688" t="n"/>
      <c r="B802" s="688" t="n"/>
      <c r="C802" s="473" t="n"/>
      <c r="D802" s="688" t="n"/>
      <c r="E802" s="689" t="n"/>
      <c r="F802" s="721" t="n"/>
      <c r="G8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2" s="474">
        <f>G802/#REF!</f>
        <v/>
      </c>
      <c r="I802" s="690" t="n"/>
      <c r="J8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2" s="474">
        <f>J802/#REF!</f>
        <v/>
      </c>
      <c r="L802" s="473" t="n"/>
      <c r="M802" s="692" t="n"/>
      <c r="N802" s="693" t="n"/>
      <c r="O802" s="78" t="n"/>
      <c r="P802" s="129" t="n"/>
      <c r="Q802" s="129" t="n"/>
      <c r="R802" s="129" t="n"/>
      <c r="S802" s="129" t="n"/>
      <c r="T802" s="129" t="n"/>
      <c r="U802" s="129" t="n"/>
      <c r="V802" s="129" t="n"/>
      <c r="W802" s="129" t="n"/>
      <c r="X802" s="129" t="n"/>
      <c r="Y802" s="708" t="n"/>
      <c r="Z802" s="709" t="n"/>
      <c r="AA802" s="710" t="n"/>
      <c r="AB802" s="590" t="n"/>
      <c r="AC802" s="591" t="n"/>
      <c r="AD802" s="592" t="n"/>
      <c r="AE802" s="593" t="n"/>
      <c r="AF802" s="594" t="n"/>
      <c r="AG802" s="693" t="n"/>
      <c r="AH802" s="721" t="n"/>
      <c r="AI802" s="721" t="n"/>
      <c r="AJ802" s="688" t="n"/>
      <c r="AK802" s="689" t="n"/>
      <c r="AL802" s="690" t="n"/>
      <c r="AM802" s="691" t="n"/>
      <c r="AN802" s="692" t="n"/>
      <c r="AO802" s="693" t="n"/>
      <c r="AP802" s="693" t="n"/>
      <c r="AQ802" s="693" t="n"/>
      <c r="AR802" s="693" t="n"/>
      <c r="AS802" s="693" t="n"/>
      <c r="AT802" s="693" t="n"/>
      <c r="AU802" s="699" t="n"/>
      <c r="AV802" s="693" t="n"/>
      <c r="AW802" s="693" t="n"/>
      <c r="AX802" s="693" t="n"/>
      <c r="AY802" s="693" t="n"/>
      <c r="AZ802" s="693" t="n"/>
    </row>
    <row r="803">
      <c r="A803" s="688" t="n"/>
      <c r="B803" s="688" t="n"/>
      <c r="C803" s="473" t="n"/>
      <c r="D803" s="688" t="n"/>
      <c r="E803" s="689" t="n"/>
      <c r="F803" s="721" t="n"/>
      <c r="G8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3" s="474">
        <f>G803/#REF!</f>
        <v/>
      </c>
      <c r="I803" s="690" t="n"/>
      <c r="J8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3" s="474">
        <f>J803/#REF!</f>
        <v/>
      </c>
      <c r="L803" s="473" t="n"/>
      <c r="M803" s="692" t="n"/>
      <c r="N803" s="693" t="n"/>
      <c r="O803" s="78" t="n"/>
      <c r="P803" s="129" t="n"/>
      <c r="Q803" s="129" t="n"/>
      <c r="R803" s="129" t="n"/>
      <c r="S803" s="129" t="n"/>
      <c r="T803" s="129" t="n"/>
      <c r="U803" s="129" t="n"/>
      <c r="V803" s="129" t="n"/>
      <c r="W803" s="129" t="n"/>
      <c r="X803" s="129" t="n"/>
      <c r="Y803" s="703" t="n"/>
      <c r="Z803" s="704" t="n"/>
      <c r="AA803" s="705" t="n"/>
      <c r="AB803" s="613" t="n"/>
      <c r="AC803" s="614" t="n"/>
      <c r="AD803" s="628" t="n"/>
      <c r="AE803" s="616" t="n"/>
      <c r="AF803" s="617" t="n"/>
      <c r="AG803" s="693" t="n"/>
      <c r="AH803" s="721" t="n"/>
      <c r="AI803" s="721" t="n"/>
      <c r="AJ803" s="688" t="n"/>
      <c r="AK803" s="689" t="n"/>
      <c r="AL803" s="690" t="n"/>
      <c r="AM803" s="691" t="n"/>
      <c r="AN803" s="692" t="n"/>
      <c r="AO803" s="693" t="n"/>
      <c r="AP803" s="693" t="n"/>
      <c r="AQ803" s="693" t="n"/>
      <c r="AR803" s="693" t="n"/>
      <c r="AS803" s="693" t="n"/>
      <c r="AT803" s="693" t="n"/>
      <c r="AU803" s="699" t="n"/>
      <c r="AV803" s="693" t="n"/>
      <c r="AW803" s="693" t="n"/>
      <c r="AX803" s="693" t="n"/>
      <c r="AY803" s="693" t="n"/>
      <c r="AZ803" s="693" t="n"/>
    </row>
    <row r="804">
      <c r="A804" s="688" t="n"/>
      <c r="B804" s="688" t="n"/>
      <c r="C804" s="473" t="n"/>
      <c r="D804" s="688" t="n"/>
      <c r="E804" s="689" t="n"/>
      <c r="F804" s="721" t="n"/>
      <c r="G8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4" s="474">
        <f>G804/#REF!</f>
        <v/>
      </c>
      <c r="I804" s="690" t="n"/>
      <c r="J8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4" s="474">
        <f>J804/#REF!</f>
        <v/>
      </c>
      <c r="L804" s="473" t="n"/>
      <c r="M804" s="692" t="n"/>
      <c r="N804" s="693" t="n"/>
      <c r="O804" s="78" t="n"/>
      <c r="P804" s="129" t="n"/>
      <c r="Q804" s="129" t="n"/>
      <c r="R804" s="129" t="n"/>
      <c r="S804" s="129" t="n"/>
      <c r="T804" s="129" t="n"/>
      <c r="U804" s="129" t="n"/>
      <c r="V804" s="129" t="n"/>
      <c r="W804" s="129" t="n"/>
      <c r="X804" s="129" t="n"/>
      <c r="Y804" s="708" t="n"/>
      <c r="Z804" s="709" t="n"/>
      <c r="AA804" s="710" t="n"/>
      <c r="AB804" s="590" t="n"/>
      <c r="AC804" s="591" t="n"/>
      <c r="AD804" s="592" t="n"/>
      <c r="AE804" s="593" t="n"/>
      <c r="AF804" s="594" t="n"/>
      <c r="AG804" s="693" t="n"/>
      <c r="AH804" s="721" t="n"/>
      <c r="AI804" s="721" t="n"/>
      <c r="AJ804" s="688" t="n"/>
      <c r="AK804" s="689" t="n"/>
      <c r="AL804" s="690" t="n"/>
      <c r="AM804" s="691" t="n"/>
      <c r="AN804" s="692" t="n"/>
      <c r="AO804" s="693" t="n"/>
      <c r="AP804" s="693" t="n"/>
      <c r="AQ804" s="693" t="n"/>
      <c r="AR804" s="693" t="n"/>
      <c r="AS804" s="693" t="n"/>
      <c r="AT804" s="693" t="n"/>
      <c r="AU804" s="699" t="n"/>
      <c r="AV804" s="693" t="n"/>
      <c r="AW804" s="693" t="n"/>
      <c r="AX804" s="693" t="n"/>
      <c r="AY804" s="693" t="n"/>
      <c r="AZ804" s="693" t="n"/>
    </row>
    <row r="805">
      <c r="A805" s="688" t="n"/>
      <c r="B805" s="688" t="n"/>
      <c r="C805" s="473" t="n"/>
      <c r="D805" s="688" t="n"/>
      <c r="E805" s="689" t="n"/>
      <c r="F805" s="721" t="n"/>
      <c r="G8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5" s="474">
        <f>G805/#REF!</f>
        <v/>
      </c>
      <c r="I805" s="690" t="n"/>
      <c r="J8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5" s="474">
        <f>J805/#REF!</f>
        <v/>
      </c>
      <c r="L805" s="473" t="n"/>
      <c r="M805" s="692" t="n"/>
      <c r="N805" s="693" t="n"/>
      <c r="O805" s="78" t="n"/>
      <c r="P805" s="129" t="n"/>
      <c r="Q805" s="129" t="n"/>
      <c r="R805" s="129" t="n"/>
      <c r="S805" s="129" t="n"/>
      <c r="T805" s="129" t="n"/>
      <c r="U805" s="129" t="n"/>
      <c r="V805" s="129" t="n"/>
      <c r="W805" s="129" t="n"/>
      <c r="X805" s="129" t="n"/>
      <c r="Y805" s="703" t="n"/>
      <c r="Z805" s="704" t="n"/>
      <c r="AA805" s="705" t="n"/>
      <c r="AB805" s="613" t="n"/>
      <c r="AC805" s="614" t="n"/>
      <c r="AD805" s="628" t="n"/>
      <c r="AE805" s="616" t="n"/>
      <c r="AF805" s="617" t="n"/>
      <c r="AG805" s="693" t="n"/>
      <c r="AH805" s="721" t="n"/>
      <c r="AI805" s="721" t="n"/>
      <c r="AJ805" s="688" t="n"/>
      <c r="AK805" s="689" t="n"/>
      <c r="AL805" s="690" t="n"/>
      <c r="AM805" s="691" t="n"/>
      <c r="AN805" s="692" t="n"/>
      <c r="AO805" s="693" t="n"/>
      <c r="AP805" s="693" t="n"/>
      <c r="AQ805" s="693" t="n"/>
      <c r="AR805" s="693" t="n"/>
      <c r="AS805" s="693" t="n"/>
      <c r="AT805" s="693" t="n"/>
      <c r="AU805" s="699" t="n"/>
      <c r="AV805" s="693" t="n"/>
      <c r="AW805" s="693" t="n"/>
      <c r="AX805" s="693" t="n"/>
      <c r="AY805" s="693" t="n"/>
      <c r="AZ805" s="693" t="n"/>
    </row>
    <row r="806">
      <c r="A806" s="688" t="n"/>
      <c r="B806" s="688" t="n"/>
      <c r="C806" s="473" t="n"/>
      <c r="D806" s="688" t="n"/>
      <c r="E806" s="689" t="n"/>
      <c r="F806" s="721" t="n"/>
      <c r="G8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6" s="474">
        <f>G806/#REF!</f>
        <v/>
      </c>
      <c r="I806" s="690" t="n"/>
      <c r="J8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6" s="474">
        <f>J806/#REF!</f>
        <v/>
      </c>
      <c r="L806" s="473" t="n"/>
      <c r="M806" s="692" t="n"/>
      <c r="N806" s="693" t="n"/>
      <c r="O806" s="78" t="n"/>
      <c r="P806" s="129" t="n"/>
      <c r="Q806" s="129" t="n"/>
      <c r="R806" s="129" t="n"/>
      <c r="S806" s="129" t="n"/>
      <c r="T806" s="129" t="n"/>
      <c r="U806" s="129" t="n"/>
      <c r="V806" s="129" t="n"/>
      <c r="W806" s="129" t="n"/>
      <c r="X806" s="129" t="n"/>
      <c r="Y806" s="708" t="n"/>
      <c r="Z806" s="709" t="n"/>
      <c r="AA806" s="710" t="n"/>
      <c r="AB806" s="590" t="n"/>
      <c r="AC806" s="591" t="n"/>
      <c r="AD806" s="592" t="n"/>
      <c r="AE806" s="593" t="n"/>
      <c r="AF806" s="594" t="n"/>
      <c r="AG806" s="693" t="n"/>
      <c r="AH806" s="721" t="n"/>
      <c r="AI806" s="721" t="n"/>
      <c r="AJ806" s="688" t="n"/>
      <c r="AK806" s="689" t="n"/>
      <c r="AL806" s="690" t="n"/>
      <c r="AM806" s="691" t="n"/>
      <c r="AN806" s="692" t="n"/>
      <c r="AO806" s="693" t="n"/>
      <c r="AP806" s="693" t="n"/>
      <c r="AQ806" s="693" t="n"/>
      <c r="AR806" s="693" t="n"/>
      <c r="AS806" s="693" t="n"/>
      <c r="AT806" s="693" t="n"/>
      <c r="AU806" s="699" t="n"/>
      <c r="AV806" s="693" t="n"/>
      <c r="AW806" s="693" t="n"/>
      <c r="AX806" s="693" t="n"/>
      <c r="AY806" s="693" t="n"/>
      <c r="AZ806" s="693" t="n"/>
    </row>
    <row r="807">
      <c r="A807" s="688" t="n"/>
      <c r="B807" s="688" t="n"/>
      <c r="C807" s="473" t="n"/>
      <c r="D807" s="688" t="n"/>
      <c r="E807" s="689" t="n"/>
      <c r="F807" s="721" t="n"/>
      <c r="G8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7" s="474">
        <f>G807/#REF!</f>
        <v/>
      </c>
      <c r="I807" s="690" t="n"/>
      <c r="J8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7" s="474">
        <f>J807/#REF!</f>
        <v/>
      </c>
      <c r="L807" s="473" t="n"/>
      <c r="M807" s="692" t="n"/>
      <c r="N807" s="693" t="n"/>
      <c r="O807" s="78" t="n"/>
      <c r="P807" s="129" t="n"/>
      <c r="Q807" s="129" t="n"/>
      <c r="R807" s="129" t="n"/>
      <c r="S807" s="129" t="n"/>
      <c r="T807" s="129" t="n"/>
      <c r="U807" s="129" t="n"/>
      <c r="V807" s="129" t="n"/>
      <c r="W807" s="129" t="n"/>
      <c r="X807" s="129" t="n"/>
      <c r="Y807" s="703" t="n"/>
      <c r="Z807" s="704" t="n"/>
      <c r="AA807" s="705" t="n"/>
      <c r="AB807" s="613" t="n"/>
      <c r="AC807" s="614" t="n"/>
      <c r="AD807" s="628" t="n"/>
      <c r="AE807" s="616" t="n"/>
      <c r="AF807" s="617" t="n"/>
      <c r="AG807" s="693" t="n"/>
      <c r="AH807" s="721" t="n"/>
      <c r="AI807" s="721" t="n"/>
      <c r="AJ807" s="688" t="n"/>
      <c r="AK807" s="689" t="n"/>
      <c r="AL807" s="690" t="n"/>
      <c r="AM807" s="691" t="n"/>
      <c r="AN807" s="692" t="n"/>
      <c r="AO807" s="693" t="n"/>
      <c r="AP807" s="693" t="n"/>
      <c r="AQ807" s="693" t="n"/>
      <c r="AR807" s="693" t="n"/>
      <c r="AS807" s="693" t="n"/>
      <c r="AT807" s="693" t="n"/>
      <c r="AU807" s="699" t="n"/>
      <c r="AV807" s="693" t="n"/>
      <c r="AW807" s="693" t="n"/>
      <c r="AX807" s="693" t="n"/>
      <c r="AY807" s="693" t="n"/>
      <c r="AZ807" s="693" t="n"/>
    </row>
    <row r="808">
      <c r="A808" s="688" t="n"/>
      <c r="B808" s="688" t="n"/>
      <c r="C808" s="473" t="n"/>
      <c r="D808" s="688" t="n"/>
      <c r="E808" s="689" t="n"/>
      <c r="F808" s="721" t="n"/>
      <c r="G8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8" s="474">
        <f>G808/#REF!</f>
        <v/>
      </c>
      <c r="I808" s="690" t="n"/>
      <c r="J8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8" s="474">
        <f>J808/#REF!</f>
        <v/>
      </c>
      <c r="L808" s="473" t="n"/>
      <c r="M808" s="692" t="n"/>
      <c r="N808" s="693" t="n"/>
      <c r="O808" s="78" t="n"/>
      <c r="P808" s="129" t="n"/>
      <c r="Q808" s="129" t="n"/>
      <c r="R808" s="129" t="n"/>
      <c r="S808" s="129" t="n"/>
      <c r="T808" s="129" t="n"/>
      <c r="U808" s="129" t="n"/>
      <c r="V808" s="129" t="n"/>
      <c r="W808" s="129" t="n"/>
      <c r="X808" s="129" t="n"/>
      <c r="Y808" s="708" t="n"/>
      <c r="Z808" s="709" t="n"/>
      <c r="AA808" s="710" t="n"/>
      <c r="AB808" s="590" t="n"/>
      <c r="AC808" s="591" t="n"/>
      <c r="AD808" s="592" t="n"/>
      <c r="AE808" s="593" t="n"/>
      <c r="AF808" s="594" t="n"/>
      <c r="AG808" s="693" t="n"/>
      <c r="AH808" s="721" t="n"/>
      <c r="AI808" s="721" t="n"/>
      <c r="AJ808" s="688" t="n"/>
      <c r="AK808" s="689" t="n"/>
      <c r="AL808" s="690" t="n"/>
      <c r="AM808" s="691" t="n"/>
      <c r="AN808" s="692" t="n"/>
      <c r="AO808" s="693" t="n"/>
      <c r="AP808" s="693" t="n"/>
      <c r="AQ808" s="693" t="n"/>
      <c r="AR808" s="693" t="n"/>
      <c r="AS808" s="693" t="n"/>
      <c r="AT808" s="693" t="n"/>
      <c r="AU808" s="699" t="n"/>
      <c r="AV808" s="693" t="n"/>
      <c r="AW808" s="693" t="n"/>
      <c r="AX808" s="693" t="n"/>
      <c r="AY808" s="693" t="n"/>
      <c r="AZ808" s="693" t="n"/>
    </row>
    <row r="809">
      <c r="A809" s="688" t="n"/>
      <c r="B809" s="688" t="n"/>
      <c r="C809" s="473" t="n"/>
      <c r="D809" s="688" t="n"/>
      <c r="E809" s="689" t="n"/>
      <c r="F809" s="721" t="n"/>
      <c r="G8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09" s="474">
        <f>G809/#REF!</f>
        <v/>
      </c>
      <c r="I809" s="690" t="n"/>
      <c r="J8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09" s="474">
        <f>J809/#REF!</f>
        <v/>
      </c>
      <c r="L809" s="473" t="n"/>
      <c r="M809" s="692" t="n"/>
      <c r="N809" s="693" t="n"/>
      <c r="O809" s="78" t="n"/>
      <c r="P809" s="129" t="n"/>
      <c r="Q809" s="129" t="n"/>
      <c r="R809" s="129" t="n"/>
      <c r="S809" s="129" t="n"/>
      <c r="T809" s="129" t="n"/>
      <c r="U809" s="129" t="n"/>
      <c r="V809" s="129" t="n"/>
      <c r="W809" s="129" t="n"/>
      <c r="X809" s="129" t="n"/>
      <c r="Y809" s="703" t="n"/>
      <c r="Z809" s="704" t="n"/>
      <c r="AA809" s="705" t="n"/>
      <c r="AB809" s="613" t="n"/>
      <c r="AC809" s="614" t="n"/>
      <c r="AD809" s="628" t="n"/>
      <c r="AE809" s="616" t="n"/>
      <c r="AF809" s="617" t="n"/>
      <c r="AG809" s="693" t="n"/>
      <c r="AH809" s="721" t="n"/>
      <c r="AI809" s="721" t="n"/>
      <c r="AJ809" s="688" t="n"/>
      <c r="AK809" s="689" t="n"/>
      <c r="AL809" s="690" t="n"/>
      <c r="AM809" s="691" t="n"/>
      <c r="AN809" s="692" t="n"/>
      <c r="AO809" s="693" t="n"/>
      <c r="AP809" s="693" t="n"/>
      <c r="AQ809" s="693" t="n"/>
      <c r="AR809" s="693" t="n"/>
      <c r="AS809" s="693" t="n"/>
      <c r="AT809" s="693" t="n"/>
      <c r="AU809" s="699" t="n"/>
      <c r="AV809" s="693" t="n"/>
      <c r="AW809" s="693" t="n"/>
      <c r="AX809" s="693" t="n"/>
      <c r="AY809" s="693" t="n"/>
      <c r="AZ809" s="693" t="n"/>
    </row>
    <row r="810">
      <c r="A810" s="688" t="n"/>
      <c r="B810" s="688" t="n"/>
      <c r="C810" s="473" t="n"/>
      <c r="D810" s="688" t="n"/>
      <c r="E810" s="689" t="n"/>
      <c r="F810" s="721" t="n"/>
      <c r="G8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0" s="474">
        <f>G810/#REF!</f>
        <v/>
      </c>
      <c r="I810" s="690" t="n"/>
      <c r="J8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0" s="474">
        <f>J810/#REF!</f>
        <v/>
      </c>
      <c r="L810" s="473" t="n"/>
      <c r="M810" s="692" t="n"/>
      <c r="N810" s="693" t="n"/>
      <c r="O810" s="78" t="n"/>
      <c r="P810" s="129" t="n"/>
      <c r="Q810" s="129" t="n"/>
      <c r="R810" s="129" t="n"/>
      <c r="S810" s="129" t="n"/>
      <c r="T810" s="129" t="n"/>
      <c r="U810" s="129" t="n"/>
      <c r="V810" s="129" t="n"/>
      <c r="W810" s="129" t="n"/>
      <c r="X810" s="129" t="n"/>
      <c r="Y810" s="708" t="n"/>
      <c r="Z810" s="709" t="n"/>
      <c r="AA810" s="710" t="n"/>
      <c r="AB810" s="590" t="n"/>
      <c r="AC810" s="591" t="n"/>
      <c r="AD810" s="592" t="n"/>
      <c r="AE810" s="593" t="n"/>
      <c r="AF810" s="594" t="n"/>
      <c r="AG810" s="693" t="n"/>
      <c r="AH810" s="721" t="n"/>
      <c r="AI810" s="721" t="n"/>
      <c r="AJ810" s="688" t="n"/>
      <c r="AK810" s="689" t="n"/>
      <c r="AL810" s="690" t="n"/>
      <c r="AM810" s="691" t="n"/>
      <c r="AN810" s="692" t="n"/>
      <c r="AO810" s="693" t="n"/>
      <c r="AP810" s="693" t="n"/>
      <c r="AQ810" s="693" t="n"/>
      <c r="AR810" s="693" t="n"/>
      <c r="AS810" s="693" t="n"/>
      <c r="AT810" s="693" t="n"/>
      <c r="AU810" s="699" t="n"/>
      <c r="AV810" s="693" t="n"/>
      <c r="AW810" s="693" t="n"/>
      <c r="AX810" s="693" t="n"/>
      <c r="AY810" s="693" t="n"/>
      <c r="AZ810" s="693" t="n"/>
    </row>
    <row r="811">
      <c r="A811" s="688" t="n"/>
      <c r="B811" s="688" t="n"/>
      <c r="C811" s="473" t="n"/>
      <c r="D811" s="688" t="n"/>
      <c r="E811" s="689" t="n"/>
      <c r="F811" s="721" t="n"/>
      <c r="G8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1" s="474">
        <f>G811/#REF!</f>
        <v/>
      </c>
      <c r="I811" s="690" t="n"/>
      <c r="J8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1" s="474">
        <f>J811/#REF!</f>
        <v/>
      </c>
      <c r="L811" s="473" t="n"/>
      <c r="M811" s="692" t="n"/>
      <c r="N811" s="693" t="n"/>
      <c r="O811" s="78" t="n"/>
      <c r="P811" s="129" t="n"/>
      <c r="Q811" s="129" t="n"/>
      <c r="R811" s="129" t="n"/>
      <c r="S811" s="129" t="n"/>
      <c r="T811" s="129" t="n"/>
      <c r="U811" s="129" t="n"/>
      <c r="V811" s="129" t="n"/>
      <c r="W811" s="129" t="n"/>
      <c r="X811" s="129" t="n"/>
      <c r="Y811" s="703" t="n"/>
      <c r="Z811" s="704" t="n"/>
      <c r="AA811" s="705" t="n"/>
      <c r="AB811" s="613" t="n"/>
      <c r="AC811" s="614" t="n"/>
      <c r="AD811" s="628" t="n"/>
      <c r="AE811" s="616" t="n"/>
      <c r="AF811" s="617" t="n"/>
      <c r="AG811" s="693" t="n"/>
      <c r="AH811" s="721" t="n"/>
      <c r="AI811" s="721" t="n"/>
      <c r="AJ811" s="688" t="n"/>
      <c r="AK811" s="689" t="n"/>
      <c r="AL811" s="690" t="n"/>
      <c r="AM811" s="691" t="n"/>
      <c r="AN811" s="692" t="n"/>
      <c r="AO811" s="693" t="n"/>
      <c r="AP811" s="693" t="n"/>
      <c r="AQ811" s="693" t="n"/>
      <c r="AR811" s="693" t="n"/>
      <c r="AS811" s="693" t="n"/>
      <c r="AT811" s="693" t="n"/>
      <c r="AU811" s="699" t="n"/>
      <c r="AV811" s="693" t="n"/>
      <c r="AW811" s="693" t="n"/>
      <c r="AX811" s="693" t="n"/>
      <c r="AY811" s="693" t="n"/>
      <c r="AZ811" s="693" t="n"/>
    </row>
    <row r="812">
      <c r="A812" s="688" t="n"/>
      <c r="B812" s="688" t="n"/>
      <c r="C812" s="473" t="n"/>
      <c r="D812" s="688" t="n"/>
      <c r="E812" s="689" t="n"/>
      <c r="F812" s="721" t="n"/>
      <c r="G8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2" s="474">
        <f>G812/#REF!</f>
        <v/>
      </c>
      <c r="I812" s="690" t="n"/>
      <c r="J8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2" s="474">
        <f>J812/#REF!</f>
        <v/>
      </c>
      <c r="L812" s="473" t="n"/>
      <c r="M812" s="692" t="n"/>
      <c r="N812" s="693" t="n"/>
      <c r="O812" s="78" t="n"/>
      <c r="P812" s="129" t="n"/>
      <c r="Q812" s="129" t="n"/>
      <c r="R812" s="129" t="n"/>
      <c r="S812" s="129" t="n"/>
      <c r="T812" s="129" t="n"/>
      <c r="U812" s="129" t="n"/>
      <c r="V812" s="129" t="n"/>
      <c r="W812" s="129" t="n"/>
      <c r="X812" s="129" t="n"/>
      <c r="Y812" s="708" t="n"/>
      <c r="Z812" s="709" t="n"/>
      <c r="AA812" s="710" t="n"/>
      <c r="AB812" s="590" t="n"/>
      <c r="AC812" s="591" t="n"/>
      <c r="AD812" s="592" t="n"/>
      <c r="AE812" s="593" t="n"/>
      <c r="AF812" s="594" t="n"/>
      <c r="AG812" s="693" t="n"/>
      <c r="AH812" s="721" t="n"/>
      <c r="AI812" s="721" t="n"/>
      <c r="AJ812" s="688" t="n"/>
      <c r="AK812" s="689" t="n"/>
      <c r="AL812" s="690" t="n"/>
      <c r="AM812" s="691" t="n"/>
      <c r="AN812" s="692" t="n"/>
      <c r="AO812" s="693" t="n"/>
      <c r="AP812" s="693" t="n"/>
      <c r="AQ812" s="693" t="n"/>
      <c r="AR812" s="693" t="n"/>
      <c r="AS812" s="693" t="n"/>
      <c r="AT812" s="693" t="n"/>
      <c r="AU812" s="699" t="n"/>
      <c r="AV812" s="693" t="n"/>
      <c r="AW812" s="693" t="n"/>
      <c r="AX812" s="693" t="n"/>
      <c r="AY812" s="693" t="n"/>
      <c r="AZ812" s="693" t="n"/>
    </row>
    <row r="813">
      <c r="A813" s="688" t="n"/>
      <c r="B813" s="688" t="n"/>
      <c r="C813" s="473" t="n"/>
      <c r="D813" s="688" t="n"/>
      <c r="E813" s="689" t="n"/>
      <c r="F813" s="721" t="n"/>
      <c r="G8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3" s="474">
        <f>G813/#REF!</f>
        <v/>
      </c>
      <c r="I813" s="690" t="n"/>
      <c r="J8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3" s="474">
        <f>J813/#REF!</f>
        <v/>
      </c>
      <c r="L813" s="473" t="n"/>
      <c r="M813" s="692" t="n"/>
      <c r="N813" s="693" t="n"/>
      <c r="O813" s="78" t="n"/>
      <c r="P813" s="129" t="n"/>
      <c r="Q813" s="129" t="n"/>
      <c r="R813" s="129" t="n"/>
      <c r="S813" s="129" t="n"/>
      <c r="T813" s="129" t="n"/>
      <c r="U813" s="129" t="n"/>
      <c r="V813" s="129" t="n"/>
      <c r="W813" s="129" t="n"/>
      <c r="X813" s="129" t="n"/>
      <c r="Y813" s="703" t="n"/>
      <c r="Z813" s="704" t="n"/>
      <c r="AA813" s="705" t="n"/>
      <c r="AB813" s="613" t="n"/>
      <c r="AC813" s="614" t="n"/>
      <c r="AD813" s="628" t="n"/>
      <c r="AE813" s="616" t="n"/>
      <c r="AF813" s="617" t="n"/>
      <c r="AG813" s="693" t="n"/>
      <c r="AH813" s="721" t="n"/>
      <c r="AI813" s="721" t="n"/>
      <c r="AJ813" s="688" t="n"/>
      <c r="AK813" s="689" t="n"/>
      <c r="AL813" s="690" t="n"/>
      <c r="AM813" s="691" t="n"/>
      <c r="AN813" s="692" t="n"/>
      <c r="AO813" s="693" t="n"/>
      <c r="AP813" s="693" t="n"/>
      <c r="AQ813" s="693" t="n"/>
      <c r="AR813" s="693" t="n"/>
      <c r="AS813" s="693" t="n"/>
      <c r="AT813" s="693" t="n"/>
      <c r="AU813" s="699" t="n"/>
      <c r="AV813" s="693" t="n"/>
      <c r="AW813" s="693" t="n"/>
      <c r="AX813" s="693" t="n"/>
      <c r="AY813" s="693" t="n"/>
      <c r="AZ813" s="693" t="n"/>
    </row>
    <row r="814">
      <c r="A814" s="688" t="n"/>
      <c r="B814" s="688" t="n"/>
      <c r="C814" s="473" t="n"/>
      <c r="D814" s="688" t="n"/>
      <c r="E814" s="689" t="n"/>
      <c r="F814" s="721" t="n"/>
      <c r="G8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4" s="474">
        <f>G814/#REF!</f>
        <v/>
      </c>
      <c r="I814" s="690" t="n"/>
      <c r="J8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4" s="474">
        <f>J814/#REF!</f>
        <v/>
      </c>
      <c r="L814" s="473" t="n"/>
      <c r="M814" s="692" t="n"/>
      <c r="N814" s="693" t="n"/>
      <c r="O814" s="78" t="n"/>
      <c r="P814" s="129" t="n"/>
      <c r="Q814" s="129" t="n"/>
      <c r="R814" s="129" t="n"/>
      <c r="S814" s="129" t="n"/>
      <c r="T814" s="129" t="n"/>
      <c r="U814" s="129" t="n"/>
      <c r="V814" s="129" t="n"/>
      <c r="W814" s="129" t="n"/>
      <c r="X814" s="129" t="n"/>
      <c r="Y814" s="708" t="n"/>
      <c r="Z814" s="709" t="n"/>
      <c r="AA814" s="710" t="n"/>
      <c r="AB814" s="590" t="n"/>
      <c r="AC814" s="591" t="n"/>
      <c r="AD814" s="592" t="n"/>
      <c r="AE814" s="593" t="n"/>
      <c r="AF814" s="594" t="n"/>
      <c r="AG814" s="693" t="n"/>
      <c r="AH814" s="721" t="n"/>
      <c r="AI814" s="721" t="n"/>
      <c r="AJ814" s="688" t="n"/>
      <c r="AK814" s="689" t="n"/>
      <c r="AL814" s="690" t="n"/>
      <c r="AM814" s="691" t="n"/>
      <c r="AN814" s="692" t="n"/>
      <c r="AO814" s="693" t="n"/>
      <c r="AP814" s="693" t="n"/>
      <c r="AQ814" s="693" t="n"/>
      <c r="AR814" s="693" t="n"/>
      <c r="AS814" s="693" t="n"/>
      <c r="AT814" s="693" t="n"/>
      <c r="AU814" s="699" t="n"/>
      <c r="AV814" s="693" t="n"/>
      <c r="AW814" s="693" t="n"/>
      <c r="AX814" s="693" t="n"/>
      <c r="AY814" s="693" t="n"/>
      <c r="AZ814" s="693" t="n"/>
    </row>
    <row r="815">
      <c r="A815" s="688" t="n"/>
      <c r="B815" s="688" t="n"/>
      <c r="C815" s="473" t="n"/>
      <c r="D815" s="688" t="n"/>
      <c r="E815" s="689" t="n"/>
      <c r="F815" s="721" t="n"/>
      <c r="G8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5" s="474">
        <f>G815/#REF!</f>
        <v/>
      </c>
      <c r="I815" s="690" t="n"/>
      <c r="J8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5" s="474">
        <f>J815/#REF!</f>
        <v/>
      </c>
      <c r="L815" s="473" t="n"/>
      <c r="M815" s="692" t="n"/>
      <c r="N815" s="693" t="n"/>
      <c r="O815" s="78" t="n"/>
      <c r="P815" s="129" t="n"/>
      <c r="Q815" s="129" t="n"/>
      <c r="R815" s="129" t="n"/>
      <c r="S815" s="129" t="n"/>
      <c r="T815" s="129" t="n"/>
      <c r="U815" s="129" t="n"/>
      <c r="V815" s="129" t="n"/>
      <c r="W815" s="129" t="n"/>
      <c r="X815" s="129" t="n"/>
      <c r="Y815" s="703" t="n"/>
      <c r="Z815" s="704" t="n"/>
      <c r="AA815" s="705" t="n"/>
      <c r="AB815" s="613" t="n"/>
      <c r="AC815" s="614" t="n"/>
      <c r="AD815" s="628" t="n"/>
      <c r="AE815" s="616" t="n"/>
      <c r="AF815" s="617" t="n"/>
      <c r="AG815" s="693" t="n"/>
      <c r="AH815" s="721" t="n"/>
      <c r="AI815" s="721" t="n"/>
      <c r="AJ815" s="688" t="n"/>
      <c r="AK815" s="689" t="n"/>
      <c r="AL815" s="690" t="n"/>
      <c r="AM815" s="691" t="n"/>
      <c r="AN815" s="692" t="n"/>
      <c r="AO815" s="693" t="n"/>
      <c r="AP815" s="693" t="n"/>
      <c r="AQ815" s="693" t="n"/>
      <c r="AR815" s="693" t="n"/>
      <c r="AS815" s="693" t="n"/>
      <c r="AT815" s="693" t="n"/>
      <c r="AU815" s="699" t="n"/>
      <c r="AV815" s="693" t="n"/>
      <c r="AW815" s="693" t="n"/>
      <c r="AX815" s="693" t="n"/>
      <c r="AY815" s="693" t="n"/>
      <c r="AZ815" s="693" t="n"/>
    </row>
    <row r="816">
      <c r="A816" s="688" t="n"/>
      <c r="B816" s="688" t="n"/>
      <c r="C816" s="473" t="n"/>
      <c r="D816" s="688" t="n"/>
      <c r="E816" s="689" t="n"/>
      <c r="F816" s="721" t="n"/>
      <c r="G8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6" s="474">
        <f>G816/#REF!</f>
        <v/>
      </c>
      <c r="I816" s="690" t="n"/>
      <c r="J8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6" s="474">
        <f>J816/#REF!</f>
        <v/>
      </c>
      <c r="L816" s="473" t="n"/>
      <c r="M816" s="692" t="n"/>
      <c r="N816" s="693" t="n"/>
      <c r="O816" s="78" t="n"/>
      <c r="P816" s="129" t="n"/>
      <c r="Q816" s="129" t="n"/>
      <c r="R816" s="129" t="n"/>
      <c r="S816" s="129" t="n"/>
      <c r="T816" s="129" t="n"/>
      <c r="U816" s="129" t="n"/>
      <c r="V816" s="129" t="n"/>
      <c r="W816" s="129" t="n"/>
      <c r="X816" s="129" t="n"/>
      <c r="Y816" s="708" t="n"/>
      <c r="Z816" s="709" t="n"/>
      <c r="AA816" s="710" t="n"/>
      <c r="AB816" s="590" t="n"/>
      <c r="AC816" s="591" t="n"/>
      <c r="AD816" s="592" t="n"/>
      <c r="AE816" s="593" t="n"/>
      <c r="AF816" s="594" t="n"/>
      <c r="AG816" s="693" t="n"/>
      <c r="AH816" s="721" t="n"/>
      <c r="AI816" s="721" t="n"/>
      <c r="AJ816" s="688" t="n"/>
      <c r="AK816" s="689" t="n"/>
      <c r="AL816" s="690" t="n"/>
      <c r="AM816" s="691" t="n"/>
      <c r="AN816" s="692" t="n"/>
      <c r="AO816" s="693" t="n"/>
      <c r="AP816" s="693" t="n"/>
      <c r="AQ816" s="693" t="n"/>
      <c r="AR816" s="693" t="n"/>
      <c r="AS816" s="693" t="n"/>
      <c r="AT816" s="693" t="n"/>
      <c r="AU816" s="699" t="n"/>
      <c r="AV816" s="693" t="n"/>
      <c r="AW816" s="693" t="n"/>
      <c r="AX816" s="693" t="n"/>
      <c r="AY816" s="693" t="n"/>
      <c r="AZ816" s="693" t="n"/>
    </row>
    <row r="817">
      <c r="A817" s="688" t="n"/>
      <c r="B817" s="688" t="n"/>
      <c r="C817" s="473" t="n"/>
      <c r="D817" s="688" t="n"/>
      <c r="E817" s="689" t="n"/>
      <c r="F817" s="721" t="n"/>
      <c r="G8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7" s="474">
        <f>G817/#REF!</f>
        <v/>
      </c>
      <c r="I817" s="690" t="n"/>
      <c r="J8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7" s="474">
        <f>J817/#REF!</f>
        <v/>
      </c>
      <c r="L817" s="473" t="n"/>
      <c r="M817" s="692" t="n"/>
      <c r="N817" s="693" t="n"/>
      <c r="O817" s="78" t="n"/>
      <c r="P817" s="129" t="n"/>
      <c r="Q817" s="129" t="n"/>
      <c r="R817" s="129" t="n"/>
      <c r="S817" s="129" t="n"/>
      <c r="T817" s="129" t="n"/>
      <c r="U817" s="129" t="n"/>
      <c r="V817" s="129" t="n"/>
      <c r="W817" s="129" t="n"/>
      <c r="X817" s="129" t="n"/>
      <c r="Y817" s="703" t="n"/>
      <c r="Z817" s="704" t="n"/>
      <c r="AA817" s="705" t="n"/>
      <c r="AB817" s="613" t="n"/>
      <c r="AC817" s="614" t="n"/>
      <c r="AD817" s="628" t="n"/>
      <c r="AE817" s="616" t="n"/>
      <c r="AF817" s="617" t="n"/>
      <c r="AG817" s="693" t="n"/>
      <c r="AH817" s="721" t="n"/>
      <c r="AI817" s="721" t="n"/>
      <c r="AJ817" s="688" t="n"/>
      <c r="AK817" s="689" t="n"/>
      <c r="AL817" s="690" t="n"/>
      <c r="AM817" s="691" t="n"/>
      <c r="AN817" s="692" t="n"/>
      <c r="AO817" s="693" t="n"/>
      <c r="AP817" s="693" t="n"/>
      <c r="AQ817" s="693" t="n"/>
      <c r="AR817" s="693" t="n"/>
      <c r="AS817" s="693" t="n"/>
      <c r="AT817" s="693" t="n"/>
      <c r="AU817" s="699" t="n"/>
      <c r="AV817" s="693" t="n"/>
      <c r="AW817" s="693" t="n"/>
      <c r="AX817" s="693" t="n"/>
      <c r="AY817" s="693" t="n"/>
      <c r="AZ817" s="693" t="n"/>
    </row>
    <row r="818">
      <c r="A818" s="688" t="n"/>
      <c r="B818" s="688" t="n"/>
      <c r="C818" s="473" t="n"/>
      <c r="D818" s="688" t="n"/>
      <c r="E818" s="689" t="n"/>
      <c r="F818" s="721" t="n"/>
      <c r="G8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8" s="474">
        <f>G818/#REF!</f>
        <v/>
      </c>
      <c r="I818" s="690" t="n"/>
      <c r="J8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8" s="474">
        <f>J818/#REF!</f>
        <v/>
      </c>
      <c r="L818" s="473" t="n"/>
      <c r="M818" s="692" t="n"/>
      <c r="N818" s="693" t="n"/>
      <c r="O818" s="78" t="n"/>
      <c r="P818" s="129" t="n"/>
      <c r="Q818" s="129" t="n"/>
      <c r="R818" s="129" t="n"/>
      <c r="S818" s="129" t="n"/>
      <c r="T818" s="129" t="n"/>
      <c r="U818" s="129" t="n"/>
      <c r="V818" s="129" t="n"/>
      <c r="W818" s="129" t="n"/>
      <c r="X818" s="129" t="n"/>
      <c r="Y818" s="708" t="n"/>
      <c r="Z818" s="709" t="n"/>
      <c r="AA818" s="710" t="n"/>
      <c r="AB818" s="590" t="n"/>
      <c r="AC818" s="591" t="n"/>
      <c r="AD818" s="592" t="n"/>
      <c r="AE818" s="593" t="n"/>
      <c r="AF818" s="594" t="n"/>
      <c r="AG818" s="693" t="n"/>
      <c r="AH818" s="721" t="n"/>
      <c r="AI818" s="721" t="n"/>
      <c r="AJ818" s="688" t="n"/>
      <c r="AK818" s="689" t="n"/>
      <c r="AL818" s="690" t="n"/>
      <c r="AM818" s="691" t="n"/>
      <c r="AN818" s="692" t="n"/>
      <c r="AO818" s="693" t="n"/>
      <c r="AP818" s="693" t="n"/>
      <c r="AQ818" s="693" t="n"/>
      <c r="AR818" s="693" t="n"/>
      <c r="AS818" s="693" t="n"/>
      <c r="AT818" s="693" t="n"/>
      <c r="AU818" s="699" t="n"/>
      <c r="AV818" s="693" t="n"/>
      <c r="AW818" s="693" t="n"/>
      <c r="AX818" s="693" t="n"/>
      <c r="AY818" s="693" t="n"/>
      <c r="AZ818" s="693" t="n"/>
    </row>
    <row r="819">
      <c r="A819" s="688" t="n"/>
      <c r="B819" s="688" t="n"/>
      <c r="C819" s="473" t="n"/>
      <c r="D819" s="688" t="n"/>
      <c r="E819" s="689" t="n"/>
      <c r="F819" s="721" t="n"/>
      <c r="G8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19" s="474">
        <f>G819/#REF!</f>
        <v/>
      </c>
      <c r="I819" s="690" t="n"/>
      <c r="J8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19" s="474">
        <f>J819/#REF!</f>
        <v/>
      </c>
      <c r="L819" s="473" t="n"/>
      <c r="M819" s="692" t="n"/>
      <c r="N819" s="693" t="n"/>
      <c r="O819" s="78" t="n"/>
      <c r="P819" s="129" t="n"/>
      <c r="Q819" s="129" t="n"/>
      <c r="R819" s="129" t="n"/>
      <c r="S819" s="129" t="n"/>
      <c r="T819" s="129" t="n"/>
      <c r="U819" s="129" t="n"/>
      <c r="V819" s="129" t="n"/>
      <c r="W819" s="129" t="n"/>
      <c r="X819" s="129" t="n"/>
      <c r="Y819" s="703" t="n"/>
      <c r="Z819" s="704" t="n"/>
      <c r="AA819" s="705" t="n"/>
      <c r="AB819" s="613" t="n"/>
      <c r="AC819" s="614" t="n"/>
      <c r="AD819" s="628" t="n"/>
      <c r="AE819" s="616" t="n"/>
      <c r="AF819" s="617" t="n"/>
      <c r="AG819" s="693" t="n"/>
      <c r="AH819" s="721" t="n"/>
      <c r="AI819" s="721" t="n"/>
      <c r="AJ819" s="688" t="n"/>
      <c r="AK819" s="689" t="n"/>
      <c r="AL819" s="690" t="n"/>
      <c r="AM819" s="691" t="n"/>
      <c r="AN819" s="692" t="n"/>
      <c r="AO819" s="693" t="n"/>
      <c r="AP819" s="693" t="n"/>
      <c r="AQ819" s="693" t="n"/>
      <c r="AR819" s="693" t="n"/>
      <c r="AS819" s="693" t="n"/>
      <c r="AT819" s="693" t="n"/>
      <c r="AU819" s="699" t="n"/>
      <c r="AV819" s="693" t="n"/>
      <c r="AW819" s="693" t="n"/>
      <c r="AX819" s="693" t="n"/>
      <c r="AY819" s="693" t="n"/>
      <c r="AZ819" s="693" t="n"/>
    </row>
    <row r="820">
      <c r="A820" s="688" t="n"/>
      <c r="B820" s="688" t="n"/>
      <c r="C820" s="473" t="n"/>
      <c r="D820" s="688" t="n"/>
      <c r="E820" s="689" t="n"/>
      <c r="F820" s="721" t="n"/>
      <c r="G8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0" s="474">
        <f>G820/#REF!</f>
        <v/>
      </c>
      <c r="I820" s="690" t="n"/>
      <c r="J8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0" s="474">
        <f>J820/#REF!</f>
        <v/>
      </c>
      <c r="L820" s="473" t="n"/>
      <c r="M820" s="692" t="n"/>
      <c r="N820" s="693" t="n"/>
      <c r="O820" s="78" t="n"/>
      <c r="P820" s="129" t="n"/>
      <c r="Q820" s="129" t="n"/>
      <c r="R820" s="129" t="n"/>
      <c r="S820" s="129" t="n"/>
      <c r="T820" s="129" t="n"/>
      <c r="U820" s="129" t="n"/>
      <c r="V820" s="129" t="n"/>
      <c r="W820" s="129" t="n"/>
      <c r="X820" s="129" t="n"/>
      <c r="Y820" s="708" t="n"/>
      <c r="Z820" s="709" t="n"/>
      <c r="AA820" s="710" t="n"/>
      <c r="AB820" s="590" t="n"/>
      <c r="AC820" s="591" t="n"/>
      <c r="AD820" s="592" t="n"/>
      <c r="AE820" s="593" t="n"/>
      <c r="AF820" s="594" t="n"/>
      <c r="AG820" s="693" t="n"/>
      <c r="AH820" s="721" t="n"/>
      <c r="AI820" s="721" t="n"/>
      <c r="AJ820" s="688" t="n"/>
      <c r="AK820" s="689" t="n"/>
      <c r="AL820" s="690" t="n"/>
      <c r="AM820" s="691" t="n"/>
      <c r="AN820" s="692" t="n"/>
      <c r="AO820" s="693" t="n"/>
      <c r="AP820" s="693" t="n"/>
      <c r="AQ820" s="693" t="n"/>
      <c r="AR820" s="693" t="n"/>
      <c r="AS820" s="693" t="n"/>
      <c r="AT820" s="693" t="n"/>
      <c r="AU820" s="699" t="n"/>
      <c r="AV820" s="693" t="n"/>
      <c r="AW820" s="693" t="n"/>
      <c r="AX820" s="693" t="n"/>
      <c r="AY820" s="693" t="n"/>
      <c r="AZ820" s="693" t="n"/>
    </row>
    <row r="821">
      <c r="A821" s="688" t="n"/>
      <c r="B821" s="688" t="n"/>
      <c r="C821" s="473" t="n"/>
      <c r="D821" s="688" t="n"/>
      <c r="E821" s="689" t="n"/>
      <c r="F821" s="721" t="n"/>
      <c r="G8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1" s="474">
        <f>G821/#REF!</f>
        <v/>
      </c>
      <c r="I821" s="690" t="n"/>
      <c r="J8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1" s="474">
        <f>J821/#REF!</f>
        <v/>
      </c>
      <c r="L821" s="473" t="n"/>
      <c r="M821" s="692" t="n"/>
      <c r="N821" s="693" t="n"/>
      <c r="O821" s="78" t="n"/>
      <c r="P821" s="129" t="n"/>
      <c r="Q821" s="129" t="n"/>
      <c r="R821" s="129" t="n"/>
      <c r="S821" s="129" t="n"/>
      <c r="T821" s="129" t="n"/>
      <c r="U821" s="129" t="n"/>
      <c r="V821" s="129" t="n"/>
      <c r="W821" s="129" t="n"/>
      <c r="X821" s="129" t="n"/>
      <c r="Y821" s="703" t="n"/>
      <c r="Z821" s="704" t="n"/>
      <c r="AA821" s="705" t="n"/>
      <c r="AB821" s="613" t="n"/>
      <c r="AC821" s="614" t="n"/>
      <c r="AD821" s="628" t="n"/>
      <c r="AE821" s="616" t="n"/>
      <c r="AF821" s="617" t="n"/>
      <c r="AG821" s="693" t="n"/>
      <c r="AH821" s="721" t="n"/>
      <c r="AI821" s="721" t="n"/>
      <c r="AJ821" s="688" t="n"/>
      <c r="AK821" s="689" t="n"/>
      <c r="AL821" s="690" t="n"/>
      <c r="AM821" s="691" t="n"/>
      <c r="AN821" s="692" t="n"/>
      <c r="AO821" s="693" t="n"/>
      <c r="AP821" s="693" t="n"/>
      <c r="AQ821" s="693" t="n"/>
      <c r="AR821" s="693" t="n"/>
      <c r="AS821" s="693" t="n"/>
      <c r="AT821" s="693" t="n"/>
      <c r="AU821" s="699" t="n"/>
      <c r="AV821" s="693" t="n"/>
      <c r="AW821" s="693" t="n"/>
      <c r="AX821" s="693" t="n"/>
      <c r="AY821" s="693" t="n"/>
      <c r="AZ821" s="693" t="n"/>
    </row>
    <row r="822">
      <c r="A822" s="688" t="n"/>
      <c r="B822" s="688" t="n"/>
      <c r="C822" s="473" t="n"/>
      <c r="D822" s="688" t="n"/>
      <c r="E822" s="689" t="n"/>
      <c r="F822" s="721" t="n"/>
      <c r="G8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2" s="474">
        <f>G822/#REF!</f>
        <v/>
      </c>
      <c r="I822" s="690" t="n"/>
      <c r="J8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2" s="474">
        <f>J822/#REF!</f>
        <v/>
      </c>
      <c r="L822" s="473" t="n"/>
      <c r="M822" s="692" t="n"/>
      <c r="N822" s="693" t="n"/>
      <c r="O822" s="78" t="n"/>
      <c r="P822" s="129" t="n"/>
      <c r="Q822" s="129" t="n"/>
      <c r="R822" s="129" t="n"/>
      <c r="S822" s="129" t="n"/>
      <c r="T822" s="129" t="n"/>
      <c r="U822" s="129" t="n"/>
      <c r="V822" s="129" t="n"/>
      <c r="W822" s="129" t="n"/>
      <c r="X822" s="129" t="n"/>
      <c r="Y822" s="708" t="n"/>
      <c r="Z822" s="709" t="n"/>
      <c r="AA822" s="710" t="n"/>
      <c r="AB822" s="590" t="n"/>
      <c r="AC822" s="591" t="n"/>
      <c r="AD822" s="592" t="n"/>
      <c r="AE822" s="593" t="n"/>
      <c r="AF822" s="594" t="n"/>
      <c r="AG822" s="693" t="n"/>
      <c r="AH822" s="721" t="n"/>
      <c r="AI822" s="721" t="n"/>
      <c r="AJ822" s="688" t="n"/>
      <c r="AK822" s="689" t="n"/>
      <c r="AL822" s="690" t="n"/>
      <c r="AM822" s="691" t="n"/>
      <c r="AN822" s="692" t="n"/>
      <c r="AO822" s="693" t="n"/>
      <c r="AP822" s="693" t="n"/>
      <c r="AQ822" s="693" t="n"/>
      <c r="AR822" s="693" t="n"/>
      <c r="AS822" s="693" t="n"/>
      <c r="AT822" s="693" t="n"/>
      <c r="AU822" s="699" t="n"/>
      <c r="AV822" s="693" t="n"/>
      <c r="AW822" s="693" t="n"/>
      <c r="AX822" s="693" t="n"/>
      <c r="AY822" s="693" t="n"/>
      <c r="AZ822" s="693" t="n"/>
    </row>
    <row r="823">
      <c r="A823" s="688" t="n"/>
      <c r="B823" s="688" t="n"/>
      <c r="C823" s="473" t="n"/>
      <c r="D823" s="688" t="n"/>
      <c r="E823" s="689" t="n"/>
      <c r="F823" s="721" t="n"/>
      <c r="G8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3" s="474">
        <f>G823/#REF!</f>
        <v/>
      </c>
      <c r="I823" s="690" t="n"/>
      <c r="J8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3" s="474">
        <f>J823/#REF!</f>
        <v/>
      </c>
      <c r="L823" s="473" t="n"/>
      <c r="M823" s="692" t="n"/>
      <c r="N823" s="693" t="n"/>
      <c r="O823" s="78" t="n"/>
      <c r="P823" s="129" t="n"/>
      <c r="Q823" s="129" t="n"/>
      <c r="R823" s="129" t="n"/>
      <c r="S823" s="129" t="n"/>
      <c r="T823" s="129" t="n"/>
      <c r="U823" s="129" t="n"/>
      <c r="V823" s="129" t="n"/>
      <c r="W823" s="129" t="n"/>
      <c r="X823" s="129" t="n"/>
      <c r="Y823" s="703" t="n"/>
      <c r="Z823" s="704" t="n"/>
      <c r="AA823" s="705" t="n"/>
      <c r="AB823" s="613" t="n"/>
      <c r="AC823" s="614" t="n"/>
      <c r="AD823" s="628" t="n"/>
      <c r="AE823" s="616" t="n"/>
      <c r="AF823" s="617" t="n"/>
      <c r="AG823" s="693" t="n"/>
      <c r="AH823" s="721" t="n"/>
      <c r="AI823" s="721" t="n"/>
      <c r="AJ823" s="688" t="n"/>
      <c r="AK823" s="689" t="n"/>
      <c r="AL823" s="690" t="n"/>
      <c r="AM823" s="691" t="n"/>
      <c r="AN823" s="692" t="n"/>
      <c r="AO823" s="693" t="n"/>
      <c r="AP823" s="693" t="n"/>
      <c r="AQ823" s="693" t="n"/>
      <c r="AR823" s="693" t="n"/>
      <c r="AS823" s="693" t="n"/>
      <c r="AT823" s="693" t="n"/>
      <c r="AU823" s="699" t="n"/>
      <c r="AV823" s="693" t="n"/>
      <c r="AW823" s="693" t="n"/>
      <c r="AX823" s="693" t="n"/>
      <c r="AY823" s="693" t="n"/>
      <c r="AZ823" s="693" t="n"/>
    </row>
    <row r="824">
      <c r="A824" s="688" t="n"/>
      <c r="B824" s="688" t="n"/>
      <c r="C824" s="473" t="n"/>
      <c r="D824" s="688" t="n"/>
      <c r="E824" s="689" t="n"/>
      <c r="F824" s="721" t="n"/>
      <c r="G8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4" s="474">
        <f>G824/#REF!</f>
        <v/>
      </c>
      <c r="I824" s="690" t="n"/>
      <c r="J8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4" s="474">
        <f>J824/#REF!</f>
        <v/>
      </c>
      <c r="L824" s="473" t="n"/>
      <c r="M824" s="692" t="n"/>
      <c r="N824" s="693" t="n"/>
      <c r="O824" s="78" t="n"/>
      <c r="P824" s="129" t="n"/>
      <c r="Q824" s="129" t="n"/>
      <c r="R824" s="129" t="n"/>
      <c r="S824" s="129" t="n"/>
      <c r="T824" s="129" t="n"/>
      <c r="U824" s="129" t="n"/>
      <c r="V824" s="129" t="n"/>
      <c r="W824" s="129" t="n"/>
      <c r="X824" s="129" t="n"/>
      <c r="Y824" s="708" t="n"/>
      <c r="Z824" s="709" t="n"/>
      <c r="AA824" s="710" t="n"/>
      <c r="AB824" s="590" t="n"/>
      <c r="AC824" s="591" t="n"/>
      <c r="AD824" s="592" t="n"/>
      <c r="AE824" s="593" t="n"/>
      <c r="AF824" s="594" t="n"/>
      <c r="AG824" s="693" t="n"/>
      <c r="AH824" s="721" t="n"/>
      <c r="AI824" s="721" t="n"/>
      <c r="AJ824" s="688" t="n"/>
      <c r="AK824" s="689" t="n"/>
      <c r="AL824" s="690" t="n"/>
      <c r="AM824" s="691" t="n"/>
      <c r="AN824" s="692" t="n"/>
      <c r="AO824" s="693" t="n"/>
      <c r="AP824" s="693" t="n"/>
      <c r="AQ824" s="693" t="n"/>
      <c r="AR824" s="693" t="n"/>
      <c r="AS824" s="693" t="n"/>
      <c r="AT824" s="693" t="n"/>
      <c r="AU824" s="699" t="n"/>
      <c r="AV824" s="693" t="n"/>
      <c r="AW824" s="693" t="n"/>
      <c r="AX824" s="693" t="n"/>
      <c r="AY824" s="693" t="n"/>
      <c r="AZ824" s="693" t="n"/>
    </row>
    <row r="825">
      <c r="A825" s="688" t="n"/>
      <c r="B825" s="688" t="n"/>
      <c r="C825" s="473" t="n"/>
      <c r="D825" s="688" t="n"/>
      <c r="E825" s="689" t="n"/>
      <c r="F825" s="721" t="n"/>
      <c r="G8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5" s="474">
        <f>G825/#REF!</f>
        <v/>
      </c>
      <c r="I825" s="690" t="n"/>
      <c r="J8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5" s="474">
        <f>J825/#REF!</f>
        <v/>
      </c>
      <c r="L825" s="473" t="n"/>
      <c r="M825" s="692" t="n"/>
      <c r="N825" s="693" t="n"/>
      <c r="O825" s="78" t="n"/>
      <c r="P825" s="129" t="n"/>
      <c r="Q825" s="129" t="n"/>
      <c r="R825" s="129" t="n"/>
      <c r="S825" s="129" t="n"/>
      <c r="T825" s="129" t="n"/>
      <c r="U825" s="129" t="n"/>
      <c r="V825" s="129" t="n"/>
      <c r="W825" s="129" t="n"/>
      <c r="X825" s="129" t="n"/>
      <c r="Y825" s="703" t="n"/>
      <c r="Z825" s="704" t="n"/>
      <c r="AA825" s="705" t="n"/>
      <c r="AB825" s="613" t="n"/>
      <c r="AC825" s="614" t="n"/>
      <c r="AD825" s="628" t="n"/>
      <c r="AE825" s="616" t="n"/>
      <c r="AF825" s="617" t="n"/>
      <c r="AG825" s="693" t="n"/>
      <c r="AH825" s="721" t="n"/>
      <c r="AI825" s="721" t="n"/>
      <c r="AJ825" s="688" t="n"/>
      <c r="AK825" s="689" t="n"/>
      <c r="AL825" s="690" t="n"/>
      <c r="AM825" s="691" t="n"/>
      <c r="AN825" s="692" t="n"/>
      <c r="AO825" s="693" t="n"/>
      <c r="AP825" s="693" t="n"/>
      <c r="AQ825" s="693" t="n"/>
      <c r="AR825" s="693" t="n"/>
      <c r="AS825" s="693" t="n"/>
      <c r="AT825" s="693" t="n"/>
      <c r="AU825" s="699" t="n"/>
      <c r="AV825" s="693" t="n"/>
      <c r="AW825" s="693" t="n"/>
      <c r="AX825" s="693" t="n"/>
      <c r="AY825" s="693" t="n"/>
      <c r="AZ825" s="693" t="n"/>
    </row>
    <row r="826">
      <c r="A826" s="688" t="n"/>
      <c r="B826" s="688" t="n"/>
      <c r="C826" s="473" t="n"/>
      <c r="D826" s="688" t="n"/>
      <c r="E826" s="689" t="n"/>
      <c r="F826" s="721" t="n"/>
      <c r="G8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6" s="474">
        <f>G826/#REF!</f>
        <v/>
      </c>
      <c r="I826" s="690" t="n"/>
      <c r="J8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6" s="474">
        <f>J826/#REF!</f>
        <v/>
      </c>
      <c r="L826" s="473" t="n"/>
      <c r="M826" s="692" t="n"/>
      <c r="N826" s="693" t="n"/>
      <c r="O826" s="78" t="n"/>
      <c r="P826" s="129" t="n"/>
      <c r="Q826" s="129" t="n"/>
      <c r="R826" s="129" t="n"/>
      <c r="S826" s="129" t="n"/>
      <c r="T826" s="129" t="n"/>
      <c r="U826" s="129" t="n"/>
      <c r="V826" s="129" t="n"/>
      <c r="W826" s="129" t="n"/>
      <c r="X826" s="129" t="n"/>
      <c r="Y826" s="708" t="n"/>
      <c r="Z826" s="709" t="n"/>
      <c r="AA826" s="710" t="n"/>
      <c r="AB826" s="590" t="n"/>
      <c r="AC826" s="591" t="n"/>
      <c r="AD826" s="592" t="n"/>
      <c r="AE826" s="593" t="n"/>
      <c r="AF826" s="594" t="n"/>
      <c r="AG826" s="693" t="n"/>
      <c r="AH826" s="721" t="n"/>
      <c r="AI826" s="721" t="n"/>
      <c r="AJ826" s="688" t="n"/>
      <c r="AK826" s="689" t="n"/>
      <c r="AL826" s="690" t="n"/>
      <c r="AM826" s="691" t="n"/>
      <c r="AN826" s="692" t="n"/>
      <c r="AO826" s="693" t="n"/>
      <c r="AP826" s="693" t="n"/>
      <c r="AQ826" s="693" t="n"/>
      <c r="AR826" s="693" t="n"/>
      <c r="AS826" s="693" t="n"/>
      <c r="AT826" s="693" t="n"/>
      <c r="AU826" s="699" t="n"/>
      <c r="AV826" s="693" t="n"/>
      <c r="AW826" s="693" t="n"/>
      <c r="AX826" s="693" t="n"/>
      <c r="AY826" s="693" t="n"/>
      <c r="AZ826" s="693" t="n"/>
    </row>
    <row r="827">
      <c r="A827" s="688" t="n"/>
      <c r="B827" s="688" t="n"/>
      <c r="C827" s="473" t="n"/>
      <c r="D827" s="688" t="n"/>
      <c r="E827" s="689" t="n"/>
      <c r="F827" s="721" t="n"/>
      <c r="G8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7" s="474">
        <f>G827/#REF!</f>
        <v/>
      </c>
      <c r="I827" s="690" t="n"/>
      <c r="J8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7" s="474">
        <f>J827/#REF!</f>
        <v/>
      </c>
      <c r="L827" s="473" t="n"/>
      <c r="M827" s="692" t="n"/>
      <c r="N827" s="693" t="n"/>
      <c r="O827" s="78" t="n"/>
      <c r="P827" s="129" t="n"/>
      <c r="Q827" s="129" t="n"/>
      <c r="R827" s="129" t="n"/>
      <c r="S827" s="129" t="n"/>
      <c r="T827" s="129" t="n"/>
      <c r="U827" s="129" t="n"/>
      <c r="V827" s="129" t="n"/>
      <c r="W827" s="129" t="n"/>
      <c r="X827" s="129" t="n"/>
      <c r="Y827" s="703" t="n"/>
      <c r="Z827" s="704" t="n"/>
      <c r="AA827" s="705" t="n"/>
      <c r="AB827" s="613" t="n"/>
      <c r="AC827" s="614" t="n"/>
      <c r="AD827" s="628" t="n"/>
      <c r="AE827" s="616" t="n"/>
      <c r="AF827" s="617" t="n"/>
      <c r="AG827" s="693" t="n"/>
      <c r="AH827" s="721" t="n"/>
      <c r="AI827" s="721" t="n"/>
      <c r="AJ827" s="688" t="n"/>
      <c r="AK827" s="689" t="n"/>
      <c r="AL827" s="690" t="n"/>
      <c r="AM827" s="691" t="n"/>
      <c r="AN827" s="692" t="n"/>
      <c r="AO827" s="693" t="n"/>
      <c r="AP827" s="693" t="n"/>
      <c r="AQ827" s="693" t="n"/>
      <c r="AR827" s="693" t="n"/>
      <c r="AS827" s="693" t="n"/>
      <c r="AT827" s="693" t="n"/>
      <c r="AU827" s="699" t="n"/>
      <c r="AV827" s="693" t="n"/>
      <c r="AW827" s="693" t="n"/>
      <c r="AX827" s="693" t="n"/>
      <c r="AY827" s="693" t="n"/>
      <c r="AZ827" s="693" t="n"/>
    </row>
    <row r="828">
      <c r="A828" s="688" t="n"/>
      <c r="B828" s="688" t="n"/>
      <c r="C828" s="473" t="n"/>
      <c r="D828" s="688" t="n"/>
      <c r="E828" s="689" t="n"/>
      <c r="F828" s="721" t="n"/>
      <c r="G8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8" s="474">
        <f>G828/#REF!</f>
        <v/>
      </c>
      <c r="I828" s="690" t="n"/>
      <c r="J8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8" s="474">
        <f>J828/#REF!</f>
        <v/>
      </c>
      <c r="L828" s="473" t="n"/>
      <c r="M828" s="692" t="n"/>
      <c r="N828" s="693" t="n"/>
      <c r="O828" s="78" t="n"/>
      <c r="P828" s="129" t="n"/>
      <c r="Q828" s="129" t="n"/>
      <c r="R828" s="129" t="n"/>
      <c r="S828" s="129" t="n"/>
      <c r="T828" s="129" t="n"/>
      <c r="U828" s="129" t="n"/>
      <c r="V828" s="129" t="n"/>
      <c r="W828" s="129" t="n"/>
      <c r="X828" s="129" t="n"/>
      <c r="Y828" s="708" t="n"/>
      <c r="Z828" s="709" t="n"/>
      <c r="AA828" s="710" t="n"/>
      <c r="AB828" s="590" t="n"/>
      <c r="AC828" s="591" t="n"/>
      <c r="AD828" s="592" t="n"/>
      <c r="AE828" s="593" t="n"/>
      <c r="AF828" s="594" t="n"/>
      <c r="AG828" s="693" t="n"/>
      <c r="AH828" s="721" t="n"/>
      <c r="AI828" s="721" t="n"/>
      <c r="AJ828" s="688" t="n"/>
      <c r="AK828" s="689" t="n"/>
      <c r="AL828" s="690" t="n"/>
      <c r="AM828" s="691" t="n"/>
      <c r="AN828" s="692" t="n"/>
      <c r="AO828" s="693" t="n"/>
      <c r="AP828" s="693" t="n"/>
      <c r="AQ828" s="693" t="n"/>
      <c r="AR828" s="693" t="n"/>
      <c r="AS828" s="693" t="n"/>
      <c r="AT828" s="693" t="n"/>
      <c r="AU828" s="699" t="n"/>
      <c r="AV828" s="693" t="n"/>
      <c r="AW828" s="693" t="n"/>
      <c r="AX828" s="693" t="n"/>
      <c r="AY828" s="693" t="n"/>
      <c r="AZ828" s="693" t="n"/>
    </row>
    <row r="829">
      <c r="A829" s="688" t="n"/>
      <c r="B829" s="688" t="n"/>
      <c r="C829" s="473" t="n"/>
      <c r="D829" s="688" t="n"/>
      <c r="E829" s="689" t="n"/>
      <c r="F829" s="721" t="n"/>
      <c r="G8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29" s="474">
        <f>G829/#REF!</f>
        <v/>
      </c>
      <c r="I829" s="690" t="n"/>
      <c r="J8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29" s="474">
        <f>J829/#REF!</f>
        <v/>
      </c>
      <c r="L829" s="473" t="n"/>
      <c r="M829" s="692" t="n"/>
      <c r="N829" s="693" t="n"/>
      <c r="O829" s="78" t="n"/>
      <c r="Y829" s="703" t="n"/>
      <c r="Z829" s="704" t="n"/>
      <c r="AA829" s="705" t="n"/>
      <c r="AB829" s="613" t="n"/>
      <c r="AC829" s="614" t="n"/>
      <c r="AD829" s="628" t="n"/>
      <c r="AE829" s="616" t="n"/>
      <c r="AF829" s="617" t="n"/>
      <c r="AG829" s="693" t="n"/>
      <c r="AH829" s="721" t="n"/>
      <c r="AI829" s="721" t="n"/>
      <c r="AJ829" s="688" t="n"/>
      <c r="AK829" s="689" t="n"/>
      <c r="AL829" s="690" t="n"/>
      <c r="AM829" s="691" t="n"/>
      <c r="AN829" s="692" t="n"/>
      <c r="AO829" s="693" t="n"/>
      <c r="AP829" s="693" t="n"/>
      <c r="AQ829" s="693" t="n"/>
      <c r="AR829" s="693" t="n"/>
      <c r="AS829" s="693" t="n"/>
      <c r="AT829" s="693" t="n"/>
      <c r="AU829" s="699" t="n"/>
      <c r="AV829" s="693" t="n"/>
      <c r="AW829" s="693" t="n"/>
      <c r="AX829" s="693" t="n"/>
      <c r="AY829" s="693" t="n"/>
      <c r="AZ829" s="693" t="n"/>
    </row>
    <row r="830">
      <c r="A830" s="688" t="n"/>
      <c r="B830" s="688" t="n"/>
      <c r="C830" s="473" t="n"/>
      <c r="D830" s="688" t="n"/>
      <c r="E830" s="689" t="n"/>
      <c r="F830" s="721" t="n"/>
      <c r="G8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0" s="474">
        <f>G830/#REF!</f>
        <v/>
      </c>
      <c r="I830" s="690" t="n"/>
      <c r="J8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0" s="474">
        <f>J830/#REF!</f>
        <v/>
      </c>
      <c r="L830" s="473" t="n"/>
      <c r="M830" s="692" t="n"/>
      <c r="N830" s="693" t="n"/>
      <c r="O830" s="78" t="n"/>
      <c r="Y830" s="708" t="n"/>
      <c r="Z830" s="709" t="n"/>
      <c r="AA830" s="710" t="n"/>
      <c r="AB830" s="590" t="n"/>
      <c r="AC830" s="591" t="n"/>
      <c r="AD830" s="592" t="n"/>
      <c r="AE830" s="593" t="n"/>
      <c r="AF830" s="594" t="n"/>
      <c r="AG830" s="693" t="n"/>
      <c r="AH830" s="721" t="n"/>
      <c r="AI830" s="721" t="n"/>
      <c r="AJ830" s="688" t="n"/>
      <c r="AK830" s="689" t="n"/>
      <c r="AL830" s="690" t="n"/>
      <c r="AM830" s="691" t="n"/>
      <c r="AN830" s="692" t="n"/>
      <c r="AO830" s="693" t="n"/>
      <c r="AP830" s="693" t="n"/>
      <c r="AQ830" s="693" t="n"/>
      <c r="AR830" s="693" t="n"/>
      <c r="AS830" s="693" t="n"/>
      <c r="AT830" s="693" t="n"/>
      <c r="AU830" s="699" t="n"/>
      <c r="AV830" s="693" t="n"/>
      <c r="AW830" s="693" t="n"/>
      <c r="AX830" s="693" t="n"/>
      <c r="AY830" s="693" t="n"/>
      <c r="AZ830" s="693" t="n"/>
    </row>
    <row r="831">
      <c r="A831" s="688" t="n"/>
      <c r="B831" s="688" t="n"/>
      <c r="C831" s="473" t="n"/>
      <c r="D831" s="688" t="n"/>
      <c r="E831" s="689" t="n"/>
      <c r="F831" s="721" t="n"/>
      <c r="G8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1" s="474">
        <f>G831/#REF!</f>
        <v/>
      </c>
      <c r="I831" s="690" t="n"/>
      <c r="J8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1" s="474">
        <f>J831/#REF!</f>
        <v/>
      </c>
      <c r="L831" s="473" t="n"/>
      <c r="M831" s="692" t="n"/>
      <c r="N831" s="693" t="n"/>
      <c r="O831" s="78" t="n"/>
      <c r="Y831" s="703" t="n"/>
      <c r="Z831" s="704" t="n"/>
      <c r="AA831" s="705" t="n"/>
      <c r="AB831" s="613" t="n"/>
      <c r="AC831" s="614" t="n"/>
      <c r="AD831" s="628" t="n"/>
      <c r="AE831" s="616" t="n"/>
      <c r="AF831" s="617" t="n"/>
      <c r="AG831" s="693" t="n"/>
      <c r="AH831" s="721" t="n"/>
      <c r="AI831" s="721" t="n"/>
      <c r="AJ831" s="688" t="n"/>
      <c r="AK831" s="689" t="n"/>
      <c r="AL831" s="690" t="n"/>
      <c r="AM831" s="691" t="n"/>
      <c r="AN831" s="692" t="n"/>
      <c r="AO831" s="693" t="n"/>
      <c r="AP831" s="693" t="n"/>
      <c r="AQ831" s="693" t="n"/>
      <c r="AR831" s="693" t="n"/>
      <c r="AS831" s="693" t="n"/>
      <c r="AT831" s="693" t="n"/>
      <c r="AU831" s="699" t="n"/>
      <c r="AV831" s="693" t="n"/>
      <c r="AW831" s="693" t="n"/>
      <c r="AX831" s="693" t="n"/>
      <c r="AY831" s="693" t="n"/>
      <c r="AZ831" s="693" t="n"/>
    </row>
    <row r="832">
      <c r="A832" s="688" t="n"/>
      <c r="B832" s="688" t="n"/>
      <c r="C832" s="473" t="n"/>
      <c r="D832" s="688" t="n"/>
      <c r="E832" s="689" t="n"/>
      <c r="F832" s="721" t="n"/>
      <c r="G8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2" s="474">
        <f>G832/#REF!</f>
        <v/>
      </c>
      <c r="I832" s="690" t="n"/>
      <c r="J8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2" s="474">
        <f>J832/#REF!</f>
        <v/>
      </c>
      <c r="L832" s="473" t="n"/>
      <c r="M832" s="692" t="n"/>
      <c r="N832" s="693" t="n"/>
      <c r="O832" s="78" t="n"/>
      <c r="Y832" s="708" t="n"/>
      <c r="Z832" s="709" t="n"/>
      <c r="AA832" s="710" t="n"/>
      <c r="AB832" s="590" t="n"/>
      <c r="AC832" s="591" t="n"/>
      <c r="AD832" s="592" t="n"/>
      <c r="AE832" s="593" t="n"/>
      <c r="AF832" s="594" t="n"/>
      <c r="AG832" s="693" t="n"/>
      <c r="AP832" s="693" t="n"/>
      <c r="AQ832" s="693" t="n"/>
      <c r="AR832" s="693" t="n"/>
      <c r="AS832" s="693" t="n"/>
      <c r="AT832" s="693" t="n"/>
      <c r="AU832" s="699" t="n"/>
      <c r="AV832" s="693" t="n"/>
      <c r="AW832" s="693" t="n"/>
      <c r="AX832" s="693" t="n"/>
      <c r="AY832" s="693" t="n"/>
      <c r="AZ832" s="693" t="n"/>
    </row>
    <row r="833">
      <c r="A833" s="688" t="n"/>
      <c r="B833" s="688" t="n"/>
      <c r="C833" s="473" t="n"/>
      <c r="D833" s="688" t="n"/>
      <c r="E833" s="689" t="n"/>
      <c r="F833" s="721" t="n"/>
      <c r="G8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3" s="474">
        <f>G833/#REF!</f>
        <v/>
      </c>
      <c r="I833" s="690" t="n"/>
      <c r="J8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3" s="474">
        <f>J833/#REF!</f>
        <v/>
      </c>
      <c r="L833" s="473" t="n"/>
      <c r="M833" s="692" t="n"/>
      <c r="N833" s="693" t="n"/>
      <c r="O833" s="78" t="n"/>
      <c r="Y833" s="703" t="n"/>
      <c r="Z833" s="704" t="n"/>
      <c r="AA833" s="705" t="n"/>
      <c r="AB833" s="613" t="n"/>
      <c r="AC833" s="614" t="n"/>
      <c r="AD833" s="628" t="n"/>
      <c r="AE833" s="616" t="n"/>
      <c r="AF833" s="617" t="n"/>
      <c r="AG833" s="693" t="n"/>
      <c r="AP833" s="693" t="n"/>
      <c r="AQ833" s="693" t="n"/>
      <c r="AR833" s="693" t="n"/>
      <c r="AS833" s="693" t="n"/>
      <c r="AT833" s="693" t="n"/>
      <c r="AU833" s="699" t="n"/>
      <c r="AV833" s="693" t="n"/>
      <c r="AW833" s="693" t="n"/>
      <c r="AX833" s="693" t="n"/>
      <c r="AY833" s="693" t="n"/>
      <c r="AZ833" s="693" t="n"/>
    </row>
    <row r="834">
      <c r="A834" s="688" t="n"/>
      <c r="B834" s="688" t="n"/>
      <c r="C834" s="473" t="n"/>
      <c r="D834" s="688" t="n"/>
      <c r="E834" s="689" t="n"/>
      <c r="F834" s="721" t="n"/>
      <c r="G8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4" s="474">
        <f>G834/#REF!</f>
        <v/>
      </c>
      <c r="I834" s="690" t="n"/>
      <c r="J8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4" s="474">
        <f>J834/#REF!</f>
        <v/>
      </c>
      <c r="L834" s="473" t="n"/>
      <c r="M834" s="692" t="n"/>
      <c r="N834" s="693" t="n"/>
      <c r="O834" s="78" t="n"/>
      <c r="Y834" s="708" t="n"/>
      <c r="Z834" s="709" t="n"/>
      <c r="AA834" s="710" t="n"/>
      <c r="AB834" s="590" t="n"/>
      <c r="AC834" s="591" t="n"/>
      <c r="AD834" s="592" t="n"/>
      <c r="AE834" s="593" t="n"/>
      <c r="AF834" s="594" t="n"/>
      <c r="AG834" s="693" t="n"/>
      <c r="AP834" s="693" t="n"/>
      <c r="AQ834" s="693" t="n"/>
      <c r="AR834" s="693" t="n"/>
      <c r="AS834" s="693" t="n"/>
      <c r="AT834" s="693" t="n"/>
      <c r="AU834" s="699" t="n"/>
      <c r="AV834" s="693" t="n"/>
      <c r="AW834" s="693" t="n"/>
      <c r="AX834" s="693" t="n"/>
      <c r="AY834" s="693" t="n"/>
      <c r="AZ834" s="693" t="n"/>
    </row>
    <row r="835">
      <c r="A835" s="688" t="n"/>
      <c r="B835" s="688" t="n"/>
      <c r="C835" s="473" t="n"/>
      <c r="D835" s="688" t="n"/>
      <c r="E835" s="689" t="n"/>
      <c r="F835" s="721" t="n"/>
      <c r="G8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5" s="474">
        <f>G835/#REF!</f>
        <v/>
      </c>
      <c r="I835" s="690" t="n"/>
      <c r="J83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5" s="474">
        <f>J835/#REF!</f>
        <v/>
      </c>
      <c r="L835" s="473" t="n"/>
      <c r="M835" s="692" t="n"/>
      <c r="N835" s="693" t="n"/>
      <c r="O835" s="78" t="n"/>
      <c r="Y835" s="703" t="n"/>
      <c r="Z835" s="704" t="n"/>
      <c r="AA835" s="705" t="n"/>
      <c r="AB835" s="613" t="n"/>
      <c r="AC835" s="614" t="n"/>
      <c r="AD835" s="628" t="n"/>
      <c r="AE835" s="616" t="n"/>
      <c r="AF835" s="617" t="n"/>
      <c r="AG835" s="693" t="n"/>
      <c r="AP835" s="693" t="n"/>
      <c r="AQ835" s="693" t="n"/>
      <c r="AR835" s="693" t="n"/>
      <c r="AS835" s="693" t="n"/>
      <c r="AT835" s="693" t="n"/>
      <c r="AU835" s="699" t="n"/>
      <c r="AV835" s="693" t="n"/>
      <c r="AW835" s="693" t="n"/>
      <c r="AX835" s="693" t="n"/>
      <c r="AY835" s="693" t="n"/>
      <c r="AZ835" s="693" t="n"/>
    </row>
    <row r="836">
      <c r="A836" s="688" t="n"/>
      <c r="B836" s="688" t="n"/>
      <c r="C836" s="473" t="n"/>
      <c r="D836" s="688" t="n"/>
      <c r="E836" s="689" t="n"/>
      <c r="F836" s="721" t="n"/>
      <c r="G8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6" s="474">
        <f>G836/#REF!</f>
        <v/>
      </c>
      <c r="I836" s="690" t="n"/>
      <c r="J83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6" s="474">
        <f>J836/#REF!</f>
        <v/>
      </c>
      <c r="L836" s="473" t="n"/>
      <c r="M836" s="692" t="n"/>
      <c r="N836" s="693" t="n"/>
      <c r="O836" s="78" t="n"/>
      <c r="Y836" s="708" t="n"/>
      <c r="Z836" s="709" t="n"/>
      <c r="AA836" s="710" t="n"/>
      <c r="AB836" s="590" t="n"/>
      <c r="AC836" s="591" t="n"/>
      <c r="AD836" s="592" t="n"/>
      <c r="AE836" s="593" t="n"/>
      <c r="AF836" s="594" t="n"/>
      <c r="AG836" s="693" t="n"/>
      <c r="AP836" s="693" t="n"/>
      <c r="AQ836" s="693" t="n"/>
      <c r="AR836" s="693" t="n"/>
      <c r="AS836" s="693" t="n"/>
      <c r="AT836" s="693" t="n"/>
      <c r="AU836" s="699" t="n"/>
      <c r="AV836" s="693" t="n"/>
      <c r="AW836" s="693" t="n"/>
      <c r="AX836" s="693" t="n"/>
      <c r="AY836" s="693" t="n"/>
      <c r="AZ836" s="693" t="n"/>
    </row>
    <row r="837">
      <c r="A837" s="688" t="n"/>
      <c r="B837" s="688" t="n"/>
      <c r="C837" s="473" t="n"/>
      <c r="D837" s="688" t="n"/>
      <c r="E837" s="689" t="n"/>
      <c r="F837" s="721" t="n"/>
      <c r="G8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7" s="474">
        <f>G837/#REF!</f>
        <v/>
      </c>
      <c r="I837" s="690" t="n"/>
      <c r="J83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7" s="474">
        <f>J837/#REF!</f>
        <v/>
      </c>
      <c r="L837" s="473" t="n"/>
      <c r="M837" s="692" t="n"/>
      <c r="N837" s="693" t="n"/>
      <c r="O837" s="78" t="n"/>
      <c r="Y837" s="703" t="n"/>
      <c r="Z837" s="704" t="n"/>
      <c r="AA837" s="705" t="n"/>
      <c r="AB837" s="613" t="n"/>
      <c r="AC837" s="614" t="n"/>
      <c r="AD837" s="628" t="n"/>
      <c r="AE837" s="616" t="n"/>
      <c r="AF837" s="617" t="n"/>
      <c r="AG837" s="693" t="n"/>
      <c r="AP837" s="693" t="n"/>
      <c r="AQ837" s="693" t="n"/>
      <c r="AR837" s="693" t="n"/>
      <c r="AS837" s="693" t="n"/>
      <c r="AT837" s="693" t="n"/>
      <c r="AU837" s="699" t="n"/>
      <c r="AV837" s="693" t="n"/>
      <c r="AW837" s="693" t="n"/>
      <c r="AX837" s="693" t="n"/>
      <c r="AY837" s="693" t="n"/>
      <c r="AZ837" s="693" t="n"/>
    </row>
    <row r="838">
      <c r="A838" s="688" t="n"/>
      <c r="B838" s="688" t="n"/>
      <c r="C838" s="473" t="n"/>
      <c r="D838" s="688" t="n"/>
      <c r="E838" s="689" t="n"/>
      <c r="F838" s="721" t="n"/>
      <c r="G8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8" s="474">
        <f>G838/#REF!</f>
        <v/>
      </c>
      <c r="I838" s="690" t="n"/>
      <c r="J83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8" s="474">
        <f>J838/#REF!</f>
        <v/>
      </c>
      <c r="L838" s="473" t="n"/>
      <c r="M838" s="692" t="n"/>
      <c r="N838" s="693" t="n"/>
      <c r="O838" s="78" t="n"/>
      <c r="Y838" s="708" t="n"/>
      <c r="Z838" s="709" t="n"/>
      <c r="AA838" s="710" t="n"/>
      <c r="AB838" s="590" t="n"/>
      <c r="AC838" s="591" t="n"/>
      <c r="AD838" s="592" t="n"/>
      <c r="AE838" s="593" t="n"/>
      <c r="AF838" s="594" t="n"/>
      <c r="AG838" s="693" t="n"/>
      <c r="AP838" s="693" t="n"/>
      <c r="AQ838" s="693" t="n"/>
      <c r="AR838" s="693" t="n"/>
      <c r="AS838" s="693" t="n"/>
      <c r="AT838" s="693" t="n"/>
      <c r="AU838" s="699" t="n"/>
      <c r="AV838" s="693" t="n"/>
      <c r="AW838" s="693" t="n"/>
      <c r="AX838" s="693" t="n"/>
      <c r="AY838" s="693" t="n"/>
      <c r="AZ838" s="693" t="n"/>
    </row>
    <row r="839">
      <c r="A839" s="688" t="n"/>
      <c r="B839" s="688" t="n"/>
      <c r="C839" s="473" t="n"/>
      <c r="D839" s="688" t="n"/>
      <c r="E839" s="689" t="n"/>
      <c r="F839" s="721" t="n"/>
      <c r="G8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39" s="474">
        <f>G839/#REF!</f>
        <v/>
      </c>
      <c r="I839" s="690" t="n"/>
      <c r="J83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39" s="474">
        <f>J839/#REF!</f>
        <v/>
      </c>
      <c r="L839" s="473" t="n"/>
      <c r="M839" s="692" t="n"/>
      <c r="N839" s="693" t="n"/>
      <c r="O839" s="78" t="n"/>
      <c r="Y839" s="703" t="n"/>
      <c r="Z839" s="704" t="n"/>
      <c r="AA839" s="705" t="n"/>
      <c r="AB839" s="613" t="n"/>
      <c r="AC839" s="614" t="n"/>
      <c r="AD839" s="628" t="n"/>
      <c r="AE839" s="616" t="n"/>
      <c r="AF839" s="617" t="n"/>
      <c r="AG839" s="693" t="n"/>
      <c r="AP839" s="693" t="n"/>
      <c r="AQ839" s="693" t="n"/>
      <c r="AR839" s="693" t="n"/>
      <c r="AS839" s="693" t="n"/>
      <c r="AT839" s="693" t="n"/>
      <c r="AU839" s="699" t="n"/>
      <c r="AV839" s="693" t="n"/>
      <c r="AW839" s="693" t="n"/>
      <c r="AX839" s="693" t="n"/>
      <c r="AY839" s="693" t="n"/>
      <c r="AZ839" s="693" t="n"/>
    </row>
    <row r="840">
      <c r="A840" s="688" t="n"/>
      <c r="B840" s="688" t="n"/>
      <c r="C840" s="473" t="n"/>
      <c r="D840" s="688" t="n"/>
      <c r="E840" s="689" t="n"/>
      <c r="F840" s="721" t="n"/>
      <c r="G8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0" s="474">
        <f>G840/#REF!</f>
        <v/>
      </c>
      <c r="I840" s="690" t="n"/>
      <c r="J84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0" s="474">
        <f>J840/#REF!</f>
        <v/>
      </c>
      <c r="L840" s="473" t="n"/>
      <c r="M840" s="692" t="n"/>
      <c r="N840" s="693" t="n"/>
      <c r="O840" s="78" t="n"/>
      <c r="Y840" s="708" t="n"/>
      <c r="Z840" s="709" t="n"/>
      <c r="AA840" s="710" t="n"/>
      <c r="AB840" s="590" t="n"/>
      <c r="AC840" s="591" t="n"/>
      <c r="AD840" s="592" t="n"/>
      <c r="AE840" s="593" t="n"/>
      <c r="AF840" s="594" t="n"/>
      <c r="AG840" s="693" t="n"/>
      <c r="AP840" s="693" t="n"/>
      <c r="AQ840" s="693" t="n"/>
      <c r="AR840" s="693" t="n"/>
      <c r="AS840" s="693" t="n"/>
      <c r="AT840" s="693" t="n"/>
      <c r="AU840" s="699" t="n"/>
      <c r="AV840" s="693" t="n"/>
      <c r="AW840" s="693" t="n"/>
      <c r="AX840" s="693" t="n"/>
      <c r="AY840" s="693" t="n"/>
      <c r="AZ840" s="693" t="n"/>
    </row>
    <row r="841">
      <c r="A841" s="688" t="n"/>
      <c r="B841" s="688" t="n"/>
      <c r="C841" s="473" t="n"/>
      <c r="D841" s="688" t="n"/>
      <c r="E841" s="689" t="n"/>
      <c r="F841" s="721" t="n"/>
      <c r="G8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1" s="474">
        <f>G841/#REF!</f>
        <v/>
      </c>
      <c r="I841" s="690" t="n"/>
      <c r="J84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1" s="474">
        <f>J841/#REF!</f>
        <v/>
      </c>
      <c r="L841" s="473" t="n"/>
      <c r="M841" s="692" t="n"/>
      <c r="N841" s="693" t="n"/>
      <c r="O841" s="78" t="n"/>
      <c r="Y841" s="703" t="n"/>
      <c r="Z841" s="704" t="n"/>
      <c r="AA841" s="705" t="n"/>
      <c r="AB841" s="613" t="n"/>
      <c r="AC841" s="614" t="n"/>
      <c r="AD841" s="628" t="n"/>
      <c r="AE841" s="616" t="n"/>
      <c r="AF841" s="617" t="n"/>
      <c r="AG841" s="693" t="n"/>
      <c r="AP841" s="693" t="n"/>
      <c r="AQ841" s="693" t="n"/>
      <c r="AR841" s="693" t="n"/>
      <c r="AS841" s="693" t="n"/>
      <c r="AT841" s="693" t="n"/>
      <c r="AU841" s="699" t="n"/>
      <c r="AV841" s="693" t="n"/>
      <c r="AW841" s="693" t="n"/>
      <c r="AX841" s="693" t="n"/>
      <c r="AY841" s="693" t="n"/>
      <c r="AZ841" s="693" t="n"/>
    </row>
    <row r="842">
      <c r="A842" s="688" t="n"/>
      <c r="B842" s="688" t="n"/>
      <c r="C842" s="473" t="n"/>
      <c r="D842" s="688" t="n"/>
      <c r="E842" s="689" t="n"/>
      <c r="F842" s="721" t="n"/>
      <c r="G8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2" s="474">
        <f>G842/#REF!</f>
        <v/>
      </c>
      <c r="I842" s="690" t="n"/>
      <c r="J84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2" s="474">
        <f>J842/#REF!</f>
        <v/>
      </c>
      <c r="L842" s="473" t="n"/>
      <c r="M842" s="692" t="n"/>
      <c r="N842" s="693" t="n"/>
      <c r="O842" s="78" t="n"/>
      <c r="Y842" s="708" t="n"/>
      <c r="Z842" s="709" t="n"/>
      <c r="AA842" s="710" t="n"/>
      <c r="AB842" s="590" t="n"/>
      <c r="AC842" s="591" t="n"/>
      <c r="AD842" s="592" t="n"/>
      <c r="AE842" s="593" t="n"/>
      <c r="AF842" s="594" t="n"/>
      <c r="AG842" s="693" t="n"/>
      <c r="AP842" s="693" t="n"/>
      <c r="AQ842" s="693" t="n"/>
      <c r="AR842" s="693" t="n"/>
      <c r="AS842" s="693" t="n"/>
      <c r="AT842" s="693" t="n"/>
      <c r="AU842" s="699" t="n"/>
      <c r="AV842" s="693" t="n"/>
      <c r="AW842" s="693" t="n"/>
      <c r="AX842" s="693" t="n"/>
      <c r="AY842" s="693" t="n"/>
      <c r="AZ842" s="693" t="n"/>
    </row>
    <row r="843">
      <c r="A843" s="688" t="n"/>
      <c r="B843" s="688" t="n"/>
      <c r="C843" s="473" t="n"/>
      <c r="D843" s="688" t="n"/>
      <c r="E843" s="689" t="n"/>
      <c r="F843" s="721" t="n"/>
      <c r="G8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3" s="474">
        <f>G843/#REF!</f>
        <v/>
      </c>
      <c r="I843" s="690" t="n"/>
      <c r="J84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3" s="474">
        <f>J843/#REF!</f>
        <v/>
      </c>
      <c r="L843" s="473" t="n"/>
      <c r="M843" s="692" t="n"/>
      <c r="N843" s="693" t="n"/>
      <c r="O843" s="78" t="n"/>
      <c r="Y843" s="703" t="n"/>
      <c r="Z843" s="704" t="n"/>
      <c r="AA843" s="705" t="n"/>
      <c r="AB843" s="613" t="n"/>
      <c r="AC843" s="614" t="n"/>
      <c r="AD843" s="628" t="n"/>
      <c r="AE843" s="616" t="n"/>
      <c r="AF843" s="617" t="n"/>
      <c r="AG843" s="693" t="n"/>
      <c r="AP843" s="693" t="n"/>
      <c r="AQ843" s="693" t="n"/>
      <c r="AR843" s="693" t="n"/>
      <c r="AS843" s="693" t="n"/>
      <c r="AT843" s="693" t="n"/>
      <c r="AU843" s="699" t="n"/>
      <c r="AV843" s="693" t="n"/>
      <c r="AW843" s="693" t="n"/>
      <c r="AX843" s="693" t="n"/>
      <c r="AY843" s="693" t="n"/>
      <c r="AZ843" s="693" t="n"/>
    </row>
    <row r="844">
      <c r="A844" s="688" t="n"/>
      <c r="B844" s="688" t="n"/>
      <c r="C844" s="473" t="n"/>
      <c r="D844" s="688" t="n"/>
      <c r="E844" s="689" t="n"/>
      <c r="F844" s="721" t="n"/>
      <c r="G8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4" s="474">
        <f>G844/#REF!</f>
        <v/>
      </c>
      <c r="I844" s="690" t="n"/>
      <c r="J84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4" s="474">
        <f>J844/#REF!</f>
        <v/>
      </c>
      <c r="L844" s="473" t="n"/>
      <c r="M844" s="692" t="n"/>
      <c r="N844" s="693" t="n"/>
      <c r="O844" s="78" t="n"/>
      <c r="Y844" s="708" t="n"/>
      <c r="Z844" s="709" t="n"/>
      <c r="AA844" s="710" t="n"/>
      <c r="AB844" s="590" t="n"/>
      <c r="AC844" s="591" t="n"/>
      <c r="AD844" s="592" t="n"/>
      <c r="AE844" s="593" t="n"/>
      <c r="AF844" s="594" t="n"/>
      <c r="AG844" s="693" t="n"/>
      <c r="AP844" s="693" t="n"/>
      <c r="AQ844" s="693" t="n"/>
      <c r="AR844" s="693" t="n"/>
      <c r="AS844" s="693" t="n"/>
      <c r="AT844" s="693" t="n"/>
      <c r="AU844" s="699" t="n"/>
      <c r="AV844" s="693" t="n"/>
      <c r="AW844" s="693" t="n"/>
      <c r="AX844" s="693" t="n"/>
      <c r="AY844" s="693" t="n"/>
      <c r="AZ844" s="693" t="n"/>
    </row>
    <row r="845">
      <c r="A845" s="688" t="n"/>
      <c r="B845" s="688" t="n"/>
      <c r="C845" s="473" t="n"/>
      <c r="D845" s="688" t="n"/>
      <c r="E845" s="689" t="n"/>
      <c r="F845" s="721" t="n"/>
      <c r="G8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5" s="474">
        <f>G845/#REF!</f>
        <v/>
      </c>
      <c r="I845" s="690" t="n"/>
      <c r="J84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5" s="474">
        <f>J845/#REF!</f>
        <v/>
      </c>
      <c r="L845" s="473" t="n"/>
      <c r="M845" s="692" t="n"/>
      <c r="N845" s="693" t="n"/>
      <c r="O845" s="78" t="n"/>
      <c r="Y845" s="703" t="n"/>
      <c r="Z845" s="704" t="n"/>
      <c r="AA845" s="705" t="n"/>
      <c r="AB845" s="613" t="n"/>
      <c r="AC845" s="614" t="n"/>
      <c r="AD845" s="628" t="n"/>
      <c r="AE845" s="616" t="n"/>
      <c r="AF845" s="617" t="n"/>
      <c r="AG845" s="693" t="n"/>
      <c r="AP845" s="693" t="n"/>
      <c r="AQ845" s="693" t="n"/>
      <c r="AR845" s="693" t="n"/>
      <c r="AS845" s="693" t="n"/>
      <c r="AT845" s="693" t="n"/>
      <c r="AU845" s="699" t="n"/>
      <c r="AV845" s="693" t="n"/>
      <c r="AW845" s="693" t="n"/>
      <c r="AX845" s="693" t="n"/>
      <c r="AY845" s="693" t="n"/>
      <c r="AZ845" s="693" t="n"/>
    </row>
    <row r="846">
      <c r="A846" s="688" t="n"/>
      <c r="B846" s="688" t="n"/>
      <c r="C846" s="473" t="n"/>
      <c r="D846" s="688" t="n"/>
      <c r="E846" s="689" t="n"/>
      <c r="F846" s="721" t="n"/>
      <c r="G8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6" s="474">
        <f>G846/#REF!</f>
        <v/>
      </c>
      <c r="I846" s="690" t="n"/>
      <c r="J84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6" s="474">
        <f>J846/#REF!</f>
        <v/>
      </c>
      <c r="L846" s="473" t="n"/>
      <c r="M846" s="692" t="n"/>
      <c r="N846" s="693" t="n"/>
      <c r="O846" s="78" t="n"/>
      <c r="Y846" s="708" t="n"/>
      <c r="Z846" s="709" t="n"/>
      <c r="AA846" s="710" t="n"/>
      <c r="AB846" s="590" t="n"/>
      <c r="AC846" s="591" t="n"/>
      <c r="AD846" s="592" t="n"/>
      <c r="AE846" s="593" t="n"/>
      <c r="AF846" s="594" t="n"/>
      <c r="AG846" s="693" t="n"/>
      <c r="AP846" s="693" t="n"/>
      <c r="AQ846" s="693" t="n"/>
      <c r="AR846" s="693" t="n"/>
      <c r="AS846" s="693" t="n"/>
      <c r="AT846" s="693" t="n"/>
      <c r="AU846" s="699" t="n"/>
      <c r="AV846" s="693" t="n"/>
      <c r="AW846" s="693" t="n"/>
      <c r="AX846" s="693" t="n"/>
      <c r="AY846" s="693" t="n"/>
      <c r="AZ846" s="693" t="n"/>
    </row>
    <row r="847">
      <c r="A847" s="688" t="n"/>
      <c r="B847" s="688" t="n"/>
      <c r="C847" s="473" t="n"/>
      <c r="D847" s="688" t="n"/>
      <c r="E847" s="689" t="n"/>
      <c r="F847" s="721" t="n"/>
      <c r="G8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7" s="474">
        <f>G847/#REF!</f>
        <v/>
      </c>
      <c r="I847" s="690" t="n"/>
      <c r="J84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7" s="474">
        <f>J847/#REF!</f>
        <v/>
      </c>
      <c r="L847" s="473" t="n"/>
      <c r="M847" s="692" t="n"/>
      <c r="N847" s="693" t="n"/>
      <c r="O847" s="78" t="n"/>
      <c r="Y847" s="703" t="n"/>
      <c r="Z847" s="704" t="n"/>
      <c r="AA847" s="705" t="n"/>
      <c r="AB847" s="613" t="n"/>
      <c r="AC847" s="614" t="n"/>
      <c r="AD847" s="628" t="n"/>
      <c r="AE847" s="616" t="n"/>
      <c r="AF847" s="617" t="n"/>
      <c r="AG847" s="693" t="n"/>
      <c r="AP847" s="693" t="n"/>
      <c r="AQ847" s="693" t="n"/>
      <c r="AR847" s="693" t="n"/>
      <c r="AS847" s="693" t="n"/>
      <c r="AT847" s="693" t="n"/>
      <c r="AU847" s="699" t="n"/>
      <c r="AV847" s="693" t="n"/>
      <c r="AW847" s="693" t="n"/>
      <c r="AX847" s="693" t="n"/>
      <c r="AY847" s="693" t="n"/>
      <c r="AZ847" s="693" t="n"/>
    </row>
    <row r="848">
      <c r="A848" s="688" t="n"/>
      <c r="B848" s="688" t="n"/>
      <c r="C848" s="473" t="n"/>
      <c r="D848" s="688" t="n"/>
      <c r="E848" s="689" t="n"/>
      <c r="F848" s="721" t="n"/>
      <c r="G8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8" s="474">
        <f>G848/#REF!</f>
        <v/>
      </c>
      <c r="I848" s="690" t="n"/>
      <c r="J84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8" s="474">
        <f>J848/#REF!</f>
        <v/>
      </c>
      <c r="L848" s="473" t="n"/>
      <c r="M848" s="692" t="n"/>
      <c r="N848" s="693" t="n"/>
      <c r="O848" s="78" t="n"/>
      <c r="Y848" s="708" t="n"/>
      <c r="Z848" s="709" t="n"/>
      <c r="AA848" s="710" t="n"/>
      <c r="AB848" s="590" t="n"/>
      <c r="AC848" s="591" t="n"/>
      <c r="AD848" s="592" t="n"/>
      <c r="AE848" s="593" t="n"/>
      <c r="AF848" s="594" t="n"/>
      <c r="AG848" s="693" t="n"/>
      <c r="AP848" s="693" t="n"/>
      <c r="AQ848" s="693" t="n"/>
      <c r="AR848" s="693" t="n"/>
      <c r="AS848" s="693" t="n"/>
      <c r="AT848" s="693" t="n"/>
      <c r="AU848" s="699" t="n"/>
      <c r="AV848" s="693" t="n"/>
      <c r="AW848" s="693" t="n"/>
      <c r="AX848" s="693" t="n"/>
      <c r="AY848" s="693" t="n"/>
      <c r="AZ848" s="693" t="n"/>
    </row>
    <row r="849">
      <c r="A849" s="688" t="n"/>
      <c r="B849" s="688" t="n"/>
      <c r="C849" s="473" t="n"/>
      <c r="D849" s="688" t="n"/>
      <c r="E849" s="689" t="n"/>
      <c r="F849" s="721" t="n"/>
      <c r="G8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49" s="474">
        <f>G849/#REF!</f>
        <v/>
      </c>
      <c r="I849" s="690" t="n"/>
      <c r="J84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49" s="474">
        <f>J849/#REF!</f>
        <v/>
      </c>
      <c r="L849" s="473" t="n"/>
      <c r="M849" s="692" t="n"/>
      <c r="N849" s="693" t="n"/>
      <c r="O849" s="78" t="n"/>
      <c r="Y849" s="703" t="n"/>
      <c r="Z849" s="704" t="n"/>
      <c r="AA849" s="705" t="n"/>
      <c r="AB849" s="613" t="n"/>
      <c r="AC849" s="614" t="n"/>
      <c r="AD849" s="628" t="n"/>
      <c r="AE849" s="616" t="n"/>
      <c r="AF849" s="617" t="n"/>
      <c r="AG849" s="693" t="n"/>
      <c r="AP849" s="693" t="n"/>
      <c r="AQ849" s="693" t="n"/>
      <c r="AR849" s="693" t="n"/>
      <c r="AS849" s="693" t="n"/>
      <c r="AT849" s="693" t="n"/>
      <c r="AU849" s="699" t="n"/>
      <c r="AV849" s="693" t="n"/>
      <c r="AW849" s="693" t="n"/>
      <c r="AX849" s="693" t="n"/>
      <c r="AY849" s="693" t="n"/>
      <c r="AZ849" s="693" t="n"/>
    </row>
    <row r="850">
      <c r="A850" s="688" t="n"/>
      <c r="B850" s="688" t="n"/>
      <c r="C850" s="473" t="n"/>
      <c r="D850" s="688" t="n"/>
      <c r="E850" s="689" t="n"/>
      <c r="F850" s="721" t="n"/>
      <c r="G8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0" s="474">
        <f>G850/#REF!</f>
        <v/>
      </c>
      <c r="I850" s="690" t="n"/>
      <c r="J85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0" s="474">
        <f>J850/#REF!</f>
        <v/>
      </c>
      <c r="L850" s="473" t="n"/>
      <c r="M850" s="692" t="n"/>
      <c r="N850" s="693" t="n"/>
      <c r="O850" s="78" t="n"/>
      <c r="Y850" s="708" t="n"/>
      <c r="Z850" s="709" t="n"/>
      <c r="AA850" s="710" t="n"/>
      <c r="AB850" s="590" t="n"/>
      <c r="AC850" s="591" t="n"/>
      <c r="AD850" s="592" t="n"/>
      <c r="AE850" s="593" t="n"/>
      <c r="AF850" s="594" t="n"/>
      <c r="AG850" s="693" t="n"/>
      <c r="AP850" s="693" t="n"/>
      <c r="AQ850" s="693" t="n"/>
      <c r="AR850" s="693" t="n"/>
      <c r="AS850" s="693" t="n"/>
      <c r="AT850" s="693" t="n"/>
      <c r="AU850" s="699" t="n"/>
      <c r="AV850" s="693" t="n"/>
      <c r="AW850" s="693" t="n"/>
      <c r="AX850" s="693" t="n"/>
      <c r="AY850" s="693" t="n"/>
      <c r="AZ850" s="693" t="n"/>
    </row>
    <row r="851">
      <c r="A851" s="688" t="n"/>
      <c r="B851" s="688" t="n"/>
      <c r="C851" s="473" t="n"/>
      <c r="D851" s="688" t="n"/>
      <c r="E851" s="689" t="n"/>
      <c r="F851" s="721" t="n"/>
      <c r="G8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1" s="474">
        <f>G851/#REF!</f>
        <v/>
      </c>
      <c r="I851" s="690" t="n"/>
      <c r="J85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1" s="474">
        <f>J851/#REF!</f>
        <v/>
      </c>
      <c r="L851" s="473" t="n"/>
      <c r="M851" s="692" t="n"/>
      <c r="N851" s="693" t="n"/>
      <c r="O851" s="78" t="n"/>
      <c r="Y851" s="703" t="n"/>
      <c r="Z851" s="704" t="n"/>
      <c r="AA851" s="705" t="n"/>
      <c r="AB851" s="613" t="n"/>
      <c r="AC851" s="614" t="n"/>
      <c r="AD851" s="628" t="n"/>
      <c r="AE851" s="616" t="n"/>
      <c r="AF851" s="617" t="n"/>
      <c r="AG851" s="693" t="n"/>
      <c r="AP851" s="693" t="n"/>
      <c r="AQ851" s="693" t="n"/>
      <c r="AR851" s="693" t="n"/>
      <c r="AS851" s="693" t="n"/>
      <c r="AT851" s="693" t="n"/>
      <c r="AU851" s="699" t="n"/>
      <c r="AV851" s="693" t="n"/>
      <c r="AW851" s="693" t="n"/>
      <c r="AX851" s="693" t="n"/>
      <c r="AY851" s="693" t="n"/>
      <c r="AZ851" s="693" t="n"/>
    </row>
    <row r="852">
      <c r="A852" s="688" t="n"/>
      <c r="B852" s="688" t="n"/>
      <c r="C852" s="473" t="n"/>
      <c r="D852" s="688" t="n"/>
      <c r="E852" s="689" t="n"/>
      <c r="F852" s="721" t="n"/>
      <c r="G8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2" s="474">
        <f>G852/#REF!</f>
        <v/>
      </c>
      <c r="I852" s="690" t="n"/>
      <c r="J85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2" s="474">
        <f>J852/#REF!</f>
        <v/>
      </c>
      <c r="L852" s="473" t="n"/>
      <c r="M852" s="692" t="n"/>
      <c r="N852" s="693" t="n"/>
      <c r="O852" s="78" t="n"/>
      <c r="Y852" s="708" t="n"/>
      <c r="Z852" s="709" t="n"/>
      <c r="AA852" s="710" t="n"/>
      <c r="AB852" s="590" t="n"/>
      <c r="AC852" s="591" t="n"/>
      <c r="AD852" s="592" t="n"/>
      <c r="AE852" s="593" t="n"/>
      <c r="AF852" s="594" t="n"/>
      <c r="AG852" s="693" t="n"/>
      <c r="AP852" s="693" t="n"/>
      <c r="AQ852" s="693" t="n"/>
      <c r="AR852" s="693" t="n"/>
      <c r="AS852" s="693" t="n"/>
      <c r="AT852" s="693" t="n"/>
      <c r="AU852" s="699" t="n"/>
      <c r="AV852" s="693" t="n"/>
      <c r="AW852" s="693" t="n"/>
      <c r="AX852" s="693" t="n"/>
      <c r="AY852" s="693" t="n"/>
      <c r="AZ852" s="693" t="n"/>
    </row>
    <row r="853">
      <c r="A853" s="688" t="n"/>
      <c r="B853" s="688" t="n"/>
      <c r="C853" s="473" t="n"/>
      <c r="D853" s="688" t="n"/>
      <c r="E853" s="689" t="n"/>
      <c r="F853" s="721" t="n"/>
      <c r="G8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3" s="474">
        <f>G853/#REF!</f>
        <v/>
      </c>
      <c r="I853" s="690" t="n"/>
      <c r="J85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3" s="474">
        <f>J853/#REF!</f>
        <v/>
      </c>
      <c r="L853" s="473" t="n"/>
      <c r="M853" s="692" t="n"/>
      <c r="N853" s="693" t="n"/>
      <c r="O853" s="78" t="n"/>
      <c r="Y853" s="703" t="n"/>
      <c r="Z853" s="704" t="n"/>
      <c r="AA853" s="705" t="n"/>
      <c r="AB853" s="613" t="n"/>
      <c r="AC853" s="614" t="n"/>
      <c r="AD853" s="628" t="n"/>
      <c r="AE853" s="616" t="n"/>
      <c r="AF853" s="617" t="n"/>
      <c r="AG853" s="693" t="n"/>
      <c r="AP853" s="693" t="n"/>
      <c r="AQ853" s="693" t="n"/>
      <c r="AR853" s="693" t="n"/>
      <c r="AS853" s="693" t="n"/>
      <c r="AT853" s="693" t="n"/>
      <c r="AU853" s="699" t="n"/>
      <c r="AV853" s="693" t="n"/>
      <c r="AW853" s="693" t="n"/>
      <c r="AX853" s="693" t="n"/>
      <c r="AY853" s="693" t="n"/>
      <c r="AZ853" s="693" t="n"/>
    </row>
    <row r="854">
      <c r="A854" s="688" t="n"/>
      <c r="B854" s="688" t="n"/>
      <c r="C854" s="473" t="n"/>
      <c r="D854" s="688" t="n"/>
      <c r="E854" s="689" t="n"/>
      <c r="F854" s="721" t="n"/>
      <c r="G8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4" s="474">
        <f>G854/#REF!</f>
        <v/>
      </c>
      <c r="I854" s="690" t="n"/>
      <c r="J85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4" s="474">
        <f>J854/#REF!</f>
        <v/>
      </c>
      <c r="L854" s="473" t="n"/>
      <c r="M854" s="692" t="n"/>
      <c r="N854" s="693" t="n"/>
      <c r="O854" s="78" t="n"/>
      <c r="Y854" s="708" t="n"/>
      <c r="Z854" s="709" t="n"/>
      <c r="AA854" s="710" t="n"/>
      <c r="AB854" s="590" t="n"/>
      <c r="AC854" s="591" t="n"/>
      <c r="AD854" s="592" t="n"/>
      <c r="AE854" s="593" t="n"/>
      <c r="AF854" s="594" t="n"/>
      <c r="AG854" s="693" t="n"/>
      <c r="AP854" s="693" t="n"/>
      <c r="AQ854" s="693" t="n"/>
      <c r="AR854" s="693" t="n"/>
      <c r="AS854" s="693" t="n"/>
      <c r="AT854" s="693" t="n"/>
      <c r="AU854" s="699" t="n"/>
      <c r="AV854" s="693" t="n"/>
      <c r="AW854" s="693" t="n"/>
      <c r="AX854" s="693" t="n"/>
      <c r="AY854" s="693" t="n"/>
      <c r="AZ854" s="693" t="n"/>
    </row>
    <row r="855">
      <c r="A855" s="688" t="n"/>
      <c r="B855" s="688" t="n"/>
      <c r="C855" s="473" t="n"/>
      <c r="D855" s="688" t="n"/>
      <c r="E855" s="689" t="n"/>
      <c r="F855" s="721" t="n"/>
      <c r="G8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5" s="474">
        <f>G855/#REF!</f>
        <v/>
      </c>
      <c r="I855" s="690" t="n"/>
      <c r="J85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5" s="474">
        <f>J855/#REF!</f>
        <v/>
      </c>
      <c r="L855" s="473" t="n"/>
      <c r="M855" s="692" t="n"/>
      <c r="N855" s="693" t="n"/>
      <c r="O855" s="78" t="n"/>
      <c r="Y855" s="703" t="n"/>
      <c r="Z855" s="704" t="n"/>
      <c r="AA855" s="705" t="n"/>
      <c r="AB855" s="613" t="n"/>
      <c r="AC855" s="614" t="n"/>
      <c r="AD855" s="628" t="n"/>
      <c r="AE855" s="616" t="n"/>
      <c r="AF855" s="617" t="n"/>
      <c r="AG855" s="693" t="n"/>
      <c r="AP855" s="693" t="n"/>
      <c r="AQ855" s="693" t="n"/>
      <c r="AR855" s="693" t="n"/>
      <c r="AS855" s="693" t="n"/>
      <c r="AT855" s="693" t="n"/>
      <c r="AU855" s="699" t="n"/>
      <c r="AV855" s="693" t="n"/>
      <c r="AW855" s="693" t="n"/>
      <c r="AX855" s="693" t="n"/>
      <c r="AY855" s="693" t="n"/>
      <c r="AZ855" s="693" t="n"/>
    </row>
    <row r="856">
      <c r="A856" s="688" t="n"/>
      <c r="B856" s="688" t="n"/>
      <c r="C856" s="473" t="n"/>
      <c r="D856" s="688" t="n"/>
      <c r="E856" s="689" t="n"/>
      <c r="F856" s="721" t="n"/>
      <c r="G8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6" s="474">
        <f>G856/#REF!</f>
        <v/>
      </c>
      <c r="I856" s="690" t="n"/>
      <c r="J85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6" s="474">
        <f>J856/#REF!</f>
        <v/>
      </c>
      <c r="L856" s="473" t="n"/>
      <c r="M856" s="692" t="n"/>
      <c r="N856" s="693" t="n"/>
      <c r="O856" s="78" t="n"/>
      <c r="Y856" s="708" t="n"/>
      <c r="Z856" s="709" t="n"/>
      <c r="AA856" s="710" t="n"/>
      <c r="AB856" s="590" t="n"/>
      <c r="AC856" s="591" t="n"/>
      <c r="AD856" s="592" t="n"/>
      <c r="AE856" s="593" t="n"/>
      <c r="AF856" s="594" t="n"/>
      <c r="AG856" s="693" t="n"/>
      <c r="AP856" s="693" t="n"/>
      <c r="AQ856" s="693" t="n"/>
      <c r="AR856" s="693" t="n"/>
      <c r="AS856" s="693" t="n"/>
      <c r="AT856" s="693" t="n"/>
      <c r="AU856" s="699" t="n"/>
      <c r="AV856" s="693" t="n"/>
      <c r="AW856" s="693" t="n"/>
      <c r="AX856" s="693" t="n"/>
      <c r="AY856" s="693" t="n"/>
      <c r="AZ856" s="693" t="n"/>
    </row>
    <row r="857">
      <c r="A857" s="688" t="n"/>
      <c r="B857" s="688" t="n"/>
      <c r="C857" s="473" t="n"/>
      <c r="D857" s="688" t="n"/>
      <c r="E857" s="689" t="n"/>
      <c r="F857" s="721" t="n"/>
      <c r="G8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7" s="474">
        <f>G857/#REF!</f>
        <v/>
      </c>
      <c r="I857" s="690" t="n"/>
      <c r="J85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7" s="474">
        <f>J857/#REF!</f>
        <v/>
      </c>
      <c r="L857" s="473" t="n"/>
      <c r="M857" s="692" t="n"/>
      <c r="N857" s="693" t="n"/>
      <c r="O857" s="78" t="n"/>
      <c r="Y857" s="703" t="n"/>
      <c r="Z857" s="704" t="n"/>
      <c r="AA857" s="705" t="n"/>
      <c r="AB857" s="613" t="n"/>
      <c r="AC857" s="614" t="n"/>
      <c r="AD857" s="628" t="n"/>
      <c r="AE857" s="616" t="n"/>
      <c r="AF857" s="617" t="n"/>
      <c r="AG857" s="693" t="n"/>
      <c r="AP857" s="693" t="n"/>
      <c r="AQ857" s="693" t="n"/>
      <c r="AR857" s="693" t="n"/>
      <c r="AS857" s="693" t="n"/>
      <c r="AT857" s="693" t="n"/>
      <c r="AU857" s="699" t="n"/>
      <c r="AV857" s="693" t="n"/>
      <c r="AW857" s="693" t="n"/>
      <c r="AX857" s="693" t="n"/>
      <c r="AY857" s="693" t="n"/>
      <c r="AZ857" s="693" t="n"/>
    </row>
    <row r="858">
      <c r="A858" s="688" t="n"/>
      <c r="B858" s="688" t="n"/>
      <c r="C858" s="473" t="n"/>
      <c r="D858" s="688" t="n"/>
      <c r="E858" s="689" t="n"/>
      <c r="F858" s="721" t="n"/>
      <c r="G8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8" s="474">
        <f>G858/#REF!</f>
        <v/>
      </c>
      <c r="I858" s="690" t="n"/>
      <c r="J85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8" s="474">
        <f>J858/#REF!</f>
        <v/>
      </c>
      <c r="L858" s="473" t="n"/>
      <c r="M858" s="692" t="n"/>
      <c r="N858" s="693" t="n"/>
      <c r="O858" s="78" t="n"/>
      <c r="Y858" s="708" t="n"/>
      <c r="Z858" s="709" t="n"/>
      <c r="AA858" s="710" t="n"/>
      <c r="AB858" s="590" t="n"/>
      <c r="AC858" s="591" t="n"/>
      <c r="AD858" s="592" t="n"/>
      <c r="AE858" s="593" t="n"/>
      <c r="AF858" s="594" t="n"/>
      <c r="AG858" s="693" t="n"/>
      <c r="AP858" s="693" t="n"/>
      <c r="AQ858" s="693" t="n"/>
      <c r="AR858" s="693" t="n"/>
      <c r="AS858" s="693" t="n"/>
      <c r="AT858" s="693" t="n"/>
      <c r="AU858" s="699" t="n"/>
      <c r="AV858" s="693" t="n"/>
      <c r="AW858" s="693" t="n"/>
      <c r="AX858" s="693" t="n"/>
      <c r="AY858" s="693" t="n"/>
      <c r="AZ858" s="693" t="n"/>
    </row>
    <row r="859">
      <c r="A859" s="688" t="n"/>
      <c r="B859" s="688" t="n"/>
      <c r="C859" s="473" t="n"/>
      <c r="D859" s="688" t="n"/>
      <c r="E859" s="689" t="n"/>
      <c r="F859" s="721" t="n"/>
      <c r="G8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59" s="474">
        <f>G859/#REF!</f>
        <v/>
      </c>
      <c r="I859" s="690" t="n"/>
      <c r="J85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59" s="474">
        <f>J859/#REF!</f>
        <v/>
      </c>
      <c r="L859" s="473" t="n"/>
      <c r="M859" s="692" t="n"/>
      <c r="N859" s="693" t="n"/>
      <c r="O859" s="78" t="n"/>
      <c r="Y859" s="703" t="n"/>
      <c r="Z859" s="704" t="n"/>
      <c r="AA859" s="705" t="n"/>
      <c r="AB859" s="613" t="n"/>
      <c r="AC859" s="614" t="n"/>
      <c r="AD859" s="628" t="n"/>
      <c r="AE859" s="616" t="n"/>
      <c r="AF859" s="617" t="n"/>
      <c r="AG859" s="693" t="n"/>
      <c r="AP859" s="693" t="n"/>
      <c r="AQ859" s="693" t="n"/>
      <c r="AR859" s="693" t="n"/>
      <c r="AS859" s="693" t="n"/>
      <c r="AT859" s="693" t="n"/>
      <c r="AU859" s="699" t="n"/>
      <c r="AV859" s="693" t="n"/>
      <c r="AW859" s="693" t="n"/>
      <c r="AX859" s="693" t="n"/>
      <c r="AY859" s="693" t="n"/>
      <c r="AZ859" s="693" t="n"/>
    </row>
    <row r="860">
      <c r="A860" s="688" t="n"/>
      <c r="B860" s="688" t="n"/>
      <c r="C860" s="473" t="n"/>
      <c r="D860" s="688" t="n"/>
      <c r="E860" s="689" t="n"/>
      <c r="F860" s="721" t="n"/>
      <c r="G8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0" s="474">
        <f>G860/#REF!</f>
        <v/>
      </c>
      <c r="I860" s="690" t="n"/>
      <c r="J86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0" s="474">
        <f>J860/#REF!</f>
        <v/>
      </c>
      <c r="L860" s="473" t="n"/>
      <c r="M860" s="692" t="n"/>
      <c r="N860" s="693" t="n"/>
      <c r="O860" s="78" t="n"/>
      <c r="Y860" s="708" t="n"/>
      <c r="Z860" s="709" t="n"/>
      <c r="AA860" s="710" t="n"/>
      <c r="AB860" s="590" t="n"/>
      <c r="AC860" s="591" t="n"/>
      <c r="AD860" s="592" t="n"/>
      <c r="AE860" s="593" t="n"/>
      <c r="AF860" s="594" t="n"/>
      <c r="AG860" s="693" t="n"/>
      <c r="AP860" s="693" t="n"/>
      <c r="AQ860" s="693" t="n"/>
      <c r="AR860" s="693" t="n"/>
      <c r="AS860" s="693" t="n"/>
      <c r="AT860" s="693" t="n"/>
      <c r="AU860" s="699" t="n"/>
      <c r="AV860" s="693" t="n"/>
      <c r="AW860" s="693" t="n"/>
      <c r="AX860" s="693" t="n"/>
      <c r="AY860" s="693" t="n"/>
      <c r="AZ860" s="693" t="n"/>
    </row>
    <row r="861">
      <c r="A861" s="688" t="n"/>
      <c r="B861" s="688" t="n"/>
      <c r="C861" s="473" t="n"/>
      <c r="D861" s="688" t="n"/>
      <c r="E861" s="689" t="n"/>
      <c r="F861" s="721" t="n"/>
      <c r="G8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1" s="474">
        <f>G861/#REF!</f>
        <v/>
      </c>
      <c r="I861" s="690" t="n"/>
      <c r="J86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1" s="474">
        <f>J861/#REF!</f>
        <v/>
      </c>
      <c r="L861" s="473" t="n"/>
      <c r="M861" s="692" t="n"/>
      <c r="N861" s="693" t="n"/>
      <c r="O861" s="78" t="n"/>
      <c r="Y861" s="703" t="n"/>
      <c r="Z861" s="704" t="n"/>
      <c r="AA861" s="705" t="n"/>
      <c r="AB861" s="613" t="n"/>
      <c r="AC861" s="614" t="n"/>
      <c r="AD861" s="628" t="n"/>
      <c r="AE861" s="616" t="n"/>
      <c r="AF861" s="617" t="n"/>
      <c r="AG861" s="693" t="n"/>
      <c r="AP861" s="693" t="n"/>
      <c r="AQ861" s="693" t="n"/>
      <c r="AR861" s="693" t="n"/>
      <c r="AS861" s="693" t="n"/>
      <c r="AT861" s="693" t="n"/>
      <c r="AU861" s="699" t="n"/>
      <c r="AV861" s="693" t="n"/>
      <c r="AW861" s="693" t="n"/>
      <c r="AX861" s="693" t="n"/>
      <c r="AY861" s="693" t="n"/>
      <c r="AZ861" s="693" t="n"/>
    </row>
    <row r="862">
      <c r="A862" s="688" t="n"/>
      <c r="B862" s="688" t="n"/>
      <c r="C862" s="473" t="n"/>
      <c r="D862" s="688" t="n"/>
      <c r="E862" s="689" t="n"/>
      <c r="F862" s="721" t="n"/>
      <c r="G8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2" s="474">
        <f>G862/#REF!</f>
        <v/>
      </c>
      <c r="I862" s="690" t="n"/>
      <c r="J86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2" s="474">
        <f>J862/#REF!</f>
        <v/>
      </c>
      <c r="L862" s="473" t="n"/>
      <c r="M862" s="692" t="n"/>
      <c r="N862" s="693" t="n"/>
      <c r="O862" s="78" t="n"/>
      <c r="Y862" s="708" t="n"/>
      <c r="Z862" s="709" t="n"/>
      <c r="AA862" s="710" t="n"/>
      <c r="AB862" s="590" t="n"/>
      <c r="AC862" s="591" t="n"/>
      <c r="AD862" s="592" t="n"/>
      <c r="AE862" s="593" t="n"/>
      <c r="AF862" s="594" t="n"/>
      <c r="AG862" s="693" t="n"/>
      <c r="AP862" s="693" t="n"/>
      <c r="AQ862" s="693" t="n"/>
      <c r="AR862" s="693" t="n"/>
      <c r="AS862" s="693" t="n"/>
      <c r="AT862" s="693" t="n"/>
      <c r="AU862" s="699" t="n"/>
      <c r="AV862" s="693" t="n"/>
      <c r="AW862" s="693" t="n"/>
      <c r="AX862" s="693" t="n"/>
      <c r="AY862" s="693" t="n"/>
      <c r="AZ862" s="693" t="n"/>
    </row>
    <row r="863">
      <c r="A863" s="688" t="n"/>
      <c r="B863" s="688" t="n"/>
      <c r="C863" s="473" t="n"/>
      <c r="D863" s="688" t="n"/>
      <c r="E863" s="689" t="n"/>
      <c r="F863" s="721" t="n"/>
      <c r="G8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3" s="474">
        <f>G863/#REF!</f>
        <v/>
      </c>
      <c r="I863" s="690" t="n"/>
      <c r="J86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3" s="474">
        <f>J863/#REF!</f>
        <v/>
      </c>
      <c r="L863" s="473" t="n"/>
      <c r="M863" s="692" t="n"/>
      <c r="N863" s="693" t="n"/>
      <c r="O863" s="78" t="n"/>
      <c r="Y863" s="703" t="n"/>
      <c r="Z863" s="704" t="n"/>
      <c r="AA863" s="705" t="n"/>
      <c r="AB863" s="613" t="n"/>
      <c r="AC863" s="614" t="n"/>
      <c r="AD863" s="628" t="n"/>
      <c r="AE863" s="616" t="n"/>
      <c r="AF863" s="617" t="n"/>
      <c r="AG863" s="693" t="n"/>
      <c r="AP863" s="693" t="n"/>
      <c r="AQ863" s="693" t="n"/>
      <c r="AR863" s="693" t="n"/>
      <c r="AS863" s="693" t="n"/>
      <c r="AT863" s="693" t="n"/>
      <c r="AU863" s="699" t="n"/>
      <c r="AV863" s="693" t="n"/>
      <c r="AW863" s="693" t="n"/>
      <c r="AX863" s="693" t="n"/>
      <c r="AY863" s="693" t="n"/>
      <c r="AZ863" s="693" t="n"/>
    </row>
    <row r="864">
      <c r="A864" s="688" t="n"/>
      <c r="B864" s="688" t="n"/>
      <c r="C864" s="473" t="n"/>
      <c r="D864" s="688" t="n"/>
      <c r="E864" s="689" t="n"/>
      <c r="F864" s="721" t="n"/>
      <c r="G8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4" s="474">
        <f>G864/#REF!</f>
        <v/>
      </c>
      <c r="I864" s="690" t="n"/>
      <c r="J86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4" s="474">
        <f>J864/#REF!</f>
        <v/>
      </c>
      <c r="L864" s="473" t="n"/>
      <c r="M864" s="692" t="n"/>
      <c r="N864" s="693" t="n"/>
      <c r="O864" s="78" t="n"/>
      <c r="Y864" s="708" t="n"/>
      <c r="Z864" s="709" t="n"/>
      <c r="AA864" s="710" t="n"/>
      <c r="AB864" s="590" t="n"/>
      <c r="AC864" s="591" t="n"/>
      <c r="AD864" s="592" t="n"/>
      <c r="AE864" s="593" t="n"/>
      <c r="AF864" s="594" t="n"/>
      <c r="AG864" s="693" t="n"/>
      <c r="AP864" s="693" t="n"/>
      <c r="AQ864" s="693" t="n"/>
      <c r="AR864" s="693" t="n"/>
      <c r="AS864" s="693" t="n"/>
      <c r="AT864" s="693" t="n"/>
      <c r="AU864" s="699" t="n"/>
      <c r="AV864" s="693" t="n"/>
      <c r="AW864" s="693" t="n"/>
      <c r="AX864" s="693" t="n"/>
      <c r="AY864" s="693" t="n"/>
      <c r="AZ864" s="693" t="n"/>
    </row>
    <row r="865">
      <c r="A865" s="688" t="n"/>
      <c r="B865" s="688" t="n"/>
      <c r="C865" s="473" t="n"/>
      <c r="D865" s="688" t="n"/>
      <c r="E865" s="689" t="n"/>
      <c r="F865" s="721" t="n"/>
      <c r="G8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5" s="474">
        <f>G865/#REF!</f>
        <v/>
      </c>
      <c r="I865" s="690" t="n"/>
      <c r="J86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5" s="474">
        <f>J865/#REF!</f>
        <v/>
      </c>
      <c r="L865" s="473" t="n"/>
      <c r="M865" s="692" t="n"/>
      <c r="N865" s="693" t="n"/>
      <c r="O865" s="78" t="n"/>
      <c r="Y865" s="703" t="n"/>
      <c r="Z865" s="704" t="n"/>
      <c r="AA865" s="705" t="n"/>
      <c r="AB865" s="613" t="n"/>
      <c r="AC865" s="614" t="n"/>
      <c r="AD865" s="628" t="n"/>
      <c r="AE865" s="616" t="n"/>
      <c r="AF865" s="617" t="n"/>
      <c r="AG865" s="693" t="n"/>
      <c r="AP865" s="693" t="n"/>
      <c r="AQ865" s="693" t="n"/>
      <c r="AR865" s="693" t="n"/>
      <c r="AS865" s="693" t="n"/>
      <c r="AT865" s="693" t="n"/>
      <c r="AU865" s="699" t="n"/>
      <c r="AV865" s="693" t="n"/>
      <c r="AW865" s="693" t="n"/>
      <c r="AX865" s="693" t="n"/>
      <c r="AY865" s="693" t="n"/>
      <c r="AZ865" s="693" t="n"/>
    </row>
    <row r="866">
      <c r="A866" s="688" t="n"/>
      <c r="B866" s="688" t="n"/>
      <c r="C866" s="473" t="n"/>
      <c r="D866" s="688" t="n"/>
      <c r="E866" s="689" t="n"/>
      <c r="F866" s="721" t="n"/>
      <c r="G8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6" s="474">
        <f>G866/#REF!</f>
        <v/>
      </c>
      <c r="I866" s="690" t="n"/>
      <c r="J86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6" s="474">
        <f>J866/#REF!</f>
        <v/>
      </c>
      <c r="L866" s="473" t="n"/>
      <c r="M866" s="692" t="n"/>
      <c r="N866" s="693" t="n"/>
      <c r="O866" s="78" t="n"/>
      <c r="Y866" s="708" t="n"/>
      <c r="Z866" s="709" t="n"/>
      <c r="AA866" s="710" t="n"/>
      <c r="AB866" s="590" t="n"/>
      <c r="AC866" s="591" t="n"/>
      <c r="AD866" s="592" t="n"/>
      <c r="AE866" s="593" t="n"/>
      <c r="AF866" s="594" t="n"/>
      <c r="AG866" s="693" t="n"/>
      <c r="AP866" s="693" t="n"/>
      <c r="AQ866" s="693" t="n"/>
      <c r="AR866" s="693" t="n"/>
      <c r="AS866" s="693" t="n"/>
      <c r="AT866" s="693" t="n"/>
      <c r="AU866" s="699" t="n"/>
      <c r="AV866" s="693" t="n"/>
      <c r="AW866" s="693" t="n"/>
      <c r="AX866" s="693" t="n"/>
      <c r="AY866" s="693" t="n"/>
      <c r="AZ866" s="693" t="n"/>
    </row>
    <row r="867">
      <c r="A867" s="688" t="n"/>
      <c r="B867" s="688" t="n"/>
      <c r="C867" s="473" t="n"/>
      <c r="D867" s="688" t="n"/>
      <c r="E867" s="689" t="n"/>
      <c r="F867" s="721" t="n"/>
      <c r="G8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7" s="474">
        <f>G867/#REF!</f>
        <v/>
      </c>
      <c r="I867" s="690" t="n"/>
      <c r="J86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7" s="474">
        <f>J867/#REF!</f>
        <v/>
      </c>
      <c r="L867" s="473" t="n"/>
      <c r="M867" s="692" t="n"/>
      <c r="N867" s="693" t="n"/>
      <c r="O867" s="78" t="n"/>
      <c r="Y867" s="703" t="n"/>
      <c r="Z867" s="704" t="n"/>
      <c r="AA867" s="705" t="n"/>
      <c r="AB867" s="613" t="n"/>
      <c r="AC867" s="614" t="n"/>
      <c r="AD867" s="628" t="n"/>
      <c r="AE867" s="616" t="n"/>
      <c r="AF867" s="617" t="n"/>
      <c r="AG867" s="693" t="n"/>
      <c r="AP867" s="693" t="n"/>
      <c r="AQ867" s="693" t="n"/>
      <c r="AR867" s="693" t="n"/>
      <c r="AS867" s="693" t="n"/>
      <c r="AT867" s="693" t="n"/>
      <c r="AU867" s="699" t="n"/>
      <c r="AV867" s="693" t="n"/>
      <c r="AW867" s="693" t="n"/>
      <c r="AX867" s="693" t="n"/>
      <c r="AY867" s="693" t="n"/>
      <c r="AZ867" s="693" t="n"/>
    </row>
    <row r="868">
      <c r="A868" s="688" t="n"/>
      <c r="B868" s="688" t="n"/>
      <c r="C868" s="473" t="n"/>
      <c r="D868" s="688" t="n"/>
      <c r="E868" s="689" t="n"/>
      <c r="F868" s="721" t="n"/>
      <c r="G8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8" s="474">
        <f>G868/#REF!</f>
        <v/>
      </c>
      <c r="I868" s="690" t="n"/>
      <c r="J86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8" s="474">
        <f>J868/#REF!</f>
        <v/>
      </c>
      <c r="L868" s="473" t="n"/>
      <c r="M868" s="692" t="n"/>
      <c r="N868" s="693" t="n"/>
      <c r="O868" s="78" t="n"/>
      <c r="Y868" s="708" t="n"/>
      <c r="Z868" s="709" t="n"/>
      <c r="AA868" s="710" t="n"/>
      <c r="AB868" s="590" t="n"/>
      <c r="AC868" s="591" t="n"/>
      <c r="AD868" s="592" t="n"/>
      <c r="AE868" s="593" t="n"/>
      <c r="AF868" s="594" t="n"/>
      <c r="AG868" s="693" t="n"/>
      <c r="AP868" s="693" t="n"/>
      <c r="AQ868" s="693" t="n"/>
      <c r="AR868" s="693" t="n"/>
      <c r="AS868" s="693" t="n"/>
      <c r="AT868" s="693" t="n"/>
      <c r="AU868" s="699" t="n"/>
      <c r="AV868" s="693" t="n"/>
      <c r="AW868" s="693" t="n"/>
      <c r="AX868" s="693" t="n"/>
      <c r="AY868" s="693" t="n"/>
      <c r="AZ868" s="693" t="n"/>
    </row>
    <row r="869">
      <c r="A869" s="688" t="n"/>
      <c r="B869" s="688" t="n"/>
      <c r="C869" s="473" t="n"/>
      <c r="D869" s="688" t="n"/>
      <c r="E869" s="689" t="n"/>
      <c r="F869" s="721" t="n"/>
      <c r="G8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69" s="474">
        <f>G869/#REF!</f>
        <v/>
      </c>
      <c r="I869" s="690" t="n"/>
      <c r="J86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69" s="474">
        <f>J869/#REF!</f>
        <v/>
      </c>
      <c r="L869" s="473" t="n"/>
      <c r="M869" s="692" t="n"/>
      <c r="N869" s="693" t="n"/>
      <c r="O869" s="78" t="n"/>
      <c r="Y869" s="703" t="n"/>
      <c r="Z869" s="704" t="n"/>
      <c r="AA869" s="705" t="n"/>
      <c r="AB869" s="613" t="n"/>
      <c r="AC869" s="614" t="n"/>
      <c r="AD869" s="628" t="n"/>
      <c r="AE869" s="616" t="n"/>
      <c r="AF869" s="617" t="n"/>
      <c r="AG869" s="693" t="n"/>
      <c r="AP869" s="693" t="n"/>
      <c r="AQ869" s="693" t="n"/>
      <c r="AR869" s="693" t="n"/>
      <c r="AS869" s="693" t="n"/>
      <c r="AT869" s="693" t="n"/>
      <c r="AU869" s="699" t="n"/>
      <c r="AV869" s="693" t="n"/>
      <c r="AW869" s="693" t="n"/>
      <c r="AX869" s="693" t="n"/>
      <c r="AY869" s="693" t="n"/>
      <c r="AZ869" s="693" t="n"/>
    </row>
    <row r="870">
      <c r="A870" s="688" t="n"/>
      <c r="B870" s="688" t="n"/>
      <c r="C870" s="473" t="n"/>
      <c r="D870" s="688" t="n"/>
      <c r="E870" s="689" t="n"/>
      <c r="F870" s="721" t="n"/>
      <c r="G8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0" s="474">
        <f>G870/#REF!</f>
        <v/>
      </c>
      <c r="I870" s="690" t="n"/>
      <c r="J87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0" s="474">
        <f>J870/#REF!</f>
        <v/>
      </c>
      <c r="L870" s="473" t="n"/>
      <c r="M870" s="692" t="n"/>
      <c r="N870" s="693" t="n"/>
      <c r="O870" s="78" t="n"/>
      <c r="Y870" s="708" t="n"/>
      <c r="Z870" s="709" t="n"/>
      <c r="AA870" s="710" t="n"/>
      <c r="AB870" s="590" t="n"/>
      <c r="AC870" s="591" t="n"/>
      <c r="AD870" s="592" t="n"/>
      <c r="AE870" s="593" t="n"/>
      <c r="AF870" s="594" t="n"/>
      <c r="AG870" s="693" t="n"/>
      <c r="AP870" s="693" t="n"/>
      <c r="AQ870" s="693" t="n"/>
      <c r="AR870" s="693" t="n"/>
      <c r="AS870" s="693" t="n"/>
      <c r="AT870" s="693" t="n"/>
      <c r="AU870" s="699" t="n"/>
      <c r="AV870" s="693" t="n"/>
      <c r="AW870" s="693" t="n"/>
      <c r="AX870" s="693" t="n"/>
      <c r="AY870" s="693" t="n"/>
      <c r="AZ870" s="693" t="n"/>
    </row>
    <row r="871">
      <c r="A871" s="688" t="n"/>
      <c r="B871" s="688" t="n"/>
      <c r="C871" s="473" t="n"/>
      <c r="D871" s="688" t="n"/>
      <c r="E871" s="689" t="n"/>
      <c r="F871" s="721" t="n"/>
      <c r="G8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1" s="474">
        <f>G871/#REF!</f>
        <v/>
      </c>
      <c r="I871" s="690" t="n"/>
      <c r="J87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1" s="474">
        <f>J871/#REF!</f>
        <v/>
      </c>
      <c r="L871" s="473" t="n"/>
      <c r="M871" s="692" t="n"/>
      <c r="N871" s="693" t="n"/>
      <c r="O871" s="78" t="n"/>
      <c r="Y871" s="703" t="n"/>
      <c r="Z871" s="704" t="n"/>
      <c r="AA871" s="705" t="n"/>
      <c r="AB871" s="613" t="n"/>
      <c r="AC871" s="614" t="n"/>
      <c r="AD871" s="628" t="n"/>
      <c r="AE871" s="616" t="n"/>
      <c r="AF871" s="617" t="n"/>
      <c r="AG871" s="693" t="n"/>
      <c r="AP871" s="693" t="n"/>
      <c r="AQ871" s="693" t="n"/>
      <c r="AR871" s="693" t="n"/>
      <c r="AS871" s="693" t="n"/>
      <c r="AT871" s="693" t="n"/>
      <c r="AU871" s="699" t="n"/>
      <c r="AV871" s="693" t="n"/>
      <c r="AW871" s="693" t="n"/>
      <c r="AX871" s="693" t="n"/>
      <c r="AY871" s="693" t="n"/>
      <c r="AZ871" s="693" t="n"/>
    </row>
    <row r="872">
      <c r="A872" s="688" t="n"/>
      <c r="B872" s="688" t="n"/>
      <c r="C872" s="473" t="n"/>
      <c r="D872" s="688" t="n"/>
      <c r="E872" s="689" t="n"/>
      <c r="F872" s="721" t="n"/>
      <c r="G8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2" s="474">
        <f>G872/#REF!</f>
        <v/>
      </c>
      <c r="I872" s="690" t="n"/>
      <c r="J87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2" s="474">
        <f>J872/#REF!</f>
        <v/>
      </c>
      <c r="L872" s="473" t="n"/>
      <c r="M872" s="692" t="n"/>
      <c r="N872" s="693" t="n"/>
      <c r="O872" s="78" t="n"/>
      <c r="Y872" s="708" t="n"/>
      <c r="Z872" s="709" t="n"/>
      <c r="AA872" s="710" t="n"/>
      <c r="AB872" s="590" t="n"/>
      <c r="AC872" s="591" t="n"/>
      <c r="AD872" s="592" t="n"/>
      <c r="AE872" s="593" t="n"/>
      <c r="AF872" s="594" t="n"/>
      <c r="AG872" s="693" t="n"/>
      <c r="AP872" s="693" t="n"/>
      <c r="AQ872" s="693" t="n"/>
      <c r="AR872" s="693" t="n"/>
      <c r="AS872" s="693" t="n"/>
      <c r="AT872" s="693" t="n"/>
      <c r="AU872" s="699" t="n"/>
      <c r="AV872" s="693" t="n"/>
      <c r="AW872" s="693" t="n"/>
      <c r="AX872" s="693" t="n"/>
      <c r="AY872" s="693" t="n"/>
      <c r="AZ872" s="693" t="n"/>
    </row>
    <row r="873">
      <c r="A873" s="688" t="n"/>
      <c r="B873" s="688" t="n"/>
      <c r="C873" s="473" t="n"/>
      <c r="D873" s="688" t="n"/>
      <c r="E873" s="689" t="n"/>
      <c r="F873" s="721" t="n"/>
      <c r="G8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3" s="474">
        <f>G873/#REF!</f>
        <v/>
      </c>
      <c r="I873" s="690" t="n"/>
      <c r="J87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3" s="474">
        <f>J873/#REF!</f>
        <v/>
      </c>
      <c r="L873" s="473" t="n"/>
      <c r="M873" s="692" t="n"/>
      <c r="N873" s="693" t="n"/>
      <c r="O873" s="78" t="n"/>
      <c r="Y873" s="703" t="n"/>
      <c r="Z873" s="704" t="n"/>
      <c r="AA873" s="705" t="n"/>
      <c r="AB873" s="613" t="n"/>
      <c r="AC873" s="614" t="n"/>
      <c r="AD873" s="628" t="n"/>
      <c r="AE873" s="616" t="n"/>
      <c r="AF873" s="617" t="n"/>
      <c r="AG873" s="693" t="n"/>
      <c r="AP873" s="693" t="n"/>
      <c r="AQ873" s="693" t="n"/>
      <c r="AR873" s="693" t="n"/>
      <c r="AS873" s="693" t="n"/>
      <c r="AT873" s="693" t="n"/>
      <c r="AU873" s="699" t="n"/>
      <c r="AV873" s="693" t="n"/>
      <c r="AW873" s="693" t="n"/>
      <c r="AX873" s="693" t="n"/>
      <c r="AY873" s="693" t="n"/>
      <c r="AZ873" s="693" t="n"/>
    </row>
    <row r="874">
      <c r="A874" s="688" t="n"/>
      <c r="B874" s="688" t="n"/>
      <c r="C874" s="473" t="n"/>
      <c r="D874" s="688" t="n"/>
      <c r="E874" s="689" t="n"/>
      <c r="F874" s="721" t="n"/>
      <c r="G8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4" s="474">
        <f>G874/#REF!</f>
        <v/>
      </c>
      <c r="I874" s="690" t="n"/>
      <c r="J87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4" s="474">
        <f>J874/#REF!</f>
        <v/>
      </c>
      <c r="L874" s="473" t="n"/>
      <c r="M874" s="692" t="n"/>
      <c r="N874" s="693" t="n"/>
      <c r="O874" s="78" t="n"/>
      <c r="Y874" s="708" t="n"/>
      <c r="Z874" s="709" t="n"/>
      <c r="AA874" s="710" t="n"/>
      <c r="AB874" s="590" t="n"/>
      <c r="AC874" s="591" t="n"/>
      <c r="AD874" s="592" t="n"/>
      <c r="AE874" s="593" t="n"/>
      <c r="AF874" s="594" t="n"/>
      <c r="AG874" s="693" t="n"/>
      <c r="AP874" s="693" t="n"/>
      <c r="AQ874" s="693" t="n"/>
      <c r="AR874" s="693" t="n"/>
      <c r="AS874" s="693" t="n"/>
      <c r="AT874" s="693" t="n"/>
      <c r="AU874" s="699" t="n"/>
      <c r="AV874" s="693" t="n"/>
      <c r="AW874" s="693" t="n"/>
      <c r="AX874" s="693" t="n"/>
      <c r="AY874" s="693" t="n"/>
      <c r="AZ874" s="693" t="n"/>
    </row>
    <row r="875">
      <c r="A875" s="688" t="n"/>
      <c r="B875" s="688" t="n"/>
      <c r="C875" s="473" t="n"/>
      <c r="D875" s="688" t="n"/>
      <c r="E875" s="689" t="n"/>
      <c r="F875" s="721" t="n"/>
      <c r="G8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5" s="474">
        <f>G875/#REF!</f>
        <v/>
      </c>
      <c r="I875" s="690" t="n"/>
      <c r="J87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5" s="474">
        <f>J875/#REF!</f>
        <v/>
      </c>
      <c r="L875" s="473" t="n"/>
      <c r="M875" s="692" t="n"/>
      <c r="N875" s="693" t="n"/>
      <c r="O875" s="78" t="n"/>
      <c r="Y875" s="703" t="n"/>
      <c r="Z875" s="704" t="n"/>
      <c r="AA875" s="705" t="n"/>
      <c r="AB875" s="613" t="n"/>
      <c r="AC875" s="614" t="n"/>
      <c r="AD875" s="628" t="n"/>
      <c r="AE875" s="616" t="n"/>
      <c r="AF875" s="617" t="n"/>
      <c r="AG875" s="693" t="n"/>
      <c r="AP875" s="693" t="n"/>
      <c r="AQ875" s="693" t="n"/>
      <c r="AR875" s="693" t="n"/>
      <c r="AS875" s="693" t="n"/>
      <c r="AT875" s="693" t="n"/>
      <c r="AU875" s="699" t="n"/>
      <c r="AV875" s="693" t="n"/>
      <c r="AW875" s="693" t="n"/>
      <c r="AX875" s="693" t="n"/>
      <c r="AY875" s="693" t="n"/>
      <c r="AZ875" s="693" t="n"/>
    </row>
    <row r="876">
      <c r="A876" s="688" t="n"/>
      <c r="B876" s="688" t="n"/>
      <c r="C876" s="473" t="n"/>
      <c r="D876" s="688" t="n"/>
      <c r="E876" s="689" t="n"/>
      <c r="F876" s="721" t="n"/>
      <c r="G8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6" s="474">
        <f>G876/#REF!</f>
        <v/>
      </c>
      <c r="I876" s="690" t="n"/>
      <c r="J87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6" s="474">
        <f>J876/#REF!</f>
        <v/>
      </c>
      <c r="L876" s="473" t="n"/>
      <c r="M876" s="692" t="n"/>
      <c r="N876" s="693" t="n"/>
      <c r="O876" s="78" t="n"/>
      <c r="Y876" s="708" t="n"/>
      <c r="Z876" s="709" t="n"/>
      <c r="AA876" s="710" t="n"/>
      <c r="AB876" s="590" t="n"/>
      <c r="AC876" s="591" t="n"/>
      <c r="AD876" s="592" t="n"/>
      <c r="AE876" s="593" t="n"/>
      <c r="AF876" s="594" t="n"/>
      <c r="AG876" s="693" t="n"/>
      <c r="AP876" s="693" t="n"/>
      <c r="AQ876" s="693" t="n"/>
      <c r="AR876" s="693" t="n"/>
      <c r="AS876" s="693" t="n"/>
      <c r="AT876" s="693" t="n"/>
      <c r="AU876" s="699" t="n"/>
      <c r="AV876" s="693" t="n"/>
      <c r="AW876" s="693" t="n"/>
      <c r="AX876" s="693" t="n"/>
      <c r="AY876" s="693" t="n"/>
      <c r="AZ876" s="693" t="n"/>
    </row>
    <row r="877">
      <c r="A877" s="688" t="n"/>
      <c r="B877" s="688" t="n"/>
      <c r="C877" s="473" t="n"/>
      <c r="D877" s="688" t="n"/>
      <c r="E877" s="689" t="n"/>
      <c r="F877" s="721" t="n"/>
      <c r="G8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7" s="474">
        <f>G877/#REF!</f>
        <v/>
      </c>
      <c r="I877" s="690" t="n"/>
      <c r="J87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7" s="474">
        <f>J877/#REF!</f>
        <v/>
      </c>
      <c r="L877" s="473" t="n"/>
      <c r="M877" s="692" t="n"/>
      <c r="N877" s="693" t="n"/>
      <c r="O877" s="78" t="n"/>
      <c r="Y877" s="703" t="n"/>
      <c r="Z877" s="704" t="n"/>
      <c r="AA877" s="705" t="n"/>
      <c r="AB877" s="613" t="n"/>
      <c r="AC877" s="614" t="n"/>
      <c r="AD877" s="628" t="n"/>
      <c r="AE877" s="616" t="n"/>
      <c r="AF877" s="617" t="n"/>
      <c r="AG877" s="693" t="n"/>
      <c r="AP877" s="693" t="n"/>
      <c r="AQ877" s="693" t="n"/>
      <c r="AR877" s="693" t="n"/>
      <c r="AS877" s="693" t="n"/>
      <c r="AT877" s="693" t="n"/>
      <c r="AU877" s="699" t="n"/>
      <c r="AV877" s="693" t="n"/>
      <c r="AW877" s="693" t="n"/>
      <c r="AX877" s="693" t="n"/>
      <c r="AY877" s="693" t="n"/>
      <c r="AZ877" s="693" t="n"/>
    </row>
    <row r="878">
      <c r="A878" s="688" t="n"/>
      <c r="B878" s="688" t="n"/>
      <c r="C878" s="473" t="n"/>
      <c r="D878" s="688" t="n"/>
      <c r="E878" s="689" t="n"/>
      <c r="F878" s="721" t="n"/>
      <c r="G8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8" s="474">
        <f>G878/#REF!</f>
        <v/>
      </c>
      <c r="I878" s="690" t="n"/>
      <c r="J87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8" s="474">
        <f>J878/#REF!</f>
        <v/>
      </c>
      <c r="L878" s="473" t="n"/>
      <c r="M878" s="692" t="n"/>
      <c r="N878" s="693" t="n"/>
      <c r="O878" s="78" t="n"/>
      <c r="Y878" s="708" t="n"/>
      <c r="Z878" s="709" t="n"/>
      <c r="AA878" s="710" t="n"/>
      <c r="AB878" s="590" t="n"/>
      <c r="AC878" s="591" t="n"/>
      <c r="AD878" s="592" t="n"/>
      <c r="AE878" s="593" t="n"/>
      <c r="AF878" s="594" t="n"/>
      <c r="AG878" s="693" t="n"/>
      <c r="AP878" s="693" t="n"/>
      <c r="AQ878" s="693" t="n"/>
      <c r="AR878" s="693" t="n"/>
      <c r="AS878" s="693" t="n"/>
      <c r="AT878" s="693" t="n"/>
      <c r="AU878" s="699" t="n"/>
      <c r="AV878" s="693" t="n"/>
      <c r="AW878" s="693" t="n"/>
      <c r="AX878" s="693" t="n"/>
      <c r="AY878" s="693" t="n"/>
      <c r="AZ878" s="693" t="n"/>
    </row>
    <row r="879">
      <c r="A879" s="688" t="n"/>
      <c r="B879" s="688" t="n"/>
      <c r="C879" s="473" t="n"/>
      <c r="D879" s="688" t="n"/>
      <c r="E879" s="689" t="n"/>
      <c r="F879" s="721" t="n"/>
      <c r="G8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79" s="474">
        <f>G879/#REF!</f>
        <v/>
      </c>
      <c r="I879" s="690" t="n"/>
      <c r="J87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79" s="474">
        <f>J879/#REF!</f>
        <v/>
      </c>
      <c r="L879" s="473" t="n"/>
      <c r="M879" s="692" t="n"/>
      <c r="N879" s="693" t="n"/>
      <c r="O879" s="78" t="n"/>
      <c r="Y879" s="703" t="n"/>
      <c r="Z879" s="704" t="n"/>
      <c r="AA879" s="705" t="n"/>
      <c r="AB879" s="613" t="n"/>
      <c r="AC879" s="614" t="n"/>
      <c r="AD879" s="628" t="n"/>
      <c r="AE879" s="616" t="n"/>
      <c r="AF879" s="617" t="n"/>
      <c r="AG879" s="693" t="n"/>
      <c r="AP879" s="693" t="n"/>
      <c r="AQ879" s="693" t="n"/>
      <c r="AR879" s="693" t="n"/>
      <c r="AS879" s="693" t="n"/>
      <c r="AT879" s="693" t="n"/>
      <c r="AU879" s="699" t="n"/>
      <c r="AV879" s="693" t="n"/>
      <c r="AW879" s="693" t="n"/>
      <c r="AX879" s="693" t="n"/>
      <c r="AY879" s="693" t="n"/>
      <c r="AZ879" s="693" t="n"/>
    </row>
    <row r="880">
      <c r="A880" s="688" t="n"/>
      <c r="B880" s="688" t="n"/>
      <c r="C880" s="473" t="n"/>
      <c r="D880" s="688" t="n"/>
      <c r="E880" s="689" t="n"/>
      <c r="F880" s="721" t="n"/>
      <c r="G8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0" s="474">
        <f>G880/#REF!</f>
        <v/>
      </c>
      <c r="I880" s="690" t="n"/>
      <c r="J88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0" s="474">
        <f>J880/#REF!</f>
        <v/>
      </c>
      <c r="L880" s="473" t="n"/>
      <c r="M880" s="692" t="n"/>
      <c r="N880" s="693" t="n"/>
      <c r="O880" s="78" t="n"/>
      <c r="Y880" s="708" t="n"/>
      <c r="Z880" s="709" t="n"/>
      <c r="AA880" s="710" t="n"/>
      <c r="AB880" s="590" t="n"/>
      <c r="AC880" s="591" t="n"/>
      <c r="AD880" s="592" t="n"/>
      <c r="AE880" s="593" t="n"/>
      <c r="AF880" s="594" t="n"/>
      <c r="AG880" s="693" t="n"/>
      <c r="AP880" s="693" t="n"/>
      <c r="AQ880" s="693" t="n"/>
      <c r="AR880" s="693" t="n"/>
      <c r="AS880" s="693" t="n"/>
      <c r="AT880" s="693" t="n"/>
      <c r="AU880" s="699" t="n"/>
      <c r="AV880" s="693" t="n"/>
      <c r="AW880" s="693" t="n"/>
      <c r="AX880" s="693" t="n"/>
      <c r="AY880" s="693" t="n"/>
      <c r="AZ880" s="693" t="n"/>
    </row>
    <row r="881">
      <c r="A881" s="688" t="n"/>
      <c r="B881" s="688" t="n"/>
      <c r="C881" s="473" t="n"/>
      <c r="D881" s="688" t="n"/>
      <c r="E881" s="689" t="n"/>
      <c r="F881" s="721" t="n"/>
      <c r="G8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1" s="474">
        <f>G881/#REF!</f>
        <v/>
      </c>
      <c r="I881" s="690" t="n"/>
      <c r="J88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1" s="474">
        <f>J881/#REF!</f>
        <v/>
      </c>
      <c r="L881" s="473" t="n"/>
      <c r="M881" s="692" t="n"/>
      <c r="N881" s="693" t="n"/>
      <c r="O881" s="78" t="n"/>
      <c r="Y881" s="703" t="n"/>
      <c r="Z881" s="704" t="n"/>
      <c r="AA881" s="705" t="n"/>
      <c r="AB881" s="613" t="n"/>
      <c r="AC881" s="614" t="n"/>
      <c r="AD881" s="628" t="n"/>
      <c r="AE881" s="616" t="n"/>
      <c r="AF881" s="617" t="n"/>
      <c r="AG881" s="693" t="n"/>
      <c r="AP881" s="693" t="n"/>
      <c r="AQ881" s="693" t="n"/>
      <c r="AR881" s="693" t="n"/>
      <c r="AS881" s="693" t="n"/>
      <c r="AT881" s="693" t="n"/>
      <c r="AU881" s="699" t="n"/>
      <c r="AV881" s="693" t="n"/>
      <c r="AW881" s="693" t="n"/>
      <c r="AX881" s="693" t="n"/>
      <c r="AY881" s="693" t="n"/>
      <c r="AZ881" s="693" t="n"/>
    </row>
    <row r="882">
      <c r="A882" s="688" t="n"/>
      <c r="B882" s="688" t="n"/>
      <c r="C882" s="473" t="n"/>
      <c r="D882" s="688" t="n"/>
      <c r="E882" s="689" t="n"/>
      <c r="F882" s="721" t="n"/>
      <c r="G8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2" s="474">
        <f>G882/#REF!</f>
        <v/>
      </c>
      <c r="I882" s="690" t="n"/>
      <c r="J88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2" s="474">
        <f>J882/#REF!</f>
        <v/>
      </c>
      <c r="L882" s="473" t="n"/>
      <c r="M882" s="692" t="n"/>
      <c r="N882" s="693" t="n"/>
      <c r="O882" s="78" t="n"/>
      <c r="Y882" s="708" t="n"/>
      <c r="Z882" s="709" t="n"/>
      <c r="AA882" s="710" t="n"/>
      <c r="AB882" s="590" t="n"/>
      <c r="AC882" s="591" t="n"/>
      <c r="AD882" s="592" t="n"/>
      <c r="AE882" s="593" t="n"/>
      <c r="AF882" s="594" t="n"/>
      <c r="AG882" s="693" t="n"/>
      <c r="AP882" s="693" t="n"/>
      <c r="AQ882" s="693" t="n"/>
      <c r="AR882" s="693" t="n"/>
      <c r="AS882" s="693" t="n"/>
      <c r="AT882" s="693" t="n"/>
      <c r="AU882" s="699" t="n"/>
      <c r="AV882" s="693" t="n"/>
      <c r="AW882" s="693" t="n"/>
      <c r="AX882" s="693" t="n"/>
      <c r="AY882" s="693" t="n"/>
      <c r="AZ882" s="693" t="n"/>
    </row>
    <row r="883">
      <c r="A883" s="688" t="n"/>
      <c r="B883" s="688" t="n"/>
      <c r="C883" s="473" t="n"/>
      <c r="D883" s="688" t="n"/>
      <c r="E883" s="689" t="n"/>
      <c r="F883" s="721" t="n"/>
      <c r="G8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3" s="474">
        <f>G883/#REF!</f>
        <v/>
      </c>
      <c r="I883" s="690" t="n"/>
      <c r="J88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3" s="474">
        <f>J883/#REF!</f>
        <v/>
      </c>
      <c r="L883" s="473" t="n"/>
      <c r="M883" s="692" t="n"/>
      <c r="N883" s="693" t="n"/>
      <c r="O883" s="78" t="n"/>
      <c r="Y883" s="703" t="n"/>
      <c r="Z883" s="704" t="n"/>
      <c r="AA883" s="705" t="n"/>
      <c r="AB883" s="613" t="n"/>
      <c r="AC883" s="614" t="n"/>
      <c r="AD883" s="628" t="n"/>
      <c r="AE883" s="616" t="n"/>
      <c r="AF883" s="617" t="n"/>
      <c r="AG883" s="693" t="n"/>
      <c r="AP883" s="693" t="n"/>
      <c r="AQ883" s="693" t="n"/>
      <c r="AR883" s="693" t="n"/>
      <c r="AS883" s="693" t="n"/>
      <c r="AT883" s="693" t="n"/>
      <c r="AU883" s="699" t="n"/>
      <c r="AV883" s="693" t="n"/>
      <c r="AW883" s="693" t="n"/>
      <c r="AX883" s="693" t="n"/>
      <c r="AY883" s="693" t="n"/>
      <c r="AZ883" s="693" t="n"/>
    </row>
    <row r="884">
      <c r="A884" s="688" t="n"/>
      <c r="B884" s="688" t="n"/>
      <c r="C884" s="473" t="n"/>
      <c r="D884" s="688" t="n"/>
      <c r="E884" s="689" t="n"/>
      <c r="F884" s="721" t="n"/>
      <c r="G8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4" s="474">
        <f>G884/#REF!</f>
        <v/>
      </c>
      <c r="I884" s="690" t="n"/>
      <c r="J88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4" s="474">
        <f>J884/#REF!</f>
        <v/>
      </c>
      <c r="L884" s="473" t="n"/>
      <c r="M884" s="692" t="n"/>
      <c r="N884" s="693" t="n"/>
      <c r="O884" s="78" t="n"/>
      <c r="Y884" s="708" t="n"/>
      <c r="Z884" s="709" t="n"/>
      <c r="AA884" s="710" t="n"/>
      <c r="AB884" s="590" t="n"/>
      <c r="AC884" s="591" t="n"/>
      <c r="AD884" s="592" t="n"/>
      <c r="AE884" s="593" t="n"/>
      <c r="AF884" s="594" t="n"/>
      <c r="AG884" s="693" t="n"/>
      <c r="AP884" s="693" t="n"/>
      <c r="AQ884" s="693" t="n"/>
      <c r="AR884" s="693" t="n"/>
      <c r="AS884" s="693" t="n"/>
      <c r="AT884" s="693" t="n"/>
      <c r="AU884" s="699" t="n"/>
      <c r="AV884" s="693" t="n"/>
      <c r="AW884" s="693" t="n"/>
      <c r="AX884" s="693" t="n"/>
      <c r="AY884" s="693" t="n"/>
      <c r="AZ884" s="693" t="n"/>
    </row>
    <row r="885">
      <c r="A885" s="688" t="n"/>
      <c r="B885" s="688" t="n"/>
      <c r="C885" s="473" t="n"/>
      <c r="D885" s="688" t="n"/>
      <c r="E885" s="689" t="n"/>
      <c r="F885" s="721" t="n"/>
      <c r="G8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5" s="474">
        <f>G885/#REF!</f>
        <v/>
      </c>
      <c r="I885" s="690" t="n"/>
      <c r="J88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5" s="474">
        <f>J885/#REF!</f>
        <v/>
      </c>
      <c r="L885" s="473" t="n"/>
      <c r="M885" s="692" t="n"/>
      <c r="N885" s="693" t="n"/>
      <c r="O885" s="78" t="n"/>
      <c r="Y885" s="703" t="n"/>
      <c r="Z885" s="704" t="n"/>
      <c r="AA885" s="705" t="n"/>
      <c r="AB885" s="613" t="n"/>
      <c r="AC885" s="614" t="n"/>
      <c r="AD885" s="628" t="n"/>
      <c r="AE885" s="616" t="n"/>
      <c r="AF885" s="617" t="n"/>
      <c r="AG885" s="693" t="n"/>
      <c r="AP885" s="693" t="n"/>
      <c r="AQ885" s="693" t="n"/>
      <c r="AR885" s="693" t="n"/>
      <c r="AS885" s="693" t="n"/>
      <c r="AT885" s="693" t="n"/>
      <c r="AU885" s="699" t="n"/>
      <c r="AV885" s="693" t="n"/>
      <c r="AW885" s="693" t="n"/>
      <c r="AX885" s="693" t="n"/>
      <c r="AY885" s="693" t="n"/>
      <c r="AZ885" s="693" t="n"/>
    </row>
    <row r="886">
      <c r="A886" s="688" t="n"/>
      <c r="B886" s="688" t="n"/>
      <c r="C886" s="473" t="n"/>
      <c r="D886" s="688" t="n"/>
      <c r="E886" s="689" t="n"/>
      <c r="F886" s="721" t="n"/>
      <c r="G8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6" s="474">
        <f>G886/#REF!</f>
        <v/>
      </c>
      <c r="I886" s="690" t="n"/>
      <c r="J88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6" s="474">
        <f>J886/#REF!</f>
        <v/>
      </c>
      <c r="L886" s="473" t="n"/>
      <c r="M886" s="692" t="n"/>
      <c r="N886" s="693" t="n"/>
      <c r="O886" s="78" t="n"/>
      <c r="Y886" s="708" t="n"/>
      <c r="Z886" s="709" t="n"/>
      <c r="AA886" s="710" t="n"/>
      <c r="AB886" s="590" t="n"/>
      <c r="AC886" s="591" t="n"/>
      <c r="AD886" s="592" t="n"/>
      <c r="AE886" s="593" t="n"/>
      <c r="AF886" s="594" t="n"/>
      <c r="AG886" s="693" t="n"/>
      <c r="AP886" s="693" t="n"/>
      <c r="AQ886" s="693" t="n"/>
      <c r="AR886" s="693" t="n"/>
      <c r="AS886" s="693" t="n"/>
      <c r="AT886" s="693" t="n"/>
      <c r="AU886" s="699" t="n"/>
      <c r="AV886" s="693" t="n"/>
      <c r="AW886" s="693" t="n"/>
      <c r="AX886" s="693" t="n"/>
      <c r="AY886" s="693" t="n"/>
      <c r="AZ886" s="693" t="n"/>
    </row>
    <row r="887">
      <c r="A887" s="688" t="n"/>
      <c r="B887" s="688" t="n"/>
      <c r="C887" s="473" t="n"/>
      <c r="D887" s="688" t="n"/>
      <c r="E887" s="689" t="n"/>
      <c r="F887" s="721" t="n"/>
      <c r="G8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7" s="474">
        <f>G887/#REF!</f>
        <v/>
      </c>
      <c r="I887" s="690" t="n"/>
      <c r="J88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7" s="474">
        <f>J887/#REF!</f>
        <v/>
      </c>
      <c r="L887" s="473" t="n"/>
      <c r="M887" s="692" t="n"/>
      <c r="N887" s="693" t="n"/>
      <c r="O887" s="78" t="n"/>
      <c r="Y887" s="703" t="n"/>
      <c r="Z887" s="704" t="n"/>
      <c r="AA887" s="705" t="n"/>
      <c r="AB887" s="613" t="n"/>
      <c r="AC887" s="614" t="n"/>
      <c r="AD887" s="628" t="n"/>
      <c r="AE887" s="616" t="n"/>
      <c r="AF887" s="617" t="n"/>
      <c r="AG887" s="693" t="n"/>
      <c r="AP887" s="693" t="n"/>
      <c r="AQ887" s="693" t="n"/>
      <c r="AR887" s="693" t="n"/>
      <c r="AS887" s="693" t="n"/>
      <c r="AT887" s="693" t="n"/>
      <c r="AU887" s="699" t="n"/>
      <c r="AV887" s="693" t="n"/>
      <c r="AW887" s="693" t="n"/>
      <c r="AX887" s="693" t="n"/>
      <c r="AY887" s="693" t="n"/>
      <c r="AZ887" s="693" t="n"/>
    </row>
    <row r="888">
      <c r="A888" s="688" t="n"/>
      <c r="B888" s="688" t="n"/>
      <c r="C888" s="473" t="n"/>
      <c r="D888" s="688" t="n"/>
      <c r="E888" s="689" t="n"/>
      <c r="F888" s="721" t="n"/>
      <c r="G8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8" s="474">
        <f>G888/#REF!</f>
        <v/>
      </c>
      <c r="I888" s="690" t="n"/>
      <c r="J88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8" s="474">
        <f>J888/#REF!</f>
        <v/>
      </c>
      <c r="L888" s="473" t="n"/>
      <c r="M888" s="692" t="n"/>
      <c r="N888" s="693" t="n"/>
      <c r="O888" s="78" t="n"/>
      <c r="Y888" s="708" t="n"/>
      <c r="Z888" s="709" t="n"/>
      <c r="AA888" s="710" t="n"/>
      <c r="AB888" s="590" t="n"/>
      <c r="AC888" s="591" t="n"/>
      <c r="AD888" s="592" t="n"/>
      <c r="AE888" s="593" t="n"/>
      <c r="AF888" s="594" t="n"/>
      <c r="AG888" s="693" t="n"/>
      <c r="AP888" s="693" t="n"/>
      <c r="AQ888" s="693" t="n"/>
      <c r="AR888" s="693" t="n"/>
      <c r="AS888" s="693" t="n"/>
      <c r="AT888" s="693" t="n"/>
      <c r="AU888" s="699" t="n"/>
      <c r="AV888" s="693" t="n"/>
      <c r="AW888" s="693" t="n"/>
      <c r="AX888" s="693" t="n"/>
      <c r="AY888" s="693" t="n"/>
      <c r="AZ888" s="693" t="n"/>
    </row>
    <row r="889">
      <c r="A889" s="688" t="n"/>
      <c r="B889" s="688" t="n"/>
      <c r="C889" s="473" t="n"/>
      <c r="D889" s="688" t="n"/>
      <c r="E889" s="689" t="n"/>
      <c r="F889" s="721" t="n"/>
      <c r="G8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89" s="474">
        <f>G889/#REF!</f>
        <v/>
      </c>
      <c r="I889" s="690" t="n"/>
      <c r="J88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89" s="474">
        <f>J889/#REF!</f>
        <v/>
      </c>
      <c r="L889" s="473" t="n"/>
      <c r="M889" s="692" t="n"/>
      <c r="N889" s="693" t="n"/>
      <c r="O889" s="78" t="n"/>
      <c r="Y889" s="703" t="n"/>
      <c r="Z889" s="704" t="n"/>
      <c r="AA889" s="705" t="n"/>
      <c r="AB889" s="613" t="n"/>
      <c r="AC889" s="614" t="n"/>
      <c r="AD889" s="628" t="n"/>
      <c r="AE889" s="616" t="n"/>
      <c r="AF889" s="617" t="n"/>
      <c r="AG889" s="693" t="n"/>
      <c r="AP889" s="693" t="n"/>
      <c r="AQ889" s="693" t="n"/>
      <c r="AR889" s="693" t="n"/>
      <c r="AS889" s="693" t="n"/>
      <c r="AT889" s="693" t="n"/>
      <c r="AU889" s="699" t="n"/>
      <c r="AV889" s="693" t="n"/>
      <c r="AW889" s="693" t="n"/>
      <c r="AX889" s="693" t="n"/>
      <c r="AY889" s="693" t="n"/>
      <c r="AZ889" s="693" t="n"/>
    </row>
    <row r="890">
      <c r="A890" s="688" t="n"/>
      <c r="B890" s="688" t="n"/>
      <c r="C890" s="473" t="n"/>
      <c r="D890" s="688" t="n"/>
      <c r="E890" s="689" t="n"/>
      <c r="F890" s="721" t="n"/>
      <c r="G8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0" s="474">
        <f>G890/#REF!</f>
        <v/>
      </c>
      <c r="I890" s="690" t="n"/>
      <c r="J89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0" s="474">
        <f>J890/#REF!</f>
        <v/>
      </c>
      <c r="L890" s="473" t="n"/>
      <c r="M890" s="692" t="n"/>
      <c r="N890" s="693" t="n"/>
      <c r="O890" s="78" t="n"/>
      <c r="Y890" s="708" t="n"/>
      <c r="Z890" s="709" t="n"/>
      <c r="AA890" s="710" t="n"/>
      <c r="AB890" s="590" t="n"/>
      <c r="AC890" s="591" t="n"/>
      <c r="AD890" s="592" t="n"/>
      <c r="AE890" s="593" t="n"/>
      <c r="AF890" s="594" t="n"/>
      <c r="AG890" s="693" t="n"/>
      <c r="AP890" s="693" t="n"/>
      <c r="AQ890" s="693" t="n"/>
      <c r="AR890" s="693" t="n"/>
      <c r="AS890" s="693" t="n"/>
      <c r="AT890" s="693" t="n"/>
      <c r="AU890" s="699" t="n"/>
      <c r="AV890" s="693" t="n"/>
      <c r="AW890" s="693" t="n"/>
      <c r="AX890" s="693" t="n"/>
      <c r="AY890" s="693" t="n"/>
      <c r="AZ890" s="693" t="n"/>
    </row>
    <row r="891">
      <c r="A891" s="688" t="n"/>
      <c r="B891" s="688" t="n"/>
      <c r="C891" s="473" t="n"/>
      <c r="D891" s="688" t="n"/>
      <c r="E891" s="689" t="n"/>
      <c r="F891" s="721" t="n"/>
      <c r="G8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1" s="474">
        <f>G891/#REF!</f>
        <v/>
      </c>
      <c r="I891" s="690" t="n"/>
      <c r="J89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1" s="474">
        <f>J891/#REF!</f>
        <v/>
      </c>
      <c r="L891" s="473" t="n"/>
      <c r="M891" s="692" t="n"/>
      <c r="N891" s="693" t="n"/>
      <c r="O891" s="78" t="n"/>
      <c r="Y891" s="703" t="n"/>
      <c r="Z891" s="704" t="n"/>
      <c r="AA891" s="705" t="n"/>
      <c r="AB891" s="613" t="n"/>
      <c r="AC891" s="614" t="n"/>
      <c r="AD891" s="628" t="n"/>
      <c r="AE891" s="616" t="n"/>
      <c r="AF891" s="617" t="n"/>
      <c r="AG891" s="693" t="n"/>
      <c r="AP891" s="693" t="n"/>
      <c r="AQ891" s="693" t="n"/>
      <c r="AR891" s="693" t="n"/>
      <c r="AS891" s="693" t="n"/>
      <c r="AT891" s="693" t="n"/>
      <c r="AU891" s="699" t="n"/>
      <c r="AV891" s="693" t="n"/>
      <c r="AW891" s="693" t="n"/>
      <c r="AX891" s="693" t="n"/>
      <c r="AY891" s="693" t="n"/>
      <c r="AZ891" s="693" t="n"/>
    </row>
    <row r="892">
      <c r="A892" s="688" t="n"/>
      <c r="B892" s="688" t="n"/>
      <c r="C892" s="473" t="n"/>
      <c r="D892" s="688" t="n"/>
      <c r="E892" s="689" t="n"/>
      <c r="F892" s="721" t="n"/>
      <c r="G8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2" s="474">
        <f>G892/#REF!</f>
        <v/>
      </c>
      <c r="I892" s="690" t="n"/>
      <c r="J89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2" s="474">
        <f>J892/#REF!</f>
        <v/>
      </c>
      <c r="L892" s="473" t="n"/>
      <c r="M892" s="692" t="n"/>
      <c r="N892" s="693" t="n"/>
      <c r="O892" s="78" t="n"/>
      <c r="Y892" s="708" t="n"/>
      <c r="Z892" s="709" t="n"/>
      <c r="AA892" s="710" t="n"/>
      <c r="AB892" s="590" t="n"/>
      <c r="AC892" s="591" t="n"/>
      <c r="AD892" s="592" t="n"/>
      <c r="AE892" s="593" t="n"/>
      <c r="AF892" s="594" t="n"/>
      <c r="AG892" s="693" t="n"/>
      <c r="AP892" s="693" t="n"/>
      <c r="AQ892" s="693" t="n"/>
      <c r="AR892" s="693" t="n"/>
      <c r="AS892" s="693" t="n"/>
      <c r="AT892" s="693" t="n"/>
      <c r="AU892" s="699" t="n"/>
      <c r="AV892" s="693" t="n"/>
      <c r="AW892" s="693" t="n"/>
      <c r="AX892" s="693" t="n"/>
      <c r="AY892" s="693" t="n"/>
      <c r="AZ892" s="693" t="n"/>
    </row>
    <row r="893">
      <c r="A893" s="688" t="n"/>
      <c r="B893" s="688" t="n"/>
      <c r="C893" s="473" t="n"/>
      <c r="D893" s="688" t="n"/>
      <c r="E893" s="689" t="n"/>
      <c r="F893" s="721" t="n"/>
      <c r="G8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3" s="474">
        <f>G893/#REF!</f>
        <v/>
      </c>
      <c r="I893" s="690" t="n"/>
      <c r="J89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3" s="474">
        <f>J893/#REF!</f>
        <v/>
      </c>
      <c r="L893" s="473" t="n"/>
      <c r="M893" s="692" t="n"/>
      <c r="N893" s="693" t="n"/>
      <c r="O893" s="78" t="n"/>
      <c r="Y893" s="703" t="n"/>
      <c r="Z893" s="704" t="n"/>
      <c r="AA893" s="705" t="n"/>
      <c r="AB893" s="613" t="n"/>
      <c r="AC893" s="614" t="n"/>
      <c r="AD893" s="628" t="n"/>
      <c r="AE893" s="616" t="n"/>
      <c r="AF893" s="617" t="n"/>
      <c r="AG893" s="693" t="n"/>
      <c r="AP893" s="693" t="n"/>
      <c r="AQ893" s="693" t="n"/>
      <c r="AR893" s="693" t="n"/>
      <c r="AS893" s="693" t="n"/>
      <c r="AT893" s="693" t="n"/>
      <c r="AU893" s="699" t="n"/>
      <c r="AV893" s="693" t="n"/>
      <c r="AW893" s="693" t="n"/>
      <c r="AX893" s="693" t="n"/>
      <c r="AY893" s="693" t="n"/>
      <c r="AZ893" s="693" t="n"/>
    </row>
    <row r="894">
      <c r="A894" s="688" t="n"/>
      <c r="B894" s="688" t="n"/>
      <c r="C894" s="473" t="n"/>
      <c r="D894" s="688" t="n"/>
      <c r="E894" s="689" t="n"/>
      <c r="F894" s="721" t="n"/>
      <c r="G8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4" s="474">
        <f>G894/#REF!</f>
        <v/>
      </c>
      <c r="I894" s="690" t="n"/>
      <c r="J89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4" s="474">
        <f>J894/#REF!</f>
        <v/>
      </c>
      <c r="L894" s="473" t="n"/>
      <c r="M894" s="692" t="n"/>
      <c r="N894" s="693" t="n"/>
      <c r="O894" s="78" t="n"/>
      <c r="Y894" s="708" t="n"/>
      <c r="Z894" s="709" t="n"/>
      <c r="AA894" s="710" t="n"/>
      <c r="AB894" s="590" t="n"/>
      <c r="AC894" s="591" t="n"/>
      <c r="AD894" s="592" t="n"/>
      <c r="AE894" s="593" t="n"/>
      <c r="AF894" s="594" t="n"/>
      <c r="AG894" s="693" t="n"/>
      <c r="AP894" s="693" t="n"/>
      <c r="AQ894" s="693" t="n"/>
      <c r="AR894" s="693" t="n"/>
      <c r="AS894" s="693" t="n"/>
      <c r="AT894" s="693" t="n"/>
      <c r="AU894" s="699" t="n"/>
      <c r="AV894" s="693" t="n"/>
      <c r="AW894" s="693" t="n"/>
      <c r="AX894" s="693" t="n"/>
      <c r="AY894" s="693" t="n"/>
      <c r="AZ894" s="693" t="n"/>
    </row>
    <row r="895">
      <c r="A895" s="688" t="n"/>
      <c r="B895" s="688" t="n"/>
      <c r="C895" s="473" t="n"/>
      <c r="D895" s="688" t="n"/>
      <c r="E895" s="689" t="n"/>
      <c r="F895" s="721" t="n"/>
      <c r="G8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5" s="474">
        <f>G895/#REF!</f>
        <v/>
      </c>
      <c r="I895" s="690" t="n"/>
      <c r="J89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5" s="474">
        <f>J895/#REF!</f>
        <v/>
      </c>
      <c r="L895" s="473" t="n"/>
      <c r="M895" s="692" t="n"/>
      <c r="N895" s="693" t="n"/>
      <c r="O895" s="78" t="n"/>
      <c r="Y895" s="703" t="n"/>
      <c r="Z895" s="704" t="n"/>
      <c r="AA895" s="705" t="n"/>
      <c r="AB895" s="613" t="n"/>
      <c r="AC895" s="614" t="n"/>
      <c r="AD895" s="628" t="n"/>
      <c r="AE895" s="616" t="n"/>
      <c r="AF895" s="617" t="n"/>
      <c r="AG895" s="693" t="n"/>
      <c r="AP895" s="693" t="n"/>
      <c r="AQ895" s="693" t="n"/>
      <c r="AR895" s="693" t="n"/>
      <c r="AS895" s="693" t="n"/>
      <c r="AT895" s="693" t="n"/>
      <c r="AU895" s="699" t="n"/>
      <c r="AV895" s="693" t="n"/>
      <c r="AW895" s="693" t="n"/>
      <c r="AX895" s="693" t="n"/>
      <c r="AY895" s="693" t="n"/>
      <c r="AZ895" s="693" t="n"/>
    </row>
    <row r="896">
      <c r="A896" s="688" t="n"/>
      <c r="B896" s="688" t="n"/>
      <c r="C896" s="473" t="n"/>
      <c r="D896" s="688" t="n"/>
      <c r="E896" s="689" t="n"/>
      <c r="F896" s="721" t="n"/>
      <c r="G8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6" s="474">
        <f>G896/#REF!</f>
        <v/>
      </c>
      <c r="I896" s="690" t="n"/>
      <c r="J89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6" s="474">
        <f>J896/#REF!</f>
        <v/>
      </c>
      <c r="L896" s="473" t="n"/>
      <c r="M896" s="692" t="n"/>
      <c r="N896" s="693" t="n"/>
      <c r="O896" s="78" t="n"/>
      <c r="Y896" s="708" t="n"/>
      <c r="Z896" s="709" t="n"/>
      <c r="AA896" s="710" t="n"/>
      <c r="AB896" s="590" t="n"/>
      <c r="AC896" s="591" t="n"/>
      <c r="AD896" s="592" t="n"/>
      <c r="AE896" s="593" t="n"/>
      <c r="AF896" s="594" t="n"/>
      <c r="AG896" s="693" t="n"/>
      <c r="AP896" s="693" t="n"/>
      <c r="AQ896" s="693" t="n"/>
      <c r="AR896" s="693" t="n"/>
      <c r="AS896" s="693" t="n"/>
      <c r="AT896" s="693" t="n"/>
      <c r="AU896" s="699" t="n"/>
      <c r="AV896" s="693" t="n"/>
      <c r="AW896" s="693" t="n"/>
      <c r="AX896" s="693" t="n"/>
      <c r="AY896" s="693" t="n"/>
      <c r="AZ896" s="693" t="n"/>
    </row>
    <row r="897">
      <c r="A897" s="688" t="n"/>
      <c r="B897" s="688" t="n"/>
      <c r="C897" s="473" t="n"/>
      <c r="D897" s="688" t="n"/>
      <c r="E897" s="689" t="n"/>
      <c r="F897" s="721" t="n"/>
      <c r="G8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7" s="474">
        <f>G897/#REF!</f>
        <v/>
      </c>
      <c r="I897" s="690" t="n"/>
      <c r="J89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7" s="474">
        <f>J897/#REF!</f>
        <v/>
      </c>
      <c r="L897" s="473" t="n"/>
      <c r="M897" s="692" t="n"/>
      <c r="N897" s="693" t="n"/>
      <c r="O897" s="78" t="n"/>
      <c r="Y897" s="703" t="n"/>
      <c r="Z897" s="704" t="n"/>
      <c r="AA897" s="705" t="n"/>
      <c r="AB897" s="613" t="n"/>
      <c r="AC897" s="614" t="n"/>
      <c r="AD897" s="628" t="n"/>
      <c r="AE897" s="616" t="n"/>
      <c r="AF897" s="617" t="n"/>
      <c r="AG897" s="693" t="n"/>
      <c r="AP897" s="693" t="n"/>
      <c r="AQ897" s="693" t="n"/>
      <c r="AR897" s="693" t="n"/>
      <c r="AS897" s="693" t="n"/>
      <c r="AT897" s="693" t="n"/>
      <c r="AU897" s="699" t="n"/>
      <c r="AV897" s="693" t="n"/>
      <c r="AW897" s="693" t="n"/>
      <c r="AX897" s="693" t="n"/>
      <c r="AY897" s="693" t="n"/>
      <c r="AZ897" s="693" t="n"/>
    </row>
    <row r="898">
      <c r="A898" s="688" t="n"/>
      <c r="B898" s="688" t="n"/>
      <c r="C898" s="473" t="n"/>
      <c r="D898" s="688" t="n"/>
      <c r="E898" s="689" t="n"/>
      <c r="F898" s="721" t="n"/>
      <c r="G8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8" s="474">
        <f>G898/#REF!</f>
        <v/>
      </c>
      <c r="I898" s="690" t="n"/>
      <c r="J89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8" s="474">
        <f>J898/#REF!</f>
        <v/>
      </c>
      <c r="L898" s="473" t="n"/>
      <c r="M898" s="692" t="n"/>
      <c r="N898" s="693" t="n"/>
      <c r="O898" s="78" t="n"/>
      <c r="Y898" s="708" t="n"/>
      <c r="Z898" s="709" t="n"/>
      <c r="AA898" s="710" t="n"/>
      <c r="AB898" s="590" t="n"/>
      <c r="AC898" s="591" t="n"/>
      <c r="AD898" s="592" t="n"/>
      <c r="AE898" s="593" t="n"/>
      <c r="AF898" s="594" t="n"/>
      <c r="AG898" s="693" t="n"/>
      <c r="AP898" s="693" t="n"/>
      <c r="AQ898" s="693" t="n"/>
      <c r="AR898" s="693" t="n"/>
      <c r="AS898" s="693" t="n"/>
      <c r="AT898" s="693" t="n"/>
      <c r="AU898" s="699" t="n"/>
      <c r="AV898" s="693" t="n"/>
      <c r="AW898" s="693" t="n"/>
      <c r="AX898" s="693" t="n"/>
      <c r="AY898" s="693" t="n"/>
      <c r="AZ898" s="693" t="n"/>
    </row>
    <row r="899">
      <c r="A899" s="688" t="n"/>
      <c r="B899" s="688" t="n"/>
      <c r="C899" s="473" t="n"/>
      <c r="D899" s="688" t="n"/>
      <c r="E899" s="689" t="n"/>
      <c r="F899" s="721" t="n"/>
      <c r="G8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899" s="474">
        <f>G899/#REF!</f>
        <v/>
      </c>
      <c r="I899" s="690" t="n"/>
      <c r="J89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899" s="474">
        <f>J899/#REF!</f>
        <v/>
      </c>
      <c r="L899" s="473" t="n"/>
      <c r="M899" s="692" t="n"/>
      <c r="N899" s="693" t="n"/>
      <c r="O899" s="78" t="n"/>
      <c r="Y899" s="703" t="n"/>
      <c r="Z899" s="704" t="n"/>
      <c r="AA899" s="705" t="n"/>
      <c r="AB899" s="613" t="n"/>
      <c r="AC899" s="614" t="n"/>
      <c r="AD899" s="628" t="n"/>
      <c r="AE899" s="616" t="n"/>
      <c r="AF899" s="617" t="n"/>
      <c r="AG899" s="693" t="n"/>
      <c r="AP899" s="693" t="n"/>
      <c r="AQ899" s="693" t="n"/>
      <c r="AR899" s="693" t="n"/>
      <c r="AS899" s="693" t="n"/>
      <c r="AT899" s="693" t="n"/>
      <c r="AU899" s="699" t="n"/>
      <c r="AV899" s="693" t="n"/>
      <c r="AW899" s="693" t="n"/>
      <c r="AX899" s="693" t="n"/>
      <c r="AY899" s="693" t="n"/>
      <c r="AZ899" s="693" t="n"/>
    </row>
    <row r="900">
      <c r="A900" s="688" t="n"/>
      <c r="B900" s="688" t="n"/>
      <c r="C900" s="473" t="n"/>
      <c r="D900" s="688" t="n"/>
      <c r="E900" s="689" t="n"/>
      <c r="F900" s="721" t="n"/>
      <c r="G9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0" s="474">
        <f>G900/#REF!</f>
        <v/>
      </c>
      <c r="I900" s="690" t="n"/>
      <c r="J90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0" s="474">
        <f>J900/#REF!</f>
        <v/>
      </c>
      <c r="L900" s="473" t="n"/>
      <c r="M900" s="692" t="n"/>
      <c r="N900" s="693" t="n"/>
      <c r="O900" s="78" t="n"/>
      <c r="Y900" s="708" t="n"/>
      <c r="Z900" s="709" t="n"/>
      <c r="AA900" s="710" t="n"/>
      <c r="AB900" s="590" t="n"/>
      <c r="AC900" s="591" t="n"/>
      <c r="AD900" s="592" t="n"/>
      <c r="AE900" s="593" t="n"/>
      <c r="AF900" s="594" t="n"/>
      <c r="AG900" s="693" t="n"/>
      <c r="AP900" s="693" t="n"/>
      <c r="AQ900" s="693" t="n"/>
      <c r="AR900" s="693" t="n"/>
      <c r="AS900" s="693" t="n"/>
      <c r="AT900" s="693" t="n"/>
      <c r="AU900" s="699" t="n"/>
      <c r="AV900" s="693" t="n"/>
      <c r="AW900" s="693" t="n"/>
      <c r="AX900" s="693" t="n"/>
      <c r="AY900" s="693" t="n"/>
      <c r="AZ900" s="693" t="n"/>
    </row>
    <row r="901">
      <c r="A901" s="688" t="n"/>
      <c r="B901" s="688" t="n"/>
      <c r="C901" s="473" t="n"/>
      <c r="D901" s="688" t="n"/>
      <c r="E901" s="689" t="n"/>
      <c r="F901" s="721" t="n"/>
      <c r="G9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1" s="474">
        <f>G901/#REF!</f>
        <v/>
      </c>
      <c r="I901" s="690" t="n"/>
      <c r="J90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1" s="474">
        <f>J901/#REF!</f>
        <v/>
      </c>
      <c r="L901" s="473" t="n"/>
      <c r="M901" s="692" t="n"/>
      <c r="N901" s="693" t="n"/>
      <c r="O901" s="78" t="n"/>
      <c r="Y901" s="703" t="n"/>
      <c r="Z901" s="704" t="n"/>
      <c r="AA901" s="705" t="n"/>
      <c r="AB901" s="613" t="n"/>
      <c r="AC901" s="614" t="n"/>
      <c r="AD901" s="628" t="n"/>
      <c r="AE901" s="616" t="n"/>
      <c r="AF901" s="617" t="n"/>
      <c r="AG901" s="693" t="n"/>
      <c r="AP901" s="693" t="n"/>
      <c r="AQ901" s="693" t="n"/>
      <c r="AR901" s="693" t="n"/>
      <c r="AS901" s="693" t="n"/>
      <c r="AT901" s="693" t="n"/>
      <c r="AU901" s="699" t="n"/>
      <c r="AV901" s="693" t="n"/>
      <c r="AW901" s="693" t="n"/>
      <c r="AX901" s="693" t="n"/>
      <c r="AY901" s="693" t="n"/>
      <c r="AZ901" s="693" t="n"/>
    </row>
    <row r="902">
      <c r="A902" s="688" t="n"/>
      <c r="B902" s="688" t="n"/>
      <c r="C902" s="473" t="n"/>
      <c r="D902" s="688" t="n"/>
      <c r="E902" s="689" t="n"/>
      <c r="F902" s="721" t="n"/>
      <c r="G9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2" s="474">
        <f>G902/#REF!</f>
        <v/>
      </c>
      <c r="I902" s="690" t="n"/>
      <c r="J90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2" s="474">
        <f>J902/#REF!</f>
        <v/>
      </c>
      <c r="L902" s="473" t="n"/>
      <c r="M902" s="692" t="n"/>
      <c r="N902" s="693" t="n"/>
      <c r="O902" s="78" t="n"/>
      <c r="Y902" s="708" t="n"/>
      <c r="Z902" s="709" t="n"/>
      <c r="AA902" s="710" t="n"/>
      <c r="AB902" s="590" t="n"/>
      <c r="AC902" s="591" t="n"/>
      <c r="AD902" s="592" t="n"/>
      <c r="AE902" s="593" t="n"/>
      <c r="AF902" s="594" t="n"/>
      <c r="AG902" s="693" t="n"/>
      <c r="AP902" s="693" t="n"/>
      <c r="AQ902" s="693" t="n"/>
      <c r="AR902" s="693" t="n"/>
      <c r="AS902" s="693" t="n"/>
      <c r="AT902" s="693" t="n"/>
      <c r="AU902" s="699" t="n"/>
      <c r="AV902" s="693" t="n"/>
      <c r="AW902" s="693" t="n"/>
      <c r="AX902" s="693" t="n"/>
      <c r="AY902" s="693" t="n"/>
      <c r="AZ902" s="693" t="n"/>
    </row>
    <row r="903">
      <c r="A903" s="688" t="n"/>
      <c r="B903" s="688" t="n"/>
      <c r="C903" s="473" t="n"/>
      <c r="D903" s="688" t="n"/>
      <c r="E903" s="689" t="n"/>
      <c r="F903" s="721" t="n"/>
      <c r="G9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3" s="474">
        <f>G903/#REF!</f>
        <v/>
      </c>
      <c r="I903" s="690" t="n"/>
      <c r="J90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3" s="474">
        <f>J903/#REF!</f>
        <v/>
      </c>
      <c r="L903" s="473" t="n"/>
      <c r="M903" s="692" t="n"/>
      <c r="N903" s="693" t="n"/>
      <c r="O903" s="78" t="n"/>
      <c r="Y903" s="703" t="n"/>
      <c r="Z903" s="704" t="n"/>
      <c r="AA903" s="705" t="n"/>
      <c r="AB903" s="613" t="n"/>
      <c r="AC903" s="614" t="n"/>
      <c r="AD903" s="628" t="n"/>
      <c r="AE903" s="616" t="n"/>
      <c r="AF903" s="617" t="n"/>
      <c r="AG903" s="693" t="n"/>
      <c r="AP903" s="693" t="n"/>
      <c r="AQ903" s="693" t="n"/>
      <c r="AR903" s="693" t="n"/>
      <c r="AS903" s="693" t="n"/>
      <c r="AT903" s="693" t="n"/>
      <c r="AU903" s="699" t="n"/>
      <c r="AV903" s="693" t="n"/>
      <c r="AW903" s="693" t="n"/>
      <c r="AX903" s="693" t="n"/>
      <c r="AY903" s="693" t="n"/>
      <c r="AZ903" s="693" t="n"/>
    </row>
    <row r="904">
      <c r="A904" s="688" t="n"/>
      <c r="B904" s="688" t="n"/>
      <c r="C904" s="473" t="n"/>
      <c r="D904" s="688" t="n"/>
      <c r="E904" s="689" t="n"/>
      <c r="F904" s="721" t="n"/>
      <c r="G9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4" s="474">
        <f>G904/#REF!</f>
        <v/>
      </c>
      <c r="I904" s="690" t="n"/>
      <c r="J90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4" s="474">
        <f>J904/#REF!</f>
        <v/>
      </c>
      <c r="L904" s="473" t="n"/>
      <c r="M904" s="692" t="n"/>
      <c r="N904" s="693" t="n"/>
      <c r="O904" s="78" t="n"/>
      <c r="Y904" s="708" t="n"/>
      <c r="Z904" s="709" t="n"/>
      <c r="AA904" s="710" t="n"/>
      <c r="AB904" s="590" t="n"/>
      <c r="AC904" s="591" t="n"/>
      <c r="AD904" s="592" t="n"/>
      <c r="AE904" s="593" t="n"/>
      <c r="AF904" s="594" t="n"/>
      <c r="AG904" s="693" t="n"/>
      <c r="AP904" s="693" t="n"/>
      <c r="AQ904" s="693" t="n"/>
      <c r="AR904" s="693" t="n"/>
      <c r="AS904" s="693" t="n"/>
      <c r="AT904" s="693" t="n"/>
      <c r="AU904" s="699" t="n"/>
      <c r="AV904" s="693" t="n"/>
      <c r="AW904" s="693" t="n"/>
      <c r="AX904" s="693" t="n"/>
      <c r="AY904" s="693" t="n"/>
      <c r="AZ904" s="693" t="n"/>
    </row>
    <row r="905">
      <c r="A905" s="688" t="n"/>
      <c r="B905" s="688" t="n"/>
      <c r="C905" s="473" t="n"/>
      <c r="D905" s="688" t="n"/>
      <c r="E905" s="689" t="n"/>
      <c r="F905" s="721" t="n"/>
      <c r="G9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5" s="474">
        <f>G905/#REF!</f>
        <v/>
      </c>
      <c r="I905" s="690" t="n"/>
      <c r="J90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5" s="474">
        <f>J905/#REF!</f>
        <v/>
      </c>
      <c r="L905" s="473" t="n"/>
      <c r="M905" s="692" t="n"/>
      <c r="N905" s="693" t="n"/>
      <c r="O905" s="78" t="n"/>
      <c r="Y905" s="703" t="n"/>
      <c r="Z905" s="704" t="n"/>
      <c r="AA905" s="705" t="n"/>
      <c r="AB905" s="613" t="n"/>
      <c r="AC905" s="614" t="n"/>
      <c r="AD905" s="628" t="n"/>
      <c r="AE905" s="616" t="n"/>
      <c r="AF905" s="617" t="n"/>
      <c r="AG905" s="693" t="n"/>
      <c r="AP905" s="693" t="n"/>
      <c r="AQ905" s="693" t="n"/>
      <c r="AR905" s="693" t="n"/>
      <c r="AS905" s="693" t="n"/>
      <c r="AT905" s="693" t="n"/>
      <c r="AU905" s="699" t="n"/>
      <c r="AV905" s="693" t="n"/>
      <c r="AW905" s="693" t="n"/>
      <c r="AX905" s="693" t="n"/>
      <c r="AY905" s="693" t="n"/>
      <c r="AZ905" s="693" t="n"/>
    </row>
    <row r="906">
      <c r="A906" s="688" t="n"/>
      <c r="B906" s="688" t="n"/>
      <c r="C906" s="473" t="n"/>
      <c r="D906" s="688" t="n"/>
      <c r="E906" s="689" t="n"/>
      <c r="F906" s="721" t="n"/>
      <c r="G9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6" s="474">
        <f>G906/#REF!</f>
        <v/>
      </c>
      <c r="I906" s="690" t="n"/>
      <c r="J90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6" s="474">
        <f>J906/#REF!</f>
        <v/>
      </c>
      <c r="L906" s="473" t="n"/>
      <c r="M906" s="692" t="n"/>
      <c r="N906" s="693" t="n"/>
      <c r="O906" s="78" t="n"/>
      <c r="Y906" s="708" t="n"/>
      <c r="Z906" s="709" t="n"/>
      <c r="AA906" s="710" t="n"/>
      <c r="AB906" s="590" t="n"/>
      <c r="AC906" s="591" t="n"/>
      <c r="AD906" s="592" t="n"/>
      <c r="AE906" s="593" t="n"/>
      <c r="AF906" s="594" t="n"/>
      <c r="AG906" s="693" t="n"/>
      <c r="AP906" s="693" t="n"/>
      <c r="AQ906" s="693" t="n"/>
      <c r="AR906" s="693" t="n"/>
      <c r="AS906" s="693" t="n"/>
      <c r="AT906" s="693" t="n"/>
      <c r="AU906" s="699" t="n"/>
      <c r="AV906" s="693" t="n"/>
      <c r="AW906" s="693" t="n"/>
      <c r="AX906" s="693" t="n"/>
      <c r="AY906" s="693" t="n"/>
      <c r="AZ906" s="693" t="n"/>
    </row>
    <row r="907">
      <c r="A907" s="688" t="n"/>
      <c r="B907" s="688" t="n"/>
      <c r="C907" s="473" t="n"/>
      <c r="D907" s="688" t="n"/>
      <c r="E907" s="689" t="n"/>
      <c r="F907" s="721" t="n"/>
      <c r="G9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7" s="474">
        <f>G907/#REF!</f>
        <v/>
      </c>
      <c r="I907" s="690" t="n"/>
      <c r="J90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7" s="474">
        <f>J907/#REF!</f>
        <v/>
      </c>
      <c r="L907" s="473" t="n"/>
      <c r="M907" s="692" t="n"/>
      <c r="N907" s="693" t="n"/>
      <c r="O907" s="78" t="n"/>
      <c r="Y907" s="703" t="n"/>
      <c r="Z907" s="704" t="n"/>
      <c r="AA907" s="705" t="n"/>
      <c r="AB907" s="613" t="n"/>
      <c r="AC907" s="614" t="n"/>
      <c r="AD907" s="628" t="n"/>
      <c r="AE907" s="616" t="n"/>
      <c r="AF907" s="617" t="n"/>
      <c r="AG907" s="693" t="n"/>
      <c r="AP907" s="693" t="n"/>
      <c r="AQ907" s="693" t="n"/>
      <c r="AR907" s="693" t="n"/>
      <c r="AS907" s="693" t="n"/>
      <c r="AT907" s="693" t="n"/>
      <c r="AU907" s="699" t="n"/>
      <c r="AV907" s="693" t="n"/>
      <c r="AW907" s="693" t="n"/>
      <c r="AX907" s="693" t="n"/>
      <c r="AY907" s="693" t="n"/>
      <c r="AZ907" s="693" t="n"/>
    </row>
    <row r="908">
      <c r="A908" s="688" t="n"/>
      <c r="B908" s="688" t="n"/>
      <c r="C908" s="473" t="n"/>
      <c r="D908" s="688" t="n"/>
      <c r="E908" s="689" t="n"/>
      <c r="F908" s="721" t="n"/>
      <c r="G9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8" s="474">
        <f>G908/#REF!</f>
        <v/>
      </c>
      <c r="I908" s="690" t="n"/>
      <c r="J90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8" s="474">
        <f>J908/#REF!</f>
        <v/>
      </c>
      <c r="L908" s="473" t="n"/>
      <c r="M908" s="692" t="n"/>
      <c r="N908" s="693" t="n"/>
      <c r="O908" s="78" t="n"/>
      <c r="Y908" s="708" t="n"/>
      <c r="Z908" s="709" t="n"/>
      <c r="AA908" s="710" t="n"/>
      <c r="AB908" s="590" t="n"/>
      <c r="AC908" s="591" t="n"/>
      <c r="AD908" s="592" t="n"/>
      <c r="AE908" s="593" t="n"/>
      <c r="AF908" s="594" t="n"/>
      <c r="AG908" s="693" t="n"/>
      <c r="AP908" s="693" t="n"/>
      <c r="AQ908" s="693" t="n"/>
      <c r="AR908" s="693" t="n"/>
      <c r="AS908" s="693" t="n"/>
      <c r="AT908" s="693" t="n"/>
      <c r="AU908" s="699" t="n"/>
      <c r="AV908" s="693" t="n"/>
      <c r="AW908" s="693" t="n"/>
      <c r="AX908" s="693" t="n"/>
      <c r="AY908" s="693" t="n"/>
      <c r="AZ908" s="693" t="n"/>
    </row>
    <row r="909">
      <c r="A909" s="688" t="n"/>
      <c r="B909" s="688" t="n"/>
      <c r="C909" s="473" t="n"/>
      <c r="D909" s="688" t="n"/>
      <c r="E909" s="689" t="n"/>
      <c r="F909" s="721" t="n"/>
      <c r="G9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09" s="474">
        <f>G909/#REF!</f>
        <v/>
      </c>
      <c r="I909" s="690" t="n"/>
      <c r="J90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09" s="474">
        <f>J909/#REF!</f>
        <v/>
      </c>
      <c r="L909" s="473" t="n"/>
      <c r="M909" s="692" t="n"/>
      <c r="N909" s="693" t="n"/>
      <c r="O909" s="78" t="n"/>
      <c r="Y909" s="703" t="n"/>
      <c r="Z909" s="704" t="n"/>
      <c r="AA909" s="705" t="n"/>
      <c r="AB909" s="613" t="n"/>
      <c r="AC909" s="614" t="n"/>
      <c r="AD909" s="628" t="n"/>
      <c r="AE909" s="616" t="n"/>
      <c r="AF909" s="617" t="n"/>
      <c r="AG909" s="693" t="n"/>
      <c r="AP909" s="693" t="n"/>
      <c r="AQ909" s="693" t="n"/>
      <c r="AR909" s="693" t="n"/>
      <c r="AS909" s="693" t="n"/>
      <c r="AT909" s="693" t="n"/>
      <c r="AU909" s="699" t="n"/>
      <c r="AV909" s="693" t="n"/>
      <c r="AW909" s="693" t="n"/>
      <c r="AX909" s="693" t="n"/>
      <c r="AY909" s="693" t="n"/>
      <c r="AZ909" s="693" t="n"/>
    </row>
    <row r="910">
      <c r="A910" s="688" t="n"/>
      <c r="B910" s="688" t="n"/>
      <c r="C910" s="473" t="n"/>
      <c r="D910" s="688" t="n"/>
      <c r="E910" s="689" t="n"/>
      <c r="F910" s="721" t="n"/>
      <c r="G9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0" s="474">
        <f>G910/#REF!</f>
        <v/>
      </c>
      <c r="I910" s="690" t="n"/>
      <c r="J91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0" s="474">
        <f>J910/#REF!</f>
        <v/>
      </c>
      <c r="L910" s="473" t="n"/>
      <c r="M910" s="692" t="n"/>
      <c r="N910" s="693" t="n"/>
      <c r="O910" s="78" t="n"/>
      <c r="Y910" s="708" t="n"/>
      <c r="Z910" s="709" t="n"/>
      <c r="AA910" s="710" t="n"/>
      <c r="AB910" s="590" t="n"/>
      <c r="AC910" s="591" t="n"/>
      <c r="AD910" s="592" t="n"/>
      <c r="AE910" s="593" t="n"/>
      <c r="AF910" s="594" t="n"/>
      <c r="AG910" s="693" t="n"/>
      <c r="AP910" s="693" t="n"/>
      <c r="AQ910" s="693" t="n"/>
      <c r="AR910" s="693" t="n"/>
      <c r="AS910" s="693" t="n"/>
      <c r="AT910" s="693" t="n"/>
      <c r="AU910" s="699" t="n"/>
      <c r="AV910" s="693" t="n"/>
      <c r="AW910" s="693" t="n"/>
      <c r="AX910" s="693" t="n"/>
      <c r="AY910" s="693" t="n"/>
      <c r="AZ910" s="693" t="n"/>
    </row>
    <row r="911">
      <c r="A911" s="688" t="n"/>
      <c r="B911" s="688" t="n"/>
      <c r="C911" s="473" t="n"/>
      <c r="D911" s="688" t="n"/>
      <c r="E911" s="689" t="n"/>
      <c r="F911" s="721" t="n"/>
      <c r="G9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1" s="474">
        <f>G911/#REF!</f>
        <v/>
      </c>
      <c r="I911" s="690" t="n"/>
      <c r="J91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1" s="474">
        <f>J911/#REF!</f>
        <v/>
      </c>
      <c r="L911" s="473" t="n"/>
      <c r="M911" s="692" t="n"/>
      <c r="N911" s="693" t="n"/>
      <c r="O911" s="78" t="n"/>
      <c r="Y911" s="703" t="n"/>
      <c r="Z911" s="704" t="n"/>
      <c r="AA911" s="705" t="n"/>
      <c r="AB911" s="613" t="n"/>
      <c r="AC911" s="614" t="n"/>
      <c r="AD911" s="628" t="n"/>
      <c r="AE911" s="616" t="n"/>
      <c r="AF911" s="617" t="n"/>
      <c r="AG911" s="693" t="n"/>
      <c r="AP911" s="693" t="n"/>
      <c r="AQ911" s="693" t="n"/>
      <c r="AR911" s="693" t="n"/>
      <c r="AS911" s="693" t="n"/>
      <c r="AT911" s="693" t="n"/>
      <c r="AU911" s="699" t="n"/>
      <c r="AV911" s="693" t="n"/>
      <c r="AW911" s="693" t="n"/>
      <c r="AX911" s="693" t="n"/>
      <c r="AY911" s="693" t="n"/>
      <c r="AZ911" s="693" t="n"/>
    </row>
    <row r="912">
      <c r="A912" s="688" t="n"/>
      <c r="B912" s="688" t="n"/>
      <c r="C912" s="473" t="n"/>
      <c r="D912" s="688" t="n"/>
      <c r="E912" s="689" t="n"/>
      <c r="F912" s="721" t="n"/>
      <c r="G9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2" s="474">
        <f>G912/#REF!</f>
        <v/>
      </c>
      <c r="I912" s="690" t="n"/>
      <c r="J91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2" s="474">
        <f>J912/#REF!</f>
        <v/>
      </c>
      <c r="L912" s="473" t="n"/>
      <c r="M912" s="692" t="n"/>
      <c r="N912" s="693" t="n"/>
      <c r="O912" s="78" t="n"/>
      <c r="Y912" s="708" t="n"/>
      <c r="Z912" s="709" t="n"/>
      <c r="AA912" s="710" t="n"/>
      <c r="AB912" s="590" t="n"/>
      <c r="AC912" s="591" t="n"/>
      <c r="AD912" s="592" t="n"/>
      <c r="AE912" s="593" t="n"/>
      <c r="AF912" s="594" t="n"/>
      <c r="AG912" s="693" t="n"/>
      <c r="AP912" s="693" t="n"/>
      <c r="AQ912" s="693" t="n"/>
      <c r="AR912" s="693" t="n"/>
      <c r="AS912" s="693" t="n"/>
      <c r="AT912" s="693" t="n"/>
      <c r="AU912" s="699" t="n"/>
      <c r="AV912" s="693" t="n"/>
      <c r="AW912" s="693" t="n"/>
      <c r="AX912" s="693" t="n"/>
      <c r="AY912" s="693" t="n"/>
      <c r="AZ912" s="693" t="n"/>
    </row>
    <row r="913">
      <c r="A913" s="688" t="n"/>
      <c r="B913" s="688" t="n"/>
      <c r="C913" s="473" t="n"/>
      <c r="D913" s="688" t="n"/>
      <c r="E913" s="689" t="n"/>
      <c r="F913" s="721" t="n"/>
      <c r="G9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3" s="474">
        <f>G913/#REF!</f>
        <v/>
      </c>
      <c r="I913" s="690" t="n"/>
      <c r="J91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3" s="474">
        <f>J913/#REF!</f>
        <v/>
      </c>
      <c r="L913" s="473" t="n"/>
      <c r="M913" s="692" t="n"/>
      <c r="N913" s="693" t="n"/>
      <c r="O913" s="78" t="n"/>
      <c r="Y913" s="703" t="n"/>
      <c r="Z913" s="704" t="n"/>
      <c r="AA913" s="705" t="n"/>
      <c r="AB913" s="613" t="n"/>
      <c r="AC913" s="614" t="n"/>
      <c r="AD913" s="628" t="n"/>
      <c r="AE913" s="616" t="n"/>
      <c r="AF913" s="617" t="n"/>
      <c r="AG913" s="693" t="n"/>
      <c r="AP913" s="693" t="n"/>
      <c r="AQ913" s="693" t="n"/>
      <c r="AR913" s="693" t="n"/>
      <c r="AS913" s="693" t="n"/>
      <c r="AT913" s="693" t="n"/>
      <c r="AU913" s="699" t="n"/>
      <c r="AV913" s="693" t="n"/>
      <c r="AW913" s="693" t="n"/>
      <c r="AX913" s="693" t="n"/>
      <c r="AY913" s="693" t="n"/>
      <c r="AZ913" s="693" t="n"/>
    </row>
    <row r="914">
      <c r="A914" s="688" t="n"/>
      <c r="B914" s="688" t="n"/>
      <c r="C914" s="473" t="n"/>
      <c r="D914" s="688" t="n"/>
      <c r="E914" s="689" t="n"/>
      <c r="F914" s="721" t="n"/>
      <c r="G9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4" s="474">
        <f>G914/#REF!</f>
        <v/>
      </c>
      <c r="I914" s="690" t="n"/>
      <c r="J91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4" s="474">
        <f>J914/#REF!</f>
        <v/>
      </c>
      <c r="L914" s="473" t="n"/>
      <c r="M914" s="692" t="n"/>
      <c r="N914" s="693" t="n"/>
      <c r="O914" s="78" t="n"/>
      <c r="Y914" s="708" t="n"/>
      <c r="Z914" s="709" t="n"/>
      <c r="AA914" s="710" t="n"/>
      <c r="AB914" s="590" t="n"/>
      <c r="AC914" s="591" t="n"/>
      <c r="AD914" s="592" t="n"/>
      <c r="AE914" s="593" t="n"/>
      <c r="AF914" s="594" t="n"/>
      <c r="AG914" s="693" t="n"/>
      <c r="AP914" s="693" t="n"/>
      <c r="AQ914" s="693" t="n"/>
      <c r="AR914" s="693" t="n"/>
      <c r="AS914" s="693" t="n"/>
      <c r="AT914" s="693" t="n"/>
      <c r="AU914" s="699" t="n"/>
      <c r="AV914" s="693" t="n"/>
      <c r="AW914" s="693" t="n"/>
      <c r="AX914" s="693" t="n"/>
      <c r="AY914" s="693" t="n"/>
      <c r="AZ914" s="693" t="n"/>
    </row>
    <row r="915">
      <c r="A915" s="688" t="n"/>
      <c r="B915" s="688" t="n"/>
      <c r="C915" s="473" t="n"/>
      <c r="D915" s="688" t="n"/>
      <c r="E915" s="689" t="n"/>
      <c r="F915" s="721" t="n"/>
      <c r="G9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5" s="474">
        <f>G915/#REF!</f>
        <v/>
      </c>
      <c r="I915" s="690" t="n"/>
      <c r="J91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5" s="474">
        <f>J915/#REF!</f>
        <v/>
      </c>
      <c r="L915" s="473" t="n"/>
      <c r="M915" s="692" t="n"/>
      <c r="N915" s="693" t="n"/>
      <c r="O915" s="78" t="n"/>
      <c r="Y915" s="703" t="n"/>
      <c r="Z915" s="704" t="n"/>
      <c r="AA915" s="705" t="n"/>
      <c r="AB915" s="613" t="n"/>
      <c r="AC915" s="614" t="n"/>
      <c r="AD915" s="628" t="n"/>
      <c r="AE915" s="616" t="n"/>
      <c r="AF915" s="617" t="n"/>
      <c r="AG915" s="693" t="n"/>
      <c r="AP915" s="693" t="n"/>
      <c r="AQ915" s="693" t="n"/>
      <c r="AR915" s="693" t="n"/>
      <c r="AS915" s="693" t="n"/>
      <c r="AT915" s="693" t="n"/>
      <c r="AU915" s="699" t="n"/>
      <c r="AV915" s="693" t="n"/>
      <c r="AW915" s="693" t="n"/>
      <c r="AX915" s="693" t="n"/>
      <c r="AY915" s="693" t="n"/>
      <c r="AZ915" s="693" t="n"/>
    </row>
    <row r="916">
      <c r="A916" s="688" t="n"/>
      <c r="B916" s="688" t="n"/>
      <c r="C916" s="473" t="n"/>
      <c r="D916" s="688" t="n"/>
      <c r="E916" s="689" t="n"/>
      <c r="F916" s="721" t="n"/>
      <c r="G9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6" s="474">
        <f>G916/#REF!</f>
        <v/>
      </c>
      <c r="I916" s="690" t="n"/>
      <c r="J91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6" s="474">
        <f>J916/#REF!</f>
        <v/>
      </c>
      <c r="L916" s="473" t="n"/>
      <c r="M916" s="692" t="n"/>
      <c r="N916" s="693" t="n"/>
      <c r="O916" s="78" t="n"/>
      <c r="Y916" s="708" t="n"/>
      <c r="Z916" s="709" t="n"/>
      <c r="AA916" s="710" t="n"/>
      <c r="AB916" s="590" t="n"/>
      <c r="AC916" s="591" t="n"/>
      <c r="AD916" s="592" t="n"/>
      <c r="AE916" s="593" t="n"/>
      <c r="AF916" s="594" t="n"/>
      <c r="AG916" s="693" t="n"/>
      <c r="AP916" s="693" t="n"/>
      <c r="AQ916" s="693" t="n"/>
      <c r="AR916" s="693" t="n"/>
      <c r="AS916" s="693" t="n"/>
      <c r="AT916" s="693" t="n"/>
      <c r="AU916" s="699" t="n"/>
      <c r="AV916" s="693" t="n"/>
      <c r="AW916" s="693" t="n"/>
      <c r="AX916" s="693" t="n"/>
      <c r="AY916" s="693" t="n"/>
      <c r="AZ916" s="693" t="n"/>
    </row>
    <row r="917">
      <c r="A917" s="688" t="n"/>
      <c r="B917" s="688" t="n"/>
      <c r="C917" s="473" t="n"/>
      <c r="D917" s="688" t="n"/>
      <c r="E917" s="689" t="n"/>
      <c r="F917" s="721" t="n"/>
      <c r="G9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7" s="474">
        <f>G917/#REF!</f>
        <v/>
      </c>
      <c r="I917" s="690" t="n"/>
      <c r="J91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7" s="474">
        <f>J917/#REF!</f>
        <v/>
      </c>
      <c r="L917" s="473" t="n"/>
      <c r="M917" s="692" t="n"/>
      <c r="N917" s="693" t="n"/>
      <c r="O917" s="78" t="n"/>
      <c r="Y917" s="703" t="n"/>
      <c r="Z917" s="704" t="n"/>
      <c r="AA917" s="705" t="n"/>
      <c r="AB917" s="613" t="n"/>
      <c r="AC917" s="614" t="n"/>
      <c r="AD917" s="628" t="n"/>
      <c r="AE917" s="616" t="n"/>
      <c r="AF917" s="617" t="n"/>
      <c r="AG917" s="693" t="n"/>
      <c r="AP917" s="693" t="n"/>
      <c r="AQ917" s="693" t="n"/>
      <c r="AR917" s="693" t="n"/>
      <c r="AS917" s="693" t="n"/>
      <c r="AT917" s="693" t="n"/>
      <c r="AU917" s="699" t="n"/>
      <c r="AV917" s="693" t="n"/>
      <c r="AW917" s="693" t="n"/>
      <c r="AX917" s="693" t="n"/>
      <c r="AY917" s="693" t="n"/>
      <c r="AZ917" s="693" t="n"/>
    </row>
    <row r="918">
      <c r="A918" s="688" t="n"/>
      <c r="B918" s="688" t="n"/>
      <c r="C918" s="473" t="n"/>
      <c r="D918" s="688" t="n"/>
      <c r="E918" s="689" t="n"/>
      <c r="F918" s="721" t="n"/>
      <c r="G9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8" s="474">
        <f>G918/#REF!</f>
        <v/>
      </c>
      <c r="I918" s="690" t="n"/>
      <c r="J91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8" s="474">
        <f>J918/#REF!</f>
        <v/>
      </c>
      <c r="L918" s="473" t="n"/>
      <c r="M918" s="692" t="n"/>
      <c r="N918" s="693" t="n"/>
      <c r="O918" s="78" t="n"/>
      <c r="Y918" s="708" t="n"/>
      <c r="Z918" s="709" t="n"/>
      <c r="AA918" s="710" t="n"/>
      <c r="AB918" s="590" t="n"/>
      <c r="AC918" s="591" t="n"/>
      <c r="AD918" s="592" t="n"/>
      <c r="AE918" s="593" t="n"/>
      <c r="AF918" s="594" t="n"/>
      <c r="AG918" s="693" t="n"/>
      <c r="AP918" s="693" t="n"/>
      <c r="AQ918" s="693" t="n"/>
      <c r="AR918" s="693" t="n"/>
      <c r="AS918" s="693" t="n"/>
      <c r="AT918" s="693" t="n"/>
      <c r="AU918" s="699" t="n"/>
      <c r="AV918" s="693" t="n"/>
      <c r="AW918" s="693" t="n"/>
      <c r="AX918" s="693" t="n"/>
      <c r="AY918" s="693" t="n"/>
      <c r="AZ918" s="693" t="n"/>
    </row>
    <row r="919">
      <c r="A919" s="688" t="n"/>
      <c r="B919" s="688" t="n"/>
      <c r="C919" s="473" t="n"/>
      <c r="D919" s="688" t="n"/>
      <c r="E919" s="689" t="n"/>
      <c r="F919" s="721" t="n"/>
      <c r="G9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19" s="474">
        <f>G919/#REF!</f>
        <v/>
      </c>
      <c r="I919" s="690" t="n"/>
      <c r="J91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19" s="474">
        <f>J919/#REF!</f>
        <v/>
      </c>
      <c r="L919" s="473" t="n"/>
      <c r="M919" s="692" t="n"/>
      <c r="N919" s="693" t="n"/>
      <c r="O919" s="78" t="n"/>
      <c r="Y919" s="703" t="n"/>
      <c r="Z919" s="704" t="n"/>
      <c r="AA919" s="705" t="n"/>
      <c r="AB919" s="613" t="n"/>
      <c r="AC919" s="614" t="n"/>
      <c r="AD919" s="628" t="n"/>
      <c r="AE919" s="616" t="n"/>
      <c r="AF919" s="617" t="n"/>
      <c r="AG919" s="693" t="n"/>
      <c r="AP919" s="693" t="n"/>
      <c r="AQ919" s="693" t="n"/>
      <c r="AR919" s="693" t="n"/>
      <c r="AS919" s="693" t="n"/>
      <c r="AT919" s="693" t="n"/>
      <c r="AU919" s="699" t="n"/>
      <c r="AV919" s="693" t="n"/>
      <c r="AW919" s="693" t="n"/>
      <c r="AX919" s="693" t="n"/>
      <c r="AY919" s="693" t="n"/>
      <c r="AZ919" s="693" t="n"/>
    </row>
    <row r="920">
      <c r="A920" s="688" t="n"/>
      <c r="B920" s="688" t="n"/>
      <c r="C920" s="473" t="n"/>
      <c r="D920" s="688" t="n"/>
      <c r="E920" s="689" t="n"/>
      <c r="F920" s="721" t="n"/>
      <c r="G9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0" s="474">
        <f>G920/#REF!</f>
        <v/>
      </c>
      <c r="I920" s="690" t="n"/>
      <c r="J92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0" s="474">
        <f>J920/#REF!</f>
        <v/>
      </c>
      <c r="L920" s="473" t="n"/>
      <c r="M920" s="692" t="n"/>
      <c r="N920" s="693" t="n"/>
      <c r="O920" s="78" t="n"/>
      <c r="Y920" s="708" t="n"/>
      <c r="Z920" s="709" t="n"/>
      <c r="AA920" s="710" t="n"/>
      <c r="AB920" s="590" t="n"/>
      <c r="AC920" s="591" t="n"/>
      <c r="AD920" s="592" t="n"/>
      <c r="AE920" s="593" t="n"/>
      <c r="AF920" s="594" t="n"/>
      <c r="AG920" s="693" t="n"/>
      <c r="AP920" s="693" t="n"/>
      <c r="AQ920" s="693" t="n"/>
      <c r="AR920" s="693" t="n"/>
      <c r="AS920" s="693" t="n"/>
      <c r="AT920" s="693" t="n"/>
      <c r="AU920" s="699" t="n"/>
      <c r="AV920" s="693" t="n"/>
      <c r="AW920" s="693" t="n"/>
      <c r="AX920" s="693" t="n"/>
      <c r="AY920" s="693" t="n"/>
      <c r="AZ920" s="693" t="n"/>
    </row>
    <row r="921">
      <c r="A921" s="688" t="n"/>
      <c r="B921" s="688" t="n"/>
      <c r="C921" s="473" t="n"/>
      <c r="D921" s="688" t="n"/>
      <c r="E921" s="689" t="n"/>
      <c r="F921" s="721" t="n"/>
      <c r="G9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1" s="474">
        <f>G921/#REF!</f>
        <v/>
      </c>
      <c r="I921" s="690" t="n"/>
      <c r="J92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1" s="474">
        <f>J921/#REF!</f>
        <v/>
      </c>
      <c r="L921" s="473" t="n"/>
      <c r="M921" s="692" t="n"/>
      <c r="N921" s="693" t="n"/>
      <c r="O921" s="78" t="n"/>
      <c r="Y921" s="703" t="n"/>
      <c r="Z921" s="704" t="n"/>
      <c r="AA921" s="705" t="n"/>
      <c r="AB921" s="613" t="n"/>
      <c r="AC921" s="614" t="n"/>
      <c r="AD921" s="628" t="n"/>
      <c r="AE921" s="616" t="n"/>
      <c r="AF921" s="617" t="n"/>
      <c r="AG921" s="693" t="n"/>
      <c r="AP921" s="693" t="n"/>
      <c r="AQ921" s="693" t="n"/>
      <c r="AR921" s="693" t="n"/>
      <c r="AS921" s="693" t="n"/>
      <c r="AT921" s="693" t="n"/>
      <c r="AU921" s="699" t="n"/>
      <c r="AV921" s="693" t="n"/>
      <c r="AW921" s="693" t="n"/>
      <c r="AX921" s="693" t="n"/>
      <c r="AY921" s="693" t="n"/>
      <c r="AZ921" s="693" t="n"/>
    </row>
    <row r="922">
      <c r="A922" s="688" t="n"/>
      <c r="B922" s="688" t="n"/>
      <c r="C922" s="473" t="n"/>
      <c r="D922" s="688" t="n"/>
      <c r="E922" s="689" t="n"/>
      <c r="F922" s="721" t="n"/>
      <c r="G9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2" s="474">
        <f>G922/#REF!</f>
        <v/>
      </c>
      <c r="I922" s="690" t="n"/>
      <c r="J92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2" s="474">
        <f>J922/#REF!</f>
        <v/>
      </c>
      <c r="L922" s="473" t="n"/>
      <c r="M922" s="692" t="n"/>
      <c r="N922" s="693" t="n"/>
      <c r="O922" s="78" t="n"/>
      <c r="Y922" s="708" t="n"/>
      <c r="Z922" s="709" t="n"/>
      <c r="AA922" s="710" t="n"/>
      <c r="AB922" s="590" t="n"/>
      <c r="AC922" s="591" t="n"/>
      <c r="AD922" s="592" t="n"/>
      <c r="AE922" s="593" t="n"/>
      <c r="AF922" s="594" t="n"/>
      <c r="AG922" s="693" t="n"/>
      <c r="AP922" s="693" t="n"/>
      <c r="AQ922" s="693" t="n"/>
      <c r="AR922" s="693" t="n"/>
      <c r="AS922" s="693" t="n"/>
      <c r="AT922" s="693" t="n"/>
      <c r="AU922" s="699" t="n"/>
      <c r="AV922" s="693" t="n"/>
      <c r="AW922" s="693" t="n"/>
      <c r="AX922" s="693" t="n"/>
      <c r="AY922" s="693" t="n"/>
      <c r="AZ922" s="693" t="n"/>
    </row>
    <row r="923">
      <c r="A923" s="688" t="n"/>
      <c r="B923" s="688" t="n"/>
      <c r="C923" s="473" t="n"/>
      <c r="D923" s="688" t="n"/>
      <c r="E923" s="689" t="n"/>
      <c r="F923" s="721" t="n"/>
      <c r="G9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3" s="474">
        <f>G923/#REF!</f>
        <v/>
      </c>
      <c r="I923" s="690" t="n"/>
      <c r="J92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3" s="474">
        <f>J923/#REF!</f>
        <v/>
      </c>
      <c r="L923" s="473" t="n"/>
      <c r="M923" s="692" t="n"/>
      <c r="N923" s="693" t="n"/>
      <c r="O923" s="78" t="n"/>
      <c r="Y923" s="703" t="n"/>
      <c r="Z923" s="704" t="n"/>
      <c r="AA923" s="705" t="n"/>
      <c r="AB923" s="613" t="n"/>
      <c r="AC923" s="614" t="n"/>
      <c r="AD923" s="628" t="n"/>
      <c r="AE923" s="616" t="n"/>
      <c r="AF923" s="617" t="n"/>
      <c r="AG923" s="693" t="n"/>
      <c r="AP923" s="693" t="n"/>
      <c r="AQ923" s="693" t="n"/>
      <c r="AR923" s="693" t="n"/>
      <c r="AS923" s="693" t="n"/>
      <c r="AT923" s="693" t="n"/>
      <c r="AV923" s="693" t="n"/>
      <c r="AW923" s="693" t="n"/>
      <c r="AX923" s="693" t="n"/>
      <c r="AY923" s="693" t="n"/>
      <c r="AZ923" s="693" t="n"/>
    </row>
    <row r="924">
      <c r="A924" s="688" t="n"/>
      <c r="B924" s="688" t="n"/>
      <c r="C924" s="473" t="n"/>
      <c r="D924" s="688" t="n"/>
      <c r="E924" s="689" t="n"/>
      <c r="F924" s="721" t="n"/>
      <c r="G9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4" s="474">
        <f>G924/#REF!</f>
        <v/>
      </c>
      <c r="I924" s="690" t="n"/>
      <c r="J92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4" s="474">
        <f>J924/#REF!</f>
        <v/>
      </c>
      <c r="L924" s="473" t="n"/>
      <c r="M924" s="692" t="n"/>
      <c r="N924" s="693" t="n"/>
      <c r="O924" s="78" t="n"/>
      <c r="Y924" s="708" t="n"/>
      <c r="Z924" s="709" t="n"/>
      <c r="AA924" s="710" t="n"/>
      <c r="AB924" s="590" t="n"/>
      <c r="AC924" s="591" t="n"/>
      <c r="AD924" s="592" t="n"/>
      <c r="AE924" s="593" t="n"/>
      <c r="AF924" s="594" t="n"/>
      <c r="AG924" s="693" t="n"/>
      <c r="AP924" s="693" t="n"/>
      <c r="AQ924" s="693" t="n"/>
      <c r="AR924" s="693" t="n"/>
      <c r="AS924" s="693" t="n"/>
      <c r="AT924" s="693" t="n"/>
      <c r="AV924" s="693" t="n"/>
      <c r="AW924" s="693" t="n"/>
      <c r="AX924" s="693" t="n"/>
      <c r="AY924" s="693" t="n"/>
      <c r="AZ924" s="693" t="n"/>
    </row>
    <row r="925">
      <c r="A925" s="688" t="n"/>
      <c r="B925" s="688" t="n"/>
      <c r="C925" s="473" t="n"/>
      <c r="D925" s="688" t="n"/>
      <c r="E925" s="689" t="n"/>
      <c r="F925" s="721" t="n"/>
      <c r="G9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5" s="474">
        <f>G925/#REF!</f>
        <v/>
      </c>
      <c r="I925" s="690" t="n"/>
      <c r="J925"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5" s="474">
        <f>J925/#REF!</f>
        <v/>
      </c>
      <c r="L925" s="473" t="n"/>
      <c r="M925" s="692" t="n"/>
      <c r="N925" s="693" t="n"/>
      <c r="O925" s="78" t="n"/>
      <c r="Y925" s="703" t="n"/>
      <c r="Z925" s="704" t="n"/>
      <c r="AA925" s="705" t="n"/>
      <c r="AB925" s="613" t="n"/>
      <c r="AC925" s="614" t="n"/>
      <c r="AD925" s="628" t="n"/>
      <c r="AE925" s="616" t="n"/>
      <c r="AF925" s="617" t="n"/>
      <c r="AG925" s="693" t="n"/>
      <c r="AP925" s="693" t="n"/>
      <c r="AQ925" s="693" t="n"/>
      <c r="AR925" s="693" t="n"/>
      <c r="AS925" s="693" t="n"/>
      <c r="AT925" s="693" t="n"/>
      <c r="AV925" s="693" t="n"/>
      <c r="AW925" s="693" t="n"/>
      <c r="AX925" s="693" t="n"/>
      <c r="AY925" s="693" t="n"/>
      <c r="AZ925" s="693" t="n"/>
    </row>
    <row r="926">
      <c r="A926" s="688" t="n"/>
      <c r="B926" s="688" t="n"/>
      <c r="C926" s="473" t="n"/>
      <c r="D926" s="688" t="n"/>
      <c r="E926" s="689" t="n"/>
      <c r="F926" s="721" t="n"/>
      <c r="G9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6" s="474">
        <f>G926/#REF!</f>
        <v/>
      </c>
      <c r="I926" s="690" t="n"/>
      <c r="J926"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6" s="474">
        <f>J926/#REF!</f>
        <v/>
      </c>
      <c r="L926" s="473" t="n"/>
      <c r="M926" s="692" t="n"/>
      <c r="N926" s="693" t="n"/>
      <c r="O926" s="78" t="n"/>
      <c r="Y926" s="708" t="n"/>
      <c r="Z926" s="709" t="n"/>
      <c r="AA926" s="710" t="n"/>
      <c r="AB926" s="590" t="n"/>
      <c r="AC926" s="591" t="n"/>
      <c r="AD926" s="592" t="n"/>
      <c r="AE926" s="593" t="n"/>
      <c r="AF926" s="594" t="n"/>
      <c r="AG926" s="693" t="n"/>
      <c r="AP926" s="693" t="n"/>
      <c r="AQ926" s="693" t="n"/>
      <c r="AR926" s="693" t="n"/>
      <c r="AS926" s="693" t="n"/>
      <c r="AT926" s="693" t="n"/>
      <c r="AV926" s="693" t="n"/>
      <c r="AW926" s="693" t="n"/>
      <c r="AX926" s="693" t="n"/>
      <c r="AY926" s="693" t="n"/>
      <c r="AZ926" s="693" t="n"/>
    </row>
    <row r="927">
      <c r="A927" s="688" t="n"/>
      <c r="B927" s="688" t="n"/>
      <c r="C927" s="473" t="n"/>
      <c r="D927" s="688" t="n"/>
      <c r="E927" s="689" t="n"/>
      <c r="F927" s="721" t="n"/>
      <c r="G9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7" s="474">
        <f>G927/#REF!</f>
        <v/>
      </c>
      <c r="I927" s="690" t="n"/>
      <c r="J927"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7" s="474">
        <f>J927/#REF!</f>
        <v/>
      </c>
      <c r="L927" s="473" t="n"/>
      <c r="M927" s="692" t="n"/>
      <c r="N927" s="693" t="n"/>
      <c r="O927" s="78" t="n"/>
      <c r="Y927" s="703" t="n"/>
      <c r="Z927" s="704" t="n"/>
      <c r="AA927" s="705" t="n"/>
      <c r="AB927" s="613" t="n"/>
      <c r="AC927" s="614" t="n"/>
      <c r="AD927" s="628" t="n"/>
      <c r="AE927" s="616" t="n"/>
      <c r="AF927" s="617" t="n"/>
      <c r="AG927" s="693" t="n"/>
      <c r="AP927" s="693" t="n"/>
      <c r="AQ927" s="693" t="n"/>
      <c r="AR927" s="693" t="n"/>
      <c r="AS927" s="693" t="n"/>
      <c r="AT927" s="693" t="n"/>
      <c r="AV927" s="693" t="n"/>
      <c r="AW927" s="693" t="n"/>
      <c r="AX927" s="693" t="n"/>
      <c r="AY927" s="693" t="n"/>
      <c r="AZ927" s="693" t="n"/>
    </row>
    <row r="928">
      <c r="A928" s="688" t="n"/>
      <c r="B928" s="688" t="n"/>
      <c r="C928" s="473" t="n"/>
      <c r="D928" s="688" t="n"/>
      <c r="E928" s="689" t="n"/>
      <c r="F928" s="721" t="n"/>
      <c r="G9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8" s="474">
        <f>G928/#REF!</f>
        <v/>
      </c>
      <c r="I928" s="690" t="n"/>
      <c r="J928"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8" s="474">
        <f>J928/#REF!</f>
        <v/>
      </c>
      <c r="L928" s="473" t="n"/>
      <c r="M928" s="692" t="n"/>
      <c r="N928" s="693" t="n"/>
      <c r="O928" s="78" t="n"/>
      <c r="Y928" s="708" t="n"/>
      <c r="Z928" s="709" t="n"/>
      <c r="AA928" s="710" t="n"/>
      <c r="AB928" s="590" t="n"/>
      <c r="AC928" s="591" t="n"/>
      <c r="AD928" s="592" t="n"/>
      <c r="AE928" s="593" t="n"/>
      <c r="AF928" s="594" t="n"/>
      <c r="AG928" s="693" t="n"/>
      <c r="AP928" s="693" t="n"/>
      <c r="AQ928" s="693" t="n"/>
      <c r="AR928" s="693" t="n"/>
      <c r="AS928" s="693" t="n"/>
      <c r="AT928" s="693" t="n"/>
      <c r="AV928" s="693" t="n"/>
      <c r="AW928" s="693" t="n"/>
      <c r="AX928" s="693" t="n"/>
      <c r="AY928" s="693" t="n"/>
      <c r="AZ928" s="693" t="n"/>
    </row>
    <row r="929">
      <c r="A929" s="688" t="n"/>
      <c r="B929" s="688" t="n"/>
      <c r="C929" s="473" t="n"/>
      <c r="D929" s="688" t="n"/>
      <c r="E929" s="689" t="n"/>
      <c r="F929" s="721" t="n"/>
      <c r="G9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29" s="474">
        <f>G929/#REF!</f>
        <v/>
      </c>
      <c r="I929" s="690" t="n"/>
      <c r="J929"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29" s="474">
        <f>J929/#REF!</f>
        <v/>
      </c>
      <c r="L929" s="473" t="n"/>
      <c r="M929" s="692" t="n"/>
      <c r="N929" s="693" t="n"/>
      <c r="O929" s="78" t="n"/>
      <c r="Y929" s="703" t="n"/>
      <c r="Z929" s="704" t="n"/>
      <c r="AA929" s="705" t="n"/>
      <c r="AB929" s="613" t="n"/>
      <c r="AC929" s="614" t="n"/>
      <c r="AD929" s="628" t="n"/>
      <c r="AE929" s="616" t="n"/>
      <c r="AF929" s="617" t="n"/>
      <c r="AG929" s="693" t="n"/>
      <c r="AP929" s="693" t="n"/>
      <c r="AQ929" s="693" t="n"/>
      <c r="AR929" s="693" t="n"/>
      <c r="AS929" s="693" t="n"/>
      <c r="AT929" s="693" t="n"/>
      <c r="AV929" s="693" t="n"/>
      <c r="AW929" s="693" t="n"/>
      <c r="AX929" s="693" t="n"/>
      <c r="AY929" s="693" t="n"/>
      <c r="AZ929" s="693" t="n"/>
    </row>
    <row r="930">
      <c r="A930" s="688" t="n"/>
      <c r="B930" s="688" t="n"/>
      <c r="C930" s="473" t="n"/>
      <c r="D930" s="688" t="n"/>
      <c r="E930" s="689" t="n"/>
      <c r="F930" s="721" t="n"/>
      <c r="G9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30" s="474">
        <f>G930/#REF!</f>
        <v/>
      </c>
      <c r="I930" s="690" t="n"/>
      <c r="J930"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30" s="474">
        <f>J930/#REF!</f>
        <v/>
      </c>
      <c r="L930" s="473" t="n"/>
      <c r="M930" s="692" t="n"/>
      <c r="N930" s="693" t="n"/>
      <c r="O930" s="78" t="n"/>
      <c r="Y930" s="708" t="n"/>
      <c r="Z930" s="709" t="n"/>
      <c r="AA930" s="710" t="n"/>
      <c r="AB930" s="590" t="n"/>
      <c r="AC930" s="591" t="n"/>
      <c r="AD930" s="592" t="n"/>
      <c r="AE930" s="593" t="n"/>
      <c r="AF930" s="594" t="n"/>
      <c r="AG930" s="693" t="n"/>
      <c r="AP930" s="693" t="n"/>
      <c r="AQ930" s="693" t="n"/>
      <c r="AR930" s="693" t="n"/>
      <c r="AS930" s="693" t="n"/>
      <c r="AT930" s="693" t="n"/>
      <c r="AV930" s="693" t="n"/>
      <c r="AW930" s="693" t="n"/>
      <c r="AX930" s="693" t="n"/>
      <c r="AY930" s="693" t="n"/>
      <c r="AZ930" s="693" t="n"/>
    </row>
    <row r="931">
      <c r="A931" s="688" t="n"/>
      <c r="B931" s="688" t="n"/>
      <c r="C931" s="473" t="n"/>
      <c r="D931" s="688" t="n"/>
      <c r="E931" s="689" t="n"/>
      <c r="F931" s="721" t="n"/>
      <c r="G9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31" s="474">
        <f>G931/#REF!</f>
        <v/>
      </c>
      <c r="I931" s="690" t="n"/>
      <c r="J931"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31" s="474">
        <f>J931/#REF!</f>
        <v/>
      </c>
      <c r="L931" s="473" t="n"/>
      <c r="M931" s="692" t="n"/>
      <c r="N931" s="693" t="n"/>
      <c r="O931" s="78" t="n"/>
      <c r="Y931" s="703" t="n"/>
      <c r="Z931" s="704" t="n"/>
      <c r="AA931" s="705" t="n"/>
      <c r="AB931" s="613" t="n"/>
      <c r="AC931" s="614" t="n"/>
      <c r="AD931" s="628" t="n"/>
      <c r="AE931" s="616" t="n"/>
      <c r="AF931" s="617" t="n"/>
      <c r="AG931" s="693" t="n"/>
      <c r="AQ931" s="693" t="n"/>
      <c r="AR931" s="693" t="n"/>
      <c r="AS931" s="693" t="n"/>
      <c r="AT931" s="693" t="n"/>
      <c r="AV931" s="693" t="n"/>
      <c r="AW931" s="693" t="n"/>
      <c r="AX931" s="693" t="n"/>
      <c r="AY931" s="693" t="n"/>
      <c r="AZ931" s="693" t="n"/>
    </row>
    <row r="932">
      <c r="A932" s="688" t="n"/>
      <c r="B932" s="688" t="n"/>
      <c r="C932" s="473" t="n"/>
      <c r="D932" s="688" t="n"/>
      <c r="E932" s="689" t="n"/>
      <c r="F932" s="721" t="n"/>
      <c r="G9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32" s="474">
        <f>G932/#REF!</f>
        <v/>
      </c>
      <c r="I932" s="690" t="n"/>
      <c r="J932"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32" s="474">
        <f>J932/#REF!</f>
        <v/>
      </c>
      <c r="L932" s="473" t="n"/>
      <c r="M932" s="692" t="n"/>
      <c r="N932" s="693" t="n"/>
      <c r="O932" s="78" t="n"/>
      <c r="Y932" s="708" t="n"/>
      <c r="Z932" s="709" t="n"/>
      <c r="AA932" s="710" t="n"/>
      <c r="AB932" s="590" t="n"/>
      <c r="AC932" s="591" t="n"/>
      <c r="AD932" s="592" t="n"/>
      <c r="AE932" s="593" t="n"/>
      <c r="AF932" s="594" t="n"/>
      <c r="AG932" s="693" t="n"/>
      <c r="AQ932" s="693" t="n"/>
      <c r="AR932" s="693" t="n"/>
      <c r="AS932" s="693" t="n"/>
      <c r="AT932" s="693" t="n"/>
      <c r="AV932" s="693" t="n"/>
      <c r="AW932" s="693" t="n"/>
      <c r="AX932" s="693" t="n"/>
      <c r="AY932" s="693" t="n"/>
      <c r="AZ932" s="693" t="n"/>
    </row>
    <row r="933">
      <c r="A933" s="688" t="n"/>
      <c r="B933" s="688" t="n"/>
      <c r="C933" s="473" t="n"/>
      <c r="D933" s="688" t="n"/>
      <c r="E933" s="689" t="n"/>
      <c r="F933" s="721" t="n"/>
      <c r="G9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33" s="474">
        <f>G933/#REF!</f>
        <v/>
      </c>
      <c r="I933" s="690" t="n"/>
      <c r="J933"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33" s="474">
        <f>J933/#REF!</f>
        <v/>
      </c>
      <c r="L933" s="473" t="n"/>
      <c r="M933" s="692" t="n"/>
      <c r="N933" s="693" t="n"/>
      <c r="O933" s="78" t="n"/>
      <c r="Y933" s="703" t="n"/>
      <c r="Z933" s="704" t="n"/>
      <c r="AA933" s="705" t="n"/>
      <c r="AB933" s="613" t="n"/>
      <c r="AC933" s="614" t="n"/>
      <c r="AD933" s="628" t="n"/>
      <c r="AE933" s="616" t="n"/>
      <c r="AF933" s="617" t="n"/>
      <c r="AG933" s="693" t="n"/>
      <c r="AQ933" s="693" t="n"/>
      <c r="AR933" s="693" t="n"/>
      <c r="AS933" s="693" t="n"/>
      <c r="AT933" s="693" t="n"/>
      <c r="AV933" s="693" t="n"/>
      <c r="AW933" s="693" t="n"/>
      <c r="AX933" s="693" t="n"/>
      <c r="AY933" s="693" t="n"/>
      <c r="AZ933" s="693" t="n"/>
    </row>
    <row r="934">
      <c r="A934" s="688" t="n"/>
      <c r="B934" s="688" t="n"/>
      <c r="C934" s="473" t="n"/>
      <c r="D934" s="688" t="n"/>
      <c r="E934" s="689" t="n"/>
      <c r="F934" s="721" t="n"/>
      <c r="G9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H934" s="474">
        <f>G934/#REF!</f>
        <v/>
      </c>
      <c r="I934" s="690" t="n"/>
      <c r="J934" s="473">
        <f>IFERROR(__xludf.DUMMYFUNCTION("LET(
  r, ROW(), 
  c, COLUMN(),
  ev, INDEX($C:$C, r),
  gender, INDEX($B:$B, r),
  tCell, INDEX($B:$AAA, r, c-1),
  IF(OR(ev="""", gender="""", tCell=""""), """",
    LET(
      baseCol, MATCH(ev, 'AQUA POINTS'!$1:$1, 0),
      baseRow, IF(LEFT(UPPER(g"&amp;"ender),1)=""M"", 2, 3),
      baseCell, INDEX('AQUA POINTS'!$1:$3, baseRow, baseCol),
      toSec, LAMBDA(v,
        IF(ISNUMBER(v),
           IF(v&lt;1, v*86400, v),
           IF(REGEXMATCH(v,"":""), VALUE(LEFT(v, FIND("":"", v)-1))*60 + VALUE(MID(v, FIN"&amp;"D("":"", v)+1, 99)),
              VALUE(SUBSTITUTE(v,"","",""."")))
        )
      ),
      baseSec, toSec(baseCell),
      tSec,   toSec(tCell),
      INT(1000*(baseSec/tSec)^3)
    )
  )
)"),"#REF!")</f>
        <v/>
      </c>
      <c r="K934" s="474">
        <f>J934/#REF!</f>
        <v/>
      </c>
      <c r="L934" s="473" t="n"/>
      <c r="M934" s="692" t="n"/>
      <c r="N934" s="693" t="n"/>
      <c r="O934" s="78" t="n"/>
      <c r="Y934" s="722" t="n"/>
      <c r="Z934" s="723" t="n"/>
      <c r="AA934" s="724" t="n"/>
      <c r="AB934" s="725" t="n"/>
      <c r="AC934" s="726" t="n"/>
      <c r="AD934" s="727" t="n"/>
      <c r="AE934" s="728" t="n"/>
      <c r="AF934" s="729" t="n"/>
      <c r="AG934" s="693" t="n"/>
      <c r="AQ934" s="693" t="n"/>
      <c r="AR934" s="693" t="n"/>
      <c r="AS934" s="693" t="n"/>
      <c r="AT934" s="693" t="n"/>
      <c r="AV934" s="693" t="n"/>
      <c r="AW934" s="693" t="n"/>
      <c r="AX934" s="693" t="n"/>
      <c r="AY934" s="693" t="n"/>
      <c r="AZ934" s="693" t="n"/>
    </row>
  </sheetData>
  <mergeCells count="2">
    <mergeCell ref="AV1:AX1"/>
    <mergeCell ref="AR1:AT1"/>
  </mergeCells>
  <dataValidations count="2">
    <dataValidation sqref="A2:A227 D2:D227 H2:H227 K2:O227 AA2:AA934 AD2:AF934 AJ2:AJ125 AM2:AO125" showDropDown="1" showInputMessage="0" showErrorMessage="0" allowBlank="1" type="custom">
      <formula1>AND(ISNUMBER(A2),(NOT(OR(NOT(ISERROR(DATEVALUE(A2))), AND(ISNUMBER(A2), LEFT(CELL("format", A2))="D")))))</formula1>
    </dataValidation>
    <dataValidation sqref="B2:C227 Y2:Z934 AH2:AI125" showDropDown="1" showInputMessage="0" showErrorMessage="0" allowBlank="1"/>
  </dataValidations>
  <printOptions horizontalCentered="1" gridLines="1"/>
  <pageMargins left="0.7" right="0.7" top="0.75" bottom="0.75" header="0" footer="0"/>
  <pageSetup orientation="portrait" pageOrder="overThenDown" cellComments="atEnd"/>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5.xml><?xml version="1.0" encoding="utf-8"?>
<worksheet xmlns="http://schemas.openxmlformats.org/spreadsheetml/2006/main">
  <sheetPr>
    <outlinePr summaryBelow="0" summaryRight="0"/>
    <pageSetUpPr/>
  </sheetPr>
  <dimension ref="A1:AD6"/>
  <sheetViews>
    <sheetView workbookViewId="0">
      <selection activeCell="A1" sqref="A1"/>
    </sheetView>
  </sheetViews>
  <sheetFormatPr baseColWidth="8" defaultColWidth="12.63" defaultRowHeight="15.75" customHeight="1"/>
  <cols>
    <col width="10.75" customWidth="1" style="763" min="1" max="1"/>
    <col width="11.5" customWidth="1" style="763" min="2" max="2"/>
    <col width="10.88" customWidth="1" style="763" min="3" max="3"/>
    <col width="11.5" customWidth="1" style="763" min="4" max="4"/>
    <col width="11" customWidth="1" style="763" min="5" max="5"/>
    <col width="16.13" customWidth="1" style="763" min="6" max="6"/>
    <col width="17.88" customWidth="1" style="763" min="7" max="7"/>
  </cols>
  <sheetData>
    <row r="1">
      <c r="A1" s="488" t="inlineStr">
        <is>
          <t>Short IM</t>
        </is>
      </c>
      <c r="B1" s="488" t="inlineStr">
        <is>
          <t>Long IM</t>
        </is>
      </c>
      <c r="C1" s="488" t="inlineStr">
        <is>
          <t>Short Free</t>
        </is>
      </c>
      <c r="D1" s="488" t="inlineStr">
        <is>
          <t>Long Free</t>
        </is>
      </c>
      <c r="E1" s="488" t="inlineStr">
        <is>
          <t>Back</t>
        </is>
      </c>
      <c r="F1" s="488" t="inlineStr">
        <is>
          <t>Fly</t>
        </is>
      </c>
      <c r="G1" s="488" t="inlineStr">
        <is>
          <t>Short</t>
        </is>
      </c>
      <c r="H1" s="697" t="n"/>
      <c r="I1" s="697" t="n"/>
      <c r="J1" s="697" t="n"/>
      <c r="K1" s="697" t="n"/>
      <c r="L1" s="697" t="n"/>
      <c r="M1" s="697" t="n"/>
      <c r="N1" s="697" t="n"/>
      <c r="O1" s="697" t="n"/>
      <c r="P1" s="697" t="n"/>
      <c r="Q1" s="697" t="n"/>
      <c r="R1" s="697" t="n"/>
      <c r="S1" s="697" t="n"/>
      <c r="T1" s="697" t="n"/>
      <c r="U1" s="697" t="n"/>
      <c r="V1" s="697" t="n"/>
      <c r="W1" s="697" t="n"/>
      <c r="X1" s="697" t="n"/>
      <c r="Y1" s="697" t="n"/>
      <c r="Z1" s="697" t="n"/>
      <c r="AA1" s="697" t="n"/>
      <c r="AB1" s="697" t="n"/>
      <c r="AC1" s="697" t="n"/>
      <c r="AD1" s="697" t="n"/>
    </row>
    <row r="2">
      <c r="A2" s="730" t="inlineStr">
        <is>
          <t>100 Fly</t>
        </is>
      </c>
      <c r="B2" s="730" t="inlineStr">
        <is>
          <t>200 Fly</t>
        </is>
      </c>
      <c r="C2" s="730" t="inlineStr">
        <is>
          <t>50 Free</t>
        </is>
      </c>
      <c r="D2" s="730" t="inlineStr">
        <is>
          <t>400 Free</t>
        </is>
      </c>
      <c r="E2" s="730" t="inlineStr">
        <is>
          <t>100 Back</t>
        </is>
      </c>
      <c r="F2" s="730" t="inlineStr">
        <is>
          <t>100 Fly</t>
        </is>
      </c>
      <c r="G2" s="730" t="inlineStr">
        <is>
          <t>2 100s of Any Stroke</t>
        </is>
      </c>
    </row>
    <row r="3">
      <c r="A3" s="731" t="inlineStr">
        <is>
          <t>100 Back</t>
        </is>
      </c>
      <c r="B3" s="731" t="inlineStr">
        <is>
          <t>200 Back</t>
        </is>
      </c>
      <c r="C3" s="731" t="inlineStr">
        <is>
          <t>100 Free</t>
        </is>
      </c>
      <c r="D3" s="731" t="inlineStr">
        <is>
          <t>800 Free</t>
        </is>
      </c>
      <c r="E3" s="732" t="inlineStr">
        <is>
          <t>200 Back</t>
        </is>
      </c>
      <c r="F3" s="732" t="inlineStr">
        <is>
          <t>200 Fly</t>
        </is>
      </c>
      <c r="G3" s="732" t="inlineStr">
        <is>
          <t>50 of Any Stroke</t>
        </is>
      </c>
    </row>
    <row r="4">
      <c r="A4" s="731" t="inlineStr">
        <is>
          <t>100 Breast</t>
        </is>
      </c>
      <c r="B4" s="731" t="inlineStr">
        <is>
          <t>200 Breast</t>
        </is>
      </c>
      <c r="C4" s="732" t="inlineStr">
        <is>
          <t>200 Free</t>
        </is>
      </c>
      <c r="D4" s="732" t="inlineStr">
        <is>
          <t>1500 Free</t>
        </is>
      </c>
      <c r="E4" s="495" t="inlineStr">
        <is>
          <t>Breast</t>
        </is>
      </c>
      <c r="F4" s="495" t="inlineStr">
        <is>
          <t>Long</t>
        </is>
      </c>
      <c r="G4" s="733" t="inlineStr">
        <is>
          <t>Top 3</t>
        </is>
      </c>
    </row>
    <row r="5">
      <c r="A5" s="731" t="inlineStr">
        <is>
          <t>200 Free</t>
        </is>
      </c>
      <c r="B5" s="731" t="inlineStr">
        <is>
          <t>400 Free</t>
        </is>
      </c>
      <c r="C5" s="514" t="n"/>
      <c r="D5" s="767" t="n"/>
      <c r="E5" s="730" t="inlineStr">
        <is>
          <t>100 Breast</t>
        </is>
      </c>
      <c r="F5" s="730" t="inlineStr">
        <is>
          <t>2 200s  Any Stroke</t>
        </is>
      </c>
      <c r="G5" s="768" t="inlineStr">
        <is>
          <t>Athlete's Any Best 3 Events</t>
        </is>
      </c>
    </row>
    <row r="6">
      <c r="A6" s="732" t="inlineStr">
        <is>
          <t>200 IM</t>
        </is>
      </c>
      <c r="B6" s="732" t="inlineStr">
        <is>
          <t>400 IM</t>
        </is>
      </c>
      <c r="C6" s="769" t="n"/>
      <c r="D6" s="770" t="n"/>
      <c r="E6" s="732" t="inlineStr">
        <is>
          <t>200 Breast</t>
        </is>
      </c>
      <c r="F6" s="732" t="inlineStr">
        <is>
          <t>800 or 1500</t>
        </is>
      </c>
      <c r="G6" s="766" t="n"/>
    </row>
  </sheetData>
  <mergeCells count="2">
    <mergeCell ref="G5:G6"/>
    <mergeCell ref="C5:D6"/>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W998"/>
  <sheetViews>
    <sheetView workbookViewId="0">
      <pane ySplit="1" topLeftCell="A2" activePane="bottomLeft" state="frozen"/>
      <selection pane="bottomLeft" activeCell="B3" sqref="B3"/>
    </sheetView>
  </sheetViews>
  <sheetFormatPr baseColWidth="8" defaultColWidth="12.63" defaultRowHeight="15.75" customHeight="1"/>
  <sheetData>
    <row r="1">
      <c r="A1" s="739" t="inlineStr">
        <is>
          <t>Gender</t>
        </is>
      </c>
      <c r="B1" s="740" t="inlineStr">
        <is>
          <t>Event</t>
        </is>
      </c>
      <c r="C1" s="741" t="inlineStr">
        <is>
          <t>Time</t>
        </is>
      </c>
      <c r="D1" s="742" t="inlineStr">
        <is>
          <t>AQUA</t>
        </is>
      </c>
      <c r="E1" s="129" t="n"/>
      <c r="F1" s="129" t="n"/>
      <c r="G1" s="129" t="n"/>
      <c r="H1" s="129" t="n"/>
      <c r="I1" s="129" t="n"/>
      <c r="J1" s="129" t="n"/>
      <c r="K1" s="129" t="n"/>
      <c r="L1" s="129" t="n"/>
      <c r="M1" s="129" t="n"/>
      <c r="N1" s="129" t="n"/>
      <c r="O1" s="129" t="n"/>
      <c r="P1" s="129" t="n"/>
      <c r="Q1" s="129" t="n"/>
      <c r="R1" s="129" t="n"/>
      <c r="S1" s="129" t="n"/>
      <c r="T1" s="129" t="n"/>
      <c r="U1" s="129" t="n"/>
      <c r="V1" s="129" t="n"/>
      <c r="W1" s="129" t="n"/>
    </row>
    <row r="2">
      <c r="A2" s="743" t="inlineStr">
        <is>
          <t>M</t>
        </is>
      </c>
      <c r="B2" s="215" t="inlineStr">
        <is>
          <t>50 Free</t>
        </is>
      </c>
      <c r="C2" s="751" t="n">
        <v>22.84</v>
      </c>
      <c r="D2" s="745">
        <f>IFERROR(__xludf.DUMMYFUNCTION("LET(
  gen,$A2, ev,$B2, t,$C2,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)"),767.0)</f>
        <v/>
      </c>
      <c r="E2" s="129" t="n"/>
      <c r="F2" s="129" t="n"/>
      <c r="G2" s="129" t="n"/>
      <c r="H2" s="129" t="n"/>
      <c r="I2" s="129" t="n"/>
      <c r="J2" s="129" t="n"/>
      <c r="K2" s="129" t="n"/>
      <c r="L2" s="129" t="n"/>
      <c r="M2" s="129" t="n"/>
      <c r="N2" s="129" t="n"/>
      <c r="O2" s="129" t="n"/>
      <c r="P2" s="129" t="n"/>
      <c r="Q2" s="129" t="n"/>
      <c r="R2" s="129" t="n"/>
      <c r="S2" s="129" t="n"/>
      <c r="T2" s="129" t="n"/>
      <c r="U2" s="129" t="n"/>
      <c r="V2" s="129" t="n"/>
      <c r="W2" s="129" t="n"/>
    </row>
    <row r="3">
      <c r="A3" s="746" t="inlineStr">
        <is>
          <t>M</t>
        </is>
      </c>
      <c r="B3" s="211" t="inlineStr">
        <is>
          <t>100 Free</t>
        </is>
      </c>
      <c r="C3" s="752" t="n">
        <v>49.69</v>
      </c>
      <c r="D3" s="753">
        <f>IFERROR(__xludf.DUMMYFUNCTION("LET(
  gen,$A3, ev,$B3, t,$C3,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)"),814.0)</f>
        <v/>
      </c>
      <c r="E3" s="129" t="n"/>
      <c r="F3" s="129" t="n"/>
      <c r="G3" s="129" t="n"/>
      <c r="H3" s="129" t="n"/>
      <c r="I3" s="129" t="n"/>
      <c r="J3" s="129" t="n"/>
      <c r="K3" s="129" t="n"/>
      <c r="L3" s="129" t="n"/>
      <c r="M3" s="129" t="n"/>
      <c r="N3" s="129" t="n"/>
      <c r="O3" s="129" t="n"/>
      <c r="P3" s="129" t="n"/>
      <c r="Q3" s="129" t="n"/>
      <c r="R3" s="129" t="n"/>
      <c r="S3" s="129" t="n"/>
      <c r="T3" s="129" t="n"/>
      <c r="U3" s="129" t="n"/>
      <c r="V3" s="129" t="n"/>
      <c r="W3" s="129" t="n"/>
    </row>
    <row r="4">
      <c r="A4" s="743" t="inlineStr">
        <is>
          <t>M</t>
        </is>
      </c>
      <c r="B4" s="215" t="inlineStr">
        <is>
          <t>200 Free</t>
        </is>
      </c>
      <c r="C4" s="751" t="n">
        <v>109.31</v>
      </c>
      <c r="D4" s="745">
        <f>IFERROR(__xludf.DUMMYFUNCTION("LET(
  gen,$A4, ev,$B4, t,$C4,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)"),812.0)</f>
        <v/>
      </c>
      <c r="E4" s="129" t="n"/>
      <c r="F4" s="129" t="n"/>
      <c r="G4" s="129" t="n"/>
      <c r="H4" s="129" t="n"/>
      <c r="I4" s="129" t="n"/>
      <c r="J4" s="129" t="n"/>
      <c r="K4" s="129" t="n"/>
      <c r="L4" s="129" t="n"/>
      <c r="M4" s="129" t="n"/>
      <c r="N4" s="129" t="n"/>
      <c r="O4" s="129" t="n"/>
      <c r="P4" s="129" t="n"/>
      <c r="Q4" s="129" t="n"/>
      <c r="R4" s="129" t="n"/>
      <c r="S4" s="129" t="n"/>
      <c r="T4" s="129" t="n"/>
      <c r="U4" s="129" t="n"/>
      <c r="V4" s="129" t="n"/>
      <c r="W4" s="129" t="n"/>
    </row>
    <row r="5">
      <c r="A5" s="746" t="inlineStr">
        <is>
          <t>M</t>
        </is>
      </c>
      <c r="B5" s="211" t="inlineStr">
        <is>
          <t>400 Free</t>
        </is>
      </c>
      <c r="C5" s="752" t="n">
        <v>233.78</v>
      </c>
      <c r="D5" s="753">
        <f>IFERROR(__xludf.DUMMYFUNCTION("LET(
  gen,$A5, ev,$B5, t,$C5,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)"),834.0)</f>
        <v/>
      </c>
      <c r="E5" s="129" t="n"/>
      <c r="F5" s="129" t="n"/>
      <c r="G5" s="129" t="n"/>
      <c r="H5" s="129" t="n"/>
      <c r="I5" s="129" t="n"/>
      <c r="J5" s="129" t="n"/>
      <c r="K5" s="129" t="n"/>
      <c r="L5" s="129" t="n"/>
      <c r="M5" s="129" t="n"/>
      <c r="N5" s="129" t="n"/>
      <c r="O5" s="129" t="n"/>
      <c r="P5" s="129" t="n"/>
      <c r="Q5" s="129" t="n"/>
      <c r="R5" s="129" t="n"/>
      <c r="S5" s="129" t="n"/>
      <c r="T5" s="129" t="n"/>
      <c r="U5" s="129" t="n"/>
      <c r="V5" s="129" t="n"/>
      <c r="W5" s="129" t="n"/>
    </row>
    <row r="6">
      <c r="A6" s="743" t="inlineStr">
        <is>
          <t>M</t>
        </is>
      </c>
      <c r="B6" s="215" t="inlineStr">
        <is>
          <t>800 Free</t>
        </is>
      </c>
      <c r="C6" s="749" t="n">
        <v>486.71</v>
      </c>
      <c r="D6" s="745">
        <f>IFERROR(__xludf.DUMMYFUNCTION("LET(
  gen,$A6, ev,$B6, t,$C6,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)"),801.0)</f>
        <v/>
      </c>
      <c r="E6" s="129" t="n"/>
      <c r="F6" s="129" t="n"/>
      <c r="G6" s="129" t="n"/>
      <c r="H6" s="129" t="n"/>
      <c r="I6" s="129" t="n"/>
      <c r="J6" s="129" t="n"/>
      <c r="K6" s="129" t="n"/>
      <c r="L6" s="129" t="n"/>
      <c r="M6" s="129" t="n"/>
      <c r="N6" s="129" t="n"/>
      <c r="O6" s="129" t="n"/>
      <c r="P6" s="129" t="n"/>
      <c r="Q6" s="129" t="n"/>
      <c r="R6" s="129" t="n"/>
      <c r="S6" s="129" t="n"/>
      <c r="T6" s="129" t="n"/>
      <c r="U6" s="129" t="n"/>
      <c r="V6" s="129" t="n"/>
      <c r="W6" s="129" t="n"/>
    </row>
    <row r="7">
      <c r="A7" s="746" t="inlineStr">
        <is>
          <t>M</t>
        </is>
      </c>
      <c r="B7" s="211" t="inlineStr">
        <is>
          <t>1500 Free</t>
        </is>
      </c>
      <c r="C7" s="752" t="n">
        <v>940.49</v>
      </c>
      <c r="D7" s="753">
        <f>IFERROR(__xludf.DUMMYFUNCTION("LET(
  gen,$A7, ev,$B7, t,$C7,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)"),793.0)</f>
        <v/>
      </c>
      <c r="E7" s="129" t="n"/>
      <c r="F7" s="129" t="n"/>
      <c r="G7" s="129" t="n"/>
      <c r="H7" s="129" t="n"/>
      <c r="I7" s="129" t="n"/>
      <c r="J7" s="129" t="n"/>
      <c r="K7" s="129" t="n"/>
      <c r="L7" s="129" t="n"/>
      <c r="M7" s="129" t="n"/>
      <c r="N7" s="129" t="n"/>
      <c r="O7" s="129" t="n"/>
      <c r="P7" s="129" t="n"/>
      <c r="Q7" s="129" t="n"/>
      <c r="R7" s="129" t="n"/>
      <c r="S7" s="129" t="n"/>
      <c r="T7" s="129" t="n"/>
      <c r="U7" s="129" t="n"/>
      <c r="V7" s="129" t="n"/>
      <c r="W7" s="129" t="n"/>
    </row>
    <row r="8">
      <c r="A8" s="743" t="inlineStr">
        <is>
          <t>M</t>
        </is>
      </c>
      <c r="B8" s="215" t="inlineStr">
        <is>
          <t>100 Back</t>
        </is>
      </c>
      <c r="C8" s="751" t="n">
        <v>55.99</v>
      </c>
      <c r="D8" s="745">
        <f>IFERROR(__xludf.DUMMYFUNCTION("LET(
  gen,$A8, ev,$B8, t,$C8,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)"),782.0)</f>
        <v/>
      </c>
      <c r="E8" s="129" t="n"/>
      <c r="F8" s="129" t="n"/>
      <c r="G8" s="129" t="n"/>
      <c r="H8" s="129" t="n"/>
      <c r="I8" s="129" t="n"/>
      <c r="J8" s="129" t="n"/>
      <c r="K8" s="129" t="n"/>
      <c r="L8" s="129" t="n"/>
      <c r="M8" s="129" t="n"/>
      <c r="N8" s="129" t="n"/>
      <c r="O8" s="129" t="n"/>
      <c r="P8" s="129" t="n"/>
      <c r="Q8" s="129" t="n"/>
      <c r="R8" s="129" t="n"/>
      <c r="S8" s="129" t="n"/>
      <c r="T8" s="129" t="n"/>
      <c r="U8" s="129" t="n"/>
      <c r="V8" s="129" t="n"/>
      <c r="W8" s="129" t="n"/>
    </row>
    <row r="9">
      <c r="A9" s="746" t="inlineStr">
        <is>
          <t>M</t>
        </is>
      </c>
      <c r="B9" s="211" t="inlineStr">
        <is>
          <t>200 Back</t>
        </is>
      </c>
      <c r="C9" s="752" t="n">
        <v>121.74</v>
      </c>
      <c r="D9" s="753">
        <f>IFERROR(__xludf.DUMMYFUNCTION("LET(
  gen,$A9, ev,$B9, t,$C9,
  hdrs, ARRAYFORMULA(UPPER(TRIM(CLEAN(SUBSTITUTE('AQUA POINTS'!$1:$1,CHAR(160),"" ""))))),
  col,  MATCH(UPPER(ev), hdrs, 0),
  base, INDEX('AQUA POINTS'!$1:$3, IF(gen=""M"",2,3), col),
  baseSec, IF(ISNUMBER(base), IF(base&lt;"&amp;"1, base*86400, base),
              IF(REGEXMATCH(base,"":""), VALUE(LEFT(base, FIND("":"",base)-1))*60 + VALUE(MID(base, FIND("":"",base)+1, 99)),
                 VALUE(SUBSTITUTE(base,"","",""."")))),
  tSec, IF(ISNUMBER(t), IF(t&lt;1, t*86400, t),
      "&amp;"     IF(REGEXMATCH(t,"":""), VALUE(LEFT(t, FIND("":"",t)-1))*60 + VALUE(MID(t, FIND("":"",t)+1, 99)),
              VALUE(SUBSTITUTE(t,"","",""."")))),
  INT(1000*(baseSec/tSec)^3)
)"),777.0)</f>
        <v/>
      </c>
      <c r="E9" s="129" t="n"/>
      <c r="F9" s="129" t="n"/>
      <c r="G9" s="129" t="n"/>
      <c r="H9" s="129" t="n"/>
      <c r="I9" s="129" t="n"/>
      <c r="J9" s="129" t="n"/>
      <c r="K9" s="129" t="n"/>
      <c r="L9" s="129" t="n"/>
      <c r="M9" s="129" t="n"/>
      <c r="N9" s="129" t="n"/>
      <c r="O9" s="129" t="n"/>
      <c r="P9" s="129" t="n"/>
      <c r="Q9" s="129" t="n"/>
      <c r="R9" s="129" t="n"/>
      <c r="S9" s="129" t="n"/>
      <c r="T9" s="129" t="n"/>
      <c r="U9" s="129" t="n"/>
      <c r="V9" s="129" t="n"/>
      <c r="W9" s="129" t="n"/>
    </row>
    <row r="10">
      <c r="A10" s="743" t="inlineStr">
        <is>
          <t>M</t>
        </is>
      </c>
      <c r="B10" s="215" t="inlineStr">
        <is>
          <t>100 Breast</t>
        </is>
      </c>
      <c r="C10" s="751" t="n">
        <v>62.22</v>
      </c>
      <c r="D10" s="745">
        <f>IFERROR(__xludf.DUMMYFUNCTION("LET(
  gen,$A10, ev,$B10, t,$C10,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
      </c>
      <c r="E10" s="129" t="n"/>
      <c r="F10" s="129" t="n"/>
      <c r="G10" s="129" t="n"/>
      <c r="H10" s="129" t="n"/>
      <c r="I10" s="129" t="n"/>
      <c r="J10" s="129" t="n"/>
      <c r="K10" s="129" t="n"/>
      <c r="L10" s="129" t="n"/>
      <c r="M10" s="129" t="n"/>
      <c r="N10" s="129" t="n"/>
      <c r="O10" s="129" t="n"/>
      <c r="P10" s="129" t="n"/>
      <c r="Q10" s="129" t="n"/>
      <c r="R10" s="129" t="n"/>
      <c r="S10" s="129" t="n"/>
      <c r="T10" s="129" t="n"/>
      <c r="U10" s="129" t="n"/>
      <c r="V10" s="129" t="n"/>
      <c r="W10" s="129" t="n"/>
    </row>
    <row r="11">
      <c r="A11" s="746" t="inlineStr">
        <is>
          <t>M</t>
        </is>
      </c>
      <c r="B11" s="211" t="inlineStr">
        <is>
          <t>200 Breast</t>
        </is>
      </c>
      <c r="C11" s="752" t="n">
        <v>134.3</v>
      </c>
      <c r="D11" s="753">
        <f>IFERROR(__xludf.DUMMYFUNCTION("LET(
  gen,$A11, ev,$B11, t,$C11,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)"),815.0)</f>
        <v/>
      </c>
      <c r="E11" s="129" t="n"/>
      <c r="F11" s="129" t="n"/>
      <c r="G11" s="129" t="n"/>
      <c r="H11" s="129" t="n"/>
      <c r="I11" s="129" t="n"/>
      <c r="J11" s="129" t="n"/>
      <c r="K11" s="129" t="n"/>
      <c r="L11" s="129" t="n"/>
      <c r="M11" s="129" t="n"/>
      <c r="N11" s="129" t="n"/>
      <c r="O11" s="129" t="n"/>
      <c r="P11" s="129" t="n"/>
      <c r="Q11" s="129" t="n"/>
      <c r="R11" s="129" t="n"/>
      <c r="S11" s="129" t="n"/>
      <c r="T11" s="129" t="n"/>
      <c r="U11" s="129" t="n"/>
      <c r="V11" s="129" t="n"/>
      <c r="W11" s="129" t="n"/>
    </row>
    <row r="12">
      <c r="A12" s="743" t="inlineStr">
        <is>
          <t>M</t>
        </is>
      </c>
      <c r="B12" s="215" t="inlineStr">
        <is>
          <t>100 Fly</t>
        </is>
      </c>
      <c r="C12" s="751" t="n">
        <v>52.91</v>
      </c>
      <c r="D12" s="745">
        <f>IFERROR(__xludf.DUMMYFUNCTION("LET(
  gen,$A12, ev,$B12, t,$C12,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)"),816.0)</f>
        <v/>
      </c>
      <c r="E12" s="129" t="n"/>
      <c r="F12" s="129" t="n"/>
      <c r="G12" s="129" t="n"/>
      <c r="H12" s="129" t="n"/>
      <c r="I12" s="129" t="n"/>
      <c r="J12" s="129" t="n"/>
      <c r="K12" s="129" t="n"/>
      <c r="L12" s="129" t="n"/>
      <c r="M12" s="129" t="n"/>
      <c r="N12" s="129" t="n"/>
      <c r="O12" s="129" t="n"/>
      <c r="P12" s="129" t="n"/>
      <c r="Q12" s="129" t="n"/>
      <c r="R12" s="129" t="n"/>
      <c r="S12" s="129" t="n"/>
      <c r="T12" s="129" t="n"/>
      <c r="U12" s="129" t="n"/>
      <c r="V12" s="129" t="n"/>
      <c r="W12" s="129" t="n"/>
    </row>
    <row r="13">
      <c r="A13" s="746" t="inlineStr">
        <is>
          <t>M</t>
        </is>
      </c>
      <c r="B13" s="211" t="inlineStr">
        <is>
          <t>200 Fly</t>
        </is>
      </c>
      <c r="C13" s="752" t="n">
        <v>120.6</v>
      </c>
      <c r="D13" s="753">
        <f>IFERROR(__xludf.DUMMYFUNCTION("LET(
  gen,$A13, ev,$B13, t,$C13,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)"),765.0)</f>
        <v/>
      </c>
      <c r="E13" s="129" t="n"/>
      <c r="F13" s="129" t="n"/>
      <c r="G13" s="129" t="n"/>
      <c r="H13" s="129" t="n"/>
      <c r="I13" s="129" t="n"/>
      <c r="J13" s="129" t="n"/>
      <c r="K13" s="129" t="n"/>
      <c r="L13" s="129" t="n"/>
      <c r="M13" s="129" t="n"/>
      <c r="N13" s="129" t="n"/>
      <c r="O13" s="129" t="n"/>
      <c r="P13" s="129" t="n"/>
      <c r="Q13" s="129" t="n"/>
      <c r="R13" s="129" t="n"/>
      <c r="S13" s="129" t="n"/>
      <c r="T13" s="129" t="n"/>
      <c r="U13" s="129" t="n"/>
      <c r="V13" s="129" t="n"/>
      <c r="W13" s="129" t="n"/>
    </row>
    <row r="14">
      <c r="A14" s="743" t="inlineStr">
        <is>
          <t>M</t>
        </is>
      </c>
      <c r="B14" s="215" t="inlineStr">
        <is>
          <t>200 IM</t>
        </is>
      </c>
      <c r="C14" s="751" t="n">
        <v>122.42</v>
      </c>
      <c r="D14" s="745">
        <f>IFERROR(__xludf.DUMMYFUNCTION("LET(
  gen,$A14, ev,$B14, t,$C14,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)"),807.0)</f>
        <v/>
      </c>
      <c r="E14" s="129" t="n"/>
      <c r="F14" s="129" t="n"/>
      <c r="G14" s="129" t="n"/>
      <c r="H14" s="129" t="n"/>
      <c r="I14" s="129" t="n"/>
      <c r="J14" s="129" t="n"/>
      <c r="K14" s="129" t="n"/>
      <c r="L14" s="129" t="n"/>
      <c r="M14" s="129" t="n"/>
      <c r="N14" s="129" t="n"/>
      <c r="O14" s="129" t="n"/>
      <c r="P14" s="129" t="n"/>
      <c r="Q14" s="129" t="n"/>
      <c r="R14" s="129" t="n"/>
      <c r="S14" s="129" t="n"/>
      <c r="T14" s="129" t="n"/>
      <c r="U14" s="129" t="n"/>
      <c r="V14" s="129" t="n"/>
      <c r="W14" s="129" t="n"/>
    </row>
    <row r="15">
      <c r="A15" s="746" t="inlineStr">
        <is>
          <t>M</t>
        </is>
      </c>
      <c r="B15" s="211" t="inlineStr">
        <is>
          <t>400 IM</t>
        </is>
      </c>
      <c r="C15" s="752" t="n">
        <v>263.24</v>
      </c>
      <c r="D15" s="753">
        <f>IFERROR(__xludf.DUMMYFUNCTION("LET(
  gen,$A15, ev,$B15, t,$C15,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)"),781.0)</f>
        <v/>
      </c>
      <c r="E15" s="129" t="n"/>
      <c r="F15" s="129" t="n"/>
      <c r="G15" s="129" t="n"/>
      <c r="H15" s="129" t="n"/>
      <c r="I15" s="129" t="n"/>
      <c r="J15" s="129" t="n"/>
      <c r="K15" s="129" t="n"/>
      <c r="L15" s="129" t="n"/>
      <c r="M15" s="129" t="n"/>
      <c r="N15" s="129" t="n"/>
      <c r="O15" s="129" t="n"/>
      <c r="P15" s="129" t="n"/>
      <c r="Q15" s="129" t="n"/>
      <c r="R15" s="129" t="n"/>
      <c r="S15" s="129" t="n"/>
      <c r="T15" s="129" t="n"/>
      <c r="U15" s="129" t="n"/>
      <c r="V15" s="129" t="n"/>
      <c r="W15" s="129" t="n"/>
    </row>
    <row r="16">
      <c r="A16" s="743" t="inlineStr">
        <is>
          <t>F</t>
        </is>
      </c>
      <c r="B16" s="215" t="inlineStr">
        <is>
          <t>50 Free</t>
        </is>
      </c>
      <c r="C16" s="751" t="n">
        <v>25.32</v>
      </c>
      <c r="D16" s="745">
        <f>IFERROR(__xludf.DUMMYFUNCTION("LET(
  gen,$A16, ev,$B16, t,$C16,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)"),810.0)</f>
        <v/>
      </c>
      <c r="E16" s="129" t="n"/>
      <c r="F16" s="129" t="n"/>
      <c r="G16" s="129" t="n"/>
      <c r="H16" s="129" t="n"/>
      <c r="I16" s="129" t="n"/>
      <c r="J16" s="129" t="n"/>
      <c r="K16" s="129" t="n"/>
      <c r="L16" s="129" t="n"/>
      <c r="M16" s="129" t="n"/>
      <c r="N16" s="129" t="n"/>
      <c r="O16" s="129" t="n"/>
      <c r="P16" s="129" t="n"/>
      <c r="Q16" s="129" t="n"/>
      <c r="R16" s="129" t="n"/>
      <c r="S16" s="129" t="n"/>
      <c r="T16" s="129" t="n"/>
      <c r="U16" s="129" t="n"/>
      <c r="V16" s="129" t="n"/>
      <c r="W16" s="129" t="n"/>
    </row>
    <row r="17">
      <c r="A17" s="746" t="inlineStr">
        <is>
          <t>F</t>
        </is>
      </c>
      <c r="B17" s="211" t="inlineStr">
        <is>
          <t>100 Free</t>
        </is>
      </c>
      <c r="C17" s="752" t="n">
        <v>56.42</v>
      </c>
      <c r="D17" s="753">
        <f>IFERROR(__xludf.DUMMYFUNCTION("LET(
  gen,$A17, ev,$B17, t,$C17,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)"),769.0)</f>
        <v/>
      </c>
      <c r="E17" s="129" t="n"/>
      <c r="F17" s="129" t="n"/>
      <c r="G17" s="129" t="n"/>
      <c r="H17" s="129" t="n"/>
      <c r="I17" s="129" t="n"/>
      <c r="J17" s="129" t="n"/>
      <c r="K17" s="129" t="n"/>
      <c r="L17" s="129" t="n"/>
      <c r="M17" s="129" t="n"/>
      <c r="N17" s="129" t="n"/>
      <c r="O17" s="129" t="n"/>
      <c r="P17" s="129" t="n"/>
      <c r="Q17" s="129" t="n"/>
      <c r="R17" s="129" t="n"/>
      <c r="S17" s="129" t="n"/>
      <c r="T17" s="129" t="n"/>
      <c r="U17" s="129" t="n"/>
      <c r="V17" s="129" t="n"/>
      <c r="W17" s="129" t="n"/>
    </row>
    <row r="18">
      <c r="A18" s="743" t="inlineStr">
        <is>
          <t>F</t>
        </is>
      </c>
      <c r="B18" s="215" t="inlineStr">
        <is>
          <t>200 Free</t>
        </is>
      </c>
      <c r="C18" s="751" t="n">
        <v>122.94</v>
      </c>
      <c r="D18" s="745">
        <f>IFERROR(__xludf.DUMMYFUNCTION("LET(
  gen,$A18, ev,$B18, t,$C18,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E18" s="129" t="n"/>
      <c r="F18" s="129" t="n"/>
      <c r="G18" s="129" t="n"/>
      <c r="H18" s="129" t="n"/>
      <c r="I18" s="129" t="n"/>
      <c r="J18" s="129" t="n"/>
      <c r="K18" s="129" t="n"/>
      <c r="L18" s="129" t="n"/>
      <c r="M18" s="129" t="n"/>
      <c r="N18" s="129" t="n"/>
      <c r="O18" s="129" t="n"/>
      <c r="P18" s="129" t="n"/>
      <c r="Q18" s="129" t="n"/>
      <c r="R18" s="129" t="n"/>
      <c r="S18" s="129" t="n"/>
      <c r="T18" s="129" t="n"/>
      <c r="U18" s="129" t="n"/>
      <c r="V18" s="129" t="n"/>
      <c r="W18" s="129" t="n"/>
    </row>
    <row r="19">
      <c r="A19" s="746" t="inlineStr">
        <is>
          <t>F</t>
        </is>
      </c>
      <c r="B19" s="211" t="inlineStr">
        <is>
          <t>400 Free</t>
        </is>
      </c>
      <c r="C19" s="752" t="n">
        <v>257.55</v>
      </c>
      <c r="D19" s="753">
        <f>IFERROR(__xludf.DUMMYFUNCTION("LET(
  gen,$A19, ev,$B19, t,$C19,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)"),763.0)</f>
        <v/>
      </c>
      <c r="E19" s="129" t="n"/>
      <c r="F19" s="129" t="n"/>
      <c r="G19" s="129" t="n"/>
      <c r="H19" s="129" t="n"/>
      <c r="I19" s="129" t="n"/>
      <c r="J19" s="129" t="n"/>
      <c r="K19" s="129" t="n"/>
      <c r="L19" s="129" t="n"/>
      <c r="M19" s="129" t="n"/>
      <c r="N19" s="129" t="n"/>
      <c r="O19" s="129" t="n"/>
      <c r="P19" s="129" t="n"/>
      <c r="Q19" s="129" t="n"/>
      <c r="R19" s="129" t="n"/>
      <c r="S19" s="129" t="n"/>
      <c r="T19" s="129" t="n"/>
      <c r="U19" s="129" t="n"/>
      <c r="V19" s="129" t="n"/>
      <c r="W19" s="129" t="n"/>
    </row>
    <row r="20">
      <c r="A20" s="743" t="inlineStr">
        <is>
          <t>F</t>
        </is>
      </c>
      <c r="B20" s="215" t="inlineStr">
        <is>
          <t>800 Free</t>
        </is>
      </c>
      <c r="C20" s="751" t="n">
        <v>536.0700000000001</v>
      </c>
      <c r="D20" s="745">
        <f>IFERROR(__xludf.DUMMYFUNCTION("LET(
  gen,$A20, ev,$B20, t,$C20,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
      </c>
      <c r="E20" s="129" t="n"/>
      <c r="F20" s="129" t="n"/>
      <c r="G20" s="129" t="n"/>
      <c r="H20" s="129" t="n"/>
      <c r="I20" s="129" t="n"/>
      <c r="J20" s="129" t="n"/>
      <c r="K20" s="129" t="n"/>
      <c r="L20" s="129" t="n"/>
      <c r="M20" s="129" t="n"/>
      <c r="N20" s="129" t="n"/>
      <c r="O20" s="129" t="n"/>
      <c r="P20" s="129" t="n"/>
      <c r="Q20" s="129" t="n"/>
      <c r="R20" s="129" t="n"/>
      <c r="S20" s="129" t="n"/>
      <c r="T20" s="129" t="n"/>
      <c r="U20" s="129" t="n"/>
      <c r="V20" s="129" t="n"/>
      <c r="W20" s="129" t="n"/>
    </row>
    <row r="21">
      <c r="A21" s="746" t="inlineStr">
        <is>
          <t>F</t>
        </is>
      </c>
      <c r="B21" s="211" t="inlineStr">
        <is>
          <t>1500 Free</t>
        </is>
      </c>
      <c r="C21" s="750" t="n">
        <v>1027.45</v>
      </c>
      <c r="D21" s="753" t="n"/>
      <c r="E21" s="129" t="n"/>
      <c r="F21" s="129" t="n"/>
      <c r="G21" s="129" t="n"/>
      <c r="H21" s="129" t="n"/>
      <c r="I21" s="129" t="n"/>
      <c r="J21" s="129" t="n"/>
      <c r="K21" s="129" t="n"/>
      <c r="L21" s="129" t="n"/>
      <c r="M21" s="129" t="n"/>
      <c r="N21" s="129" t="n"/>
      <c r="O21" s="129" t="n"/>
      <c r="P21" s="129" t="n"/>
      <c r="Q21" s="129" t="n"/>
      <c r="R21" s="129" t="n"/>
      <c r="S21" s="129" t="n"/>
      <c r="T21" s="129" t="n"/>
      <c r="U21" s="129" t="n"/>
      <c r="V21" s="129" t="n"/>
      <c r="W21" s="129" t="n"/>
    </row>
    <row r="22">
      <c r="A22" s="743" t="inlineStr">
        <is>
          <t>F</t>
        </is>
      </c>
      <c r="B22" s="215" t="inlineStr">
        <is>
          <t>100 Back</t>
        </is>
      </c>
      <c r="C22" s="751" t="n">
        <v>63.71</v>
      </c>
      <c r="D22" s="745">
        <f>IFERROR(__xludf.DUMMYFUNCTION("LET(
  gen,$A22, ev,$B22, t,$C22,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)"),721.0)</f>
        <v/>
      </c>
      <c r="E22" s="129" t="n"/>
      <c r="F22" s="129" t="n"/>
      <c r="G22" s="129" t="n"/>
      <c r="H22" s="129" t="n"/>
      <c r="I22" s="129" t="n"/>
      <c r="J22" s="129" t="n"/>
      <c r="K22" s="129" t="n"/>
      <c r="L22" s="129" t="n"/>
      <c r="M22" s="129" t="n"/>
      <c r="N22" s="129" t="n"/>
      <c r="O22" s="129" t="n"/>
      <c r="P22" s="129" t="n"/>
      <c r="Q22" s="129" t="n"/>
      <c r="R22" s="129" t="n"/>
      <c r="S22" s="129" t="n"/>
      <c r="T22" s="129" t="n"/>
      <c r="U22" s="129" t="n"/>
      <c r="V22" s="129" t="n"/>
      <c r="W22" s="129" t="n"/>
    </row>
    <row r="23">
      <c r="A23" s="746" t="inlineStr">
        <is>
          <t>F</t>
        </is>
      </c>
      <c r="B23" s="211" t="inlineStr">
        <is>
          <t>200 Back</t>
        </is>
      </c>
      <c r="C23" s="752" t="n">
        <v>137.95</v>
      </c>
      <c r="D23" s="753">
        <f>IFERROR(__xludf.DUMMYFUNCTION("LET(
  gen,$A23, ev,$B23, t,$C23,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)"),711.0)</f>
        <v/>
      </c>
      <c r="E23" s="129" t="n"/>
      <c r="F23" s="129" t="n"/>
      <c r="G23" s="129" t="n"/>
      <c r="H23" s="129" t="n"/>
      <c r="I23" s="129" t="n"/>
      <c r="J23" s="129" t="n"/>
      <c r="K23" s="129" t="n"/>
      <c r="L23" s="129" t="n"/>
      <c r="M23" s="129" t="n"/>
      <c r="N23" s="129" t="n"/>
      <c r="O23" s="129" t="n"/>
      <c r="P23" s="129" t="n"/>
      <c r="Q23" s="129" t="n"/>
      <c r="R23" s="129" t="n"/>
      <c r="S23" s="129" t="n"/>
      <c r="T23" s="129" t="n"/>
      <c r="U23" s="129" t="n"/>
      <c r="V23" s="129" t="n"/>
      <c r="W23" s="129" t="n"/>
    </row>
    <row r="24">
      <c r="A24" s="743" t="inlineStr">
        <is>
          <t>F</t>
        </is>
      </c>
      <c r="B24" s="215" t="inlineStr">
        <is>
          <t>100 Breast</t>
        </is>
      </c>
      <c r="C24" s="751" t="n">
        <v>70.94</v>
      </c>
      <c r="D24" s="745">
        <f>IFERROR(__xludf.DUMMYFUNCTION("LET(
  gen,$A24, ev,$B24, t,$C24,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)"),738.0)</f>
        <v/>
      </c>
      <c r="E24" s="129" t="n"/>
      <c r="F24" s="129" t="n"/>
      <c r="G24" s="129" t="n"/>
      <c r="H24" s="129" t="n"/>
      <c r="I24" s="129" t="n"/>
      <c r="J24" s="129" t="n"/>
      <c r="K24" s="129" t="n"/>
      <c r="L24" s="129" t="n"/>
      <c r="M24" s="129" t="n"/>
      <c r="N24" s="129" t="n"/>
      <c r="O24" s="129" t="n"/>
      <c r="P24" s="129" t="n"/>
      <c r="Q24" s="129" t="n"/>
      <c r="R24" s="129" t="n"/>
      <c r="S24" s="129" t="n"/>
      <c r="T24" s="129" t="n"/>
      <c r="U24" s="129" t="n"/>
      <c r="V24" s="129" t="n"/>
      <c r="W24" s="129" t="n"/>
    </row>
    <row r="25">
      <c r="A25" s="746" t="inlineStr">
        <is>
          <t>F</t>
        </is>
      </c>
      <c r="B25" s="211" t="inlineStr">
        <is>
          <t>200 Breast</t>
        </is>
      </c>
      <c r="C25" s="752" t="n">
        <v>152.6</v>
      </c>
      <c r="D25" s="753">
        <f>IFERROR(__xludf.DUMMYFUNCTION("LET(
  gen,$A25, ev,$B25, t,$C25,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)"),732.0)</f>
        <v/>
      </c>
      <c r="E25" s="129" t="n"/>
      <c r="F25" s="129" t="n"/>
      <c r="G25" s="129" t="n"/>
      <c r="H25" s="129" t="n"/>
      <c r="I25" s="129" t="n"/>
      <c r="J25" s="129" t="n"/>
      <c r="K25" s="129" t="n"/>
      <c r="L25" s="129" t="n"/>
      <c r="M25" s="129" t="n"/>
      <c r="N25" s="129" t="n"/>
      <c r="O25" s="129" t="n"/>
      <c r="P25" s="129" t="n"/>
      <c r="Q25" s="129" t="n"/>
      <c r="R25" s="129" t="n"/>
      <c r="S25" s="129" t="n"/>
      <c r="T25" s="129" t="n"/>
      <c r="U25" s="129" t="n"/>
      <c r="V25" s="129" t="n"/>
      <c r="W25" s="129" t="n"/>
    </row>
    <row r="26">
      <c r="A26" s="743" t="inlineStr">
        <is>
          <t>F</t>
        </is>
      </c>
      <c r="B26" s="215" t="inlineStr">
        <is>
          <t>100 Fly</t>
        </is>
      </c>
      <c r="C26" s="751" t="n">
        <v>60.45</v>
      </c>
      <c r="D26" s="745">
        <f>IFERROR(__xludf.DUMMYFUNCTION("LET(
  gen,$A26, ev,$B26, t,$C26,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E26" s="129" t="n"/>
      <c r="F26" s="129" t="n"/>
      <c r="G26" s="129" t="n"/>
      <c r="H26" s="129" t="n"/>
      <c r="I26" s="129" t="n"/>
      <c r="J26" s="129" t="n"/>
      <c r="K26" s="129" t="n"/>
      <c r="L26" s="129" t="n"/>
      <c r="M26" s="129" t="n"/>
      <c r="N26" s="129" t="n"/>
      <c r="O26" s="129" t="n"/>
      <c r="P26" s="129" t="n"/>
      <c r="Q26" s="129" t="n"/>
      <c r="R26" s="129" t="n"/>
      <c r="S26" s="129" t="n"/>
      <c r="T26" s="129" t="n"/>
      <c r="U26" s="129" t="n"/>
      <c r="V26" s="129" t="n"/>
      <c r="W26" s="129" t="n"/>
    </row>
    <row r="27">
      <c r="A27" s="746" t="inlineStr">
        <is>
          <t>F</t>
        </is>
      </c>
      <c r="B27" s="211" t="inlineStr">
        <is>
          <t>200 Fly</t>
        </is>
      </c>
      <c r="C27" s="752" t="n">
        <v>134.37</v>
      </c>
      <c r="D27" s="753">
        <f>IFERROR(__xludf.DUMMYFUNCTION("LET(
  gen,$A27, ev,$B27, t,$C27,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)"),744.0)</f>
        <v/>
      </c>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row>
    <row r="28">
      <c r="A28" s="743" t="inlineStr">
        <is>
          <t>F</t>
        </is>
      </c>
      <c r="B28" s="215" t="inlineStr">
        <is>
          <t>200 IM</t>
        </is>
      </c>
      <c r="C28" s="751" t="n">
        <v>136.39</v>
      </c>
      <c r="D28" s="745">
        <f>IFERROR(__xludf.DUMMYFUNCTION("LET(
  gen,$A28, ev,$B28, t,$C28,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)"),790.0)</f>
        <v/>
      </c>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row>
    <row r="29">
      <c r="A29" s="746" t="inlineStr">
        <is>
          <t>F</t>
        </is>
      </c>
      <c r="B29" s="211" t="inlineStr">
        <is>
          <t>400 IM</t>
        </is>
      </c>
      <c r="C29" s="752" t="n">
        <v>292.08</v>
      </c>
      <c r="D29" s="753">
        <f>IFERROR(__xludf.DUMMYFUNCTION("LET(
  gen,$A29, ev,$B29, t,$C29,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)"),741.0)</f>
        <v/>
      </c>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row>
    <row r="30">
      <c r="A30" s="743" t="inlineStr">
        <is>
          <t>F</t>
        </is>
      </c>
      <c r="B30" s="215" t="inlineStr">
        <is>
          <t>50 Back</t>
        </is>
      </c>
      <c r="C30" s="751" t="n">
        <v>28.99</v>
      </c>
      <c r="D30" s="745">
        <f>IFERROR(__xludf.DUMMYFUNCTION("LET(
  gen,$A30, ev,$B30, t,$C30,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)"),795.0)</f>
        <v/>
      </c>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row>
    <row r="31">
      <c r="A31" s="746" t="inlineStr">
        <is>
          <t>F</t>
        </is>
      </c>
      <c r="B31" s="211" t="inlineStr">
        <is>
          <t>50 Breast</t>
        </is>
      </c>
      <c r="C31" s="752" t="n">
        <v>31.94</v>
      </c>
      <c r="D31" s="753">
        <f>IFERROR(__xludf.DUMMYFUNCTION("LET(
  gen,$A31, ev,$B31, t,$C31,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)"),760.0)</f>
        <v/>
      </c>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row>
    <row r="32">
      <c r="A32" s="743" t="inlineStr">
        <is>
          <t>F</t>
        </is>
      </c>
      <c r="B32" s="215" t="inlineStr">
        <is>
          <t>50 Fly</t>
        </is>
      </c>
      <c r="C32" s="751" t="n">
        <v>27.02</v>
      </c>
      <c r="D32" s="745">
        <f>IFERROR(__xludf.DUMMYFUNCTION("LET(
  gen,$A32, ev,$B32, t,$C32,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)"),739.0)</f>
        <v/>
      </c>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row>
    <row r="33">
      <c r="A33" s="746" t="inlineStr">
        <is>
          <t>M</t>
        </is>
      </c>
      <c r="B33" s="211" t="inlineStr">
        <is>
          <t>50 Back</t>
        </is>
      </c>
      <c r="C33" s="752" t="n">
        <v>25.61</v>
      </c>
      <c r="D33" s="753">
        <f>IFERROR(__xludf.DUMMYFUNCTION("LET(
  gen,$A33, ev,$B33, t,$C33,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)"),777.0)</f>
        <v/>
      </c>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row>
    <row r="34">
      <c r="A34" s="743" t="inlineStr">
        <is>
          <t>M</t>
        </is>
      </c>
      <c r="B34" s="215" t="inlineStr">
        <is>
          <t>50 Breast</t>
        </is>
      </c>
      <c r="C34" s="751" t="n">
        <v>28.01</v>
      </c>
      <c r="D34" s="745">
        <f>IFERROR(__xludf.DUMMYFUNCTION("LET(
  gen,$A34, ev,$B34, t,$C34,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)"),795.0)</f>
        <v/>
      </c>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row>
    <row r="35">
      <c r="A35" s="754" t="inlineStr">
        <is>
          <t>M</t>
        </is>
      </c>
      <c r="B35" s="755" t="inlineStr">
        <is>
          <t>50 Fly</t>
        </is>
      </c>
      <c r="C35" s="756" t="n">
        <v>23.89</v>
      </c>
      <c r="D35" s="363">
        <f>IFERROR(__xludf.DUMMYFUNCTION("LET(
  gen,$A35, ev,$B35, t,$C35,
  hdrs, ARRAYFORMULA(UPPER(TRIM(CLEAN(SUBSTITUTE('AQUA POINTS'!$1:$1,CHAR(160),"" ""))))),
  col,  MATCH(UPPER(ev), hdrs, 0),
  base, INDEX('AQUA POINTS'!$1:$3, IF(gen=""M"",2,3), col),
  baseSec, IF(ISNUMBER(base), IF(ba"&amp;"se&lt;1, base*86400, base),
              IF(REGEXMATCH(base,"":""), VALUE(LEFT(base, FIND("":"",base)-1))*60 + VALUE(MID(base, FIND("":"",base)+1, 99)),
                 VALUE(SUBSTITUTE(base,"","",""."")))),
  tSec, IF(ISNUMBER(t), IF(t&lt;1, t*86400, t),
   "&amp;"        IF(REGEXMATCH(t,"":""), VALUE(LEFT(t, FIND("":"",t)-1))*60 + VALUE(MID(t, FIND("":"",t)+1, 99)),
              VALUE(SUBSTITUTE(t,"","",""."")))),
  INT(1000*(baseSec/tSec)^3)
)"),810.0)</f>
        <v/>
      </c>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row>
    <row r="36">
      <c r="A36" s="129" t="n"/>
      <c r="B36" s="129" t="n"/>
      <c r="C36" s="129" t="n"/>
      <c r="D36" s="129"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row>
    <row r="37">
      <c r="A37" s="129" t="n"/>
      <c r="B37" s="129" t="n"/>
      <c r="C37" s="129" t="n"/>
      <c r="D37" s="129"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row>
    <row r="38">
      <c r="A38" s="129" t="n"/>
      <c r="B38" s="129" t="n"/>
      <c r="C38" s="129" t="n"/>
      <c r="D38" s="129"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row>
    <row r="39">
      <c r="A39" s="129" t="n"/>
      <c r="B39" s="129" t="n"/>
      <c r="C39" s="129" t="n"/>
      <c r="D39" s="129"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row>
    <row r="40">
      <c r="A40" s="129" t="n"/>
      <c r="B40" s="129" t="n"/>
      <c r="C40" s="129" t="n"/>
      <c r="D40" s="129"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row>
    <row r="41">
      <c r="A41" s="129" t="n"/>
      <c r="B41" s="129" t="n"/>
      <c r="C41" s="129" t="n"/>
      <c r="D41" s="129"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row>
    <row r="42">
      <c r="A42" s="129" t="n"/>
      <c r="B42" s="129" t="n"/>
      <c r="C42" s="129" t="n"/>
      <c r="D42" s="129"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row>
    <row r="43">
      <c r="A43" s="129" t="n"/>
      <c r="B43" s="129" t="n"/>
      <c r="C43" s="129" t="n"/>
      <c r="D43" s="129"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row>
    <row r="44">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row>
    <row r="45">
      <c r="A45" s="129" t="n"/>
      <c r="B45" s="129" t="n"/>
      <c r="C45" s="129" t="n"/>
      <c r="D45" s="129"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row>
    <row r="46">
      <c r="A46" s="129" t="n"/>
      <c r="B46" s="129" t="n"/>
      <c r="C46" s="129" t="n"/>
      <c r="D46" s="129"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row>
    <row r="47">
      <c r="A47" s="129" t="n"/>
      <c r="B47" s="129" t="n"/>
      <c r="C47" s="129" t="n"/>
      <c r="D47" s="129"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row>
    <row r="48">
      <c r="A48" s="129" t="n"/>
      <c r="B48" s="129" t="n"/>
      <c r="C48" s="129" t="n"/>
      <c r="D48" s="129"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row>
    <row r="49">
      <c r="A49" s="129" t="n"/>
      <c r="B49" s="129" t="n"/>
      <c r="C49" s="129" t="n"/>
      <c r="D49" s="129"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row>
    <row r="50">
      <c r="A50" s="129" t="n"/>
      <c r="B50" s="129" t="n"/>
      <c r="C50" s="129" t="n"/>
      <c r="D50" s="129"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row>
    <row r="51">
      <c r="A51" s="129" t="n"/>
      <c r="B51" s="129" t="n"/>
      <c r="C51" s="129" t="n"/>
      <c r="D51" s="129"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row>
    <row r="52">
      <c r="A52" s="129" t="n"/>
      <c r="B52" s="129" t="n"/>
      <c r="C52" s="129" t="n"/>
      <c r="D52" s="129"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row>
    <row r="53">
      <c r="A53" s="129" t="n"/>
      <c r="B53" s="129" t="n"/>
      <c r="C53" s="129" t="n"/>
      <c r="D53" s="129"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row>
    <row r="54">
      <c r="A54" s="129" t="n"/>
      <c r="B54" s="129" t="n"/>
      <c r="C54" s="129" t="n"/>
      <c r="D54" s="129"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row>
    <row r="55">
      <c r="A55" s="129" t="n"/>
      <c r="B55" s="129" t="n"/>
      <c r="C55" s="129" t="n"/>
      <c r="D55" s="129"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row>
    <row r="56">
      <c r="A56" s="129" t="n"/>
      <c r="B56" s="129" t="n"/>
      <c r="C56" s="129" t="n"/>
      <c r="D56" s="129"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row>
    <row r="57">
      <c r="A57" s="129" t="n"/>
      <c r="B57" s="129" t="n"/>
      <c r="C57" s="129" t="n"/>
      <c r="D57" s="129"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row>
    <row r="58">
      <c r="A58" s="129" t="n"/>
      <c r="B58" s="129" t="n"/>
      <c r="C58" s="129" t="n"/>
      <c r="D58" s="129"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row>
    <row r="59">
      <c r="A59" s="129" t="n"/>
      <c r="B59" s="129" t="n"/>
      <c r="C59" s="129" t="n"/>
      <c r="D59" s="129"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row>
    <row r="60">
      <c r="A60" s="129" t="n"/>
      <c r="B60" s="129" t="n"/>
      <c r="C60" s="129" t="n"/>
      <c r="D60" s="129"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row>
    <row r="61">
      <c r="A61" s="129" t="n"/>
      <c r="B61" s="129" t="n"/>
      <c r="C61" s="129" t="n"/>
      <c r="D61" s="129"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row>
    <row r="62">
      <c r="A62" s="129" t="n"/>
      <c r="B62" s="129" t="n"/>
      <c r="C62" s="129" t="n"/>
      <c r="D62" s="129"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row>
    <row r="63">
      <c r="A63" s="129" t="n"/>
      <c r="B63" s="129" t="n"/>
      <c r="C63" s="129" t="n"/>
      <c r="D63" s="129"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row>
    <row r="64">
      <c r="A64" s="129" t="n"/>
      <c r="B64" s="129" t="n"/>
      <c r="C64" s="129" t="n"/>
      <c r="D64" s="129"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row>
    <row r="65">
      <c r="A65" s="129" t="n"/>
      <c r="B65" s="129" t="n"/>
      <c r="C65" s="129" t="n"/>
      <c r="D65" s="129"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row>
    <row r="66">
      <c r="A66" s="129" t="n"/>
      <c r="B66" s="129" t="n"/>
      <c r="C66" s="129" t="n"/>
      <c r="D66" s="129"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row>
    <row r="67">
      <c r="A67" s="129" t="n"/>
      <c r="B67" s="129" t="n"/>
      <c r="C67" s="129" t="n"/>
      <c r="D67" s="129"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row>
    <row r="68">
      <c r="A68" s="129" t="n"/>
      <c r="B68" s="129" t="n"/>
      <c r="C68" s="129" t="n"/>
      <c r="D68" s="129"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row>
    <row r="69">
      <c r="A69" s="129" t="n"/>
      <c r="B69" s="129" t="n"/>
      <c r="C69" s="129" t="n"/>
      <c r="D69" s="129"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row>
    <row r="70">
      <c r="A70" s="129" t="n"/>
      <c r="B70" s="129" t="n"/>
      <c r="C70" s="129" t="n"/>
      <c r="D70" s="129"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row>
    <row r="71">
      <c r="A71" s="129" t="n"/>
      <c r="B71" s="129" t="n"/>
      <c r="C71" s="129" t="n"/>
      <c r="D71" s="129"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row>
    <row r="72">
      <c r="A72" s="129" t="n"/>
      <c r="B72" s="129" t="n"/>
      <c r="C72" s="129" t="n"/>
      <c r="D72" s="129"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row>
    <row r="73">
      <c r="A73" s="129" t="n"/>
      <c r="B73" s="129" t="n"/>
      <c r="C73" s="129" t="n"/>
      <c r="D73" s="129"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row>
    <row r="74">
      <c r="A74" s="129" t="n"/>
      <c r="B74" s="129" t="n"/>
      <c r="C74" s="129" t="n"/>
      <c r="D74" s="129"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row>
    <row r="75">
      <c r="A75" s="129" t="n"/>
      <c r="B75" s="129" t="n"/>
      <c r="C75" s="129" t="n"/>
      <c r="D75" s="129"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row>
    <row r="76">
      <c r="A76" s="129" t="n"/>
      <c r="B76" s="129" t="n"/>
      <c r="C76" s="129" t="n"/>
      <c r="D76" s="129"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row>
    <row r="77">
      <c r="A77" s="129" t="n"/>
      <c r="B77" s="129" t="n"/>
      <c r="C77" s="129" t="n"/>
      <c r="D77" s="129"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row>
    <row r="78">
      <c r="A78" s="129" t="n"/>
      <c r="B78" s="129" t="n"/>
      <c r="C78" s="129" t="n"/>
      <c r="D78" s="129"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row>
    <row r="79">
      <c r="A79" s="129" t="n"/>
      <c r="B79" s="129" t="n"/>
      <c r="C79" s="129" t="n"/>
      <c r="D79" s="129"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row>
    <row r="80">
      <c r="A80" s="129" t="n"/>
      <c r="B80" s="129" t="n"/>
      <c r="C80" s="129" t="n"/>
      <c r="D80" s="129"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row>
    <row r="81">
      <c r="A81" s="129" t="n"/>
      <c r="B81" s="129" t="n"/>
      <c r="C81" s="129" t="n"/>
      <c r="D81" s="129"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row>
    <row r="82">
      <c r="A82" s="129" t="n"/>
      <c r="B82" s="129" t="n"/>
      <c r="C82" s="129" t="n"/>
      <c r="D82" s="129"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row>
    <row r="83">
      <c r="A83" s="129" t="n"/>
      <c r="B83" s="129" t="n"/>
      <c r="C83" s="129" t="n"/>
      <c r="D83" s="129"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row>
    <row r="84">
      <c r="A84" s="129" t="n"/>
      <c r="B84" s="129" t="n"/>
      <c r="C84" s="129" t="n"/>
      <c r="D84" s="129"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row>
    <row r="85">
      <c r="A85" s="129" t="n"/>
      <c r="B85" s="129" t="n"/>
      <c r="C85" s="129" t="n"/>
      <c r="D85" s="129"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row>
    <row r="86">
      <c r="A86" s="129" t="n"/>
      <c r="B86" s="129" t="n"/>
      <c r="C86" s="129" t="n"/>
      <c r="D86" s="129"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row>
    <row r="87">
      <c r="A87" s="129" t="n"/>
      <c r="B87" s="129" t="n"/>
      <c r="C87" s="129" t="n"/>
      <c r="D87" s="129"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row>
    <row r="88">
      <c r="A88" s="129" t="n"/>
      <c r="B88" s="129" t="n"/>
      <c r="C88" s="129" t="n"/>
      <c r="D88" s="129"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row>
    <row r="89">
      <c r="A89" s="129" t="n"/>
      <c r="B89" s="129" t="n"/>
      <c r="C89" s="129" t="n"/>
      <c r="D89" s="129"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row>
    <row r="90">
      <c r="A90" s="129" t="n"/>
      <c r="B90" s="129" t="n"/>
      <c r="C90" s="129" t="n"/>
      <c r="D90" s="129"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row>
    <row r="91">
      <c r="A91" s="129" t="n"/>
      <c r="B91" s="129" t="n"/>
      <c r="C91" s="129" t="n"/>
      <c r="D91" s="129"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row>
    <row r="92">
      <c r="A92" s="129" t="n"/>
      <c r="B92" s="129" t="n"/>
      <c r="C92" s="129" t="n"/>
      <c r="D92" s="129"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row>
    <row r="93">
      <c r="A93" s="129" t="n"/>
      <c r="B93" s="129" t="n"/>
      <c r="C93" s="129" t="n"/>
      <c r="D93" s="129"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row>
    <row r="94">
      <c r="A94" s="129" t="n"/>
      <c r="B94" s="129" t="n"/>
      <c r="C94" s="129" t="n"/>
      <c r="D94" s="129"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row>
    <row r="95">
      <c r="A95" s="129" t="n"/>
      <c r="B95" s="129" t="n"/>
      <c r="C95" s="129" t="n"/>
      <c r="D95" s="129"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row>
    <row r="96">
      <c r="A96" s="129" t="n"/>
      <c r="B96" s="129" t="n"/>
      <c r="C96" s="129" t="n"/>
      <c r="D96" s="129"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row>
    <row r="97">
      <c r="A97" s="129" t="n"/>
      <c r="B97" s="129" t="n"/>
      <c r="C97" s="129" t="n"/>
      <c r="D97" s="129"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row>
    <row r="98">
      <c r="A98" s="129" t="n"/>
      <c r="B98" s="129" t="n"/>
      <c r="C98" s="129" t="n"/>
      <c r="D98" s="129"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row>
    <row r="99">
      <c r="A99" s="129" t="n"/>
      <c r="B99" s="129" t="n"/>
      <c r="C99" s="129" t="n"/>
      <c r="D99" s="129"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row>
    <row r="100">
      <c r="A100" s="129" t="n"/>
      <c r="B100" s="129" t="n"/>
      <c r="C100" s="129" t="n"/>
      <c r="D100" s="129"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row>
    <row r="101">
      <c r="A101" s="129" t="n"/>
      <c r="B101" s="129" t="n"/>
      <c r="C101" s="129" t="n"/>
      <c r="D101" s="129"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row>
    <row r="102">
      <c r="A102" s="129" t="n"/>
      <c r="B102" s="129" t="n"/>
      <c r="C102" s="129" t="n"/>
      <c r="D102" s="129"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row>
    <row r="103">
      <c r="A103" s="129" t="n"/>
      <c r="B103" s="129" t="n"/>
      <c r="C103" s="129" t="n"/>
      <c r="D103" s="129"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row>
    <row r="104">
      <c r="A104" s="129" t="n"/>
      <c r="B104" s="129" t="n"/>
      <c r="C104" s="129" t="n"/>
      <c r="D104" s="129"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row>
    <row r="105">
      <c r="A105" s="129" t="n"/>
      <c r="B105" s="129" t="n"/>
      <c r="C105" s="129" t="n"/>
      <c r="D105" s="129"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row>
    <row r="106">
      <c r="A106" s="129" t="n"/>
      <c r="B106" s="129" t="n"/>
      <c r="C106" s="129" t="n"/>
      <c r="D106" s="129"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row>
    <row r="107">
      <c r="A107" s="129" t="n"/>
      <c r="B107" s="129" t="n"/>
      <c r="C107" s="129" t="n"/>
      <c r="D107" s="129"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row>
    <row r="108">
      <c r="A108" s="129" t="n"/>
      <c r="B108" s="129" t="n"/>
      <c r="C108" s="129" t="n"/>
      <c r="D108" s="129"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row>
    <row r="109">
      <c r="A109" s="129" t="n"/>
      <c r="B109" s="129" t="n"/>
      <c r="C109" s="129" t="n"/>
      <c r="D109" s="129"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row>
    <row r="110">
      <c r="A110" s="129" t="n"/>
      <c r="B110" s="129" t="n"/>
      <c r="C110" s="129" t="n"/>
      <c r="D110" s="129"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row>
    <row r="111">
      <c r="A111" s="129" t="n"/>
      <c r="B111" s="129" t="n"/>
      <c r="C111" s="129" t="n"/>
      <c r="D111" s="129"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row>
    <row r="112">
      <c r="A112" s="129" t="n"/>
      <c r="B112" s="129" t="n"/>
      <c r="C112" s="129" t="n"/>
      <c r="D112" s="129"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row>
    <row r="113">
      <c r="A113" s="129" t="n"/>
      <c r="B113" s="129" t="n"/>
      <c r="C113" s="129" t="n"/>
      <c r="D113" s="129"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row>
    <row r="114">
      <c r="A114" s="129" t="n"/>
      <c r="B114" s="129" t="n"/>
      <c r="C114" s="129" t="n"/>
      <c r="D114" s="129"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row>
    <row r="115">
      <c r="A115" s="129" t="n"/>
      <c r="B115" s="129" t="n"/>
      <c r="C115" s="129" t="n"/>
      <c r="D115" s="129"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row>
    <row r="116">
      <c r="A116" s="129" t="n"/>
      <c r="B116" s="129" t="n"/>
      <c r="C116" s="129" t="n"/>
      <c r="D116" s="129"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row>
    <row r="117">
      <c r="A117" s="129" t="n"/>
      <c r="B117" s="129" t="n"/>
      <c r="C117" s="129" t="n"/>
      <c r="D117" s="129"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row>
    <row r="118">
      <c r="A118" s="129" t="n"/>
      <c r="B118" s="129" t="n"/>
      <c r="C118" s="129" t="n"/>
      <c r="D118" s="129"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row>
    <row r="119">
      <c r="A119" s="129" t="n"/>
      <c r="B119" s="129" t="n"/>
      <c r="C119" s="129" t="n"/>
      <c r="D119" s="129"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row>
    <row r="120">
      <c r="A120" s="129" t="n"/>
      <c r="B120" s="129" t="n"/>
      <c r="C120" s="129" t="n"/>
      <c r="D120" s="129"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row>
    <row r="121">
      <c r="A121" s="129" t="n"/>
      <c r="B121" s="129" t="n"/>
      <c r="C121" s="129" t="n"/>
      <c r="D121" s="129"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row>
    <row r="122">
      <c r="A122" s="129" t="n"/>
      <c r="B122" s="129" t="n"/>
      <c r="C122" s="129" t="n"/>
      <c r="D122" s="129"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row>
    <row r="123">
      <c r="A123" s="129" t="n"/>
      <c r="B123" s="129" t="n"/>
      <c r="C123" s="129" t="n"/>
      <c r="D123" s="129"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row>
    <row r="124">
      <c r="A124" s="129" t="n"/>
      <c r="B124" s="129" t="n"/>
      <c r="C124" s="129" t="n"/>
      <c r="D124" s="129"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row>
    <row r="125">
      <c r="A125" s="129" t="n"/>
      <c r="B125" s="129" t="n"/>
      <c r="C125" s="129" t="n"/>
      <c r="D125" s="129"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row>
    <row r="126">
      <c r="A126" s="129" t="n"/>
      <c r="B126" s="129" t="n"/>
      <c r="C126" s="129" t="n"/>
      <c r="D126" s="129"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row>
    <row r="127">
      <c r="A127" s="129" t="n"/>
      <c r="B127" s="129" t="n"/>
      <c r="C127" s="129" t="n"/>
      <c r="D127" s="129"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row>
    <row r="128">
      <c r="A128" s="129" t="n"/>
      <c r="B128" s="129" t="n"/>
      <c r="C128" s="129" t="n"/>
      <c r="D128" s="129"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row>
    <row r="129">
      <c r="A129" s="129" t="n"/>
      <c r="B129" s="129" t="n"/>
      <c r="C129" s="129" t="n"/>
      <c r="D129" s="129"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row>
    <row r="130">
      <c r="A130" s="129" t="n"/>
      <c r="B130" s="129" t="n"/>
      <c r="C130" s="129" t="n"/>
      <c r="D130" s="129"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row>
    <row r="131">
      <c r="A131" s="129" t="n"/>
      <c r="B131" s="129" t="n"/>
      <c r="C131" s="129" t="n"/>
      <c r="D131" s="129"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row>
    <row r="132">
      <c r="A132" s="129" t="n"/>
      <c r="B132" s="129" t="n"/>
      <c r="C132" s="129" t="n"/>
      <c r="D132" s="129"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row>
    <row r="133">
      <c r="A133" s="129" t="n"/>
      <c r="B133" s="129" t="n"/>
      <c r="C133" s="129" t="n"/>
      <c r="D133" s="129"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row>
    <row r="134">
      <c r="A134" s="129" t="n"/>
      <c r="B134" s="129" t="n"/>
      <c r="C134" s="129" t="n"/>
      <c r="D134" s="129"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row>
    <row r="135">
      <c r="A135" s="129" t="n"/>
      <c r="B135" s="129" t="n"/>
      <c r="C135" s="129" t="n"/>
      <c r="D135" s="129"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row>
    <row r="136">
      <c r="A136" s="129" t="n"/>
      <c r="B136" s="129" t="n"/>
      <c r="C136" s="129" t="n"/>
      <c r="D136" s="129"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row>
    <row r="137">
      <c r="A137" s="129" t="n"/>
      <c r="B137" s="129" t="n"/>
      <c r="C137" s="129" t="n"/>
      <c r="D137" s="129"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row>
    <row r="138">
      <c r="A138" s="129" t="n"/>
      <c r="B138" s="129" t="n"/>
      <c r="C138" s="129" t="n"/>
      <c r="D138" s="129"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row>
    <row r="139">
      <c r="A139" s="129" t="n"/>
      <c r="B139" s="129" t="n"/>
      <c r="C139" s="129" t="n"/>
      <c r="D139" s="129"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row>
    <row r="140">
      <c r="A140" s="129" t="n"/>
      <c r="B140" s="129" t="n"/>
      <c r="C140" s="129" t="n"/>
      <c r="D140" s="129"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row>
    <row r="141">
      <c r="A141" s="129" t="n"/>
      <c r="B141" s="129" t="n"/>
      <c r="C141" s="129" t="n"/>
      <c r="D141" s="129"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row>
    <row r="142">
      <c r="A142" s="129" t="n"/>
      <c r="B142" s="129" t="n"/>
      <c r="C142" s="129" t="n"/>
      <c r="D142" s="129"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row>
    <row r="143">
      <c r="A143" s="129" t="n"/>
      <c r="B143" s="129" t="n"/>
      <c r="C143" s="129" t="n"/>
      <c r="D143" s="129"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row>
    <row r="144">
      <c r="A144" s="129" t="n"/>
      <c r="B144" s="129" t="n"/>
      <c r="C144" s="129" t="n"/>
      <c r="D144" s="129"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row>
    <row r="145">
      <c r="A145" s="129" t="n"/>
      <c r="B145" s="129" t="n"/>
      <c r="C145" s="129" t="n"/>
      <c r="D145" s="129"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row>
    <row r="146">
      <c r="A146" s="129" t="n"/>
      <c r="B146" s="129" t="n"/>
      <c r="C146" s="129" t="n"/>
      <c r="D146" s="129"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row>
    <row r="147">
      <c r="A147" s="129" t="n"/>
      <c r="B147" s="129" t="n"/>
      <c r="C147" s="129" t="n"/>
      <c r="D147" s="129"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row>
    <row r="148">
      <c r="A148" s="129" t="n"/>
      <c r="B148" s="129" t="n"/>
      <c r="C148" s="129" t="n"/>
      <c r="D148" s="129"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row>
    <row r="149">
      <c r="A149" s="129" t="n"/>
      <c r="B149" s="129" t="n"/>
      <c r="C149" s="129" t="n"/>
      <c r="D149" s="129"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row>
    <row r="150">
      <c r="A150" s="129" t="n"/>
      <c r="B150" s="129" t="n"/>
      <c r="C150" s="129" t="n"/>
      <c r="D150" s="129"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row>
    <row r="151">
      <c r="A151" s="129" t="n"/>
      <c r="B151" s="129" t="n"/>
      <c r="C151" s="129" t="n"/>
      <c r="D151" s="129"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row>
    <row r="152">
      <c r="A152" s="129" t="n"/>
      <c r="B152" s="129" t="n"/>
      <c r="C152" s="129" t="n"/>
      <c r="D152" s="129"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row>
    <row r="153">
      <c r="A153" s="129" t="n"/>
      <c r="B153" s="129" t="n"/>
      <c r="C153" s="129" t="n"/>
      <c r="D153" s="129"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row>
    <row r="154">
      <c r="A154" s="129" t="n"/>
      <c r="B154" s="129" t="n"/>
      <c r="C154" s="129" t="n"/>
      <c r="D154" s="129"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row>
    <row r="155">
      <c r="A155" s="129" t="n"/>
      <c r="B155" s="129" t="n"/>
      <c r="C155" s="129" t="n"/>
      <c r="D155" s="129"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row>
    <row r="156">
      <c r="A156" s="129" t="n"/>
      <c r="B156" s="129" t="n"/>
      <c r="C156" s="129" t="n"/>
      <c r="D156" s="129"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row>
    <row r="157">
      <c r="A157" s="129" t="n"/>
      <c r="B157" s="129" t="n"/>
      <c r="C157" s="129" t="n"/>
      <c r="D157" s="129"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row>
    <row r="158">
      <c r="A158" s="129" t="n"/>
      <c r="B158" s="129" t="n"/>
      <c r="C158" s="129" t="n"/>
      <c r="D158" s="129"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row>
    <row r="159">
      <c r="A159" s="129" t="n"/>
      <c r="B159" s="129" t="n"/>
      <c r="C159" s="129" t="n"/>
      <c r="D159" s="129"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row>
    <row r="160">
      <c r="A160" s="129" t="n"/>
      <c r="B160" s="129" t="n"/>
      <c r="C160" s="129" t="n"/>
      <c r="D160" s="129"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row>
    <row r="161">
      <c r="A161" s="129" t="n"/>
      <c r="B161" s="129" t="n"/>
      <c r="C161" s="129" t="n"/>
      <c r="D161" s="129"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row>
    <row r="162">
      <c r="A162" s="129" t="n"/>
      <c r="B162" s="129" t="n"/>
      <c r="C162" s="129" t="n"/>
      <c r="D162" s="129"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row>
    <row r="163">
      <c r="A163" s="129" t="n"/>
      <c r="B163" s="129" t="n"/>
      <c r="C163" s="129" t="n"/>
      <c r="D163" s="129"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row>
    <row r="164">
      <c r="A164" s="129" t="n"/>
      <c r="B164" s="129" t="n"/>
      <c r="C164" s="129" t="n"/>
      <c r="D164" s="129"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row>
    <row r="165">
      <c r="A165" s="129" t="n"/>
      <c r="B165" s="129" t="n"/>
      <c r="C165" s="129" t="n"/>
      <c r="D165" s="129"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row>
    <row r="166">
      <c r="A166" s="129" t="n"/>
      <c r="B166" s="129" t="n"/>
      <c r="C166" s="129" t="n"/>
      <c r="D166" s="129"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row>
    <row r="167">
      <c r="A167" s="129" t="n"/>
      <c r="B167" s="129" t="n"/>
      <c r="C167" s="129" t="n"/>
      <c r="D167" s="129"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row>
    <row r="168">
      <c r="A168" s="129" t="n"/>
      <c r="B168" s="129" t="n"/>
      <c r="C168" s="129" t="n"/>
      <c r="D168" s="129"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row>
    <row r="169">
      <c r="A169" s="129" t="n"/>
      <c r="B169" s="129" t="n"/>
      <c r="C169" s="129" t="n"/>
      <c r="D169" s="129"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row>
    <row r="170">
      <c r="A170" s="129" t="n"/>
      <c r="B170" s="129" t="n"/>
      <c r="C170" s="129" t="n"/>
      <c r="D170" s="129"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row>
    <row r="171">
      <c r="A171" s="129" t="n"/>
      <c r="B171" s="129" t="n"/>
      <c r="C171" s="129" t="n"/>
      <c r="D171" s="129"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row>
    <row r="172">
      <c r="A172" s="129" t="n"/>
      <c r="B172" s="129" t="n"/>
      <c r="C172" s="129" t="n"/>
      <c r="D172" s="129"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row>
    <row r="173">
      <c r="A173" s="129" t="n"/>
      <c r="B173" s="129" t="n"/>
      <c r="C173" s="129" t="n"/>
      <c r="D173" s="129"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row>
    <row r="174">
      <c r="A174" s="129" t="n"/>
      <c r="B174" s="129" t="n"/>
      <c r="C174" s="129" t="n"/>
      <c r="D174" s="129"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row>
    <row r="175">
      <c r="A175" s="129" t="n"/>
      <c r="B175" s="129" t="n"/>
      <c r="C175" s="129" t="n"/>
      <c r="D175" s="129"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row>
    <row r="176">
      <c r="A176" s="129" t="n"/>
      <c r="B176" s="129" t="n"/>
      <c r="C176" s="129" t="n"/>
      <c r="D176" s="129"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row>
    <row r="177">
      <c r="A177" s="129" t="n"/>
      <c r="B177" s="129" t="n"/>
      <c r="C177" s="129" t="n"/>
      <c r="D177" s="129"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row>
    <row r="178">
      <c r="A178" s="129" t="n"/>
      <c r="B178" s="129" t="n"/>
      <c r="C178" s="129" t="n"/>
      <c r="D178" s="129"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row>
    <row r="179">
      <c r="A179" s="129" t="n"/>
      <c r="B179" s="129" t="n"/>
      <c r="C179" s="129" t="n"/>
      <c r="D179" s="129"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row>
    <row r="180">
      <c r="A180" s="129" t="n"/>
      <c r="B180" s="129" t="n"/>
      <c r="C180" s="129" t="n"/>
      <c r="D180" s="129"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row>
    <row r="181">
      <c r="A181" s="129" t="n"/>
      <c r="B181" s="129" t="n"/>
      <c r="C181" s="129" t="n"/>
      <c r="D181" s="129"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row>
    <row r="182">
      <c r="A182" s="129" t="n"/>
      <c r="B182" s="129" t="n"/>
      <c r="C182" s="129" t="n"/>
      <c r="D182" s="129"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row>
    <row r="183">
      <c r="A183" s="129" t="n"/>
      <c r="B183" s="129" t="n"/>
      <c r="C183" s="129" t="n"/>
      <c r="D183" s="129"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row>
    <row r="184">
      <c r="A184" s="129" t="n"/>
      <c r="B184" s="129" t="n"/>
      <c r="C184" s="129" t="n"/>
      <c r="D184" s="129"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row>
    <row r="185">
      <c r="A185" s="129" t="n"/>
      <c r="B185" s="129" t="n"/>
      <c r="C185" s="129" t="n"/>
      <c r="D185" s="129"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row>
    <row r="186">
      <c r="A186" s="129" t="n"/>
      <c r="B186" s="129" t="n"/>
      <c r="C186" s="129" t="n"/>
      <c r="D186" s="129"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row>
    <row r="187">
      <c r="A187" s="129" t="n"/>
      <c r="B187" s="129" t="n"/>
      <c r="C187" s="129" t="n"/>
      <c r="D187" s="129"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row>
    <row r="188">
      <c r="A188" s="129" t="n"/>
      <c r="B188" s="129" t="n"/>
      <c r="C188" s="129" t="n"/>
      <c r="D188" s="129"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row>
    <row r="189">
      <c r="A189" s="129" t="n"/>
      <c r="B189" s="129" t="n"/>
      <c r="C189" s="129" t="n"/>
      <c r="D189" s="129"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row>
    <row r="190">
      <c r="A190" s="129" t="n"/>
      <c r="B190" s="129" t="n"/>
      <c r="C190" s="129" t="n"/>
      <c r="D190" s="129"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row>
    <row r="191">
      <c r="A191" s="129" t="n"/>
      <c r="B191" s="129" t="n"/>
      <c r="C191" s="129" t="n"/>
      <c r="D191" s="129"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row>
    <row r="192">
      <c r="A192" s="129" t="n"/>
      <c r="B192" s="129" t="n"/>
      <c r="C192" s="129" t="n"/>
      <c r="D192" s="129"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row>
    <row r="193">
      <c r="A193" s="129" t="n"/>
      <c r="B193" s="129" t="n"/>
      <c r="C193" s="129" t="n"/>
      <c r="D193" s="129"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row>
    <row r="194">
      <c r="A194" s="129" t="n"/>
      <c r="B194" s="129" t="n"/>
      <c r="C194" s="129" t="n"/>
      <c r="D194" s="129"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row>
    <row r="195">
      <c r="A195" s="129" t="n"/>
      <c r="B195" s="129" t="n"/>
      <c r="C195" s="129" t="n"/>
      <c r="D195" s="129"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row>
    <row r="196">
      <c r="A196" s="129" t="n"/>
      <c r="B196" s="129" t="n"/>
      <c r="C196" s="129" t="n"/>
      <c r="D196" s="129"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row>
    <row r="197">
      <c r="A197" s="129" t="n"/>
      <c r="B197" s="129" t="n"/>
      <c r="C197" s="129" t="n"/>
      <c r="D197" s="129"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row>
    <row r="198">
      <c r="A198" s="129" t="n"/>
      <c r="B198" s="129" t="n"/>
      <c r="C198" s="129" t="n"/>
      <c r="D198" s="129"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row>
    <row r="199">
      <c r="A199" s="129" t="n"/>
      <c r="B199" s="129" t="n"/>
      <c r="C199" s="129" t="n"/>
      <c r="D199" s="129"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row>
    <row r="200">
      <c r="A200" s="129" t="n"/>
      <c r="B200" s="129" t="n"/>
      <c r="C200" s="129" t="n"/>
      <c r="D200" s="129"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row>
    <row r="201">
      <c r="A201" s="129" t="n"/>
      <c r="B201" s="129" t="n"/>
      <c r="C201" s="129" t="n"/>
      <c r="D201" s="129"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row>
    <row r="202">
      <c r="A202" s="129" t="n"/>
      <c r="B202" s="129" t="n"/>
      <c r="C202" s="129" t="n"/>
      <c r="D202" s="129"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row>
    <row r="203">
      <c r="A203" s="129" t="n"/>
      <c r="B203" s="129" t="n"/>
      <c r="C203" s="129" t="n"/>
      <c r="D203" s="129"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row>
    <row r="204">
      <c r="A204" s="129" t="n"/>
      <c r="B204" s="129" t="n"/>
      <c r="C204" s="129" t="n"/>
      <c r="D204" s="129"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row>
    <row r="205">
      <c r="A205" s="129" t="n"/>
      <c r="B205" s="129" t="n"/>
      <c r="C205" s="129" t="n"/>
      <c r="D205" s="129"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row>
    <row r="206">
      <c r="A206" s="129" t="n"/>
      <c r="B206" s="129" t="n"/>
      <c r="C206" s="129" t="n"/>
      <c r="D206" s="129"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row>
    <row r="207">
      <c r="A207" s="129" t="n"/>
      <c r="B207" s="129" t="n"/>
      <c r="C207" s="129" t="n"/>
      <c r="D207" s="129"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row>
    <row r="208">
      <c r="A208" s="129" t="n"/>
      <c r="B208" s="129" t="n"/>
      <c r="C208" s="129" t="n"/>
      <c r="D208" s="129"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row>
    <row r="209">
      <c r="A209" s="129" t="n"/>
      <c r="B209" s="129" t="n"/>
      <c r="C209" s="129" t="n"/>
      <c r="D209" s="129"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row>
    <row r="210">
      <c r="A210" s="129" t="n"/>
      <c r="B210" s="129" t="n"/>
      <c r="C210" s="129" t="n"/>
      <c r="D210" s="129"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row>
    <row r="211">
      <c r="A211" s="129" t="n"/>
      <c r="B211" s="129" t="n"/>
      <c r="C211" s="129" t="n"/>
      <c r="D211" s="129"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row>
    <row r="212">
      <c r="A212" s="129" t="n"/>
      <c r="B212" s="129" t="n"/>
      <c r="C212" s="129" t="n"/>
      <c r="D212" s="129"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row>
    <row r="213">
      <c r="A213" s="129" t="n"/>
      <c r="B213" s="129" t="n"/>
      <c r="C213" s="129" t="n"/>
      <c r="D213" s="129"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row>
    <row r="214">
      <c r="A214" s="129" t="n"/>
      <c r="B214" s="129" t="n"/>
      <c r="C214" s="129" t="n"/>
      <c r="D214" s="129"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row>
    <row r="215">
      <c r="A215" s="129" t="n"/>
      <c r="B215" s="129" t="n"/>
      <c r="C215" s="129" t="n"/>
      <c r="D215" s="129"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row>
    <row r="216">
      <c r="A216" s="129" t="n"/>
      <c r="B216" s="129" t="n"/>
      <c r="C216" s="129" t="n"/>
      <c r="D216" s="129"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row>
    <row r="217">
      <c r="A217" s="129" t="n"/>
      <c r="B217" s="129" t="n"/>
      <c r="C217" s="129" t="n"/>
      <c r="D217" s="129"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row>
    <row r="218">
      <c r="A218" s="129" t="n"/>
      <c r="B218" s="129" t="n"/>
      <c r="C218" s="129" t="n"/>
      <c r="D218" s="129"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row>
    <row r="219">
      <c r="A219" s="129" t="n"/>
      <c r="B219" s="129" t="n"/>
      <c r="C219" s="129" t="n"/>
      <c r="D219" s="129"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row>
    <row r="220">
      <c r="A220" s="129" t="n"/>
      <c r="B220" s="129" t="n"/>
      <c r="C220" s="129" t="n"/>
      <c r="D220" s="129"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row>
    <row r="22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row>
    <row r="222">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row>
    <row r="223">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row>
    <row r="224">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row>
    <row r="225">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row>
    <row r="226">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row>
    <row r="227">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row>
    <row r="228">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row>
    <row r="229">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row>
    <row r="230">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row>
    <row r="23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row>
    <row r="232">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row>
    <row r="233">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row>
    <row r="234">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row>
    <row r="235">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row>
    <row r="236">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row>
    <row r="237">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row>
    <row r="238">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row>
    <row r="239">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row>
    <row r="240">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row>
    <row r="24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row>
    <row r="242">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row>
    <row r="243">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row>
    <row r="244">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row>
    <row r="245">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row>
    <row r="246">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row>
    <row r="247">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row>
    <row r="248">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row>
    <row r="249">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row>
    <row r="250">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row>
    <row r="25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row>
    <row r="252">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row>
    <row r="253">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row>
    <row r="254">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row>
    <row r="255">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row>
    <row r="256">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row>
    <row r="257">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row>
    <row r="258">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row>
    <row r="259">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row>
    <row r="260">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row>
    <row r="26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row>
    <row r="262">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row>
    <row r="263">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row>
    <row r="264">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row>
    <row r="265">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row>
    <row r="266">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row>
    <row r="267">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row>
    <row r="268">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row>
    <row r="269">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row>
    <row r="270">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row>
    <row r="27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row>
    <row r="272">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row>
    <row r="273">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row>
    <row r="274">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row>
    <row r="275">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row>
    <row r="276">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row>
    <row r="277">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row>
    <row r="278">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row>
    <row r="279">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row>
    <row r="280">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row>
    <row r="28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row>
    <row r="282">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row>
    <row r="283">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row>
    <row r="284">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row>
    <row r="285">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row>
    <row r="286">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row>
    <row r="287">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row>
    <row r="288">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row>
    <row r="289">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row>
    <row r="290">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row>
    <row r="29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row>
    <row r="292">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row>
    <row r="293">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row>
    <row r="294">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row>
    <row r="295">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row>
    <row r="296">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row>
    <row r="297">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row>
    <row r="298">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row>
    <row r="299">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row>
    <row r="300">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row>
    <row r="30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row>
    <row r="302">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row>
    <row r="303">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row>
    <row r="304">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row>
    <row r="305">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row>
    <row r="306">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row>
    <row r="307">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row>
    <row r="308">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row>
    <row r="309">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row>
    <row r="310">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row>
    <row r="3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row>
    <row r="312">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row>
    <row r="313">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row>
    <row r="314">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row>
    <row r="315">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row>
    <row r="316">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row>
    <row r="317">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row>
    <row r="318">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row>
    <row r="319">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row>
    <row r="320">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row>
    <row r="32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row>
    <row r="322">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row>
    <row r="323">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row>
    <row r="324">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row>
    <row r="325">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row>
    <row r="326">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row>
    <row r="327">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row>
    <row r="328">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row>
    <row r="329">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row>
    <row r="330">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row>
    <row r="33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row>
    <row r="332">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row>
    <row r="333">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row>
    <row r="334">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row>
    <row r="335">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row>
    <row r="336">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row>
    <row r="337">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row>
    <row r="338">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row>
    <row r="339">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row>
    <row r="340">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row>
    <row r="34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row>
    <row r="342">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row>
    <row r="343">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row>
    <row r="344">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row>
    <row r="345">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row>
    <row r="346">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row>
    <row r="347">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row>
    <row r="348">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row>
    <row r="349">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row>
    <row r="350">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row>
    <row r="35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row>
    <row r="352">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row>
    <row r="353">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row>
    <row r="354">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row>
    <row r="355">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row>
    <row r="356">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row>
    <row r="357">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row>
    <row r="358">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row>
    <row r="359">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row>
    <row r="360">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row>
    <row r="36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row>
    <row r="362">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row>
    <row r="363">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row>
    <row r="364">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row>
    <row r="365">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row>
    <row r="366">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row>
    <row r="367">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row>
    <row r="368">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row>
    <row r="369">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row>
    <row r="370">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row>
    <row r="37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row>
    <row r="372">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row>
    <row r="373">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row>
    <row r="374">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row>
    <row r="375">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row>
    <row r="376">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row>
    <row r="377">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row>
    <row r="378">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row>
    <row r="379">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row>
    <row r="380">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row>
    <row r="38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row>
    <row r="382">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row>
    <row r="383">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row>
    <row r="384">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row>
    <row r="385">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row>
    <row r="386">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row>
    <row r="387">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row>
    <row r="388">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row>
    <row r="389">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row>
    <row r="390">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row>
    <row r="39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row>
    <row r="392">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row>
    <row r="393">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row>
    <row r="394">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row>
    <row r="395">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row>
    <row r="396">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row>
    <row r="397">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row>
    <row r="398">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row>
    <row r="399">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row>
    <row r="400">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row>
    <row r="40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row>
    <row r="402">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row>
    <row r="403">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row>
    <row r="404">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row>
    <row r="405">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row>
    <row r="406">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row>
    <row r="407">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row>
    <row r="408">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row>
    <row r="409">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row>
    <row r="410">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row>
    <row r="4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row>
    <row r="412">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row>
    <row r="413">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row>
    <row r="414">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row>
    <row r="415">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row>
    <row r="416">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row>
    <row r="417">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row>
    <row r="418">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row>
    <row r="419">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row>
    <row r="420">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row>
    <row r="42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row>
    <row r="422">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row>
    <row r="423">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row>
    <row r="424">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row>
    <row r="425">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row>
    <row r="426">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row>
    <row r="427">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row>
    <row r="428">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row>
    <row r="429">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row>
    <row r="430">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row>
    <row r="43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row>
    <row r="432">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row>
    <row r="433">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row>
    <row r="434">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row>
    <row r="435">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row>
    <row r="436">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row>
    <row r="437">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row>
    <row r="438">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row>
    <row r="439">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row>
    <row r="440">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row>
    <row r="44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row>
    <row r="442">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row>
    <row r="443">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row>
    <row r="444">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row>
    <row r="445">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row>
    <row r="446">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row>
    <row r="447">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row>
    <row r="448">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row>
    <row r="449">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row>
    <row r="450">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row>
    <row r="45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row>
    <row r="452">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row>
    <row r="453">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row>
    <row r="454">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row>
    <row r="455">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row>
    <row r="456">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row>
    <row r="457">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row>
    <row r="458">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row>
    <row r="459">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row>
    <row r="460">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row>
    <row r="46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row>
    <row r="462">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row>
    <row r="463">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row>
    <row r="464">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row>
    <row r="465">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row>
    <row r="466">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row>
    <row r="467">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row>
    <row r="468">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row>
    <row r="469">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row>
    <row r="470">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row>
    <row r="47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row>
    <row r="472">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row>
    <row r="473">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row>
    <row r="474">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row>
    <row r="475">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row>
    <row r="476">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row>
    <row r="477">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row>
    <row r="478">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row>
    <row r="479">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row>
    <row r="480">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row>
    <row r="48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row>
    <row r="482">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row>
    <row r="483">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row>
    <row r="484">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row>
    <row r="485">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row>
    <row r="486">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row>
    <row r="487">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row>
    <row r="488">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row>
    <row r="489">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row>
    <row r="490">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row>
    <row r="49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row>
    <row r="492">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row>
    <row r="493">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row>
    <row r="494">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row>
    <row r="495">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row>
    <row r="496">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row>
    <row r="497">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row>
    <row r="498">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row>
    <row r="499">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row>
    <row r="500">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row>
    <row r="50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row>
    <row r="502">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row>
    <row r="503">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row>
    <row r="504">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row>
    <row r="505">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row>
    <row r="506">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row>
    <row r="507">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row>
    <row r="508">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row>
    <row r="509">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row>
    <row r="510">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row>
    <row r="5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row>
    <row r="512">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row>
    <row r="513">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row>
    <row r="514">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row>
    <row r="515">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row>
    <row r="516">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row>
    <row r="517">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row>
    <row r="518">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row>
    <row r="519">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row>
    <row r="520">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row>
    <row r="52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row>
    <row r="522">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row>
    <row r="523">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row>
    <row r="524">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row>
    <row r="525">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row>
    <row r="526">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row>
    <row r="527">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row>
    <row r="528">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row>
    <row r="529">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row>
    <row r="530">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row>
    <row r="53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row>
    <row r="532">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row>
    <row r="533">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row>
    <row r="534">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row>
    <row r="535">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row>
    <row r="536">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row>
    <row r="537">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row>
    <row r="538">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row>
    <row r="539">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row>
    <row r="540">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row>
    <row r="54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row>
    <row r="542">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row>
    <row r="543">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row>
    <row r="544">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row>
    <row r="545">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row>
    <row r="546">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row>
    <row r="547">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row>
    <row r="548">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row>
    <row r="549">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row>
    <row r="550">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row>
    <row r="55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row>
    <row r="552">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row>
    <row r="553">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row>
    <row r="554">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row>
    <row r="555">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row>
    <row r="556">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row>
    <row r="557">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row>
    <row r="558">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row>
    <row r="559">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row>
    <row r="560">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row>
    <row r="56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row>
    <row r="562">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row>
    <row r="563">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row>
    <row r="564">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row>
    <row r="565">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row>
    <row r="566">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row>
    <row r="567">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row>
    <row r="568">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row>
    <row r="569">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row>
    <row r="570">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row>
    <row r="57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row>
    <row r="572">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row>
    <row r="573">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row>
    <row r="574">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row>
    <row r="575">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row>
    <row r="576">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row>
    <row r="577">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row>
    <row r="578">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row>
    <row r="579">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row>
    <row r="580">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row>
    <row r="58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row>
    <row r="582">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row>
    <row r="583">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row>
    <row r="584">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row>
    <row r="585">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row>
    <row r="586">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row>
    <row r="587">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row>
    <row r="588">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row>
    <row r="589">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row>
    <row r="590">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row>
    <row r="59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row>
    <row r="592">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row>
    <row r="593">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row>
    <row r="594">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row>
    <row r="595">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row>
    <row r="596">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row>
    <row r="597">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row>
    <row r="598">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row>
    <row r="599">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row>
    <row r="600">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row>
    <row r="60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row>
    <row r="602">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row>
    <row r="603">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row>
    <row r="604">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row>
    <row r="605">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row>
    <row r="606">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row>
    <row r="607">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row>
    <row r="608">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row>
    <row r="609">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row>
    <row r="610">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row>
    <row r="6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row>
    <row r="612">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row>
    <row r="613">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row>
    <row r="614">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row>
    <row r="615">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row>
    <row r="616">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row>
    <row r="617">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row>
    <row r="618">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row>
    <row r="619">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row>
    <row r="620">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row>
    <row r="62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row>
    <row r="622">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row>
    <row r="623">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row>
    <row r="624">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row>
    <row r="625">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row>
    <row r="626">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row>
    <row r="627">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row>
    <row r="628">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row>
    <row r="629">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row>
    <row r="630">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row>
    <row r="63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row>
    <row r="632">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row>
    <row r="633">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row>
    <row r="634">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row>
    <row r="635">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row>
    <row r="636">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row>
    <row r="637">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row>
    <row r="638">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row>
    <row r="639">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row>
    <row r="640">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row>
    <row r="64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row>
    <row r="642">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row>
    <row r="643">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row>
    <row r="644">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row>
    <row r="645">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row>
    <row r="646">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row>
    <row r="647">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row>
    <row r="648">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row>
    <row r="649">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row>
    <row r="650">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row>
    <row r="65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row>
    <row r="652">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row>
    <row r="653">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row>
    <row r="654">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row>
    <row r="655">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row>
    <row r="656">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row>
    <row r="657">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row>
    <row r="658">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row>
    <row r="659">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row>
    <row r="660">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row>
    <row r="66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row>
    <row r="662">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row>
    <row r="663">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row>
    <row r="664">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row>
    <row r="665">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row>
    <row r="666">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row>
    <row r="667">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row>
    <row r="668">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row>
    <row r="669">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row>
    <row r="670">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row>
    <row r="67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row>
    <row r="672">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row>
    <row r="673">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row>
    <row r="674">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row>
    <row r="675">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row>
    <row r="676">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row>
    <row r="677">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row>
    <row r="678">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row>
    <row r="679">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row>
    <row r="680">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row>
    <row r="68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row>
    <row r="682">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row>
    <row r="683">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row>
    <row r="684">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row>
    <row r="685">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row>
    <row r="686">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row>
    <row r="687">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row>
    <row r="688">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row>
    <row r="689">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row>
    <row r="690">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row>
    <row r="69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row>
    <row r="692">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row>
    <row r="693">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row>
    <row r="694">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row>
    <row r="695">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row>
    <row r="696">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row>
    <row r="697">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row>
    <row r="698">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row>
    <row r="699">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row>
    <row r="700">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row>
    <row r="70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row>
    <row r="702">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row>
    <row r="703">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row>
    <row r="704">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row>
    <row r="705">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row>
    <row r="706">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row>
    <row r="707">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row>
    <row r="708">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row>
    <row r="709">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row>
    <row r="710">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row>
    <row r="7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row>
    <row r="712">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row>
    <row r="713">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row>
    <row r="714">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row>
    <row r="715">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row>
    <row r="716">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row>
    <row r="717">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row>
    <row r="718">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row>
    <row r="719">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row>
    <row r="720">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row>
    <row r="72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row>
    <row r="722">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row>
    <row r="723">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row>
    <row r="724">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row>
    <row r="725">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row>
    <row r="726">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row>
    <row r="727">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row>
    <row r="728">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row>
    <row r="729">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row>
    <row r="730">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row>
    <row r="73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row>
    <row r="732">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row>
    <row r="733">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row>
    <row r="734">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row>
    <row r="735">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row>
    <row r="736">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row>
    <row r="737">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row>
    <row r="738">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row>
    <row r="739">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row>
    <row r="740">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row>
    <row r="74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row>
    <row r="742">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row>
    <row r="743">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row>
    <row r="744">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row>
    <row r="745">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row>
    <row r="746">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row>
    <row r="747">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row>
    <row r="748">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row>
    <row r="749">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row>
    <row r="750">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row>
    <row r="75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row>
    <row r="752">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row>
    <row r="753">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row>
    <row r="754">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row>
    <row r="755">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row>
    <row r="756">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row>
    <row r="757">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row>
    <row r="758">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row>
    <row r="759">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row>
    <row r="760">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row>
    <row r="76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row>
    <row r="762">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row>
    <row r="763">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row>
    <row r="764">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row>
    <row r="765">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row>
    <row r="766">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row>
    <row r="767">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row>
    <row r="768">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row>
    <row r="769">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row>
    <row r="770">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row>
    <row r="77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row>
    <row r="772">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row>
    <row r="773">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row>
    <row r="774">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row>
    <row r="775">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row>
    <row r="776">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row>
    <row r="777">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row>
    <row r="778">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row>
    <row r="779">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row>
    <row r="780">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row>
    <row r="78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row>
    <row r="782">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row>
    <row r="783">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row>
    <row r="784">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row>
    <row r="785">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row>
    <row r="786">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row>
    <row r="787">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row>
    <row r="788">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row>
    <row r="789">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row>
    <row r="790">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row>
    <row r="79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row>
    <row r="792">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row>
    <row r="793">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row>
    <row r="794">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row>
    <row r="795">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row>
    <row r="796">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row>
    <row r="797">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row>
    <row r="798">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row>
    <row r="799">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row>
    <row r="800">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row>
    <row r="80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row>
    <row r="802">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row>
    <row r="803">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row>
    <row r="804">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row>
    <row r="805">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row>
    <row r="806">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row>
    <row r="807">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row>
    <row r="808">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row>
    <row r="809">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row>
    <row r="810">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row>
    <row r="8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row>
    <row r="812">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row>
    <row r="813">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row>
    <row r="814">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row>
    <row r="815">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row>
    <row r="816">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row>
    <row r="817">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row>
    <row r="818">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row>
    <row r="819">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row>
    <row r="820">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row>
    <row r="82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row>
    <row r="822">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row>
    <row r="823">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row>
    <row r="824">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row>
    <row r="825">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row>
    <row r="826">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row>
    <row r="827">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row>
    <row r="828">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row>
    <row r="829">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row>
    <row r="830">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row>
    <row r="83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row>
    <row r="832">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row>
    <row r="833">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row>
    <row r="834">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row>
    <row r="835">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row>
    <row r="836">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row>
    <row r="837">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row>
    <row r="838">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row>
    <row r="839">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row>
    <row r="840">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row>
    <row r="84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row>
    <row r="842">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row>
    <row r="843">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row>
    <row r="844">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row>
    <row r="845">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row>
    <row r="846">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row>
    <row r="847">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row>
    <row r="848">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row>
    <row r="849">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row>
    <row r="850">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row>
    <row r="85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row>
    <row r="852">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row>
    <row r="853">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row>
    <row r="854">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row>
    <row r="855">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row>
    <row r="856">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row>
    <row r="857">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row>
    <row r="858">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row>
    <row r="859">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row>
    <row r="860">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row>
    <row r="86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row>
    <row r="862">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row>
    <row r="863">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row>
    <row r="864">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row>
    <row r="865">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row>
    <row r="866">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row>
    <row r="867">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row>
    <row r="868">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row>
    <row r="869">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row>
    <row r="870">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row>
    <row r="87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row>
    <row r="872">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row>
    <row r="873">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row>
    <row r="874">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row>
    <row r="875">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row>
    <row r="876">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row>
    <row r="877">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row>
    <row r="878">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row>
    <row r="879">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row>
    <row r="880">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row>
    <row r="88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row>
    <row r="882">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row>
    <row r="883">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row>
    <row r="884">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row>
    <row r="885">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row>
    <row r="886">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row>
    <row r="887">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row>
    <row r="888">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row>
    <row r="889">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row>
    <row r="890">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row>
    <row r="89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row>
    <row r="892">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row>
    <row r="893">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row>
    <row r="894">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row>
    <row r="895">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row>
    <row r="896">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row>
    <row r="897">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row>
    <row r="898">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row>
    <row r="899">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row>
    <row r="900">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row>
    <row r="90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row>
    <row r="902">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row>
    <row r="903">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row>
    <row r="904">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row>
    <row r="905">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row>
    <row r="906">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row>
    <row r="907">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row>
    <row r="908">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row>
    <row r="909">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row>
    <row r="910">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row>
    <row r="9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row>
    <row r="912">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row>
    <row r="913">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row>
    <row r="914">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row>
    <row r="915">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row>
    <row r="916">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row>
    <row r="917">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row>
    <row r="918">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row>
    <row r="919">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row>
    <row r="920">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row>
    <row r="92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row>
    <row r="922">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row>
    <row r="923">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row>
    <row r="924">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row>
    <row r="925">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row>
    <row r="926">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row>
    <row r="927">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row>
    <row r="928">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row>
    <row r="929">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row>
    <row r="930">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row>
    <row r="93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row>
    <row r="932">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row>
    <row r="933">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row>
    <row r="934">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row>
    <row r="935">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row>
    <row r="936">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row>
    <row r="937">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row>
    <row r="938">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row>
    <row r="939">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row>
    <row r="940">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row>
    <row r="94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row>
    <row r="942">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row>
    <row r="943">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row>
    <row r="944">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row>
    <row r="945">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row>
    <row r="946">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row>
    <row r="947">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row>
    <row r="948">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row>
    <row r="949">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row>
    <row r="950">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row>
    <row r="95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row>
    <row r="952">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row>
    <row r="953">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row>
    <row r="954">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row>
    <row r="955">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row>
    <row r="956">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row>
    <row r="957">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row>
    <row r="958">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row>
    <row r="959">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row>
    <row r="960">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row>
    <row r="96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row>
    <row r="962">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row>
    <row r="963">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row>
    <row r="964">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row>
    <row r="965">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row>
    <row r="966">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row>
    <row r="967">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row>
    <row r="968">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row>
    <row r="969">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row>
    <row r="970">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row>
    <row r="97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row>
    <row r="972">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row>
    <row r="973">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row>
    <row r="974">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row>
    <row r="975">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row>
    <row r="976">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row>
    <row r="977">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row>
    <row r="978">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row>
    <row r="979">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row>
    <row r="980">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row>
    <row r="98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row>
    <row r="982">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row>
    <row r="983">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row>
    <row r="984">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row>
    <row r="985">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row>
    <row r="986">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row>
    <row r="987">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row>
    <row r="988">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row>
    <row r="989">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row>
    <row r="990">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row>
    <row r="99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row>
    <row r="992">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row>
    <row r="993">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row>
    <row r="994">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row>
    <row r="995">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row>
    <row r="996">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row>
    <row r="997">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row>
    <row r="998">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0" summaryRight="0"/>
    <pageSetUpPr/>
  </sheetPr>
  <dimension ref="A1:AB996"/>
  <sheetViews>
    <sheetView workbookViewId="0">
      <selection activeCell="A1" sqref="A1"/>
    </sheetView>
  </sheetViews>
  <sheetFormatPr baseColWidth="8" defaultColWidth="12.63" defaultRowHeight="15.75" customHeight="1"/>
  <sheetData>
    <row r="1">
      <c r="A1" s="757" t="n"/>
      <c r="B1" s="758" t="inlineStr">
        <is>
          <t>50 Free</t>
        </is>
      </c>
      <c r="C1" s="758" t="inlineStr">
        <is>
          <t>100 Free</t>
        </is>
      </c>
      <c r="D1" s="758" t="inlineStr">
        <is>
          <t>200 Free</t>
        </is>
      </c>
      <c r="E1" s="758" t="inlineStr">
        <is>
          <t>400 Free</t>
        </is>
      </c>
      <c r="F1" s="758" t="inlineStr">
        <is>
          <t>800 Free</t>
        </is>
      </c>
      <c r="G1" s="758" t="inlineStr">
        <is>
          <t>1500 Free</t>
        </is>
      </c>
      <c r="H1" s="758" t="inlineStr">
        <is>
          <t>50 Back</t>
        </is>
      </c>
      <c r="I1" s="758" t="inlineStr">
        <is>
          <t>100 Back</t>
        </is>
      </c>
      <c r="J1" s="758" t="inlineStr">
        <is>
          <t>200 Back</t>
        </is>
      </c>
      <c r="K1" s="758" t="inlineStr">
        <is>
          <t>50 Breast</t>
        </is>
      </c>
      <c r="L1" s="758" t="inlineStr">
        <is>
          <t>100 Breast</t>
        </is>
      </c>
      <c r="M1" s="758" t="inlineStr">
        <is>
          <t>200 Breast</t>
        </is>
      </c>
      <c r="N1" s="758" t="inlineStr">
        <is>
          <t>50 Fly</t>
        </is>
      </c>
      <c r="O1" s="758" t="inlineStr">
        <is>
          <t>100 Fly</t>
        </is>
      </c>
      <c r="P1" s="758" t="inlineStr">
        <is>
          <t>200 Fly</t>
        </is>
      </c>
      <c r="Q1" s="758" t="inlineStr">
        <is>
          <t>200 IM</t>
        </is>
      </c>
      <c r="R1" s="758" t="inlineStr">
        <is>
          <t>400 IM</t>
        </is>
      </c>
      <c r="S1" s="759" t="n"/>
      <c r="T1" s="757" t="n"/>
      <c r="U1" s="757" t="n"/>
      <c r="V1" s="757" t="n"/>
      <c r="W1" s="757" t="n"/>
      <c r="X1" s="757" t="n"/>
      <c r="Y1" s="757" t="n"/>
      <c r="Z1" s="757" t="n"/>
      <c r="AA1" s="757" t="n"/>
      <c r="AB1" s="757" t="n"/>
    </row>
    <row r="2">
      <c r="A2" s="760" t="inlineStr">
        <is>
          <t>Male</t>
        </is>
      </c>
      <c r="B2" s="758" t="n">
        <v>20.91</v>
      </c>
      <c r="C2" s="758" t="n">
        <v>46.4</v>
      </c>
      <c r="D2" s="758" t="n">
        <v>102</v>
      </c>
      <c r="E2" s="758" t="n">
        <v>220.07</v>
      </c>
      <c r="F2" s="758" t="n">
        <v>452.12</v>
      </c>
      <c r="G2" s="758" t="n">
        <v>870.67</v>
      </c>
      <c r="H2" s="758" t="n">
        <v>23.55</v>
      </c>
      <c r="I2" s="758" t="n">
        <v>51.6</v>
      </c>
      <c r="J2" s="758" t="n">
        <v>111.92</v>
      </c>
      <c r="K2" s="758" t="n">
        <v>25.95</v>
      </c>
      <c r="L2" s="758" t="n">
        <v>56.88</v>
      </c>
      <c r="M2" s="758" t="n">
        <v>125.48</v>
      </c>
      <c r="N2" s="758" t="n">
        <v>22.27</v>
      </c>
      <c r="O2" s="758" t="n">
        <v>49.45</v>
      </c>
      <c r="P2" s="758" t="n">
        <v>110.34</v>
      </c>
      <c r="Q2" s="758" t="n">
        <v>114</v>
      </c>
      <c r="R2" s="758" t="n">
        <v>242.5</v>
      </c>
      <c r="S2" s="759" t="n"/>
      <c r="T2" s="757" t="n"/>
      <c r="U2" s="757" t="n"/>
      <c r="V2" s="757" t="n"/>
      <c r="W2" s="757" t="n"/>
      <c r="X2" s="757" t="n"/>
      <c r="Y2" s="757" t="n"/>
      <c r="Z2" s="757" t="n"/>
      <c r="AA2" s="757" t="n"/>
      <c r="AB2" s="757" t="n"/>
    </row>
    <row r="3">
      <c r="A3" s="760" t="inlineStr">
        <is>
          <t>Female</t>
        </is>
      </c>
      <c r="B3" s="761" t="n">
        <v>23.61</v>
      </c>
      <c r="C3" s="761" t="n">
        <v>51.71</v>
      </c>
      <c r="D3" s="761" t="n">
        <v>112.23</v>
      </c>
      <c r="E3" s="761" t="n">
        <v>235.38</v>
      </c>
      <c r="F3" s="761" t="n">
        <v>484.79</v>
      </c>
      <c r="G3" s="761" t="n">
        <v>920.48</v>
      </c>
      <c r="H3" s="761" t="n">
        <v>26.86</v>
      </c>
      <c r="I3" s="761" t="n">
        <v>57.13</v>
      </c>
      <c r="J3" s="761" t="n">
        <v>123.14</v>
      </c>
      <c r="K3" s="761" t="n">
        <v>29.16</v>
      </c>
      <c r="L3" s="761" t="n">
        <v>64.13</v>
      </c>
      <c r="M3" s="761" t="n">
        <v>137.55</v>
      </c>
      <c r="N3" s="761" t="n">
        <v>24.43</v>
      </c>
      <c r="O3" s="761" t="n">
        <v>55.18</v>
      </c>
      <c r="P3" s="761" t="n">
        <v>121.81</v>
      </c>
      <c r="Q3" s="761" t="n">
        <v>126.12</v>
      </c>
      <c r="R3" s="761" t="n">
        <v>264.38</v>
      </c>
      <c r="S3" s="761" t="n">
        <v>258.94</v>
      </c>
      <c r="T3" s="757" t="n"/>
      <c r="U3" s="757" t="n"/>
      <c r="V3" s="757" t="n"/>
      <c r="W3" s="757" t="n"/>
      <c r="X3" s="757" t="n"/>
      <c r="Y3" s="757" t="n"/>
      <c r="Z3" s="757" t="n"/>
      <c r="AA3" s="757" t="n"/>
      <c r="AB3" s="762" t="n"/>
    </row>
    <row r="4">
      <c r="A4" s="757" t="n"/>
      <c r="B4" s="757" t="n"/>
      <c r="C4" s="702" t="n"/>
      <c r="D4" s="702" t="n"/>
      <c r="E4" s="702" t="n"/>
      <c r="F4" s="702" t="n"/>
      <c r="G4" s="702" t="n"/>
      <c r="H4" s="757" t="n"/>
      <c r="I4" s="702" t="n"/>
      <c r="J4" s="702" t="n"/>
      <c r="K4" s="702" t="n"/>
      <c r="L4" s="757" t="n"/>
      <c r="M4" s="757" t="n"/>
      <c r="N4" s="757" t="n"/>
      <c r="O4" s="702" t="n"/>
      <c r="P4" s="702" t="n"/>
      <c r="Q4" s="757" t="n"/>
      <c r="R4" s="702" t="n"/>
      <c r="S4" s="762" t="n"/>
      <c r="T4" s="702" t="n"/>
      <c r="U4" s="702" t="n"/>
      <c r="V4" s="702" t="n"/>
      <c r="W4" s="702" t="n"/>
      <c r="X4" s="702" t="n"/>
      <c r="Y4" s="702" t="n"/>
      <c r="Z4" s="702" t="n"/>
      <c r="AA4" s="702" t="n"/>
      <c r="AB4" s="702" t="n"/>
    </row>
    <row r="5">
      <c r="A5" s="757" t="n"/>
      <c r="B5" s="757" t="n"/>
      <c r="C5" s="702" t="n"/>
      <c r="D5" s="702" t="n"/>
      <c r="E5" s="702" t="n"/>
      <c r="F5" s="702" t="n"/>
      <c r="G5" s="702" t="n"/>
      <c r="H5" s="757" t="n"/>
      <c r="I5" s="702" t="n"/>
      <c r="J5" s="702" t="n"/>
      <c r="K5" s="702" t="n"/>
      <c r="L5" s="757" t="n"/>
      <c r="M5" s="757" t="n"/>
      <c r="N5" s="757" t="n"/>
      <c r="O5" s="702" t="n"/>
      <c r="P5" s="702" t="n"/>
      <c r="Q5" s="757" t="n"/>
      <c r="R5" s="702" t="n"/>
      <c r="S5" s="762" t="n"/>
      <c r="T5" s="702" t="n"/>
      <c r="U5" s="702" t="n"/>
      <c r="V5" s="702" t="n"/>
      <c r="W5" s="702" t="n"/>
      <c r="X5" s="702" t="n"/>
      <c r="Y5" s="702" t="n"/>
      <c r="Z5" s="702" t="n"/>
      <c r="AA5" s="702" t="n"/>
      <c r="AB5" s="702" t="n"/>
    </row>
    <row r="6">
      <c r="A6" s="757" t="n"/>
      <c r="B6" s="757" t="n"/>
      <c r="C6" s="702" t="n"/>
      <c r="D6" s="702" t="n"/>
      <c r="E6" s="702" t="n"/>
      <c r="F6" s="702" t="n"/>
      <c r="G6" s="702" t="n"/>
      <c r="H6" s="757" t="n"/>
      <c r="I6" s="702" t="n"/>
      <c r="J6" s="702" t="n"/>
      <c r="K6" s="702" t="n"/>
      <c r="L6" s="757" t="n"/>
      <c r="M6" s="757" t="n"/>
      <c r="N6" s="757" t="n"/>
      <c r="O6" s="702" t="n"/>
      <c r="P6" s="702" t="n"/>
      <c r="Q6" s="757" t="n"/>
      <c r="R6" s="702" t="n"/>
      <c r="S6" s="762" t="n"/>
      <c r="T6" s="702" t="n"/>
      <c r="U6" s="702" t="n"/>
      <c r="V6" s="702" t="n"/>
      <c r="W6" s="702" t="n"/>
      <c r="X6" s="702" t="n"/>
      <c r="Y6" s="702" t="n"/>
      <c r="Z6" s="702" t="n"/>
      <c r="AA6" s="702" t="n"/>
      <c r="AB6" s="702" t="n"/>
    </row>
    <row r="7">
      <c r="A7" s="757" t="n"/>
      <c r="B7" s="757" t="n"/>
      <c r="C7" s="702" t="n"/>
      <c r="D7" s="702" t="n"/>
      <c r="E7" s="702" t="n"/>
      <c r="F7" s="702" t="n"/>
      <c r="G7" s="702" t="n"/>
      <c r="H7" s="757" t="n"/>
      <c r="I7" s="702" t="n"/>
      <c r="J7" s="702" t="n"/>
      <c r="K7" s="702" t="n"/>
      <c r="L7" s="757" t="n"/>
      <c r="M7" s="757" t="n"/>
      <c r="N7" s="757" t="n"/>
      <c r="O7" s="702" t="n"/>
      <c r="P7" s="702" t="n"/>
      <c r="Q7" s="757" t="n"/>
      <c r="R7" s="702" t="n"/>
      <c r="S7" s="762" t="n"/>
      <c r="T7" s="702" t="n"/>
      <c r="U7" s="702" t="n"/>
      <c r="V7" s="702" t="n"/>
      <c r="W7" s="702" t="n"/>
      <c r="X7" s="702" t="n"/>
      <c r="Y7" s="702" t="n"/>
      <c r="Z7" s="702" t="n"/>
      <c r="AA7" s="702" t="n"/>
      <c r="AB7" s="702" t="n"/>
    </row>
    <row r="8">
      <c r="A8" s="757" t="n"/>
      <c r="B8" s="757" t="n"/>
      <c r="C8" s="702" t="n"/>
      <c r="D8" s="702" t="n"/>
      <c r="E8" s="702" t="n"/>
      <c r="F8" s="702" t="n"/>
      <c r="G8" s="702" t="n"/>
      <c r="H8" s="757" t="n"/>
      <c r="I8" s="702" t="n"/>
      <c r="J8" s="702" t="n"/>
      <c r="K8" s="702" t="n"/>
      <c r="L8" s="757" t="n"/>
      <c r="M8" s="757" t="n"/>
      <c r="N8" s="757" t="n"/>
      <c r="O8" s="702" t="n"/>
      <c r="P8" s="702" t="n"/>
      <c r="Q8" s="757" t="n"/>
      <c r="R8" s="702" t="n"/>
      <c r="S8" s="762" t="n"/>
      <c r="T8" s="702" t="n"/>
      <c r="U8" s="702" t="n"/>
      <c r="V8" s="702" t="n"/>
      <c r="W8" s="702" t="n"/>
      <c r="X8" s="702" t="n"/>
      <c r="Y8" s="702" t="n"/>
      <c r="Z8" s="702" t="n"/>
      <c r="AA8" s="702" t="n"/>
      <c r="AB8" s="702" t="n"/>
    </row>
    <row r="9">
      <c r="A9" s="757" t="n"/>
      <c r="B9" s="757" t="n"/>
      <c r="C9" s="702" t="n"/>
      <c r="D9" s="702" t="n"/>
      <c r="E9" s="702" t="n"/>
      <c r="F9" s="702" t="n"/>
      <c r="G9" s="702" t="n"/>
      <c r="H9" s="757" t="n"/>
      <c r="I9" s="702" t="n"/>
      <c r="J9" s="702" t="n"/>
      <c r="K9" s="702" t="n"/>
      <c r="L9" s="757" t="n"/>
      <c r="M9" s="757" t="n"/>
      <c r="N9" s="757" t="n"/>
      <c r="O9" s="702" t="n"/>
      <c r="P9" s="702" t="n"/>
      <c r="Q9" s="757" t="n"/>
      <c r="R9" s="702" t="n"/>
      <c r="S9" s="762" t="n"/>
      <c r="T9" s="702" t="n"/>
      <c r="U9" s="702" t="n"/>
      <c r="V9" s="702" t="n"/>
      <c r="W9" s="702" t="n"/>
      <c r="X9" s="702" t="n"/>
      <c r="Y9" s="702" t="n"/>
      <c r="Z9" s="702" t="n"/>
      <c r="AA9" s="702" t="n"/>
      <c r="AB9" s="702" t="n"/>
    </row>
    <row r="10">
      <c r="A10" s="757" t="n"/>
      <c r="B10" s="757" t="n"/>
      <c r="C10" s="702" t="n"/>
      <c r="D10" s="702" t="n"/>
      <c r="E10" s="702" t="n"/>
      <c r="F10" s="702" t="n"/>
      <c r="G10" s="702" t="n"/>
      <c r="H10" s="757" t="n"/>
      <c r="I10" s="702" t="n"/>
      <c r="J10" s="702" t="n"/>
      <c r="K10" s="702" t="n"/>
      <c r="L10" s="757" t="n"/>
      <c r="M10" s="757" t="n"/>
      <c r="N10" s="757" t="n"/>
      <c r="O10" s="702" t="n"/>
      <c r="P10" s="702" t="n"/>
      <c r="Q10" s="757" t="n"/>
      <c r="R10" s="702" t="n"/>
      <c r="S10" s="762" t="n"/>
      <c r="T10" s="702" t="n"/>
      <c r="U10" s="702" t="n"/>
      <c r="V10" s="702" t="n"/>
      <c r="W10" s="702" t="n"/>
      <c r="X10" s="702" t="n"/>
      <c r="Y10" s="702" t="n"/>
      <c r="Z10" s="702" t="n"/>
      <c r="AA10" s="702" t="n"/>
      <c r="AB10" s="702" t="n"/>
    </row>
    <row r="11">
      <c r="A11" s="757" t="n"/>
      <c r="B11" s="757" t="n"/>
      <c r="C11" s="702" t="n"/>
      <c r="D11" s="702" t="n"/>
      <c r="E11" s="702" t="n"/>
      <c r="F11" s="702" t="n"/>
      <c r="G11" s="702" t="n"/>
      <c r="H11" s="757" t="n"/>
      <c r="I11" s="702" t="n"/>
      <c r="J11" s="702" t="n"/>
      <c r="K11" s="702" t="n"/>
      <c r="L11" s="757" t="n"/>
      <c r="M11" s="757" t="n"/>
      <c r="N11" s="757" t="n"/>
      <c r="O11" s="702" t="n"/>
      <c r="P11" s="702" t="n"/>
      <c r="Q11" s="757" t="n"/>
      <c r="R11" s="702" t="n"/>
      <c r="S11" s="762" t="n"/>
      <c r="T11" s="702" t="n"/>
      <c r="U11" s="702" t="n"/>
      <c r="V11" s="702" t="n"/>
      <c r="W11" s="702" t="n"/>
      <c r="X11" s="702" t="n"/>
      <c r="Y11" s="702" t="n"/>
      <c r="Z11" s="702" t="n"/>
      <c r="AA11" s="702" t="n"/>
      <c r="AB11" s="702" t="n"/>
    </row>
    <row r="12">
      <c r="A12" s="757" t="n"/>
      <c r="B12" s="757" t="n"/>
      <c r="C12" s="702" t="n"/>
      <c r="D12" s="702" t="n"/>
      <c r="E12" s="702" t="n"/>
      <c r="F12" s="702" t="n"/>
      <c r="G12" s="702" t="n"/>
      <c r="H12" s="757" t="n"/>
      <c r="I12" s="702" t="n"/>
      <c r="J12" s="702" t="n"/>
      <c r="K12" s="702" t="n"/>
      <c r="L12" s="757" t="n"/>
      <c r="M12" s="757" t="n"/>
      <c r="N12" s="757" t="n"/>
      <c r="O12" s="702" t="n"/>
      <c r="P12" s="702" t="n"/>
      <c r="Q12" s="757" t="n"/>
      <c r="R12" s="702" t="n"/>
      <c r="S12" s="762" t="n"/>
      <c r="T12" s="702" t="n"/>
      <c r="U12" s="702" t="n"/>
      <c r="V12" s="702" t="n"/>
      <c r="W12" s="702" t="n"/>
      <c r="X12" s="702" t="n"/>
      <c r="Y12" s="702" t="n"/>
      <c r="Z12" s="702" t="n"/>
      <c r="AA12" s="702" t="n"/>
      <c r="AB12" s="702" t="n"/>
    </row>
    <row r="13">
      <c r="A13" s="757" t="n"/>
      <c r="B13" s="757" t="n"/>
      <c r="C13" s="702" t="n"/>
      <c r="D13" s="702" t="n"/>
      <c r="E13" s="702" t="n"/>
      <c r="F13" s="702" t="n"/>
      <c r="G13" s="702" t="n"/>
      <c r="H13" s="757" t="n"/>
      <c r="I13" s="702" t="n"/>
      <c r="J13" s="702" t="n"/>
      <c r="K13" s="702" t="n"/>
      <c r="L13" s="757" t="n"/>
      <c r="M13" s="757" t="n"/>
      <c r="N13" s="757" t="n"/>
      <c r="O13" s="702" t="n"/>
      <c r="P13" s="702" t="n"/>
      <c r="Q13" s="757" t="n"/>
      <c r="R13" s="702" t="n"/>
      <c r="S13" s="762" t="n"/>
      <c r="T13" s="702" t="n"/>
      <c r="U13" s="702" t="n"/>
      <c r="V13" s="702" t="n"/>
      <c r="W13" s="702" t="n"/>
      <c r="X13" s="702" t="n"/>
      <c r="Y13" s="702" t="n"/>
      <c r="Z13" s="702" t="n"/>
      <c r="AA13" s="702" t="n"/>
      <c r="AB13" s="702" t="n"/>
    </row>
    <row r="14">
      <c r="A14" s="757" t="n"/>
      <c r="B14" s="757" t="n"/>
      <c r="C14" s="702" t="n"/>
      <c r="D14" s="702" t="n"/>
      <c r="E14" s="702" t="n"/>
      <c r="F14" s="702" t="n"/>
      <c r="G14" s="702" t="n"/>
      <c r="H14" s="757" t="n"/>
      <c r="I14" s="702" t="n"/>
      <c r="J14" s="702" t="n"/>
      <c r="K14" s="702" t="n"/>
      <c r="L14" s="757" t="n"/>
      <c r="M14" s="757" t="n"/>
      <c r="N14" s="757" t="n"/>
      <c r="O14" s="702" t="n"/>
      <c r="P14" s="702" t="n"/>
      <c r="Q14" s="757" t="n"/>
      <c r="R14" s="702" t="n"/>
      <c r="S14" s="762" t="n"/>
      <c r="T14" s="702" t="n"/>
      <c r="U14" s="702" t="n"/>
      <c r="V14" s="702" t="n"/>
      <c r="W14" s="702" t="n"/>
      <c r="X14" s="702" t="n"/>
      <c r="Y14" s="702" t="n"/>
      <c r="Z14" s="702" t="n"/>
      <c r="AA14" s="702" t="n"/>
      <c r="AB14" s="702" t="n"/>
    </row>
    <row r="15">
      <c r="A15" s="757" t="n"/>
      <c r="B15" s="757" t="n"/>
      <c r="C15" s="702" t="n"/>
      <c r="D15" s="702" t="n"/>
      <c r="E15" s="702" t="n"/>
      <c r="F15" s="702" t="n"/>
      <c r="G15" s="702" t="n"/>
      <c r="H15" s="757" t="n"/>
      <c r="I15" s="702" t="n"/>
      <c r="J15" s="702" t="n"/>
      <c r="K15" s="702" t="n"/>
      <c r="L15" s="757" t="n"/>
      <c r="M15" s="757" t="n"/>
      <c r="N15" s="757" t="n"/>
      <c r="O15" s="702" t="n"/>
      <c r="P15" s="702" t="n"/>
      <c r="Q15" s="757" t="n"/>
      <c r="R15" s="702" t="n"/>
      <c r="S15" s="762" t="n"/>
      <c r="T15" s="702" t="n"/>
      <c r="U15" s="702" t="n"/>
      <c r="V15" s="702" t="n"/>
      <c r="W15" s="702" t="n"/>
      <c r="X15" s="702" t="n"/>
      <c r="Y15" s="702" t="n"/>
      <c r="Z15" s="702" t="n"/>
      <c r="AA15" s="702" t="n"/>
      <c r="AB15" s="702" t="n"/>
    </row>
    <row r="16">
      <c r="A16" s="757" t="n"/>
      <c r="B16" s="757" t="n"/>
      <c r="C16" s="702" t="n"/>
      <c r="D16" s="702" t="n"/>
      <c r="E16" s="702" t="n"/>
      <c r="F16" s="702" t="n"/>
      <c r="G16" s="702" t="n"/>
      <c r="H16" s="757" t="n"/>
      <c r="I16" s="702" t="n"/>
      <c r="J16" s="702" t="n"/>
      <c r="K16" s="702" t="n"/>
      <c r="L16" s="757" t="n"/>
      <c r="M16" s="757" t="n"/>
      <c r="N16" s="757" t="n"/>
      <c r="O16" s="702" t="n"/>
      <c r="P16" s="702" t="n"/>
      <c r="Q16" s="757" t="n"/>
      <c r="R16" s="702" t="n"/>
      <c r="S16" s="762" t="n"/>
      <c r="T16" s="702" t="n"/>
      <c r="U16" s="702" t="n"/>
      <c r="V16" s="702" t="n"/>
      <c r="W16" s="702" t="n"/>
      <c r="X16" s="702" t="n"/>
      <c r="Y16" s="702" t="n"/>
      <c r="Z16" s="702" t="n"/>
      <c r="AA16" s="702" t="n"/>
      <c r="AB16" s="702" t="n"/>
    </row>
    <row r="17">
      <c r="A17" s="757" t="n"/>
      <c r="B17" s="757" t="n"/>
      <c r="C17" s="702" t="n"/>
      <c r="D17" s="702" t="n"/>
      <c r="E17" s="702" t="n"/>
      <c r="F17" s="702" t="n"/>
      <c r="G17" s="702" t="n"/>
      <c r="H17" s="757" t="n"/>
      <c r="I17" s="702" t="n"/>
      <c r="J17" s="702" t="n"/>
      <c r="K17" s="702" t="n"/>
      <c r="L17" s="757" t="n"/>
      <c r="M17" s="757" t="n"/>
      <c r="N17" s="757" t="n"/>
      <c r="O17" s="702" t="n"/>
      <c r="P17" s="702" t="n"/>
      <c r="Q17" s="757" t="n"/>
      <c r="R17" s="702" t="n"/>
      <c r="S17" s="762" t="n"/>
      <c r="T17" s="702" t="n"/>
      <c r="U17" s="702" t="n"/>
      <c r="V17" s="702" t="n"/>
      <c r="W17" s="702" t="n"/>
      <c r="X17" s="702" t="n"/>
      <c r="Y17" s="702" t="n"/>
      <c r="Z17" s="702" t="n"/>
      <c r="AA17" s="702" t="n"/>
      <c r="AB17" s="702" t="n"/>
    </row>
    <row r="18">
      <c r="A18" s="757" t="n"/>
      <c r="B18" s="757" t="n"/>
      <c r="C18" s="702" t="n"/>
      <c r="D18" s="702" t="n"/>
      <c r="E18" s="702" t="n"/>
      <c r="F18" s="702" t="n"/>
      <c r="G18" s="702" t="n"/>
      <c r="H18" s="757" t="n"/>
      <c r="I18" s="702" t="n"/>
      <c r="J18" s="702" t="n"/>
      <c r="K18" s="702" t="n"/>
      <c r="L18" s="757" t="n"/>
      <c r="M18" s="757" t="n"/>
      <c r="N18" s="757" t="n"/>
      <c r="O18" s="702" t="n"/>
      <c r="P18" s="702" t="n"/>
      <c r="Q18" s="757" t="n"/>
      <c r="R18" s="702" t="n"/>
      <c r="S18" s="762" t="n"/>
      <c r="T18" s="702" t="n"/>
      <c r="U18" s="702" t="n"/>
      <c r="V18" s="702" t="n"/>
      <c r="W18" s="702" t="n"/>
      <c r="X18" s="702" t="n"/>
      <c r="Y18" s="702" t="n"/>
      <c r="Z18" s="702" t="n"/>
      <c r="AA18" s="702" t="n"/>
      <c r="AB18" s="702" t="n"/>
    </row>
    <row r="19">
      <c r="A19" s="757" t="n"/>
      <c r="B19" s="757" t="n"/>
      <c r="C19" s="702" t="n"/>
      <c r="D19" s="702" t="n"/>
      <c r="E19" s="702" t="n"/>
      <c r="F19" s="702" t="n"/>
      <c r="G19" s="702" t="n"/>
      <c r="H19" s="757" t="n"/>
      <c r="I19" s="702" t="n"/>
      <c r="J19" s="702" t="n"/>
      <c r="K19" s="702" t="n"/>
      <c r="L19" s="757" t="n"/>
      <c r="M19" s="757" t="n"/>
      <c r="N19" s="757" t="n"/>
      <c r="O19" s="702" t="n"/>
      <c r="P19" s="702" t="n"/>
      <c r="Q19" s="757" t="n"/>
      <c r="R19" s="702" t="n"/>
      <c r="S19" s="762" t="n"/>
      <c r="T19" s="702" t="n"/>
      <c r="U19" s="702" t="n"/>
      <c r="V19" s="702" t="n"/>
      <c r="W19" s="702" t="n"/>
      <c r="X19" s="702" t="n"/>
      <c r="Y19" s="702" t="n"/>
      <c r="Z19" s="702" t="n"/>
      <c r="AA19" s="702" t="n"/>
      <c r="AB19" s="702" t="n"/>
    </row>
    <row r="20">
      <c r="A20" s="757" t="n"/>
      <c r="B20" s="757" t="n"/>
      <c r="C20" s="702" t="n"/>
      <c r="D20" s="702" t="n"/>
      <c r="E20" s="702" t="n"/>
      <c r="F20" s="702" t="n"/>
      <c r="G20" s="702" t="n"/>
      <c r="H20" s="757" t="n"/>
      <c r="I20" s="702" t="n"/>
      <c r="J20" s="702" t="n"/>
      <c r="K20" s="702" t="n"/>
      <c r="L20" s="757" t="n"/>
      <c r="M20" s="757" t="n"/>
      <c r="N20" s="757" t="n"/>
      <c r="O20" s="702" t="n"/>
      <c r="P20" s="702" t="n"/>
      <c r="Q20" s="757" t="n"/>
      <c r="R20" s="702" t="n"/>
      <c r="S20" s="762" t="n"/>
      <c r="T20" s="702" t="n"/>
      <c r="U20" s="702" t="n"/>
      <c r="V20" s="702" t="n"/>
      <c r="W20" s="702" t="n"/>
      <c r="X20" s="702" t="n"/>
      <c r="Y20" s="702" t="n"/>
      <c r="Z20" s="702" t="n"/>
      <c r="AA20" s="702" t="n"/>
      <c r="AB20" s="702" t="n"/>
    </row>
    <row r="21">
      <c r="A21" s="757" t="n"/>
      <c r="B21" s="757" t="n"/>
      <c r="C21" s="702" t="n"/>
      <c r="D21" s="702" t="n"/>
      <c r="E21" s="702" t="n"/>
      <c r="F21" s="702" t="n"/>
      <c r="G21" s="702" t="n"/>
      <c r="H21" s="757" t="n"/>
      <c r="I21" s="702" t="n"/>
      <c r="J21" s="702" t="n"/>
      <c r="K21" s="702" t="n"/>
      <c r="L21" s="757" t="n"/>
      <c r="M21" s="757" t="n"/>
      <c r="N21" s="757" t="n"/>
      <c r="O21" s="702" t="n"/>
      <c r="P21" s="702" t="n"/>
      <c r="Q21" s="757" t="n"/>
      <c r="R21" s="702" t="n"/>
      <c r="S21" s="762" t="n"/>
      <c r="T21" s="702" t="n"/>
      <c r="U21" s="702" t="n"/>
      <c r="V21" s="702" t="n"/>
      <c r="W21" s="702" t="n"/>
      <c r="X21" s="702" t="n"/>
      <c r="Y21" s="702" t="n"/>
      <c r="Z21" s="702" t="n"/>
      <c r="AA21" s="702" t="n"/>
      <c r="AB21" s="702" t="n"/>
    </row>
    <row r="22">
      <c r="A22" s="757" t="n"/>
      <c r="B22" s="757" t="n"/>
      <c r="C22" s="702" t="n"/>
      <c r="D22" s="702" t="n"/>
      <c r="E22" s="702" t="n"/>
      <c r="F22" s="702" t="n"/>
      <c r="G22" s="702" t="n"/>
      <c r="H22" s="757" t="n"/>
      <c r="I22" s="702" t="n"/>
      <c r="J22" s="702" t="n"/>
      <c r="K22" s="702" t="n"/>
      <c r="L22" s="757" t="n"/>
      <c r="M22" s="757" t="n"/>
      <c r="N22" s="757" t="n"/>
      <c r="O22" s="702" t="n"/>
      <c r="P22" s="702" t="n"/>
      <c r="Q22" s="757" t="n"/>
      <c r="R22" s="702" t="n"/>
      <c r="S22" s="762" t="n"/>
      <c r="T22" s="702" t="n"/>
      <c r="U22" s="702" t="n"/>
      <c r="V22" s="702" t="n"/>
      <c r="W22" s="702" t="n"/>
      <c r="X22" s="702" t="n"/>
      <c r="Y22" s="702" t="n"/>
      <c r="Z22" s="702" t="n"/>
      <c r="AA22" s="702" t="n"/>
      <c r="AB22" s="702" t="n"/>
    </row>
    <row r="23">
      <c r="A23" s="757" t="n"/>
      <c r="B23" s="757" t="n"/>
      <c r="C23" s="702" t="n"/>
      <c r="D23" s="702" t="n"/>
      <c r="E23" s="702" t="n"/>
      <c r="F23" s="702" t="n"/>
      <c r="G23" s="702" t="n"/>
      <c r="H23" s="757" t="n"/>
      <c r="I23" s="702" t="n"/>
      <c r="J23" s="702" t="n"/>
      <c r="K23" s="702" t="n"/>
      <c r="L23" s="757" t="n"/>
      <c r="M23" s="757" t="n"/>
      <c r="N23" s="757" t="n"/>
      <c r="O23" s="702" t="n"/>
      <c r="P23" s="702" t="n"/>
      <c r="Q23" s="757" t="n"/>
      <c r="R23" s="702" t="n"/>
      <c r="S23" s="762" t="n"/>
      <c r="T23" s="702" t="n"/>
      <c r="U23" s="702" t="n"/>
      <c r="V23" s="702" t="n"/>
      <c r="W23" s="702" t="n"/>
      <c r="X23" s="702" t="n"/>
      <c r="Y23" s="702" t="n"/>
      <c r="Z23" s="702" t="n"/>
      <c r="AA23" s="702" t="n"/>
      <c r="AB23" s="702" t="n"/>
    </row>
    <row r="24">
      <c r="A24" s="757" t="n"/>
      <c r="B24" s="757" t="n"/>
      <c r="C24" s="702" t="n"/>
      <c r="D24" s="702" t="n"/>
      <c r="E24" s="702" t="n"/>
      <c r="F24" s="702" t="n"/>
      <c r="G24" s="702" t="n"/>
      <c r="H24" s="757" t="n"/>
      <c r="I24" s="702" t="n"/>
      <c r="J24" s="702" t="n"/>
      <c r="K24" s="702" t="n"/>
      <c r="L24" s="757" t="n"/>
      <c r="M24" s="757" t="n"/>
      <c r="N24" s="757" t="n"/>
      <c r="O24" s="702" t="n"/>
      <c r="P24" s="702" t="n"/>
      <c r="Q24" s="757" t="n"/>
      <c r="R24" s="702" t="n"/>
      <c r="S24" s="762" t="n"/>
      <c r="T24" s="702" t="n"/>
      <c r="U24" s="702" t="n"/>
      <c r="V24" s="702" t="n"/>
      <c r="W24" s="702" t="n"/>
      <c r="X24" s="702" t="n"/>
      <c r="Y24" s="702" t="n"/>
      <c r="Z24" s="702" t="n"/>
      <c r="AA24" s="702" t="n"/>
      <c r="AB24" s="702" t="n"/>
    </row>
    <row r="25">
      <c r="A25" s="757" t="n"/>
      <c r="B25" s="757" t="n"/>
      <c r="C25" s="702" t="n"/>
      <c r="D25" s="702" t="n"/>
      <c r="E25" s="702" t="n"/>
      <c r="F25" s="702" t="n"/>
      <c r="G25" s="702" t="n"/>
      <c r="H25" s="757" t="n"/>
      <c r="I25" s="702" t="n"/>
      <c r="J25" s="702" t="n"/>
      <c r="K25" s="702" t="n"/>
      <c r="L25" s="757" t="n"/>
      <c r="M25" s="757" t="n"/>
      <c r="N25" s="757" t="n"/>
      <c r="O25" s="702" t="n"/>
      <c r="P25" s="702" t="n"/>
      <c r="Q25" s="757" t="n"/>
      <c r="R25" s="702" t="n"/>
      <c r="S25" s="762" t="n"/>
      <c r="T25" s="702" t="n"/>
      <c r="U25" s="702" t="n"/>
      <c r="V25" s="702" t="n"/>
      <c r="W25" s="702" t="n"/>
      <c r="X25" s="702" t="n"/>
      <c r="Y25" s="702" t="n"/>
      <c r="Z25" s="702" t="n"/>
      <c r="AA25" s="702" t="n"/>
      <c r="AB25" s="702" t="n"/>
    </row>
    <row r="26">
      <c r="A26" s="757" t="n"/>
      <c r="B26" s="757" t="n"/>
      <c r="C26" s="702" t="n"/>
      <c r="D26" s="702" t="n"/>
      <c r="E26" s="702" t="n"/>
      <c r="F26" s="702" t="n"/>
      <c r="G26" s="702" t="n"/>
      <c r="H26" s="757" t="n"/>
      <c r="I26" s="702" t="n"/>
      <c r="J26" s="702" t="n"/>
      <c r="K26" s="702" t="n"/>
      <c r="L26" s="757" t="n"/>
      <c r="M26" s="757" t="n"/>
      <c r="N26" s="757" t="n"/>
      <c r="O26" s="702" t="n"/>
      <c r="P26" s="702" t="n"/>
      <c r="Q26" s="757" t="n"/>
      <c r="R26" s="702" t="n"/>
      <c r="S26" s="762" t="n"/>
      <c r="T26" s="702" t="n"/>
      <c r="U26" s="702" t="n"/>
      <c r="V26" s="702" t="n"/>
      <c r="W26" s="702" t="n"/>
      <c r="X26" s="702" t="n"/>
      <c r="Y26" s="702" t="n"/>
      <c r="Z26" s="702" t="n"/>
      <c r="AA26" s="702" t="n"/>
      <c r="AB26" s="702" t="n"/>
    </row>
    <row r="27">
      <c r="A27" s="757" t="n"/>
      <c r="B27" s="757" t="n"/>
      <c r="C27" s="702" t="n"/>
      <c r="D27" s="702" t="n"/>
      <c r="E27" s="702" t="n"/>
      <c r="F27" s="702" t="n"/>
      <c r="G27" s="702" t="n"/>
      <c r="H27" s="757" t="n"/>
      <c r="I27" s="702" t="n"/>
      <c r="J27" s="702" t="n"/>
      <c r="K27" s="702" t="n"/>
      <c r="L27" s="757" t="n"/>
      <c r="M27" s="757" t="n"/>
      <c r="N27" s="757" t="n"/>
      <c r="O27" s="702" t="n"/>
      <c r="P27" s="702" t="n"/>
      <c r="Q27" s="757" t="n"/>
      <c r="R27" s="702" t="n"/>
      <c r="S27" s="762" t="n"/>
      <c r="T27" s="702" t="n"/>
      <c r="U27" s="702" t="n"/>
      <c r="V27" s="702" t="n"/>
      <c r="W27" s="702" t="n"/>
      <c r="X27" s="702" t="n"/>
      <c r="Y27" s="702" t="n"/>
      <c r="Z27" s="702" t="n"/>
      <c r="AA27" s="702" t="n"/>
      <c r="AB27" s="702" t="n"/>
    </row>
    <row r="28">
      <c r="A28" s="757" t="n"/>
      <c r="B28" s="757" t="n"/>
      <c r="C28" s="702" t="n"/>
      <c r="D28" s="702" t="n"/>
      <c r="E28" s="702" t="n"/>
      <c r="F28" s="702" t="n"/>
      <c r="G28" s="702" t="n"/>
      <c r="H28" s="757" t="n"/>
      <c r="I28" s="702" t="n"/>
      <c r="J28" s="702" t="n"/>
      <c r="K28" s="702" t="n"/>
      <c r="L28" s="757" t="n"/>
      <c r="M28" s="757" t="n"/>
      <c r="N28" s="757" t="n"/>
      <c r="O28" s="702" t="n"/>
      <c r="P28" s="702" t="n"/>
      <c r="Q28" s="757" t="n"/>
      <c r="R28" s="702" t="n"/>
      <c r="S28" s="762" t="n"/>
      <c r="T28" s="702" t="n"/>
      <c r="U28" s="702" t="n"/>
      <c r="V28" s="702" t="n"/>
      <c r="W28" s="702" t="n"/>
      <c r="X28" s="702" t="n"/>
      <c r="Y28" s="702" t="n"/>
      <c r="Z28" s="702" t="n"/>
      <c r="AA28" s="702" t="n"/>
      <c r="AB28" s="702" t="n"/>
    </row>
    <row r="29">
      <c r="A29" s="757" t="n"/>
      <c r="B29" s="757" t="n"/>
      <c r="C29" s="702" t="n"/>
      <c r="D29" s="702" t="n"/>
      <c r="E29" s="702" t="n"/>
      <c r="F29" s="702" t="n"/>
      <c r="G29" s="702" t="n"/>
      <c r="H29" s="757" t="n"/>
      <c r="I29" s="702" t="n"/>
      <c r="J29" s="702" t="n"/>
      <c r="K29" s="702" t="n"/>
      <c r="L29" s="757" t="n"/>
      <c r="M29" s="757" t="n"/>
      <c r="N29" s="757" t="n"/>
      <c r="O29" s="702" t="n"/>
      <c r="P29" s="702" t="n"/>
      <c r="Q29" s="757" t="n"/>
      <c r="R29" s="702" t="n"/>
      <c r="S29" s="762" t="n"/>
      <c r="T29" s="702" t="n"/>
      <c r="U29" s="702" t="n"/>
      <c r="V29" s="702" t="n"/>
      <c r="W29" s="702" t="n"/>
      <c r="X29" s="702" t="n"/>
      <c r="Y29" s="702" t="n"/>
      <c r="Z29" s="702" t="n"/>
      <c r="AA29" s="702" t="n"/>
      <c r="AB29" s="702" t="n"/>
    </row>
    <row r="30">
      <c r="A30" s="757" t="n"/>
      <c r="B30" s="757" t="n"/>
      <c r="C30" s="702" t="n"/>
      <c r="D30" s="702" t="n"/>
      <c r="E30" s="702" t="n"/>
      <c r="F30" s="702" t="n"/>
      <c r="G30" s="702" t="n"/>
      <c r="H30" s="757" t="n"/>
      <c r="I30" s="702" t="n"/>
      <c r="J30" s="702" t="n"/>
      <c r="K30" s="702" t="n"/>
      <c r="L30" s="757" t="n"/>
      <c r="M30" s="757" t="n"/>
      <c r="N30" s="757" t="n"/>
      <c r="O30" s="702" t="n"/>
      <c r="P30" s="702" t="n"/>
      <c r="Q30" s="757" t="n"/>
      <c r="R30" s="702" t="n"/>
      <c r="S30" s="762" t="n"/>
      <c r="T30" s="702" t="n"/>
      <c r="U30" s="702" t="n"/>
      <c r="V30" s="702" t="n"/>
      <c r="W30" s="702" t="n"/>
      <c r="X30" s="702" t="n"/>
      <c r="Y30" s="702" t="n"/>
      <c r="Z30" s="702" t="n"/>
      <c r="AA30" s="702" t="n"/>
      <c r="AB30" s="702" t="n"/>
    </row>
    <row r="31">
      <c r="A31" s="757" t="n"/>
      <c r="B31" s="757" t="n"/>
      <c r="C31" s="702" t="n"/>
      <c r="D31" s="702" t="n"/>
      <c r="E31" s="702" t="n"/>
      <c r="F31" s="702" t="n"/>
      <c r="G31" s="702" t="n"/>
      <c r="H31" s="757" t="n"/>
      <c r="I31" s="702" t="n"/>
      <c r="J31" s="702" t="n"/>
      <c r="K31" s="702" t="n"/>
      <c r="L31" s="757" t="n"/>
      <c r="M31" s="757" t="n"/>
      <c r="N31" s="757" t="n"/>
      <c r="O31" s="702" t="n"/>
      <c r="P31" s="702" t="n"/>
      <c r="Q31" s="757" t="n"/>
      <c r="R31" s="702" t="n"/>
      <c r="S31" s="762" t="n"/>
      <c r="T31" s="702" t="n"/>
      <c r="U31" s="702" t="n"/>
      <c r="V31" s="702" t="n"/>
      <c r="W31" s="702" t="n"/>
      <c r="X31" s="702" t="n"/>
      <c r="Y31" s="702" t="n"/>
      <c r="Z31" s="702" t="n"/>
      <c r="AA31" s="702" t="n"/>
      <c r="AB31" s="702" t="n"/>
    </row>
    <row r="32">
      <c r="A32" s="757" t="n"/>
      <c r="B32" s="757" t="n"/>
      <c r="C32" s="702" t="n"/>
      <c r="D32" s="702" t="n"/>
      <c r="E32" s="702" t="n"/>
      <c r="F32" s="702" t="n"/>
      <c r="G32" s="702" t="n"/>
      <c r="H32" s="757" t="n"/>
      <c r="I32" s="702" t="n"/>
      <c r="J32" s="702" t="n"/>
      <c r="K32" s="702" t="n"/>
      <c r="L32" s="757" t="n"/>
      <c r="M32" s="757" t="n"/>
      <c r="N32" s="757" t="n"/>
      <c r="O32" s="702" t="n"/>
      <c r="P32" s="702" t="n"/>
      <c r="Q32" s="757" t="n"/>
      <c r="R32" s="702" t="n"/>
      <c r="S32" s="762" t="n"/>
      <c r="T32" s="702" t="n"/>
      <c r="U32" s="702" t="n"/>
      <c r="V32" s="702" t="n"/>
      <c r="W32" s="702" t="n"/>
      <c r="X32" s="702" t="n"/>
      <c r="Y32" s="702" t="n"/>
      <c r="Z32" s="702" t="n"/>
      <c r="AA32" s="702" t="n"/>
      <c r="AB32" s="702" t="n"/>
    </row>
    <row r="33">
      <c r="A33" s="757" t="n"/>
      <c r="B33" s="757" t="n"/>
      <c r="C33" s="702" t="n"/>
      <c r="D33" s="702" t="n"/>
      <c r="E33" s="702" t="n"/>
      <c r="F33" s="702" t="n"/>
      <c r="G33" s="702" t="n"/>
      <c r="H33" s="757" t="n"/>
      <c r="I33" s="702" t="n"/>
      <c r="J33" s="702" t="n"/>
      <c r="K33" s="702" t="n"/>
      <c r="L33" s="757" t="n"/>
      <c r="M33" s="757" t="n"/>
      <c r="N33" s="757" t="n"/>
      <c r="O33" s="702" t="n"/>
      <c r="P33" s="702" t="n"/>
      <c r="Q33" s="757" t="n"/>
      <c r="R33" s="702" t="n"/>
      <c r="S33" s="762" t="n"/>
      <c r="T33" s="702" t="n"/>
      <c r="U33" s="702" t="n"/>
      <c r="V33" s="702" t="n"/>
      <c r="W33" s="702" t="n"/>
      <c r="X33" s="702" t="n"/>
      <c r="Y33" s="702" t="n"/>
      <c r="Z33" s="702" t="n"/>
      <c r="AA33" s="702" t="n"/>
      <c r="AB33" s="702" t="n"/>
    </row>
    <row r="34">
      <c r="A34" s="757" t="n"/>
      <c r="B34" s="757" t="n"/>
      <c r="C34" s="702" t="n"/>
      <c r="D34" s="702" t="n"/>
      <c r="E34" s="702" t="n"/>
      <c r="F34" s="702" t="n"/>
      <c r="G34" s="702" t="n"/>
      <c r="H34" s="757" t="n"/>
      <c r="I34" s="702" t="n"/>
      <c r="J34" s="702" t="n"/>
      <c r="K34" s="702" t="n"/>
      <c r="L34" s="757" t="n"/>
      <c r="M34" s="757" t="n"/>
      <c r="N34" s="757" t="n"/>
      <c r="O34" s="702" t="n"/>
      <c r="P34" s="702" t="n"/>
      <c r="Q34" s="757" t="n"/>
      <c r="R34" s="702" t="n"/>
      <c r="S34" s="762" t="n"/>
      <c r="T34" s="702" t="n"/>
      <c r="U34" s="702" t="n"/>
      <c r="V34" s="702" t="n"/>
      <c r="W34" s="702" t="n"/>
      <c r="X34" s="702" t="n"/>
      <c r="Y34" s="702" t="n"/>
      <c r="Z34" s="702" t="n"/>
      <c r="AA34" s="702" t="n"/>
      <c r="AB34" s="702" t="n"/>
    </row>
    <row r="35">
      <c r="A35" s="757" t="n"/>
      <c r="B35" s="757" t="n"/>
      <c r="C35" s="702" t="n"/>
      <c r="D35" s="702" t="n"/>
      <c r="E35" s="702" t="n"/>
      <c r="F35" s="702" t="n"/>
      <c r="G35" s="702" t="n"/>
      <c r="H35" s="757" t="n"/>
      <c r="I35" s="702" t="n"/>
      <c r="J35" s="702" t="n"/>
      <c r="K35" s="702" t="n"/>
      <c r="L35" s="757" t="n"/>
      <c r="M35" s="757" t="n"/>
      <c r="N35" s="757" t="n"/>
      <c r="O35" s="702" t="n"/>
      <c r="P35" s="702" t="n"/>
      <c r="Q35" s="757" t="n"/>
      <c r="R35" s="702" t="n"/>
      <c r="S35" s="762" t="n"/>
      <c r="T35" s="702" t="n"/>
      <c r="U35" s="702" t="n"/>
      <c r="V35" s="702" t="n"/>
      <c r="W35" s="702" t="n"/>
      <c r="X35" s="702" t="n"/>
      <c r="Y35" s="702" t="n"/>
      <c r="Z35" s="702" t="n"/>
      <c r="AA35" s="702" t="n"/>
      <c r="AB35" s="702" t="n"/>
    </row>
    <row r="36">
      <c r="A36" s="757" t="n"/>
      <c r="B36" s="757" t="n"/>
      <c r="C36" s="702" t="n"/>
      <c r="D36" s="702" t="n"/>
      <c r="E36" s="702" t="n"/>
      <c r="F36" s="702" t="n"/>
      <c r="G36" s="702" t="n"/>
      <c r="H36" s="757" t="n"/>
      <c r="I36" s="702" t="n"/>
      <c r="J36" s="702" t="n"/>
      <c r="K36" s="702" t="n"/>
      <c r="L36" s="757" t="n"/>
      <c r="M36" s="757" t="n"/>
      <c r="N36" s="757" t="n"/>
      <c r="O36" s="702" t="n"/>
      <c r="P36" s="702" t="n"/>
      <c r="Q36" s="757" t="n"/>
      <c r="R36" s="702" t="n"/>
      <c r="S36" s="762" t="n"/>
      <c r="T36" s="702" t="n"/>
      <c r="U36" s="702" t="n"/>
      <c r="V36" s="702" t="n"/>
      <c r="W36" s="702" t="n"/>
      <c r="X36" s="702" t="n"/>
      <c r="Y36" s="702" t="n"/>
      <c r="Z36" s="702" t="n"/>
      <c r="AA36" s="702" t="n"/>
      <c r="AB36" s="702" t="n"/>
    </row>
    <row r="37">
      <c r="A37" s="757" t="n"/>
      <c r="B37" s="757" t="n"/>
      <c r="C37" s="702" t="n"/>
      <c r="D37" s="702" t="n"/>
      <c r="E37" s="702" t="n"/>
      <c r="F37" s="702" t="n"/>
      <c r="G37" s="702" t="n"/>
      <c r="H37" s="757" t="n"/>
      <c r="I37" s="702" t="n"/>
      <c r="J37" s="702" t="n"/>
      <c r="K37" s="702" t="n"/>
      <c r="L37" s="757" t="n"/>
      <c r="M37" s="757" t="n"/>
      <c r="N37" s="757" t="n"/>
      <c r="O37" s="702" t="n"/>
      <c r="P37" s="702" t="n"/>
      <c r="Q37" s="757" t="n"/>
      <c r="R37" s="702" t="n"/>
      <c r="S37" s="762" t="n"/>
      <c r="T37" s="702" t="n"/>
      <c r="U37" s="702" t="n"/>
      <c r="V37" s="702" t="n"/>
      <c r="W37" s="702" t="n"/>
      <c r="X37" s="702" t="n"/>
      <c r="Y37" s="702" t="n"/>
      <c r="Z37" s="702" t="n"/>
      <c r="AA37" s="702" t="n"/>
      <c r="AB37" s="702" t="n"/>
    </row>
    <row r="38">
      <c r="A38" s="757" t="n"/>
      <c r="B38" s="757" t="n"/>
      <c r="C38" s="702" t="n"/>
      <c r="D38" s="702" t="n"/>
      <c r="E38" s="702" t="n"/>
      <c r="F38" s="702" t="n"/>
      <c r="G38" s="702" t="n"/>
      <c r="H38" s="757" t="n"/>
      <c r="I38" s="702" t="n"/>
      <c r="J38" s="702" t="n"/>
      <c r="K38" s="702" t="n"/>
      <c r="L38" s="757" t="n"/>
      <c r="M38" s="757" t="n"/>
      <c r="N38" s="757" t="n"/>
      <c r="O38" s="702" t="n"/>
      <c r="P38" s="702" t="n"/>
      <c r="Q38" s="757" t="n"/>
      <c r="R38" s="702" t="n"/>
      <c r="S38" s="762" t="n"/>
      <c r="T38" s="702" t="n"/>
      <c r="U38" s="702" t="n"/>
      <c r="V38" s="702" t="n"/>
      <c r="W38" s="702" t="n"/>
      <c r="X38" s="702" t="n"/>
      <c r="Y38" s="702" t="n"/>
      <c r="Z38" s="702" t="n"/>
      <c r="AA38" s="702" t="n"/>
      <c r="AB38" s="702" t="n"/>
    </row>
    <row r="39">
      <c r="A39" s="757" t="n"/>
      <c r="B39" s="757" t="n"/>
      <c r="C39" s="702" t="n"/>
      <c r="D39" s="702" t="n"/>
      <c r="E39" s="702" t="n"/>
      <c r="F39" s="702" t="n"/>
      <c r="G39" s="702" t="n"/>
      <c r="H39" s="757" t="n"/>
      <c r="I39" s="702" t="n"/>
      <c r="J39" s="702" t="n"/>
      <c r="K39" s="702" t="n"/>
      <c r="L39" s="757" t="n"/>
      <c r="M39" s="757" t="n"/>
      <c r="N39" s="757" t="n"/>
      <c r="O39" s="702" t="n"/>
      <c r="P39" s="702" t="n"/>
      <c r="Q39" s="757" t="n"/>
      <c r="R39" s="702" t="n"/>
      <c r="S39" s="762" t="n"/>
      <c r="T39" s="702" t="n"/>
      <c r="U39" s="702" t="n"/>
      <c r="V39" s="702" t="n"/>
      <c r="W39" s="702" t="n"/>
      <c r="X39" s="702" t="n"/>
      <c r="Y39" s="702" t="n"/>
      <c r="Z39" s="702" t="n"/>
      <c r="AA39" s="702" t="n"/>
      <c r="AB39" s="702" t="n"/>
    </row>
    <row r="40">
      <c r="A40" s="757" t="n"/>
      <c r="B40" s="757" t="n"/>
      <c r="C40" s="702" t="n"/>
      <c r="D40" s="702" t="n"/>
      <c r="E40" s="702" t="n"/>
      <c r="F40" s="702" t="n"/>
      <c r="G40" s="702" t="n"/>
      <c r="H40" s="757" t="n"/>
      <c r="I40" s="702" t="n"/>
      <c r="J40" s="702" t="n"/>
      <c r="K40" s="702" t="n"/>
      <c r="L40" s="757" t="n"/>
      <c r="M40" s="757" t="n"/>
      <c r="N40" s="757" t="n"/>
      <c r="O40" s="702" t="n"/>
      <c r="P40" s="702" t="n"/>
      <c r="Q40" s="757" t="n"/>
      <c r="R40" s="702" t="n"/>
      <c r="S40" s="762" t="n"/>
      <c r="T40" s="702" t="n"/>
      <c r="U40" s="702" t="n"/>
      <c r="V40" s="702" t="n"/>
      <c r="W40" s="702" t="n"/>
      <c r="X40" s="702" t="n"/>
      <c r="Y40" s="702" t="n"/>
      <c r="Z40" s="702" t="n"/>
      <c r="AA40" s="702" t="n"/>
      <c r="AB40" s="702" t="n"/>
    </row>
    <row r="41">
      <c r="A41" s="757" t="n"/>
      <c r="B41" s="757" t="n"/>
      <c r="C41" s="702" t="n"/>
      <c r="D41" s="702" t="n"/>
      <c r="E41" s="702" t="n"/>
      <c r="F41" s="702" t="n"/>
      <c r="G41" s="702" t="n"/>
      <c r="H41" s="757" t="n"/>
      <c r="I41" s="702" t="n"/>
      <c r="J41" s="702" t="n"/>
      <c r="K41" s="702" t="n"/>
      <c r="L41" s="757" t="n"/>
      <c r="M41" s="757" t="n"/>
      <c r="N41" s="757" t="n"/>
      <c r="O41" s="702" t="n"/>
      <c r="P41" s="702" t="n"/>
      <c r="Q41" s="757" t="n"/>
      <c r="R41" s="702" t="n"/>
      <c r="S41" s="762" t="n"/>
      <c r="T41" s="702" t="n"/>
      <c r="U41" s="702" t="n"/>
      <c r="V41" s="702" t="n"/>
      <c r="W41" s="702" t="n"/>
      <c r="X41" s="702" t="n"/>
      <c r="Y41" s="702" t="n"/>
      <c r="Z41" s="702" t="n"/>
      <c r="AA41" s="702" t="n"/>
      <c r="AB41" s="702" t="n"/>
    </row>
    <row r="42">
      <c r="A42" s="757" t="n"/>
      <c r="B42" s="757" t="n"/>
      <c r="C42" s="702" t="n"/>
      <c r="D42" s="702" t="n"/>
      <c r="E42" s="702" t="n"/>
      <c r="F42" s="702" t="n"/>
      <c r="G42" s="702" t="n"/>
      <c r="H42" s="757" t="n"/>
      <c r="I42" s="702" t="n"/>
      <c r="J42" s="702" t="n"/>
      <c r="K42" s="702" t="n"/>
      <c r="L42" s="757" t="n"/>
      <c r="M42" s="757" t="n"/>
      <c r="N42" s="757" t="n"/>
      <c r="O42" s="702" t="n"/>
      <c r="P42" s="702" t="n"/>
      <c r="Q42" s="757" t="n"/>
      <c r="R42" s="702" t="n"/>
      <c r="S42" s="762" t="n"/>
      <c r="T42" s="702" t="n"/>
      <c r="U42" s="702" t="n"/>
      <c r="V42" s="702" t="n"/>
      <c r="W42" s="702" t="n"/>
      <c r="X42" s="702" t="n"/>
      <c r="Y42" s="702" t="n"/>
      <c r="Z42" s="702" t="n"/>
      <c r="AA42" s="702" t="n"/>
      <c r="AB42" s="702" t="n"/>
    </row>
    <row r="43">
      <c r="A43" s="757" t="n"/>
      <c r="B43" s="757" t="n"/>
      <c r="C43" s="702" t="n"/>
      <c r="D43" s="702" t="n"/>
      <c r="E43" s="702" t="n"/>
      <c r="F43" s="702" t="n"/>
      <c r="G43" s="702" t="n"/>
      <c r="H43" s="757" t="n"/>
      <c r="I43" s="702" t="n"/>
      <c r="J43" s="702" t="n"/>
      <c r="K43" s="702" t="n"/>
      <c r="L43" s="757" t="n"/>
      <c r="M43" s="757" t="n"/>
      <c r="N43" s="757" t="n"/>
      <c r="O43" s="702" t="n"/>
      <c r="P43" s="702" t="n"/>
      <c r="Q43" s="757" t="n"/>
      <c r="R43" s="702" t="n"/>
      <c r="S43" s="762" t="n"/>
      <c r="T43" s="702" t="n"/>
      <c r="U43" s="702" t="n"/>
      <c r="V43" s="702" t="n"/>
      <c r="W43" s="702" t="n"/>
      <c r="X43" s="702" t="n"/>
      <c r="Y43" s="702" t="n"/>
      <c r="Z43" s="702" t="n"/>
      <c r="AA43" s="702" t="n"/>
      <c r="AB43" s="702" t="n"/>
    </row>
    <row r="44">
      <c r="A44" s="757" t="n"/>
      <c r="B44" s="757" t="n"/>
      <c r="C44" s="702" t="n"/>
      <c r="D44" s="702" t="n"/>
      <c r="E44" s="702" t="n"/>
      <c r="F44" s="702" t="n"/>
      <c r="G44" s="702" t="n"/>
      <c r="H44" s="757" t="n"/>
      <c r="I44" s="702" t="n"/>
      <c r="J44" s="702" t="n"/>
      <c r="K44" s="702" t="n"/>
      <c r="L44" s="757" t="n"/>
      <c r="M44" s="757" t="n"/>
      <c r="N44" s="757" t="n"/>
      <c r="O44" s="702" t="n"/>
      <c r="P44" s="702" t="n"/>
      <c r="Q44" s="757" t="n"/>
      <c r="R44" s="702" t="n"/>
      <c r="S44" s="762" t="n"/>
      <c r="T44" s="702" t="n"/>
      <c r="U44" s="702" t="n"/>
      <c r="V44" s="702" t="n"/>
      <c r="W44" s="702" t="n"/>
      <c r="X44" s="702" t="n"/>
      <c r="Y44" s="702" t="n"/>
      <c r="Z44" s="702" t="n"/>
      <c r="AA44" s="702" t="n"/>
      <c r="AB44" s="702" t="n"/>
    </row>
    <row r="45">
      <c r="A45" s="757" t="n"/>
      <c r="B45" s="757" t="n"/>
      <c r="C45" s="702" t="n"/>
      <c r="D45" s="702" t="n"/>
      <c r="E45" s="702" t="n"/>
      <c r="F45" s="702" t="n"/>
      <c r="G45" s="702" t="n"/>
      <c r="H45" s="757" t="n"/>
      <c r="I45" s="702" t="n"/>
      <c r="J45" s="702" t="n"/>
      <c r="K45" s="702" t="n"/>
      <c r="L45" s="757" t="n"/>
      <c r="M45" s="757" t="n"/>
      <c r="N45" s="757" t="n"/>
      <c r="O45" s="702" t="n"/>
      <c r="P45" s="702" t="n"/>
      <c r="Q45" s="757" t="n"/>
      <c r="R45" s="702" t="n"/>
      <c r="S45" s="762" t="n"/>
      <c r="T45" s="702" t="n"/>
      <c r="U45" s="702" t="n"/>
      <c r="V45" s="702" t="n"/>
      <c r="W45" s="702" t="n"/>
      <c r="X45" s="702" t="n"/>
      <c r="Y45" s="702" t="n"/>
      <c r="Z45" s="702" t="n"/>
      <c r="AA45" s="702" t="n"/>
      <c r="AB45" s="702" t="n"/>
    </row>
    <row r="46">
      <c r="A46" s="757" t="n"/>
      <c r="B46" s="757" t="n"/>
      <c r="C46" s="702" t="n"/>
      <c r="D46" s="702" t="n"/>
      <c r="E46" s="702" t="n"/>
      <c r="F46" s="702" t="n"/>
      <c r="G46" s="702" t="n"/>
      <c r="H46" s="757" t="n"/>
      <c r="I46" s="702" t="n"/>
      <c r="J46" s="702" t="n"/>
      <c r="K46" s="702" t="n"/>
      <c r="L46" s="757" t="n"/>
      <c r="M46" s="757" t="n"/>
      <c r="N46" s="757" t="n"/>
      <c r="O46" s="702" t="n"/>
      <c r="P46" s="702" t="n"/>
      <c r="Q46" s="757" t="n"/>
      <c r="R46" s="702" t="n"/>
      <c r="S46" s="762" t="n"/>
      <c r="T46" s="702" t="n"/>
      <c r="U46" s="702" t="n"/>
      <c r="V46" s="702" t="n"/>
      <c r="W46" s="702" t="n"/>
      <c r="X46" s="702" t="n"/>
      <c r="Y46" s="702" t="n"/>
      <c r="Z46" s="702" t="n"/>
      <c r="AA46" s="702" t="n"/>
      <c r="AB46" s="702" t="n"/>
    </row>
    <row r="47">
      <c r="A47" s="757" t="n"/>
      <c r="B47" s="757" t="n"/>
      <c r="C47" s="702" t="n"/>
      <c r="D47" s="702" t="n"/>
      <c r="E47" s="702" t="n"/>
      <c r="F47" s="702" t="n"/>
      <c r="G47" s="702" t="n"/>
      <c r="H47" s="757" t="n"/>
      <c r="I47" s="702" t="n"/>
      <c r="J47" s="702" t="n"/>
      <c r="K47" s="702" t="n"/>
      <c r="L47" s="757" t="n"/>
      <c r="M47" s="757" t="n"/>
      <c r="N47" s="757" t="n"/>
      <c r="O47" s="702" t="n"/>
      <c r="P47" s="702" t="n"/>
      <c r="Q47" s="757" t="n"/>
      <c r="R47" s="702" t="n"/>
      <c r="S47" s="762" t="n"/>
      <c r="T47" s="702" t="n"/>
      <c r="U47" s="702" t="n"/>
      <c r="V47" s="702" t="n"/>
      <c r="W47" s="702" t="n"/>
      <c r="X47" s="702" t="n"/>
      <c r="Y47" s="702" t="n"/>
      <c r="Z47" s="702" t="n"/>
      <c r="AA47" s="702" t="n"/>
      <c r="AB47" s="702" t="n"/>
    </row>
    <row r="48">
      <c r="A48" s="757" t="n"/>
      <c r="B48" s="757" t="n"/>
      <c r="C48" s="702" t="n"/>
      <c r="D48" s="702" t="n"/>
      <c r="E48" s="702" t="n"/>
      <c r="F48" s="702" t="n"/>
      <c r="G48" s="702" t="n"/>
      <c r="H48" s="757" t="n"/>
      <c r="I48" s="702" t="n"/>
      <c r="J48" s="702" t="n"/>
      <c r="K48" s="702" t="n"/>
      <c r="L48" s="757" t="n"/>
      <c r="M48" s="757" t="n"/>
      <c r="N48" s="757" t="n"/>
      <c r="O48" s="702" t="n"/>
      <c r="P48" s="702" t="n"/>
      <c r="Q48" s="757" t="n"/>
      <c r="R48" s="702" t="n"/>
      <c r="S48" s="762" t="n"/>
      <c r="T48" s="702" t="n"/>
      <c r="U48" s="702" t="n"/>
      <c r="V48" s="702" t="n"/>
      <c r="W48" s="702" t="n"/>
      <c r="X48" s="702" t="n"/>
      <c r="Y48" s="702" t="n"/>
      <c r="Z48" s="702" t="n"/>
      <c r="AA48" s="702" t="n"/>
      <c r="AB48" s="702" t="n"/>
    </row>
    <row r="49">
      <c r="A49" s="757" t="n"/>
      <c r="B49" s="757" t="n"/>
      <c r="C49" s="702" t="n"/>
      <c r="D49" s="702" t="n"/>
      <c r="E49" s="702" t="n"/>
      <c r="F49" s="702" t="n"/>
      <c r="G49" s="702" t="n"/>
      <c r="H49" s="757" t="n"/>
      <c r="I49" s="702" t="n"/>
      <c r="J49" s="702" t="n"/>
      <c r="K49" s="702" t="n"/>
      <c r="L49" s="757" t="n"/>
      <c r="M49" s="757" t="n"/>
      <c r="N49" s="757" t="n"/>
      <c r="O49" s="702" t="n"/>
      <c r="P49" s="702" t="n"/>
      <c r="Q49" s="757" t="n"/>
      <c r="R49" s="702" t="n"/>
      <c r="S49" s="762" t="n"/>
      <c r="T49" s="702" t="n"/>
      <c r="U49" s="702" t="n"/>
      <c r="V49" s="702" t="n"/>
      <c r="W49" s="702" t="n"/>
      <c r="X49" s="702" t="n"/>
      <c r="Y49" s="702" t="n"/>
      <c r="Z49" s="702" t="n"/>
      <c r="AA49" s="702" t="n"/>
      <c r="AB49" s="702" t="n"/>
    </row>
    <row r="50">
      <c r="A50" s="757" t="n"/>
      <c r="B50" s="757" t="n"/>
      <c r="C50" s="702" t="n"/>
      <c r="D50" s="702" t="n"/>
      <c r="E50" s="702" t="n"/>
      <c r="F50" s="702" t="n"/>
      <c r="G50" s="702" t="n"/>
      <c r="H50" s="757" t="n"/>
      <c r="I50" s="702" t="n"/>
      <c r="J50" s="702" t="n"/>
      <c r="K50" s="702" t="n"/>
      <c r="L50" s="757" t="n"/>
      <c r="M50" s="757" t="n"/>
      <c r="N50" s="757" t="n"/>
      <c r="O50" s="702" t="n"/>
      <c r="P50" s="702" t="n"/>
      <c r="Q50" s="757" t="n"/>
      <c r="R50" s="702" t="n"/>
      <c r="S50" s="762" t="n"/>
      <c r="T50" s="702" t="n"/>
      <c r="U50" s="702" t="n"/>
      <c r="V50" s="702" t="n"/>
      <c r="W50" s="702" t="n"/>
      <c r="X50" s="702" t="n"/>
      <c r="Y50" s="702" t="n"/>
      <c r="Z50" s="702" t="n"/>
      <c r="AA50" s="702" t="n"/>
      <c r="AB50" s="702" t="n"/>
    </row>
    <row r="51">
      <c r="A51" s="757" t="n"/>
      <c r="B51" s="757" t="n"/>
      <c r="C51" s="702" t="n"/>
      <c r="D51" s="702" t="n"/>
      <c r="E51" s="702" t="n"/>
      <c r="F51" s="702" t="n"/>
      <c r="G51" s="702" t="n"/>
      <c r="H51" s="757" t="n"/>
      <c r="I51" s="702" t="n"/>
      <c r="J51" s="702" t="n"/>
      <c r="K51" s="702" t="n"/>
      <c r="L51" s="757" t="n"/>
      <c r="M51" s="757" t="n"/>
      <c r="N51" s="757" t="n"/>
      <c r="O51" s="702" t="n"/>
      <c r="P51" s="702" t="n"/>
      <c r="Q51" s="757" t="n"/>
      <c r="R51" s="702" t="n"/>
      <c r="S51" s="762" t="n"/>
      <c r="T51" s="702" t="n"/>
      <c r="U51" s="702" t="n"/>
      <c r="V51" s="702" t="n"/>
      <c r="W51" s="702" t="n"/>
      <c r="X51" s="702" t="n"/>
      <c r="Y51" s="702" t="n"/>
      <c r="Z51" s="702" t="n"/>
      <c r="AA51" s="702" t="n"/>
      <c r="AB51" s="702" t="n"/>
    </row>
    <row r="52">
      <c r="A52" s="757" t="n"/>
      <c r="B52" s="757" t="n"/>
      <c r="C52" s="702" t="n"/>
      <c r="D52" s="702" t="n"/>
      <c r="E52" s="702" t="n"/>
      <c r="F52" s="702" t="n"/>
      <c r="G52" s="702" t="n"/>
      <c r="H52" s="757" t="n"/>
      <c r="I52" s="702" t="n"/>
      <c r="J52" s="702" t="n"/>
      <c r="K52" s="702" t="n"/>
      <c r="L52" s="757" t="n"/>
      <c r="M52" s="757" t="n"/>
      <c r="N52" s="757" t="n"/>
      <c r="O52" s="702" t="n"/>
      <c r="P52" s="702" t="n"/>
      <c r="Q52" s="757" t="n"/>
      <c r="R52" s="702" t="n"/>
      <c r="S52" s="762" t="n"/>
      <c r="T52" s="702" t="n"/>
      <c r="U52" s="702" t="n"/>
      <c r="V52" s="702" t="n"/>
      <c r="W52" s="702" t="n"/>
      <c r="X52" s="702" t="n"/>
      <c r="Y52" s="702" t="n"/>
      <c r="Z52" s="702" t="n"/>
      <c r="AA52" s="702" t="n"/>
      <c r="AB52" s="702" t="n"/>
    </row>
    <row r="53">
      <c r="A53" s="757" t="n"/>
      <c r="B53" s="757" t="n"/>
      <c r="C53" s="702" t="n"/>
      <c r="D53" s="702" t="n"/>
      <c r="E53" s="702" t="n"/>
      <c r="F53" s="702" t="n"/>
      <c r="G53" s="702" t="n"/>
      <c r="H53" s="757" t="n"/>
      <c r="I53" s="702" t="n"/>
      <c r="J53" s="702" t="n"/>
      <c r="K53" s="702" t="n"/>
      <c r="L53" s="757" t="n"/>
      <c r="M53" s="757" t="n"/>
      <c r="N53" s="757" t="n"/>
      <c r="O53" s="702" t="n"/>
      <c r="P53" s="702" t="n"/>
      <c r="Q53" s="757" t="n"/>
      <c r="R53" s="702" t="n"/>
      <c r="S53" s="762" t="n"/>
      <c r="T53" s="702" t="n"/>
      <c r="U53" s="702" t="n"/>
      <c r="V53" s="702" t="n"/>
      <c r="W53" s="702" t="n"/>
      <c r="X53" s="702" t="n"/>
      <c r="Y53" s="702" t="n"/>
      <c r="Z53" s="702" t="n"/>
      <c r="AA53" s="702" t="n"/>
      <c r="AB53" s="702" t="n"/>
    </row>
    <row r="54">
      <c r="A54" s="757" t="n"/>
      <c r="B54" s="757" t="n"/>
      <c r="C54" s="702" t="n"/>
      <c r="D54" s="702" t="n"/>
      <c r="E54" s="702" t="n"/>
      <c r="F54" s="702" t="n"/>
      <c r="G54" s="702" t="n"/>
      <c r="H54" s="757" t="n"/>
      <c r="I54" s="702" t="n"/>
      <c r="J54" s="702" t="n"/>
      <c r="K54" s="702" t="n"/>
      <c r="L54" s="757" t="n"/>
      <c r="M54" s="757" t="n"/>
      <c r="N54" s="757" t="n"/>
      <c r="O54" s="702" t="n"/>
      <c r="P54" s="702" t="n"/>
      <c r="Q54" s="757" t="n"/>
      <c r="R54" s="702" t="n"/>
      <c r="S54" s="762" t="n"/>
      <c r="T54" s="702" t="n"/>
      <c r="U54" s="702" t="n"/>
      <c r="V54" s="702" t="n"/>
      <c r="W54" s="702" t="n"/>
      <c r="X54" s="702" t="n"/>
      <c r="Y54" s="702" t="n"/>
      <c r="Z54" s="702" t="n"/>
      <c r="AA54" s="702" t="n"/>
      <c r="AB54" s="702" t="n"/>
    </row>
    <row r="55">
      <c r="A55" s="757" t="n"/>
      <c r="B55" s="757" t="n"/>
      <c r="C55" s="702" t="n"/>
      <c r="D55" s="702" t="n"/>
      <c r="E55" s="702" t="n"/>
      <c r="F55" s="702" t="n"/>
      <c r="G55" s="702" t="n"/>
      <c r="H55" s="757" t="n"/>
      <c r="I55" s="702" t="n"/>
      <c r="J55" s="702" t="n"/>
      <c r="K55" s="702" t="n"/>
      <c r="L55" s="757" t="n"/>
      <c r="M55" s="757" t="n"/>
      <c r="N55" s="757" t="n"/>
      <c r="O55" s="702" t="n"/>
      <c r="P55" s="702" t="n"/>
      <c r="Q55" s="757" t="n"/>
      <c r="R55" s="702" t="n"/>
      <c r="S55" s="762" t="n"/>
      <c r="T55" s="702" t="n"/>
      <c r="U55" s="702" t="n"/>
      <c r="V55" s="702" t="n"/>
      <c r="W55" s="702" t="n"/>
      <c r="X55" s="702" t="n"/>
      <c r="Y55" s="702" t="n"/>
      <c r="Z55" s="702" t="n"/>
      <c r="AA55" s="702" t="n"/>
      <c r="AB55" s="702" t="n"/>
    </row>
    <row r="56">
      <c r="A56" s="757" t="n"/>
      <c r="B56" s="757" t="n"/>
      <c r="C56" s="702" t="n"/>
      <c r="D56" s="702" t="n"/>
      <c r="E56" s="702" t="n"/>
      <c r="F56" s="702" t="n"/>
      <c r="G56" s="702" t="n"/>
      <c r="H56" s="757" t="n"/>
      <c r="I56" s="702" t="n"/>
      <c r="J56" s="702" t="n"/>
      <c r="K56" s="702" t="n"/>
      <c r="L56" s="757" t="n"/>
      <c r="M56" s="757" t="n"/>
      <c r="N56" s="757" t="n"/>
      <c r="O56" s="702" t="n"/>
      <c r="P56" s="702" t="n"/>
      <c r="Q56" s="757" t="n"/>
      <c r="R56" s="702" t="n"/>
      <c r="S56" s="762" t="n"/>
      <c r="T56" s="702" t="n"/>
      <c r="U56" s="702" t="n"/>
      <c r="V56" s="702" t="n"/>
      <c r="W56" s="702" t="n"/>
      <c r="X56" s="702" t="n"/>
      <c r="Y56" s="702" t="n"/>
      <c r="Z56" s="702" t="n"/>
      <c r="AA56" s="702" t="n"/>
      <c r="AB56" s="702" t="n"/>
    </row>
    <row r="57">
      <c r="A57" s="757" t="n"/>
      <c r="B57" s="757" t="n"/>
      <c r="C57" s="702" t="n"/>
      <c r="D57" s="702" t="n"/>
      <c r="E57" s="702" t="n"/>
      <c r="F57" s="702" t="n"/>
      <c r="G57" s="702" t="n"/>
      <c r="H57" s="757" t="n"/>
      <c r="I57" s="702" t="n"/>
      <c r="J57" s="702" t="n"/>
      <c r="K57" s="702" t="n"/>
      <c r="L57" s="757" t="n"/>
      <c r="M57" s="757" t="n"/>
      <c r="N57" s="757" t="n"/>
      <c r="O57" s="702" t="n"/>
      <c r="P57" s="702" t="n"/>
      <c r="Q57" s="757" t="n"/>
      <c r="R57" s="702" t="n"/>
      <c r="S57" s="762" t="n"/>
      <c r="T57" s="702" t="n"/>
      <c r="U57" s="702" t="n"/>
      <c r="V57" s="702" t="n"/>
      <c r="W57" s="702" t="n"/>
      <c r="X57" s="702" t="n"/>
      <c r="Y57" s="702" t="n"/>
      <c r="Z57" s="702" t="n"/>
      <c r="AA57" s="702" t="n"/>
      <c r="AB57" s="702" t="n"/>
    </row>
    <row r="58">
      <c r="A58" s="757" t="n"/>
      <c r="B58" s="757" t="n"/>
      <c r="C58" s="702" t="n"/>
      <c r="D58" s="702" t="n"/>
      <c r="E58" s="702" t="n"/>
      <c r="F58" s="702" t="n"/>
      <c r="G58" s="702" t="n"/>
      <c r="H58" s="757" t="n"/>
      <c r="I58" s="702" t="n"/>
      <c r="J58" s="702" t="n"/>
      <c r="K58" s="702" t="n"/>
      <c r="L58" s="757" t="n"/>
      <c r="M58" s="757" t="n"/>
      <c r="N58" s="757" t="n"/>
      <c r="O58" s="702" t="n"/>
      <c r="P58" s="702" t="n"/>
      <c r="Q58" s="757" t="n"/>
      <c r="R58" s="702" t="n"/>
      <c r="S58" s="762" t="n"/>
      <c r="T58" s="702" t="n"/>
      <c r="U58" s="702" t="n"/>
      <c r="V58" s="702" t="n"/>
      <c r="W58" s="702" t="n"/>
      <c r="X58" s="702" t="n"/>
      <c r="Y58" s="702" t="n"/>
      <c r="Z58" s="702" t="n"/>
      <c r="AA58" s="702" t="n"/>
      <c r="AB58" s="702" t="n"/>
    </row>
    <row r="59">
      <c r="A59" s="757" t="n"/>
      <c r="B59" s="757" t="n"/>
      <c r="C59" s="702" t="n"/>
      <c r="D59" s="702" t="n"/>
      <c r="E59" s="702" t="n"/>
      <c r="F59" s="702" t="n"/>
      <c r="G59" s="702" t="n"/>
      <c r="H59" s="757" t="n"/>
      <c r="I59" s="702" t="n"/>
      <c r="J59" s="702" t="n"/>
      <c r="K59" s="702" t="n"/>
      <c r="L59" s="757" t="n"/>
      <c r="M59" s="757" t="n"/>
      <c r="N59" s="757" t="n"/>
      <c r="O59" s="702" t="n"/>
      <c r="P59" s="702" t="n"/>
      <c r="Q59" s="757" t="n"/>
      <c r="R59" s="702" t="n"/>
      <c r="S59" s="762" t="n"/>
      <c r="T59" s="702" t="n"/>
      <c r="U59" s="702" t="n"/>
      <c r="V59" s="702" t="n"/>
      <c r="W59" s="702" t="n"/>
      <c r="X59" s="702" t="n"/>
      <c r="Y59" s="702" t="n"/>
      <c r="Z59" s="702" t="n"/>
      <c r="AA59" s="702" t="n"/>
      <c r="AB59" s="702" t="n"/>
    </row>
    <row r="60">
      <c r="A60" s="757" t="n"/>
      <c r="B60" s="757" t="n"/>
      <c r="C60" s="702" t="n"/>
      <c r="D60" s="702" t="n"/>
      <c r="E60" s="702" t="n"/>
      <c r="F60" s="702" t="n"/>
      <c r="G60" s="702" t="n"/>
      <c r="H60" s="757" t="n"/>
      <c r="I60" s="702" t="n"/>
      <c r="J60" s="702" t="n"/>
      <c r="K60" s="702" t="n"/>
      <c r="L60" s="757" t="n"/>
      <c r="M60" s="757" t="n"/>
      <c r="N60" s="757" t="n"/>
      <c r="O60" s="702" t="n"/>
      <c r="P60" s="702" t="n"/>
      <c r="Q60" s="757" t="n"/>
      <c r="R60" s="702" t="n"/>
      <c r="S60" s="762" t="n"/>
      <c r="T60" s="702" t="n"/>
      <c r="U60" s="702" t="n"/>
      <c r="V60" s="702" t="n"/>
      <c r="W60" s="702" t="n"/>
      <c r="X60" s="702" t="n"/>
      <c r="Y60" s="702" t="n"/>
      <c r="Z60" s="702" t="n"/>
      <c r="AA60" s="702" t="n"/>
      <c r="AB60" s="702" t="n"/>
    </row>
    <row r="61">
      <c r="A61" s="757" t="n"/>
      <c r="B61" s="757" t="n"/>
      <c r="C61" s="702" t="n"/>
      <c r="D61" s="702" t="n"/>
      <c r="E61" s="702" t="n"/>
      <c r="F61" s="702" t="n"/>
      <c r="G61" s="702" t="n"/>
      <c r="H61" s="757" t="n"/>
      <c r="I61" s="702" t="n"/>
      <c r="J61" s="702" t="n"/>
      <c r="K61" s="702" t="n"/>
      <c r="L61" s="757" t="n"/>
      <c r="M61" s="757" t="n"/>
      <c r="N61" s="757" t="n"/>
      <c r="O61" s="702" t="n"/>
      <c r="P61" s="702" t="n"/>
      <c r="Q61" s="757" t="n"/>
      <c r="R61" s="702" t="n"/>
      <c r="S61" s="762" t="n"/>
      <c r="T61" s="702" t="n"/>
      <c r="U61" s="702" t="n"/>
      <c r="V61" s="702" t="n"/>
      <c r="W61" s="702" t="n"/>
      <c r="X61" s="702" t="n"/>
      <c r="Y61" s="702" t="n"/>
      <c r="Z61" s="702" t="n"/>
      <c r="AA61" s="702" t="n"/>
      <c r="AB61" s="702" t="n"/>
    </row>
    <row r="62">
      <c r="A62" s="757" t="n"/>
      <c r="B62" s="757" t="n"/>
      <c r="C62" s="702" t="n"/>
      <c r="D62" s="702" t="n"/>
      <c r="E62" s="702" t="n"/>
      <c r="F62" s="702" t="n"/>
      <c r="G62" s="702" t="n"/>
      <c r="H62" s="757" t="n"/>
      <c r="I62" s="702" t="n"/>
      <c r="J62" s="702" t="n"/>
      <c r="K62" s="702" t="n"/>
      <c r="L62" s="757" t="n"/>
      <c r="M62" s="757" t="n"/>
      <c r="N62" s="757" t="n"/>
      <c r="O62" s="702" t="n"/>
      <c r="P62" s="702" t="n"/>
      <c r="Q62" s="757" t="n"/>
      <c r="R62" s="702" t="n"/>
      <c r="S62" s="762" t="n"/>
      <c r="T62" s="702" t="n"/>
      <c r="U62" s="702" t="n"/>
      <c r="V62" s="702" t="n"/>
      <c r="W62" s="702" t="n"/>
      <c r="X62" s="702" t="n"/>
      <c r="Y62" s="702" t="n"/>
      <c r="Z62" s="702" t="n"/>
      <c r="AA62" s="702" t="n"/>
      <c r="AB62" s="702" t="n"/>
    </row>
    <row r="63">
      <c r="A63" s="757" t="n"/>
      <c r="B63" s="757" t="n"/>
      <c r="C63" s="702" t="n"/>
      <c r="D63" s="702" t="n"/>
      <c r="E63" s="702" t="n"/>
      <c r="F63" s="702" t="n"/>
      <c r="G63" s="702" t="n"/>
      <c r="H63" s="757" t="n"/>
      <c r="I63" s="702" t="n"/>
      <c r="J63" s="702" t="n"/>
      <c r="K63" s="702" t="n"/>
      <c r="L63" s="757" t="n"/>
      <c r="M63" s="757" t="n"/>
      <c r="N63" s="757" t="n"/>
      <c r="O63" s="702" t="n"/>
      <c r="P63" s="702" t="n"/>
      <c r="Q63" s="757" t="n"/>
      <c r="R63" s="702" t="n"/>
      <c r="S63" s="762" t="n"/>
      <c r="T63" s="702" t="n"/>
      <c r="U63" s="702" t="n"/>
      <c r="V63" s="702" t="n"/>
      <c r="W63" s="702" t="n"/>
      <c r="X63" s="702" t="n"/>
      <c r="Y63" s="702" t="n"/>
      <c r="Z63" s="702" t="n"/>
      <c r="AA63" s="702" t="n"/>
      <c r="AB63" s="702" t="n"/>
    </row>
    <row r="64">
      <c r="A64" s="757" t="n"/>
      <c r="B64" s="757" t="n"/>
      <c r="C64" s="702" t="n"/>
      <c r="D64" s="702" t="n"/>
      <c r="E64" s="702" t="n"/>
      <c r="F64" s="702" t="n"/>
      <c r="G64" s="702" t="n"/>
      <c r="H64" s="757" t="n"/>
      <c r="I64" s="702" t="n"/>
      <c r="J64" s="702" t="n"/>
      <c r="K64" s="702" t="n"/>
      <c r="L64" s="757" t="n"/>
      <c r="M64" s="757" t="n"/>
      <c r="N64" s="757" t="n"/>
      <c r="O64" s="702" t="n"/>
      <c r="P64" s="702" t="n"/>
      <c r="Q64" s="757" t="n"/>
      <c r="R64" s="702" t="n"/>
      <c r="S64" s="762" t="n"/>
      <c r="T64" s="702" t="n"/>
      <c r="U64" s="702" t="n"/>
      <c r="V64" s="702" t="n"/>
      <c r="W64" s="702" t="n"/>
      <c r="X64" s="702" t="n"/>
      <c r="Y64" s="702" t="n"/>
      <c r="Z64" s="702" t="n"/>
      <c r="AA64" s="702" t="n"/>
      <c r="AB64" s="702" t="n"/>
    </row>
    <row r="65">
      <c r="A65" s="757" t="n"/>
      <c r="B65" s="757" t="n"/>
      <c r="C65" s="702" t="n"/>
      <c r="D65" s="702" t="n"/>
      <c r="E65" s="702" t="n"/>
      <c r="F65" s="702" t="n"/>
      <c r="G65" s="702" t="n"/>
      <c r="H65" s="757" t="n"/>
      <c r="I65" s="702" t="n"/>
      <c r="J65" s="702" t="n"/>
      <c r="K65" s="702" t="n"/>
      <c r="L65" s="757" t="n"/>
      <c r="M65" s="757" t="n"/>
      <c r="N65" s="757" t="n"/>
      <c r="O65" s="702" t="n"/>
      <c r="P65" s="702" t="n"/>
      <c r="Q65" s="757" t="n"/>
      <c r="R65" s="702" t="n"/>
      <c r="S65" s="762" t="n"/>
      <c r="T65" s="702" t="n"/>
      <c r="U65" s="702" t="n"/>
      <c r="V65" s="702" t="n"/>
      <c r="W65" s="702" t="n"/>
      <c r="X65" s="702" t="n"/>
      <c r="Y65" s="702" t="n"/>
      <c r="Z65" s="702" t="n"/>
      <c r="AA65" s="702" t="n"/>
      <c r="AB65" s="702" t="n"/>
    </row>
    <row r="66">
      <c r="A66" s="757" t="n"/>
      <c r="B66" s="757" t="n"/>
      <c r="C66" s="702" t="n"/>
      <c r="D66" s="702" t="n"/>
      <c r="E66" s="702" t="n"/>
      <c r="F66" s="702" t="n"/>
      <c r="G66" s="702" t="n"/>
      <c r="H66" s="757" t="n"/>
      <c r="I66" s="702" t="n"/>
      <c r="J66" s="702" t="n"/>
      <c r="K66" s="702" t="n"/>
      <c r="L66" s="757" t="n"/>
      <c r="M66" s="757" t="n"/>
      <c r="N66" s="757" t="n"/>
      <c r="O66" s="702" t="n"/>
      <c r="P66" s="702" t="n"/>
      <c r="Q66" s="757" t="n"/>
      <c r="R66" s="702" t="n"/>
      <c r="S66" s="762" t="n"/>
      <c r="T66" s="702" t="n"/>
      <c r="U66" s="702" t="n"/>
      <c r="V66" s="702" t="n"/>
      <c r="W66" s="702" t="n"/>
      <c r="X66" s="702" t="n"/>
      <c r="Y66" s="702" t="n"/>
      <c r="Z66" s="702" t="n"/>
      <c r="AA66" s="702" t="n"/>
      <c r="AB66" s="702" t="n"/>
    </row>
    <row r="67">
      <c r="A67" s="757" t="n"/>
      <c r="B67" s="757" t="n"/>
      <c r="C67" s="702" t="n"/>
      <c r="D67" s="702" t="n"/>
      <c r="E67" s="702" t="n"/>
      <c r="F67" s="702" t="n"/>
      <c r="G67" s="702" t="n"/>
      <c r="H67" s="757" t="n"/>
      <c r="I67" s="702" t="n"/>
      <c r="J67" s="702" t="n"/>
      <c r="K67" s="702" t="n"/>
      <c r="L67" s="757" t="n"/>
      <c r="M67" s="757" t="n"/>
      <c r="N67" s="757" t="n"/>
      <c r="O67" s="702" t="n"/>
      <c r="P67" s="702" t="n"/>
      <c r="Q67" s="757" t="n"/>
      <c r="R67" s="702" t="n"/>
      <c r="S67" s="762" t="n"/>
      <c r="T67" s="702" t="n"/>
      <c r="U67" s="702" t="n"/>
      <c r="V67" s="702" t="n"/>
      <c r="W67" s="702" t="n"/>
      <c r="X67" s="702" t="n"/>
      <c r="Y67" s="702" t="n"/>
      <c r="Z67" s="702" t="n"/>
      <c r="AA67" s="702" t="n"/>
      <c r="AB67" s="702" t="n"/>
    </row>
    <row r="68">
      <c r="A68" s="757" t="n"/>
      <c r="B68" s="757" t="n"/>
      <c r="C68" s="702" t="n"/>
      <c r="D68" s="702" t="n"/>
      <c r="E68" s="702" t="n"/>
      <c r="F68" s="702" t="n"/>
      <c r="G68" s="702" t="n"/>
      <c r="H68" s="757" t="n"/>
      <c r="I68" s="702" t="n"/>
      <c r="J68" s="702" t="n"/>
      <c r="K68" s="702" t="n"/>
      <c r="L68" s="757" t="n"/>
      <c r="M68" s="757" t="n"/>
      <c r="N68" s="757" t="n"/>
      <c r="O68" s="702" t="n"/>
      <c r="P68" s="702" t="n"/>
      <c r="Q68" s="757" t="n"/>
      <c r="R68" s="702" t="n"/>
      <c r="S68" s="762" t="n"/>
      <c r="T68" s="702" t="n"/>
      <c r="U68" s="702" t="n"/>
      <c r="V68" s="702" t="n"/>
      <c r="W68" s="702" t="n"/>
      <c r="X68" s="702" t="n"/>
      <c r="Y68" s="702" t="n"/>
      <c r="Z68" s="702" t="n"/>
      <c r="AA68" s="702" t="n"/>
      <c r="AB68" s="702" t="n"/>
    </row>
    <row r="69">
      <c r="A69" s="757" t="n"/>
      <c r="B69" s="757" t="n"/>
      <c r="C69" s="702" t="n"/>
      <c r="D69" s="702" t="n"/>
      <c r="E69" s="702" t="n"/>
      <c r="F69" s="702" t="n"/>
      <c r="G69" s="702" t="n"/>
      <c r="H69" s="757" t="n"/>
      <c r="I69" s="702" t="n"/>
      <c r="J69" s="702" t="n"/>
      <c r="K69" s="702" t="n"/>
      <c r="L69" s="757" t="n"/>
      <c r="M69" s="757" t="n"/>
      <c r="N69" s="757" t="n"/>
      <c r="O69" s="702" t="n"/>
      <c r="P69" s="702" t="n"/>
      <c r="Q69" s="757" t="n"/>
      <c r="R69" s="702" t="n"/>
      <c r="S69" s="762" t="n"/>
      <c r="T69" s="702" t="n"/>
      <c r="U69" s="702" t="n"/>
      <c r="V69" s="702" t="n"/>
      <c r="W69" s="702" t="n"/>
      <c r="X69" s="702" t="n"/>
      <c r="Y69" s="702" t="n"/>
      <c r="Z69" s="702" t="n"/>
      <c r="AA69" s="702" t="n"/>
      <c r="AB69" s="702" t="n"/>
    </row>
    <row r="70">
      <c r="A70" s="757" t="n"/>
      <c r="B70" s="757" t="n"/>
      <c r="C70" s="702" t="n"/>
      <c r="D70" s="702" t="n"/>
      <c r="E70" s="702" t="n"/>
      <c r="F70" s="702" t="n"/>
      <c r="G70" s="702" t="n"/>
      <c r="H70" s="757" t="n"/>
      <c r="I70" s="702" t="n"/>
      <c r="J70" s="702" t="n"/>
      <c r="K70" s="702" t="n"/>
      <c r="L70" s="757" t="n"/>
      <c r="M70" s="757" t="n"/>
      <c r="N70" s="757" t="n"/>
      <c r="O70" s="702" t="n"/>
      <c r="P70" s="702" t="n"/>
      <c r="Q70" s="757" t="n"/>
      <c r="R70" s="702" t="n"/>
      <c r="S70" s="762" t="n"/>
      <c r="T70" s="702" t="n"/>
      <c r="U70" s="702" t="n"/>
      <c r="V70" s="702" t="n"/>
      <c r="W70" s="702" t="n"/>
      <c r="X70" s="702" t="n"/>
      <c r="Y70" s="702" t="n"/>
      <c r="Z70" s="702" t="n"/>
      <c r="AA70" s="702" t="n"/>
      <c r="AB70" s="702" t="n"/>
    </row>
    <row r="71">
      <c r="A71" s="757" t="n"/>
      <c r="B71" s="757" t="n"/>
      <c r="C71" s="702" t="n"/>
      <c r="D71" s="702" t="n"/>
      <c r="E71" s="702" t="n"/>
      <c r="F71" s="702" t="n"/>
      <c r="G71" s="702" t="n"/>
      <c r="H71" s="757" t="n"/>
      <c r="I71" s="702" t="n"/>
      <c r="J71" s="702" t="n"/>
      <c r="K71" s="702" t="n"/>
      <c r="L71" s="757" t="n"/>
      <c r="M71" s="757" t="n"/>
      <c r="N71" s="757" t="n"/>
      <c r="O71" s="702" t="n"/>
      <c r="P71" s="702" t="n"/>
      <c r="Q71" s="757" t="n"/>
      <c r="R71" s="702" t="n"/>
      <c r="S71" s="762" t="n"/>
      <c r="T71" s="702" t="n"/>
      <c r="U71" s="702" t="n"/>
      <c r="V71" s="702" t="n"/>
      <c r="W71" s="702" t="n"/>
      <c r="X71" s="702" t="n"/>
      <c r="Y71" s="702" t="n"/>
      <c r="Z71" s="702" t="n"/>
      <c r="AA71" s="702" t="n"/>
      <c r="AB71" s="702" t="n"/>
    </row>
    <row r="72">
      <c r="A72" s="757" t="n"/>
      <c r="B72" s="757" t="n"/>
      <c r="C72" s="702" t="n"/>
      <c r="D72" s="702" t="n"/>
      <c r="E72" s="702" t="n"/>
      <c r="F72" s="702" t="n"/>
      <c r="G72" s="702" t="n"/>
      <c r="H72" s="757" t="n"/>
      <c r="I72" s="702" t="n"/>
      <c r="J72" s="702" t="n"/>
      <c r="K72" s="702" t="n"/>
      <c r="L72" s="757" t="n"/>
      <c r="M72" s="757" t="n"/>
      <c r="N72" s="757" t="n"/>
      <c r="O72" s="702" t="n"/>
      <c r="P72" s="702" t="n"/>
      <c r="Q72" s="757" t="n"/>
      <c r="R72" s="702" t="n"/>
      <c r="S72" s="762" t="n"/>
      <c r="T72" s="702" t="n"/>
      <c r="U72" s="702" t="n"/>
      <c r="V72" s="702" t="n"/>
      <c r="W72" s="702" t="n"/>
      <c r="X72" s="702" t="n"/>
      <c r="Y72" s="702" t="n"/>
      <c r="Z72" s="702" t="n"/>
      <c r="AA72" s="702" t="n"/>
      <c r="AB72" s="702" t="n"/>
    </row>
    <row r="73">
      <c r="A73" s="757" t="n"/>
      <c r="B73" s="757" t="n"/>
      <c r="C73" s="702" t="n"/>
      <c r="D73" s="702" t="n"/>
      <c r="E73" s="702" t="n"/>
      <c r="F73" s="702" t="n"/>
      <c r="G73" s="702" t="n"/>
      <c r="H73" s="757" t="n"/>
      <c r="I73" s="702" t="n"/>
      <c r="J73" s="702" t="n"/>
      <c r="K73" s="702" t="n"/>
      <c r="L73" s="757" t="n"/>
      <c r="M73" s="757" t="n"/>
      <c r="N73" s="757" t="n"/>
      <c r="O73" s="702" t="n"/>
      <c r="P73" s="702" t="n"/>
      <c r="Q73" s="757" t="n"/>
      <c r="R73" s="702" t="n"/>
      <c r="S73" s="762" t="n"/>
      <c r="T73" s="702" t="n"/>
      <c r="U73" s="702" t="n"/>
      <c r="V73" s="702" t="n"/>
      <c r="W73" s="702" t="n"/>
      <c r="X73" s="702" t="n"/>
      <c r="Y73" s="702" t="n"/>
      <c r="Z73" s="702" t="n"/>
      <c r="AA73" s="702" t="n"/>
      <c r="AB73" s="702" t="n"/>
    </row>
    <row r="74">
      <c r="A74" s="757" t="n"/>
      <c r="B74" s="757" t="n"/>
      <c r="C74" s="702" t="n"/>
      <c r="D74" s="702" t="n"/>
      <c r="E74" s="702" t="n"/>
      <c r="F74" s="702" t="n"/>
      <c r="G74" s="702" t="n"/>
      <c r="H74" s="757" t="n"/>
      <c r="I74" s="702" t="n"/>
      <c r="J74" s="702" t="n"/>
      <c r="K74" s="702" t="n"/>
      <c r="L74" s="757" t="n"/>
      <c r="M74" s="757" t="n"/>
      <c r="N74" s="757" t="n"/>
      <c r="O74" s="702" t="n"/>
      <c r="P74" s="702" t="n"/>
      <c r="Q74" s="757" t="n"/>
      <c r="R74" s="702" t="n"/>
      <c r="S74" s="762" t="n"/>
      <c r="T74" s="702" t="n"/>
      <c r="U74" s="702" t="n"/>
      <c r="V74" s="702" t="n"/>
      <c r="W74" s="702" t="n"/>
      <c r="X74" s="702" t="n"/>
      <c r="Y74" s="702" t="n"/>
      <c r="Z74" s="702" t="n"/>
      <c r="AA74" s="702" t="n"/>
      <c r="AB74" s="702" t="n"/>
    </row>
    <row r="75">
      <c r="A75" s="757" t="n"/>
      <c r="B75" s="757" t="n"/>
      <c r="C75" s="702" t="n"/>
      <c r="D75" s="702" t="n"/>
      <c r="E75" s="702" t="n"/>
      <c r="F75" s="702" t="n"/>
      <c r="G75" s="702" t="n"/>
      <c r="H75" s="757" t="n"/>
      <c r="I75" s="702" t="n"/>
      <c r="J75" s="702" t="n"/>
      <c r="K75" s="702" t="n"/>
      <c r="L75" s="757" t="n"/>
      <c r="M75" s="757" t="n"/>
      <c r="N75" s="757" t="n"/>
      <c r="O75" s="702" t="n"/>
      <c r="P75" s="702" t="n"/>
      <c r="Q75" s="757" t="n"/>
      <c r="R75" s="702" t="n"/>
      <c r="S75" s="762" t="n"/>
      <c r="T75" s="702" t="n"/>
      <c r="U75" s="702" t="n"/>
      <c r="V75" s="702" t="n"/>
      <c r="W75" s="702" t="n"/>
      <c r="X75" s="702" t="n"/>
      <c r="Y75" s="702" t="n"/>
      <c r="Z75" s="702" t="n"/>
      <c r="AA75" s="702" t="n"/>
      <c r="AB75" s="702" t="n"/>
    </row>
    <row r="76">
      <c r="A76" s="757" t="n"/>
      <c r="B76" s="757" t="n"/>
      <c r="C76" s="702" t="n"/>
      <c r="D76" s="702" t="n"/>
      <c r="E76" s="702" t="n"/>
      <c r="F76" s="702" t="n"/>
      <c r="G76" s="702" t="n"/>
      <c r="H76" s="757" t="n"/>
      <c r="I76" s="702" t="n"/>
      <c r="J76" s="702" t="n"/>
      <c r="K76" s="702" t="n"/>
      <c r="L76" s="757" t="n"/>
      <c r="M76" s="757" t="n"/>
      <c r="N76" s="757" t="n"/>
      <c r="O76" s="702" t="n"/>
      <c r="P76" s="702" t="n"/>
      <c r="Q76" s="757" t="n"/>
      <c r="R76" s="702" t="n"/>
      <c r="S76" s="762" t="n"/>
      <c r="T76" s="702" t="n"/>
      <c r="U76" s="702" t="n"/>
      <c r="V76" s="702" t="n"/>
      <c r="W76" s="702" t="n"/>
      <c r="X76" s="702" t="n"/>
      <c r="Y76" s="702" t="n"/>
      <c r="Z76" s="702" t="n"/>
      <c r="AA76" s="702" t="n"/>
      <c r="AB76" s="702" t="n"/>
    </row>
    <row r="77">
      <c r="A77" s="757" t="n"/>
      <c r="B77" s="757" t="n"/>
      <c r="C77" s="702" t="n"/>
      <c r="D77" s="702" t="n"/>
      <c r="E77" s="702" t="n"/>
      <c r="F77" s="702" t="n"/>
      <c r="G77" s="702" t="n"/>
      <c r="H77" s="757" t="n"/>
      <c r="I77" s="702" t="n"/>
      <c r="J77" s="702" t="n"/>
      <c r="K77" s="702" t="n"/>
      <c r="L77" s="757" t="n"/>
      <c r="M77" s="757" t="n"/>
      <c r="N77" s="757" t="n"/>
      <c r="O77" s="702" t="n"/>
      <c r="P77" s="702" t="n"/>
      <c r="Q77" s="757" t="n"/>
      <c r="R77" s="702" t="n"/>
      <c r="S77" s="762" t="n"/>
      <c r="T77" s="702" t="n"/>
      <c r="U77" s="702" t="n"/>
      <c r="V77" s="702" t="n"/>
      <c r="W77" s="702" t="n"/>
      <c r="X77" s="702" t="n"/>
      <c r="Y77" s="702" t="n"/>
      <c r="Z77" s="702" t="n"/>
      <c r="AA77" s="702" t="n"/>
      <c r="AB77" s="702" t="n"/>
    </row>
    <row r="78">
      <c r="A78" s="757" t="n"/>
      <c r="B78" s="757" t="n"/>
      <c r="C78" s="702" t="n"/>
      <c r="D78" s="702" t="n"/>
      <c r="E78" s="702" t="n"/>
      <c r="F78" s="702" t="n"/>
      <c r="G78" s="702" t="n"/>
      <c r="H78" s="757" t="n"/>
      <c r="I78" s="702" t="n"/>
      <c r="J78" s="702" t="n"/>
      <c r="K78" s="702" t="n"/>
      <c r="L78" s="757" t="n"/>
      <c r="M78" s="757" t="n"/>
      <c r="N78" s="757" t="n"/>
      <c r="O78" s="702" t="n"/>
      <c r="P78" s="702" t="n"/>
      <c r="Q78" s="757" t="n"/>
      <c r="R78" s="702" t="n"/>
      <c r="S78" s="762" t="n"/>
      <c r="T78" s="702" t="n"/>
      <c r="U78" s="702" t="n"/>
      <c r="V78" s="702" t="n"/>
      <c r="W78" s="702" t="n"/>
      <c r="X78" s="702" t="n"/>
      <c r="Y78" s="702" t="n"/>
      <c r="Z78" s="702" t="n"/>
      <c r="AA78" s="702" t="n"/>
      <c r="AB78" s="702" t="n"/>
    </row>
    <row r="79">
      <c r="A79" s="757" t="n"/>
      <c r="B79" s="757" t="n"/>
      <c r="C79" s="702" t="n"/>
      <c r="D79" s="702" t="n"/>
      <c r="E79" s="702" t="n"/>
      <c r="F79" s="702" t="n"/>
      <c r="G79" s="702" t="n"/>
      <c r="H79" s="757" t="n"/>
      <c r="I79" s="702" t="n"/>
      <c r="J79" s="702" t="n"/>
      <c r="K79" s="702" t="n"/>
      <c r="L79" s="757" t="n"/>
      <c r="M79" s="757" t="n"/>
      <c r="N79" s="757" t="n"/>
      <c r="O79" s="702" t="n"/>
      <c r="P79" s="702" t="n"/>
      <c r="Q79" s="757" t="n"/>
      <c r="R79" s="702" t="n"/>
      <c r="S79" s="762" t="n"/>
      <c r="T79" s="702" t="n"/>
      <c r="U79" s="702" t="n"/>
      <c r="V79" s="702" t="n"/>
      <c r="W79" s="702" t="n"/>
      <c r="X79" s="702" t="n"/>
      <c r="Y79" s="702" t="n"/>
      <c r="Z79" s="702" t="n"/>
      <c r="AA79" s="702" t="n"/>
      <c r="AB79" s="702" t="n"/>
    </row>
    <row r="80">
      <c r="A80" s="757" t="n"/>
      <c r="B80" s="757" t="n"/>
      <c r="C80" s="702" t="n"/>
      <c r="D80" s="702" t="n"/>
      <c r="E80" s="702" t="n"/>
      <c r="F80" s="702" t="n"/>
      <c r="G80" s="702" t="n"/>
      <c r="H80" s="757" t="n"/>
      <c r="I80" s="702" t="n"/>
      <c r="J80" s="702" t="n"/>
      <c r="K80" s="702" t="n"/>
      <c r="L80" s="757" t="n"/>
      <c r="M80" s="757" t="n"/>
      <c r="N80" s="757" t="n"/>
      <c r="O80" s="702" t="n"/>
      <c r="P80" s="702" t="n"/>
      <c r="Q80" s="757" t="n"/>
      <c r="R80" s="702" t="n"/>
      <c r="S80" s="762" t="n"/>
      <c r="T80" s="702" t="n"/>
      <c r="U80" s="702" t="n"/>
      <c r="V80" s="702" t="n"/>
      <c r="W80" s="702" t="n"/>
      <c r="X80" s="702" t="n"/>
      <c r="Y80" s="702" t="n"/>
      <c r="Z80" s="702" t="n"/>
      <c r="AA80" s="702" t="n"/>
      <c r="AB80" s="702" t="n"/>
    </row>
    <row r="81">
      <c r="A81" s="757" t="n"/>
      <c r="B81" s="757" t="n"/>
      <c r="C81" s="702" t="n"/>
      <c r="D81" s="702" t="n"/>
      <c r="E81" s="702" t="n"/>
      <c r="F81" s="702" t="n"/>
      <c r="G81" s="702" t="n"/>
      <c r="H81" s="757" t="n"/>
      <c r="I81" s="702" t="n"/>
      <c r="J81" s="702" t="n"/>
      <c r="K81" s="702" t="n"/>
      <c r="L81" s="757" t="n"/>
      <c r="M81" s="757" t="n"/>
      <c r="N81" s="757" t="n"/>
      <c r="O81" s="702" t="n"/>
      <c r="P81" s="702" t="n"/>
      <c r="Q81" s="757" t="n"/>
      <c r="R81" s="702" t="n"/>
      <c r="S81" s="762" t="n"/>
      <c r="T81" s="702" t="n"/>
      <c r="U81" s="702" t="n"/>
      <c r="V81" s="702" t="n"/>
      <c r="W81" s="702" t="n"/>
      <c r="X81" s="702" t="n"/>
      <c r="Y81" s="702" t="n"/>
      <c r="Z81" s="702" t="n"/>
      <c r="AA81" s="702" t="n"/>
      <c r="AB81" s="702" t="n"/>
    </row>
    <row r="82">
      <c r="A82" s="757" t="n"/>
      <c r="B82" s="757" t="n"/>
      <c r="C82" s="702" t="n"/>
      <c r="D82" s="702" t="n"/>
      <c r="E82" s="702" t="n"/>
      <c r="F82" s="702" t="n"/>
      <c r="G82" s="702" t="n"/>
      <c r="H82" s="757" t="n"/>
      <c r="I82" s="702" t="n"/>
      <c r="J82" s="702" t="n"/>
      <c r="K82" s="702" t="n"/>
      <c r="L82" s="757" t="n"/>
      <c r="M82" s="757" t="n"/>
      <c r="N82" s="757" t="n"/>
      <c r="O82" s="702" t="n"/>
      <c r="P82" s="702" t="n"/>
      <c r="Q82" s="757" t="n"/>
      <c r="R82" s="702" t="n"/>
      <c r="S82" s="762" t="n"/>
      <c r="T82" s="702" t="n"/>
      <c r="U82" s="702" t="n"/>
      <c r="V82" s="702" t="n"/>
      <c r="W82" s="702" t="n"/>
      <c r="X82" s="702" t="n"/>
      <c r="Y82" s="702" t="n"/>
      <c r="Z82" s="702" t="n"/>
      <c r="AA82" s="702" t="n"/>
      <c r="AB82" s="702" t="n"/>
    </row>
    <row r="83">
      <c r="A83" s="757" t="n"/>
      <c r="B83" s="757" t="n"/>
      <c r="C83" s="702" t="n"/>
      <c r="D83" s="702" t="n"/>
      <c r="E83" s="702" t="n"/>
      <c r="F83" s="702" t="n"/>
      <c r="G83" s="702" t="n"/>
      <c r="H83" s="757" t="n"/>
      <c r="I83" s="702" t="n"/>
      <c r="J83" s="702" t="n"/>
      <c r="K83" s="702" t="n"/>
      <c r="L83" s="757" t="n"/>
      <c r="M83" s="757" t="n"/>
      <c r="N83" s="757" t="n"/>
      <c r="O83" s="702" t="n"/>
      <c r="P83" s="702" t="n"/>
      <c r="Q83" s="757" t="n"/>
      <c r="R83" s="702" t="n"/>
      <c r="S83" s="762" t="n"/>
      <c r="T83" s="702" t="n"/>
      <c r="U83" s="702" t="n"/>
      <c r="V83" s="702" t="n"/>
      <c r="W83" s="702" t="n"/>
      <c r="X83" s="702" t="n"/>
      <c r="Y83" s="702" t="n"/>
      <c r="Z83" s="702" t="n"/>
      <c r="AA83" s="702" t="n"/>
      <c r="AB83" s="702" t="n"/>
    </row>
    <row r="84">
      <c r="A84" s="757" t="n"/>
      <c r="B84" s="757" t="n"/>
      <c r="C84" s="702" t="n"/>
      <c r="D84" s="702" t="n"/>
      <c r="E84" s="702" t="n"/>
      <c r="F84" s="702" t="n"/>
      <c r="G84" s="702" t="n"/>
      <c r="H84" s="757" t="n"/>
      <c r="I84" s="702" t="n"/>
      <c r="J84" s="702" t="n"/>
      <c r="K84" s="702" t="n"/>
      <c r="L84" s="757" t="n"/>
      <c r="M84" s="757" t="n"/>
      <c r="N84" s="757" t="n"/>
      <c r="O84" s="702" t="n"/>
      <c r="P84" s="702" t="n"/>
      <c r="Q84" s="757" t="n"/>
      <c r="R84" s="702" t="n"/>
      <c r="S84" s="762" t="n"/>
      <c r="T84" s="702" t="n"/>
      <c r="U84" s="702" t="n"/>
      <c r="V84" s="702" t="n"/>
      <c r="W84" s="702" t="n"/>
      <c r="X84" s="702" t="n"/>
      <c r="Y84" s="702" t="n"/>
      <c r="Z84" s="702" t="n"/>
      <c r="AA84" s="702" t="n"/>
      <c r="AB84" s="702" t="n"/>
    </row>
    <row r="85">
      <c r="A85" s="757" t="n"/>
      <c r="B85" s="757" t="n"/>
      <c r="C85" s="702" t="n"/>
      <c r="D85" s="702" t="n"/>
      <c r="E85" s="702" t="n"/>
      <c r="F85" s="702" t="n"/>
      <c r="G85" s="702" t="n"/>
      <c r="H85" s="757" t="n"/>
      <c r="I85" s="702" t="n"/>
      <c r="J85" s="702" t="n"/>
      <c r="K85" s="702" t="n"/>
      <c r="L85" s="757" t="n"/>
      <c r="M85" s="757" t="n"/>
      <c r="N85" s="757" t="n"/>
      <c r="O85" s="702" t="n"/>
      <c r="P85" s="702" t="n"/>
      <c r="Q85" s="757" t="n"/>
      <c r="R85" s="702" t="n"/>
      <c r="S85" s="762" t="n"/>
      <c r="T85" s="702" t="n"/>
      <c r="U85" s="702" t="n"/>
      <c r="V85" s="702" t="n"/>
      <c r="W85" s="702" t="n"/>
      <c r="X85" s="702" t="n"/>
      <c r="Y85" s="702" t="n"/>
      <c r="Z85" s="702" t="n"/>
      <c r="AA85" s="702" t="n"/>
      <c r="AB85" s="702" t="n"/>
    </row>
    <row r="86">
      <c r="A86" s="757" t="n"/>
      <c r="B86" s="757" t="n"/>
      <c r="C86" s="702" t="n"/>
      <c r="D86" s="702" t="n"/>
      <c r="E86" s="702" t="n"/>
      <c r="F86" s="702" t="n"/>
      <c r="G86" s="702" t="n"/>
      <c r="H86" s="757" t="n"/>
      <c r="I86" s="702" t="n"/>
      <c r="J86" s="702" t="n"/>
      <c r="K86" s="702" t="n"/>
      <c r="L86" s="757" t="n"/>
      <c r="M86" s="757" t="n"/>
      <c r="N86" s="757" t="n"/>
      <c r="O86" s="702" t="n"/>
      <c r="P86" s="702" t="n"/>
      <c r="Q86" s="757" t="n"/>
      <c r="R86" s="702" t="n"/>
      <c r="S86" s="762" t="n"/>
      <c r="T86" s="702" t="n"/>
      <c r="U86" s="702" t="n"/>
      <c r="V86" s="702" t="n"/>
      <c r="W86" s="702" t="n"/>
      <c r="X86" s="702" t="n"/>
      <c r="Y86" s="702" t="n"/>
      <c r="Z86" s="702" t="n"/>
      <c r="AA86" s="702" t="n"/>
      <c r="AB86" s="702" t="n"/>
    </row>
    <row r="87">
      <c r="A87" s="757" t="n"/>
      <c r="B87" s="757" t="n"/>
      <c r="C87" s="702" t="n"/>
      <c r="D87" s="702" t="n"/>
      <c r="E87" s="702" t="n"/>
      <c r="F87" s="702" t="n"/>
      <c r="G87" s="702" t="n"/>
      <c r="H87" s="757" t="n"/>
      <c r="I87" s="702" t="n"/>
      <c r="J87" s="702" t="n"/>
      <c r="K87" s="702" t="n"/>
      <c r="L87" s="757" t="n"/>
      <c r="M87" s="757" t="n"/>
      <c r="N87" s="757" t="n"/>
      <c r="O87" s="702" t="n"/>
      <c r="P87" s="702" t="n"/>
      <c r="Q87" s="757" t="n"/>
      <c r="R87" s="702" t="n"/>
      <c r="S87" s="762" t="n"/>
      <c r="T87" s="702" t="n"/>
      <c r="U87" s="702" t="n"/>
      <c r="V87" s="702" t="n"/>
      <c r="W87" s="702" t="n"/>
      <c r="X87" s="702" t="n"/>
      <c r="Y87" s="702" t="n"/>
      <c r="Z87" s="702" t="n"/>
      <c r="AA87" s="702" t="n"/>
      <c r="AB87" s="702" t="n"/>
    </row>
    <row r="88">
      <c r="A88" s="757" t="n"/>
      <c r="B88" s="757" t="n"/>
      <c r="C88" s="702" t="n"/>
      <c r="D88" s="702" t="n"/>
      <c r="E88" s="702" t="n"/>
      <c r="F88" s="702" t="n"/>
      <c r="G88" s="702" t="n"/>
      <c r="H88" s="757" t="n"/>
      <c r="I88" s="702" t="n"/>
      <c r="J88" s="702" t="n"/>
      <c r="K88" s="702" t="n"/>
      <c r="L88" s="757" t="n"/>
      <c r="M88" s="757" t="n"/>
      <c r="N88" s="757" t="n"/>
      <c r="O88" s="702" t="n"/>
      <c r="P88" s="702" t="n"/>
      <c r="Q88" s="757" t="n"/>
      <c r="R88" s="702" t="n"/>
      <c r="S88" s="762" t="n"/>
      <c r="T88" s="702" t="n"/>
      <c r="U88" s="702" t="n"/>
      <c r="V88" s="702" t="n"/>
      <c r="W88" s="702" t="n"/>
      <c r="X88" s="702" t="n"/>
      <c r="Y88" s="702" t="n"/>
      <c r="Z88" s="702" t="n"/>
      <c r="AA88" s="702" t="n"/>
      <c r="AB88" s="702" t="n"/>
    </row>
    <row r="89">
      <c r="A89" s="757" t="n"/>
      <c r="B89" s="757" t="n"/>
      <c r="C89" s="702" t="n"/>
      <c r="D89" s="702" t="n"/>
      <c r="E89" s="702" t="n"/>
      <c r="F89" s="702" t="n"/>
      <c r="G89" s="702" t="n"/>
      <c r="H89" s="757" t="n"/>
      <c r="I89" s="702" t="n"/>
      <c r="J89" s="702" t="n"/>
      <c r="K89" s="702" t="n"/>
      <c r="L89" s="757" t="n"/>
      <c r="M89" s="757" t="n"/>
      <c r="N89" s="757" t="n"/>
      <c r="O89" s="702" t="n"/>
      <c r="P89" s="702" t="n"/>
      <c r="Q89" s="757" t="n"/>
      <c r="R89" s="702" t="n"/>
      <c r="S89" s="762" t="n"/>
      <c r="T89" s="702" t="n"/>
      <c r="U89" s="702" t="n"/>
      <c r="V89" s="702" t="n"/>
      <c r="W89" s="702" t="n"/>
      <c r="X89" s="702" t="n"/>
      <c r="Y89" s="702" t="n"/>
      <c r="Z89" s="702" t="n"/>
      <c r="AA89" s="702" t="n"/>
      <c r="AB89" s="702" t="n"/>
    </row>
    <row r="90">
      <c r="A90" s="757" t="n"/>
      <c r="B90" s="757" t="n"/>
      <c r="C90" s="702" t="n"/>
      <c r="D90" s="702" t="n"/>
      <c r="E90" s="702" t="n"/>
      <c r="F90" s="702" t="n"/>
      <c r="G90" s="702" t="n"/>
      <c r="H90" s="757" t="n"/>
      <c r="I90" s="702" t="n"/>
      <c r="J90" s="702" t="n"/>
      <c r="K90" s="702" t="n"/>
      <c r="L90" s="757" t="n"/>
      <c r="M90" s="757" t="n"/>
      <c r="N90" s="757" t="n"/>
      <c r="O90" s="702" t="n"/>
      <c r="P90" s="702" t="n"/>
      <c r="Q90" s="757" t="n"/>
      <c r="R90" s="702" t="n"/>
      <c r="S90" s="762" t="n"/>
      <c r="T90" s="702" t="n"/>
      <c r="U90" s="702" t="n"/>
      <c r="V90" s="702" t="n"/>
      <c r="W90" s="702" t="n"/>
      <c r="X90" s="702" t="n"/>
      <c r="Y90" s="702" t="n"/>
      <c r="Z90" s="702" t="n"/>
      <c r="AA90" s="702" t="n"/>
      <c r="AB90" s="702" t="n"/>
    </row>
    <row r="91">
      <c r="A91" s="757" t="n"/>
      <c r="B91" s="757" t="n"/>
      <c r="C91" s="702" t="n"/>
      <c r="D91" s="702" t="n"/>
      <c r="E91" s="702" t="n"/>
      <c r="F91" s="702" t="n"/>
      <c r="G91" s="702" t="n"/>
      <c r="H91" s="757" t="n"/>
      <c r="I91" s="702" t="n"/>
      <c r="J91" s="702" t="n"/>
      <c r="K91" s="702" t="n"/>
      <c r="L91" s="757" t="n"/>
      <c r="M91" s="757" t="n"/>
      <c r="N91" s="757" t="n"/>
      <c r="O91" s="702" t="n"/>
      <c r="P91" s="702" t="n"/>
      <c r="Q91" s="757" t="n"/>
      <c r="R91" s="702" t="n"/>
      <c r="S91" s="762" t="n"/>
      <c r="T91" s="702" t="n"/>
      <c r="U91" s="702" t="n"/>
      <c r="V91" s="702" t="n"/>
      <c r="W91" s="702" t="n"/>
      <c r="X91" s="702" t="n"/>
      <c r="Y91" s="702" t="n"/>
      <c r="Z91" s="702" t="n"/>
      <c r="AA91" s="702" t="n"/>
      <c r="AB91" s="702" t="n"/>
    </row>
    <row r="92">
      <c r="A92" s="757" t="n"/>
      <c r="B92" s="757" t="n"/>
      <c r="C92" s="702" t="n"/>
      <c r="D92" s="702" t="n"/>
      <c r="E92" s="702" t="n"/>
      <c r="F92" s="702" t="n"/>
      <c r="G92" s="702" t="n"/>
      <c r="H92" s="757" t="n"/>
      <c r="I92" s="702" t="n"/>
      <c r="J92" s="702" t="n"/>
      <c r="K92" s="702" t="n"/>
      <c r="L92" s="757" t="n"/>
      <c r="M92" s="757" t="n"/>
      <c r="N92" s="757" t="n"/>
      <c r="O92" s="702" t="n"/>
      <c r="P92" s="702" t="n"/>
      <c r="Q92" s="757" t="n"/>
      <c r="R92" s="702" t="n"/>
      <c r="S92" s="762" t="n"/>
      <c r="T92" s="702" t="n"/>
      <c r="U92" s="702" t="n"/>
      <c r="V92" s="702" t="n"/>
      <c r="W92" s="702" t="n"/>
      <c r="X92" s="702" t="n"/>
      <c r="Y92" s="702" t="n"/>
      <c r="Z92" s="702" t="n"/>
      <c r="AA92" s="702" t="n"/>
      <c r="AB92" s="702" t="n"/>
    </row>
    <row r="93">
      <c r="A93" s="757" t="n"/>
      <c r="B93" s="757" t="n"/>
      <c r="C93" s="702" t="n"/>
      <c r="D93" s="702" t="n"/>
      <c r="E93" s="702" t="n"/>
      <c r="F93" s="702" t="n"/>
      <c r="G93" s="702" t="n"/>
      <c r="H93" s="757" t="n"/>
      <c r="I93" s="702" t="n"/>
      <c r="J93" s="702" t="n"/>
      <c r="K93" s="702" t="n"/>
      <c r="L93" s="757" t="n"/>
      <c r="M93" s="757" t="n"/>
      <c r="N93" s="757" t="n"/>
      <c r="O93" s="702" t="n"/>
      <c r="P93" s="702" t="n"/>
      <c r="Q93" s="757" t="n"/>
      <c r="R93" s="702" t="n"/>
      <c r="S93" s="762" t="n"/>
      <c r="T93" s="702" t="n"/>
      <c r="U93" s="702" t="n"/>
      <c r="V93" s="702" t="n"/>
      <c r="W93" s="702" t="n"/>
      <c r="X93" s="702" t="n"/>
      <c r="Y93" s="702" t="n"/>
      <c r="Z93" s="702" t="n"/>
      <c r="AA93" s="702" t="n"/>
      <c r="AB93" s="702" t="n"/>
    </row>
    <row r="94">
      <c r="A94" s="757" t="n"/>
      <c r="B94" s="757" t="n"/>
      <c r="C94" s="702" t="n"/>
      <c r="D94" s="702" t="n"/>
      <c r="E94" s="702" t="n"/>
      <c r="F94" s="702" t="n"/>
      <c r="G94" s="702" t="n"/>
      <c r="H94" s="757" t="n"/>
      <c r="I94" s="702" t="n"/>
      <c r="J94" s="702" t="n"/>
      <c r="K94" s="702" t="n"/>
      <c r="L94" s="757" t="n"/>
      <c r="M94" s="757" t="n"/>
      <c r="N94" s="757" t="n"/>
      <c r="O94" s="702" t="n"/>
      <c r="P94" s="702" t="n"/>
      <c r="Q94" s="757" t="n"/>
      <c r="R94" s="702" t="n"/>
      <c r="S94" s="762" t="n"/>
      <c r="T94" s="702" t="n"/>
      <c r="U94" s="702" t="n"/>
      <c r="V94" s="702" t="n"/>
      <c r="W94" s="702" t="n"/>
      <c r="X94" s="702" t="n"/>
      <c r="Y94" s="702" t="n"/>
      <c r="Z94" s="702" t="n"/>
      <c r="AA94" s="702" t="n"/>
      <c r="AB94" s="702" t="n"/>
    </row>
    <row r="95">
      <c r="A95" s="757" t="n"/>
      <c r="B95" s="757" t="n"/>
      <c r="C95" s="702" t="n"/>
      <c r="D95" s="702" t="n"/>
      <c r="E95" s="702" t="n"/>
      <c r="F95" s="702" t="n"/>
      <c r="G95" s="702" t="n"/>
      <c r="H95" s="757" t="n"/>
      <c r="I95" s="702" t="n"/>
      <c r="J95" s="702" t="n"/>
      <c r="K95" s="702" t="n"/>
      <c r="L95" s="757" t="n"/>
      <c r="M95" s="757" t="n"/>
      <c r="N95" s="757" t="n"/>
      <c r="O95" s="702" t="n"/>
      <c r="P95" s="702" t="n"/>
      <c r="Q95" s="757" t="n"/>
      <c r="R95" s="702" t="n"/>
      <c r="S95" s="762" t="n"/>
      <c r="T95" s="702" t="n"/>
      <c r="U95" s="702" t="n"/>
      <c r="V95" s="702" t="n"/>
      <c r="W95" s="702" t="n"/>
      <c r="X95" s="702" t="n"/>
      <c r="Y95" s="702" t="n"/>
      <c r="Z95" s="702" t="n"/>
      <c r="AA95" s="702" t="n"/>
      <c r="AB95" s="702" t="n"/>
    </row>
    <row r="96">
      <c r="A96" s="757" t="n"/>
      <c r="B96" s="757" t="n"/>
      <c r="C96" s="702" t="n"/>
      <c r="D96" s="702" t="n"/>
      <c r="E96" s="702" t="n"/>
      <c r="F96" s="702" t="n"/>
      <c r="G96" s="702" t="n"/>
      <c r="H96" s="757" t="n"/>
      <c r="I96" s="702" t="n"/>
      <c r="J96" s="702" t="n"/>
      <c r="K96" s="702" t="n"/>
      <c r="L96" s="757" t="n"/>
      <c r="M96" s="757" t="n"/>
      <c r="N96" s="757" t="n"/>
      <c r="O96" s="702" t="n"/>
      <c r="P96" s="702" t="n"/>
      <c r="Q96" s="757" t="n"/>
      <c r="R96" s="702" t="n"/>
      <c r="S96" s="762" t="n"/>
      <c r="T96" s="702" t="n"/>
      <c r="U96" s="702" t="n"/>
      <c r="V96" s="702" t="n"/>
      <c r="W96" s="702" t="n"/>
      <c r="X96" s="702" t="n"/>
      <c r="Y96" s="702" t="n"/>
      <c r="Z96" s="702" t="n"/>
      <c r="AA96" s="702" t="n"/>
      <c r="AB96" s="702" t="n"/>
    </row>
    <row r="97">
      <c r="A97" s="757" t="n"/>
      <c r="B97" s="757" t="n"/>
      <c r="C97" s="702" t="n"/>
      <c r="D97" s="702" t="n"/>
      <c r="E97" s="702" t="n"/>
      <c r="F97" s="702" t="n"/>
      <c r="G97" s="702" t="n"/>
      <c r="H97" s="757" t="n"/>
      <c r="I97" s="702" t="n"/>
      <c r="J97" s="702" t="n"/>
      <c r="K97" s="702" t="n"/>
      <c r="L97" s="757" t="n"/>
      <c r="M97" s="757" t="n"/>
      <c r="N97" s="757" t="n"/>
      <c r="O97" s="702" t="n"/>
      <c r="P97" s="702" t="n"/>
      <c r="Q97" s="757" t="n"/>
      <c r="R97" s="702" t="n"/>
      <c r="S97" s="762" t="n"/>
      <c r="T97" s="702" t="n"/>
      <c r="U97" s="702" t="n"/>
      <c r="V97" s="702" t="n"/>
      <c r="W97" s="702" t="n"/>
      <c r="X97" s="702" t="n"/>
      <c r="Y97" s="702" t="n"/>
      <c r="Z97" s="702" t="n"/>
      <c r="AA97" s="702" t="n"/>
      <c r="AB97" s="702" t="n"/>
    </row>
    <row r="98">
      <c r="A98" s="757" t="n"/>
      <c r="B98" s="757" t="n"/>
      <c r="C98" s="702" t="n"/>
      <c r="D98" s="702" t="n"/>
      <c r="E98" s="702" t="n"/>
      <c r="F98" s="702" t="n"/>
      <c r="G98" s="702" t="n"/>
      <c r="H98" s="757" t="n"/>
      <c r="I98" s="702" t="n"/>
      <c r="J98" s="702" t="n"/>
      <c r="K98" s="702" t="n"/>
      <c r="L98" s="757" t="n"/>
      <c r="M98" s="757" t="n"/>
      <c r="N98" s="757" t="n"/>
      <c r="O98" s="702" t="n"/>
      <c r="P98" s="702" t="n"/>
      <c r="Q98" s="757" t="n"/>
      <c r="R98" s="702" t="n"/>
      <c r="S98" s="762" t="n"/>
      <c r="T98" s="702" t="n"/>
      <c r="U98" s="702" t="n"/>
      <c r="V98" s="702" t="n"/>
      <c r="W98" s="702" t="n"/>
      <c r="X98" s="702" t="n"/>
      <c r="Y98" s="702" t="n"/>
      <c r="Z98" s="702" t="n"/>
      <c r="AA98" s="702" t="n"/>
      <c r="AB98" s="702" t="n"/>
    </row>
    <row r="99">
      <c r="A99" s="757" t="n"/>
      <c r="B99" s="757" t="n"/>
      <c r="C99" s="702" t="n"/>
      <c r="D99" s="702" t="n"/>
      <c r="E99" s="702" t="n"/>
      <c r="F99" s="702" t="n"/>
      <c r="G99" s="702" t="n"/>
      <c r="H99" s="757" t="n"/>
      <c r="I99" s="702" t="n"/>
      <c r="J99" s="702" t="n"/>
      <c r="K99" s="702" t="n"/>
      <c r="L99" s="757" t="n"/>
      <c r="M99" s="757" t="n"/>
      <c r="N99" s="757" t="n"/>
      <c r="O99" s="702" t="n"/>
      <c r="P99" s="702" t="n"/>
      <c r="Q99" s="757" t="n"/>
      <c r="R99" s="702" t="n"/>
      <c r="S99" s="762" t="n"/>
      <c r="T99" s="702" t="n"/>
      <c r="U99" s="702" t="n"/>
      <c r="V99" s="702" t="n"/>
      <c r="W99" s="702" t="n"/>
      <c r="X99" s="702" t="n"/>
      <c r="Y99" s="702" t="n"/>
      <c r="Z99" s="702" t="n"/>
      <c r="AA99" s="702" t="n"/>
      <c r="AB99" s="702" t="n"/>
    </row>
    <row r="100">
      <c r="A100" s="757" t="n"/>
      <c r="B100" s="757" t="n"/>
      <c r="C100" s="702" t="n"/>
      <c r="D100" s="702" t="n"/>
      <c r="E100" s="702" t="n"/>
      <c r="F100" s="702" t="n"/>
      <c r="G100" s="702" t="n"/>
      <c r="H100" s="757" t="n"/>
      <c r="I100" s="702" t="n"/>
      <c r="J100" s="702" t="n"/>
      <c r="K100" s="702" t="n"/>
      <c r="L100" s="757" t="n"/>
      <c r="M100" s="757" t="n"/>
      <c r="N100" s="757" t="n"/>
      <c r="O100" s="702" t="n"/>
      <c r="P100" s="702" t="n"/>
      <c r="Q100" s="757" t="n"/>
      <c r="R100" s="702" t="n"/>
      <c r="S100" s="762" t="n"/>
      <c r="T100" s="702" t="n"/>
      <c r="U100" s="702" t="n"/>
      <c r="V100" s="702" t="n"/>
      <c r="W100" s="702" t="n"/>
      <c r="X100" s="702" t="n"/>
      <c r="Y100" s="702" t="n"/>
      <c r="Z100" s="702" t="n"/>
      <c r="AA100" s="702" t="n"/>
      <c r="AB100" s="702" t="n"/>
    </row>
    <row r="101">
      <c r="A101" s="757" t="n"/>
      <c r="B101" s="757" t="n"/>
      <c r="C101" s="702" t="n"/>
      <c r="D101" s="702" t="n"/>
      <c r="E101" s="702" t="n"/>
      <c r="F101" s="702" t="n"/>
      <c r="G101" s="702" t="n"/>
      <c r="H101" s="757" t="n"/>
      <c r="I101" s="702" t="n"/>
      <c r="J101" s="702" t="n"/>
      <c r="K101" s="702" t="n"/>
      <c r="L101" s="757" t="n"/>
      <c r="M101" s="757" t="n"/>
      <c r="N101" s="757" t="n"/>
      <c r="O101" s="702" t="n"/>
      <c r="P101" s="702" t="n"/>
      <c r="Q101" s="757" t="n"/>
      <c r="R101" s="702" t="n"/>
      <c r="S101" s="762" t="n"/>
      <c r="T101" s="702" t="n"/>
      <c r="U101" s="702" t="n"/>
      <c r="V101" s="702" t="n"/>
      <c r="W101" s="702" t="n"/>
      <c r="X101" s="702" t="n"/>
      <c r="Y101" s="702" t="n"/>
      <c r="Z101" s="702" t="n"/>
      <c r="AA101" s="702" t="n"/>
      <c r="AB101" s="702" t="n"/>
    </row>
    <row r="102">
      <c r="A102" s="757" t="n"/>
      <c r="B102" s="757" t="n"/>
      <c r="C102" s="702" t="n"/>
      <c r="D102" s="702" t="n"/>
      <c r="E102" s="702" t="n"/>
      <c r="F102" s="702" t="n"/>
      <c r="G102" s="702" t="n"/>
      <c r="H102" s="757" t="n"/>
      <c r="I102" s="702" t="n"/>
      <c r="J102" s="702" t="n"/>
      <c r="K102" s="702" t="n"/>
      <c r="L102" s="757" t="n"/>
      <c r="M102" s="757" t="n"/>
      <c r="N102" s="757" t="n"/>
      <c r="O102" s="702" t="n"/>
      <c r="P102" s="702" t="n"/>
      <c r="Q102" s="757" t="n"/>
      <c r="R102" s="702" t="n"/>
      <c r="S102" s="762" t="n"/>
      <c r="T102" s="702" t="n"/>
      <c r="U102" s="702" t="n"/>
      <c r="V102" s="702" t="n"/>
      <c r="W102" s="702" t="n"/>
      <c r="X102" s="702" t="n"/>
      <c r="Y102" s="702" t="n"/>
      <c r="Z102" s="702" t="n"/>
      <c r="AA102" s="702" t="n"/>
      <c r="AB102" s="702" t="n"/>
    </row>
    <row r="103">
      <c r="A103" s="757" t="n"/>
      <c r="B103" s="757" t="n"/>
      <c r="C103" s="702" t="n"/>
      <c r="D103" s="702" t="n"/>
      <c r="E103" s="702" t="n"/>
      <c r="F103" s="702" t="n"/>
      <c r="G103" s="702" t="n"/>
      <c r="H103" s="757" t="n"/>
      <c r="I103" s="702" t="n"/>
      <c r="J103" s="702" t="n"/>
      <c r="K103" s="702" t="n"/>
      <c r="L103" s="757" t="n"/>
      <c r="M103" s="757" t="n"/>
      <c r="N103" s="757" t="n"/>
      <c r="O103" s="702" t="n"/>
      <c r="P103" s="702" t="n"/>
      <c r="Q103" s="757" t="n"/>
      <c r="R103" s="702" t="n"/>
      <c r="S103" s="762" t="n"/>
      <c r="T103" s="702" t="n"/>
      <c r="U103" s="702" t="n"/>
      <c r="V103" s="702" t="n"/>
      <c r="W103" s="702" t="n"/>
      <c r="X103" s="702" t="n"/>
      <c r="Y103" s="702" t="n"/>
      <c r="Z103" s="702" t="n"/>
      <c r="AA103" s="702" t="n"/>
      <c r="AB103" s="702" t="n"/>
    </row>
    <row r="104">
      <c r="A104" s="757" t="n"/>
      <c r="B104" s="757" t="n"/>
      <c r="C104" s="702" t="n"/>
      <c r="D104" s="702" t="n"/>
      <c r="E104" s="702" t="n"/>
      <c r="F104" s="702" t="n"/>
      <c r="G104" s="702" t="n"/>
      <c r="H104" s="757" t="n"/>
      <c r="I104" s="702" t="n"/>
      <c r="J104" s="702" t="n"/>
      <c r="K104" s="702" t="n"/>
      <c r="L104" s="757" t="n"/>
      <c r="M104" s="757" t="n"/>
      <c r="N104" s="757" t="n"/>
      <c r="O104" s="702" t="n"/>
      <c r="P104" s="702" t="n"/>
      <c r="Q104" s="757" t="n"/>
      <c r="R104" s="702" t="n"/>
      <c r="S104" s="762" t="n"/>
      <c r="T104" s="702" t="n"/>
      <c r="U104" s="702" t="n"/>
      <c r="V104" s="702" t="n"/>
      <c r="W104" s="702" t="n"/>
      <c r="X104" s="702" t="n"/>
      <c r="Y104" s="702" t="n"/>
      <c r="Z104" s="702" t="n"/>
      <c r="AA104" s="702" t="n"/>
      <c r="AB104" s="702" t="n"/>
    </row>
    <row r="105">
      <c r="A105" s="757" t="n"/>
      <c r="B105" s="757" t="n"/>
      <c r="C105" s="702" t="n"/>
      <c r="D105" s="702" t="n"/>
      <c r="E105" s="702" t="n"/>
      <c r="F105" s="702" t="n"/>
      <c r="G105" s="702" t="n"/>
      <c r="H105" s="757" t="n"/>
      <c r="I105" s="702" t="n"/>
      <c r="J105" s="702" t="n"/>
      <c r="K105" s="702" t="n"/>
      <c r="L105" s="757" t="n"/>
      <c r="M105" s="757" t="n"/>
      <c r="N105" s="757" t="n"/>
      <c r="O105" s="702" t="n"/>
      <c r="P105" s="702" t="n"/>
      <c r="Q105" s="757" t="n"/>
      <c r="R105" s="702" t="n"/>
      <c r="S105" s="762" t="n"/>
      <c r="T105" s="702" t="n"/>
      <c r="U105" s="702" t="n"/>
      <c r="V105" s="702" t="n"/>
      <c r="W105" s="702" t="n"/>
      <c r="X105" s="702" t="n"/>
      <c r="Y105" s="702" t="n"/>
      <c r="Z105" s="702" t="n"/>
      <c r="AA105" s="702" t="n"/>
      <c r="AB105" s="702" t="n"/>
    </row>
    <row r="106">
      <c r="A106" s="757" t="n"/>
      <c r="B106" s="757" t="n"/>
      <c r="C106" s="702" t="n"/>
      <c r="D106" s="702" t="n"/>
      <c r="E106" s="702" t="n"/>
      <c r="F106" s="702" t="n"/>
      <c r="G106" s="702" t="n"/>
      <c r="H106" s="757" t="n"/>
      <c r="I106" s="702" t="n"/>
      <c r="J106" s="702" t="n"/>
      <c r="K106" s="702" t="n"/>
      <c r="L106" s="757" t="n"/>
      <c r="M106" s="757" t="n"/>
      <c r="N106" s="757" t="n"/>
      <c r="O106" s="702" t="n"/>
      <c r="P106" s="702" t="n"/>
      <c r="Q106" s="757" t="n"/>
      <c r="R106" s="702" t="n"/>
      <c r="S106" s="762" t="n"/>
      <c r="T106" s="702" t="n"/>
      <c r="U106" s="702" t="n"/>
      <c r="V106" s="702" t="n"/>
      <c r="W106" s="702" t="n"/>
      <c r="X106" s="702" t="n"/>
      <c r="Y106" s="702" t="n"/>
      <c r="Z106" s="702" t="n"/>
      <c r="AA106" s="702" t="n"/>
      <c r="AB106" s="702" t="n"/>
    </row>
    <row r="107">
      <c r="A107" s="757" t="n"/>
      <c r="B107" s="757" t="n"/>
      <c r="C107" s="702" t="n"/>
      <c r="D107" s="702" t="n"/>
      <c r="E107" s="702" t="n"/>
      <c r="F107" s="702" t="n"/>
      <c r="G107" s="702" t="n"/>
      <c r="H107" s="757" t="n"/>
      <c r="I107" s="702" t="n"/>
      <c r="J107" s="702" t="n"/>
      <c r="K107" s="702" t="n"/>
      <c r="L107" s="757" t="n"/>
      <c r="M107" s="757" t="n"/>
      <c r="N107" s="757" t="n"/>
      <c r="O107" s="702" t="n"/>
      <c r="P107" s="702" t="n"/>
      <c r="Q107" s="757" t="n"/>
      <c r="R107" s="702" t="n"/>
      <c r="S107" s="762" t="n"/>
      <c r="T107" s="702" t="n"/>
      <c r="U107" s="702" t="n"/>
      <c r="V107" s="702" t="n"/>
      <c r="W107" s="702" t="n"/>
      <c r="X107" s="702" t="n"/>
      <c r="Y107" s="702" t="n"/>
      <c r="Z107" s="702" t="n"/>
      <c r="AA107" s="702" t="n"/>
      <c r="AB107" s="702" t="n"/>
    </row>
    <row r="108">
      <c r="A108" s="757" t="n"/>
      <c r="B108" s="757" t="n"/>
      <c r="C108" s="702" t="n"/>
      <c r="D108" s="702" t="n"/>
      <c r="E108" s="702" t="n"/>
      <c r="F108" s="702" t="n"/>
      <c r="G108" s="702" t="n"/>
      <c r="H108" s="757" t="n"/>
      <c r="I108" s="702" t="n"/>
      <c r="J108" s="702" t="n"/>
      <c r="K108" s="702" t="n"/>
      <c r="L108" s="757" t="n"/>
      <c r="M108" s="757" t="n"/>
      <c r="N108" s="757" t="n"/>
      <c r="O108" s="702" t="n"/>
      <c r="P108" s="702" t="n"/>
      <c r="Q108" s="757" t="n"/>
      <c r="R108" s="702" t="n"/>
      <c r="S108" s="762" t="n"/>
      <c r="T108" s="702" t="n"/>
      <c r="U108" s="702" t="n"/>
      <c r="V108" s="702" t="n"/>
      <c r="W108" s="702" t="n"/>
      <c r="X108" s="702" t="n"/>
      <c r="Y108" s="702" t="n"/>
      <c r="Z108" s="702" t="n"/>
      <c r="AA108" s="702" t="n"/>
      <c r="AB108" s="702" t="n"/>
    </row>
    <row r="109">
      <c r="A109" s="757" t="n"/>
      <c r="B109" s="757" t="n"/>
      <c r="C109" s="702" t="n"/>
      <c r="D109" s="702" t="n"/>
      <c r="E109" s="702" t="n"/>
      <c r="F109" s="702" t="n"/>
      <c r="G109" s="702" t="n"/>
      <c r="H109" s="757" t="n"/>
      <c r="I109" s="702" t="n"/>
      <c r="J109" s="702" t="n"/>
      <c r="K109" s="702" t="n"/>
      <c r="L109" s="757" t="n"/>
      <c r="M109" s="757" t="n"/>
      <c r="N109" s="757" t="n"/>
      <c r="O109" s="702" t="n"/>
      <c r="P109" s="702" t="n"/>
      <c r="Q109" s="757" t="n"/>
      <c r="R109" s="702" t="n"/>
      <c r="S109" s="762" t="n"/>
      <c r="T109" s="702" t="n"/>
      <c r="U109" s="702" t="n"/>
      <c r="V109" s="702" t="n"/>
      <c r="W109" s="702" t="n"/>
      <c r="X109" s="702" t="n"/>
      <c r="Y109" s="702" t="n"/>
      <c r="Z109" s="702" t="n"/>
      <c r="AA109" s="702" t="n"/>
      <c r="AB109" s="702" t="n"/>
    </row>
    <row r="110">
      <c r="A110" s="757" t="n"/>
      <c r="B110" s="757" t="n"/>
      <c r="C110" s="702" t="n"/>
      <c r="D110" s="702" t="n"/>
      <c r="E110" s="702" t="n"/>
      <c r="F110" s="702" t="n"/>
      <c r="G110" s="702" t="n"/>
      <c r="H110" s="757" t="n"/>
      <c r="I110" s="702" t="n"/>
      <c r="J110" s="702" t="n"/>
      <c r="K110" s="702" t="n"/>
      <c r="L110" s="757" t="n"/>
      <c r="M110" s="757" t="n"/>
      <c r="N110" s="757" t="n"/>
      <c r="O110" s="702" t="n"/>
      <c r="P110" s="702" t="n"/>
      <c r="Q110" s="757" t="n"/>
      <c r="R110" s="702" t="n"/>
      <c r="S110" s="762" t="n"/>
      <c r="T110" s="702" t="n"/>
      <c r="U110" s="702" t="n"/>
      <c r="V110" s="702" t="n"/>
      <c r="W110" s="702" t="n"/>
      <c r="X110" s="702" t="n"/>
      <c r="Y110" s="702" t="n"/>
      <c r="Z110" s="702" t="n"/>
      <c r="AA110" s="702" t="n"/>
      <c r="AB110" s="702" t="n"/>
    </row>
    <row r="111">
      <c r="A111" s="757" t="n"/>
      <c r="B111" s="757" t="n"/>
      <c r="C111" s="702" t="n"/>
      <c r="D111" s="702" t="n"/>
      <c r="E111" s="702" t="n"/>
      <c r="F111" s="702" t="n"/>
      <c r="G111" s="702" t="n"/>
      <c r="H111" s="757" t="n"/>
      <c r="I111" s="702" t="n"/>
      <c r="J111" s="702" t="n"/>
      <c r="K111" s="702" t="n"/>
      <c r="L111" s="757" t="n"/>
      <c r="M111" s="757" t="n"/>
      <c r="N111" s="757" t="n"/>
      <c r="O111" s="702" t="n"/>
      <c r="P111" s="702" t="n"/>
      <c r="Q111" s="757" t="n"/>
      <c r="R111" s="702" t="n"/>
      <c r="S111" s="762" t="n"/>
      <c r="T111" s="702" t="n"/>
      <c r="U111" s="702" t="n"/>
      <c r="V111" s="702" t="n"/>
      <c r="W111" s="702" t="n"/>
      <c r="X111" s="702" t="n"/>
      <c r="Y111" s="702" t="n"/>
      <c r="Z111" s="702" t="n"/>
      <c r="AA111" s="702" t="n"/>
      <c r="AB111" s="702" t="n"/>
    </row>
    <row r="112">
      <c r="A112" s="757" t="n"/>
      <c r="B112" s="757" t="n"/>
      <c r="C112" s="702" t="n"/>
      <c r="D112" s="702" t="n"/>
      <c r="E112" s="702" t="n"/>
      <c r="F112" s="702" t="n"/>
      <c r="G112" s="702" t="n"/>
      <c r="H112" s="757" t="n"/>
      <c r="I112" s="702" t="n"/>
      <c r="J112" s="702" t="n"/>
      <c r="K112" s="702" t="n"/>
      <c r="L112" s="757" t="n"/>
      <c r="M112" s="757" t="n"/>
      <c r="N112" s="757" t="n"/>
      <c r="O112" s="702" t="n"/>
      <c r="P112" s="702" t="n"/>
      <c r="Q112" s="757" t="n"/>
      <c r="R112" s="702" t="n"/>
      <c r="S112" s="762" t="n"/>
      <c r="T112" s="702" t="n"/>
      <c r="U112" s="702" t="n"/>
      <c r="V112" s="702" t="n"/>
      <c r="W112" s="702" t="n"/>
      <c r="X112" s="702" t="n"/>
      <c r="Y112" s="702" t="n"/>
      <c r="Z112" s="702" t="n"/>
      <c r="AA112" s="702" t="n"/>
      <c r="AB112" s="702" t="n"/>
    </row>
    <row r="113">
      <c r="A113" s="757" t="n"/>
      <c r="B113" s="757" t="n"/>
      <c r="C113" s="702" t="n"/>
      <c r="D113" s="702" t="n"/>
      <c r="E113" s="702" t="n"/>
      <c r="F113" s="702" t="n"/>
      <c r="G113" s="702" t="n"/>
      <c r="H113" s="757" t="n"/>
      <c r="I113" s="702" t="n"/>
      <c r="J113" s="702" t="n"/>
      <c r="K113" s="702" t="n"/>
      <c r="L113" s="757" t="n"/>
      <c r="M113" s="757" t="n"/>
      <c r="N113" s="757" t="n"/>
      <c r="O113" s="702" t="n"/>
      <c r="P113" s="702" t="n"/>
      <c r="Q113" s="757" t="n"/>
      <c r="R113" s="702" t="n"/>
      <c r="S113" s="762" t="n"/>
      <c r="T113" s="702" t="n"/>
      <c r="U113" s="702" t="n"/>
      <c r="V113" s="702" t="n"/>
      <c r="W113" s="702" t="n"/>
      <c r="X113" s="702" t="n"/>
      <c r="Y113" s="702" t="n"/>
      <c r="Z113" s="702" t="n"/>
      <c r="AA113" s="702" t="n"/>
      <c r="AB113" s="702" t="n"/>
    </row>
    <row r="114">
      <c r="A114" s="757" t="n"/>
      <c r="B114" s="757" t="n"/>
      <c r="C114" s="702" t="n"/>
      <c r="D114" s="702" t="n"/>
      <c r="E114" s="702" t="n"/>
      <c r="F114" s="702" t="n"/>
      <c r="G114" s="702" t="n"/>
      <c r="H114" s="757" t="n"/>
      <c r="I114" s="702" t="n"/>
      <c r="J114" s="702" t="n"/>
      <c r="K114" s="702" t="n"/>
      <c r="L114" s="757" t="n"/>
      <c r="M114" s="757" t="n"/>
      <c r="N114" s="757" t="n"/>
      <c r="O114" s="702" t="n"/>
      <c r="P114" s="702" t="n"/>
      <c r="Q114" s="757" t="n"/>
      <c r="R114" s="702" t="n"/>
      <c r="S114" s="762" t="n"/>
      <c r="T114" s="702" t="n"/>
      <c r="U114" s="702" t="n"/>
      <c r="V114" s="702" t="n"/>
      <c r="W114" s="702" t="n"/>
      <c r="X114" s="702" t="n"/>
      <c r="Y114" s="702" t="n"/>
      <c r="Z114" s="702" t="n"/>
      <c r="AA114" s="702" t="n"/>
      <c r="AB114" s="702" t="n"/>
    </row>
    <row r="115">
      <c r="A115" s="757" t="n"/>
      <c r="B115" s="757" t="n"/>
      <c r="C115" s="702" t="n"/>
      <c r="D115" s="702" t="n"/>
      <c r="E115" s="702" t="n"/>
      <c r="F115" s="702" t="n"/>
      <c r="G115" s="702" t="n"/>
      <c r="H115" s="757" t="n"/>
      <c r="I115" s="702" t="n"/>
      <c r="J115" s="702" t="n"/>
      <c r="K115" s="702" t="n"/>
      <c r="L115" s="757" t="n"/>
      <c r="M115" s="757" t="n"/>
      <c r="N115" s="757" t="n"/>
      <c r="O115" s="702" t="n"/>
      <c r="P115" s="702" t="n"/>
      <c r="Q115" s="757" t="n"/>
      <c r="R115" s="702" t="n"/>
      <c r="S115" s="762" t="n"/>
      <c r="T115" s="702" t="n"/>
      <c r="U115" s="702" t="n"/>
      <c r="V115" s="702" t="n"/>
      <c r="W115" s="702" t="n"/>
      <c r="X115" s="702" t="n"/>
      <c r="Y115" s="702" t="n"/>
      <c r="Z115" s="702" t="n"/>
      <c r="AA115" s="702" t="n"/>
      <c r="AB115" s="702" t="n"/>
    </row>
    <row r="116">
      <c r="A116" s="757" t="n"/>
      <c r="B116" s="757" t="n"/>
      <c r="C116" s="702" t="n"/>
      <c r="D116" s="702" t="n"/>
      <c r="E116" s="702" t="n"/>
      <c r="F116" s="702" t="n"/>
      <c r="G116" s="702" t="n"/>
      <c r="H116" s="757" t="n"/>
      <c r="I116" s="702" t="n"/>
      <c r="J116" s="702" t="n"/>
      <c r="K116" s="702" t="n"/>
      <c r="L116" s="757" t="n"/>
      <c r="M116" s="757" t="n"/>
      <c r="N116" s="757" t="n"/>
      <c r="O116" s="702" t="n"/>
      <c r="P116" s="702" t="n"/>
      <c r="Q116" s="757" t="n"/>
      <c r="R116" s="702" t="n"/>
      <c r="S116" s="762" t="n"/>
      <c r="T116" s="702" t="n"/>
      <c r="U116" s="702" t="n"/>
      <c r="V116" s="702" t="n"/>
      <c r="W116" s="702" t="n"/>
      <c r="X116" s="702" t="n"/>
      <c r="Y116" s="702" t="n"/>
      <c r="Z116" s="702" t="n"/>
      <c r="AA116" s="702" t="n"/>
      <c r="AB116" s="702" t="n"/>
    </row>
    <row r="117">
      <c r="A117" s="757" t="n"/>
      <c r="B117" s="757" t="n"/>
      <c r="C117" s="702" t="n"/>
      <c r="D117" s="702" t="n"/>
      <c r="E117" s="702" t="n"/>
      <c r="F117" s="702" t="n"/>
      <c r="G117" s="702" t="n"/>
      <c r="H117" s="757" t="n"/>
      <c r="I117" s="702" t="n"/>
      <c r="J117" s="702" t="n"/>
      <c r="K117" s="702" t="n"/>
      <c r="L117" s="757" t="n"/>
      <c r="M117" s="757" t="n"/>
      <c r="N117" s="757" t="n"/>
      <c r="O117" s="702" t="n"/>
      <c r="P117" s="702" t="n"/>
      <c r="Q117" s="757" t="n"/>
      <c r="R117" s="702" t="n"/>
      <c r="S117" s="762" t="n"/>
      <c r="T117" s="702" t="n"/>
      <c r="U117" s="702" t="n"/>
      <c r="V117" s="702" t="n"/>
      <c r="W117" s="702" t="n"/>
      <c r="X117" s="702" t="n"/>
      <c r="Y117" s="702" t="n"/>
      <c r="Z117" s="702" t="n"/>
      <c r="AA117" s="702" t="n"/>
      <c r="AB117" s="702" t="n"/>
    </row>
    <row r="118">
      <c r="A118" s="757" t="n"/>
      <c r="B118" s="757" t="n"/>
      <c r="C118" s="702" t="n"/>
      <c r="D118" s="702" t="n"/>
      <c r="E118" s="702" t="n"/>
      <c r="F118" s="702" t="n"/>
      <c r="G118" s="702" t="n"/>
      <c r="H118" s="757" t="n"/>
      <c r="I118" s="702" t="n"/>
      <c r="J118" s="702" t="n"/>
      <c r="K118" s="702" t="n"/>
      <c r="L118" s="757" t="n"/>
      <c r="M118" s="757" t="n"/>
      <c r="N118" s="757" t="n"/>
      <c r="O118" s="702" t="n"/>
      <c r="P118" s="702" t="n"/>
      <c r="Q118" s="757" t="n"/>
      <c r="R118" s="702" t="n"/>
      <c r="S118" s="762" t="n"/>
      <c r="T118" s="702" t="n"/>
      <c r="U118" s="702" t="n"/>
      <c r="V118" s="702" t="n"/>
      <c r="W118" s="702" t="n"/>
      <c r="X118" s="702" t="n"/>
      <c r="Y118" s="702" t="n"/>
      <c r="Z118" s="702" t="n"/>
      <c r="AA118" s="702" t="n"/>
      <c r="AB118" s="702" t="n"/>
    </row>
    <row r="119">
      <c r="A119" s="757" t="n"/>
      <c r="B119" s="757" t="n"/>
      <c r="C119" s="702" t="n"/>
      <c r="D119" s="702" t="n"/>
      <c r="E119" s="702" t="n"/>
      <c r="F119" s="702" t="n"/>
      <c r="G119" s="702" t="n"/>
      <c r="H119" s="757" t="n"/>
      <c r="I119" s="702" t="n"/>
      <c r="J119" s="702" t="n"/>
      <c r="K119" s="702" t="n"/>
      <c r="L119" s="757" t="n"/>
      <c r="M119" s="757" t="n"/>
      <c r="N119" s="757" t="n"/>
      <c r="O119" s="702" t="n"/>
      <c r="P119" s="702" t="n"/>
      <c r="Q119" s="757" t="n"/>
      <c r="R119" s="702" t="n"/>
      <c r="S119" s="762" t="n"/>
      <c r="T119" s="702" t="n"/>
      <c r="U119" s="702" t="n"/>
      <c r="V119" s="702" t="n"/>
      <c r="W119" s="702" t="n"/>
      <c r="X119" s="702" t="n"/>
      <c r="Y119" s="702" t="n"/>
      <c r="Z119" s="702" t="n"/>
      <c r="AA119" s="702" t="n"/>
      <c r="AB119" s="702" t="n"/>
    </row>
    <row r="120">
      <c r="A120" s="757" t="n"/>
      <c r="B120" s="757" t="n"/>
      <c r="C120" s="702" t="n"/>
      <c r="D120" s="702" t="n"/>
      <c r="E120" s="702" t="n"/>
      <c r="F120" s="702" t="n"/>
      <c r="G120" s="702" t="n"/>
      <c r="H120" s="757" t="n"/>
      <c r="I120" s="702" t="n"/>
      <c r="J120" s="702" t="n"/>
      <c r="K120" s="702" t="n"/>
      <c r="L120" s="757" t="n"/>
      <c r="M120" s="757" t="n"/>
      <c r="N120" s="757" t="n"/>
      <c r="O120" s="702" t="n"/>
      <c r="P120" s="702" t="n"/>
      <c r="Q120" s="757" t="n"/>
      <c r="R120" s="702" t="n"/>
      <c r="S120" s="762" t="n"/>
      <c r="T120" s="702" t="n"/>
      <c r="U120" s="702" t="n"/>
      <c r="V120" s="702" t="n"/>
      <c r="W120" s="702" t="n"/>
      <c r="X120" s="702" t="n"/>
      <c r="Y120" s="702" t="n"/>
      <c r="Z120" s="702" t="n"/>
      <c r="AA120" s="702" t="n"/>
      <c r="AB120" s="702" t="n"/>
    </row>
    <row r="121">
      <c r="A121" s="757" t="n"/>
      <c r="B121" s="757" t="n"/>
      <c r="C121" s="702" t="n"/>
      <c r="D121" s="702" t="n"/>
      <c r="E121" s="702" t="n"/>
      <c r="F121" s="702" t="n"/>
      <c r="G121" s="702" t="n"/>
      <c r="H121" s="757" t="n"/>
      <c r="I121" s="702" t="n"/>
      <c r="J121" s="702" t="n"/>
      <c r="K121" s="702" t="n"/>
      <c r="L121" s="757" t="n"/>
      <c r="M121" s="757" t="n"/>
      <c r="N121" s="757" t="n"/>
      <c r="O121" s="702" t="n"/>
      <c r="P121" s="702" t="n"/>
      <c r="Q121" s="757" t="n"/>
      <c r="R121" s="702" t="n"/>
      <c r="S121" s="762" t="n"/>
      <c r="T121" s="702" t="n"/>
      <c r="U121" s="702" t="n"/>
      <c r="V121" s="702" t="n"/>
      <c r="W121" s="702" t="n"/>
      <c r="X121" s="702" t="n"/>
      <c r="Y121" s="702" t="n"/>
      <c r="Z121" s="702" t="n"/>
      <c r="AA121" s="702" t="n"/>
      <c r="AB121" s="702" t="n"/>
    </row>
    <row r="122">
      <c r="A122" s="757" t="n"/>
      <c r="B122" s="757" t="n"/>
      <c r="C122" s="702" t="n"/>
      <c r="D122" s="702" t="n"/>
      <c r="E122" s="702" t="n"/>
      <c r="F122" s="702" t="n"/>
      <c r="G122" s="702" t="n"/>
      <c r="H122" s="757" t="n"/>
      <c r="I122" s="702" t="n"/>
      <c r="J122" s="702" t="n"/>
      <c r="K122" s="702" t="n"/>
      <c r="L122" s="757" t="n"/>
      <c r="M122" s="757" t="n"/>
      <c r="N122" s="757" t="n"/>
      <c r="O122" s="702" t="n"/>
      <c r="P122" s="702" t="n"/>
      <c r="Q122" s="757" t="n"/>
      <c r="R122" s="702" t="n"/>
      <c r="S122" s="762" t="n"/>
      <c r="T122" s="702" t="n"/>
      <c r="U122" s="702" t="n"/>
      <c r="V122" s="702" t="n"/>
      <c r="W122" s="702" t="n"/>
      <c r="X122" s="702" t="n"/>
      <c r="Y122" s="702" t="n"/>
      <c r="Z122" s="702" t="n"/>
      <c r="AA122" s="702" t="n"/>
      <c r="AB122" s="702" t="n"/>
    </row>
    <row r="123">
      <c r="A123" s="757" t="n"/>
      <c r="B123" s="757" t="n"/>
      <c r="C123" s="702" t="n"/>
      <c r="D123" s="702" t="n"/>
      <c r="E123" s="702" t="n"/>
      <c r="F123" s="702" t="n"/>
      <c r="G123" s="702" t="n"/>
      <c r="H123" s="757" t="n"/>
      <c r="I123" s="702" t="n"/>
      <c r="J123" s="702" t="n"/>
      <c r="K123" s="702" t="n"/>
      <c r="L123" s="757" t="n"/>
      <c r="M123" s="757" t="n"/>
      <c r="N123" s="757" t="n"/>
      <c r="O123" s="702" t="n"/>
      <c r="P123" s="702" t="n"/>
      <c r="Q123" s="757" t="n"/>
      <c r="R123" s="702" t="n"/>
      <c r="S123" s="762" t="n"/>
      <c r="T123" s="702" t="n"/>
      <c r="U123" s="702" t="n"/>
      <c r="V123" s="702" t="n"/>
      <c r="W123" s="702" t="n"/>
      <c r="X123" s="702" t="n"/>
      <c r="Y123" s="702" t="n"/>
      <c r="Z123" s="702" t="n"/>
      <c r="AA123" s="702" t="n"/>
      <c r="AB123" s="702" t="n"/>
    </row>
    <row r="124">
      <c r="A124" s="757" t="n"/>
      <c r="B124" s="757" t="n"/>
      <c r="C124" s="702" t="n"/>
      <c r="D124" s="702" t="n"/>
      <c r="E124" s="702" t="n"/>
      <c r="F124" s="702" t="n"/>
      <c r="G124" s="702" t="n"/>
      <c r="H124" s="757" t="n"/>
      <c r="I124" s="702" t="n"/>
      <c r="J124" s="702" t="n"/>
      <c r="K124" s="702" t="n"/>
      <c r="L124" s="757" t="n"/>
      <c r="M124" s="757" t="n"/>
      <c r="N124" s="757" t="n"/>
      <c r="O124" s="702" t="n"/>
      <c r="P124" s="702" t="n"/>
      <c r="Q124" s="757" t="n"/>
      <c r="R124" s="702" t="n"/>
      <c r="S124" s="762" t="n"/>
      <c r="T124" s="702" t="n"/>
      <c r="U124" s="702" t="n"/>
      <c r="V124" s="702" t="n"/>
      <c r="W124" s="702" t="n"/>
      <c r="X124" s="702" t="n"/>
      <c r="Y124" s="702" t="n"/>
      <c r="Z124" s="702" t="n"/>
      <c r="AA124" s="702" t="n"/>
      <c r="AB124" s="702" t="n"/>
    </row>
    <row r="125">
      <c r="A125" s="757" t="n"/>
      <c r="B125" s="757" t="n"/>
      <c r="C125" s="702" t="n"/>
      <c r="D125" s="702" t="n"/>
      <c r="E125" s="702" t="n"/>
      <c r="F125" s="702" t="n"/>
      <c r="G125" s="702" t="n"/>
      <c r="H125" s="757" t="n"/>
      <c r="I125" s="702" t="n"/>
      <c r="J125" s="702" t="n"/>
      <c r="K125" s="702" t="n"/>
      <c r="L125" s="757" t="n"/>
      <c r="M125" s="757" t="n"/>
      <c r="N125" s="757" t="n"/>
      <c r="O125" s="702" t="n"/>
      <c r="P125" s="702" t="n"/>
      <c r="Q125" s="757" t="n"/>
      <c r="R125" s="702" t="n"/>
      <c r="S125" s="762" t="n"/>
      <c r="T125" s="702" t="n"/>
      <c r="U125" s="702" t="n"/>
      <c r="V125" s="702" t="n"/>
      <c r="W125" s="702" t="n"/>
      <c r="X125" s="702" t="n"/>
      <c r="Y125" s="702" t="n"/>
      <c r="Z125" s="702" t="n"/>
      <c r="AA125" s="702" t="n"/>
      <c r="AB125" s="702" t="n"/>
    </row>
    <row r="126">
      <c r="A126" s="757" t="n"/>
      <c r="B126" s="757" t="n"/>
      <c r="C126" s="702" t="n"/>
      <c r="D126" s="702" t="n"/>
      <c r="E126" s="702" t="n"/>
      <c r="F126" s="702" t="n"/>
      <c r="G126" s="702" t="n"/>
      <c r="H126" s="757" t="n"/>
      <c r="I126" s="702" t="n"/>
      <c r="J126" s="702" t="n"/>
      <c r="K126" s="702" t="n"/>
      <c r="L126" s="757" t="n"/>
      <c r="M126" s="757" t="n"/>
      <c r="N126" s="757" t="n"/>
      <c r="O126" s="702" t="n"/>
      <c r="P126" s="702" t="n"/>
      <c r="Q126" s="757" t="n"/>
      <c r="R126" s="702" t="n"/>
      <c r="S126" s="762" t="n"/>
      <c r="T126" s="702" t="n"/>
      <c r="U126" s="702" t="n"/>
      <c r="V126" s="702" t="n"/>
      <c r="W126" s="702" t="n"/>
      <c r="X126" s="702" t="n"/>
      <c r="Y126" s="702" t="n"/>
      <c r="Z126" s="702" t="n"/>
      <c r="AA126" s="702" t="n"/>
      <c r="AB126" s="702" t="n"/>
    </row>
    <row r="127">
      <c r="A127" s="757" t="n"/>
      <c r="B127" s="757" t="n"/>
      <c r="C127" s="702" t="n"/>
      <c r="D127" s="702" t="n"/>
      <c r="E127" s="702" t="n"/>
      <c r="F127" s="702" t="n"/>
      <c r="G127" s="702" t="n"/>
      <c r="H127" s="757" t="n"/>
      <c r="I127" s="702" t="n"/>
      <c r="J127" s="702" t="n"/>
      <c r="K127" s="702" t="n"/>
      <c r="L127" s="757" t="n"/>
      <c r="M127" s="757" t="n"/>
      <c r="N127" s="757" t="n"/>
      <c r="O127" s="702" t="n"/>
      <c r="P127" s="702" t="n"/>
      <c r="Q127" s="757" t="n"/>
      <c r="R127" s="702" t="n"/>
      <c r="S127" s="762" t="n"/>
      <c r="T127" s="702" t="n"/>
      <c r="U127" s="702" t="n"/>
      <c r="V127" s="702" t="n"/>
      <c r="W127" s="702" t="n"/>
      <c r="X127" s="702" t="n"/>
      <c r="Y127" s="702" t="n"/>
      <c r="Z127" s="702" t="n"/>
      <c r="AA127" s="702" t="n"/>
      <c r="AB127" s="702" t="n"/>
    </row>
    <row r="128">
      <c r="A128" s="757" t="n"/>
      <c r="B128" s="757" t="n"/>
      <c r="C128" s="702" t="n"/>
      <c r="D128" s="702" t="n"/>
      <c r="E128" s="702" t="n"/>
      <c r="F128" s="702" t="n"/>
      <c r="G128" s="702" t="n"/>
      <c r="H128" s="757" t="n"/>
      <c r="I128" s="702" t="n"/>
      <c r="J128" s="702" t="n"/>
      <c r="K128" s="702" t="n"/>
      <c r="L128" s="757" t="n"/>
      <c r="M128" s="757" t="n"/>
      <c r="N128" s="757" t="n"/>
      <c r="O128" s="702" t="n"/>
      <c r="P128" s="702" t="n"/>
      <c r="Q128" s="757" t="n"/>
      <c r="R128" s="702" t="n"/>
      <c r="S128" s="762" t="n"/>
      <c r="T128" s="702" t="n"/>
      <c r="U128" s="702" t="n"/>
      <c r="V128" s="702" t="n"/>
      <c r="W128" s="702" t="n"/>
      <c r="X128" s="702" t="n"/>
      <c r="Y128" s="702" t="n"/>
      <c r="Z128" s="702" t="n"/>
      <c r="AA128" s="702" t="n"/>
      <c r="AB128" s="702" t="n"/>
    </row>
    <row r="129">
      <c r="A129" s="757" t="n"/>
      <c r="B129" s="757" t="n"/>
      <c r="C129" s="702" t="n"/>
      <c r="D129" s="702" t="n"/>
      <c r="E129" s="702" t="n"/>
      <c r="F129" s="702" t="n"/>
      <c r="G129" s="702" t="n"/>
      <c r="H129" s="757" t="n"/>
      <c r="I129" s="702" t="n"/>
      <c r="J129" s="702" t="n"/>
      <c r="K129" s="702" t="n"/>
      <c r="L129" s="757" t="n"/>
      <c r="M129" s="757" t="n"/>
      <c r="N129" s="757" t="n"/>
      <c r="O129" s="702" t="n"/>
      <c r="P129" s="702" t="n"/>
      <c r="Q129" s="757" t="n"/>
      <c r="R129" s="702" t="n"/>
      <c r="S129" s="762" t="n"/>
      <c r="T129" s="702" t="n"/>
      <c r="U129" s="702" t="n"/>
      <c r="V129" s="702" t="n"/>
      <c r="W129" s="702" t="n"/>
      <c r="X129" s="702" t="n"/>
      <c r="Y129" s="702" t="n"/>
      <c r="Z129" s="702" t="n"/>
      <c r="AA129" s="702" t="n"/>
      <c r="AB129" s="702" t="n"/>
    </row>
    <row r="130">
      <c r="A130" s="757" t="n"/>
      <c r="B130" s="757" t="n"/>
      <c r="C130" s="702" t="n"/>
      <c r="D130" s="702" t="n"/>
      <c r="E130" s="702" t="n"/>
      <c r="F130" s="702" t="n"/>
      <c r="G130" s="702" t="n"/>
      <c r="H130" s="757" t="n"/>
      <c r="I130" s="702" t="n"/>
      <c r="J130" s="702" t="n"/>
      <c r="K130" s="702" t="n"/>
      <c r="L130" s="757" t="n"/>
      <c r="M130" s="757" t="n"/>
      <c r="N130" s="757" t="n"/>
      <c r="O130" s="702" t="n"/>
      <c r="P130" s="702" t="n"/>
      <c r="Q130" s="757" t="n"/>
      <c r="R130" s="702" t="n"/>
      <c r="S130" s="762" t="n"/>
      <c r="T130" s="702" t="n"/>
      <c r="U130" s="702" t="n"/>
      <c r="V130" s="702" t="n"/>
      <c r="W130" s="702" t="n"/>
      <c r="X130" s="702" t="n"/>
      <c r="Y130" s="702" t="n"/>
      <c r="Z130" s="702" t="n"/>
      <c r="AA130" s="702" t="n"/>
      <c r="AB130" s="702" t="n"/>
    </row>
    <row r="131">
      <c r="A131" s="757" t="n"/>
      <c r="B131" s="757" t="n"/>
      <c r="C131" s="702" t="n"/>
      <c r="D131" s="702" t="n"/>
      <c r="E131" s="702" t="n"/>
      <c r="F131" s="702" t="n"/>
      <c r="G131" s="702" t="n"/>
      <c r="H131" s="757" t="n"/>
      <c r="I131" s="702" t="n"/>
      <c r="J131" s="702" t="n"/>
      <c r="K131" s="702" t="n"/>
      <c r="L131" s="757" t="n"/>
      <c r="M131" s="757" t="n"/>
      <c r="N131" s="757" t="n"/>
      <c r="O131" s="702" t="n"/>
      <c r="P131" s="702" t="n"/>
      <c r="Q131" s="757" t="n"/>
      <c r="R131" s="702" t="n"/>
      <c r="S131" s="762" t="n"/>
      <c r="T131" s="702" t="n"/>
      <c r="U131" s="702" t="n"/>
      <c r="V131" s="702" t="n"/>
      <c r="W131" s="702" t="n"/>
      <c r="X131" s="702" t="n"/>
      <c r="Y131" s="702" t="n"/>
      <c r="Z131" s="702" t="n"/>
      <c r="AA131" s="702" t="n"/>
      <c r="AB131" s="702" t="n"/>
    </row>
    <row r="132">
      <c r="A132" s="757" t="n"/>
      <c r="B132" s="757" t="n"/>
      <c r="C132" s="702" t="n"/>
      <c r="D132" s="702" t="n"/>
      <c r="E132" s="702" t="n"/>
      <c r="F132" s="702" t="n"/>
      <c r="G132" s="702" t="n"/>
      <c r="H132" s="757" t="n"/>
      <c r="I132" s="702" t="n"/>
      <c r="J132" s="702" t="n"/>
      <c r="K132" s="702" t="n"/>
      <c r="L132" s="757" t="n"/>
      <c r="M132" s="757" t="n"/>
      <c r="N132" s="757" t="n"/>
      <c r="O132" s="702" t="n"/>
      <c r="P132" s="702" t="n"/>
      <c r="Q132" s="757" t="n"/>
      <c r="R132" s="702" t="n"/>
      <c r="S132" s="762" t="n"/>
      <c r="T132" s="702" t="n"/>
      <c r="U132" s="702" t="n"/>
      <c r="V132" s="702" t="n"/>
      <c r="W132" s="702" t="n"/>
      <c r="X132" s="702" t="n"/>
      <c r="Y132" s="702" t="n"/>
      <c r="Z132" s="702" t="n"/>
      <c r="AA132" s="702" t="n"/>
      <c r="AB132" s="702" t="n"/>
    </row>
    <row r="133">
      <c r="A133" s="757" t="n"/>
      <c r="B133" s="757" t="n"/>
      <c r="C133" s="702" t="n"/>
      <c r="D133" s="702" t="n"/>
      <c r="E133" s="702" t="n"/>
      <c r="F133" s="702" t="n"/>
      <c r="G133" s="702" t="n"/>
      <c r="H133" s="757" t="n"/>
      <c r="I133" s="702" t="n"/>
      <c r="J133" s="702" t="n"/>
      <c r="K133" s="702" t="n"/>
      <c r="L133" s="757" t="n"/>
      <c r="M133" s="757" t="n"/>
      <c r="N133" s="757" t="n"/>
      <c r="O133" s="702" t="n"/>
      <c r="P133" s="702" t="n"/>
      <c r="Q133" s="757" t="n"/>
      <c r="R133" s="702" t="n"/>
      <c r="S133" s="762" t="n"/>
      <c r="T133" s="702" t="n"/>
      <c r="U133" s="702" t="n"/>
      <c r="V133" s="702" t="n"/>
      <c r="W133" s="702" t="n"/>
      <c r="X133" s="702" t="n"/>
      <c r="Y133" s="702" t="n"/>
      <c r="Z133" s="702" t="n"/>
      <c r="AA133" s="702" t="n"/>
      <c r="AB133" s="702" t="n"/>
    </row>
    <row r="134">
      <c r="A134" s="757" t="n"/>
      <c r="B134" s="757" t="n"/>
      <c r="C134" s="702" t="n"/>
      <c r="D134" s="702" t="n"/>
      <c r="E134" s="702" t="n"/>
      <c r="F134" s="702" t="n"/>
      <c r="G134" s="702" t="n"/>
      <c r="H134" s="757" t="n"/>
      <c r="I134" s="702" t="n"/>
      <c r="J134" s="702" t="n"/>
      <c r="K134" s="702" t="n"/>
      <c r="L134" s="757" t="n"/>
      <c r="M134" s="757" t="n"/>
      <c r="N134" s="757" t="n"/>
      <c r="O134" s="702" t="n"/>
      <c r="P134" s="702" t="n"/>
      <c r="Q134" s="757" t="n"/>
      <c r="R134" s="702" t="n"/>
      <c r="S134" s="762" t="n"/>
      <c r="T134" s="702" t="n"/>
      <c r="U134" s="702" t="n"/>
      <c r="V134" s="702" t="n"/>
      <c r="W134" s="702" t="n"/>
      <c r="X134" s="702" t="n"/>
      <c r="Y134" s="702" t="n"/>
      <c r="Z134" s="702" t="n"/>
      <c r="AA134" s="702" t="n"/>
      <c r="AB134" s="702" t="n"/>
    </row>
    <row r="135">
      <c r="A135" s="757" t="n"/>
      <c r="B135" s="757" t="n"/>
      <c r="C135" s="702" t="n"/>
      <c r="D135" s="702" t="n"/>
      <c r="E135" s="702" t="n"/>
      <c r="F135" s="702" t="n"/>
      <c r="G135" s="702" t="n"/>
      <c r="H135" s="757" t="n"/>
      <c r="I135" s="702" t="n"/>
      <c r="J135" s="702" t="n"/>
      <c r="K135" s="702" t="n"/>
      <c r="L135" s="757" t="n"/>
      <c r="M135" s="757" t="n"/>
      <c r="N135" s="757" t="n"/>
      <c r="O135" s="702" t="n"/>
      <c r="P135" s="702" t="n"/>
      <c r="Q135" s="757" t="n"/>
      <c r="R135" s="702" t="n"/>
      <c r="S135" s="762" t="n"/>
      <c r="T135" s="702" t="n"/>
      <c r="U135" s="702" t="n"/>
      <c r="V135" s="702" t="n"/>
      <c r="W135" s="702" t="n"/>
      <c r="X135" s="702" t="n"/>
      <c r="Y135" s="702" t="n"/>
      <c r="Z135" s="702" t="n"/>
      <c r="AA135" s="702" t="n"/>
      <c r="AB135" s="702" t="n"/>
    </row>
    <row r="136">
      <c r="A136" s="757" t="n"/>
      <c r="B136" s="757" t="n"/>
      <c r="C136" s="702" t="n"/>
      <c r="D136" s="702" t="n"/>
      <c r="E136" s="702" t="n"/>
      <c r="F136" s="702" t="n"/>
      <c r="G136" s="702" t="n"/>
      <c r="H136" s="757" t="n"/>
      <c r="I136" s="702" t="n"/>
      <c r="J136" s="702" t="n"/>
      <c r="K136" s="702" t="n"/>
      <c r="L136" s="757" t="n"/>
      <c r="M136" s="757" t="n"/>
      <c r="N136" s="757" t="n"/>
      <c r="O136" s="702" t="n"/>
      <c r="P136" s="702" t="n"/>
      <c r="Q136" s="757" t="n"/>
      <c r="R136" s="702" t="n"/>
      <c r="S136" s="762" t="n"/>
      <c r="T136" s="702" t="n"/>
      <c r="U136" s="702" t="n"/>
      <c r="V136" s="702" t="n"/>
      <c r="W136" s="702" t="n"/>
      <c r="X136" s="702" t="n"/>
      <c r="Y136" s="702" t="n"/>
      <c r="Z136" s="702" t="n"/>
      <c r="AA136" s="702" t="n"/>
      <c r="AB136" s="702" t="n"/>
    </row>
    <row r="137">
      <c r="A137" s="757" t="n"/>
      <c r="B137" s="757" t="n"/>
      <c r="C137" s="702" t="n"/>
      <c r="D137" s="702" t="n"/>
      <c r="E137" s="702" t="n"/>
      <c r="F137" s="702" t="n"/>
      <c r="G137" s="702" t="n"/>
      <c r="H137" s="757" t="n"/>
      <c r="I137" s="702" t="n"/>
      <c r="J137" s="702" t="n"/>
      <c r="K137" s="702" t="n"/>
      <c r="L137" s="757" t="n"/>
      <c r="M137" s="757" t="n"/>
      <c r="N137" s="757" t="n"/>
      <c r="O137" s="702" t="n"/>
      <c r="P137" s="702" t="n"/>
      <c r="Q137" s="757" t="n"/>
      <c r="R137" s="702" t="n"/>
      <c r="S137" s="762" t="n"/>
      <c r="T137" s="702" t="n"/>
      <c r="U137" s="702" t="n"/>
      <c r="V137" s="702" t="n"/>
      <c r="W137" s="702" t="n"/>
      <c r="X137" s="702" t="n"/>
      <c r="Y137" s="702" t="n"/>
      <c r="Z137" s="702" t="n"/>
      <c r="AA137" s="702" t="n"/>
      <c r="AB137" s="702" t="n"/>
    </row>
    <row r="138">
      <c r="A138" s="757" t="n"/>
      <c r="B138" s="757" t="n"/>
      <c r="C138" s="702" t="n"/>
      <c r="D138" s="702" t="n"/>
      <c r="E138" s="702" t="n"/>
      <c r="F138" s="702" t="n"/>
      <c r="G138" s="702" t="n"/>
      <c r="H138" s="757" t="n"/>
      <c r="I138" s="702" t="n"/>
      <c r="J138" s="702" t="n"/>
      <c r="K138" s="702" t="n"/>
      <c r="L138" s="757" t="n"/>
      <c r="M138" s="757" t="n"/>
      <c r="N138" s="757" t="n"/>
      <c r="O138" s="702" t="n"/>
      <c r="P138" s="702" t="n"/>
      <c r="Q138" s="757" t="n"/>
      <c r="R138" s="702" t="n"/>
      <c r="S138" s="762" t="n"/>
      <c r="T138" s="702" t="n"/>
      <c r="U138" s="702" t="n"/>
      <c r="V138" s="702" t="n"/>
      <c r="W138" s="702" t="n"/>
      <c r="X138" s="702" t="n"/>
      <c r="Y138" s="702" t="n"/>
      <c r="Z138" s="702" t="n"/>
      <c r="AA138" s="702" t="n"/>
      <c r="AB138" s="702" t="n"/>
    </row>
    <row r="139">
      <c r="A139" s="757" t="n"/>
      <c r="B139" s="757" t="n"/>
      <c r="C139" s="702" t="n"/>
      <c r="D139" s="702" t="n"/>
      <c r="E139" s="702" t="n"/>
      <c r="F139" s="702" t="n"/>
      <c r="G139" s="702" t="n"/>
      <c r="H139" s="757" t="n"/>
      <c r="I139" s="702" t="n"/>
      <c r="J139" s="702" t="n"/>
      <c r="K139" s="702" t="n"/>
      <c r="L139" s="757" t="n"/>
      <c r="M139" s="757" t="n"/>
      <c r="N139" s="757" t="n"/>
      <c r="O139" s="702" t="n"/>
      <c r="P139" s="702" t="n"/>
      <c r="Q139" s="757" t="n"/>
      <c r="R139" s="702" t="n"/>
      <c r="S139" s="762" t="n"/>
      <c r="T139" s="702" t="n"/>
      <c r="U139" s="702" t="n"/>
      <c r="V139" s="702" t="n"/>
      <c r="W139" s="702" t="n"/>
      <c r="X139" s="702" t="n"/>
      <c r="Y139" s="702" t="n"/>
      <c r="Z139" s="702" t="n"/>
      <c r="AA139" s="702" t="n"/>
      <c r="AB139" s="702" t="n"/>
    </row>
    <row r="140">
      <c r="A140" s="757" t="n"/>
      <c r="B140" s="757" t="n"/>
      <c r="C140" s="702" t="n"/>
      <c r="D140" s="702" t="n"/>
      <c r="E140" s="702" t="n"/>
      <c r="F140" s="702" t="n"/>
      <c r="G140" s="702" t="n"/>
      <c r="H140" s="757" t="n"/>
      <c r="I140" s="702" t="n"/>
      <c r="J140" s="702" t="n"/>
      <c r="K140" s="702" t="n"/>
      <c r="L140" s="757" t="n"/>
      <c r="M140" s="757" t="n"/>
      <c r="N140" s="757" t="n"/>
      <c r="O140" s="702" t="n"/>
      <c r="P140" s="702" t="n"/>
      <c r="Q140" s="757" t="n"/>
      <c r="R140" s="702" t="n"/>
      <c r="S140" s="762" t="n"/>
      <c r="T140" s="702" t="n"/>
      <c r="U140" s="702" t="n"/>
      <c r="V140" s="702" t="n"/>
      <c r="W140" s="702" t="n"/>
      <c r="X140" s="702" t="n"/>
      <c r="Y140" s="702" t="n"/>
      <c r="Z140" s="702" t="n"/>
      <c r="AA140" s="702" t="n"/>
      <c r="AB140" s="702" t="n"/>
    </row>
    <row r="141">
      <c r="A141" s="757" t="n"/>
      <c r="B141" s="757" t="n"/>
      <c r="C141" s="702" t="n"/>
      <c r="D141" s="702" t="n"/>
      <c r="E141" s="702" t="n"/>
      <c r="F141" s="702" t="n"/>
      <c r="G141" s="702" t="n"/>
      <c r="H141" s="757" t="n"/>
      <c r="I141" s="702" t="n"/>
      <c r="J141" s="702" t="n"/>
      <c r="K141" s="702" t="n"/>
      <c r="L141" s="757" t="n"/>
      <c r="M141" s="757" t="n"/>
      <c r="N141" s="757" t="n"/>
      <c r="O141" s="702" t="n"/>
      <c r="P141" s="702" t="n"/>
      <c r="Q141" s="757" t="n"/>
      <c r="R141" s="702" t="n"/>
      <c r="S141" s="762" t="n"/>
      <c r="T141" s="702" t="n"/>
      <c r="U141" s="702" t="n"/>
      <c r="V141" s="702" t="n"/>
      <c r="W141" s="702" t="n"/>
      <c r="X141" s="702" t="n"/>
      <c r="Y141" s="702" t="n"/>
      <c r="Z141" s="702" t="n"/>
      <c r="AA141" s="702" t="n"/>
      <c r="AB141" s="702" t="n"/>
    </row>
    <row r="142">
      <c r="A142" s="757" t="n"/>
      <c r="B142" s="757" t="n"/>
      <c r="C142" s="702" t="n"/>
      <c r="D142" s="702" t="n"/>
      <c r="E142" s="702" t="n"/>
      <c r="F142" s="702" t="n"/>
      <c r="G142" s="702" t="n"/>
      <c r="H142" s="757" t="n"/>
      <c r="I142" s="702" t="n"/>
      <c r="J142" s="702" t="n"/>
      <c r="K142" s="702" t="n"/>
      <c r="L142" s="757" t="n"/>
      <c r="M142" s="757" t="n"/>
      <c r="N142" s="757" t="n"/>
      <c r="O142" s="702" t="n"/>
      <c r="P142" s="702" t="n"/>
      <c r="Q142" s="757" t="n"/>
      <c r="R142" s="702" t="n"/>
      <c r="S142" s="762" t="n"/>
      <c r="T142" s="702" t="n"/>
      <c r="U142" s="702" t="n"/>
      <c r="V142" s="702" t="n"/>
      <c r="W142" s="702" t="n"/>
      <c r="X142" s="702" t="n"/>
      <c r="Y142" s="702" t="n"/>
      <c r="Z142" s="702" t="n"/>
      <c r="AA142" s="702" t="n"/>
      <c r="AB142" s="702" t="n"/>
    </row>
    <row r="143">
      <c r="A143" s="757" t="n"/>
      <c r="B143" s="757" t="n"/>
      <c r="C143" s="702" t="n"/>
      <c r="D143" s="702" t="n"/>
      <c r="E143" s="702" t="n"/>
      <c r="F143" s="702" t="n"/>
      <c r="G143" s="702" t="n"/>
      <c r="H143" s="757" t="n"/>
      <c r="I143" s="702" t="n"/>
      <c r="J143" s="702" t="n"/>
      <c r="K143" s="702" t="n"/>
      <c r="L143" s="757" t="n"/>
      <c r="M143" s="757" t="n"/>
      <c r="N143" s="757" t="n"/>
      <c r="O143" s="702" t="n"/>
      <c r="P143" s="702" t="n"/>
      <c r="Q143" s="757" t="n"/>
      <c r="R143" s="702" t="n"/>
      <c r="S143" s="762" t="n"/>
      <c r="T143" s="702" t="n"/>
      <c r="U143" s="702" t="n"/>
      <c r="V143" s="702" t="n"/>
      <c r="W143" s="702" t="n"/>
      <c r="X143" s="702" t="n"/>
      <c r="Y143" s="702" t="n"/>
      <c r="Z143" s="702" t="n"/>
      <c r="AA143" s="702" t="n"/>
      <c r="AB143" s="702" t="n"/>
    </row>
    <row r="144">
      <c r="A144" s="757" t="n"/>
      <c r="B144" s="757" t="n"/>
      <c r="C144" s="702" t="n"/>
      <c r="D144" s="702" t="n"/>
      <c r="E144" s="702" t="n"/>
      <c r="F144" s="702" t="n"/>
      <c r="G144" s="702" t="n"/>
      <c r="H144" s="757" t="n"/>
      <c r="I144" s="702" t="n"/>
      <c r="J144" s="702" t="n"/>
      <c r="K144" s="702" t="n"/>
      <c r="L144" s="757" t="n"/>
      <c r="M144" s="757" t="n"/>
      <c r="N144" s="757" t="n"/>
      <c r="O144" s="702" t="n"/>
      <c r="P144" s="702" t="n"/>
      <c r="Q144" s="757" t="n"/>
      <c r="R144" s="702" t="n"/>
      <c r="S144" s="762" t="n"/>
      <c r="T144" s="702" t="n"/>
      <c r="U144" s="702" t="n"/>
      <c r="V144" s="702" t="n"/>
      <c r="W144" s="702" t="n"/>
      <c r="X144" s="702" t="n"/>
      <c r="Y144" s="702" t="n"/>
      <c r="Z144" s="702" t="n"/>
      <c r="AA144" s="702" t="n"/>
      <c r="AB144" s="702" t="n"/>
    </row>
    <row r="145">
      <c r="A145" s="757" t="n"/>
      <c r="B145" s="757" t="n"/>
      <c r="C145" s="702" t="n"/>
      <c r="D145" s="702" t="n"/>
      <c r="E145" s="702" t="n"/>
      <c r="F145" s="702" t="n"/>
      <c r="G145" s="702" t="n"/>
      <c r="H145" s="757" t="n"/>
      <c r="I145" s="702" t="n"/>
      <c r="J145" s="702" t="n"/>
      <c r="K145" s="702" t="n"/>
      <c r="L145" s="757" t="n"/>
      <c r="M145" s="757" t="n"/>
      <c r="N145" s="757" t="n"/>
      <c r="O145" s="702" t="n"/>
      <c r="P145" s="702" t="n"/>
      <c r="Q145" s="757" t="n"/>
      <c r="R145" s="702" t="n"/>
      <c r="S145" s="762" t="n"/>
      <c r="T145" s="702" t="n"/>
      <c r="U145" s="702" t="n"/>
      <c r="V145" s="702" t="n"/>
      <c r="W145" s="702" t="n"/>
      <c r="X145" s="702" t="n"/>
      <c r="Y145" s="702" t="n"/>
      <c r="Z145" s="702" t="n"/>
      <c r="AA145" s="702" t="n"/>
      <c r="AB145" s="702" t="n"/>
    </row>
    <row r="146">
      <c r="A146" s="757" t="n"/>
      <c r="B146" s="757" t="n"/>
      <c r="C146" s="702" t="n"/>
      <c r="D146" s="702" t="n"/>
      <c r="E146" s="702" t="n"/>
      <c r="F146" s="702" t="n"/>
      <c r="G146" s="702" t="n"/>
      <c r="H146" s="757" t="n"/>
      <c r="I146" s="702" t="n"/>
      <c r="J146" s="702" t="n"/>
      <c r="K146" s="702" t="n"/>
      <c r="L146" s="757" t="n"/>
      <c r="M146" s="757" t="n"/>
      <c r="N146" s="757" t="n"/>
      <c r="O146" s="702" t="n"/>
      <c r="P146" s="702" t="n"/>
      <c r="Q146" s="757" t="n"/>
      <c r="R146" s="702" t="n"/>
      <c r="S146" s="762" t="n"/>
      <c r="T146" s="702" t="n"/>
      <c r="U146" s="702" t="n"/>
      <c r="V146" s="702" t="n"/>
      <c r="W146" s="702" t="n"/>
      <c r="X146" s="702" t="n"/>
      <c r="Y146" s="702" t="n"/>
      <c r="Z146" s="702" t="n"/>
      <c r="AA146" s="702" t="n"/>
      <c r="AB146" s="702" t="n"/>
    </row>
    <row r="147">
      <c r="A147" s="757" t="n"/>
      <c r="B147" s="757" t="n"/>
      <c r="C147" s="702" t="n"/>
      <c r="D147" s="702" t="n"/>
      <c r="E147" s="702" t="n"/>
      <c r="F147" s="702" t="n"/>
      <c r="G147" s="702" t="n"/>
      <c r="H147" s="757" t="n"/>
      <c r="I147" s="702" t="n"/>
      <c r="J147" s="702" t="n"/>
      <c r="K147" s="702" t="n"/>
      <c r="L147" s="757" t="n"/>
      <c r="M147" s="757" t="n"/>
      <c r="N147" s="757" t="n"/>
      <c r="O147" s="702" t="n"/>
      <c r="P147" s="702" t="n"/>
      <c r="Q147" s="757" t="n"/>
      <c r="R147" s="702" t="n"/>
      <c r="S147" s="762" t="n"/>
      <c r="T147" s="702" t="n"/>
      <c r="U147" s="702" t="n"/>
      <c r="V147" s="702" t="n"/>
      <c r="W147" s="702" t="n"/>
      <c r="X147" s="702" t="n"/>
      <c r="Y147" s="702" t="n"/>
      <c r="Z147" s="702" t="n"/>
      <c r="AA147" s="702" t="n"/>
      <c r="AB147" s="702" t="n"/>
    </row>
    <row r="148">
      <c r="A148" s="757" t="n"/>
      <c r="B148" s="757" t="n"/>
      <c r="C148" s="702" t="n"/>
      <c r="D148" s="702" t="n"/>
      <c r="E148" s="702" t="n"/>
      <c r="F148" s="702" t="n"/>
      <c r="G148" s="702" t="n"/>
      <c r="H148" s="757" t="n"/>
      <c r="I148" s="702" t="n"/>
      <c r="J148" s="702" t="n"/>
      <c r="K148" s="702" t="n"/>
      <c r="L148" s="757" t="n"/>
      <c r="M148" s="757" t="n"/>
      <c r="N148" s="757" t="n"/>
      <c r="O148" s="702" t="n"/>
      <c r="P148" s="702" t="n"/>
      <c r="Q148" s="757" t="n"/>
      <c r="R148" s="702" t="n"/>
      <c r="S148" s="762" t="n"/>
      <c r="T148" s="702" t="n"/>
      <c r="U148" s="702" t="n"/>
      <c r="V148" s="702" t="n"/>
      <c r="W148" s="702" t="n"/>
      <c r="X148" s="702" t="n"/>
      <c r="Y148" s="702" t="n"/>
      <c r="Z148" s="702" t="n"/>
      <c r="AA148" s="702" t="n"/>
      <c r="AB148" s="702" t="n"/>
    </row>
    <row r="149">
      <c r="A149" s="757" t="n"/>
      <c r="B149" s="757" t="n"/>
      <c r="C149" s="702" t="n"/>
      <c r="D149" s="702" t="n"/>
      <c r="E149" s="702" t="n"/>
      <c r="F149" s="702" t="n"/>
      <c r="G149" s="702" t="n"/>
      <c r="H149" s="757" t="n"/>
      <c r="I149" s="702" t="n"/>
      <c r="J149" s="702" t="n"/>
      <c r="K149" s="702" t="n"/>
      <c r="L149" s="757" t="n"/>
      <c r="M149" s="757" t="n"/>
      <c r="N149" s="757" t="n"/>
      <c r="O149" s="702" t="n"/>
      <c r="P149" s="702" t="n"/>
      <c r="Q149" s="757" t="n"/>
      <c r="R149" s="702" t="n"/>
      <c r="S149" s="762" t="n"/>
      <c r="T149" s="702" t="n"/>
      <c r="U149" s="702" t="n"/>
      <c r="V149" s="702" t="n"/>
      <c r="W149" s="702" t="n"/>
      <c r="X149" s="702" t="n"/>
      <c r="Y149" s="702" t="n"/>
      <c r="Z149" s="702" t="n"/>
      <c r="AA149" s="702" t="n"/>
      <c r="AB149" s="702" t="n"/>
    </row>
    <row r="150">
      <c r="A150" s="757" t="n"/>
      <c r="B150" s="757" t="n"/>
      <c r="C150" s="702" t="n"/>
      <c r="D150" s="702" t="n"/>
      <c r="E150" s="702" t="n"/>
      <c r="F150" s="702" t="n"/>
      <c r="G150" s="702" t="n"/>
      <c r="H150" s="757" t="n"/>
      <c r="I150" s="702" t="n"/>
      <c r="J150" s="702" t="n"/>
      <c r="K150" s="702" t="n"/>
      <c r="L150" s="757" t="n"/>
      <c r="M150" s="757" t="n"/>
      <c r="N150" s="757" t="n"/>
      <c r="O150" s="702" t="n"/>
      <c r="P150" s="702" t="n"/>
      <c r="Q150" s="757" t="n"/>
      <c r="R150" s="702" t="n"/>
      <c r="S150" s="762" t="n"/>
      <c r="T150" s="702" t="n"/>
      <c r="U150" s="702" t="n"/>
      <c r="V150" s="702" t="n"/>
      <c r="W150" s="702" t="n"/>
      <c r="X150" s="702" t="n"/>
      <c r="Y150" s="702" t="n"/>
      <c r="Z150" s="702" t="n"/>
      <c r="AA150" s="702" t="n"/>
      <c r="AB150" s="702" t="n"/>
    </row>
    <row r="151">
      <c r="A151" s="757" t="n"/>
      <c r="B151" s="757" t="n"/>
      <c r="C151" s="702" t="n"/>
      <c r="D151" s="702" t="n"/>
      <c r="E151" s="702" t="n"/>
      <c r="F151" s="702" t="n"/>
      <c r="G151" s="702" t="n"/>
      <c r="H151" s="757" t="n"/>
      <c r="I151" s="702" t="n"/>
      <c r="J151" s="702" t="n"/>
      <c r="K151" s="702" t="n"/>
      <c r="L151" s="757" t="n"/>
      <c r="M151" s="757" t="n"/>
      <c r="N151" s="757" t="n"/>
      <c r="O151" s="702" t="n"/>
      <c r="P151" s="702" t="n"/>
      <c r="Q151" s="757" t="n"/>
      <c r="R151" s="702" t="n"/>
      <c r="S151" s="762" t="n"/>
      <c r="T151" s="702" t="n"/>
      <c r="U151" s="702" t="n"/>
      <c r="V151" s="702" t="n"/>
      <c r="W151" s="702" t="n"/>
      <c r="X151" s="702" t="n"/>
      <c r="Y151" s="702" t="n"/>
      <c r="Z151" s="702" t="n"/>
      <c r="AA151" s="702" t="n"/>
      <c r="AB151" s="702" t="n"/>
    </row>
    <row r="152">
      <c r="A152" s="757" t="n"/>
      <c r="B152" s="757" t="n"/>
      <c r="C152" s="702" t="n"/>
      <c r="D152" s="702" t="n"/>
      <c r="E152" s="702" t="n"/>
      <c r="F152" s="702" t="n"/>
      <c r="G152" s="702" t="n"/>
      <c r="H152" s="757" t="n"/>
      <c r="I152" s="702" t="n"/>
      <c r="J152" s="702" t="n"/>
      <c r="K152" s="702" t="n"/>
      <c r="L152" s="757" t="n"/>
      <c r="M152" s="757" t="n"/>
      <c r="N152" s="757" t="n"/>
      <c r="O152" s="702" t="n"/>
      <c r="P152" s="702" t="n"/>
      <c r="Q152" s="757" t="n"/>
      <c r="R152" s="702" t="n"/>
      <c r="S152" s="762" t="n"/>
      <c r="T152" s="702" t="n"/>
      <c r="U152" s="702" t="n"/>
      <c r="V152" s="702" t="n"/>
      <c r="W152" s="702" t="n"/>
      <c r="X152" s="702" t="n"/>
      <c r="Y152" s="702" t="n"/>
      <c r="Z152" s="702" t="n"/>
      <c r="AA152" s="702" t="n"/>
      <c r="AB152" s="702" t="n"/>
    </row>
    <row r="153">
      <c r="A153" s="757" t="n"/>
      <c r="B153" s="757" t="n"/>
      <c r="C153" s="702" t="n"/>
      <c r="D153" s="702" t="n"/>
      <c r="E153" s="702" t="n"/>
      <c r="F153" s="702" t="n"/>
      <c r="G153" s="702" t="n"/>
      <c r="H153" s="757" t="n"/>
      <c r="I153" s="702" t="n"/>
      <c r="J153" s="702" t="n"/>
      <c r="K153" s="702" t="n"/>
      <c r="L153" s="757" t="n"/>
      <c r="M153" s="757" t="n"/>
      <c r="N153" s="757" t="n"/>
      <c r="O153" s="702" t="n"/>
      <c r="P153" s="702" t="n"/>
      <c r="Q153" s="757" t="n"/>
      <c r="R153" s="702" t="n"/>
      <c r="S153" s="762" t="n"/>
      <c r="T153" s="702" t="n"/>
      <c r="U153" s="702" t="n"/>
      <c r="V153" s="702" t="n"/>
      <c r="W153" s="702" t="n"/>
      <c r="X153" s="702" t="n"/>
      <c r="Y153" s="702" t="n"/>
      <c r="Z153" s="702" t="n"/>
      <c r="AA153" s="702" t="n"/>
      <c r="AB153" s="702" t="n"/>
    </row>
    <row r="154">
      <c r="A154" s="757" t="n"/>
      <c r="B154" s="757" t="n"/>
      <c r="C154" s="702" t="n"/>
      <c r="D154" s="702" t="n"/>
      <c r="E154" s="702" t="n"/>
      <c r="F154" s="702" t="n"/>
      <c r="G154" s="702" t="n"/>
      <c r="H154" s="757" t="n"/>
      <c r="I154" s="702" t="n"/>
      <c r="J154" s="702" t="n"/>
      <c r="K154" s="702" t="n"/>
      <c r="L154" s="757" t="n"/>
      <c r="M154" s="757" t="n"/>
      <c r="N154" s="757" t="n"/>
      <c r="O154" s="702" t="n"/>
      <c r="P154" s="702" t="n"/>
      <c r="Q154" s="757" t="n"/>
      <c r="R154" s="702" t="n"/>
      <c r="S154" s="762" t="n"/>
      <c r="T154" s="702" t="n"/>
      <c r="U154" s="702" t="n"/>
      <c r="V154" s="702" t="n"/>
      <c r="W154" s="702" t="n"/>
      <c r="X154" s="702" t="n"/>
      <c r="Y154" s="702" t="n"/>
      <c r="Z154" s="702" t="n"/>
      <c r="AA154" s="702" t="n"/>
      <c r="AB154" s="702" t="n"/>
    </row>
    <row r="155">
      <c r="A155" s="757" t="n"/>
      <c r="B155" s="757" t="n"/>
      <c r="C155" s="702" t="n"/>
      <c r="D155" s="702" t="n"/>
      <c r="E155" s="702" t="n"/>
      <c r="F155" s="702" t="n"/>
      <c r="G155" s="702" t="n"/>
      <c r="H155" s="757" t="n"/>
      <c r="I155" s="702" t="n"/>
      <c r="J155" s="702" t="n"/>
      <c r="K155" s="702" t="n"/>
      <c r="L155" s="757" t="n"/>
      <c r="M155" s="757" t="n"/>
      <c r="N155" s="757" t="n"/>
      <c r="O155" s="702" t="n"/>
      <c r="P155" s="702" t="n"/>
      <c r="Q155" s="757" t="n"/>
      <c r="R155" s="702" t="n"/>
      <c r="S155" s="762" t="n"/>
      <c r="T155" s="702" t="n"/>
      <c r="U155" s="702" t="n"/>
      <c r="V155" s="702" t="n"/>
      <c r="W155" s="702" t="n"/>
      <c r="X155" s="702" t="n"/>
      <c r="Y155" s="702" t="n"/>
      <c r="Z155" s="702" t="n"/>
      <c r="AA155" s="702" t="n"/>
      <c r="AB155" s="702" t="n"/>
    </row>
    <row r="156">
      <c r="A156" s="757" t="n"/>
      <c r="B156" s="757" t="n"/>
      <c r="C156" s="702" t="n"/>
      <c r="D156" s="702" t="n"/>
      <c r="E156" s="702" t="n"/>
      <c r="F156" s="702" t="n"/>
      <c r="G156" s="702" t="n"/>
      <c r="H156" s="757" t="n"/>
      <c r="I156" s="702" t="n"/>
      <c r="J156" s="702" t="n"/>
      <c r="K156" s="702" t="n"/>
      <c r="L156" s="757" t="n"/>
      <c r="M156" s="757" t="n"/>
      <c r="N156" s="757" t="n"/>
      <c r="O156" s="702" t="n"/>
      <c r="P156" s="702" t="n"/>
      <c r="Q156" s="757" t="n"/>
      <c r="R156" s="702" t="n"/>
      <c r="S156" s="762" t="n"/>
      <c r="T156" s="702" t="n"/>
      <c r="U156" s="702" t="n"/>
      <c r="V156" s="702" t="n"/>
      <c r="W156" s="702" t="n"/>
      <c r="X156" s="702" t="n"/>
      <c r="Y156" s="702" t="n"/>
      <c r="Z156" s="702" t="n"/>
      <c r="AA156" s="702" t="n"/>
      <c r="AB156" s="702" t="n"/>
    </row>
    <row r="157">
      <c r="A157" s="757" t="n"/>
      <c r="B157" s="757" t="n"/>
      <c r="C157" s="702" t="n"/>
      <c r="D157" s="702" t="n"/>
      <c r="E157" s="702" t="n"/>
      <c r="F157" s="702" t="n"/>
      <c r="G157" s="702" t="n"/>
      <c r="H157" s="757" t="n"/>
      <c r="I157" s="702" t="n"/>
      <c r="J157" s="702" t="n"/>
      <c r="K157" s="702" t="n"/>
      <c r="L157" s="757" t="n"/>
      <c r="M157" s="757" t="n"/>
      <c r="N157" s="757" t="n"/>
      <c r="O157" s="702" t="n"/>
      <c r="P157" s="702" t="n"/>
      <c r="Q157" s="757" t="n"/>
      <c r="R157" s="702" t="n"/>
      <c r="S157" s="762" t="n"/>
      <c r="T157" s="702" t="n"/>
      <c r="U157" s="702" t="n"/>
      <c r="V157" s="702" t="n"/>
      <c r="W157" s="702" t="n"/>
      <c r="X157" s="702" t="n"/>
      <c r="Y157" s="702" t="n"/>
      <c r="Z157" s="702" t="n"/>
      <c r="AA157" s="702" t="n"/>
      <c r="AB157" s="702" t="n"/>
    </row>
    <row r="158">
      <c r="A158" s="757" t="n"/>
      <c r="B158" s="757" t="n"/>
      <c r="C158" s="702" t="n"/>
      <c r="D158" s="702" t="n"/>
      <c r="E158" s="702" t="n"/>
      <c r="F158" s="702" t="n"/>
      <c r="G158" s="702" t="n"/>
      <c r="H158" s="757" t="n"/>
      <c r="I158" s="702" t="n"/>
      <c r="J158" s="702" t="n"/>
      <c r="K158" s="702" t="n"/>
      <c r="L158" s="757" t="n"/>
      <c r="M158" s="757" t="n"/>
      <c r="N158" s="757" t="n"/>
      <c r="O158" s="702" t="n"/>
      <c r="P158" s="702" t="n"/>
      <c r="Q158" s="757" t="n"/>
      <c r="R158" s="702" t="n"/>
      <c r="S158" s="762" t="n"/>
      <c r="T158" s="702" t="n"/>
      <c r="U158" s="702" t="n"/>
      <c r="V158" s="702" t="n"/>
      <c r="W158" s="702" t="n"/>
      <c r="X158" s="702" t="n"/>
      <c r="Y158" s="702" t="n"/>
      <c r="Z158" s="702" t="n"/>
      <c r="AA158" s="702" t="n"/>
      <c r="AB158" s="702" t="n"/>
    </row>
    <row r="159">
      <c r="A159" s="757" t="n"/>
      <c r="B159" s="757" t="n"/>
      <c r="C159" s="702" t="n"/>
      <c r="D159" s="702" t="n"/>
      <c r="E159" s="702" t="n"/>
      <c r="F159" s="702" t="n"/>
      <c r="G159" s="702" t="n"/>
      <c r="H159" s="757" t="n"/>
      <c r="I159" s="702" t="n"/>
      <c r="J159" s="702" t="n"/>
      <c r="K159" s="702" t="n"/>
      <c r="L159" s="757" t="n"/>
      <c r="M159" s="757" t="n"/>
      <c r="N159" s="757" t="n"/>
      <c r="O159" s="702" t="n"/>
      <c r="P159" s="702" t="n"/>
      <c r="Q159" s="757" t="n"/>
      <c r="R159" s="702" t="n"/>
      <c r="S159" s="762" t="n"/>
      <c r="T159" s="702" t="n"/>
      <c r="U159" s="702" t="n"/>
      <c r="V159" s="702" t="n"/>
      <c r="W159" s="702" t="n"/>
      <c r="X159" s="702" t="n"/>
      <c r="Y159" s="702" t="n"/>
      <c r="Z159" s="702" t="n"/>
      <c r="AA159" s="702" t="n"/>
      <c r="AB159" s="702" t="n"/>
    </row>
    <row r="160">
      <c r="A160" s="757" t="n"/>
      <c r="B160" s="757" t="n"/>
      <c r="C160" s="702" t="n"/>
      <c r="D160" s="702" t="n"/>
      <c r="E160" s="702" t="n"/>
      <c r="F160" s="702" t="n"/>
      <c r="G160" s="702" t="n"/>
      <c r="H160" s="757" t="n"/>
      <c r="I160" s="702" t="n"/>
      <c r="J160" s="702" t="n"/>
      <c r="K160" s="702" t="n"/>
      <c r="L160" s="757" t="n"/>
      <c r="M160" s="757" t="n"/>
      <c r="N160" s="757" t="n"/>
      <c r="O160" s="702" t="n"/>
      <c r="P160" s="702" t="n"/>
      <c r="Q160" s="757" t="n"/>
      <c r="R160" s="702" t="n"/>
      <c r="S160" s="762" t="n"/>
      <c r="T160" s="702" t="n"/>
      <c r="U160" s="702" t="n"/>
      <c r="V160" s="702" t="n"/>
      <c r="W160" s="702" t="n"/>
      <c r="X160" s="702" t="n"/>
      <c r="Y160" s="702" t="n"/>
      <c r="Z160" s="702" t="n"/>
      <c r="AA160" s="702" t="n"/>
      <c r="AB160" s="702" t="n"/>
    </row>
    <row r="161">
      <c r="A161" s="757" t="n"/>
      <c r="B161" s="757" t="n"/>
      <c r="C161" s="702" t="n"/>
      <c r="D161" s="702" t="n"/>
      <c r="E161" s="702" t="n"/>
      <c r="F161" s="702" t="n"/>
      <c r="G161" s="702" t="n"/>
      <c r="H161" s="757" t="n"/>
      <c r="I161" s="702" t="n"/>
      <c r="J161" s="702" t="n"/>
      <c r="K161" s="702" t="n"/>
      <c r="L161" s="757" t="n"/>
      <c r="M161" s="757" t="n"/>
      <c r="N161" s="757" t="n"/>
      <c r="O161" s="702" t="n"/>
      <c r="P161" s="702" t="n"/>
      <c r="Q161" s="757" t="n"/>
      <c r="R161" s="702" t="n"/>
      <c r="S161" s="762" t="n"/>
      <c r="T161" s="702" t="n"/>
      <c r="U161" s="702" t="n"/>
      <c r="V161" s="702" t="n"/>
      <c r="W161" s="702" t="n"/>
      <c r="X161" s="702" t="n"/>
      <c r="Y161" s="702" t="n"/>
      <c r="Z161" s="702" t="n"/>
      <c r="AA161" s="702" t="n"/>
      <c r="AB161" s="702" t="n"/>
    </row>
    <row r="162">
      <c r="A162" s="757" t="n"/>
      <c r="B162" s="757" t="n"/>
      <c r="C162" s="702" t="n"/>
      <c r="D162" s="702" t="n"/>
      <c r="E162" s="702" t="n"/>
      <c r="F162" s="702" t="n"/>
      <c r="G162" s="702" t="n"/>
      <c r="H162" s="757" t="n"/>
      <c r="I162" s="702" t="n"/>
      <c r="J162" s="702" t="n"/>
      <c r="K162" s="702" t="n"/>
      <c r="L162" s="757" t="n"/>
      <c r="M162" s="757" t="n"/>
      <c r="N162" s="757" t="n"/>
      <c r="O162" s="702" t="n"/>
      <c r="P162" s="702" t="n"/>
      <c r="Q162" s="757" t="n"/>
      <c r="R162" s="702" t="n"/>
      <c r="S162" s="762" t="n"/>
      <c r="T162" s="702" t="n"/>
      <c r="U162" s="702" t="n"/>
      <c r="V162" s="702" t="n"/>
      <c r="W162" s="702" t="n"/>
      <c r="X162" s="702" t="n"/>
      <c r="Y162" s="702" t="n"/>
      <c r="Z162" s="702" t="n"/>
      <c r="AA162" s="702" t="n"/>
      <c r="AB162" s="702" t="n"/>
    </row>
    <row r="163">
      <c r="A163" s="757" t="n"/>
      <c r="B163" s="757" t="n"/>
      <c r="C163" s="702" t="n"/>
      <c r="D163" s="702" t="n"/>
      <c r="E163" s="702" t="n"/>
      <c r="F163" s="702" t="n"/>
      <c r="G163" s="702" t="n"/>
      <c r="H163" s="757" t="n"/>
      <c r="I163" s="702" t="n"/>
      <c r="J163" s="702" t="n"/>
      <c r="K163" s="702" t="n"/>
      <c r="L163" s="757" t="n"/>
      <c r="M163" s="757" t="n"/>
      <c r="N163" s="757" t="n"/>
      <c r="O163" s="702" t="n"/>
      <c r="P163" s="702" t="n"/>
      <c r="Q163" s="757" t="n"/>
      <c r="R163" s="702" t="n"/>
      <c r="S163" s="762" t="n"/>
      <c r="T163" s="702" t="n"/>
      <c r="U163" s="702" t="n"/>
      <c r="V163" s="702" t="n"/>
      <c r="W163" s="702" t="n"/>
      <c r="X163" s="702" t="n"/>
      <c r="Y163" s="702" t="n"/>
      <c r="Z163" s="702" t="n"/>
      <c r="AA163" s="702" t="n"/>
      <c r="AB163" s="702" t="n"/>
    </row>
    <row r="164">
      <c r="A164" s="757" t="n"/>
      <c r="B164" s="757" t="n"/>
      <c r="C164" s="702" t="n"/>
      <c r="D164" s="702" t="n"/>
      <c r="E164" s="702" t="n"/>
      <c r="F164" s="702" t="n"/>
      <c r="G164" s="702" t="n"/>
      <c r="H164" s="757" t="n"/>
      <c r="I164" s="702" t="n"/>
      <c r="J164" s="702" t="n"/>
      <c r="K164" s="702" t="n"/>
      <c r="L164" s="757" t="n"/>
      <c r="M164" s="757" t="n"/>
      <c r="N164" s="757" t="n"/>
      <c r="O164" s="702" t="n"/>
      <c r="P164" s="702" t="n"/>
      <c r="Q164" s="757" t="n"/>
      <c r="R164" s="702" t="n"/>
      <c r="S164" s="762" t="n"/>
      <c r="T164" s="702" t="n"/>
      <c r="U164" s="702" t="n"/>
      <c r="V164" s="702" t="n"/>
      <c r="W164" s="702" t="n"/>
      <c r="X164" s="702" t="n"/>
      <c r="Y164" s="702" t="n"/>
      <c r="Z164" s="702" t="n"/>
      <c r="AA164" s="702" t="n"/>
      <c r="AB164" s="702" t="n"/>
    </row>
    <row r="165">
      <c r="A165" s="757" t="n"/>
      <c r="B165" s="757" t="n"/>
      <c r="C165" s="702" t="n"/>
      <c r="D165" s="702" t="n"/>
      <c r="E165" s="702" t="n"/>
      <c r="F165" s="702" t="n"/>
      <c r="G165" s="702" t="n"/>
      <c r="H165" s="757" t="n"/>
      <c r="I165" s="702" t="n"/>
      <c r="J165" s="702" t="n"/>
      <c r="K165" s="702" t="n"/>
      <c r="L165" s="757" t="n"/>
      <c r="M165" s="757" t="n"/>
      <c r="N165" s="757" t="n"/>
      <c r="O165" s="702" t="n"/>
      <c r="P165" s="702" t="n"/>
      <c r="Q165" s="757" t="n"/>
      <c r="R165" s="702" t="n"/>
      <c r="S165" s="762" t="n"/>
      <c r="T165" s="702" t="n"/>
      <c r="U165" s="702" t="n"/>
      <c r="V165" s="702" t="n"/>
      <c r="W165" s="702" t="n"/>
      <c r="X165" s="702" t="n"/>
      <c r="Y165" s="702" t="n"/>
      <c r="Z165" s="702" t="n"/>
      <c r="AA165" s="702" t="n"/>
      <c r="AB165" s="702" t="n"/>
    </row>
    <row r="166">
      <c r="A166" s="757" t="n"/>
      <c r="B166" s="757" t="n"/>
      <c r="C166" s="702" t="n"/>
      <c r="D166" s="702" t="n"/>
      <c r="E166" s="702" t="n"/>
      <c r="F166" s="702" t="n"/>
      <c r="G166" s="702" t="n"/>
      <c r="H166" s="757" t="n"/>
      <c r="I166" s="702" t="n"/>
      <c r="J166" s="702" t="n"/>
      <c r="K166" s="702" t="n"/>
      <c r="L166" s="757" t="n"/>
      <c r="M166" s="757" t="n"/>
      <c r="N166" s="757" t="n"/>
      <c r="O166" s="702" t="n"/>
      <c r="P166" s="702" t="n"/>
      <c r="Q166" s="757" t="n"/>
      <c r="R166" s="702" t="n"/>
      <c r="S166" s="762" t="n"/>
      <c r="T166" s="702" t="n"/>
      <c r="U166" s="702" t="n"/>
      <c r="V166" s="702" t="n"/>
      <c r="W166" s="702" t="n"/>
      <c r="X166" s="702" t="n"/>
      <c r="Y166" s="702" t="n"/>
      <c r="Z166" s="702" t="n"/>
      <c r="AA166" s="702" t="n"/>
      <c r="AB166" s="702" t="n"/>
    </row>
    <row r="167">
      <c r="A167" s="757" t="n"/>
      <c r="B167" s="757" t="n"/>
      <c r="C167" s="702" t="n"/>
      <c r="D167" s="702" t="n"/>
      <c r="E167" s="702" t="n"/>
      <c r="F167" s="702" t="n"/>
      <c r="G167" s="702" t="n"/>
      <c r="H167" s="757" t="n"/>
      <c r="I167" s="702" t="n"/>
      <c r="J167" s="702" t="n"/>
      <c r="K167" s="702" t="n"/>
      <c r="L167" s="757" t="n"/>
      <c r="M167" s="757" t="n"/>
      <c r="N167" s="757" t="n"/>
      <c r="O167" s="702" t="n"/>
      <c r="P167" s="702" t="n"/>
      <c r="Q167" s="757" t="n"/>
      <c r="R167" s="702" t="n"/>
      <c r="S167" s="762" t="n"/>
      <c r="T167" s="702" t="n"/>
      <c r="U167" s="702" t="n"/>
      <c r="V167" s="702" t="n"/>
      <c r="W167" s="702" t="n"/>
      <c r="X167" s="702" t="n"/>
      <c r="Y167" s="702" t="n"/>
      <c r="Z167" s="702" t="n"/>
      <c r="AA167" s="702" t="n"/>
      <c r="AB167" s="702" t="n"/>
    </row>
    <row r="168">
      <c r="A168" s="757" t="n"/>
      <c r="B168" s="757" t="n"/>
      <c r="C168" s="702" t="n"/>
      <c r="D168" s="702" t="n"/>
      <c r="E168" s="702" t="n"/>
      <c r="F168" s="702" t="n"/>
      <c r="G168" s="702" t="n"/>
      <c r="H168" s="757" t="n"/>
      <c r="I168" s="702" t="n"/>
      <c r="J168" s="702" t="n"/>
      <c r="K168" s="702" t="n"/>
      <c r="L168" s="757" t="n"/>
      <c r="M168" s="757" t="n"/>
      <c r="N168" s="757" t="n"/>
      <c r="O168" s="702" t="n"/>
      <c r="P168" s="702" t="n"/>
      <c r="Q168" s="757" t="n"/>
      <c r="R168" s="702" t="n"/>
      <c r="S168" s="762" t="n"/>
      <c r="T168" s="702" t="n"/>
      <c r="U168" s="702" t="n"/>
      <c r="V168" s="702" t="n"/>
      <c r="W168" s="702" t="n"/>
      <c r="X168" s="702" t="n"/>
      <c r="Y168" s="702" t="n"/>
      <c r="Z168" s="702" t="n"/>
      <c r="AA168" s="702" t="n"/>
      <c r="AB168" s="702" t="n"/>
    </row>
    <row r="169">
      <c r="A169" s="757" t="n"/>
      <c r="B169" s="757" t="n"/>
      <c r="C169" s="702" t="n"/>
      <c r="D169" s="702" t="n"/>
      <c r="E169" s="702" t="n"/>
      <c r="F169" s="702" t="n"/>
      <c r="G169" s="702" t="n"/>
      <c r="H169" s="757" t="n"/>
      <c r="I169" s="702" t="n"/>
      <c r="J169" s="702" t="n"/>
      <c r="K169" s="702" t="n"/>
      <c r="L169" s="757" t="n"/>
      <c r="M169" s="757" t="n"/>
      <c r="N169" s="757" t="n"/>
      <c r="O169" s="702" t="n"/>
      <c r="P169" s="702" t="n"/>
      <c r="Q169" s="757" t="n"/>
      <c r="R169" s="702" t="n"/>
      <c r="S169" s="762" t="n"/>
      <c r="T169" s="702" t="n"/>
      <c r="U169" s="702" t="n"/>
      <c r="V169" s="702" t="n"/>
      <c r="W169" s="702" t="n"/>
      <c r="X169" s="702" t="n"/>
      <c r="Y169" s="702" t="n"/>
      <c r="Z169" s="702" t="n"/>
      <c r="AA169" s="702" t="n"/>
      <c r="AB169" s="702" t="n"/>
    </row>
    <row r="170">
      <c r="A170" s="757" t="n"/>
      <c r="B170" s="757" t="n"/>
      <c r="C170" s="702" t="n"/>
      <c r="D170" s="702" t="n"/>
      <c r="E170" s="702" t="n"/>
      <c r="F170" s="702" t="n"/>
      <c r="G170" s="702" t="n"/>
      <c r="H170" s="757" t="n"/>
      <c r="I170" s="702" t="n"/>
      <c r="J170" s="702" t="n"/>
      <c r="K170" s="702" t="n"/>
      <c r="L170" s="757" t="n"/>
      <c r="M170" s="757" t="n"/>
      <c r="N170" s="757" t="n"/>
      <c r="O170" s="702" t="n"/>
      <c r="P170" s="702" t="n"/>
      <c r="Q170" s="757" t="n"/>
      <c r="R170" s="702" t="n"/>
      <c r="S170" s="762" t="n"/>
      <c r="T170" s="702" t="n"/>
      <c r="U170" s="702" t="n"/>
      <c r="V170" s="702" t="n"/>
      <c r="W170" s="702" t="n"/>
      <c r="X170" s="702" t="n"/>
      <c r="Y170" s="702" t="n"/>
      <c r="Z170" s="702" t="n"/>
      <c r="AA170" s="702" t="n"/>
      <c r="AB170" s="702" t="n"/>
    </row>
    <row r="171">
      <c r="A171" s="757" t="n"/>
      <c r="B171" s="757" t="n"/>
      <c r="C171" s="702" t="n"/>
      <c r="D171" s="702" t="n"/>
      <c r="E171" s="702" t="n"/>
      <c r="F171" s="702" t="n"/>
      <c r="G171" s="702" t="n"/>
      <c r="H171" s="757" t="n"/>
      <c r="I171" s="702" t="n"/>
      <c r="J171" s="702" t="n"/>
      <c r="K171" s="702" t="n"/>
      <c r="L171" s="757" t="n"/>
      <c r="M171" s="757" t="n"/>
      <c r="N171" s="757" t="n"/>
      <c r="O171" s="702" t="n"/>
      <c r="P171" s="702" t="n"/>
      <c r="Q171" s="757" t="n"/>
      <c r="R171" s="702" t="n"/>
      <c r="S171" s="762" t="n"/>
      <c r="T171" s="702" t="n"/>
      <c r="U171" s="702" t="n"/>
      <c r="V171" s="702" t="n"/>
      <c r="W171" s="702" t="n"/>
      <c r="X171" s="702" t="n"/>
      <c r="Y171" s="702" t="n"/>
      <c r="Z171" s="702" t="n"/>
      <c r="AA171" s="702" t="n"/>
      <c r="AB171" s="702" t="n"/>
    </row>
    <row r="172">
      <c r="A172" s="757" t="n"/>
      <c r="B172" s="757" t="n"/>
      <c r="C172" s="702" t="n"/>
      <c r="D172" s="702" t="n"/>
      <c r="E172" s="702" t="n"/>
      <c r="F172" s="702" t="n"/>
      <c r="G172" s="702" t="n"/>
      <c r="H172" s="757" t="n"/>
      <c r="I172" s="702" t="n"/>
      <c r="J172" s="702" t="n"/>
      <c r="K172" s="702" t="n"/>
      <c r="L172" s="757" t="n"/>
      <c r="M172" s="757" t="n"/>
      <c r="N172" s="757" t="n"/>
      <c r="O172" s="702" t="n"/>
      <c r="P172" s="702" t="n"/>
      <c r="Q172" s="757" t="n"/>
      <c r="R172" s="702" t="n"/>
      <c r="S172" s="762" t="n"/>
      <c r="T172" s="702" t="n"/>
      <c r="U172" s="702" t="n"/>
      <c r="V172" s="702" t="n"/>
      <c r="W172" s="702" t="n"/>
      <c r="X172" s="702" t="n"/>
      <c r="Y172" s="702" t="n"/>
      <c r="Z172" s="702" t="n"/>
      <c r="AA172" s="702" t="n"/>
      <c r="AB172" s="702" t="n"/>
    </row>
    <row r="173">
      <c r="A173" s="757" t="n"/>
      <c r="B173" s="757" t="n"/>
      <c r="C173" s="702" t="n"/>
      <c r="D173" s="702" t="n"/>
      <c r="E173" s="702" t="n"/>
      <c r="F173" s="702" t="n"/>
      <c r="G173" s="702" t="n"/>
      <c r="H173" s="757" t="n"/>
      <c r="I173" s="702" t="n"/>
      <c r="J173" s="702" t="n"/>
      <c r="K173" s="702" t="n"/>
      <c r="L173" s="757" t="n"/>
      <c r="M173" s="757" t="n"/>
      <c r="N173" s="757" t="n"/>
      <c r="O173" s="702" t="n"/>
      <c r="P173" s="702" t="n"/>
      <c r="Q173" s="757" t="n"/>
      <c r="R173" s="702" t="n"/>
      <c r="S173" s="762" t="n"/>
      <c r="T173" s="702" t="n"/>
      <c r="U173" s="702" t="n"/>
      <c r="V173" s="702" t="n"/>
      <c r="W173" s="702" t="n"/>
      <c r="X173" s="702" t="n"/>
      <c r="Y173" s="702" t="n"/>
      <c r="Z173" s="702" t="n"/>
      <c r="AA173" s="702" t="n"/>
      <c r="AB173" s="702" t="n"/>
    </row>
    <row r="174">
      <c r="A174" s="757" t="n"/>
      <c r="B174" s="757" t="n"/>
      <c r="C174" s="702" t="n"/>
      <c r="D174" s="702" t="n"/>
      <c r="E174" s="702" t="n"/>
      <c r="F174" s="702" t="n"/>
      <c r="G174" s="702" t="n"/>
      <c r="H174" s="757" t="n"/>
      <c r="I174" s="702" t="n"/>
      <c r="J174" s="702" t="n"/>
      <c r="K174" s="702" t="n"/>
      <c r="L174" s="757" t="n"/>
      <c r="M174" s="757" t="n"/>
      <c r="N174" s="757" t="n"/>
      <c r="O174" s="702" t="n"/>
      <c r="P174" s="702" t="n"/>
      <c r="Q174" s="757" t="n"/>
      <c r="R174" s="702" t="n"/>
      <c r="S174" s="762" t="n"/>
      <c r="T174" s="702" t="n"/>
      <c r="U174" s="702" t="n"/>
      <c r="V174" s="702" t="n"/>
      <c r="W174" s="702" t="n"/>
      <c r="X174" s="702" t="n"/>
      <c r="Y174" s="702" t="n"/>
      <c r="Z174" s="702" t="n"/>
      <c r="AA174" s="702" t="n"/>
      <c r="AB174" s="702" t="n"/>
    </row>
    <row r="175">
      <c r="A175" s="757" t="n"/>
      <c r="B175" s="757" t="n"/>
      <c r="C175" s="702" t="n"/>
      <c r="D175" s="702" t="n"/>
      <c r="E175" s="702" t="n"/>
      <c r="F175" s="702" t="n"/>
      <c r="G175" s="702" t="n"/>
      <c r="H175" s="757" t="n"/>
      <c r="I175" s="702" t="n"/>
      <c r="J175" s="702" t="n"/>
      <c r="K175" s="702" t="n"/>
      <c r="L175" s="757" t="n"/>
      <c r="M175" s="757" t="n"/>
      <c r="N175" s="757" t="n"/>
      <c r="O175" s="702" t="n"/>
      <c r="P175" s="702" t="n"/>
      <c r="Q175" s="757" t="n"/>
      <c r="R175" s="702" t="n"/>
      <c r="S175" s="762" t="n"/>
      <c r="T175" s="702" t="n"/>
      <c r="U175" s="702" t="n"/>
      <c r="V175" s="702" t="n"/>
      <c r="W175" s="702" t="n"/>
      <c r="X175" s="702" t="n"/>
      <c r="Y175" s="702" t="n"/>
      <c r="Z175" s="702" t="n"/>
      <c r="AA175" s="702" t="n"/>
      <c r="AB175" s="702" t="n"/>
    </row>
    <row r="176">
      <c r="A176" s="757" t="n"/>
      <c r="B176" s="757" t="n"/>
      <c r="C176" s="702" t="n"/>
      <c r="D176" s="702" t="n"/>
      <c r="E176" s="702" t="n"/>
      <c r="F176" s="702" t="n"/>
      <c r="G176" s="702" t="n"/>
      <c r="H176" s="757" t="n"/>
      <c r="I176" s="702" t="n"/>
      <c r="J176" s="702" t="n"/>
      <c r="K176" s="702" t="n"/>
      <c r="L176" s="757" t="n"/>
      <c r="M176" s="757" t="n"/>
      <c r="N176" s="757" t="n"/>
      <c r="O176" s="702" t="n"/>
      <c r="P176" s="702" t="n"/>
      <c r="Q176" s="757" t="n"/>
      <c r="R176" s="702" t="n"/>
      <c r="S176" s="762" t="n"/>
      <c r="T176" s="702" t="n"/>
      <c r="U176" s="702" t="n"/>
      <c r="V176" s="702" t="n"/>
      <c r="W176" s="702" t="n"/>
      <c r="X176" s="702" t="n"/>
      <c r="Y176" s="702" t="n"/>
      <c r="Z176" s="702" t="n"/>
      <c r="AA176" s="702" t="n"/>
      <c r="AB176" s="702" t="n"/>
    </row>
    <row r="177">
      <c r="A177" s="757" t="n"/>
      <c r="B177" s="757" t="n"/>
      <c r="C177" s="702" t="n"/>
      <c r="D177" s="702" t="n"/>
      <c r="E177" s="702" t="n"/>
      <c r="F177" s="702" t="n"/>
      <c r="G177" s="702" t="n"/>
      <c r="H177" s="757" t="n"/>
      <c r="I177" s="702" t="n"/>
      <c r="J177" s="702" t="n"/>
      <c r="K177" s="702" t="n"/>
      <c r="L177" s="757" t="n"/>
      <c r="M177" s="757" t="n"/>
      <c r="N177" s="757" t="n"/>
      <c r="O177" s="702" t="n"/>
      <c r="P177" s="702" t="n"/>
      <c r="Q177" s="757" t="n"/>
      <c r="R177" s="702" t="n"/>
      <c r="S177" s="762" t="n"/>
      <c r="T177" s="702" t="n"/>
      <c r="U177" s="702" t="n"/>
      <c r="V177" s="702" t="n"/>
      <c r="W177" s="702" t="n"/>
      <c r="X177" s="702" t="n"/>
      <c r="Y177" s="702" t="n"/>
      <c r="Z177" s="702" t="n"/>
      <c r="AA177" s="702" t="n"/>
      <c r="AB177" s="702" t="n"/>
    </row>
    <row r="178">
      <c r="A178" s="757" t="n"/>
      <c r="B178" s="757" t="n"/>
      <c r="C178" s="702" t="n"/>
      <c r="D178" s="702" t="n"/>
      <c r="E178" s="702" t="n"/>
      <c r="F178" s="702" t="n"/>
      <c r="G178" s="702" t="n"/>
      <c r="H178" s="757" t="n"/>
      <c r="I178" s="702" t="n"/>
      <c r="J178" s="702" t="n"/>
      <c r="K178" s="702" t="n"/>
      <c r="L178" s="757" t="n"/>
      <c r="M178" s="757" t="n"/>
      <c r="N178" s="757" t="n"/>
      <c r="O178" s="702" t="n"/>
      <c r="P178" s="702" t="n"/>
      <c r="Q178" s="757" t="n"/>
      <c r="R178" s="702" t="n"/>
      <c r="S178" s="762" t="n"/>
      <c r="T178" s="702" t="n"/>
      <c r="U178" s="702" t="n"/>
      <c r="V178" s="702" t="n"/>
      <c r="W178" s="702" t="n"/>
      <c r="X178" s="702" t="n"/>
      <c r="Y178" s="702" t="n"/>
      <c r="Z178" s="702" t="n"/>
      <c r="AA178" s="702" t="n"/>
      <c r="AB178" s="702" t="n"/>
    </row>
    <row r="179">
      <c r="A179" s="757" t="n"/>
      <c r="B179" s="757" t="n"/>
      <c r="C179" s="702" t="n"/>
      <c r="D179" s="702" t="n"/>
      <c r="E179" s="702" t="n"/>
      <c r="F179" s="702" t="n"/>
      <c r="G179" s="702" t="n"/>
      <c r="H179" s="757" t="n"/>
      <c r="I179" s="702" t="n"/>
      <c r="J179" s="702" t="n"/>
      <c r="K179" s="702" t="n"/>
      <c r="L179" s="757" t="n"/>
      <c r="M179" s="757" t="n"/>
      <c r="N179" s="757" t="n"/>
      <c r="O179" s="702" t="n"/>
      <c r="P179" s="702" t="n"/>
      <c r="Q179" s="757" t="n"/>
      <c r="R179" s="702" t="n"/>
      <c r="S179" s="762" t="n"/>
      <c r="T179" s="702" t="n"/>
      <c r="U179" s="702" t="n"/>
      <c r="V179" s="702" t="n"/>
      <c r="W179" s="702" t="n"/>
      <c r="X179" s="702" t="n"/>
      <c r="Y179" s="702" t="n"/>
      <c r="Z179" s="702" t="n"/>
      <c r="AA179" s="702" t="n"/>
      <c r="AB179" s="702" t="n"/>
    </row>
    <row r="180">
      <c r="A180" s="757" t="n"/>
      <c r="B180" s="757" t="n"/>
      <c r="C180" s="702" t="n"/>
      <c r="D180" s="702" t="n"/>
      <c r="E180" s="702" t="n"/>
      <c r="F180" s="702" t="n"/>
      <c r="G180" s="702" t="n"/>
      <c r="H180" s="757" t="n"/>
      <c r="I180" s="702" t="n"/>
      <c r="J180" s="702" t="n"/>
      <c r="K180" s="702" t="n"/>
      <c r="L180" s="757" t="n"/>
      <c r="M180" s="757" t="n"/>
      <c r="N180" s="757" t="n"/>
      <c r="O180" s="702" t="n"/>
      <c r="P180" s="702" t="n"/>
      <c r="Q180" s="757" t="n"/>
      <c r="R180" s="702" t="n"/>
      <c r="S180" s="762" t="n"/>
      <c r="T180" s="702" t="n"/>
      <c r="U180" s="702" t="n"/>
      <c r="V180" s="702" t="n"/>
      <c r="W180" s="702" t="n"/>
      <c r="X180" s="702" t="n"/>
      <c r="Y180" s="702" t="n"/>
      <c r="Z180" s="702" t="n"/>
      <c r="AA180" s="702" t="n"/>
      <c r="AB180" s="702" t="n"/>
    </row>
    <row r="181">
      <c r="A181" s="757" t="n"/>
      <c r="B181" s="757" t="n"/>
      <c r="C181" s="702" t="n"/>
      <c r="D181" s="702" t="n"/>
      <c r="E181" s="702" t="n"/>
      <c r="F181" s="702" t="n"/>
      <c r="G181" s="702" t="n"/>
      <c r="H181" s="757" t="n"/>
      <c r="I181" s="702" t="n"/>
      <c r="J181" s="702" t="n"/>
      <c r="K181" s="702" t="n"/>
      <c r="L181" s="757" t="n"/>
      <c r="M181" s="757" t="n"/>
      <c r="N181" s="757" t="n"/>
      <c r="O181" s="702" t="n"/>
      <c r="P181" s="702" t="n"/>
      <c r="Q181" s="757" t="n"/>
      <c r="R181" s="702" t="n"/>
      <c r="S181" s="762" t="n"/>
      <c r="T181" s="702" t="n"/>
      <c r="U181" s="702" t="n"/>
      <c r="V181" s="702" t="n"/>
      <c r="W181" s="702" t="n"/>
      <c r="X181" s="702" t="n"/>
      <c r="Y181" s="702" t="n"/>
      <c r="Z181" s="702" t="n"/>
      <c r="AA181" s="702" t="n"/>
      <c r="AB181" s="702" t="n"/>
    </row>
    <row r="182">
      <c r="A182" s="757" t="n"/>
      <c r="B182" s="757" t="n"/>
      <c r="C182" s="702" t="n"/>
      <c r="D182" s="702" t="n"/>
      <c r="E182" s="702" t="n"/>
      <c r="F182" s="702" t="n"/>
      <c r="G182" s="702" t="n"/>
      <c r="H182" s="757" t="n"/>
      <c r="I182" s="702" t="n"/>
      <c r="J182" s="702" t="n"/>
      <c r="K182" s="702" t="n"/>
      <c r="L182" s="757" t="n"/>
      <c r="M182" s="757" t="n"/>
      <c r="N182" s="757" t="n"/>
      <c r="O182" s="702" t="n"/>
      <c r="P182" s="702" t="n"/>
      <c r="Q182" s="757" t="n"/>
      <c r="R182" s="702" t="n"/>
      <c r="S182" s="762" t="n"/>
      <c r="T182" s="702" t="n"/>
      <c r="U182" s="702" t="n"/>
      <c r="V182" s="702" t="n"/>
      <c r="W182" s="702" t="n"/>
      <c r="X182" s="702" t="n"/>
      <c r="Y182" s="702" t="n"/>
      <c r="Z182" s="702" t="n"/>
      <c r="AA182" s="702" t="n"/>
      <c r="AB182" s="702" t="n"/>
    </row>
    <row r="183">
      <c r="A183" s="757" t="n"/>
      <c r="B183" s="757" t="n"/>
      <c r="C183" s="702" t="n"/>
      <c r="D183" s="702" t="n"/>
      <c r="E183" s="702" t="n"/>
      <c r="F183" s="702" t="n"/>
      <c r="G183" s="702" t="n"/>
      <c r="H183" s="757" t="n"/>
      <c r="I183" s="702" t="n"/>
      <c r="J183" s="702" t="n"/>
      <c r="K183" s="702" t="n"/>
      <c r="L183" s="757" t="n"/>
      <c r="M183" s="757" t="n"/>
      <c r="N183" s="757" t="n"/>
      <c r="O183" s="702" t="n"/>
      <c r="P183" s="702" t="n"/>
      <c r="Q183" s="757" t="n"/>
      <c r="R183" s="702" t="n"/>
      <c r="S183" s="762" t="n"/>
      <c r="T183" s="702" t="n"/>
      <c r="U183" s="702" t="n"/>
      <c r="V183" s="702" t="n"/>
      <c r="W183" s="702" t="n"/>
      <c r="X183" s="702" t="n"/>
      <c r="Y183" s="702" t="n"/>
      <c r="Z183" s="702" t="n"/>
      <c r="AA183" s="702" t="n"/>
      <c r="AB183" s="702" t="n"/>
    </row>
    <row r="184">
      <c r="A184" s="757" t="n"/>
      <c r="B184" s="757" t="n"/>
      <c r="C184" s="702" t="n"/>
      <c r="D184" s="702" t="n"/>
      <c r="E184" s="702" t="n"/>
      <c r="F184" s="702" t="n"/>
      <c r="G184" s="702" t="n"/>
      <c r="H184" s="757" t="n"/>
      <c r="I184" s="702" t="n"/>
      <c r="J184" s="702" t="n"/>
      <c r="K184" s="702" t="n"/>
      <c r="L184" s="757" t="n"/>
      <c r="M184" s="757" t="n"/>
      <c r="N184" s="757" t="n"/>
      <c r="O184" s="702" t="n"/>
      <c r="P184" s="702" t="n"/>
      <c r="Q184" s="757" t="n"/>
      <c r="R184" s="702" t="n"/>
      <c r="S184" s="762" t="n"/>
      <c r="T184" s="702" t="n"/>
      <c r="U184" s="702" t="n"/>
      <c r="V184" s="702" t="n"/>
      <c r="W184" s="702" t="n"/>
      <c r="X184" s="702" t="n"/>
      <c r="Y184" s="702" t="n"/>
      <c r="Z184" s="702" t="n"/>
      <c r="AA184" s="702" t="n"/>
      <c r="AB184" s="702" t="n"/>
    </row>
    <row r="185">
      <c r="A185" s="757" t="n"/>
      <c r="B185" s="757" t="n"/>
      <c r="C185" s="702" t="n"/>
      <c r="D185" s="702" t="n"/>
      <c r="E185" s="702" t="n"/>
      <c r="F185" s="702" t="n"/>
      <c r="G185" s="702" t="n"/>
      <c r="H185" s="757" t="n"/>
      <c r="I185" s="702" t="n"/>
      <c r="J185" s="702" t="n"/>
      <c r="K185" s="702" t="n"/>
      <c r="L185" s="757" t="n"/>
      <c r="M185" s="757" t="n"/>
      <c r="N185" s="757" t="n"/>
      <c r="O185" s="702" t="n"/>
      <c r="P185" s="702" t="n"/>
      <c r="Q185" s="757" t="n"/>
      <c r="R185" s="702" t="n"/>
      <c r="S185" s="762" t="n"/>
      <c r="T185" s="702" t="n"/>
      <c r="U185" s="702" t="n"/>
      <c r="V185" s="702" t="n"/>
      <c r="W185" s="702" t="n"/>
      <c r="X185" s="702" t="n"/>
      <c r="Y185" s="702" t="n"/>
      <c r="Z185" s="702" t="n"/>
      <c r="AA185" s="702" t="n"/>
      <c r="AB185" s="702" t="n"/>
    </row>
    <row r="186">
      <c r="A186" s="757" t="n"/>
      <c r="B186" s="757" t="n"/>
      <c r="C186" s="702" t="n"/>
      <c r="D186" s="702" t="n"/>
      <c r="E186" s="702" t="n"/>
      <c r="F186" s="702" t="n"/>
      <c r="G186" s="702" t="n"/>
      <c r="H186" s="757" t="n"/>
      <c r="I186" s="702" t="n"/>
      <c r="J186" s="702" t="n"/>
      <c r="K186" s="702" t="n"/>
      <c r="L186" s="757" t="n"/>
      <c r="M186" s="757" t="n"/>
      <c r="N186" s="757" t="n"/>
      <c r="O186" s="702" t="n"/>
      <c r="P186" s="702" t="n"/>
      <c r="Q186" s="757" t="n"/>
      <c r="R186" s="702" t="n"/>
      <c r="S186" s="762" t="n"/>
      <c r="T186" s="702" t="n"/>
      <c r="U186" s="702" t="n"/>
      <c r="V186" s="702" t="n"/>
      <c r="W186" s="702" t="n"/>
      <c r="X186" s="702" t="n"/>
      <c r="Y186" s="702" t="n"/>
      <c r="Z186" s="702" t="n"/>
      <c r="AA186" s="702" t="n"/>
      <c r="AB186" s="702" t="n"/>
    </row>
    <row r="187">
      <c r="A187" s="757" t="n"/>
      <c r="B187" s="757" t="n"/>
      <c r="C187" s="702" t="n"/>
      <c r="D187" s="702" t="n"/>
      <c r="E187" s="702" t="n"/>
      <c r="F187" s="702" t="n"/>
      <c r="G187" s="702" t="n"/>
      <c r="H187" s="757" t="n"/>
      <c r="I187" s="702" t="n"/>
      <c r="J187" s="702" t="n"/>
      <c r="K187" s="702" t="n"/>
      <c r="L187" s="757" t="n"/>
      <c r="M187" s="757" t="n"/>
      <c r="N187" s="757" t="n"/>
      <c r="O187" s="702" t="n"/>
      <c r="P187" s="702" t="n"/>
      <c r="Q187" s="757" t="n"/>
      <c r="R187" s="702" t="n"/>
      <c r="S187" s="762" t="n"/>
      <c r="T187" s="702" t="n"/>
      <c r="U187" s="702" t="n"/>
      <c r="V187" s="702" t="n"/>
      <c r="W187" s="702" t="n"/>
      <c r="X187" s="702" t="n"/>
      <c r="Y187" s="702" t="n"/>
      <c r="Z187" s="702" t="n"/>
      <c r="AA187" s="702" t="n"/>
      <c r="AB187" s="702" t="n"/>
    </row>
    <row r="188">
      <c r="A188" s="757" t="n"/>
      <c r="B188" s="757" t="n"/>
      <c r="C188" s="702" t="n"/>
      <c r="D188" s="702" t="n"/>
      <c r="E188" s="702" t="n"/>
      <c r="F188" s="702" t="n"/>
      <c r="G188" s="702" t="n"/>
      <c r="H188" s="757" t="n"/>
      <c r="I188" s="702" t="n"/>
      <c r="J188" s="702" t="n"/>
      <c r="K188" s="702" t="n"/>
      <c r="L188" s="757" t="n"/>
      <c r="M188" s="757" t="n"/>
      <c r="N188" s="757" t="n"/>
      <c r="O188" s="702" t="n"/>
      <c r="P188" s="702" t="n"/>
      <c r="Q188" s="757" t="n"/>
      <c r="R188" s="702" t="n"/>
      <c r="S188" s="762" t="n"/>
      <c r="T188" s="702" t="n"/>
      <c r="U188" s="702" t="n"/>
      <c r="V188" s="702" t="n"/>
      <c r="W188" s="702" t="n"/>
      <c r="X188" s="702" t="n"/>
      <c r="Y188" s="702" t="n"/>
      <c r="Z188" s="702" t="n"/>
      <c r="AA188" s="702" t="n"/>
      <c r="AB188" s="702" t="n"/>
    </row>
    <row r="189">
      <c r="A189" s="757" t="n"/>
      <c r="B189" s="757" t="n"/>
      <c r="C189" s="702" t="n"/>
      <c r="D189" s="702" t="n"/>
      <c r="E189" s="702" t="n"/>
      <c r="F189" s="702" t="n"/>
      <c r="G189" s="702" t="n"/>
      <c r="H189" s="757" t="n"/>
      <c r="I189" s="702" t="n"/>
      <c r="J189" s="702" t="n"/>
      <c r="K189" s="702" t="n"/>
      <c r="L189" s="757" t="n"/>
      <c r="M189" s="757" t="n"/>
      <c r="N189" s="757" t="n"/>
      <c r="O189" s="702" t="n"/>
      <c r="P189" s="702" t="n"/>
      <c r="Q189" s="757" t="n"/>
      <c r="R189" s="702" t="n"/>
      <c r="S189" s="762" t="n"/>
      <c r="T189" s="702" t="n"/>
      <c r="U189" s="702" t="n"/>
      <c r="V189" s="702" t="n"/>
      <c r="W189" s="702" t="n"/>
      <c r="X189" s="702" t="n"/>
      <c r="Y189" s="702" t="n"/>
      <c r="Z189" s="702" t="n"/>
      <c r="AA189" s="702" t="n"/>
      <c r="AB189" s="702" t="n"/>
    </row>
    <row r="190">
      <c r="A190" s="757" t="n"/>
      <c r="B190" s="757" t="n"/>
      <c r="C190" s="702" t="n"/>
      <c r="D190" s="702" t="n"/>
      <c r="E190" s="702" t="n"/>
      <c r="F190" s="702" t="n"/>
      <c r="G190" s="702" t="n"/>
      <c r="H190" s="757" t="n"/>
      <c r="I190" s="702" t="n"/>
      <c r="J190" s="702" t="n"/>
      <c r="K190" s="702" t="n"/>
      <c r="L190" s="757" t="n"/>
      <c r="M190" s="757" t="n"/>
      <c r="N190" s="757" t="n"/>
      <c r="O190" s="702" t="n"/>
      <c r="P190" s="702" t="n"/>
      <c r="Q190" s="757" t="n"/>
      <c r="R190" s="702" t="n"/>
      <c r="S190" s="762" t="n"/>
      <c r="T190" s="702" t="n"/>
      <c r="U190" s="702" t="n"/>
      <c r="V190" s="702" t="n"/>
      <c r="W190" s="702" t="n"/>
      <c r="X190" s="702" t="n"/>
      <c r="Y190" s="702" t="n"/>
      <c r="Z190" s="702" t="n"/>
      <c r="AA190" s="702" t="n"/>
      <c r="AB190" s="702" t="n"/>
    </row>
    <row r="191">
      <c r="A191" s="757" t="n"/>
      <c r="B191" s="757" t="n"/>
      <c r="C191" s="702" t="n"/>
      <c r="D191" s="702" t="n"/>
      <c r="E191" s="702" t="n"/>
      <c r="F191" s="702" t="n"/>
      <c r="G191" s="702" t="n"/>
      <c r="H191" s="757" t="n"/>
      <c r="I191" s="702" t="n"/>
      <c r="J191" s="702" t="n"/>
      <c r="K191" s="702" t="n"/>
      <c r="L191" s="757" t="n"/>
      <c r="M191" s="757" t="n"/>
      <c r="N191" s="757" t="n"/>
      <c r="O191" s="702" t="n"/>
      <c r="P191" s="702" t="n"/>
      <c r="Q191" s="757" t="n"/>
      <c r="R191" s="702" t="n"/>
      <c r="S191" s="762" t="n"/>
      <c r="T191" s="702" t="n"/>
      <c r="U191" s="702" t="n"/>
      <c r="V191" s="702" t="n"/>
      <c r="W191" s="702" t="n"/>
      <c r="X191" s="702" t="n"/>
      <c r="Y191" s="702" t="n"/>
      <c r="Z191" s="702" t="n"/>
      <c r="AA191" s="702" t="n"/>
      <c r="AB191" s="702" t="n"/>
    </row>
    <row r="192">
      <c r="A192" s="757" t="n"/>
      <c r="B192" s="757" t="n"/>
      <c r="C192" s="702" t="n"/>
      <c r="D192" s="702" t="n"/>
      <c r="E192" s="702" t="n"/>
      <c r="F192" s="702" t="n"/>
      <c r="G192" s="702" t="n"/>
      <c r="H192" s="757" t="n"/>
      <c r="I192" s="702" t="n"/>
      <c r="J192" s="702" t="n"/>
      <c r="K192" s="702" t="n"/>
      <c r="L192" s="757" t="n"/>
      <c r="M192" s="757" t="n"/>
      <c r="N192" s="757" t="n"/>
      <c r="O192" s="702" t="n"/>
      <c r="P192" s="702" t="n"/>
      <c r="Q192" s="757" t="n"/>
      <c r="R192" s="702" t="n"/>
      <c r="S192" s="762" t="n"/>
      <c r="T192" s="702" t="n"/>
      <c r="U192" s="702" t="n"/>
      <c r="V192" s="702" t="n"/>
      <c r="W192" s="702" t="n"/>
      <c r="X192" s="702" t="n"/>
      <c r="Y192" s="702" t="n"/>
      <c r="Z192" s="702" t="n"/>
      <c r="AA192" s="702" t="n"/>
      <c r="AB192" s="702" t="n"/>
    </row>
    <row r="193">
      <c r="A193" s="757" t="n"/>
      <c r="B193" s="757" t="n"/>
      <c r="C193" s="702" t="n"/>
      <c r="D193" s="702" t="n"/>
      <c r="E193" s="702" t="n"/>
      <c r="F193" s="702" t="n"/>
      <c r="G193" s="702" t="n"/>
      <c r="H193" s="757" t="n"/>
      <c r="I193" s="702" t="n"/>
      <c r="J193" s="702" t="n"/>
      <c r="K193" s="702" t="n"/>
      <c r="L193" s="757" t="n"/>
      <c r="M193" s="757" t="n"/>
      <c r="N193" s="757" t="n"/>
      <c r="O193" s="702" t="n"/>
      <c r="P193" s="702" t="n"/>
      <c r="Q193" s="757" t="n"/>
      <c r="R193" s="702" t="n"/>
      <c r="S193" s="762" t="n"/>
      <c r="T193" s="702" t="n"/>
      <c r="U193" s="702" t="n"/>
      <c r="V193" s="702" t="n"/>
      <c r="W193" s="702" t="n"/>
      <c r="X193" s="702" t="n"/>
      <c r="Y193" s="702" t="n"/>
      <c r="Z193" s="702" t="n"/>
      <c r="AA193" s="702" t="n"/>
      <c r="AB193" s="702" t="n"/>
    </row>
    <row r="194">
      <c r="A194" s="757" t="n"/>
      <c r="B194" s="757" t="n"/>
      <c r="C194" s="702" t="n"/>
      <c r="D194" s="702" t="n"/>
      <c r="E194" s="702" t="n"/>
      <c r="F194" s="702" t="n"/>
      <c r="G194" s="702" t="n"/>
      <c r="H194" s="757" t="n"/>
      <c r="I194" s="702" t="n"/>
      <c r="J194" s="702" t="n"/>
      <c r="K194" s="702" t="n"/>
      <c r="L194" s="757" t="n"/>
      <c r="M194" s="757" t="n"/>
      <c r="N194" s="757" t="n"/>
      <c r="O194" s="702" t="n"/>
      <c r="P194" s="702" t="n"/>
      <c r="Q194" s="757" t="n"/>
      <c r="R194" s="702" t="n"/>
      <c r="S194" s="762" t="n"/>
      <c r="T194" s="702" t="n"/>
      <c r="U194" s="702" t="n"/>
      <c r="V194" s="702" t="n"/>
      <c r="W194" s="702" t="n"/>
      <c r="X194" s="702" t="n"/>
      <c r="Y194" s="702" t="n"/>
      <c r="Z194" s="702" t="n"/>
      <c r="AA194" s="702" t="n"/>
      <c r="AB194" s="702" t="n"/>
    </row>
    <row r="195">
      <c r="A195" s="757" t="n"/>
      <c r="B195" s="757" t="n"/>
      <c r="C195" s="702" t="n"/>
      <c r="D195" s="702" t="n"/>
      <c r="E195" s="702" t="n"/>
      <c r="F195" s="702" t="n"/>
      <c r="G195" s="702" t="n"/>
      <c r="H195" s="757" t="n"/>
      <c r="I195" s="702" t="n"/>
      <c r="J195" s="702" t="n"/>
      <c r="K195" s="702" t="n"/>
      <c r="L195" s="757" t="n"/>
      <c r="M195" s="757" t="n"/>
      <c r="N195" s="757" t="n"/>
      <c r="O195" s="702" t="n"/>
      <c r="P195" s="702" t="n"/>
      <c r="Q195" s="757" t="n"/>
      <c r="R195" s="702" t="n"/>
      <c r="S195" s="762" t="n"/>
      <c r="T195" s="702" t="n"/>
      <c r="U195" s="702" t="n"/>
      <c r="V195" s="702" t="n"/>
      <c r="W195" s="702" t="n"/>
      <c r="X195" s="702" t="n"/>
      <c r="Y195" s="702" t="n"/>
      <c r="Z195" s="702" t="n"/>
      <c r="AA195" s="702" t="n"/>
      <c r="AB195" s="702" t="n"/>
    </row>
    <row r="196">
      <c r="A196" s="757" t="n"/>
      <c r="B196" s="757" t="n"/>
      <c r="C196" s="702" t="n"/>
      <c r="D196" s="702" t="n"/>
      <c r="E196" s="702" t="n"/>
      <c r="F196" s="702" t="n"/>
      <c r="G196" s="702" t="n"/>
      <c r="H196" s="757" t="n"/>
      <c r="I196" s="702" t="n"/>
      <c r="J196" s="702" t="n"/>
      <c r="K196" s="702" t="n"/>
      <c r="L196" s="757" t="n"/>
      <c r="M196" s="757" t="n"/>
      <c r="N196" s="757" t="n"/>
      <c r="O196" s="702" t="n"/>
      <c r="P196" s="702" t="n"/>
      <c r="Q196" s="757" t="n"/>
      <c r="R196" s="702" t="n"/>
      <c r="S196" s="762" t="n"/>
      <c r="T196" s="702" t="n"/>
      <c r="U196" s="702" t="n"/>
      <c r="V196" s="702" t="n"/>
      <c r="W196" s="702" t="n"/>
      <c r="X196" s="702" t="n"/>
      <c r="Y196" s="702" t="n"/>
      <c r="Z196" s="702" t="n"/>
      <c r="AA196" s="702" t="n"/>
      <c r="AB196" s="702" t="n"/>
    </row>
    <row r="197">
      <c r="A197" s="757" t="n"/>
      <c r="B197" s="757" t="n"/>
      <c r="C197" s="702" t="n"/>
      <c r="D197" s="702" t="n"/>
      <c r="E197" s="702" t="n"/>
      <c r="F197" s="702" t="n"/>
      <c r="G197" s="702" t="n"/>
      <c r="H197" s="757" t="n"/>
      <c r="I197" s="702" t="n"/>
      <c r="J197" s="702" t="n"/>
      <c r="K197" s="702" t="n"/>
      <c r="L197" s="757" t="n"/>
      <c r="M197" s="757" t="n"/>
      <c r="N197" s="757" t="n"/>
      <c r="O197" s="702" t="n"/>
      <c r="P197" s="702" t="n"/>
      <c r="Q197" s="757" t="n"/>
      <c r="R197" s="702" t="n"/>
      <c r="S197" s="762" t="n"/>
      <c r="T197" s="702" t="n"/>
      <c r="U197" s="702" t="n"/>
      <c r="V197" s="702" t="n"/>
      <c r="W197" s="702" t="n"/>
      <c r="X197" s="702" t="n"/>
      <c r="Y197" s="702" t="n"/>
      <c r="Z197" s="702" t="n"/>
      <c r="AA197" s="702" t="n"/>
      <c r="AB197" s="702" t="n"/>
    </row>
    <row r="198">
      <c r="A198" s="757" t="n"/>
      <c r="B198" s="757" t="n"/>
      <c r="C198" s="702" t="n"/>
      <c r="D198" s="702" t="n"/>
      <c r="E198" s="702" t="n"/>
      <c r="F198" s="702" t="n"/>
      <c r="G198" s="702" t="n"/>
      <c r="H198" s="757" t="n"/>
      <c r="I198" s="702" t="n"/>
      <c r="J198" s="702" t="n"/>
      <c r="K198" s="702" t="n"/>
      <c r="L198" s="757" t="n"/>
      <c r="M198" s="757" t="n"/>
      <c r="N198" s="757" t="n"/>
      <c r="O198" s="702" t="n"/>
      <c r="P198" s="702" t="n"/>
      <c r="Q198" s="757" t="n"/>
      <c r="R198" s="702" t="n"/>
      <c r="S198" s="762" t="n"/>
      <c r="T198" s="702" t="n"/>
      <c r="U198" s="702" t="n"/>
      <c r="V198" s="702" t="n"/>
      <c r="W198" s="702" t="n"/>
      <c r="X198" s="702" t="n"/>
      <c r="Y198" s="702" t="n"/>
      <c r="Z198" s="702" t="n"/>
      <c r="AA198" s="702" t="n"/>
      <c r="AB198" s="702" t="n"/>
    </row>
    <row r="199">
      <c r="A199" s="757" t="n"/>
      <c r="B199" s="757" t="n"/>
      <c r="C199" s="702" t="n"/>
      <c r="D199" s="702" t="n"/>
      <c r="E199" s="702" t="n"/>
      <c r="F199" s="702" t="n"/>
      <c r="G199" s="702" t="n"/>
      <c r="H199" s="757" t="n"/>
      <c r="I199" s="702" t="n"/>
      <c r="J199" s="702" t="n"/>
      <c r="K199" s="702" t="n"/>
      <c r="L199" s="757" t="n"/>
      <c r="M199" s="757" t="n"/>
      <c r="N199" s="757" t="n"/>
      <c r="O199" s="702" t="n"/>
      <c r="P199" s="702" t="n"/>
      <c r="Q199" s="757" t="n"/>
      <c r="R199" s="702" t="n"/>
      <c r="S199" s="762" t="n"/>
      <c r="T199" s="702" t="n"/>
      <c r="U199" s="702" t="n"/>
      <c r="V199" s="702" t="n"/>
      <c r="W199" s="702" t="n"/>
      <c r="X199" s="702" t="n"/>
      <c r="Y199" s="702" t="n"/>
      <c r="Z199" s="702" t="n"/>
      <c r="AA199" s="702" t="n"/>
      <c r="AB199" s="702" t="n"/>
    </row>
    <row r="200">
      <c r="A200" s="757" t="n"/>
      <c r="B200" s="757" t="n"/>
      <c r="C200" s="702" t="n"/>
      <c r="D200" s="702" t="n"/>
      <c r="E200" s="702" t="n"/>
      <c r="F200" s="702" t="n"/>
      <c r="G200" s="702" t="n"/>
      <c r="H200" s="757" t="n"/>
      <c r="I200" s="702" t="n"/>
      <c r="J200" s="702" t="n"/>
      <c r="K200" s="702" t="n"/>
      <c r="L200" s="757" t="n"/>
      <c r="M200" s="757" t="n"/>
      <c r="N200" s="757" t="n"/>
      <c r="O200" s="702" t="n"/>
      <c r="P200" s="702" t="n"/>
      <c r="Q200" s="757" t="n"/>
      <c r="R200" s="702" t="n"/>
      <c r="S200" s="762" t="n"/>
      <c r="T200" s="702" t="n"/>
      <c r="U200" s="702" t="n"/>
      <c r="V200" s="702" t="n"/>
      <c r="W200" s="702" t="n"/>
      <c r="X200" s="702" t="n"/>
      <c r="Y200" s="702" t="n"/>
      <c r="Z200" s="702" t="n"/>
      <c r="AA200" s="702" t="n"/>
      <c r="AB200" s="702" t="n"/>
    </row>
    <row r="201">
      <c r="A201" s="757" t="n"/>
      <c r="B201" s="757" t="n"/>
      <c r="C201" s="702" t="n"/>
      <c r="D201" s="702" t="n"/>
      <c r="E201" s="702" t="n"/>
      <c r="F201" s="702" t="n"/>
      <c r="G201" s="702" t="n"/>
      <c r="H201" s="757" t="n"/>
      <c r="I201" s="702" t="n"/>
      <c r="J201" s="702" t="n"/>
      <c r="K201" s="702" t="n"/>
      <c r="L201" s="757" t="n"/>
      <c r="M201" s="757" t="n"/>
      <c r="N201" s="757" t="n"/>
      <c r="O201" s="702" t="n"/>
      <c r="P201" s="702" t="n"/>
      <c r="Q201" s="757" t="n"/>
      <c r="R201" s="702" t="n"/>
      <c r="S201" s="762" t="n"/>
      <c r="T201" s="702" t="n"/>
      <c r="U201" s="702" t="n"/>
      <c r="V201" s="702" t="n"/>
      <c r="W201" s="702" t="n"/>
      <c r="X201" s="702" t="n"/>
      <c r="Y201" s="702" t="n"/>
      <c r="Z201" s="702" t="n"/>
      <c r="AA201" s="702" t="n"/>
      <c r="AB201" s="702" t="n"/>
    </row>
    <row r="202">
      <c r="A202" s="757" t="n"/>
      <c r="B202" s="757" t="n"/>
      <c r="C202" s="702" t="n"/>
      <c r="D202" s="702" t="n"/>
      <c r="E202" s="702" t="n"/>
      <c r="F202" s="702" t="n"/>
      <c r="G202" s="702" t="n"/>
      <c r="H202" s="757" t="n"/>
      <c r="I202" s="702" t="n"/>
      <c r="J202" s="702" t="n"/>
      <c r="K202" s="702" t="n"/>
      <c r="L202" s="757" t="n"/>
      <c r="M202" s="757" t="n"/>
      <c r="N202" s="757" t="n"/>
      <c r="O202" s="702" t="n"/>
      <c r="P202" s="702" t="n"/>
      <c r="Q202" s="757" t="n"/>
      <c r="R202" s="702" t="n"/>
      <c r="S202" s="762" t="n"/>
      <c r="T202" s="702" t="n"/>
      <c r="U202" s="702" t="n"/>
      <c r="V202" s="702" t="n"/>
      <c r="W202" s="702" t="n"/>
      <c r="X202" s="702" t="n"/>
      <c r="Y202" s="702" t="n"/>
      <c r="Z202" s="702" t="n"/>
      <c r="AA202" s="702" t="n"/>
      <c r="AB202" s="702" t="n"/>
    </row>
    <row r="203">
      <c r="A203" s="757" t="n"/>
      <c r="B203" s="757" t="n"/>
      <c r="C203" s="702" t="n"/>
      <c r="D203" s="702" t="n"/>
      <c r="E203" s="702" t="n"/>
      <c r="F203" s="702" t="n"/>
      <c r="G203" s="702" t="n"/>
      <c r="H203" s="757" t="n"/>
      <c r="I203" s="702" t="n"/>
      <c r="J203" s="702" t="n"/>
      <c r="K203" s="702" t="n"/>
      <c r="L203" s="757" t="n"/>
      <c r="M203" s="757" t="n"/>
      <c r="N203" s="757" t="n"/>
      <c r="O203" s="702" t="n"/>
      <c r="P203" s="702" t="n"/>
      <c r="Q203" s="757" t="n"/>
      <c r="R203" s="702" t="n"/>
      <c r="S203" s="762" t="n"/>
      <c r="T203" s="702" t="n"/>
      <c r="U203" s="702" t="n"/>
      <c r="V203" s="702" t="n"/>
      <c r="W203" s="702" t="n"/>
      <c r="X203" s="702" t="n"/>
      <c r="Y203" s="702" t="n"/>
      <c r="Z203" s="702" t="n"/>
      <c r="AA203" s="702" t="n"/>
      <c r="AB203" s="702" t="n"/>
    </row>
    <row r="204">
      <c r="A204" s="757" t="n"/>
      <c r="B204" s="757" t="n"/>
      <c r="C204" s="702" t="n"/>
      <c r="D204" s="702" t="n"/>
      <c r="E204" s="702" t="n"/>
      <c r="F204" s="702" t="n"/>
      <c r="G204" s="702" t="n"/>
      <c r="H204" s="757" t="n"/>
      <c r="I204" s="702" t="n"/>
      <c r="J204" s="702" t="n"/>
      <c r="K204" s="702" t="n"/>
      <c r="L204" s="757" t="n"/>
      <c r="M204" s="757" t="n"/>
      <c r="N204" s="757" t="n"/>
      <c r="O204" s="702" t="n"/>
      <c r="P204" s="702" t="n"/>
      <c r="Q204" s="757" t="n"/>
      <c r="R204" s="702" t="n"/>
      <c r="S204" s="762" t="n"/>
      <c r="T204" s="702" t="n"/>
      <c r="U204" s="702" t="n"/>
      <c r="V204" s="702" t="n"/>
      <c r="W204" s="702" t="n"/>
      <c r="X204" s="702" t="n"/>
      <c r="Y204" s="702" t="n"/>
      <c r="Z204" s="702" t="n"/>
      <c r="AA204" s="702" t="n"/>
      <c r="AB204" s="702" t="n"/>
    </row>
    <row r="205">
      <c r="A205" s="757" t="n"/>
      <c r="B205" s="757" t="n"/>
      <c r="C205" s="702" t="n"/>
      <c r="D205" s="702" t="n"/>
      <c r="E205" s="702" t="n"/>
      <c r="F205" s="702" t="n"/>
      <c r="G205" s="702" t="n"/>
      <c r="H205" s="757" t="n"/>
      <c r="I205" s="702" t="n"/>
      <c r="J205" s="702" t="n"/>
      <c r="K205" s="702" t="n"/>
      <c r="L205" s="757" t="n"/>
      <c r="M205" s="757" t="n"/>
      <c r="N205" s="757" t="n"/>
      <c r="O205" s="702" t="n"/>
      <c r="P205" s="702" t="n"/>
      <c r="Q205" s="757" t="n"/>
      <c r="R205" s="702" t="n"/>
      <c r="S205" s="762" t="n"/>
      <c r="T205" s="702" t="n"/>
      <c r="U205" s="702" t="n"/>
      <c r="V205" s="702" t="n"/>
      <c r="W205" s="702" t="n"/>
      <c r="X205" s="702" t="n"/>
      <c r="Y205" s="702" t="n"/>
      <c r="Z205" s="702" t="n"/>
      <c r="AA205" s="702" t="n"/>
      <c r="AB205" s="702" t="n"/>
    </row>
    <row r="206">
      <c r="A206" s="757" t="n"/>
      <c r="B206" s="757" t="n"/>
      <c r="C206" s="702" t="n"/>
      <c r="D206" s="702" t="n"/>
      <c r="E206" s="702" t="n"/>
      <c r="F206" s="702" t="n"/>
      <c r="G206" s="702" t="n"/>
      <c r="H206" s="757" t="n"/>
      <c r="I206" s="702" t="n"/>
      <c r="J206" s="702" t="n"/>
      <c r="K206" s="702" t="n"/>
      <c r="L206" s="757" t="n"/>
      <c r="M206" s="757" t="n"/>
      <c r="N206" s="757" t="n"/>
      <c r="O206" s="702" t="n"/>
      <c r="P206" s="702" t="n"/>
      <c r="Q206" s="757" t="n"/>
      <c r="R206" s="702" t="n"/>
      <c r="S206" s="762" t="n"/>
      <c r="T206" s="702" t="n"/>
      <c r="U206" s="702" t="n"/>
      <c r="V206" s="702" t="n"/>
      <c r="W206" s="702" t="n"/>
      <c r="X206" s="702" t="n"/>
      <c r="Y206" s="702" t="n"/>
      <c r="Z206" s="702" t="n"/>
      <c r="AA206" s="702" t="n"/>
      <c r="AB206" s="702" t="n"/>
    </row>
    <row r="207">
      <c r="A207" s="757" t="n"/>
      <c r="B207" s="757" t="n"/>
      <c r="C207" s="702" t="n"/>
      <c r="D207" s="702" t="n"/>
      <c r="E207" s="702" t="n"/>
      <c r="F207" s="702" t="n"/>
      <c r="G207" s="702" t="n"/>
      <c r="H207" s="757" t="n"/>
      <c r="I207" s="702" t="n"/>
      <c r="J207" s="702" t="n"/>
      <c r="K207" s="702" t="n"/>
      <c r="L207" s="757" t="n"/>
      <c r="M207" s="757" t="n"/>
      <c r="N207" s="757" t="n"/>
      <c r="O207" s="702" t="n"/>
      <c r="P207" s="702" t="n"/>
      <c r="Q207" s="757" t="n"/>
      <c r="R207" s="702" t="n"/>
      <c r="S207" s="762" t="n"/>
      <c r="T207" s="702" t="n"/>
      <c r="U207" s="702" t="n"/>
      <c r="V207" s="702" t="n"/>
      <c r="W207" s="702" t="n"/>
      <c r="X207" s="702" t="n"/>
      <c r="Y207" s="702" t="n"/>
      <c r="Z207" s="702" t="n"/>
      <c r="AA207" s="702" t="n"/>
      <c r="AB207" s="702" t="n"/>
    </row>
    <row r="208">
      <c r="A208" s="757" t="n"/>
      <c r="B208" s="757" t="n"/>
      <c r="C208" s="702" t="n"/>
      <c r="D208" s="702" t="n"/>
      <c r="E208" s="702" t="n"/>
      <c r="F208" s="702" t="n"/>
      <c r="G208" s="702" t="n"/>
      <c r="H208" s="757" t="n"/>
      <c r="I208" s="702" t="n"/>
      <c r="J208" s="702" t="n"/>
      <c r="K208" s="702" t="n"/>
      <c r="L208" s="757" t="n"/>
      <c r="M208" s="757" t="n"/>
      <c r="N208" s="757" t="n"/>
      <c r="O208" s="702" t="n"/>
      <c r="P208" s="702" t="n"/>
      <c r="Q208" s="757" t="n"/>
      <c r="R208" s="702" t="n"/>
      <c r="S208" s="762" t="n"/>
      <c r="T208" s="702" t="n"/>
      <c r="U208" s="702" t="n"/>
      <c r="V208" s="702" t="n"/>
      <c r="W208" s="702" t="n"/>
      <c r="X208" s="702" t="n"/>
      <c r="Y208" s="702" t="n"/>
      <c r="Z208" s="702" t="n"/>
      <c r="AA208" s="702" t="n"/>
      <c r="AB208" s="702" t="n"/>
    </row>
    <row r="209">
      <c r="A209" s="757" t="n"/>
      <c r="B209" s="757" t="n"/>
      <c r="C209" s="702" t="n"/>
      <c r="D209" s="702" t="n"/>
      <c r="E209" s="702" t="n"/>
      <c r="F209" s="702" t="n"/>
      <c r="G209" s="702" t="n"/>
      <c r="H209" s="757" t="n"/>
      <c r="I209" s="702" t="n"/>
      <c r="J209" s="702" t="n"/>
      <c r="K209" s="702" t="n"/>
      <c r="L209" s="757" t="n"/>
      <c r="M209" s="757" t="n"/>
      <c r="N209" s="757" t="n"/>
      <c r="O209" s="702" t="n"/>
      <c r="P209" s="702" t="n"/>
      <c r="Q209" s="757" t="n"/>
      <c r="R209" s="702" t="n"/>
      <c r="S209" s="762" t="n"/>
      <c r="T209" s="702" t="n"/>
      <c r="U209" s="702" t="n"/>
      <c r="V209" s="702" t="n"/>
      <c r="W209" s="702" t="n"/>
      <c r="X209" s="702" t="n"/>
      <c r="Y209" s="702" t="n"/>
      <c r="Z209" s="702" t="n"/>
      <c r="AA209" s="702" t="n"/>
      <c r="AB209" s="702" t="n"/>
    </row>
    <row r="210">
      <c r="A210" s="757" t="n"/>
      <c r="B210" s="757" t="n"/>
      <c r="C210" s="702" t="n"/>
      <c r="D210" s="702" t="n"/>
      <c r="E210" s="702" t="n"/>
      <c r="F210" s="702" t="n"/>
      <c r="G210" s="702" t="n"/>
      <c r="H210" s="757" t="n"/>
      <c r="I210" s="702" t="n"/>
      <c r="J210" s="702" t="n"/>
      <c r="K210" s="702" t="n"/>
      <c r="L210" s="757" t="n"/>
      <c r="M210" s="757" t="n"/>
      <c r="N210" s="757" t="n"/>
      <c r="O210" s="702" t="n"/>
      <c r="P210" s="702" t="n"/>
      <c r="Q210" s="757" t="n"/>
      <c r="R210" s="702" t="n"/>
      <c r="S210" s="762" t="n"/>
      <c r="T210" s="702" t="n"/>
      <c r="U210" s="702" t="n"/>
      <c r="V210" s="702" t="n"/>
      <c r="W210" s="702" t="n"/>
      <c r="X210" s="702" t="n"/>
      <c r="Y210" s="702" t="n"/>
      <c r="Z210" s="702" t="n"/>
      <c r="AA210" s="702" t="n"/>
      <c r="AB210" s="702" t="n"/>
    </row>
    <row r="211">
      <c r="A211" s="757" t="n"/>
      <c r="B211" s="757" t="n"/>
      <c r="C211" s="702" t="n"/>
      <c r="D211" s="702" t="n"/>
      <c r="E211" s="702" t="n"/>
      <c r="F211" s="702" t="n"/>
      <c r="G211" s="702" t="n"/>
      <c r="H211" s="757" t="n"/>
      <c r="I211" s="702" t="n"/>
      <c r="J211" s="702" t="n"/>
      <c r="K211" s="702" t="n"/>
      <c r="L211" s="757" t="n"/>
      <c r="M211" s="757" t="n"/>
      <c r="N211" s="757" t="n"/>
      <c r="O211" s="702" t="n"/>
      <c r="P211" s="702" t="n"/>
      <c r="Q211" s="757" t="n"/>
      <c r="R211" s="702" t="n"/>
      <c r="S211" s="762" t="n"/>
      <c r="T211" s="702" t="n"/>
      <c r="U211" s="702" t="n"/>
      <c r="V211" s="702" t="n"/>
      <c r="W211" s="702" t="n"/>
      <c r="X211" s="702" t="n"/>
      <c r="Y211" s="702" t="n"/>
      <c r="Z211" s="702" t="n"/>
      <c r="AA211" s="702" t="n"/>
      <c r="AB211" s="702" t="n"/>
    </row>
    <row r="212">
      <c r="A212" s="757" t="n"/>
      <c r="B212" s="757" t="n"/>
      <c r="C212" s="702" t="n"/>
      <c r="D212" s="702" t="n"/>
      <c r="E212" s="702" t="n"/>
      <c r="F212" s="702" t="n"/>
      <c r="G212" s="702" t="n"/>
      <c r="H212" s="757" t="n"/>
      <c r="I212" s="702" t="n"/>
      <c r="J212" s="702" t="n"/>
      <c r="K212" s="702" t="n"/>
      <c r="L212" s="757" t="n"/>
      <c r="M212" s="757" t="n"/>
      <c r="N212" s="757" t="n"/>
      <c r="O212" s="702" t="n"/>
      <c r="P212" s="702" t="n"/>
      <c r="Q212" s="757" t="n"/>
      <c r="R212" s="702" t="n"/>
      <c r="S212" s="762" t="n"/>
      <c r="T212" s="702" t="n"/>
      <c r="U212" s="702" t="n"/>
      <c r="V212" s="702" t="n"/>
      <c r="W212" s="702" t="n"/>
      <c r="X212" s="702" t="n"/>
      <c r="Y212" s="702" t="n"/>
      <c r="Z212" s="702" t="n"/>
      <c r="AA212" s="702" t="n"/>
      <c r="AB212" s="702" t="n"/>
    </row>
    <row r="213">
      <c r="A213" s="757" t="n"/>
      <c r="B213" s="757" t="n"/>
      <c r="C213" s="702" t="n"/>
      <c r="D213" s="702" t="n"/>
      <c r="E213" s="702" t="n"/>
      <c r="F213" s="702" t="n"/>
      <c r="G213" s="702" t="n"/>
      <c r="H213" s="757" t="n"/>
      <c r="I213" s="702" t="n"/>
      <c r="J213" s="702" t="n"/>
      <c r="K213" s="702" t="n"/>
      <c r="L213" s="757" t="n"/>
      <c r="M213" s="757" t="n"/>
      <c r="N213" s="757" t="n"/>
      <c r="O213" s="702" t="n"/>
      <c r="P213" s="702" t="n"/>
      <c r="Q213" s="757" t="n"/>
      <c r="R213" s="702" t="n"/>
      <c r="S213" s="762" t="n"/>
      <c r="T213" s="702" t="n"/>
      <c r="U213" s="702" t="n"/>
      <c r="V213" s="702" t="n"/>
      <c r="W213" s="702" t="n"/>
      <c r="X213" s="702" t="n"/>
      <c r="Y213" s="702" t="n"/>
      <c r="Z213" s="702" t="n"/>
      <c r="AA213" s="702" t="n"/>
      <c r="AB213" s="702" t="n"/>
    </row>
    <row r="214">
      <c r="A214" s="757" t="n"/>
      <c r="B214" s="757" t="n"/>
      <c r="C214" s="702" t="n"/>
      <c r="D214" s="702" t="n"/>
      <c r="E214" s="702" t="n"/>
      <c r="F214" s="702" t="n"/>
      <c r="G214" s="702" t="n"/>
      <c r="H214" s="757" t="n"/>
      <c r="I214" s="702" t="n"/>
      <c r="J214" s="702" t="n"/>
      <c r="K214" s="702" t="n"/>
      <c r="L214" s="757" t="n"/>
      <c r="M214" s="757" t="n"/>
      <c r="N214" s="757" t="n"/>
      <c r="O214" s="702" t="n"/>
      <c r="P214" s="702" t="n"/>
      <c r="Q214" s="757" t="n"/>
      <c r="R214" s="702" t="n"/>
      <c r="S214" s="762" t="n"/>
      <c r="T214" s="702" t="n"/>
      <c r="U214" s="702" t="n"/>
      <c r="V214" s="702" t="n"/>
      <c r="W214" s="702" t="n"/>
      <c r="X214" s="702" t="n"/>
      <c r="Y214" s="702" t="n"/>
      <c r="Z214" s="702" t="n"/>
      <c r="AA214" s="702" t="n"/>
      <c r="AB214" s="702" t="n"/>
    </row>
    <row r="215">
      <c r="A215" s="757" t="n"/>
      <c r="B215" s="757" t="n"/>
      <c r="C215" s="702" t="n"/>
      <c r="D215" s="702" t="n"/>
      <c r="E215" s="702" t="n"/>
      <c r="F215" s="702" t="n"/>
      <c r="G215" s="702" t="n"/>
      <c r="H215" s="757" t="n"/>
      <c r="I215" s="702" t="n"/>
      <c r="J215" s="702" t="n"/>
      <c r="K215" s="702" t="n"/>
      <c r="L215" s="757" t="n"/>
      <c r="M215" s="757" t="n"/>
      <c r="N215" s="757" t="n"/>
      <c r="O215" s="702" t="n"/>
      <c r="P215" s="702" t="n"/>
      <c r="Q215" s="757" t="n"/>
      <c r="R215" s="702" t="n"/>
      <c r="S215" s="762" t="n"/>
      <c r="T215" s="702" t="n"/>
      <c r="U215" s="702" t="n"/>
      <c r="V215" s="702" t="n"/>
      <c r="W215" s="702" t="n"/>
      <c r="X215" s="702" t="n"/>
      <c r="Y215" s="702" t="n"/>
      <c r="Z215" s="702" t="n"/>
      <c r="AA215" s="702" t="n"/>
      <c r="AB215" s="702" t="n"/>
    </row>
    <row r="216">
      <c r="A216" s="757" t="n"/>
      <c r="B216" s="757" t="n"/>
      <c r="C216" s="702" t="n"/>
      <c r="D216" s="702" t="n"/>
      <c r="E216" s="702" t="n"/>
      <c r="F216" s="702" t="n"/>
      <c r="G216" s="702" t="n"/>
      <c r="H216" s="757" t="n"/>
      <c r="I216" s="702" t="n"/>
      <c r="J216" s="702" t="n"/>
      <c r="K216" s="702" t="n"/>
      <c r="L216" s="757" t="n"/>
      <c r="M216" s="757" t="n"/>
      <c r="N216" s="757" t="n"/>
      <c r="O216" s="702" t="n"/>
      <c r="P216" s="702" t="n"/>
      <c r="Q216" s="757" t="n"/>
      <c r="R216" s="702" t="n"/>
      <c r="S216" s="762" t="n"/>
      <c r="T216" s="702" t="n"/>
      <c r="U216" s="702" t="n"/>
      <c r="V216" s="702" t="n"/>
      <c r="W216" s="702" t="n"/>
      <c r="X216" s="702" t="n"/>
      <c r="Y216" s="702" t="n"/>
      <c r="Z216" s="702" t="n"/>
      <c r="AA216" s="702" t="n"/>
      <c r="AB216" s="702" t="n"/>
    </row>
    <row r="217">
      <c r="A217" s="757" t="n"/>
      <c r="B217" s="757" t="n"/>
      <c r="C217" s="702" t="n"/>
      <c r="D217" s="702" t="n"/>
      <c r="E217" s="702" t="n"/>
      <c r="F217" s="702" t="n"/>
      <c r="G217" s="702" t="n"/>
      <c r="H217" s="757" t="n"/>
      <c r="I217" s="702" t="n"/>
      <c r="J217" s="702" t="n"/>
      <c r="K217" s="702" t="n"/>
      <c r="L217" s="757" t="n"/>
      <c r="M217" s="757" t="n"/>
      <c r="N217" s="757" t="n"/>
      <c r="O217" s="702" t="n"/>
      <c r="P217" s="702" t="n"/>
      <c r="Q217" s="757" t="n"/>
      <c r="R217" s="702" t="n"/>
      <c r="S217" s="762" t="n"/>
      <c r="T217" s="702" t="n"/>
      <c r="U217" s="702" t="n"/>
      <c r="V217" s="702" t="n"/>
      <c r="W217" s="702" t="n"/>
      <c r="X217" s="702" t="n"/>
      <c r="Y217" s="702" t="n"/>
      <c r="Z217" s="702" t="n"/>
      <c r="AA217" s="702" t="n"/>
      <c r="AB217" s="702" t="n"/>
    </row>
    <row r="218">
      <c r="A218" s="757" t="n"/>
      <c r="B218" s="757" t="n"/>
      <c r="C218" s="702" t="n"/>
      <c r="D218" s="702" t="n"/>
      <c r="E218" s="702" t="n"/>
      <c r="F218" s="702" t="n"/>
      <c r="G218" s="702" t="n"/>
      <c r="H218" s="757" t="n"/>
      <c r="I218" s="702" t="n"/>
      <c r="J218" s="702" t="n"/>
      <c r="K218" s="702" t="n"/>
      <c r="L218" s="757" t="n"/>
      <c r="M218" s="757" t="n"/>
      <c r="N218" s="757" t="n"/>
      <c r="O218" s="702" t="n"/>
      <c r="P218" s="702" t="n"/>
      <c r="Q218" s="757" t="n"/>
      <c r="R218" s="702" t="n"/>
      <c r="S218" s="762" t="n"/>
      <c r="T218" s="702" t="n"/>
      <c r="U218" s="702" t="n"/>
      <c r="V218" s="702" t="n"/>
      <c r="W218" s="702" t="n"/>
      <c r="X218" s="702" t="n"/>
      <c r="Y218" s="702" t="n"/>
      <c r="Z218" s="702" t="n"/>
      <c r="AA218" s="702" t="n"/>
      <c r="AB218" s="702" t="n"/>
    </row>
    <row r="219">
      <c r="A219" s="757" t="n"/>
      <c r="B219" s="757" t="n"/>
      <c r="C219" s="702" t="n"/>
      <c r="D219" s="702" t="n"/>
      <c r="E219" s="702" t="n"/>
      <c r="F219" s="702" t="n"/>
      <c r="G219" s="702" t="n"/>
      <c r="H219" s="757" t="n"/>
      <c r="I219" s="702" t="n"/>
      <c r="J219" s="702" t="n"/>
      <c r="K219" s="702" t="n"/>
      <c r="L219" s="757" t="n"/>
      <c r="M219" s="757" t="n"/>
      <c r="N219" s="757" t="n"/>
      <c r="O219" s="702" t="n"/>
      <c r="P219" s="702" t="n"/>
      <c r="Q219" s="757" t="n"/>
      <c r="R219" s="702" t="n"/>
      <c r="S219" s="762" t="n"/>
      <c r="T219" s="702" t="n"/>
      <c r="U219" s="702" t="n"/>
      <c r="V219" s="702" t="n"/>
      <c r="W219" s="702" t="n"/>
      <c r="X219" s="702" t="n"/>
      <c r="Y219" s="702" t="n"/>
      <c r="Z219" s="702" t="n"/>
      <c r="AA219" s="702" t="n"/>
      <c r="AB219" s="702" t="n"/>
    </row>
    <row r="220">
      <c r="A220" s="757" t="n"/>
      <c r="B220" s="757" t="n"/>
      <c r="C220" s="702" t="n"/>
      <c r="D220" s="702" t="n"/>
      <c r="E220" s="702" t="n"/>
      <c r="F220" s="702" t="n"/>
      <c r="G220" s="702" t="n"/>
      <c r="H220" s="757" t="n"/>
      <c r="I220" s="702" t="n"/>
      <c r="J220" s="702" t="n"/>
      <c r="K220" s="702" t="n"/>
      <c r="L220" s="757" t="n"/>
      <c r="M220" s="757" t="n"/>
      <c r="N220" s="757" t="n"/>
      <c r="O220" s="702" t="n"/>
      <c r="P220" s="702" t="n"/>
      <c r="Q220" s="757" t="n"/>
      <c r="R220" s="702" t="n"/>
      <c r="S220" s="762" t="n"/>
      <c r="T220" s="702" t="n"/>
      <c r="U220" s="702" t="n"/>
      <c r="V220" s="702" t="n"/>
      <c r="W220" s="702" t="n"/>
      <c r="X220" s="702" t="n"/>
      <c r="Y220" s="702" t="n"/>
      <c r="Z220" s="702" t="n"/>
      <c r="AA220" s="702" t="n"/>
      <c r="AB220" s="702" t="n"/>
    </row>
    <row r="221">
      <c r="A221" s="757" t="n"/>
      <c r="B221" s="757" t="n"/>
      <c r="C221" s="702" t="n"/>
      <c r="D221" s="702" t="n"/>
      <c r="E221" s="702" t="n"/>
      <c r="F221" s="702" t="n"/>
      <c r="G221" s="702" t="n"/>
      <c r="H221" s="757" t="n"/>
      <c r="I221" s="702" t="n"/>
      <c r="J221" s="702" t="n"/>
      <c r="K221" s="702" t="n"/>
      <c r="L221" s="757" t="n"/>
      <c r="M221" s="757" t="n"/>
      <c r="N221" s="757" t="n"/>
      <c r="O221" s="702" t="n"/>
      <c r="P221" s="702" t="n"/>
      <c r="Q221" s="757" t="n"/>
      <c r="R221" s="702" t="n"/>
      <c r="S221" s="762" t="n"/>
      <c r="T221" s="702" t="n"/>
      <c r="U221" s="702" t="n"/>
      <c r="V221" s="702" t="n"/>
      <c r="W221" s="702" t="n"/>
      <c r="X221" s="702" t="n"/>
      <c r="Y221" s="702" t="n"/>
      <c r="Z221" s="702" t="n"/>
      <c r="AA221" s="702" t="n"/>
      <c r="AB221" s="702" t="n"/>
    </row>
    <row r="222">
      <c r="A222" s="757" t="n"/>
      <c r="B222" s="757" t="n"/>
      <c r="C222" s="702" t="n"/>
      <c r="D222" s="702" t="n"/>
      <c r="E222" s="702" t="n"/>
      <c r="F222" s="702" t="n"/>
      <c r="G222" s="702" t="n"/>
      <c r="H222" s="757" t="n"/>
      <c r="I222" s="702" t="n"/>
      <c r="J222" s="702" t="n"/>
      <c r="K222" s="702" t="n"/>
      <c r="L222" s="757" t="n"/>
      <c r="M222" s="757" t="n"/>
      <c r="N222" s="757" t="n"/>
      <c r="O222" s="702" t="n"/>
      <c r="P222" s="702" t="n"/>
      <c r="Q222" s="757" t="n"/>
      <c r="R222" s="702" t="n"/>
      <c r="S222" s="762" t="n"/>
      <c r="T222" s="702" t="n"/>
      <c r="U222" s="702" t="n"/>
      <c r="V222" s="702" t="n"/>
      <c r="W222" s="702" t="n"/>
      <c r="X222" s="702" t="n"/>
      <c r="Y222" s="702" t="n"/>
      <c r="Z222" s="702" t="n"/>
      <c r="AA222" s="702" t="n"/>
      <c r="AB222" s="702" t="n"/>
    </row>
    <row r="223">
      <c r="A223" s="757" t="n"/>
      <c r="B223" s="757" t="n"/>
      <c r="C223" s="702" t="n"/>
      <c r="D223" s="702" t="n"/>
      <c r="E223" s="702" t="n"/>
      <c r="F223" s="702" t="n"/>
      <c r="G223" s="702" t="n"/>
      <c r="H223" s="757" t="n"/>
      <c r="I223" s="702" t="n"/>
      <c r="J223" s="702" t="n"/>
      <c r="K223" s="702" t="n"/>
      <c r="L223" s="757" t="n"/>
      <c r="M223" s="757" t="n"/>
      <c r="N223" s="757" t="n"/>
      <c r="O223" s="702" t="n"/>
      <c r="P223" s="702" t="n"/>
      <c r="Q223" s="757" t="n"/>
      <c r="R223" s="702" t="n"/>
      <c r="S223" s="762" t="n"/>
      <c r="T223" s="702" t="n"/>
      <c r="U223" s="702" t="n"/>
      <c r="V223" s="702" t="n"/>
      <c r="W223" s="702" t="n"/>
      <c r="X223" s="702" t="n"/>
      <c r="Y223" s="702" t="n"/>
      <c r="Z223" s="702" t="n"/>
      <c r="AA223" s="702" t="n"/>
      <c r="AB223" s="702" t="n"/>
    </row>
    <row r="224">
      <c r="A224" s="757" t="n"/>
      <c r="B224" s="757" t="n"/>
      <c r="C224" s="702" t="n"/>
      <c r="D224" s="702" t="n"/>
      <c r="E224" s="702" t="n"/>
      <c r="F224" s="702" t="n"/>
      <c r="G224" s="702" t="n"/>
      <c r="H224" s="757" t="n"/>
      <c r="I224" s="702" t="n"/>
      <c r="J224" s="702" t="n"/>
      <c r="K224" s="702" t="n"/>
      <c r="L224" s="757" t="n"/>
      <c r="M224" s="757" t="n"/>
      <c r="N224" s="757" t="n"/>
      <c r="O224" s="702" t="n"/>
      <c r="P224" s="702" t="n"/>
      <c r="Q224" s="757" t="n"/>
      <c r="R224" s="702" t="n"/>
      <c r="S224" s="762" t="n"/>
      <c r="T224" s="702" t="n"/>
      <c r="U224" s="702" t="n"/>
      <c r="V224" s="702" t="n"/>
      <c r="W224" s="702" t="n"/>
      <c r="X224" s="702" t="n"/>
      <c r="Y224" s="702" t="n"/>
      <c r="Z224" s="702" t="n"/>
      <c r="AA224" s="702" t="n"/>
      <c r="AB224" s="702" t="n"/>
    </row>
    <row r="225">
      <c r="A225" s="757" t="n"/>
      <c r="B225" s="757" t="n"/>
      <c r="C225" s="702" t="n"/>
      <c r="D225" s="702" t="n"/>
      <c r="E225" s="702" t="n"/>
      <c r="F225" s="702" t="n"/>
      <c r="G225" s="702" t="n"/>
      <c r="H225" s="757" t="n"/>
      <c r="I225" s="702" t="n"/>
      <c r="J225" s="702" t="n"/>
      <c r="K225" s="702" t="n"/>
      <c r="L225" s="757" t="n"/>
      <c r="M225" s="757" t="n"/>
      <c r="N225" s="757" t="n"/>
      <c r="O225" s="702" t="n"/>
      <c r="P225" s="702" t="n"/>
      <c r="Q225" s="757" t="n"/>
      <c r="R225" s="702" t="n"/>
      <c r="S225" s="762" t="n"/>
      <c r="T225" s="702" t="n"/>
      <c r="U225" s="702" t="n"/>
      <c r="V225" s="702" t="n"/>
      <c r="W225" s="702" t="n"/>
      <c r="X225" s="702" t="n"/>
      <c r="Y225" s="702" t="n"/>
      <c r="Z225" s="702" t="n"/>
      <c r="AA225" s="702" t="n"/>
      <c r="AB225" s="702" t="n"/>
    </row>
    <row r="226">
      <c r="A226" s="757" t="n"/>
      <c r="B226" s="757" t="n"/>
      <c r="C226" s="702" t="n"/>
      <c r="D226" s="702" t="n"/>
      <c r="E226" s="702" t="n"/>
      <c r="F226" s="702" t="n"/>
      <c r="G226" s="702" t="n"/>
      <c r="H226" s="757" t="n"/>
      <c r="I226" s="702" t="n"/>
      <c r="J226" s="702" t="n"/>
      <c r="K226" s="702" t="n"/>
      <c r="L226" s="757" t="n"/>
      <c r="M226" s="757" t="n"/>
      <c r="N226" s="757" t="n"/>
      <c r="O226" s="702" t="n"/>
      <c r="P226" s="702" t="n"/>
      <c r="Q226" s="757" t="n"/>
      <c r="R226" s="702" t="n"/>
      <c r="S226" s="762" t="n"/>
      <c r="T226" s="702" t="n"/>
      <c r="U226" s="702" t="n"/>
      <c r="V226" s="702" t="n"/>
      <c r="W226" s="702" t="n"/>
      <c r="X226" s="702" t="n"/>
      <c r="Y226" s="702" t="n"/>
      <c r="Z226" s="702" t="n"/>
      <c r="AA226" s="702" t="n"/>
      <c r="AB226" s="702" t="n"/>
    </row>
    <row r="227">
      <c r="A227" s="757" t="n"/>
      <c r="B227" s="757" t="n"/>
      <c r="C227" s="702" t="n"/>
      <c r="D227" s="702" t="n"/>
      <c r="E227" s="702" t="n"/>
      <c r="F227" s="702" t="n"/>
      <c r="G227" s="702" t="n"/>
      <c r="H227" s="757" t="n"/>
      <c r="I227" s="702" t="n"/>
      <c r="J227" s="702" t="n"/>
      <c r="K227" s="702" t="n"/>
      <c r="L227" s="757" t="n"/>
      <c r="M227" s="757" t="n"/>
      <c r="N227" s="757" t="n"/>
      <c r="O227" s="702" t="n"/>
      <c r="P227" s="702" t="n"/>
      <c r="Q227" s="757" t="n"/>
      <c r="R227" s="702" t="n"/>
      <c r="S227" s="762" t="n"/>
      <c r="T227" s="702" t="n"/>
      <c r="U227" s="702" t="n"/>
      <c r="V227" s="702" t="n"/>
      <c r="W227" s="702" t="n"/>
      <c r="X227" s="702" t="n"/>
      <c r="Y227" s="702" t="n"/>
      <c r="Z227" s="702" t="n"/>
      <c r="AA227" s="702" t="n"/>
      <c r="AB227" s="702" t="n"/>
    </row>
    <row r="228">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c r="AB228" s="129" t="n"/>
    </row>
    <row r="229">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c r="AB229" s="129" t="n"/>
    </row>
    <row r="230">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c r="AB230" s="129" t="n"/>
    </row>
    <row r="23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c r="AB231" s="129" t="n"/>
    </row>
    <row r="232">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c r="AB232" s="129" t="n"/>
    </row>
    <row r="233">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c r="AB233" s="129" t="n"/>
    </row>
    <row r="234">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c r="AB234" s="129" t="n"/>
    </row>
    <row r="235">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c r="AB235" s="129" t="n"/>
    </row>
    <row r="236">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c r="AB236" s="129" t="n"/>
    </row>
    <row r="237">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c r="AB237" s="129" t="n"/>
    </row>
    <row r="238">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c r="AB238" s="129" t="n"/>
    </row>
    <row r="239">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c r="AB239" s="129" t="n"/>
    </row>
    <row r="240">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c r="AB240" s="129" t="n"/>
    </row>
    <row r="24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c r="AB241" s="129" t="n"/>
    </row>
    <row r="242">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c r="AB242" s="129" t="n"/>
    </row>
    <row r="243">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c r="AB243" s="129" t="n"/>
    </row>
    <row r="244">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c r="AB244" s="129" t="n"/>
    </row>
    <row r="245">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c r="AB245" s="129" t="n"/>
    </row>
    <row r="246">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c r="AB246" s="129" t="n"/>
    </row>
    <row r="247">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c r="AB247" s="129" t="n"/>
    </row>
    <row r="248">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c r="AB248" s="129" t="n"/>
    </row>
    <row r="249">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c r="AB249" s="129" t="n"/>
    </row>
    <row r="250">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c r="AB250" s="129" t="n"/>
    </row>
    <row r="25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c r="AB251" s="129" t="n"/>
    </row>
    <row r="252">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c r="AB252" s="129" t="n"/>
    </row>
    <row r="253">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c r="AB253" s="129" t="n"/>
    </row>
    <row r="254">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c r="AB254" s="129" t="n"/>
    </row>
    <row r="255">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c r="AB255" s="129" t="n"/>
    </row>
    <row r="256">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c r="AB256" s="129" t="n"/>
    </row>
    <row r="257">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c r="AB257" s="129" t="n"/>
    </row>
    <row r="258">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c r="AB258" s="129" t="n"/>
    </row>
    <row r="259">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c r="AB259" s="129" t="n"/>
    </row>
    <row r="260">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c r="AB260" s="129" t="n"/>
    </row>
    <row r="26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c r="AB261" s="129" t="n"/>
    </row>
    <row r="262">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c r="AB262" s="129" t="n"/>
    </row>
    <row r="263">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c r="AB263" s="129" t="n"/>
    </row>
    <row r="264">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c r="AB264" s="129" t="n"/>
    </row>
    <row r="265">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c r="AB265" s="129" t="n"/>
    </row>
    <row r="266">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c r="AB266" s="129" t="n"/>
    </row>
    <row r="267">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c r="AB267" s="129" t="n"/>
    </row>
    <row r="268">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c r="AB268" s="129" t="n"/>
    </row>
    <row r="269">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c r="AB269" s="129" t="n"/>
    </row>
    <row r="270">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c r="AB270" s="129" t="n"/>
    </row>
    <row r="27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c r="AB271" s="129" t="n"/>
    </row>
    <row r="272">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c r="AB272" s="129" t="n"/>
    </row>
    <row r="273">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c r="AB273" s="129" t="n"/>
    </row>
    <row r="274">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c r="AB274" s="129" t="n"/>
    </row>
    <row r="275">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c r="AB275" s="129" t="n"/>
    </row>
    <row r="276">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c r="AB276" s="129" t="n"/>
    </row>
    <row r="277">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c r="AB277" s="129" t="n"/>
    </row>
    <row r="278">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c r="AB278" s="129" t="n"/>
    </row>
    <row r="279">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c r="AB279" s="129" t="n"/>
    </row>
    <row r="280">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c r="AB280" s="129" t="n"/>
    </row>
    <row r="28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c r="AB281" s="129" t="n"/>
    </row>
    <row r="282">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c r="AB282" s="129" t="n"/>
    </row>
    <row r="283">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c r="AB283" s="129" t="n"/>
    </row>
    <row r="284">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c r="AB284" s="129" t="n"/>
    </row>
    <row r="285">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c r="AB285" s="129" t="n"/>
    </row>
    <row r="286">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c r="AB286" s="129" t="n"/>
    </row>
    <row r="287">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c r="AB287" s="129" t="n"/>
    </row>
    <row r="288">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c r="AB288" s="129" t="n"/>
    </row>
    <row r="289">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c r="AB289" s="129" t="n"/>
    </row>
    <row r="290">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c r="AB290" s="129" t="n"/>
    </row>
    <row r="29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c r="AB291" s="129" t="n"/>
    </row>
    <row r="292">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c r="AB292" s="129" t="n"/>
    </row>
    <row r="293">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c r="AB293" s="129" t="n"/>
    </row>
    <row r="294">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c r="AB294" s="129" t="n"/>
    </row>
    <row r="295">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c r="AB295" s="129" t="n"/>
    </row>
    <row r="296">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c r="AB296" s="129" t="n"/>
    </row>
    <row r="297">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c r="AB297" s="129" t="n"/>
    </row>
    <row r="298">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c r="AB298" s="129" t="n"/>
    </row>
    <row r="299">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c r="AB299" s="129" t="n"/>
    </row>
    <row r="300">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c r="AB300" s="129" t="n"/>
    </row>
    <row r="30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c r="AB301" s="129" t="n"/>
    </row>
    <row r="302">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c r="AB302" s="129" t="n"/>
    </row>
    <row r="303">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c r="AB303" s="129" t="n"/>
    </row>
    <row r="304">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c r="AB304" s="129" t="n"/>
    </row>
    <row r="305">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c r="AB305" s="129" t="n"/>
    </row>
    <row r="306">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c r="AB306" s="129" t="n"/>
    </row>
    <row r="307">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c r="AB307" s="129" t="n"/>
    </row>
    <row r="308">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c r="AB308" s="129" t="n"/>
    </row>
    <row r="309">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c r="AB309" s="129" t="n"/>
    </row>
    <row r="310">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c r="AB310" s="129" t="n"/>
    </row>
    <row r="3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c r="AB311" s="129" t="n"/>
    </row>
    <row r="312">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c r="AB312" s="129" t="n"/>
    </row>
    <row r="313">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c r="AB313" s="129" t="n"/>
    </row>
    <row r="314">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c r="AB314" s="129" t="n"/>
    </row>
    <row r="315">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c r="AB315" s="129" t="n"/>
    </row>
    <row r="316">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c r="AB316" s="129" t="n"/>
    </row>
    <row r="317">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c r="AB317" s="129" t="n"/>
    </row>
    <row r="318">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c r="AB318" s="129" t="n"/>
    </row>
    <row r="319">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c r="AB319" s="129" t="n"/>
    </row>
    <row r="320">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c r="AB320" s="129" t="n"/>
    </row>
    <row r="32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c r="AB321" s="129" t="n"/>
    </row>
    <row r="322">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c r="AB322" s="129" t="n"/>
    </row>
    <row r="323">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c r="AB323" s="129" t="n"/>
    </row>
    <row r="324">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c r="AB324" s="129" t="n"/>
    </row>
    <row r="325">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c r="AB325" s="129" t="n"/>
    </row>
    <row r="326">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c r="AB326" s="129" t="n"/>
    </row>
    <row r="327">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c r="AB327" s="129" t="n"/>
    </row>
    <row r="328">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c r="AB328" s="129" t="n"/>
    </row>
    <row r="329">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c r="AB329" s="129" t="n"/>
    </row>
    <row r="330">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c r="AB330" s="129" t="n"/>
    </row>
    <row r="33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c r="AB331" s="129" t="n"/>
    </row>
    <row r="332">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c r="AB332" s="129" t="n"/>
    </row>
    <row r="333">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c r="AB333" s="129" t="n"/>
    </row>
    <row r="334">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c r="AB334" s="129" t="n"/>
    </row>
    <row r="335">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c r="AB335" s="129" t="n"/>
    </row>
    <row r="336">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c r="AB336" s="129" t="n"/>
    </row>
    <row r="337">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c r="AB337" s="129" t="n"/>
    </row>
    <row r="338">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c r="AB338" s="129" t="n"/>
    </row>
    <row r="339">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c r="AB339" s="129" t="n"/>
    </row>
    <row r="340">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c r="AB340" s="129" t="n"/>
    </row>
    <row r="34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c r="AB341" s="129" t="n"/>
    </row>
    <row r="342">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c r="AB342" s="129" t="n"/>
    </row>
    <row r="343">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c r="AB343" s="129" t="n"/>
    </row>
    <row r="344">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c r="AB344" s="129" t="n"/>
    </row>
    <row r="345">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c r="AB345" s="129" t="n"/>
    </row>
    <row r="346">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c r="AB346" s="129" t="n"/>
    </row>
    <row r="347">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c r="AB347" s="129" t="n"/>
    </row>
    <row r="348">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c r="AB348" s="129" t="n"/>
    </row>
    <row r="349">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c r="AB349" s="129" t="n"/>
    </row>
    <row r="350">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c r="AB350" s="129" t="n"/>
    </row>
    <row r="35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c r="AB351" s="129" t="n"/>
    </row>
    <row r="352">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c r="AB352" s="129" t="n"/>
    </row>
    <row r="353">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c r="AB353" s="129" t="n"/>
    </row>
    <row r="354">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c r="AB354" s="129" t="n"/>
    </row>
    <row r="355">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c r="AB355" s="129" t="n"/>
    </row>
    <row r="356">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c r="AB356" s="129" t="n"/>
    </row>
    <row r="357">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c r="AB357" s="129" t="n"/>
    </row>
    <row r="358">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c r="AB358" s="129" t="n"/>
    </row>
    <row r="359">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c r="AB359" s="129" t="n"/>
    </row>
    <row r="360">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c r="AB360" s="129" t="n"/>
    </row>
    <row r="36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c r="AB361" s="129" t="n"/>
    </row>
    <row r="362">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c r="AB362" s="129" t="n"/>
    </row>
    <row r="363">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c r="AB363" s="129" t="n"/>
    </row>
    <row r="364">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c r="AB364" s="129" t="n"/>
    </row>
    <row r="365">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c r="AB365" s="129" t="n"/>
    </row>
    <row r="366">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c r="AB366" s="129" t="n"/>
    </row>
    <row r="367">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c r="AB367" s="129" t="n"/>
    </row>
    <row r="368">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c r="AB368" s="129" t="n"/>
    </row>
    <row r="369">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c r="AB369" s="129" t="n"/>
    </row>
    <row r="370">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c r="AB370" s="129" t="n"/>
    </row>
    <row r="37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c r="AB371" s="129" t="n"/>
    </row>
    <row r="372">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c r="AB372" s="129" t="n"/>
    </row>
    <row r="373">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c r="AB373" s="129" t="n"/>
    </row>
    <row r="374">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c r="AB374" s="129" t="n"/>
    </row>
    <row r="375">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c r="AB375" s="129" t="n"/>
    </row>
    <row r="376">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c r="AB376" s="129" t="n"/>
    </row>
    <row r="377">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c r="AB377" s="129" t="n"/>
    </row>
    <row r="378">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c r="AB378" s="129" t="n"/>
    </row>
    <row r="379">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c r="AB379" s="129" t="n"/>
    </row>
    <row r="380">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c r="AB380" s="129" t="n"/>
    </row>
    <row r="38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c r="AB381" s="129" t="n"/>
    </row>
    <row r="382">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c r="AB382" s="129" t="n"/>
    </row>
    <row r="383">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c r="AB383" s="129" t="n"/>
    </row>
    <row r="384">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c r="AB384" s="129" t="n"/>
    </row>
    <row r="385">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c r="AB385" s="129" t="n"/>
    </row>
    <row r="386">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c r="AB386" s="129" t="n"/>
    </row>
    <row r="387">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c r="AB387" s="129" t="n"/>
    </row>
    <row r="388">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c r="AB388" s="129" t="n"/>
    </row>
    <row r="389">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c r="AB389" s="129" t="n"/>
    </row>
    <row r="390">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c r="AB390" s="129" t="n"/>
    </row>
    <row r="39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c r="AB391" s="129" t="n"/>
    </row>
    <row r="392">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c r="AB392" s="129" t="n"/>
    </row>
    <row r="393">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c r="AB393" s="129" t="n"/>
    </row>
    <row r="394">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c r="AB394" s="129" t="n"/>
    </row>
    <row r="395">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c r="AB395" s="129" t="n"/>
    </row>
    <row r="396">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c r="AB396" s="129" t="n"/>
    </row>
    <row r="397">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c r="AB397" s="129" t="n"/>
    </row>
    <row r="398">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c r="AB398" s="129" t="n"/>
    </row>
    <row r="399">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c r="AB399" s="129" t="n"/>
    </row>
    <row r="400">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c r="AB400" s="129" t="n"/>
    </row>
    <row r="40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c r="AB401" s="129" t="n"/>
    </row>
    <row r="402">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c r="AB402" s="129" t="n"/>
    </row>
    <row r="403">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c r="AB403" s="129" t="n"/>
    </row>
    <row r="404">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c r="AB404" s="129" t="n"/>
    </row>
    <row r="405">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c r="AB405" s="129" t="n"/>
    </row>
    <row r="406">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c r="AB406" s="129" t="n"/>
    </row>
    <row r="407">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c r="AB407" s="129" t="n"/>
    </row>
    <row r="408">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c r="AB408" s="129" t="n"/>
    </row>
    <row r="409">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c r="AB409" s="129" t="n"/>
    </row>
    <row r="410">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c r="AB410" s="129" t="n"/>
    </row>
    <row r="4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c r="AB411" s="129" t="n"/>
    </row>
    <row r="412">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c r="AB412" s="129" t="n"/>
    </row>
    <row r="413">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c r="AB413" s="129" t="n"/>
    </row>
    <row r="414">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c r="AB414" s="129" t="n"/>
    </row>
    <row r="415">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c r="AB415" s="129" t="n"/>
    </row>
    <row r="416">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c r="AB416" s="129" t="n"/>
    </row>
    <row r="417">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c r="AB417" s="129" t="n"/>
    </row>
    <row r="418">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c r="AB418" s="129" t="n"/>
    </row>
    <row r="419">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c r="AB419" s="129" t="n"/>
    </row>
    <row r="420">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c r="AB420" s="129" t="n"/>
    </row>
    <row r="42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c r="AB421" s="129" t="n"/>
    </row>
    <row r="422">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c r="AB422" s="129" t="n"/>
    </row>
    <row r="423">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c r="AB423" s="129" t="n"/>
    </row>
    <row r="424">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c r="AB424" s="129" t="n"/>
    </row>
    <row r="425">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c r="AB425" s="129" t="n"/>
    </row>
    <row r="426">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c r="AB426" s="129" t="n"/>
    </row>
    <row r="427">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c r="AB427" s="129" t="n"/>
    </row>
    <row r="428">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c r="AB428" s="129" t="n"/>
    </row>
    <row r="429">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c r="AB429" s="129" t="n"/>
    </row>
    <row r="430">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c r="AB430" s="129" t="n"/>
    </row>
    <row r="43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c r="AB431" s="129" t="n"/>
    </row>
    <row r="432">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c r="AB432" s="129" t="n"/>
    </row>
    <row r="433">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c r="AB433" s="129" t="n"/>
    </row>
    <row r="434">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c r="AB434" s="129" t="n"/>
    </row>
    <row r="435">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c r="AB435" s="129" t="n"/>
    </row>
    <row r="436">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c r="AB436" s="129" t="n"/>
    </row>
    <row r="437">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c r="AB437" s="129" t="n"/>
    </row>
    <row r="438">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c r="AB438" s="129" t="n"/>
    </row>
    <row r="439">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c r="AB439" s="129" t="n"/>
    </row>
    <row r="440">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c r="AB440" s="129" t="n"/>
    </row>
    <row r="44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c r="AB441" s="129" t="n"/>
    </row>
    <row r="442">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c r="AB442" s="129" t="n"/>
    </row>
    <row r="443">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c r="AB443" s="129" t="n"/>
    </row>
    <row r="444">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c r="AB444" s="129" t="n"/>
    </row>
    <row r="445">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c r="AB445" s="129" t="n"/>
    </row>
    <row r="446">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c r="AB446" s="129" t="n"/>
    </row>
    <row r="447">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c r="AB447" s="129" t="n"/>
    </row>
    <row r="448">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c r="AB448" s="129" t="n"/>
    </row>
    <row r="449">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c r="AB449" s="129" t="n"/>
    </row>
    <row r="450">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c r="AB450" s="129" t="n"/>
    </row>
    <row r="45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c r="AB451" s="129" t="n"/>
    </row>
    <row r="452">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c r="AB452" s="129" t="n"/>
    </row>
    <row r="453">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c r="AB453" s="129" t="n"/>
    </row>
    <row r="454">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c r="AB454" s="129" t="n"/>
    </row>
    <row r="455">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c r="AB455" s="129" t="n"/>
    </row>
    <row r="456">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c r="AB456" s="129" t="n"/>
    </row>
    <row r="457">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c r="AB457" s="129" t="n"/>
    </row>
    <row r="458">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c r="AB458" s="129" t="n"/>
    </row>
    <row r="459">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c r="AB459" s="129" t="n"/>
    </row>
    <row r="460">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c r="AB460" s="129" t="n"/>
    </row>
    <row r="46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c r="AB461" s="129" t="n"/>
    </row>
    <row r="462">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c r="AB462" s="129" t="n"/>
    </row>
    <row r="463">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c r="AB463" s="129" t="n"/>
    </row>
    <row r="464">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c r="AB464" s="129" t="n"/>
    </row>
    <row r="465">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c r="AB465" s="129" t="n"/>
    </row>
    <row r="466">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c r="AB466" s="129" t="n"/>
    </row>
    <row r="467">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c r="AB467" s="129" t="n"/>
    </row>
    <row r="468">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c r="AB468" s="129" t="n"/>
    </row>
    <row r="469">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c r="AB469" s="129" t="n"/>
    </row>
    <row r="470">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c r="AB470" s="129" t="n"/>
    </row>
    <row r="47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c r="AB471" s="129" t="n"/>
    </row>
    <row r="472">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c r="AB472" s="129" t="n"/>
    </row>
    <row r="473">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c r="AB473" s="129" t="n"/>
    </row>
    <row r="474">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c r="AB474" s="129" t="n"/>
    </row>
    <row r="475">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c r="AB475" s="129" t="n"/>
    </row>
    <row r="476">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c r="AB476" s="129" t="n"/>
    </row>
    <row r="477">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c r="AB477" s="129" t="n"/>
    </row>
    <row r="478">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c r="AB478" s="129" t="n"/>
    </row>
    <row r="479">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c r="AB479" s="129" t="n"/>
    </row>
    <row r="480">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c r="AB480" s="129" t="n"/>
    </row>
    <row r="48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c r="AB481" s="129" t="n"/>
    </row>
    <row r="482">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c r="AB482" s="129" t="n"/>
    </row>
    <row r="483">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c r="AB483" s="129" t="n"/>
    </row>
    <row r="484">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c r="AB484" s="129" t="n"/>
    </row>
    <row r="485">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c r="AB485" s="129" t="n"/>
    </row>
    <row r="486">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c r="AB486" s="129" t="n"/>
    </row>
    <row r="487">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c r="AB487" s="129" t="n"/>
    </row>
    <row r="488">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c r="AB488" s="129" t="n"/>
    </row>
    <row r="489">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c r="AB489" s="129" t="n"/>
    </row>
    <row r="490">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c r="AB490" s="129" t="n"/>
    </row>
    <row r="49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c r="AB491" s="129" t="n"/>
    </row>
    <row r="492">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c r="AB492" s="129" t="n"/>
    </row>
    <row r="493">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c r="AB493" s="129" t="n"/>
    </row>
    <row r="494">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c r="AB494" s="129" t="n"/>
    </row>
    <row r="495">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c r="AB495" s="129" t="n"/>
    </row>
    <row r="496">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c r="AB496" s="129" t="n"/>
    </row>
    <row r="497">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c r="AB497" s="129" t="n"/>
    </row>
    <row r="498">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c r="AB498" s="129" t="n"/>
    </row>
    <row r="499">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c r="AB499" s="129" t="n"/>
    </row>
    <row r="500">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c r="AB500" s="129" t="n"/>
    </row>
    <row r="50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c r="AB501" s="129" t="n"/>
    </row>
    <row r="502">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c r="AB502" s="129" t="n"/>
    </row>
    <row r="503">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c r="AB503" s="129" t="n"/>
    </row>
    <row r="504">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c r="AB504" s="129" t="n"/>
    </row>
    <row r="505">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c r="AB505" s="129" t="n"/>
    </row>
    <row r="506">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c r="AB506" s="129" t="n"/>
    </row>
    <row r="507">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c r="AB507" s="129" t="n"/>
    </row>
    <row r="508">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c r="AB508" s="129" t="n"/>
    </row>
    <row r="509">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c r="AB509" s="129" t="n"/>
    </row>
    <row r="510">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c r="AB510" s="129" t="n"/>
    </row>
    <row r="5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c r="AB511" s="129" t="n"/>
    </row>
    <row r="512">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c r="AB512" s="129" t="n"/>
    </row>
    <row r="513">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c r="AB513" s="129" t="n"/>
    </row>
    <row r="514">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c r="AB514" s="129" t="n"/>
    </row>
    <row r="515">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c r="AB515" s="129" t="n"/>
    </row>
    <row r="516">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c r="AB516" s="129" t="n"/>
    </row>
    <row r="517">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c r="AB517" s="129" t="n"/>
    </row>
    <row r="518">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c r="AB518" s="129" t="n"/>
    </row>
    <row r="519">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c r="AB519" s="129" t="n"/>
    </row>
    <row r="520">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c r="AB520" s="129" t="n"/>
    </row>
    <row r="52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c r="AB521" s="129" t="n"/>
    </row>
    <row r="522">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c r="AB522" s="129" t="n"/>
    </row>
    <row r="523">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c r="AB523" s="129" t="n"/>
    </row>
    <row r="524">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c r="AB524" s="129" t="n"/>
    </row>
    <row r="525">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c r="AB525" s="129" t="n"/>
    </row>
    <row r="526">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c r="AB526" s="129" t="n"/>
    </row>
    <row r="527">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c r="AB527" s="129" t="n"/>
    </row>
    <row r="528">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c r="AB528" s="129" t="n"/>
    </row>
    <row r="529">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c r="AB529" s="129" t="n"/>
    </row>
    <row r="530">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c r="AB530" s="129" t="n"/>
    </row>
    <row r="53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c r="AB531" s="129" t="n"/>
    </row>
    <row r="532">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c r="AB532" s="129" t="n"/>
    </row>
    <row r="533">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c r="AB533" s="129" t="n"/>
    </row>
    <row r="534">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c r="AB534" s="129" t="n"/>
    </row>
    <row r="535">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c r="AB535" s="129" t="n"/>
    </row>
    <row r="536">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c r="AB536" s="129" t="n"/>
    </row>
    <row r="537">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c r="AB537" s="129" t="n"/>
    </row>
    <row r="538">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c r="AB538" s="129" t="n"/>
    </row>
    <row r="539">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c r="AB539" s="129" t="n"/>
    </row>
    <row r="540">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c r="AB540" s="129" t="n"/>
    </row>
    <row r="54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c r="AB541" s="129" t="n"/>
    </row>
    <row r="542">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c r="AB542" s="129" t="n"/>
    </row>
    <row r="543">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c r="AB543" s="129" t="n"/>
    </row>
    <row r="544">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c r="AB544" s="129" t="n"/>
    </row>
    <row r="545">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c r="AB545" s="129" t="n"/>
    </row>
    <row r="546">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c r="AB546" s="129" t="n"/>
    </row>
    <row r="547">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c r="AB547" s="129" t="n"/>
    </row>
    <row r="548">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c r="AB548" s="129" t="n"/>
    </row>
    <row r="549">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c r="AB549" s="129" t="n"/>
    </row>
    <row r="550">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c r="AB550" s="129" t="n"/>
    </row>
    <row r="55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c r="AB551" s="129" t="n"/>
    </row>
    <row r="552">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c r="AB552" s="129" t="n"/>
    </row>
    <row r="553">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c r="AB553" s="129" t="n"/>
    </row>
    <row r="554">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c r="AB554" s="129" t="n"/>
    </row>
    <row r="555">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c r="AB555" s="129" t="n"/>
    </row>
    <row r="556">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c r="AB556" s="129" t="n"/>
    </row>
    <row r="557">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c r="AB557" s="129" t="n"/>
    </row>
    <row r="558">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c r="AB558" s="129" t="n"/>
    </row>
    <row r="559">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c r="AB559" s="129" t="n"/>
    </row>
    <row r="560">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c r="AB560" s="129" t="n"/>
    </row>
    <row r="56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c r="AB561" s="129" t="n"/>
    </row>
    <row r="562">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c r="AB562" s="129" t="n"/>
    </row>
    <row r="563">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c r="AB563" s="129" t="n"/>
    </row>
    <row r="564">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c r="AB564" s="129" t="n"/>
    </row>
    <row r="565">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c r="AB565" s="129" t="n"/>
    </row>
    <row r="566">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c r="AB566" s="129" t="n"/>
    </row>
    <row r="567">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c r="AB567" s="129" t="n"/>
    </row>
    <row r="568">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c r="AB568" s="129" t="n"/>
    </row>
    <row r="569">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c r="AB569" s="129" t="n"/>
    </row>
    <row r="570">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c r="AB570" s="129" t="n"/>
    </row>
    <row r="57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c r="AB571" s="129" t="n"/>
    </row>
    <row r="572">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c r="AB572" s="129" t="n"/>
    </row>
    <row r="573">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c r="AB573" s="129" t="n"/>
    </row>
    <row r="574">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c r="AB574" s="129" t="n"/>
    </row>
    <row r="575">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c r="AB575" s="129" t="n"/>
    </row>
    <row r="576">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c r="AB576" s="129" t="n"/>
    </row>
    <row r="577">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c r="AB577" s="129" t="n"/>
    </row>
    <row r="578">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c r="AB578" s="129" t="n"/>
    </row>
    <row r="579">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c r="AB579" s="129" t="n"/>
    </row>
    <row r="580">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c r="AB580" s="129" t="n"/>
    </row>
    <row r="58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c r="AB581" s="129" t="n"/>
    </row>
    <row r="582">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c r="AB582" s="129" t="n"/>
    </row>
    <row r="583">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c r="AB583" s="129" t="n"/>
    </row>
    <row r="584">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c r="AB584" s="129" t="n"/>
    </row>
    <row r="585">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c r="AB585" s="129" t="n"/>
    </row>
    <row r="586">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c r="AB586" s="129" t="n"/>
    </row>
    <row r="587">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c r="AB587" s="129" t="n"/>
    </row>
    <row r="588">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c r="AB588" s="129" t="n"/>
    </row>
    <row r="589">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c r="AB589" s="129" t="n"/>
    </row>
    <row r="590">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c r="AB590" s="129" t="n"/>
    </row>
    <row r="59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c r="AB591" s="129" t="n"/>
    </row>
    <row r="592">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c r="AB592" s="129" t="n"/>
    </row>
    <row r="593">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c r="AB593" s="129" t="n"/>
    </row>
    <row r="594">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c r="AB594" s="129" t="n"/>
    </row>
    <row r="595">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c r="AB595" s="129" t="n"/>
    </row>
    <row r="596">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c r="AB596" s="129" t="n"/>
    </row>
    <row r="597">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c r="AB597" s="129" t="n"/>
    </row>
    <row r="598">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c r="AB598" s="129" t="n"/>
    </row>
    <row r="599">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c r="AB599" s="129" t="n"/>
    </row>
    <row r="600">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c r="AB600" s="129" t="n"/>
    </row>
    <row r="60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c r="AB601" s="129" t="n"/>
    </row>
    <row r="602">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c r="AB602" s="129" t="n"/>
    </row>
    <row r="603">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c r="AB603" s="129" t="n"/>
    </row>
    <row r="604">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c r="AB604" s="129" t="n"/>
    </row>
    <row r="605">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c r="AB605" s="129" t="n"/>
    </row>
    <row r="606">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c r="AB606" s="129" t="n"/>
    </row>
    <row r="607">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c r="AB607" s="129" t="n"/>
    </row>
    <row r="608">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c r="AB608" s="129" t="n"/>
    </row>
    <row r="609">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c r="AB609" s="129" t="n"/>
    </row>
    <row r="610">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c r="AB610" s="129" t="n"/>
    </row>
    <row r="6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c r="AB611" s="129" t="n"/>
    </row>
    <row r="612">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c r="AB612" s="129" t="n"/>
    </row>
    <row r="613">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c r="AB613" s="129" t="n"/>
    </row>
    <row r="614">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c r="AB614" s="129" t="n"/>
    </row>
    <row r="615">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c r="AB615" s="129" t="n"/>
    </row>
    <row r="616">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c r="AB616" s="129" t="n"/>
    </row>
    <row r="617">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c r="AB617" s="129" t="n"/>
    </row>
    <row r="618">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c r="AB618" s="129" t="n"/>
    </row>
    <row r="619">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c r="AB619" s="129" t="n"/>
    </row>
    <row r="620">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c r="AB620" s="129" t="n"/>
    </row>
    <row r="62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c r="AB621" s="129" t="n"/>
    </row>
    <row r="622">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c r="AB622" s="129" t="n"/>
    </row>
    <row r="623">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c r="AB623" s="129" t="n"/>
    </row>
    <row r="624">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c r="AB624" s="129" t="n"/>
    </row>
    <row r="625">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c r="AB625" s="129" t="n"/>
    </row>
    <row r="626">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c r="AB626" s="129" t="n"/>
    </row>
    <row r="627">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c r="AB627" s="129" t="n"/>
    </row>
    <row r="628">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c r="AB628" s="129" t="n"/>
    </row>
    <row r="629">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c r="AB629" s="129" t="n"/>
    </row>
    <row r="630">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c r="AB630" s="129" t="n"/>
    </row>
    <row r="63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c r="AB631" s="129" t="n"/>
    </row>
    <row r="632">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c r="AB632" s="129" t="n"/>
    </row>
    <row r="633">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c r="AB633" s="129" t="n"/>
    </row>
    <row r="634">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c r="AB634" s="129" t="n"/>
    </row>
    <row r="635">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c r="AB635" s="129" t="n"/>
    </row>
    <row r="636">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c r="AB636" s="129" t="n"/>
    </row>
    <row r="637">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c r="AB637" s="129" t="n"/>
    </row>
    <row r="638">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c r="AB638" s="129" t="n"/>
    </row>
    <row r="639">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c r="AB639" s="129" t="n"/>
    </row>
    <row r="640">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c r="AB640" s="129" t="n"/>
    </row>
    <row r="64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c r="AB641" s="129" t="n"/>
    </row>
    <row r="642">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c r="AB642" s="129" t="n"/>
    </row>
    <row r="643">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c r="AB643" s="129" t="n"/>
    </row>
    <row r="644">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c r="AB644" s="129" t="n"/>
    </row>
    <row r="645">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c r="AB645" s="129" t="n"/>
    </row>
    <row r="646">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c r="AB646" s="129" t="n"/>
    </row>
    <row r="647">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c r="AB647" s="129" t="n"/>
    </row>
    <row r="648">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c r="AB648" s="129" t="n"/>
    </row>
    <row r="649">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c r="AB649" s="129" t="n"/>
    </row>
    <row r="650">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c r="AB650" s="129" t="n"/>
    </row>
    <row r="65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c r="AB651" s="129" t="n"/>
    </row>
    <row r="652">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c r="AB652" s="129" t="n"/>
    </row>
    <row r="653">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c r="AB653" s="129" t="n"/>
    </row>
    <row r="654">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c r="AB654" s="129" t="n"/>
    </row>
    <row r="655">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c r="AB655" s="129" t="n"/>
    </row>
    <row r="656">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c r="AB656" s="129" t="n"/>
    </row>
    <row r="657">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c r="AB657" s="129" t="n"/>
    </row>
    <row r="658">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c r="AB658" s="129" t="n"/>
    </row>
    <row r="659">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c r="AB659" s="129" t="n"/>
    </row>
    <row r="660">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c r="AB660" s="129" t="n"/>
    </row>
    <row r="66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c r="AB661" s="129" t="n"/>
    </row>
    <row r="662">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c r="AB662" s="129" t="n"/>
    </row>
    <row r="663">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c r="AB663" s="129" t="n"/>
    </row>
    <row r="664">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c r="AB664" s="129" t="n"/>
    </row>
    <row r="665">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c r="AB665" s="129" t="n"/>
    </row>
    <row r="666">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c r="AB666" s="129" t="n"/>
    </row>
    <row r="667">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c r="AB667" s="129" t="n"/>
    </row>
    <row r="668">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c r="AB668" s="129" t="n"/>
    </row>
    <row r="669">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c r="AB669" s="129" t="n"/>
    </row>
    <row r="670">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c r="AB670" s="129" t="n"/>
    </row>
    <row r="67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c r="AB671" s="129" t="n"/>
    </row>
    <row r="672">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c r="AB672" s="129" t="n"/>
    </row>
    <row r="673">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c r="AB673" s="129" t="n"/>
    </row>
    <row r="674">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c r="AB674" s="129" t="n"/>
    </row>
    <row r="675">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c r="AB675" s="129" t="n"/>
    </row>
    <row r="676">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c r="AB676" s="129" t="n"/>
    </row>
    <row r="677">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c r="AB677" s="129" t="n"/>
    </row>
    <row r="678">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c r="AB678" s="129" t="n"/>
    </row>
    <row r="679">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c r="AB679" s="129" t="n"/>
    </row>
    <row r="680">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c r="AB680" s="129" t="n"/>
    </row>
    <row r="68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c r="AB681" s="129" t="n"/>
    </row>
    <row r="682">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c r="AB682" s="129" t="n"/>
    </row>
    <row r="683">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c r="AB683" s="129" t="n"/>
    </row>
    <row r="684">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c r="AB684" s="129" t="n"/>
    </row>
    <row r="685">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c r="AB685" s="129" t="n"/>
    </row>
    <row r="686">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c r="AB686" s="129" t="n"/>
    </row>
    <row r="687">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c r="AB687" s="129" t="n"/>
    </row>
    <row r="688">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c r="AB688" s="129" t="n"/>
    </row>
    <row r="689">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c r="AB689" s="129" t="n"/>
    </row>
    <row r="690">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c r="AB690" s="129" t="n"/>
    </row>
    <row r="69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c r="AB691" s="129" t="n"/>
    </row>
    <row r="692">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c r="AB692" s="129" t="n"/>
    </row>
    <row r="693">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c r="AB693" s="129" t="n"/>
    </row>
    <row r="694">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c r="AB694" s="129" t="n"/>
    </row>
    <row r="695">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c r="AB695" s="129" t="n"/>
    </row>
    <row r="696">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c r="AB696" s="129" t="n"/>
    </row>
    <row r="697">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c r="AB697" s="129" t="n"/>
    </row>
    <row r="698">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c r="AB698" s="129" t="n"/>
    </row>
    <row r="699">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c r="AB699" s="129" t="n"/>
    </row>
    <row r="700">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c r="AB700" s="129" t="n"/>
    </row>
    <row r="70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c r="AB701" s="129" t="n"/>
    </row>
    <row r="702">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c r="AB702" s="129" t="n"/>
    </row>
    <row r="703">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c r="AB703" s="129" t="n"/>
    </row>
    <row r="704">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c r="AB704" s="129" t="n"/>
    </row>
    <row r="705">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c r="AB705" s="129" t="n"/>
    </row>
    <row r="706">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c r="AB706" s="129" t="n"/>
    </row>
    <row r="707">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c r="AB707" s="129" t="n"/>
    </row>
    <row r="708">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c r="AB708" s="129" t="n"/>
    </row>
    <row r="709">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c r="AB709" s="129" t="n"/>
    </row>
    <row r="710">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c r="AB710" s="129" t="n"/>
    </row>
    <row r="7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c r="AB711" s="129" t="n"/>
    </row>
    <row r="712">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c r="AB712" s="129" t="n"/>
    </row>
    <row r="713">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c r="AB713" s="129" t="n"/>
    </row>
    <row r="714">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c r="AB714" s="129" t="n"/>
    </row>
    <row r="715">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c r="AB715" s="129" t="n"/>
    </row>
    <row r="716">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c r="AB716" s="129" t="n"/>
    </row>
    <row r="717">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c r="AB717" s="129" t="n"/>
    </row>
    <row r="718">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c r="AB718" s="129" t="n"/>
    </row>
    <row r="719">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c r="AB719" s="129" t="n"/>
    </row>
    <row r="720">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c r="AB720" s="129" t="n"/>
    </row>
    <row r="72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c r="AB721" s="129" t="n"/>
    </row>
    <row r="722">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c r="AB722" s="129" t="n"/>
    </row>
    <row r="723">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c r="AB723" s="129" t="n"/>
    </row>
    <row r="724">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c r="AB724" s="129" t="n"/>
    </row>
    <row r="725">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c r="AB725" s="129" t="n"/>
    </row>
    <row r="726">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c r="AB726" s="129" t="n"/>
    </row>
    <row r="727">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c r="AB727" s="129" t="n"/>
    </row>
    <row r="728">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c r="AB728" s="129" t="n"/>
    </row>
    <row r="729">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c r="AB729" s="129" t="n"/>
    </row>
    <row r="730">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c r="AB730" s="129" t="n"/>
    </row>
    <row r="73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c r="AB731" s="129" t="n"/>
    </row>
    <row r="732">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c r="AB732" s="129" t="n"/>
    </row>
    <row r="733">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c r="AB733" s="129" t="n"/>
    </row>
    <row r="734">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c r="AB734" s="129" t="n"/>
    </row>
    <row r="735">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c r="AB735" s="129" t="n"/>
    </row>
    <row r="736">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c r="AB736" s="129" t="n"/>
    </row>
    <row r="737">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c r="AB737" s="129" t="n"/>
    </row>
    <row r="738">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c r="AB738" s="129" t="n"/>
    </row>
    <row r="739">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c r="AB739" s="129" t="n"/>
    </row>
    <row r="740">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c r="AB740" s="129" t="n"/>
    </row>
    <row r="74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c r="AB741" s="129" t="n"/>
    </row>
    <row r="742">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c r="AB742" s="129" t="n"/>
    </row>
    <row r="743">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c r="AB743" s="129" t="n"/>
    </row>
    <row r="744">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c r="AB744" s="129" t="n"/>
    </row>
    <row r="745">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c r="AB745" s="129" t="n"/>
    </row>
    <row r="746">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c r="AB746" s="129" t="n"/>
    </row>
    <row r="747">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c r="AB747" s="129" t="n"/>
    </row>
    <row r="748">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c r="AB748" s="129" t="n"/>
    </row>
    <row r="749">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c r="AB749" s="129" t="n"/>
    </row>
    <row r="750">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c r="AB750" s="129" t="n"/>
    </row>
    <row r="75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c r="AB751" s="129" t="n"/>
    </row>
    <row r="752">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c r="AB752" s="129" t="n"/>
    </row>
    <row r="753">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c r="AB753" s="129" t="n"/>
    </row>
    <row r="754">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c r="AB754" s="129" t="n"/>
    </row>
    <row r="755">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c r="AB755" s="129" t="n"/>
    </row>
    <row r="756">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c r="AB756" s="129" t="n"/>
    </row>
    <row r="757">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c r="AB757" s="129" t="n"/>
    </row>
    <row r="758">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c r="AB758" s="129" t="n"/>
    </row>
    <row r="759">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c r="AB759" s="129" t="n"/>
    </row>
    <row r="760">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c r="AB760" s="129" t="n"/>
    </row>
    <row r="76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c r="AB761" s="129" t="n"/>
    </row>
    <row r="762">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c r="AB762" s="129" t="n"/>
    </row>
    <row r="763">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c r="AB763" s="129" t="n"/>
    </row>
    <row r="764">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c r="AB764" s="129" t="n"/>
    </row>
    <row r="765">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c r="AB765" s="129" t="n"/>
    </row>
    <row r="766">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c r="AB766" s="129" t="n"/>
    </row>
    <row r="767">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c r="AB767" s="129" t="n"/>
    </row>
    <row r="768">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c r="AB768" s="129" t="n"/>
    </row>
    <row r="769">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c r="AB769" s="129" t="n"/>
    </row>
    <row r="770">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c r="AB770" s="129" t="n"/>
    </row>
    <row r="77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c r="AB771" s="129" t="n"/>
    </row>
    <row r="772">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c r="AB772" s="129" t="n"/>
    </row>
    <row r="773">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c r="AB773" s="129" t="n"/>
    </row>
    <row r="774">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c r="AB774" s="129" t="n"/>
    </row>
    <row r="775">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c r="AB775" s="129" t="n"/>
    </row>
    <row r="776">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c r="AB776" s="129" t="n"/>
    </row>
    <row r="777">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c r="AB777" s="129" t="n"/>
    </row>
    <row r="778">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c r="AB778" s="129" t="n"/>
    </row>
    <row r="779">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c r="AB779" s="129" t="n"/>
    </row>
    <row r="780">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c r="AB780" s="129" t="n"/>
    </row>
    <row r="78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c r="AB781" s="129" t="n"/>
    </row>
    <row r="782">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c r="AB782" s="129" t="n"/>
    </row>
    <row r="783">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c r="AB783" s="129" t="n"/>
    </row>
    <row r="784">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c r="AB784" s="129" t="n"/>
    </row>
    <row r="785">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c r="AB785" s="129" t="n"/>
    </row>
    <row r="786">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c r="AB786" s="129" t="n"/>
    </row>
    <row r="787">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c r="AB787" s="129" t="n"/>
    </row>
    <row r="788">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c r="AB788" s="129" t="n"/>
    </row>
    <row r="789">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c r="AB789" s="129" t="n"/>
    </row>
    <row r="790">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c r="AB790" s="129" t="n"/>
    </row>
    <row r="79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c r="AB791" s="129" t="n"/>
    </row>
    <row r="792">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c r="AB792" s="129" t="n"/>
    </row>
    <row r="793">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c r="AB793" s="129" t="n"/>
    </row>
    <row r="794">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c r="AB794" s="129" t="n"/>
    </row>
    <row r="795">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c r="AB795" s="129" t="n"/>
    </row>
    <row r="796">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c r="AB796" s="129" t="n"/>
    </row>
    <row r="797">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c r="AB797" s="129" t="n"/>
    </row>
    <row r="798">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c r="AB798" s="129" t="n"/>
    </row>
    <row r="799">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c r="AB799" s="129" t="n"/>
    </row>
    <row r="800">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c r="AB800" s="129" t="n"/>
    </row>
    <row r="80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c r="AB801" s="129" t="n"/>
    </row>
    <row r="802">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c r="AB802" s="129" t="n"/>
    </row>
    <row r="803">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c r="AB803" s="129" t="n"/>
    </row>
    <row r="804">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c r="AB804" s="129" t="n"/>
    </row>
    <row r="805">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c r="AB805" s="129" t="n"/>
    </row>
    <row r="806">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c r="AB806" s="129" t="n"/>
    </row>
    <row r="807">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c r="AB807" s="129" t="n"/>
    </row>
    <row r="808">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c r="AB808" s="129" t="n"/>
    </row>
    <row r="809">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c r="AB809" s="129" t="n"/>
    </row>
    <row r="810">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c r="AB810" s="129" t="n"/>
    </row>
    <row r="8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c r="AB811" s="129" t="n"/>
    </row>
    <row r="812">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c r="AB812" s="129" t="n"/>
    </row>
    <row r="813">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c r="AB813" s="129" t="n"/>
    </row>
    <row r="814">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c r="AB814" s="129" t="n"/>
    </row>
    <row r="815">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c r="AB815" s="129" t="n"/>
    </row>
    <row r="816">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c r="AB816" s="129" t="n"/>
    </row>
    <row r="817">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c r="AB817" s="129" t="n"/>
    </row>
    <row r="818">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c r="AB818" s="129" t="n"/>
    </row>
    <row r="819">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c r="AB819" s="129" t="n"/>
    </row>
    <row r="820">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c r="AB820" s="129" t="n"/>
    </row>
    <row r="82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c r="AB821" s="129" t="n"/>
    </row>
    <row r="822">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c r="AB822" s="129" t="n"/>
    </row>
    <row r="823">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c r="AB823" s="129" t="n"/>
    </row>
    <row r="824">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c r="AB824" s="129" t="n"/>
    </row>
    <row r="825">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c r="AB825" s="129" t="n"/>
    </row>
    <row r="826">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c r="AB826" s="129" t="n"/>
    </row>
    <row r="827">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c r="AB827" s="129" t="n"/>
    </row>
    <row r="828">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c r="AB828" s="129" t="n"/>
    </row>
    <row r="829">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c r="AB829" s="129" t="n"/>
    </row>
    <row r="830">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c r="AB830" s="129" t="n"/>
    </row>
    <row r="83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c r="AB831" s="129" t="n"/>
    </row>
    <row r="832">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c r="AB832" s="129" t="n"/>
    </row>
    <row r="833">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c r="AB833" s="129" t="n"/>
    </row>
    <row r="834">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c r="AB834" s="129" t="n"/>
    </row>
    <row r="835">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c r="AB835" s="129" t="n"/>
    </row>
    <row r="836">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c r="AB836" s="129" t="n"/>
    </row>
    <row r="837">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c r="AB837" s="129" t="n"/>
    </row>
    <row r="838">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c r="AB838" s="129" t="n"/>
    </row>
    <row r="839">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c r="AB839" s="129" t="n"/>
    </row>
    <row r="840">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c r="AB840" s="129" t="n"/>
    </row>
    <row r="84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c r="AB841" s="129" t="n"/>
    </row>
    <row r="842">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c r="AB842" s="129" t="n"/>
    </row>
    <row r="843">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c r="AB843" s="129" t="n"/>
    </row>
    <row r="844">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c r="AB844" s="129" t="n"/>
    </row>
    <row r="845">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c r="AB845" s="129" t="n"/>
    </row>
    <row r="846">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c r="AB846" s="129" t="n"/>
    </row>
    <row r="847">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c r="AB847" s="129" t="n"/>
    </row>
    <row r="848">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c r="AB848" s="129" t="n"/>
    </row>
    <row r="849">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c r="AB849" s="129" t="n"/>
    </row>
    <row r="850">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c r="AB850" s="129" t="n"/>
    </row>
    <row r="85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c r="AB851" s="129" t="n"/>
    </row>
    <row r="852">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c r="AB852" s="129" t="n"/>
    </row>
    <row r="853">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c r="AB853" s="129" t="n"/>
    </row>
    <row r="854">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c r="AB854" s="129" t="n"/>
    </row>
    <row r="855">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c r="AB855" s="129" t="n"/>
    </row>
    <row r="856">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c r="AB856" s="129" t="n"/>
    </row>
    <row r="857">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c r="AB857" s="129" t="n"/>
    </row>
    <row r="858">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c r="AB858" s="129" t="n"/>
    </row>
    <row r="859">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c r="AB859" s="129" t="n"/>
    </row>
    <row r="860">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c r="AB860" s="129" t="n"/>
    </row>
    <row r="86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c r="AB861" s="129" t="n"/>
    </row>
    <row r="862">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c r="AB862" s="129" t="n"/>
    </row>
    <row r="863">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c r="AB863" s="129" t="n"/>
    </row>
    <row r="864">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c r="AB864" s="129" t="n"/>
    </row>
    <row r="865">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c r="AB865" s="129" t="n"/>
    </row>
    <row r="866">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c r="AB866" s="129" t="n"/>
    </row>
    <row r="867">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c r="AB867" s="129" t="n"/>
    </row>
    <row r="868">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c r="AB868" s="129" t="n"/>
    </row>
    <row r="869">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c r="AB869" s="129" t="n"/>
    </row>
    <row r="870">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c r="AB870" s="129" t="n"/>
    </row>
    <row r="87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c r="AB871" s="129" t="n"/>
    </row>
    <row r="872">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c r="AB872" s="129" t="n"/>
    </row>
    <row r="873">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c r="AB873" s="129" t="n"/>
    </row>
    <row r="874">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c r="AB874" s="129" t="n"/>
    </row>
    <row r="875">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c r="AB875" s="129" t="n"/>
    </row>
    <row r="876">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c r="AB876" s="129" t="n"/>
    </row>
    <row r="877">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c r="AB877" s="129" t="n"/>
    </row>
    <row r="878">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c r="AB878" s="129" t="n"/>
    </row>
    <row r="879">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c r="AB879" s="129" t="n"/>
    </row>
    <row r="880">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c r="AB880" s="129" t="n"/>
    </row>
    <row r="88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c r="AB881" s="129" t="n"/>
    </row>
    <row r="882">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c r="AB882" s="129" t="n"/>
    </row>
    <row r="883">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c r="AB883" s="129" t="n"/>
    </row>
    <row r="884">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c r="AB884" s="129" t="n"/>
    </row>
    <row r="885">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c r="AB885" s="129" t="n"/>
    </row>
    <row r="886">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c r="AB886" s="129" t="n"/>
    </row>
    <row r="887">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c r="AB887" s="129" t="n"/>
    </row>
    <row r="888">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c r="AB888" s="129" t="n"/>
    </row>
    <row r="889">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c r="AB889" s="129" t="n"/>
    </row>
    <row r="890">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c r="AB890" s="129" t="n"/>
    </row>
    <row r="89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c r="AB891" s="129" t="n"/>
    </row>
    <row r="892">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c r="AB892" s="129" t="n"/>
    </row>
    <row r="893">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c r="AB893" s="129" t="n"/>
    </row>
    <row r="894">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c r="AB894" s="129" t="n"/>
    </row>
    <row r="895">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c r="AB895" s="129" t="n"/>
    </row>
    <row r="896">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c r="AB896" s="129" t="n"/>
    </row>
    <row r="897">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c r="AB897" s="129" t="n"/>
    </row>
    <row r="898">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c r="AB898" s="129" t="n"/>
    </row>
    <row r="899">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c r="AB899" s="129" t="n"/>
    </row>
    <row r="900">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c r="AB900" s="129" t="n"/>
    </row>
    <row r="90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c r="AB901" s="129" t="n"/>
    </row>
    <row r="902">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c r="AB902" s="129" t="n"/>
    </row>
    <row r="903">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c r="AB903" s="129" t="n"/>
    </row>
    <row r="904">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c r="AB904" s="129" t="n"/>
    </row>
    <row r="905">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c r="AB905" s="129" t="n"/>
    </row>
    <row r="906">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c r="AB906" s="129" t="n"/>
    </row>
    <row r="907">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c r="AB907" s="129" t="n"/>
    </row>
    <row r="908">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c r="AB908" s="129" t="n"/>
    </row>
    <row r="909">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c r="AB909" s="129" t="n"/>
    </row>
    <row r="910">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c r="AB910" s="129" t="n"/>
    </row>
    <row r="9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c r="AB911" s="129" t="n"/>
    </row>
    <row r="912">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c r="AB912" s="129" t="n"/>
    </row>
    <row r="913">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c r="AB913" s="129" t="n"/>
    </row>
    <row r="914">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c r="AB914" s="129" t="n"/>
    </row>
    <row r="915">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c r="AB915" s="129" t="n"/>
    </row>
    <row r="916">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c r="AB916" s="129" t="n"/>
    </row>
    <row r="917">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c r="AB917" s="129" t="n"/>
    </row>
    <row r="918">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c r="AB918" s="129" t="n"/>
    </row>
    <row r="919">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c r="AB919" s="129" t="n"/>
    </row>
    <row r="920">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c r="AB920" s="129" t="n"/>
    </row>
    <row r="92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c r="AB921" s="129" t="n"/>
    </row>
    <row r="922">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c r="AB922" s="129" t="n"/>
    </row>
    <row r="923">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c r="AB923" s="129" t="n"/>
    </row>
    <row r="924">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c r="AB924" s="129" t="n"/>
    </row>
    <row r="925">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c r="AB925" s="129" t="n"/>
    </row>
    <row r="926">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c r="AB926" s="129" t="n"/>
    </row>
    <row r="927">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c r="AB927" s="129" t="n"/>
    </row>
    <row r="928">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c r="AB928" s="129" t="n"/>
    </row>
    <row r="929">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c r="AB929" s="129" t="n"/>
    </row>
    <row r="930">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c r="AB930" s="129" t="n"/>
    </row>
    <row r="93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c r="AB931" s="129" t="n"/>
    </row>
    <row r="932">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c r="AB932" s="129" t="n"/>
    </row>
    <row r="933">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c r="AB933" s="129" t="n"/>
    </row>
    <row r="934">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c r="AB934" s="129" t="n"/>
    </row>
    <row r="935">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c r="AB935" s="129" t="n"/>
    </row>
    <row r="936">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c r="AB936" s="129" t="n"/>
    </row>
    <row r="937">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c r="AB937" s="129" t="n"/>
    </row>
    <row r="938">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c r="AB938" s="129" t="n"/>
    </row>
    <row r="939">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c r="AB939" s="129" t="n"/>
    </row>
    <row r="940">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c r="AB940" s="129" t="n"/>
    </row>
    <row r="94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c r="AB941" s="129" t="n"/>
    </row>
    <row r="942">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c r="AB942" s="129" t="n"/>
    </row>
    <row r="943">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c r="AB943" s="129" t="n"/>
    </row>
    <row r="944">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c r="AB944" s="129" t="n"/>
    </row>
    <row r="945">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c r="AB945" s="129" t="n"/>
    </row>
    <row r="946">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c r="AB946" s="129" t="n"/>
    </row>
    <row r="947">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c r="AB947" s="129" t="n"/>
    </row>
    <row r="948">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c r="AB948" s="129" t="n"/>
    </row>
    <row r="949">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c r="AB949" s="129" t="n"/>
    </row>
    <row r="950">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c r="AB950" s="129" t="n"/>
    </row>
    <row r="95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c r="AB951" s="129" t="n"/>
    </row>
    <row r="952">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c r="AB952" s="129" t="n"/>
    </row>
    <row r="953">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c r="AB953" s="129" t="n"/>
    </row>
    <row r="954">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c r="AB954" s="129" t="n"/>
    </row>
    <row r="955">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c r="AB955" s="129" t="n"/>
    </row>
    <row r="956">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c r="AB956" s="129" t="n"/>
    </row>
    <row r="957">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c r="AB957" s="129" t="n"/>
    </row>
    <row r="958">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c r="AB958" s="129" t="n"/>
    </row>
    <row r="959">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c r="AB959" s="129" t="n"/>
    </row>
    <row r="960">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c r="AB960" s="129" t="n"/>
    </row>
    <row r="96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c r="AB961" s="129" t="n"/>
    </row>
    <row r="962">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c r="AB962" s="129" t="n"/>
    </row>
    <row r="963">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c r="AB963" s="129" t="n"/>
    </row>
    <row r="964">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c r="AB964" s="129" t="n"/>
    </row>
    <row r="965">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c r="AB965" s="129" t="n"/>
    </row>
    <row r="966">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c r="AB966" s="129" t="n"/>
    </row>
    <row r="967">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c r="AB967" s="129" t="n"/>
    </row>
    <row r="968">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c r="AB968" s="129" t="n"/>
    </row>
    <row r="969">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c r="AB969" s="129" t="n"/>
    </row>
    <row r="970">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c r="AB970" s="129" t="n"/>
    </row>
    <row r="97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c r="AB971" s="129" t="n"/>
    </row>
    <row r="972">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c r="AB972" s="129" t="n"/>
    </row>
    <row r="973">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c r="AB973" s="129" t="n"/>
    </row>
    <row r="974">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c r="AB974" s="129" t="n"/>
    </row>
    <row r="975">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c r="AB975" s="129" t="n"/>
    </row>
    <row r="976">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c r="AB976" s="129" t="n"/>
    </row>
    <row r="977">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c r="AB977" s="129" t="n"/>
    </row>
    <row r="978">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c r="AB978" s="129" t="n"/>
    </row>
    <row r="979">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c r="AB979" s="129" t="n"/>
    </row>
    <row r="980">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c r="AB980" s="129" t="n"/>
    </row>
    <row r="98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c r="AB981" s="129" t="n"/>
    </row>
    <row r="982">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c r="AB982" s="129" t="n"/>
    </row>
    <row r="983">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c r="AB983" s="129" t="n"/>
    </row>
    <row r="984">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c r="AB984" s="129" t="n"/>
    </row>
    <row r="985">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c r="AB985" s="129" t="n"/>
    </row>
    <row r="986">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c r="AB986" s="129" t="n"/>
    </row>
    <row r="987">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c r="AB987" s="129" t="n"/>
    </row>
    <row r="988">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c r="AB988" s="129" t="n"/>
    </row>
    <row r="989">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c r="AB989" s="129" t="n"/>
    </row>
    <row r="990">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c r="AB990" s="129" t="n"/>
    </row>
    <row r="99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c r="AB991" s="129" t="n"/>
    </row>
    <row r="992">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c r="AB992" s="129" t="n"/>
    </row>
    <row r="993">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c r="AB993" s="129" t="n"/>
    </row>
    <row r="994">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c r="AB994" s="129" t="n"/>
    </row>
    <row r="995">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c r="AB995" s="129" t="n"/>
    </row>
    <row r="996">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c r="AB996" s="129"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2025-10-20T00:34:54Z</dcterms:created>
  <dcterms:modified xsi:type="dcterms:W3CDTF">2025-10-20T00:38:25Z</dcterms:modified>
</cp:coreProperties>
</file>